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drawings/drawing8.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1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Default Extension="gif" ContentType="image/gif"/>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ml.chartshapes+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9600" yWindow="-15" windowWidth="9645" windowHeight="11745" tabRatio="756"/>
  </bookViews>
  <sheets>
    <sheet name="Table of Contents" sheetId="57" r:id="rId1"/>
    <sheet name="1(abs)" sheetId="58" r:id="rId2"/>
    <sheet name="2(gnl)" sheetId="40" r:id="rId3"/>
    <sheet name="3(lst)" sheetId="22" r:id="rId4"/>
    <sheet name="4(rd)" sheetId="11" r:id="rId5"/>
    <sheet name="5(em)" sheetId="34" r:id="rId6"/>
    <sheet name="6(gph)" sheetId="63" r:id="rId7"/>
    <sheet name="7(op)" sheetId="21" r:id="rId8"/>
    <sheet name="8(csp)" sheetId="70" r:id="rId9"/>
    <sheet name="9(tcc)" sheetId="60" r:id="rId10"/>
    <sheet name="10(tac)" sheetId="67" r:id="rId11"/>
    <sheet name="11(eff)" sheetId="54" r:id="rId12"/>
    <sheet name="12(id)" sheetId="1" r:id="rId13"/>
    <sheet name="13(an)" sheetId="24" r:id="rId14"/>
    <sheet name="A1(epa)" sheetId="45" r:id="rId15"/>
    <sheet name="A2(SCR)" sheetId="65" r:id="rId16"/>
    <sheet name="A4(twn)" sheetId="13" state="hidden" r:id="rId17"/>
    <sheet name="A2(sm)" sheetId="31" state="hidden" r:id="rId18"/>
    <sheet name="A3(trc)" sheetId="33" state="hidden" r:id="rId19"/>
    <sheet name="ac" sheetId="68" state="hidden" r:id="rId20"/>
    <sheet name="cc" sheetId="66" state="hidden" r:id="rId21"/>
  </sheets>
  <definedNames>
    <definedName name="ac_id">ac!$D$9:$D$13</definedName>
    <definedName name="ad">ac!$C$9:$K$13</definedName>
    <definedName name="c_id" comment="Control ID - unique ID including:TA&amp;O No. Facility No and NOx Control Option Sequence No.">'13(an)'!$BB$35:$BB$114</definedName>
    <definedName name="ca" comment="Cost Analysis of EGU's Controls">'13(an)'!$J$35:$LB$114</definedName>
    <definedName name="ca_id">'13(an)'!$D$35:$D$114</definedName>
    <definedName name="ca_idd" comment="unique Facility ID including:TA&amp;O No. and Facility No ">'13(an)'!$O$35:$O$114</definedName>
    <definedName name="ef" comment="NOx Controls Efficiencies">'11(eff)'!$I$24:$AG$103</definedName>
    <definedName name="ef_id">'11(eff)'!$W$24:$W$103</definedName>
    <definedName name="em">'5(em)'!$G$19:$DE$57</definedName>
    <definedName name="em_id">'5(em)'!$L$19:$L$57</definedName>
    <definedName name="emd">'13(an)'!$HH$8:$HJ$8</definedName>
    <definedName name="emd_id">'13(an)'!$HI$8:$HI$8</definedName>
    <definedName name="epa" comment="CAIROS Data - Ozone Season Report for 2010, 2009 2009">'A1(epa)'!$G$18:$AW$208</definedName>
    <definedName name="epa_id">'A1(epa)'!$M$18:$M$208</definedName>
    <definedName name="eun">'A1(epa)'!$I$18:$I$208</definedName>
    <definedName name="eun_yr">'A1(epa)'!$I$229:$I$419</definedName>
    <definedName name="eyr" comment="CAIROS Data - whole year report for 2010, 2009, 2008">'A1(epa)'!$G$229:$AW$419</definedName>
    <definedName name="eyr_id">'A1(epa)'!$M$229:$M$419</definedName>
    <definedName name="fn">'A1(epa)'!$P$229:$P$419</definedName>
    <definedName name="lst_id">'3(lst)'!$C$24:$C$62</definedName>
    <definedName name="op" comment="NOx Control Options - proposed by stakeholders">'7(op)'!$H$19:$Z$98</definedName>
    <definedName name="op_id" comment="NOx Control Option ID">'7(op)'!$D$19:$D$98</definedName>
    <definedName name="op_lst" comment="Reference List No in NOx Control Options Table">'7(op)'!$I$19:$I$98</definedName>
    <definedName name="_xlnm.Print_Area" localSheetId="1">'1(abs)'!$D$3:$V$182</definedName>
    <definedName name="_xlnm.Print_Area" localSheetId="10">'10(tac)'!$F$9:$AJ$208</definedName>
    <definedName name="_xlnm.Print_Area" localSheetId="11">'11(eff)'!$W$13:$AJ$108</definedName>
    <definedName name="_xlnm.Print_Area" localSheetId="12">'12(id)'!$G$14:$HN$60</definedName>
    <definedName name="_xlnm.Print_Area" localSheetId="2">'2(gnl)'!$I$10:$AG$420</definedName>
    <definedName name="_xlnm.Print_Area" localSheetId="3">'3(lst)'!$C$18:$P$63</definedName>
    <definedName name="_xlnm.Print_Area" localSheetId="4">'4(rd)'!$G$18:$AF$203</definedName>
    <definedName name="_xlnm.Print_Area" localSheetId="5">'5(em)'!$AI$13:$DF$59</definedName>
    <definedName name="_xlnm.Print_Area" localSheetId="6">'6(gph)'!$D$26</definedName>
    <definedName name="_xlnm.Print_Area" localSheetId="7">'7(op)'!$H$10:$Z$98</definedName>
    <definedName name="_xlnm.Print_Area" localSheetId="8">'8(csp)'!$B$8:$T$43</definedName>
    <definedName name="_xlnm.Print_Area" localSheetId="9">'9(tcc)'!$F$8:$AU$99</definedName>
    <definedName name="_xlnm.Print_Area" localSheetId="15">'A2(SCR)'!$E$3:$H$29</definedName>
    <definedName name="_xlnm.Print_Area" localSheetId="19">ac!$B$1:$I$14</definedName>
    <definedName name="_xlnm.Print_Area" localSheetId="0">'Table of Contents'!$C$2:$Q$38</definedName>
    <definedName name="_xlnm.Print_Titles" localSheetId="1">'1(abs)'!$5:$5</definedName>
    <definedName name="_xlnm.Print_Titles" localSheetId="11">'11(eff)'!$C:$C</definedName>
    <definedName name="_xlnm.Print_Titles" localSheetId="12">'12(id)'!$C:$C,'12(id)'!$14:$14</definedName>
    <definedName name="_xlnm.Print_Titles" localSheetId="2">'2(gnl)'!$21:$25</definedName>
    <definedName name="_xlnm.Print_Titles" localSheetId="3">'3(lst)'!$19:$23</definedName>
    <definedName name="_xlnm.Print_Titles" localSheetId="4">'4(rd)'!$14:$15</definedName>
    <definedName name="_xlnm.Print_Titles" localSheetId="5">'5(em)'!$A:$C,'5(em)'!$13:$18</definedName>
    <definedName name="_xlnm.Print_Titles" localSheetId="7">'7(op)'!$R:$S,'7(op)'!$10:$18</definedName>
    <definedName name="tao" comment="TAO content">'12(id)'!$G$21:$HN$59</definedName>
    <definedName name="tfn" comment="facility name list">'12(id)'!$L$21:$L$59</definedName>
    <definedName name="tid">'12(id)'!$X$21:$X$59</definedName>
    <definedName name="tln" comment="TA&amp;O Facilities List No.">'12(id)'!$H$21:$H$59</definedName>
    <definedName name="tw" comment="match town name">'A4(twn)'!$C$13:$C$181</definedName>
    <definedName name="twn" comment="town id, county">'A4(twn)'!$B$13:$E$181</definedName>
  </definedNames>
  <calcPr calcId="125725"/>
</workbook>
</file>

<file path=xl/calcChain.xml><?xml version="1.0" encoding="utf-8"?>
<calcChain xmlns="http://schemas.openxmlformats.org/spreadsheetml/2006/main">
  <c r="KW35" i="24"/>
  <c r="KG8"/>
  <c r="KF8"/>
  <c r="KE8"/>
  <c r="KD8"/>
  <c r="KB8"/>
  <c r="KA8"/>
  <c r="IL8"/>
  <c r="BY20" l="1"/>
  <c r="O25" i="57"/>
  <c r="O26" s="1"/>
  <c r="O27" s="1"/>
  <c r="P39" i="58"/>
  <c r="P40"/>
  <c r="P41"/>
  <c r="P42"/>
  <c r="P43"/>
  <c r="P44"/>
  <c r="H44"/>
  <c r="H43"/>
  <c r="H42"/>
  <c r="H41"/>
  <c r="H40"/>
  <c r="H39"/>
  <c r="G33" i="57"/>
  <c r="G32"/>
  <c r="E33"/>
  <c r="G29"/>
  <c r="G28"/>
  <c r="G26"/>
  <c r="G25"/>
  <c r="Y12" i="67"/>
  <c r="AC13" i="33" l="1"/>
  <c r="AD13"/>
  <c r="AC16"/>
  <c r="AD16"/>
  <c r="AN18"/>
  <c r="AO18"/>
  <c r="AC19"/>
  <c r="AN17" s="1"/>
  <c r="AN20" s="1"/>
  <c r="AN22" s="1"/>
  <c r="AD19"/>
  <c r="AO17" s="1"/>
  <c r="AO20" s="1"/>
  <c r="AO22" s="1"/>
  <c r="AE19"/>
  <c r="AM17" s="1"/>
  <c r="AM20" s="1"/>
  <c r="AM22" s="1"/>
  <c r="AM19"/>
  <c r="AN19"/>
  <c r="AO19"/>
  <c r="AC21"/>
  <c r="AD21"/>
  <c r="AH22"/>
  <c r="AI22"/>
  <c r="AJ22"/>
  <c r="AE30"/>
  <c r="AH30"/>
  <c r="AH31" s="1"/>
  <c r="AI30"/>
  <c r="AJ30"/>
  <c r="AI31"/>
  <c r="AC33"/>
  <c r="AD33"/>
  <c r="AE33"/>
  <c r="AI33"/>
  <c r="AJ33"/>
  <c r="AE38"/>
  <c r="AT40"/>
  <c r="AU40" s="1"/>
  <c r="AU41" s="1"/>
  <c r="AI41"/>
  <c r="AS42"/>
  <c r="AT46"/>
  <c r="AU46" s="1"/>
  <c r="AU47" s="1"/>
  <c r="AE48"/>
  <c r="AH48"/>
  <c r="AI48"/>
  <c r="AJ48"/>
  <c r="AS48"/>
  <c r="AR49"/>
  <c r="AS49"/>
  <c r="AH50"/>
  <c r="AH49" s="1"/>
  <c r="AI50"/>
  <c r="AI49" s="1"/>
  <c r="AR50"/>
  <c r="AS50"/>
  <c r="AC51"/>
  <c r="AD51"/>
  <c r="AE51"/>
  <c r="AJ51"/>
  <c r="AE56"/>
  <c r="AD75"/>
  <c r="AD78"/>
  <c r="AE78"/>
  <c r="AC79"/>
  <c r="I116" i="67"/>
  <c r="H116"/>
  <c r="H117" s="1"/>
  <c r="H112"/>
  <c r="H111"/>
  <c r="V188"/>
  <c r="V185"/>
  <c r="V181"/>
  <c r="V190"/>
  <c r="I207"/>
  <c r="I206"/>
  <c r="H207"/>
  <c r="I204"/>
  <c r="J203"/>
  <c r="J202"/>
  <c r="J201"/>
  <c r="I200"/>
  <c r="H200"/>
  <c r="V197"/>
  <c r="V176"/>
  <c r="V194" s="1"/>
  <c r="V183"/>
  <c r="R73"/>
  <c r="AB171"/>
  <c r="AH59" i="33" l="1"/>
  <c r="AJ49"/>
  <c r="AH51"/>
  <c r="AI51"/>
  <c r="AI59"/>
  <c r="AJ31"/>
  <c r="AH33"/>
  <c r="AH41"/>
  <c r="AJ41" s="1"/>
  <c r="R133" i="67"/>
  <c r="R134" s="1"/>
  <c r="I189"/>
  <c r="I186"/>
  <c r="F41"/>
  <c r="JT35" i="24"/>
  <c r="JT37"/>
  <c r="JT38"/>
  <c r="KL7"/>
  <c r="KG4"/>
  <c r="KD7"/>
  <c r="KD6"/>
  <c r="KD5"/>
  <c r="KG6"/>
  <c r="Z12" i="67" l="1"/>
  <c r="F43"/>
  <c r="AJ59" i="33"/>
  <c r="H195" i="67"/>
  <c r="H197" s="1"/>
  <c r="V106"/>
  <c r="V100"/>
  <c r="KG2" i="24" s="1"/>
  <c r="H182" i="67"/>
  <c r="H186" l="1"/>
  <c r="H189" s="1"/>
  <c r="KK7" i="24"/>
  <c r="G22" i="57"/>
  <c r="G23"/>
  <c r="G27"/>
  <c r="G24"/>
  <c r="V16" i="54"/>
  <c r="AI103"/>
  <c r="AI102"/>
  <c r="AI101"/>
  <c r="AI100"/>
  <c r="AI99"/>
  <c r="AI98"/>
  <c r="AI97"/>
  <c r="AI96"/>
  <c r="AI95"/>
  <c r="AI94"/>
  <c r="AI93"/>
  <c r="AI92"/>
  <c r="AI91"/>
  <c r="AI90"/>
  <c r="AI89"/>
  <c r="AI88"/>
  <c r="AI87"/>
  <c r="AI86"/>
  <c r="AI85"/>
  <c r="AI84"/>
  <c r="AI83"/>
  <c r="AI82"/>
  <c r="AI81"/>
  <c r="AI80"/>
  <c r="AI79"/>
  <c r="AI78"/>
  <c r="AI77"/>
  <c r="AI76"/>
  <c r="AI75"/>
  <c r="AI74"/>
  <c r="AI73"/>
  <c r="AI72"/>
  <c r="AI71"/>
  <c r="AI70"/>
  <c r="AI69"/>
  <c r="AI68"/>
  <c r="AI67"/>
  <c r="AI66"/>
  <c r="AI65"/>
  <c r="AI64"/>
  <c r="AI63"/>
  <c r="AI62"/>
  <c r="AI61"/>
  <c r="AI60"/>
  <c r="AI59"/>
  <c r="AI58"/>
  <c r="AI57"/>
  <c r="AI56"/>
  <c r="AI55"/>
  <c r="AI54"/>
  <c r="AI53"/>
  <c r="AI52"/>
  <c r="AI51"/>
  <c r="AI50"/>
  <c r="AI49"/>
  <c r="AI48"/>
  <c r="AI47"/>
  <c r="AI46"/>
  <c r="AI45"/>
  <c r="AI44"/>
  <c r="AI43"/>
  <c r="AI42"/>
  <c r="AI41"/>
  <c r="AI40"/>
  <c r="AI39"/>
  <c r="AI38"/>
  <c r="AI37"/>
  <c r="AI36"/>
  <c r="AI35"/>
  <c r="AI34"/>
  <c r="AI33"/>
  <c r="AI32"/>
  <c r="AI31"/>
  <c r="AI30"/>
  <c r="AI29"/>
  <c r="AI28"/>
  <c r="AI27"/>
  <c r="AI26"/>
  <c r="AI24"/>
  <c r="AI10"/>
  <c r="AI25"/>
  <c r="C17" i="70"/>
  <c r="C18" s="1"/>
  <c r="C19" s="1"/>
  <c r="C20" s="1"/>
  <c r="C21" s="1"/>
  <c r="C22" s="1"/>
  <c r="C23" s="1"/>
  <c r="C24" s="1"/>
  <c r="C25" s="1"/>
  <c r="C26" s="1"/>
  <c r="C27" s="1"/>
  <c r="C29" s="1"/>
  <c r="C31" s="1"/>
  <c r="C32" s="1"/>
  <c r="C33" s="1"/>
  <c r="C34" s="1"/>
  <c r="C35" s="1"/>
  <c r="E15"/>
  <c r="F15" s="1"/>
  <c r="G15" s="1"/>
  <c r="H15" s="1"/>
  <c r="I15" s="1"/>
  <c r="J15" s="1"/>
  <c r="K15" s="1"/>
  <c r="L15" s="1"/>
  <c r="M15" s="1"/>
  <c r="N15" s="1"/>
  <c r="O15" s="1"/>
  <c r="P15" s="1"/>
  <c r="Q15" s="1"/>
  <c r="R15" s="1"/>
  <c r="S15" s="1"/>
  <c r="I18" i="21" l="1"/>
  <c r="G21" i="57"/>
  <c r="G19"/>
  <c r="G18"/>
  <c r="BX9" i="34" l="1"/>
  <c r="BW9"/>
  <c r="BV9"/>
  <c r="BU9"/>
  <c r="BT9"/>
  <c r="BS9"/>
  <c r="BR9"/>
  <c r="BQ9"/>
  <c r="BP9"/>
  <c r="CR9" s="1"/>
  <c r="BL9"/>
  <c r="BK9"/>
  <c r="BJ9"/>
  <c r="CQ9" s="1"/>
  <c r="BI9"/>
  <c r="BH9"/>
  <c r="CP9" s="1"/>
  <c r="BG9"/>
  <c r="BD9"/>
  <c r="CK9" s="1"/>
  <c r="AZ9"/>
  <c r="AY9"/>
  <c r="AX9"/>
  <c r="CJ9" s="1"/>
  <c r="AW9"/>
  <c r="AV9"/>
  <c r="CI9" s="1"/>
  <c r="AU9"/>
  <c r="AT9"/>
  <c r="AS9"/>
  <c r="AR9"/>
  <c r="CD9" s="1"/>
  <c r="AN9"/>
  <c r="AM9"/>
  <c r="AL9"/>
  <c r="CC9" s="1"/>
  <c r="AK9"/>
  <c r="AJ9"/>
  <c r="CB9" s="1"/>
  <c r="AI9"/>
  <c r="AH9"/>
  <c r="AG9"/>
  <c r="AC9"/>
  <c r="AB9"/>
  <c r="AF9" s="1"/>
  <c r="AA9"/>
  <c r="AE9" s="1"/>
  <c r="Z9"/>
  <c r="Y9"/>
  <c r="X9"/>
  <c r="V9"/>
  <c r="U9"/>
  <c r="T9"/>
  <c r="S9"/>
  <c r="R9"/>
  <c r="P9"/>
  <c r="O9"/>
  <c r="N9"/>
  <c r="M9"/>
  <c r="K9"/>
  <c r="J9"/>
  <c r="AO9" l="1"/>
  <c r="AP9"/>
  <c r="CE9" s="1"/>
  <c r="BA9"/>
  <c r="BB9"/>
  <c r="CL9" s="1"/>
  <c r="CN9" s="1"/>
  <c r="CO9" s="1"/>
  <c r="BM9"/>
  <c r="BN9"/>
  <c r="CS9" s="1"/>
  <c r="CU9" s="1"/>
  <c r="CV9" s="1"/>
  <c r="CF9"/>
  <c r="CG9"/>
  <c r="CH9" s="1"/>
  <c r="CM9"/>
  <c r="CT9"/>
  <c r="AQ9"/>
  <c r="BC9"/>
  <c r="BO9" l="1"/>
  <c r="DA9"/>
  <c r="BZ9"/>
  <c r="CZ9" l="1"/>
  <c r="DC9" s="1"/>
  <c r="CW9"/>
  <c r="DB9"/>
  <c r="CX9"/>
  <c r="CY9"/>
  <c r="DD9" l="1"/>
  <c r="DE9" s="1"/>
  <c r="DI45" i="1"/>
  <c r="DI46" s="1"/>
  <c r="DI47" s="1"/>
  <c r="N25" i="40" l="1"/>
  <c r="O25" s="1"/>
  <c r="P25" s="1"/>
  <c r="Q25" s="1"/>
  <c r="R25" s="1"/>
  <c r="S25" s="1"/>
  <c r="X25" s="1"/>
  <c r="AC25" s="1"/>
  <c r="K25"/>
  <c r="KW7" i="24"/>
  <c r="KW6"/>
  <c r="KW4"/>
  <c r="JY8" s="1"/>
  <c r="KW3"/>
  <c r="IW7"/>
  <c r="IW6"/>
  <c r="IW4"/>
  <c r="IW3"/>
  <c r="KW112"/>
  <c r="KW108"/>
  <c r="KW105"/>
  <c r="KW102"/>
  <c r="KW99"/>
  <c r="KW95"/>
  <c r="KW91"/>
  <c r="KW87"/>
  <c r="KW63"/>
  <c r="KU31"/>
  <c r="KV31" s="1"/>
  <c r="AH27" i="67"/>
  <c r="AH25"/>
  <c r="AH23"/>
  <c r="AH19"/>
  <c r="AE21"/>
  <c r="AH21" s="1"/>
  <c r="Z25"/>
  <c r="Z23"/>
  <c r="Z19"/>
  <c r="W21"/>
  <c r="W27" s="1"/>
  <c r="R19"/>
  <c r="K25"/>
  <c r="K23"/>
  <c r="K19"/>
  <c r="N24"/>
  <c r="R24" s="1"/>
  <c r="G21"/>
  <c r="K21" s="1"/>
  <c r="KW8" i="24" l="1"/>
  <c r="IW8"/>
  <c r="Z27" i="67"/>
  <c r="H204"/>
  <c r="KW5" i="24"/>
  <c r="Z21" i="67"/>
  <c r="G27"/>
  <c r="N27"/>
  <c r="R27" s="1"/>
  <c r="JT113" i="24"/>
  <c r="JT112"/>
  <c r="JT111"/>
  <c r="JT110"/>
  <c r="JT109"/>
  <c r="JT108"/>
  <c r="JT107"/>
  <c r="JT106"/>
  <c r="JT105"/>
  <c r="JT104"/>
  <c r="JT103"/>
  <c r="JT102"/>
  <c r="JT101"/>
  <c r="JT100"/>
  <c r="JT99"/>
  <c r="JT98"/>
  <c r="JT97"/>
  <c r="JT96"/>
  <c r="JT95"/>
  <c r="JT94"/>
  <c r="JT93"/>
  <c r="JT92"/>
  <c r="JT91"/>
  <c r="JT90"/>
  <c r="JT89"/>
  <c r="JT88"/>
  <c r="JT87"/>
  <c r="JT86"/>
  <c r="JT85"/>
  <c r="JT84"/>
  <c r="JT83"/>
  <c r="JT82"/>
  <c r="JT80"/>
  <c r="JT79"/>
  <c r="JT78"/>
  <c r="JT77"/>
  <c r="JT76"/>
  <c r="JT75"/>
  <c r="JT74"/>
  <c r="JT73"/>
  <c r="JT72"/>
  <c r="JT71"/>
  <c r="JT70"/>
  <c r="JT64"/>
  <c r="JT63"/>
  <c r="JT62"/>
  <c r="JT61"/>
  <c r="JT60"/>
  <c r="JT59"/>
  <c r="JT58"/>
  <c r="JT57"/>
  <c r="JT56"/>
  <c r="JT55"/>
  <c r="JT54"/>
  <c r="JT53"/>
  <c r="JT22"/>
  <c r="JT51"/>
  <c r="JT50"/>
  <c r="JT49"/>
  <c r="JT48"/>
  <c r="JT47"/>
  <c r="JT46"/>
  <c r="JT45"/>
  <c r="JT44"/>
  <c r="JT43"/>
  <c r="JT42"/>
  <c r="JT41"/>
  <c r="JT40"/>
  <c r="JT39"/>
  <c r="JT36"/>
  <c r="JT52"/>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O8" i="66"/>
  <c r="O7"/>
  <c r="P4"/>
  <c r="P3"/>
  <c r="F39"/>
  <c r="M36" s="1"/>
  <c r="F35"/>
  <c r="L34"/>
  <c r="M33"/>
  <c r="L33"/>
  <c r="H33"/>
  <c r="M32"/>
  <c r="L32"/>
  <c r="F18"/>
  <c r="M17" s="1"/>
  <c r="M14"/>
  <c r="F14"/>
  <c r="L21" s="1"/>
  <c r="M13"/>
  <c r="L13"/>
  <c r="M12"/>
  <c r="L12"/>
  <c r="H12"/>
  <c r="M15" l="1"/>
  <c r="M34"/>
  <c r="M35"/>
  <c r="K27" i="67"/>
  <c r="G29"/>
  <c r="K29" s="1"/>
  <c r="M16" i="66"/>
  <c r="H34"/>
  <c r="O21"/>
  <c r="L14"/>
  <c r="L15"/>
  <c r="L16"/>
  <c r="O16" s="1"/>
  <c r="L17"/>
  <c r="N17" s="1"/>
  <c r="L18"/>
  <c r="L19"/>
  <c r="L20"/>
  <c r="O20" s="1"/>
  <c r="N33"/>
  <c r="N34"/>
  <c r="O12"/>
  <c r="O14"/>
  <c r="O18"/>
  <c r="H13"/>
  <c r="N12" s="1"/>
  <c r="N13"/>
  <c r="M18"/>
  <c r="M19"/>
  <c r="M20"/>
  <c r="N32"/>
  <c r="L35"/>
  <c r="H35" s="1"/>
  <c r="L36"/>
  <c r="M37"/>
  <c r="L37" s="1"/>
  <c r="O13"/>
  <c r="O15"/>
  <c r="O17"/>
  <c r="O19"/>
  <c r="M11"/>
  <c r="L11"/>
  <c r="O11" s="1"/>
  <c r="H36" l="1"/>
  <c r="N35" s="1"/>
  <c r="H37"/>
  <c r="N36" s="1"/>
  <c r="N37"/>
  <c r="N11"/>
  <c r="H14"/>
  <c r="H15" s="1"/>
  <c r="H15" i="13"/>
  <c r="I15" s="1"/>
  <c r="J14"/>
  <c r="I14"/>
  <c r="N12" s="1"/>
  <c r="I12"/>
  <c r="C12"/>
  <c r="L136" i="33"/>
  <c r="N135" s="1"/>
  <c r="F135"/>
  <c r="B135"/>
  <c r="N131"/>
  <c r="M131"/>
  <c r="F131"/>
  <c r="Q128"/>
  <c r="L127"/>
  <c r="F127"/>
  <c r="Q124"/>
  <c r="Q123"/>
  <c r="B121"/>
  <c r="S119"/>
  <c r="R119"/>
  <c r="S118"/>
  <c r="R118"/>
  <c r="L117"/>
  <c r="N121" s="1"/>
  <c r="F117"/>
  <c r="G117" s="1"/>
  <c r="O116"/>
  <c r="H116"/>
  <c r="O115"/>
  <c r="M115"/>
  <c r="I115"/>
  <c r="H115"/>
  <c r="O113"/>
  <c r="H113"/>
  <c r="P112"/>
  <c r="O112"/>
  <c r="G112"/>
  <c r="B112"/>
  <c r="H111"/>
  <c r="I104"/>
  <c r="I102"/>
  <c r="I101"/>
  <c r="I100"/>
  <c r="I99"/>
  <c r="J95"/>
  <c r="J94"/>
  <c r="J93"/>
  <c r="J92"/>
  <c r="J91"/>
  <c r="J90"/>
  <c r="G90"/>
  <c r="J89"/>
  <c r="S84"/>
  <c r="G82"/>
  <c r="D82"/>
  <c r="S78"/>
  <c r="G75"/>
  <c r="E75"/>
  <c r="G74"/>
  <c r="E74"/>
  <c r="G73"/>
  <c r="E73"/>
  <c r="S72"/>
  <c r="G72"/>
  <c r="E72"/>
  <c r="G71"/>
  <c r="E71"/>
  <c r="G70"/>
  <c r="E70"/>
  <c r="G69"/>
  <c r="E69"/>
  <c r="S66"/>
  <c r="S61"/>
  <c r="F61"/>
  <c r="B57"/>
  <c r="S54"/>
  <c r="E53"/>
  <c r="I52"/>
  <c r="S48"/>
  <c r="H48"/>
  <c r="S42"/>
  <c r="J42"/>
  <c r="J40"/>
  <c r="J37"/>
  <c r="D37"/>
  <c r="S36"/>
  <c r="J36"/>
  <c r="E31"/>
  <c r="S30"/>
  <c r="S24"/>
  <c r="Q19"/>
  <c r="S18"/>
  <c r="F16"/>
  <c r="T8"/>
  <c r="AS78" i="31"/>
  <c r="AC78"/>
  <c r="H73"/>
  <c r="AT70"/>
  <c r="AD70"/>
  <c r="J67"/>
  <c r="W66"/>
  <c r="AM64"/>
  <c r="AP62"/>
  <c r="Z62"/>
  <c r="AB61"/>
  <c r="AB70" s="1"/>
  <c r="I61"/>
  <c r="F60"/>
  <c r="AU59"/>
  <c r="AE59"/>
  <c r="H48"/>
  <c r="J46" i="33" l="1"/>
  <c r="H121"/>
  <c r="S120"/>
  <c r="M117"/>
  <c r="R120"/>
  <c r="R124" s="1"/>
  <c r="G127"/>
  <c r="AB62" i="31"/>
  <c r="N14" i="66"/>
  <c r="H16"/>
  <c r="J49" i="33"/>
  <c r="J51"/>
  <c r="J52"/>
  <c r="G91"/>
  <c r="S123"/>
  <c r="H16" i="13"/>
  <c r="J48" i="33"/>
  <c r="J50"/>
  <c r="G92"/>
  <c r="G93" s="1"/>
  <c r="G94" s="1"/>
  <c r="G95" s="1"/>
  <c r="B113"/>
  <c r="R123"/>
  <c r="S124"/>
  <c r="M127"/>
  <c r="H131"/>
  <c r="G131" s="1"/>
  <c r="I45" i="31"/>
  <c r="H44"/>
  <c r="H41"/>
  <c r="H40"/>
  <c r="N27"/>
  <c r="G27"/>
  <c r="H25"/>
  <c r="H26" s="1"/>
  <c r="AS24"/>
  <c r="AC24"/>
  <c r="G24"/>
  <c r="N21"/>
  <c r="G21"/>
  <c r="N20"/>
  <c r="G20"/>
  <c r="N19"/>
  <c r="G19"/>
  <c r="N18"/>
  <c r="G18"/>
  <c r="N17"/>
  <c r="G17"/>
  <c r="AT16"/>
  <c r="AD16"/>
  <c r="N16"/>
  <c r="G16"/>
  <c r="J16" s="1"/>
  <c r="N15"/>
  <c r="G15"/>
  <c r="N14"/>
  <c r="G14"/>
  <c r="N13"/>
  <c r="G13"/>
  <c r="AM12"/>
  <c r="W12"/>
  <c r="N12"/>
  <c r="G12"/>
  <c r="N11"/>
  <c r="G11"/>
  <c r="N10"/>
  <c r="G10"/>
  <c r="N9"/>
  <c r="G9"/>
  <c r="AP8"/>
  <c r="Z8"/>
  <c r="N8"/>
  <c r="G8"/>
  <c r="J12" l="1"/>
  <c r="O12"/>
  <c r="O14"/>
  <c r="O17"/>
  <c r="O18"/>
  <c r="AM13"/>
  <c r="O13" s="1"/>
  <c r="O19"/>
  <c r="O20"/>
  <c r="O21"/>
  <c r="J8"/>
  <c r="J9"/>
  <c r="J10"/>
  <c r="J11"/>
  <c r="J15"/>
  <c r="J18"/>
  <c r="J19"/>
  <c r="J20"/>
  <c r="J21"/>
  <c r="AB63"/>
  <c r="J13"/>
  <c r="J14"/>
  <c r="J17"/>
  <c r="I40"/>
  <c r="I44"/>
  <c r="I46" s="1"/>
  <c r="K46" s="1"/>
  <c r="J15" i="13"/>
  <c r="H17"/>
  <c r="I16"/>
  <c r="J16"/>
  <c r="N15" i="66"/>
  <c r="H17"/>
  <c r="AB7" i="31"/>
  <c r="N7"/>
  <c r="I7"/>
  <c r="G7"/>
  <c r="F6"/>
  <c r="AU5"/>
  <c r="AE5"/>
  <c r="K419" i="45"/>
  <c r="K418"/>
  <c r="K417"/>
  <c r="K416"/>
  <c r="K415"/>
  <c r="K414"/>
  <c r="K413"/>
  <c r="K412"/>
  <c r="K411"/>
  <c r="C410"/>
  <c r="A410"/>
  <c r="K409"/>
  <c r="K408"/>
  <c r="K407"/>
  <c r="K406"/>
  <c r="K405"/>
  <c r="K404"/>
  <c r="K403"/>
  <c r="K402"/>
  <c r="K401"/>
  <c r="K400"/>
  <c r="K399"/>
  <c r="K398"/>
  <c r="K397"/>
  <c r="K396"/>
  <c r="K395"/>
  <c r="K394"/>
  <c r="L392"/>
  <c r="L393" s="1"/>
  <c r="L389"/>
  <c r="J7" i="31" l="1"/>
  <c r="AB8"/>
  <c r="AB9" s="1"/>
  <c r="N16" i="66"/>
  <c r="H18"/>
  <c r="H19" s="1"/>
  <c r="J17" i="13"/>
  <c r="H18"/>
  <c r="I17"/>
  <c r="AB64" i="31"/>
  <c r="B410" i="45"/>
  <c r="H19" i="13" l="1"/>
  <c r="I18"/>
  <c r="J18"/>
  <c r="N18" i="66"/>
  <c r="H20"/>
  <c r="AB65" i="31"/>
  <c r="AB66" s="1"/>
  <c r="AB10"/>
  <c r="AB11" l="1"/>
  <c r="AB12" s="1"/>
  <c r="N19" i="66"/>
  <c r="H21"/>
  <c r="J19" i="13"/>
  <c r="I19"/>
  <c r="N20" i="66" l="1"/>
  <c r="H22"/>
  <c r="N21" s="1"/>
  <c r="M21" s="1"/>
  <c r="AC12" i="31"/>
  <c r="L365" i="45" l="1"/>
  <c r="L366" s="1"/>
  <c r="L367" s="1"/>
  <c r="L368" s="1"/>
  <c r="L369" s="1"/>
  <c r="L370" s="1"/>
  <c r="L371" s="1"/>
  <c r="L372" s="1"/>
  <c r="L373" s="1"/>
  <c r="L374" s="1"/>
  <c r="L375" s="1"/>
  <c r="L376" s="1"/>
  <c r="L377" s="1"/>
  <c r="L378" s="1"/>
  <c r="L379" s="1"/>
  <c r="L380" s="1"/>
  <c r="L381" s="1"/>
  <c r="L382" s="1"/>
  <c r="L383" s="1"/>
  <c r="L384" s="1"/>
  <c r="L385" s="1"/>
  <c r="L386" s="1"/>
  <c r="L387" s="1"/>
  <c r="K363"/>
  <c r="K362"/>
  <c r="K361"/>
  <c r="K360"/>
  <c r="K359"/>
  <c r="K358"/>
  <c r="K357"/>
  <c r="L355"/>
  <c r="L352"/>
  <c r="L353" s="1"/>
  <c r="L346"/>
  <c r="L347" s="1"/>
  <c r="L343"/>
  <c r="L344" s="1"/>
  <c r="K335"/>
  <c r="K334"/>
  <c r="K333"/>
  <c r="K332"/>
  <c r="K331"/>
  <c r="K330"/>
  <c r="L328"/>
  <c r="L325"/>
  <c r="L322"/>
  <c r="L323" s="1"/>
  <c r="J322"/>
  <c r="J323" s="1"/>
  <c r="L319"/>
  <c r="L320" s="1"/>
  <c r="K317"/>
  <c r="K316"/>
  <c r="K315"/>
  <c r="K314"/>
  <c r="K313"/>
  <c r="K312"/>
  <c r="K311"/>
  <c r="K310"/>
  <c r="K309"/>
  <c r="K305"/>
  <c r="K304"/>
  <c r="K303"/>
  <c r="K302"/>
  <c r="K301"/>
  <c r="K300"/>
  <c r="M295"/>
  <c r="N295" s="1"/>
  <c r="M294"/>
  <c r="N294" s="1"/>
  <c r="L284"/>
  <c r="L285" s="1"/>
  <c r="L286" s="1"/>
  <c r="L282"/>
  <c r="L283" s="1"/>
  <c r="L269"/>
  <c r="L272" s="1"/>
  <c r="L267"/>
  <c r="L268" s="1"/>
  <c r="K265"/>
  <c r="C265"/>
  <c r="A265"/>
  <c r="K264"/>
  <c r="C264"/>
  <c r="A264"/>
  <c r="K263"/>
  <c r="C263"/>
  <c r="A263"/>
  <c r="L261"/>
  <c r="L258"/>
  <c r="L259" s="1"/>
  <c r="L255"/>
  <c r="L252"/>
  <c r="J252"/>
  <c r="J253" s="1"/>
  <c r="C250"/>
  <c r="A250"/>
  <c r="K249"/>
  <c r="C249"/>
  <c r="A249"/>
  <c r="K248"/>
  <c r="C248"/>
  <c r="A248"/>
  <c r="K247"/>
  <c r="C247"/>
  <c r="A247"/>
  <c r="K246"/>
  <c r="C246"/>
  <c r="A246"/>
  <c r="K245"/>
  <c r="C245"/>
  <c r="A245"/>
  <c r="K244"/>
  <c r="C244"/>
  <c r="A244"/>
  <c r="K240"/>
  <c r="K239"/>
  <c r="K238"/>
  <c r="A238"/>
  <c r="K237"/>
  <c r="K236"/>
  <c r="K235"/>
  <c r="I235" s="1"/>
  <c r="A235"/>
  <c r="K234"/>
  <c r="K233"/>
  <c r="K232"/>
  <c r="I232"/>
  <c r="A232"/>
  <c r="K231"/>
  <c r="K230"/>
  <c r="G230"/>
  <c r="G231" s="1"/>
  <c r="G232" s="1"/>
  <c r="K229"/>
  <c r="A229"/>
  <c r="H228"/>
  <c r="G225"/>
  <c r="K208"/>
  <c r="K207"/>
  <c r="K206"/>
  <c r="K205"/>
  <c r="K204"/>
  <c r="K203"/>
  <c r="K202"/>
  <c r="K201"/>
  <c r="K200"/>
  <c r="A199"/>
  <c r="K198"/>
  <c r="K197"/>
  <c r="K196"/>
  <c r="K195"/>
  <c r="K194"/>
  <c r="K193"/>
  <c r="K192"/>
  <c r="K191"/>
  <c r="K190"/>
  <c r="K189"/>
  <c r="K188"/>
  <c r="K187"/>
  <c r="K186"/>
  <c r="K185"/>
  <c r="K184"/>
  <c r="K183"/>
  <c r="L181"/>
  <c r="L154"/>
  <c r="K152"/>
  <c r="K151"/>
  <c r="K150"/>
  <c r="K149"/>
  <c r="K148"/>
  <c r="K147"/>
  <c r="K146"/>
  <c r="L144"/>
  <c r="L141"/>
  <c r="L135"/>
  <c r="L132"/>
  <c r="K124"/>
  <c r="K123"/>
  <c r="K122"/>
  <c r="K121"/>
  <c r="K120"/>
  <c r="K119"/>
  <c r="L117"/>
  <c r="L114"/>
  <c r="L111"/>
  <c r="J111"/>
  <c r="J112" s="1"/>
  <c r="J113" s="1"/>
  <c r="J114" s="1"/>
  <c r="J115" s="1"/>
  <c r="J116" s="1"/>
  <c r="J117" s="1"/>
  <c r="J118" s="1"/>
  <c r="K106"/>
  <c r="K105"/>
  <c r="K104"/>
  <c r="K103"/>
  <c r="K102"/>
  <c r="K101"/>
  <c r="K100"/>
  <c r="K99"/>
  <c r="K98"/>
  <c r="K97"/>
  <c r="K96"/>
  <c r="K95"/>
  <c r="K91"/>
  <c r="K90"/>
  <c r="K89"/>
  <c r="K88"/>
  <c r="K87"/>
  <c r="K86"/>
  <c r="L70"/>
  <c r="L73" s="1"/>
  <c r="L68"/>
  <c r="L55"/>
  <c r="L56" s="1"/>
  <c r="L53"/>
  <c r="L50"/>
  <c r="L47"/>
  <c r="L44"/>
  <c r="L41"/>
  <c r="J41"/>
  <c r="K38"/>
  <c r="K37"/>
  <c r="K36"/>
  <c r="K35"/>
  <c r="K34"/>
  <c r="K33"/>
  <c r="K29"/>
  <c r="K28"/>
  <c r="K27"/>
  <c r="K26"/>
  <c r="K25"/>
  <c r="K24"/>
  <c r="K23"/>
  <c r="K22"/>
  <c r="K21"/>
  <c r="K20"/>
  <c r="K19"/>
  <c r="K18"/>
  <c r="B245" l="1"/>
  <c r="B247"/>
  <c r="B249"/>
  <c r="B264"/>
  <c r="A295"/>
  <c r="J254"/>
  <c r="J324"/>
  <c r="G233"/>
  <c r="B244"/>
  <c r="B246"/>
  <c r="B248"/>
  <c r="B250"/>
  <c r="B263"/>
  <c r="B265"/>
  <c r="G234"/>
  <c r="G235" s="1"/>
  <c r="G236" s="1"/>
  <c r="G237" s="1"/>
  <c r="I238"/>
  <c r="L76"/>
  <c r="L74"/>
  <c r="L75" s="1"/>
  <c r="L273"/>
  <c r="L275"/>
  <c r="A294"/>
  <c r="H17"/>
  <c r="I46" i="68"/>
  <c r="H46"/>
  <c r="I45"/>
  <c r="H45"/>
  <c r="I44"/>
  <c r="H44"/>
  <c r="I43"/>
  <c r="H43"/>
  <c r="I42"/>
  <c r="H42"/>
  <c r="I41"/>
  <c r="H41"/>
  <c r="I40"/>
  <c r="H40"/>
  <c r="I39"/>
  <c r="H39"/>
  <c r="I38"/>
  <c r="H38"/>
  <c r="I37"/>
  <c r="H37"/>
  <c r="I36"/>
  <c r="H36"/>
  <c r="I35"/>
  <c r="H35"/>
  <c r="I34"/>
  <c r="H34"/>
  <c r="I33"/>
  <c r="H33"/>
  <c r="I32"/>
  <c r="H32"/>
  <c r="I31"/>
  <c r="H31"/>
  <c r="I30"/>
  <c r="H30"/>
  <c r="I29"/>
  <c r="H29"/>
  <c r="I28"/>
  <c r="H28"/>
  <c r="K27"/>
  <c r="J27"/>
  <c r="I26"/>
  <c r="H26"/>
  <c r="K25"/>
  <c r="J25"/>
  <c r="K24"/>
  <c r="J24"/>
  <c r="K23"/>
  <c r="J23"/>
  <c r="K22"/>
  <c r="J22"/>
  <c r="K21"/>
  <c r="J21"/>
  <c r="J16"/>
  <c r="J13"/>
  <c r="I13"/>
  <c r="H13"/>
  <c r="J10"/>
  <c r="J11" s="1"/>
  <c r="I11" s="1"/>
  <c r="I10"/>
  <c r="C10"/>
  <c r="D8"/>
  <c r="E8" s="1"/>
  <c r="F8" s="1"/>
  <c r="G8" s="1"/>
  <c r="H8" s="1"/>
  <c r="I8" s="1"/>
  <c r="J8" s="1"/>
  <c r="K8" s="1"/>
  <c r="A4"/>
  <c r="A5" s="1"/>
  <c r="IW114" i="24"/>
  <c r="HX114"/>
  <c r="HA114"/>
  <c r="GZ114"/>
  <c r="GY114"/>
  <c r="GW114"/>
  <c r="GV114"/>
  <c r="GQ114"/>
  <c r="GX114" s="1"/>
  <c r="GG114"/>
  <c r="GF114"/>
  <c r="GE114"/>
  <c r="GB114"/>
  <c r="FS114"/>
  <c r="EB114"/>
  <c r="DZ114"/>
  <c r="DM114"/>
  <c r="DI114"/>
  <c r="CV114"/>
  <c r="CQ114"/>
  <c r="BB114"/>
  <c r="IB114" s="1"/>
  <c r="AZ114"/>
  <c r="AW114"/>
  <c r="AV114"/>
  <c r="AP114"/>
  <c r="V114"/>
  <c r="D114"/>
  <c r="B114"/>
  <c r="IH113"/>
  <c r="IF113"/>
  <c r="IL113" s="1"/>
  <c r="HZ113"/>
  <c r="HY113"/>
  <c r="HA113"/>
  <c r="GZ113"/>
  <c r="GY113"/>
  <c r="GW113"/>
  <c r="GV113"/>
  <c r="GQ113"/>
  <c r="GX113" s="1"/>
  <c r="FS113"/>
  <c r="EB113"/>
  <c r="DZ113"/>
  <c r="DM113"/>
  <c r="DI113"/>
  <c r="CV113"/>
  <c r="CJ113"/>
  <c r="BB113"/>
  <c r="A113"/>
  <c r="IH112"/>
  <c r="IJ112" s="1"/>
  <c r="IF112"/>
  <c r="HZ112"/>
  <c r="HY112"/>
  <c r="HA112"/>
  <c r="GZ112"/>
  <c r="GY112"/>
  <c r="GX112"/>
  <c r="GW112"/>
  <c r="GV112"/>
  <c r="GD112"/>
  <c r="GB112"/>
  <c r="GA112"/>
  <c r="FS112"/>
  <c r="EB112"/>
  <c r="DZ112"/>
  <c r="DM112"/>
  <c r="DI112"/>
  <c r="CV112"/>
  <c r="CQ112"/>
  <c r="BB112"/>
  <c r="JA112" s="1"/>
  <c r="AZ112"/>
  <c r="AW112"/>
  <c r="AV112"/>
  <c r="AP112"/>
  <c r="E112"/>
  <c r="D112"/>
  <c r="B112"/>
  <c r="KX112" l="1"/>
  <c r="KV112"/>
  <c r="KT112"/>
  <c r="KY112"/>
  <c r="KU112"/>
  <c r="IJ113"/>
  <c r="D113"/>
  <c r="IP113"/>
  <c r="IQ113" s="1"/>
  <c r="BN112"/>
  <c r="BU112"/>
  <c r="CC112"/>
  <c r="CK112"/>
  <c r="FR112"/>
  <c r="EH112"/>
  <c r="ED112" s="1"/>
  <c r="FF112"/>
  <c r="GK112"/>
  <c r="GU112" s="1"/>
  <c r="JH112"/>
  <c r="JN112"/>
  <c r="KR112"/>
  <c r="KQ112"/>
  <c r="BP112"/>
  <c r="BX112"/>
  <c r="CE112"/>
  <c r="CM112"/>
  <c r="FB112"/>
  <c r="GE112" s="1"/>
  <c r="FJ112"/>
  <c r="HF112"/>
  <c r="HW112"/>
  <c r="HU112"/>
  <c r="HS112"/>
  <c r="HQ112"/>
  <c r="HO112"/>
  <c r="FT112"/>
  <c r="HV112"/>
  <c r="HT112"/>
  <c r="HR112"/>
  <c r="HP112"/>
  <c r="HL112"/>
  <c r="HI112"/>
  <c r="HM112"/>
  <c r="AX112"/>
  <c r="BO112"/>
  <c r="BQ112"/>
  <c r="BV112"/>
  <c r="BY112"/>
  <c r="CD112"/>
  <c r="CI112"/>
  <c r="CL112"/>
  <c r="CN112"/>
  <c r="EP112"/>
  <c r="FD112"/>
  <c r="FC112" s="1"/>
  <c r="FV112" s="1"/>
  <c r="FH112"/>
  <c r="FL112"/>
  <c r="FN112"/>
  <c r="FP112"/>
  <c r="GL112"/>
  <c r="IB112"/>
  <c r="IT112"/>
  <c r="AX114"/>
  <c r="J325" i="45"/>
  <c r="J255"/>
  <c r="CB112" i="24"/>
  <c r="FI112"/>
  <c r="JM113"/>
  <c r="JN113" s="1"/>
  <c r="G238" i="45"/>
  <c r="G239" s="1"/>
  <c r="G240" s="1"/>
  <c r="L79"/>
  <c r="L80" s="1"/>
  <c r="L81" s="1"/>
  <c r="L77"/>
  <c r="L78" s="1"/>
  <c r="BN113" i="24"/>
  <c r="BX113"/>
  <c r="CC113"/>
  <c r="EH113"/>
  <c r="ED113" s="1"/>
  <c r="ET113"/>
  <c r="FD113"/>
  <c r="FC113" s="1"/>
  <c r="FV113" s="1"/>
  <c r="FH113"/>
  <c r="FL113"/>
  <c r="FN113"/>
  <c r="HK113" s="1"/>
  <c r="FP113"/>
  <c r="GL113"/>
  <c r="HF113"/>
  <c r="BN114"/>
  <c r="BP114"/>
  <c r="BU114"/>
  <c r="BX114"/>
  <c r="CC114"/>
  <c r="CE114"/>
  <c r="CL114"/>
  <c r="CN114"/>
  <c r="EP114"/>
  <c r="FF114"/>
  <c r="FJ114"/>
  <c r="FP114"/>
  <c r="GK114"/>
  <c r="HF114"/>
  <c r="L278" i="45"/>
  <c r="L276"/>
  <c r="BQ113" i="24"/>
  <c r="EP113"/>
  <c r="EY113" s="1"/>
  <c r="FF113"/>
  <c r="FE113" s="1"/>
  <c r="FJ113"/>
  <c r="FI113" s="1"/>
  <c r="FM113"/>
  <c r="FO113"/>
  <c r="FR113"/>
  <c r="GK113"/>
  <c r="GU113" s="1"/>
  <c r="BO114"/>
  <c r="BQ114"/>
  <c r="BV114"/>
  <c r="BY114"/>
  <c r="CD114"/>
  <c r="CK114"/>
  <c r="CI114" s="1"/>
  <c r="CM114"/>
  <c r="EH114"/>
  <c r="ED114" s="1"/>
  <c r="FD114"/>
  <c r="FH114"/>
  <c r="FL114"/>
  <c r="FN114"/>
  <c r="FR114"/>
  <c r="FT114" s="1"/>
  <c r="GL114"/>
  <c r="GU114"/>
  <c r="HC114" s="1"/>
  <c r="HB114" s="1"/>
  <c r="IH111"/>
  <c r="IF111"/>
  <c r="IL111" s="1"/>
  <c r="HZ111"/>
  <c r="HY111"/>
  <c r="HA111"/>
  <c r="GZ111"/>
  <c r="GY111"/>
  <c r="GW111"/>
  <c r="GV111"/>
  <c r="GQ111"/>
  <c r="GX111" s="1"/>
  <c r="GD111"/>
  <c r="GA111"/>
  <c r="FS111"/>
  <c r="EB111"/>
  <c r="DZ111"/>
  <c r="DM111"/>
  <c r="CV111"/>
  <c r="CJ111"/>
  <c r="B111"/>
  <c r="IH110"/>
  <c r="IF110"/>
  <c r="IL110" s="1"/>
  <c r="JY113" l="1"/>
  <c r="KH113"/>
  <c r="KI113"/>
  <c r="IJ110"/>
  <c r="FU113"/>
  <c r="FT113" s="1"/>
  <c r="LB112"/>
  <c r="LA112"/>
  <c r="KT113"/>
  <c r="KS113"/>
  <c r="FU112"/>
  <c r="CB114"/>
  <c r="CB113"/>
  <c r="J256" i="45"/>
  <c r="J326"/>
  <c r="HK112" i="24"/>
  <c r="HJ112" s="1"/>
  <c r="FO112"/>
  <c r="FG112"/>
  <c r="FE112"/>
  <c r="IM112"/>
  <c r="IL112" s="1"/>
  <c r="IA112"/>
  <c r="HX112"/>
  <c r="HN112"/>
  <c r="IJ111"/>
  <c r="DI111"/>
  <c r="FC114"/>
  <c r="FK112"/>
  <c r="FM112"/>
  <c r="GC112"/>
  <c r="FQ112"/>
  <c r="FQ114"/>
  <c r="HW114"/>
  <c r="HS114"/>
  <c r="HQ114"/>
  <c r="HN114" s="1"/>
  <c r="HV114"/>
  <c r="HR114"/>
  <c r="FQ113"/>
  <c r="HV113"/>
  <c r="HT113"/>
  <c r="HR113"/>
  <c r="HP113"/>
  <c r="HL113"/>
  <c r="HI113"/>
  <c r="HW113"/>
  <c r="HU113"/>
  <c r="HS113"/>
  <c r="HQ113"/>
  <c r="HO113"/>
  <c r="HM113"/>
  <c r="FU114"/>
  <c r="FM114"/>
  <c r="FE114"/>
  <c r="HJ113"/>
  <c r="FG113"/>
  <c r="L279" i="45"/>
  <c r="L306"/>
  <c r="HD114" i="24"/>
  <c r="FO114"/>
  <c r="FI114"/>
  <c r="FK113"/>
  <c r="FB113"/>
  <c r="GE113" s="1"/>
  <c r="HZ110"/>
  <c r="HY110"/>
  <c r="HA110"/>
  <c r="GZ110"/>
  <c r="GY110"/>
  <c r="GW110"/>
  <c r="GV110"/>
  <c r="GQ110"/>
  <c r="GX110" s="1"/>
  <c r="FS110"/>
  <c r="EB110"/>
  <c r="DZ110"/>
  <c r="DM110"/>
  <c r="CV110"/>
  <c r="CJ110"/>
  <c r="B110"/>
  <c r="DI110" l="1"/>
  <c r="FV114"/>
  <c r="GC114"/>
  <c r="J327" i="45"/>
  <c r="FK114" i="24"/>
  <c r="FG114"/>
  <c r="IW112"/>
  <c r="IC112"/>
  <c r="HX113"/>
  <c r="IA113"/>
  <c r="IW113" s="1"/>
  <c r="IH109"/>
  <c r="IF109"/>
  <c r="IL109" s="1"/>
  <c r="IJ109" l="1"/>
  <c r="J328" i="45"/>
  <c r="HZ109" i="24"/>
  <c r="HY109"/>
  <c r="HA109"/>
  <c r="GZ109"/>
  <c r="GY109"/>
  <c r="GW109"/>
  <c r="GV109"/>
  <c r="GQ109"/>
  <c r="GX109" s="1"/>
  <c r="FS109"/>
  <c r="EB109"/>
  <c r="DZ109"/>
  <c r="DM109"/>
  <c r="CV109"/>
  <c r="CJ109"/>
  <c r="BB109"/>
  <c r="A109"/>
  <c r="IH108"/>
  <c r="IJ108" s="1"/>
  <c r="IF108"/>
  <c r="HZ108"/>
  <c r="HY108"/>
  <c r="HA108"/>
  <c r="GZ108"/>
  <c r="GY108"/>
  <c r="GW108"/>
  <c r="GV108"/>
  <c r="GQ108"/>
  <c r="GX108" s="1"/>
  <c r="FS108"/>
  <c r="EB108"/>
  <c r="DZ108"/>
  <c r="DM108"/>
  <c r="DI108"/>
  <c r="CV108"/>
  <c r="CJ108"/>
  <c r="BB108"/>
  <c r="IB108" s="1"/>
  <c r="AZ108"/>
  <c r="AW108"/>
  <c r="AV108"/>
  <c r="AP108"/>
  <c r="V108"/>
  <c r="B108"/>
  <c r="IH107"/>
  <c r="IF107"/>
  <c r="IL107" s="1"/>
  <c r="HZ107"/>
  <c r="HY107"/>
  <c r="HA107"/>
  <c r="GZ107"/>
  <c r="GY107"/>
  <c r="GW107"/>
  <c r="GV107"/>
  <c r="GQ107"/>
  <c r="GX107" s="1"/>
  <c r="FS107"/>
  <c r="EB107"/>
  <c r="DZ107"/>
  <c r="DM107"/>
  <c r="CV107"/>
  <c r="CJ107"/>
  <c r="AZ107"/>
  <c r="AW107"/>
  <c r="AV107"/>
  <c r="V107"/>
  <c r="B107"/>
  <c r="IH106"/>
  <c r="IF106"/>
  <c r="IL106" s="1"/>
  <c r="AX108" l="1"/>
  <c r="D109"/>
  <c r="IP109"/>
  <c r="IQ109" s="1"/>
  <c r="IJ106"/>
  <c r="AX107"/>
  <c r="DI109"/>
  <c r="IJ107"/>
  <c r="BQ108"/>
  <c r="BY108"/>
  <c r="CI108"/>
  <c r="CK108"/>
  <c r="EP108"/>
  <c r="FD108"/>
  <c r="FH108"/>
  <c r="FL108"/>
  <c r="DI107"/>
  <c r="D108"/>
  <c r="JY108" s="1"/>
  <c r="GD108"/>
  <c r="BO108"/>
  <c r="BV108"/>
  <c r="CD108"/>
  <c r="CM108"/>
  <c r="EC108"/>
  <c r="EY108"/>
  <c r="FF108"/>
  <c r="FJ108"/>
  <c r="FN108"/>
  <c r="HK108" s="1"/>
  <c r="J329" i="45"/>
  <c r="BN108" i="24"/>
  <c r="BP108"/>
  <c r="BU108"/>
  <c r="BX108"/>
  <c r="CC108"/>
  <c r="CE108"/>
  <c r="CL108"/>
  <c r="CN108"/>
  <c r="EH108"/>
  <c r="ED108" s="1"/>
  <c r="FC108" s="1"/>
  <c r="FK108" s="1"/>
  <c r="ET108"/>
  <c r="FB108"/>
  <c r="GE108" s="1"/>
  <c r="GL108"/>
  <c r="HF108"/>
  <c r="IT108"/>
  <c r="JA108"/>
  <c r="BQ109"/>
  <c r="EH109"/>
  <c r="ET109"/>
  <c r="FD109"/>
  <c r="FF109"/>
  <c r="FH109"/>
  <c r="BB110"/>
  <c r="FP108"/>
  <c r="HJ108" s="1"/>
  <c r="FR108"/>
  <c r="GA108"/>
  <c r="GK108"/>
  <c r="GU108" s="1"/>
  <c r="BN109"/>
  <c r="BX109"/>
  <c r="CC109"/>
  <c r="EC109"/>
  <c r="EP109"/>
  <c r="FL109"/>
  <c r="FN109"/>
  <c r="FP109"/>
  <c r="FR109"/>
  <c r="HF109"/>
  <c r="HZ106"/>
  <c r="HY106"/>
  <c r="HA106"/>
  <c r="GZ106"/>
  <c r="GY106"/>
  <c r="GW106"/>
  <c r="GV106"/>
  <c r="GQ106"/>
  <c r="GX106" s="1"/>
  <c r="FS106"/>
  <c r="EB106"/>
  <c r="DZ106"/>
  <c r="DM106"/>
  <c r="CV106"/>
  <c r="CJ106"/>
  <c r="BB106"/>
  <c r="A106"/>
  <c r="IW105"/>
  <c r="IM105"/>
  <c r="IH105"/>
  <c r="IF105"/>
  <c r="IL105" s="1"/>
  <c r="HX105"/>
  <c r="HA105"/>
  <c r="GZ105"/>
  <c r="GY105"/>
  <c r="GW105"/>
  <c r="GV105"/>
  <c r="GQ105"/>
  <c r="GX105" s="1"/>
  <c r="GB105"/>
  <c r="FS105"/>
  <c r="KX108" l="1"/>
  <c r="KV108"/>
  <c r="KT108"/>
  <c r="KY108"/>
  <c r="KU108"/>
  <c r="FF106"/>
  <c r="IP106"/>
  <c r="IQ106" s="1"/>
  <c r="IP110"/>
  <c r="IQ110" s="1"/>
  <c r="FU108"/>
  <c r="FT108" s="1"/>
  <c r="KR108"/>
  <c r="KQ108"/>
  <c r="IJ105"/>
  <c r="D106"/>
  <c r="BQ106"/>
  <c r="EH106"/>
  <c r="FH106"/>
  <c r="GL106"/>
  <c r="HF106"/>
  <c r="FD106"/>
  <c r="DI106"/>
  <c r="FR106" s="1"/>
  <c r="ET106"/>
  <c r="CB109"/>
  <c r="GK109" s="1"/>
  <c r="GU109" s="1"/>
  <c r="HC109" s="1"/>
  <c r="CB108"/>
  <c r="JF108"/>
  <c r="JN108"/>
  <c r="HB109"/>
  <c r="HD109" s="1"/>
  <c r="HV109"/>
  <c r="HT109"/>
  <c r="HR109"/>
  <c r="HP109"/>
  <c r="HL109"/>
  <c r="HK109" s="1"/>
  <c r="HJ109" s="1"/>
  <c r="HW109"/>
  <c r="HU109"/>
  <c r="HQ109"/>
  <c r="HO109"/>
  <c r="HI109"/>
  <c r="ED109"/>
  <c r="EY109" s="1"/>
  <c r="FO108"/>
  <c r="GL109"/>
  <c r="BB107"/>
  <c r="HV108"/>
  <c r="HT108"/>
  <c r="HR108"/>
  <c r="HP108"/>
  <c r="HL108"/>
  <c r="HI108"/>
  <c r="HW108"/>
  <c r="HU108"/>
  <c r="HS108"/>
  <c r="HQ108"/>
  <c r="HO108"/>
  <c r="HM108"/>
  <c r="FV108"/>
  <c r="FI108"/>
  <c r="FE108"/>
  <c r="BB111"/>
  <c r="FR110"/>
  <c r="FT110" s="1"/>
  <c r="FP110"/>
  <c r="FN110"/>
  <c r="HK110" s="1"/>
  <c r="FL110"/>
  <c r="EP110"/>
  <c r="EC110"/>
  <c r="CC110"/>
  <c r="BX110"/>
  <c r="D110"/>
  <c r="HF110"/>
  <c r="FH110"/>
  <c r="FF110"/>
  <c r="FD110"/>
  <c r="ET110"/>
  <c r="EH110"/>
  <c r="BN106"/>
  <c r="BX106"/>
  <c r="CC106"/>
  <c r="EC106"/>
  <c r="ED106" s="1"/>
  <c r="EP106"/>
  <c r="FL106"/>
  <c r="FN106"/>
  <c r="FP106"/>
  <c r="GK106"/>
  <c r="GU106" s="1"/>
  <c r="FU109"/>
  <c r="FT109" s="1"/>
  <c r="FJ109"/>
  <c r="FQ108"/>
  <c r="FM108"/>
  <c r="FG108"/>
  <c r="EB105"/>
  <c r="DZ105"/>
  <c r="DM105"/>
  <c r="DI105"/>
  <c r="CV105"/>
  <c r="CQ105"/>
  <c r="CJ105"/>
  <c r="BX105"/>
  <c r="BB105"/>
  <c r="FB105" s="1"/>
  <c r="GE105" s="1"/>
  <c r="AZ105"/>
  <c r="AW105"/>
  <c r="AV105"/>
  <c r="AP105"/>
  <c r="V105"/>
  <c r="B105"/>
  <c r="IF104"/>
  <c r="IL104" s="1"/>
  <c r="HZ104"/>
  <c r="HY104"/>
  <c r="HH104"/>
  <c r="HA104"/>
  <c r="GZ104"/>
  <c r="GY104"/>
  <c r="GX104"/>
  <c r="GV104"/>
  <c r="GU104"/>
  <c r="GP104"/>
  <c r="GW104" s="1"/>
  <c r="GB104"/>
  <c r="FS104"/>
  <c r="EB104"/>
  <c r="DZ104"/>
  <c r="DM104"/>
  <c r="CZ104"/>
  <c r="CX104"/>
  <c r="CW104"/>
  <c r="CJ104"/>
  <c r="AZ104"/>
  <c r="AW104"/>
  <c r="AV104"/>
  <c r="V104"/>
  <c r="B104"/>
  <c r="CV104" l="1"/>
  <c r="FJ106"/>
  <c r="LA108"/>
  <c r="LB108"/>
  <c r="JM106"/>
  <c r="JN106" s="1"/>
  <c r="HM109"/>
  <c r="HS109"/>
  <c r="IP111"/>
  <c r="IQ111" s="1"/>
  <c r="IP107"/>
  <c r="IQ107" s="1"/>
  <c r="IH104"/>
  <c r="HB104"/>
  <c r="FU110"/>
  <c r="AX104"/>
  <c r="FU106"/>
  <c r="FT106" s="1"/>
  <c r="AX105"/>
  <c r="ED110"/>
  <c r="EY110" s="1"/>
  <c r="DI104"/>
  <c r="BP105"/>
  <c r="CE105"/>
  <c r="CL105"/>
  <c r="EH105"/>
  <c r="D105"/>
  <c r="BN105"/>
  <c r="BU105"/>
  <c r="CC105"/>
  <c r="CN105"/>
  <c r="JM110"/>
  <c r="JN110" s="1"/>
  <c r="CB110"/>
  <c r="GK110" s="1"/>
  <c r="GU110" s="1"/>
  <c r="HJ110"/>
  <c r="HX109"/>
  <c r="JH109" s="1"/>
  <c r="FC106"/>
  <c r="FK106" s="1"/>
  <c r="EY106"/>
  <c r="GD105"/>
  <c r="GA105"/>
  <c r="IT105"/>
  <c r="GK105"/>
  <c r="GU105" s="1"/>
  <c r="HC105" s="1"/>
  <c r="JA105"/>
  <c r="IB105"/>
  <c r="HF105"/>
  <c r="FR105"/>
  <c r="GL105"/>
  <c r="FP105"/>
  <c r="FQ106"/>
  <c r="FM106"/>
  <c r="FH111"/>
  <c r="FF111"/>
  <c r="FD111"/>
  <c r="ET111"/>
  <c r="EH111"/>
  <c r="D111"/>
  <c r="HF111"/>
  <c r="FR111"/>
  <c r="FP111"/>
  <c r="FN111"/>
  <c r="HK111" s="1"/>
  <c r="FL111"/>
  <c r="EP111"/>
  <c r="EC111"/>
  <c r="CC111"/>
  <c r="BX111"/>
  <c r="FH107"/>
  <c r="FF107"/>
  <c r="FD107"/>
  <c r="ET107"/>
  <c r="EH107"/>
  <c r="BX107"/>
  <c r="CB107" s="1"/>
  <c r="BN107"/>
  <c r="HF107"/>
  <c r="FR107"/>
  <c r="FP107"/>
  <c r="FN107"/>
  <c r="HK107" s="1"/>
  <c r="FL107"/>
  <c r="EP107"/>
  <c r="EC107"/>
  <c r="CC107"/>
  <c r="BQ107"/>
  <c r="D107"/>
  <c r="BO105"/>
  <c r="BQ105"/>
  <c r="BV105"/>
  <c r="BY105"/>
  <c r="CD105"/>
  <c r="CI105"/>
  <c r="CK105"/>
  <c r="CM105"/>
  <c r="EC105"/>
  <c r="EP105"/>
  <c r="FD105"/>
  <c r="FF105"/>
  <c r="FH105"/>
  <c r="FJ105"/>
  <c r="FL105"/>
  <c r="FN105"/>
  <c r="FC109"/>
  <c r="HV106"/>
  <c r="HT106"/>
  <c r="HR106"/>
  <c r="HP106"/>
  <c r="HL106"/>
  <c r="HI106"/>
  <c r="HW106"/>
  <c r="HU106"/>
  <c r="HQ106"/>
  <c r="HS106" s="1"/>
  <c r="HO106"/>
  <c r="HK106"/>
  <c r="HJ106" s="1"/>
  <c r="FO106"/>
  <c r="HV110"/>
  <c r="HT110"/>
  <c r="HR110"/>
  <c r="HP110"/>
  <c r="HL110"/>
  <c r="HI110"/>
  <c r="HW110"/>
  <c r="HU110"/>
  <c r="HQ110"/>
  <c r="HS110" s="1"/>
  <c r="HO110"/>
  <c r="HX108"/>
  <c r="IA108"/>
  <c r="CB105"/>
  <c r="ED105"/>
  <c r="FJ110"/>
  <c r="IH103"/>
  <c r="IF103"/>
  <c r="IL103" s="1"/>
  <c r="FU105" l="1"/>
  <c r="FT105" s="1"/>
  <c r="FC110"/>
  <c r="FK110" s="1"/>
  <c r="KX105"/>
  <c r="KV105"/>
  <c r="KT105"/>
  <c r="KY105"/>
  <c r="KU105"/>
  <c r="JN105"/>
  <c r="KQ105"/>
  <c r="KR105"/>
  <c r="GL110"/>
  <c r="HM110"/>
  <c r="HM106"/>
  <c r="IA109"/>
  <c r="HJ107"/>
  <c r="FU107"/>
  <c r="FT107" s="1"/>
  <c r="FJ107"/>
  <c r="CB111"/>
  <c r="GK111" s="1"/>
  <c r="GU111" s="1"/>
  <c r="HJ111"/>
  <c r="FU111"/>
  <c r="FT111" s="1"/>
  <c r="JM111"/>
  <c r="JN111" s="1"/>
  <c r="IJ103"/>
  <c r="JM107"/>
  <c r="JN107" s="1"/>
  <c r="HX106"/>
  <c r="JH106" s="1"/>
  <c r="FB109"/>
  <c r="GE109" s="1"/>
  <c r="FI109"/>
  <c r="FE109"/>
  <c r="FG109"/>
  <c r="FM109"/>
  <c r="FQ109"/>
  <c r="FO109"/>
  <c r="FB110"/>
  <c r="GE110" s="1"/>
  <c r="FO110"/>
  <c r="HB105"/>
  <c r="HD105" s="1"/>
  <c r="IY105"/>
  <c r="IZ105" s="1"/>
  <c r="FC105"/>
  <c r="FM105" s="1"/>
  <c r="ED111"/>
  <c r="EY111" s="1"/>
  <c r="HV107"/>
  <c r="HT107"/>
  <c r="HR107"/>
  <c r="HP107"/>
  <c r="HL107"/>
  <c r="HI107"/>
  <c r="HW107"/>
  <c r="HU107"/>
  <c r="HQ107"/>
  <c r="HS107" s="1"/>
  <c r="HO107"/>
  <c r="HV111"/>
  <c r="HT111"/>
  <c r="HR111"/>
  <c r="HP111"/>
  <c r="HL111"/>
  <c r="HI111"/>
  <c r="HW111"/>
  <c r="HU111"/>
  <c r="HQ111"/>
  <c r="HS111" s="1"/>
  <c r="HO111"/>
  <c r="HV105"/>
  <c r="HR105"/>
  <c r="HN105"/>
  <c r="HW105"/>
  <c r="HS105"/>
  <c r="HQ105"/>
  <c r="FB106"/>
  <c r="GE106" s="1"/>
  <c r="FI106"/>
  <c r="FE106"/>
  <c r="FG106"/>
  <c r="ED107"/>
  <c r="EY107" s="1"/>
  <c r="FJ111"/>
  <c r="FK109"/>
  <c r="HZ103"/>
  <c r="HY103"/>
  <c r="HH103"/>
  <c r="HA103"/>
  <c r="GZ103"/>
  <c r="GY103"/>
  <c r="GW103"/>
  <c r="GV103"/>
  <c r="GQ103"/>
  <c r="GU103" s="1"/>
  <c r="FS103"/>
  <c r="EB103"/>
  <c r="DP103"/>
  <c r="DM103" s="1"/>
  <c r="CV103"/>
  <c r="CJ103"/>
  <c r="BB103"/>
  <c r="A103"/>
  <c r="HX110" l="1"/>
  <c r="JH110" s="1"/>
  <c r="IM109"/>
  <c r="FM110"/>
  <c r="FI110"/>
  <c r="FQ105"/>
  <c r="FG105"/>
  <c r="IX105"/>
  <c r="JE105" s="1"/>
  <c r="FG110"/>
  <c r="FQ110"/>
  <c r="FE110"/>
  <c r="LA105"/>
  <c r="LB105"/>
  <c r="DZ103"/>
  <c r="HF103"/>
  <c r="IP103"/>
  <c r="D103"/>
  <c r="FC107"/>
  <c r="FK107" s="1"/>
  <c r="GL111"/>
  <c r="IA110"/>
  <c r="HM111"/>
  <c r="FK105"/>
  <c r="IA106"/>
  <c r="GX103"/>
  <c r="DI103"/>
  <c r="FQ107"/>
  <c r="HM107"/>
  <c r="FV105"/>
  <c r="GC105"/>
  <c r="FI105"/>
  <c r="FE105"/>
  <c r="FO105"/>
  <c r="BQ103"/>
  <c r="EH103"/>
  <c r="FD103"/>
  <c r="FF103"/>
  <c r="FH103"/>
  <c r="FM107"/>
  <c r="FC111"/>
  <c r="FK111" s="1"/>
  <c r="BB104"/>
  <c r="JD105"/>
  <c r="FB107"/>
  <c r="GE107" s="1"/>
  <c r="FI107"/>
  <c r="FE107"/>
  <c r="FG107"/>
  <c r="BN103"/>
  <c r="BX103"/>
  <c r="EC103"/>
  <c r="FL103"/>
  <c r="FN103"/>
  <c r="HK103" s="1"/>
  <c r="FP103"/>
  <c r="FR103"/>
  <c r="FO107"/>
  <c r="IM102"/>
  <c r="IH102"/>
  <c r="IF102"/>
  <c r="IA102"/>
  <c r="HZ102"/>
  <c r="HY102"/>
  <c r="HX102"/>
  <c r="HA102"/>
  <c r="GZ102"/>
  <c r="GY102"/>
  <c r="GW102"/>
  <c r="GV102"/>
  <c r="GQ102"/>
  <c r="GX102" s="1"/>
  <c r="GB102"/>
  <c r="FS102"/>
  <c r="EB102"/>
  <c r="DZ102"/>
  <c r="DM102"/>
  <c r="DI102"/>
  <c r="CV102"/>
  <c r="CJ102"/>
  <c r="BB102"/>
  <c r="D102" s="1"/>
  <c r="JY102" s="1"/>
  <c r="AZ102"/>
  <c r="AW102"/>
  <c r="AV102"/>
  <c r="V102"/>
  <c r="B102"/>
  <c r="IF101"/>
  <c r="IL101" s="1"/>
  <c r="HZ101"/>
  <c r="HY101"/>
  <c r="HH101"/>
  <c r="HA101"/>
  <c r="GZ101"/>
  <c r="GY101"/>
  <c r="GX101"/>
  <c r="GV101"/>
  <c r="GU101"/>
  <c r="GP101"/>
  <c r="IH101" s="1"/>
  <c r="GB101"/>
  <c r="FS101"/>
  <c r="EB101"/>
  <c r="ED101" s="1"/>
  <c r="DZ101"/>
  <c r="DM101"/>
  <c r="CZ101"/>
  <c r="CX101"/>
  <c r="CW101"/>
  <c r="CV101"/>
  <c r="CJ101"/>
  <c r="AZ101"/>
  <c r="AW101"/>
  <c r="AV101"/>
  <c r="V101"/>
  <c r="B101"/>
  <c r="IH100"/>
  <c r="IF100"/>
  <c r="IL100" s="1"/>
  <c r="HX107" l="1"/>
  <c r="JH107" s="1"/>
  <c r="HX111"/>
  <c r="JH111" s="1"/>
  <c r="IM106"/>
  <c r="IM110"/>
  <c r="JM103"/>
  <c r="JN103" s="1"/>
  <c r="KX102"/>
  <c r="KV102"/>
  <c r="KT102"/>
  <c r="KY102"/>
  <c r="KU102"/>
  <c r="AP102"/>
  <c r="GW101"/>
  <c r="IJ100"/>
  <c r="IJ102"/>
  <c r="JN102"/>
  <c r="KR102"/>
  <c r="KQ102"/>
  <c r="HB101"/>
  <c r="IL102"/>
  <c r="AX102"/>
  <c r="FU103"/>
  <c r="FT103" s="1"/>
  <c r="FJ103"/>
  <c r="IA107"/>
  <c r="IA111"/>
  <c r="DI101"/>
  <c r="AX101"/>
  <c r="GA102"/>
  <c r="IT102"/>
  <c r="JA102"/>
  <c r="HF104"/>
  <c r="FR104"/>
  <c r="FT104" s="1"/>
  <c r="FP104"/>
  <c r="FN104"/>
  <c r="HK104" s="1"/>
  <c r="HJ104" s="1"/>
  <c r="FL104"/>
  <c r="FH104"/>
  <c r="FF104"/>
  <c r="FD104"/>
  <c r="EP104"/>
  <c r="EC104"/>
  <c r="BX104"/>
  <c r="BN104"/>
  <c r="EH104"/>
  <c r="BQ104"/>
  <c r="D104"/>
  <c r="BN102"/>
  <c r="BP102"/>
  <c r="BU102"/>
  <c r="BX102"/>
  <c r="CC102"/>
  <c r="CE102"/>
  <c r="CL102"/>
  <c r="CN102"/>
  <c r="EH102"/>
  <c r="ED102" s="1"/>
  <c r="FB102"/>
  <c r="GE102" s="1"/>
  <c r="FF102"/>
  <c r="FJ102"/>
  <c r="FP102"/>
  <c r="GD102"/>
  <c r="GK102"/>
  <c r="GU102" s="1"/>
  <c r="HF102"/>
  <c r="ED103"/>
  <c r="FC103" s="1"/>
  <c r="JF102"/>
  <c r="HW103"/>
  <c r="HI103"/>
  <c r="HV103"/>
  <c r="HQ103"/>
  <c r="FB111"/>
  <c r="GE111" s="1"/>
  <c r="FI111"/>
  <c r="FE111"/>
  <c r="FG111"/>
  <c r="FM111"/>
  <c r="FO111"/>
  <c r="FQ111"/>
  <c r="BO102"/>
  <c r="BQ102"/>
  <c r="BV102"/>
  <c r="BY102"/>
  <c r="CD102"/>
  <c r="CI102"/>
  <c r="CK102"/>
  <c r="CM102"/>
  <c r="EP102"/>
  <c r="FD102"/>
  <c r="FH102"/>
  <c r="FL102"/>
  <c r="FN102"/>
  <c r="FR102"/>
  <c r="GL102"/>
  <c r="IB102"/>
  <c r="IN102"/>
  <c r="IO102" s="1"/>
  <c r="HJ103"/>
  <c r="HZ100"/>
  <c r="HY100"/>
  <c r="HH100"/>
  <c r="HA100"/>
  <c r="GZ100"/>
  <c r="GY100"/>
  <c r="GW100"/>
  <c r="GV100"/>
  <c r="GQ100"/>
  <c r="GX100" s="1"/>
  <c r="FS100"/>
  <c r="EB100"/>
  <c r="DP100"/>
  <c r="DM100" s="1"/>
  <c r="CV100"/>
  <c r="CJ100"/>
  <c r="BB100"/>
  <c r="A100"/>
  <c r="IU99"/>
  <c r="IA99"/>
  <c r="HZ99"/>
  <c r="HY99"/>
  <c r="HX99"/>
  <c r="HA99"/>
  <c r="GZ99"/>
  <c r="GY99"/>
  <c r="GW99"/>
  <c r="GV99"/>
  <c r="GQ99"/>
  <c r="GX99" s="1"/>
  <c r="GB99"/>
  <c r="FS99"/>
  <c r="EB99"/>
  <c r="DZ99"/>
  <c r="DM99"/>
  <c r="DI99"/>
  <c r="CV99"/>
  <c r="BB99"/>
  <c r="HF99" s="1"/>
  <c r="AZ99"/>
  <c r="AW99"/>
  <c r="AV99"/>
  <c r="AP99"/>
  <c r="V99"/>
  <c r="GA99" s="1"/>
  <c r="D99"/>
  <c r="JY99" s="1"/>
  <c r="B99"/>
  <c r="IF98"/>
  <c r="IL98" s="1"/>
  <c r="HZ98"/>
  <c r="HY98"/>
  <c r="HH98"/>
  <c r="HA98"/>
  <c r="GZ98"/>
  <c r="GY98"/>
  <c r="GX98"/>
  <c r="GV98"/>
  <c r="GU98"/>
  <c r="GP98"/>
  <c r="IH98" s="1"/>
  <c r="GB98"/>
  <c r="FS98"/>
  <c r="EB98"/>
  <c r="DZ98"/>
  <c r="DM98"/>
  <c r="CZ98"/>
  <c r="CX98"/>
  <c r="CJ98"/>
  <c r="B98"/>
  <c r="IF97"/>
  <c r="IL97" s="1"/>
  <c r="HZ97"/>
  <c r="HY97"/>
  <c r="HH97"/>
  <c r="HA97"/>
  <c r="GZ97"/>
  <c r="GY97"/>
  <c r="GX97"/>
  <c r="GV97"/>
  <c r="GU97"/>
  <c r="GP97"/>
  <c r="IH97" s="1"/>
  <c r="GB97"/>
  <c r="FS97"/>
  <c r="EB97"/>
  <c r="ED97" s="1"/>
  <c r="DZ97"/>
  <c r="DM97"/>
  <c r="CZ97"/>
  <c r="CX97"/>
  <c r="CW97"/>
  <c r="CJ97"/>
  <c r="AZ97"/>
  <c r="AW97"/>
  <c r="AV97"/>
  <c r="V97"/>
  <c r="GD98" s="1"/>
  <c r="B97"/>
  <c r="IH96"/>
  <c r="IF96"/>
  <c r="IL96" s="1"/>
  <c r="HZ96"/>
  <c r="HY96"/>
  <c r="HH96"/>
  <c r="HA96"/>
  <c r="GZ96"/>
  <c r="GY96"/>
  <c r="GW96"/>
  <c r="GV96"/>
  <c r="GQ96"/>
  <c r="GU96" s="1"/>
  <c r="FS96"/>
  <c r="EB96"/>
  <c r="DP96"/>
  <c r="DM96" s="1"/>
  <c r="CV96"/>
  <c r="CJ96"/>
  <c r="BB96"/>
  <c r="A96"/>
  <c r="IM95"/>
  <c r="IH95"/>
  <c r="IF95"/>
  <c r="IA95"/>
  <c r="HZ95"/>
  <c r="HY95"/>
  <c r="HX95"/>
  <c r="HA95"/>
  <c r="GZ95"/>
  <c r="GY95"/>
  <c r="GW95"/>
  <c r="GV95"/>
  <c r="GQ95"/>
  <c r="GX95" s="1"/>
  <c r="GB95"/>
  <c r="FS95"/>
  <c r="EB95"/>
  <c r="DZ95"/>
  <c r="DM95"/>
  <c r="DI95"/>
  <c r="CV95"/>
  <c r="CQ95"/>
  <c r="BB95"/>
  <c r="JA95" s="1"/>
  <c r="AZ95"/>
  <c r="AW95"/>
  <c r="AV95"/>
  <c r="AP95"/>
  <c r="V95"/>
  <c r="D95"/>
  <c r="B95"/>
  <c r="IF94"/>
  <c r="IL94" s="1"/>
  <c r="HZ94"/>
  <c r="HY94"/>
  <c r="HH94"/>
  <c r="HA94"/>
  <c r="GZ94"/>
  <c r="GY94"/>
  <c r="GX94"/>
  <c r="GV94"/>
  <c r="GU94"/>
  <c r="GP94"/>
  <c r="IH94" s="1"/>
  <c r="GB94"/>
  <c r="FS94"/>
  <c r="EB94"/>
  <c r="ED94" s="1"/>
  <c r="DZ94"/>
  <c r="DM94"/>
  <c r="CZ94"/>
  <c r="CW94"/>
  <c r="CJ94"/>
  <c r="AZ94"/>
  <c r="AW94"/>
  <c r="AV94"/>
  <c r="V94"/>
  <c r="B94"/>
  <c r="IH93"/>
  <c r="IF93"/>
  <c r="IL93" s="1"/>
  <c r="IM111" l="1"/>
  <c r="IM107"/>
  <c r="CV94"/>
  <c r="HB94"/>
  <c r="KY95"/>
  <c r="KU95"/>
  <c r="KX95"/>
  <c r="KV95"/>
  <c r="KT95"/>
  <c r="KX99"/>
  <c r="KV99"/>
  <c r="KT99"/>
  <c r="KS99"/>
  <c r="KY99"/>
  <c r="KU99"/>
  <c r="LB102"/>
  <c r="CV97"/>
  <c r="HB97"/>
  <c r="CV98"/>
  <c r="HB98"/>
  <c r="DZ100"/>
  <c r="FC102"/>
  <c r="FK102" s="1"/>
  <c r="DZ96"/>
  <c r="IJ96"/>
  <c r="IP96" s="1"/>
  <c r="IP100"/>
  <c r="BB97"/>
  <c r="BB98" s="1"/>
  <c r="AX97"/>
  <c r="IL95"/>
  <c r="JN95"/>
  <c r="KR95"/>
  <c r="JN99"/>
  <c r="KQ99"/>
  <c r="KR99"/>
  <c r="IJ93"/>
  <c r="IJ95"/>
  <c r="GU100"/>
  <c r="FU102"/>
  <c r="FT102" s="1"/>
  <c r="ED104"/>
  <c r="EY104" s="1"/>
  <c r="FU104"/>
  <c r="DI98"/>
  <c r="FJ104"/>
  <c r="GX96"/>
  <c r="AX94"/>
  <c r="DI94"/>
  <c r="GW94"/>
  <c r="AX95"/>
  <c r="D96"/>
  <c r="DI96"/>
  <c r="DI97"/>
  <c r="GW97"/>
  <c r="GW98"/>
  <c r="AX99"/>
  <c r="D100"/>
  <c r="DI100"/>
  <c r="ED100"/>
  <c r="FV102"/>
  <c r="FF97"/>
  <c r="BN97"/>
  <c r="FH97"/>
  <c r="GA95"/>
  <c r="FI103"/>
  <c r="FE103"/>
  <c r="FG103"/>
  <c r="FK103"/>
  <c r="FM103"/>
  <c r="FQ103"/>
  <c r="FO103"/>
  <c r="FQ102"/>
  <c r="HV102"/>
  <c r="HR102"/>
  <c r="HW102"/>
  <c r="HS102"/>
  <c r="HQ102"/>
  <c r="BN95"/>
  <c r="BP95"/>
  <c r="BU95"/>
  <c r="BX95"/>
  <c r="CC95"/>
  <c r="CE95"/>
  <c r="CK95"/>
  <c r="CM95"/>
  <c r="EH95"/>
  <c r="ED95" s="1"/>
  <c r="FB95"/>
  <c r="FF95"/>
  <c r="FJ95"/>
  <c r="FP95"/>
  <c r="GD95"/>
  <c r="GL95"/>
  <c r="IB95"/>
  <c r="IN95"/>
  <c r="IO95" s="1"/>
  <c r="IT95"/>
  <c r="BN96"/>
  <c r="BX96"/>
  <c r="EH96"/>
  <c r="FD96"/>
  <c r="FF96"/>
  <c r="FP96"/>
  <c r="FR96"/>
  <c r="HF96"/>
  <c r="GA98"/>
  <c r="BO99"/>
  <c r="BQ99"/>
  <c r="BV99"/>
  <c r="BY99"/>
  <c r="CD99"/>
  <c r="CK99"/>
  <c r="CI99" s="1"/>
  <c r="CM99"/>
  <c r="EP99"/>
  <c r="FD99"/>
  <c r="FH99"/>
  <c r="FL99"/>
  <c r="FN99"/>
  <c r="FR99"/>
  <c r="FT99" s="1"/>
  <c r="GD99"/>
  <c r="GK99"/>
  <c r="GU99" s="1"/>
  <c r="IB99"/>
  <c r="BQ100"/>
  <c r="EH100"/>
  <c r="FD100"/>
  <c r="FH100"/>
  <c r="FL100"/>
  <c r="FP100"/>
  <c r="FR100"/>
  <c r="FM102"/>
  <c r="CB102"/>
  <c r="LA102" s="1"/>
  <c r="BB101"/>
  <c r="EK103"/>
  <c r="EI103"/>
  <c r="EJ103"/>
  <c r="HW104"/>
  <c r="HU104"/>
  <c r="HQ104"/>
  <c r="HV104"/>
  <c r="HT104"/>
  <c r="HR104"/>
  <c r="HL104"/>
  <c r="HI104"/>
  <c r="BO95"/>
  <c r="BQ95"/>
  <c r="BV95"/>
  <c r="BY95"/>
  <c r="CD95"/>
  <c r="CI95"/>
  <c r="CL95"/>
  <c r="CN95"/>
  <c r="EP95"/>
  <c r="FD95"/>
  <c r="FH95"/>
  <c r="FL95"/>
  <c r="FN95"/>
  <c r="FR95"/>
  <c r="GK95"/>
  <c r="GU95" s="1"/>
  <c r="HF95"/>
  <c r="BQ96"/>
  <c r="FH96"/>
  <c r="FL96"/>
  <c r="FN96"/>
  <c r="HK96" s="1"/>
  <c r="HJ96" s="1"/>
  <c r="BN99"/>
  <c r="BP99"/>
  <c r="BU99"/>
  <c r="BX99"/>
  <c r="CC99"/>
  <c r="CE99"/>
  <c r="CL99"/>
  <c r="CN99"/>
  <c r="EH99"/>
  <c r="ED99" s="1"/>
  <c r="FB99"/>
  <c r="GE99" s="1"/>
  <c r="FF99"/>
  <c r="FJ99"/>
  <c r="FP99"/>
  <c r="GL99"/>
  <c r="IW99"/>
  <c r="BN100"/>
  <c r="BX100"/>
  <c r="FF100"/>
  <c r="FN100"/>
  <c r="HF100"/>
  <c r="FO102"/>
  <c r="HZ93"/>
  <c r="HY93"/>
  <c r="HH93"/>
  <c r="HA93"/>
  <c r="GZ93"/>
  <c r="GY93"/>
  <c r="GW93"/>
  <c r="GV93"/>
  <c r="GQ93"/>
  <c r="GX93" s="1"/>
  <c r="FS93"/>
  <c r="EB93"/>
  <c r="ED93" s="1"/>
  <c r="DZ93"/>
  <c r="DM93"/>
  <c r="CV93"/>
  <c r="CJ93"/>
  <c r="AZ93"/>
  <c r="AW93"/>
  <c r="AV93"/>
  <c r="V93"/>
  <c r="GA94" s="1"/>
  <c r="B93"/>
  <c r="IH92"/>
  <c r="IF92"/>
  <c r="IL92" s="1"/>
  <c r="HZ92"/>
  <c r="HY92"/>
  <c r="HH92"/>
  <c r="HA92"/>
  <c r="GZ92"/>
  <c r="GY92"/>
  <c r="GW92"/>
  <c r="GV92"/>
  <c r="GQ92"/>
  <c r="GU92" s="1"/>
  <c r="FS92"/>
  <c r="EB92"/>
  <c r="DZ92"/>
  <c r="DM92"/>
  <c r="CV92"/>
  <c r="CJ92"/>
  <c r="BB92"/>
  <c r="A92"/>
  <c r="IM91"/>
  <c r="IH91"/>
  <c r="IF91"/>
  <c r="IA91"/>
  <c r="IW91" s="1"/>
  <c r="HZ91"/>
  <c r="HY91"/>
  <c r="HX91"/>
  <c r="HA91"/>
  <c r="GZ91"/>
  <c r="GY91"/>
  <c r="GW91"/>
  <c r="GV91"/>
  <c r="GQ91"/>
  <c r="GX91" s="1"/>
  <c r="GB91"/>
  <c r="FS91"/>
  <c r="EB91"/>
  <c r="DZ91"/>
  <c r="DM91"/>
  <c r="DI91"/>
  <c r="CV91"/>
  <c r="CQ91"/>
  <c r="BB91"/>
  <c r="HF91" s="1"/>
  <c r="AZ91"/>
  <c r="AW91"/>
  <c r="AV91"/>
  <c r="AP91"/>
  <c r="V91"/>
  <c r="GD91" s="1"/>
  <c r="D91"/>
  <c r="JY91" s="1"/>
  <c r="B91"/>
  <c r="IF90"/>
  <c r="IL90" s="1"/>
  <c r="BQ97" l="1"/>
  <c r="FP97"/>
  <c r="EP97"/>
  <c r="HF97"/>
  <c r="FI102"/>
  <c r="FC95"/>
  <c r="FV95" s="1"/>
  <c r="FC104"/>
  <c r="GC104" s="1"/>
  <c r="FE102"/>
  <c r="FC100"/>
  <c r="D97"/>
  <c r="EH97"/>
  <c r="EY97" s="1"/>
  <c r="FL97"/>
  <c r="FR97"/>
  <c r="HV97" s="1"/>
  <c r="BX97"/>
  <c r="FD97"/>
  <c r="FJ97" s="1"/>
  <c r="FK97" s="1"/>
  <c r="FN97"/>
  <c r="GC102"/>
  <c r="FG102"/>
  <c r="KR91"/>
  <c r="KX91"/>
  <c r="KV91"/>
  <c r="KT91"/>
  <c r="KY91"/>
  <c r="KU91"/>
  <c r="KS91"/>
  <c r="LB95"/>
  <c r="LB99"/>
  <c r="IJ91"/>
  <c r="DI92"/>
  <c r="IJ92"/>
  <c r="IP92" s="1"/>
  <c r="DI93"/>
  <c r="BB93"/>
  <c r="BB94" s="1"/>
  <c r="AX93"/>
  <c r="IL91"/>
  <c r="IN91" s="1"/>
  <c r="IO91" s="1"/>
  <c r="GU93"/>
  <c r="FE100"/>
  <c r="FQ100"/>
  <c r="D92"/>
  <c r="FJ100"/>
  <c r="FI100" s="1"/>
  <c r="FU95"/>
  <c r="FT95" s="1"/>
  <c r="HM104"/>
  <c r="FU100"/>
  <c r="JF91"/>
  <c r="JN91"/>
  <c r="GX92"/>
  <c r="AX91"/>
  <c r="FG95"/>
  <c r="HS104"/>
  <c r="EP103"/>
  <c r="ET103" s="1"/>
  <c r="EY103" s="1"/>
  <c r="FB103" s="1"/>
  <c r="FC99"/>
  <c r="FE99" s="1"/>
  <c r="JM96"/>
  <c r="JN96" s="1"/>
  <c r="GC95"/>
  <c r="JM100"/>
  <c r="JN100" s="1"/>
  <c r="FR93"/>
  <c r="FT93" s="1"/>
  <c r="EH93"/>
  <c r="FN93"/>
  <c r="HK93" s="1"/>
  <c r="D93"/>
  <c r="FM100"/>
  <c r="HK100"/>
  <c r="HJ100" s="1"/>
  <c r="FB104"/>
  <c r="GE104" s="1"/>
  <c r="FI104"/>
  <c r="HW100"/>
  <c r="HV100"/>
  <c r="HQ100"/>
  <c r="HI100"/>
  <c r="EK100"/>
  <c r="EI100"/>
  <c r="EJ100"/>
  <c r="HV96"/>
  <c r="HQ96"/>
  <c r="HI96"/>
  <c r="HW96"/>
  <c r="HK97"/>
  <c r="HJ97" s="1"/>
  <c r="BO91"/>
  <c r="BQ91"/>
  <c r="BV91"/>
  <c r="BY91"/>
  <c r="CD91"/>
  <c r="CI91"/>
  <c r="CL91"/>
  <c r="CN91"/>
  <c r="EP91"/>
  <c r="FD91"/>
  <c r="FH91"/>
  <c r="FL91"/>
  <c r="FN91"/>
  <c r="FR91"/>
  <c r="GA91"/>
  <c r="GL91"/>
  <c r="IB91"/>
  <c r="IT91"/>
  <c r="IU91" s="1"/>
  <c r="JA91"/>
  <c r="JH91"/>
  <c r="BQ92"/>
  <c r="EH92"/>
  <c r="FD92"/>
  <c r="FF92"/>
  <c r="FP92"/>
  <c r="FR92"/>
  <c r="FT92" s="1"/>
  <c r="FU99"/>
  <c r="CB99"/>
  <c r="LA99" s="1"/>
  <c r="FG99"/>
  <c r="FE95"/>
  <c r="CB95"/>
  <c r="LA95" s="1"/>
  <c r="FT100"/>
  <c r="GD94"/>
  <c r="FQ95"/>
  <c r="HW95"/>
  <c r="HS95"/>
  <c r="HQ95"/>
  <c r="HV95"/>
  <c r="HR95"/>
  <c r="FN101"/>
  <c r="FF101"/>
  <c r="FD101"/>
  <c r="EP101"/>
  <c r="FY101" s="1"/>
  <c r="BX101"/>
  <c r="BN101"/>
  <c r="HF101"/>
  <c r="FR101"/>
  <c r="FT101" s="1"/>
  <c r="FP101"/>
  <c r="FL101"/>
  <c r="FH101"/>
  <c r="EH101"/>
  <c r="EY101" s="1"/>
  <c r="BQ101"/>
  <c r="D101"/>
  <c r="FQ99"/>
  <c r="HW99"/>
  <c r="HS99"/>
  <c r="HQ99"/>
  <c r="HV99"/>
  <c r="HR99"/>
  <c r="ED96"/>
  <c r="EK96" s="1"/>
  <c r="GE95"/>
  <c r="GF95"/>
  <c r="HU97"/>
  <c r="HR97"/>
  <c r="FC97"/>
  <c r="HF98"/>
  <c r="FR98"/>
  <c r="FT98" s="1"/>
  <c r="FP98"/>
  <c r="FF98"/>
  <c r="FD98"/>
  <c r="EP98"/>
  <c r="BX98"/>
  <c r="FN98"/>
  <c r="HK98" s="1"/>
  <c r="FL98"/>
  <c r="FH98"/>
  <c r="EH98"/>
  <c r="ED98" s="1"/>
  <c r="D98"/>
  <c r="BN91"/>
  <c r="BP91"/>
  <c r="BU91"/>
  <c r="BX91"/>
  <c r="CC91"/>
  <c r="CE91"/>
  <c r="CK91"/>
  <c r="CM91"/>
  <c r="EH91"/>
  <c r="ED91" s="1"/>
  <c r="FB91"/>
  <c r="GE91" s="1"/>
  <c r="FF91"/>
  <c r="FJ91"/>
  <c r="FP91"/>
  <c r="GK91"/>
  <c r="GU91" s="1"/>
  <c r="IC91"/>
  <c r="BN92"/>
  <c r="BX92"/>
  <c r="FH92"/>
  <c r="FL92"/>
  <c r="FN92"/>
  <c r="HK92" s="1"/>
  <c r="HF92"/>
  <c r="FO100"/>
  <c r="FG100"/>
  <c r="FK99"/>
  <c r="FU96"/>
  <c r="FT96" s="1"/>
  <c r="FJ96"/>
  <c r="FI95"/>
  <c r="FK104"/>
  <c r="HZ90"/>
  <c r="HY90"/>
  <c r="HH90"/>
  <c r="HA90"/>
  <c r="GZ90"/>
  <c r="GY90"/>
  <c r="GX90"/>
  <c r="GV90"/>
  <c r="GU90"/>
  <c r="GP90"/>
  <c r="IH90" s="1"/>
  <c r="GB90"/>
  <c r="FS90"/>
  <c r="EE90"/>
  <c r="EB90"/>
  <c r="DZ90"/>
  <c r="DM90"/>
  <c r="CZ90"/>
  <c r="CX90"/>
  <c r="CJ90"/>
  <c r="B90"/>
  <c r="IF89"/>
  <c r="IL89" s="1"/>
  <c r="HI97" l="1"/>
  <c r="FM104"/>
  <c r="JM92"/>
  <c r="JN92" s="1"/>
  <c r="JM97"/>
  <c r="JN97" s="1"/>
  <c r="FQ97"/>
  <c r="FU97"/>
  <c r="FT97" s="1"/>
  <c r="FK100"/>
  <c r="FO104"/>
  <c r="HL97"/>
  <c r="HT97"/>
  <c r="HQ97"/>
  <c r="HW97"/>
  <c r="FG104"/>
  <c r="FQ104"/>
  <c r="FE104"/>
  <c r="FH93"/>
  <c r="BN93"/>
  <c r="FF93"/>
  <c r="CV90"/>
  <c r="DI90" s="1"/>
  <c r="FO95"/>
  <c r="FO97"/>
  <c r="FM95"/>
  <c r="BQ93"/>
  <c r="FL93"/>
  <c r="HF93"/>
  <c r="BX93"/>
  <c r="FD93"/>
  <c r="FP93"/>
  <c r="FK95"/>
  <c r="LB91"/>
  <c r="IP93"/>
  <c r="ED90"/>
  <c r="HB90"/>
  <c r="EI96"/>
  <c r="FU92"/>
  <c r="HJ98"/>
  <c r="HS97"/>
  <c r="HJ93"/>
  <c r="FC96"/>
  <c r="FK96" s="1"/>
  <c r="GW90"/>
  <c r="FI97"/>
  <c r="FI96"/>
  <c r="HJ92"/>
  <c r="FE97"/>
  <c r="HM97"/>
  <c r="EJ96"/>
  <c r="EP96" s="1"/>
  <c r="FU91"/>
  <c r="FT91" s="1"/>
  <c r="FC91"/>
  <c r="JM93"/>
  <c r="JN93" s="1"/>
  <c r="GC99"/>
  <c r="FV99"/>
  <c r="FM99"/>
  <c r="FO99"/>
  <c r="FB97"/>
  <c r="GE97" s="1"/>
  <c r="GC97"/>
  <c r="FM97"/>
  <c r="FG97"/>
  <c r="FI99"/>
  <c r="HV98"/>
  <c r="HT98"/>
  <c r="HQ98"/>
  <c r="HW98"/>
  <c r="HU98"/>
  <c r="HR98"/>
  <c r="HL98"/>
  <c r="HI98"/>
  <c r="FC101"/>
  <c r="HW92"/>
  <c r="HQ92"/>
  <c r="HV92"/>
  <c r="HI92"/>
  <c r="EJ93"/>
  <c r="EK93"/>
  <c r="EI93"/>
  <c r="FC93"/>
  <c r="HF94"/>
  <c r="FR94"/>
  <c r="FP94"/>
  <c r="FF94"/>
  <c r="FD94"/>
  <c r="EP94"/>
  <c r="FN94"/>
  <c r="HK94" s="1"/>
  <c r="HJ94" s="1"/>
  <c r="FL94"/>
  <c r="FH94"/>
  <c r="BQ94"/>
  <c r="D94"/>
  <c r="EH94"/>
  <c r="EY94" s="1"/>
  <c r="BX94"/>
  <c r="BN94"/>
  <c r="EU103"/>
  <c r="CB91"/>
  <c r="LA91" s="1"/>
  <c r="EY98"/>
  <c r="FJ101"/>
  <c r="FI101" s="1"/>
  <c r="FG91"/>
  <c r="GE103"/>
  <c r="FC98"/>
  <c r="FM98" s="1"/>
  <c r="GG95"/>
  <c r="HW101"/>
  <c r="HU101"/>
  <c r="HQ101"/>
  <c r="HP101" s="1"/>
  <c r="HL101"/>
  <c r="HI101"/>
  <c r="HV101"/>
  <c r="HT101"/>
  <c r="HR101"/>
  <c r="FZ101"/>
  <c r="HK101"/>
  <c r="HJ101" s="1"/>
  <c r="ED92"/>
  <c r="FC92" s="1"/>
  <c r="FQ91"/>
  <c r="HW91"/>
  <c r="HS91"/>
  <c r="HQ91"/>
  <c r="HV91"/>
  <c r="HR91"/>
  <c r="HW93"/>
  <c r="HI93"/>
  <c r="HV93"/>
  <c r="HQ93"/>
  <c r="FU98"/>
  <c r="FJ98"/>
  <c r="FI98" s="1"/>
  <c r="FO98"/>
  <c r="FU101"/>
  <c r="FJ92"/>
  <c r="FK91"/>
  <c r="EP100"/>
  <c r="FU93"/>
  <c r="HZ89"/>
  <c r="HY89"/>
  <c r="HH89"/>
  <c r="HA89"/>
  <c r="GZ89"/>
  <c r="GY89"/>
  <c r="GX89"/>
  <c r="GV89"/>
  <c r="GU89"/>
  <c r="GP89"/>
  <c r="IH89" s="1"/>
  <c r="GB89"/>
  <c r="FS89"/>
  <c r="EB89"/>
  <c r="ED89" s="1"/>
  <c r="DZ89"/>
  <c r="DM89"/>
  <c r="CZ89"/>
  <c r="CX89"/>
  <c r="CW89"/>
  <c r="CJ89"/>
  <c r="AZ89"/>
  <c r="AW89"/>
  <c r="AV89"/>
  <c r="V89"/>
  <c r="B89"/>
  <c r="IH88"/>
  <c r="IF88"/>
  <c r="IL88" s="1"/>
  <c r="HZ88"/>
  <c r="HY88"/>
  <c r="HH88"/>
  <c r="HA88"/>
  <c r="GZ88"/>
  <c r="GY88"/>
  <c r="GW88"/>
  <c r="GV88"/>
  <c r="GQ88"/>
  <c r="GX88" s="1"/>
  <c r="FS88"/>
  <c r="EB88"/>
  <c r="DP88"/>
  <c r="DM88" s="1"/>
  <c r="CV88"/>
  <c r="CJ88"/>
  <c r="BB88"/>
  <c r="A88"/>
  <c r="CV89" l="1"/>
  <c r="FJ93"/>
  <c r="FI93" s="1"/>
  <c r="FK101"/>
  <c r="GW89"/>
  <c r="FE98"/>
  <c r="DZ88"/>
  <c r="EI92"/>
  <c r="HF88"/>
  <c r="HB89"/>
  <c r="GU88"/>
  <c r="AX89"/>
  <c r="EJ92"/>
  <c r="EK92"/>
  <c r="HM101"/>
  <c r="HS101"/>
  <c r="HM98"/>
  <c r="FM92"/>
  <c r="FG92"/>
  <c r="FQ92"/>
  <c r="FE92"/>
  <c r="FO92"/>
  <c r="IJ88"/>
  <c r="IP88" s="1"/>
  <c r="DI89"/>
  <c r="FB101"/>
  <c r="GE101" s="1"/>
  <c r="GC101"/>
  <c r="D88"/>
  <c r="DI88"/>
  <c r="ED88"/>
  <c r="FM93"/>
  <c r="FI92"/>
  <c r="FM101"/>
  <c r="FB98"/>
  <c r="GE98" s="1"/>
  <c r="GC98"/>
  <c r="FO93"/>
  <c r="FQ93"/>
  <c r="FQ98"/>
  <c r="FE93"/>
  <c r="FE101"/>
  <c r="FG93"/>
  <c r="FV91"/>
  <c r="GC91"/>
  <c r="FM91"/>
  <c r="FG101"/>
  <c r="FQ101"/>
  <c r="FG98"/>
  <c r="FO91"/>
  <c r="FO101"/>
  <c r="FE91"/>
  <c r="FQ96"/>
  <c r="FM96"/>
  <c r="FG96"/>
  <c r="FE96"/>
  <c r="FO96"/>
  <c r="FI91"/>
  <c r="GA90"/>
  <c r="GD90"/>
  <c r="FC94"/>
  <c r="FG94" s="1"/>
  <c r="BN88"/>
  <c r="BX88"/>
  <c r="FH88"/>
  <c r="FL88"/>
  <c r="FN88"/>
  <c r="HK88" s="1"/>
  <c r="BB89"/>
  <c r="FK93"/>
  <c r="FK98"/>
  <c r="FJ94"/>
  <c r="FI94" s="1"/>
  <c r="FU94"/>
  <c r="FT94" s="1"/>
  <c r="HS98"/>
  <c r="ET100"/>
  <c r="EU100" s="1"/>
  <c r="ET96"/>
  <c r="EU96" s="1"/>
  <c r="HV94"/>
  <c r="HT94"/>
  <c r="HQ94"/>
  <c r="HW94"/>
  <c r="HU94"/>
  <c r="HR94"/>
  <c r="HL94"/>
  <c r="HI94"/>
  <c r="BQ88"/>
  <c r="EH88"/>
  <c r="FD88"/>
  <c r="FF88"/>
  <c r="FP88"/>
  <c r="FK92"/>
  <c r="FQ94"/>
  <c r="EP93"/>
  <c r="IM87"/>
  <c r="IH87"/>
  <c r="IF87"/>
  <c r="IA87"/>
  <c r="HZ87"/>
  <c r="HY87"/>
  <c r="HX87"/>
  <c r="HA87"/>
  <c r="GZ87"/>
  <c r="GY87"/>
  <c r="GW87"/>
  <c r="GV87"/>
  <c r="GQ87"/>
  <c r="GX87" s="1"/>
  <c r="GB87"/>
  <c r="FS87"/>
  <c r="EB87"/>
  <c r="DZ87"/>
  <c r="DM87"/>
  <c r="DI87"/>
  <c r="CV87"/>
  <c r="BB87"/>
  <c r="JA87" s="1"/>
  <c r="AZ87"/>
  <c r="AW87"/>
  <c r="AV87"/>
  <c r="V87"/>
  <c r="B87"/>
  <c r="IF86"/>
  <c r="IL86" s="1"/>
  <c r="HZ86"/>
  <c r="HY86"/>
  <c r="HH86"/>
  <c r="HA86"/>
  <c r="GZ86"/>
  <c r="GY86"/>
  <c r="GX86"/>
  <c r="GV86"/>
  <c r="GU86"/>
  <c r="GP86"/>
  <c r="IH86" s="1"/>
  <c r="GB86"/>
  <c r="FS86"/>
  <c r="EB86"/>
  <c r="ED86" s="1"/>
  <c r="DZ86"/>
  <c r="DM86"/>
  <c r="CZ86"/>
  <c r="CX86"/>
  <c r="CW86"/>
  <c r="CJ86"/>
  <c r="AZ86"/>
  <c r="AW86"/>
  <c r="AV86"/>
  <c r="V86"/>
  <c r="B86"/>
  <c r="IH85"/>
  <c r="IF85"/>
  <c r="IL85" s="1"/>
  <c r="FR88" l="1"/>
  <c r="EP92"/>
  <c r="IJ85"/>
  <c r="IJ87"/>
  <c r="FM94"/>
  <c r="FO94"/>
  <c r="FE94"/>
  <c r="HB86"/>
  <c r="CV86"/>
  <c r="D87"/>
  <c r="AX86"/>
  <c r="FJ88"/>
  <c r="EY100"/>
  <c r="FB100" s="1"/>
  <c r="GE100" s="1"/>
  <c r="AX87"/>
  <c r="JH87"/>
  <c r="JN87"/>
  <c r="DI86"/>
  <c r="GW86"/>
  <c r="IL87"/>
  <c r="IN87" s="1"/>
  <c r="IO87" s="1"/>
  <c r="FK94"/>
  <c r="FU88"/>
  <c r="FT88" s="1"/>
  <c r="HM94"/>
  <c r="GD87"/>
  <c r="FB94"/>
  <c r="GE94" s="1"/>
  <c r="GC94"/>
  <c r="JM88"/>
  <c r="JN88" s="1"/>
  <c r="ET93"/>
  <c r="EY93" s="1"/>
  <c r="FB93" s="1"/>
  <c r="ET92"/>
  <c r="EU92" s="1"/>
  <c r="FC88"/>
  <c r="FM88" s="1"/>
  <c r="EJ88"/>
  <c r="EK88"/>
  <c r="EI88"/>
  <c r="AP87"/>
  <c r="BO87"/>
  <c r="BQ87"/>
  <c r="BV87"/>
  <c r="BY87"/>
  <c r="CD87"/>
  <c r="CI87"/>
  <c r="CL87"/>
  <c r="CN87"/>
  <c r="EH87"/>
  <c r="ED87" s="1"/>
  <c r="FB87"/>
  <c r="GE87" s="1"/>
  <c r="FF87"/>
  <c r="FJ87"/>
  <c r="FP87"/>
  <c r="GA87"/>
  <c r="GL87"/>
  <c r="IB87"/>
  <c r="IT87"/>
  <c r="EY96"/>
  <c r="FB96" s="1"/>
  <c r="HJ88"/>
  <c r="HW88"/>
  <c r="HQ88"/>
  <c r="HV88"/>
  <c r="HI88"/>
  <c r="BB90"/>
  <c r="FR89"/>
  <c r="FP89"/>
  <c r="FL89"/>
  <c r="FH89"/>
  <c r="EH89"/>
  <c r="BQ89"/>
  <c r="D89"/>
  <c r="HF89"/>
  <c r="FN89"/>
  <c r="FF89"/>
  <c r="FD89"/>
  <c r="EP89"/>
  <c r="BX89"/>
  <c r="BN89"/>
  <c r="BN87"/>
  <c r="BP87"/>
  <c r="BU87"/>
  <c r="BX87"/>
  <c r="CC87"/>
  <c r="CE87"/>
  <c r="CK87"/>
  <c r="CM87"/>
  <c r="EP87"/>
  <c r="FD87"/>
  <c r="FC87" s="1"/>
  <c r="FH87"/>
  <c r="FL87"/>
  <c r="FN87"/>
  <c r="FR87"/>
  <c r="GK87"/>
  <c r="GU87" s="1"/>
  <c r="HF87"/>
  <c r="JF87"/>
  <c r="HS94"/>
  <c r="FK88"/>
  <c r="HZ85"/>
  <c r="HY85"/>
  <c r="HH85"/>
  <c r="HA85"/>
  <c r="GZ85"/>
  <c r="GY85"/>
  <c r="GW85"/>
  <c r="GV85"/>
  <c r="GQ85"/>
  <c r="GU85" s="1"/>
  <c r="FS85"/>
  <c r="EB85"/>
  <c r="DP85"/>
  <c r="DM85" s="1"/>
  <c r="CV85"/>
  <c r="CJ85"/>
  <c r="BB85"/>
  <c r="K85"/>
  <c r="A85"/>
  <c r="KG87" l="1"/>
  <c r="JY87"/>
  <c r="FK87"/>
  <c r="FQ88"/>
  <c r="FG88"/>
  <c r="KQ87"/>
  <c r="KY87"/>
  <c r="KU87"/>
  <c r="KX87"/>
  <c r="KV87"/>
  <c r="KT87"/>
  <c r="KR87"/>
  <c r="IP85"/>
  <c r="DZ85"/>
  <c r="FU87"/>
  <c r="EY89"/>
  <c r="EY92"/>
  <c r="FB92" s="1"/>
  <c r="GX85"/>
  <c r="GC87"/>
  <c r="FV87"/>
  <c r="JM89"/>
  <c r="JN89" s="1"/>
  <c r="D85"/>
  <c r="DI85"/>
  <c r="FT87"/>
  <c r="FG87"/>
  <c r="FE88"/>
  <c r="FO88"/>
  <c r="FI88"/>
  <c r="GE93"/>
  <c r="BB86"/>
  <c r="FC89"/>
  <c r="FE89" s="1"/>
  <c r="HV89"/>
  <c r="HT89"/>
  <c r="HR89"/>
  <c r="HL89"/>
  <c r="HI89"/>
  <c r="HW89"/>
  <c r="HU89"/>
  <c r="HQ89"/>
  <c r="FR90"/>
  <c r="FP90"/>
  <c r="FF90"/>
  <c r="FD90"/>
  <c r="EP90"/>
  <c r="FY90" s="1"/>
  <c r="D90"/>
  <c r="HF90"/>
  <c r="FN90"/>
  <c r="HK90" s="1"/>
  <c r="HJ90" s="1"/>
  <c r="FL90"/>
  <c r="FH90"/>
  <c r="EH90"/>
  <c r="EY90" s="1"/>
  <c r="BX90"/>
  <c r="GE96"/>
  <c r="GE92"/>
  <c r="BN85"/>
  <c r="BX85"/>
  <c r="EH85"/>
  <c r="FD85"/>
  <c r="FF85"/>
  <c r="FN85"/>
  <c r="HF85"/>
  <c r="FJ89"/>
  <c r="FI89" s="1"/>
  <c r="FM87"/>
  <c r="FE87"/>
  <c r="EU93"/>
  <c r="FQ87"/>
  <c r="HW87"/>
  <c r="HS87"/>
  <c r="HQ87"/>
  <c r="HV87"/>
  <c r="HR87"/>
  <c r="FM89"/>
  <c r="HK89"/>
  <c r="HJ89" s="1"/>
  <c r="BQ85"/>
  <c r="FH85"/>
  <c r="FL85"/>
  <c r="FP85"/>
  <c r="FR85"/>
  <c r="CB87"/>
  <c r="FG89"/>
  <c r="FO89"/>
  <c r="FU89"/>
  <c r="FT89" s="1"/>
  <c r="FO87"/>
  <c r="FI87"/>
  <c r="EP88"/>
  <c r="IM84"/>
  <c r="IH84"/>
  <c r="IF84"/>
  <c r="IA84"/>
  <c r="HZ84"/>
  <c r="HY84"/>
  <c r="HX84"/>
  <c r="HA84"/>
  <c r="GZ84"/>
  <c r="GY84"/>
  <c r="GW84"/>
  <c r="GV84"/>
  <c r="GQ84"/>
  <c r="GX84" s="1"/>
  <c r="GB84"/>
  <c r="FS84"/>
  <c r="EB84"/>
  <c r="DZ84"/>
  <c r="DM84"/>
  <c r="DI84"/>
  <c r="CV84"/>
  <c r="CQ84"/>
  <c r="BB84"/>
  <c r="IT84" s="1"/>
  <c r="AZ84"/>
  <c r="AW84"/>
  <c r="AV84"/>
  <c r="V84"/>
  <c r="B84"/>
  <c r="HS89" l="1"/>
  <c r="HM89"/>
  <c r="LA87"/>
  <c r="LB87"/>
  <c r="IL84"/>
  <c r="IN84" s="1"/>
  <c r="AX84"/>
  <c r="IJ84"/>
  <c r="D84"/>
  <c r="IV84" s="1"/>
  <c r="FU85"/>
  <c r="FT85"/>
  <c r="FJ85"/>
  <c r="FB89"/>
  <c r="GE89" s="1"/>
  <c r="GC89"/>
  <c r="FQ89"/>
  <c r="JM85"/>
  <c r="JN85" s="1"/>
  <c r="ET88"/>
  <c r="EU88" s="1"/>
  <c r="HK85"/>
  <c r="HJ85" s="1"/>
  <c r="HV90"/>
  <c r="HT90"/>
  <c r="HR90"/>
  <c r="HP90"/>
  <c r="HL90"/>
  <c r="HI90"/>
  <c r="HW90"/>
  <c r="HU90"/>
  <c r="HQ90"/>
  <c r="HF86"/>
  <c r="FN86"/>
  <c r="HK86" s="1"/>
  <c r="FL86"/>
  <c r="FH86"/>
  <c r="EH86"/>
  <c r="BQ86"/>
  <c r="FR86"/>
  <c r="FP86"/>
  <c r="FF86"/>
  <c r="FD86"/>
  <c r="EP86"/>
  <c r="BX86"/>
  <c r="BN86"/>
  <c r="D86"/>
  <c r="BO84"/>
  <c r="BQ84"/>
  <c r="BV84"/>
  <c r="BY84"/>
  <c r="CD84"/>
  <c r="CI84"/>
  <c r="CL84"/>
  <c r="CN84"/>
  <c r="EP84"/>
  <c r="FD84"/>
  <c r="FH84"/>
  <c r="FL84"/>
  <c r="FN84"/>
  <c r="FR84"/>
  <c r="GL84"/>
  <c r="IB84"/>
  <c r="JA84"/>
  <c r="FU90"/>
  <c r="HW85"/>
  <c r="HI85"/>
  <c r="HV85"/>
  <c r="HQ85"/>
  <c r="ED85"/>
  <c r="FC85" s="1"/>
  <c r="FC90"/>
  <c r="FE90" s="1"/>
  <c r="AP84"/>
  <c r="BN84"/>
  <c r="BP84"/>
  <c r="BU84"/>
  <c r="BX84"/>
  <c r="CC84"/>
  <c r="CE84"/>
  <c r="CK84"/>
  <c r="CM84"/>
  <c r="EH84"/>
  <c r="ED84" s="1"/>
  <c r="FB84"/>
  <c r="GE84" s="1"/>
  <c r="FF84"/>
  <c r="FJ84"/>
  <c r="FP84"/>
  <c r="GK84"/>
  <c r="GU84" s="1"/>
  <c r="HF84"/>
  <c r="FK89"/>
  <c r="FQ90"/>
  <c r="FJ90"/>
  <c r="FI90" s="1"/>
  <c r="FO90"/>
  <c r="FT90"/>
  <c r="IF83"/>
  <c r="IL83" s="1"/>
  <c r="HZ83"/>
  <c r="HY83"/>
  <c r="HH83"/>
  <c r="HA83"/>
  <c r="GZ83"/>
  <c r="GY83"/>
  <c r="GX83"/>
  <c r="GV83"/>
  <c r="GU83"/>
  <c r="GP83"/>
  <c r="IH83" s="1"/>
  <c r="GB83"/>
  <c r="FS83"/>
  <c r="EB83"/>
  <c r="DZ83"/>
  <c r="DM83"/>
  <c r="CZ83"/>
  <c r="CX83"/>
  <c r="CW83"/>
  <c r="CV83" s="1"/>
  <c r="CJ83"/>
  <c r="AZ83"/>
  <c r="AW83"/>
  <c r="AV83"/>
  <c r="V83"/>
  <c r="GD84" s="1"/>
  <c r="B83"/>
  <c r="IH82"/>
  <c r="IF82"/>
  <c r="IL82" s="1"/>
  <c r="HZ82"/>
  <c r="HY82"/>
  <c r="HH82"/>
  <c r="HA82"/>
  <c r="GZ82"/>
  <c r="GY82"/>
  <c r="GW82"/>
  <c r="GV82"/>
  <c r="GQ82"/>
  <c r="GU82" s="1"/>
  <c r="GB82"/>
  <c r="FS82"/>
  <c r="EB82"/>
  <c r="DZ82"/>
  <c r="DM82"/>
  <c r="CV82"/>
  <c r="CJ82"/>
  <c r="BS82"/>
  <c r="BB82"/>
  <c r="AN82"/>
  <c r="AH82"/>
  <c r="A82"/>
  <c r="HZ81"/>
  <c r="HY81"/>
  <c r="HH81"/>
  <c r="GP81"/>
  <c r="EB81"/>
  <c r="DZ81"/>
  <c r="DM81"/>
  <c r="DI81"/>
  <c r="CV81"/>
  <c r="BB81"/>
  <c r="IB81" s="1"/>
  <c r="A81"/>
  <c r="HZ80"/>
  <c r="HY80"/>
  <c r="HH80"/>
  <c r="GT80"/>
  <c r="GS80"/>
  <c r="GR80"/>
  <c r="GQ80"/>
  <c r="GO80"/>
  <c r="ET80"/>
  <c r="EL80"/>
  <c r="EG80"/>
  <c r="DZ80"/>
  <c r="DM80"/>
  <c r="DJ80"/>
  <c r="DG80"/>
  <c r="DB80"/>
  <c r="CW80"/>
  <c r="CU80"/>
  <c r="CT80"/>
  <c r="CJ80"/>
  <c r="BW80"/>
  <c r="A80"/>
  <c r="LB79"/>
  <c r="JE79"/>
  <c r="HZ79"/>
  <c r="HY79"/>
  <c r="HW79"/>
  <c r="HV79"/>
  <c r="HU79"/>
  <c r="HT79"/>
  <c r="HR79"/>
  <c r="HP79"/>
  <c r="HO79"/>
  <c r="HM79"/>
  <c r="HX79" s="1"/>
  <c r="HL79"/>
  <c r="HK79"/>
  <c r="HJ79"/>
  <c r="HI79"/>
  <c r="GU79"/>
  <c r="GP79"/>
  <c r="GE79"/>
  <c r="EB79"/>
  <c r="DZ79"/>
  <c r="DM79"/>
  <c r="DI79"/>
  <c r="CV79"/>
  <c r="CQ79"/>
  <c r="CB79"/>
  <c r="JD79" s="1"/>
  <c r="BB79"/>
  <c r="GK79" s="1"/>
  <c r="AX79"/>
  <c r="A79"/>
  <c r="HZ78"/>
  <c r="HY78"/>
  <c r="HW78"/>
  <c r="HV78"/>
  <c r="HU78"/>
  <c r="HT78"/>
  <c r="HR78"/>
  <c r="HP78"/>
  <c r="HO78"/>
  <c r="HM78"/>
  <c r="HX78" s="1"/>
  <c r="HL78"/>
  <c r="HK78"/>
  <c r="HJ78"/>
  <c r="HI78"/>
  <c r="GU78"/>
  <c r="GP78"/>
  <c r="GE78"/>
  <c r="EB78"/>
  <c r="DZ78"/>
  <c r="DM78"/>
  <c r="DI78"/>
  <c r="CV78"/>
  <c r="CQ78"/>
  <c r="CB78"/>
  <c r="JD78" s="1"/>
  <c r="BB78"/>
  <c r="AX78"/>
  <c r="A78"/>
  <c r="HZ77"/>
  <c r="HY77"/>
  <c r="HW77"/>
  <c r="HV77"/>
  <c r="HU77"/>
  <c r="HT77"/>
  <c r="HR77"/>
  <c r="HP77"/>
  <c r="HO77"/>
  <c r="HM77"/>
  <c r="IA77" s="1"/>
  <c r="IB77" s="1"/>
  <c r="HL77"/>
  <c r="HK77"/>
  <c r="HJ77"/>
  <c r="HI77"/>
  <c r="GU77"/>
  <c r="GP77"/>
  <c r="GE77"/>
  <c r="EB77"/>
  <c r="DZ77"/>
  <c r="DM77"/>
  <c r="DI77"/>
  <c r="CV77"/>
  <c r="CQ77"/>
  <c r="CB77"/>
  <c r="JD77" s="1"/>
  <c r="BB77"/>
  <c r="CM77" s="1"/>
  <c r="CL77" s="1"/>
  <c r="LB77" s="1"/>
  <c r="AX77"/>
  <c r="D77"/>
  <c r="A77"/>
  <c r="IF76"/>
  <c r="IL76" s="1"/>
  <c r="HZ76"/>
  <c r="HY76"/>
  <c r="HH76"/>
  <c r="GU76"/>
  <c r="GP76"/>
  <c r="EB76"/>
  <c r="DZ76"/>
  <c r="DM76"/>
  <c r="DB76"/>
  <c r="CW76"/>
  <c r="CJ76"/>
  <c r="A76"/>
  <c r="IF75"/>
  <c r="IL75" s="1"/>
  <c r="HZ75"/>
  <c r="HY75"/>
  <c r="HH75"/>
  <c r="GP75"/>
  <c r="EB75"/>
  <c r="DZ75"/>
  <c r="DM75"/>
  <c r="CZ75"/>
  <c r="CJ75"/>
  <c r="BC75"/>
  <c r="AZ75"/>
  <c r="AW75"/>
  <c r="AV75"/>
  <c r="V75"/>
  <c r="B75"/>
  <c r="IF74"/>
  <c r="IL74" s="1"/>
  <c r="HZ74"/>
  <c r="HY74"/>
  <c r="HH74"/>
  <c r="GU74"/>
  <c r="GP74"/>
  <c r="EB74"/>
  <c r="DZ74"/>
  <c r="DM74"/>
  <c r="DG74"/>
  <c r="DF74"/>
  <c r="CJ74"/>
  <c r="A74"/>
  <c r="IF73"/>
  <c r="IL73" s="1"/>
  <c r="HZ73"/>
  <c r="HY73"/>
  <c r="HH73"/>
  <c r="GP73"/>
  <c r="EB73"/>
  <c r="DZ73"/>
  <c r="DM73"/>
  <c r="CZ73"/>
  <c r="CJ73"/>
  <c r="A73"/>
  <c r="IF72"/>
  <c r="IL72" s="1"/>
  <c r="HZ72"/>
  <c r="HY72"/>
  <c r="HH72"/>
  <c r="GP72"/>
  <c r="EB72"/>
  <c r="DZ72"/>
  <c r="DM72"/>
  <c r="CZ72"/>
  <c r="CJ72"/>
  <c r="A72"/>
  <c r="IF71"/>
  <c r="IL71" s="1"/>
  <c r="HZ71"/>
  <c r="HY71"/>
  <c r="HH71"/>
  <c r="GS71"/>
  <c r="GP71"/>
  <c r="EB71"/>
  <c r="DZ71"/>
  <c r="DM71"/>
  <c r="CZ71"/>
  <c r="CX71"/>
  <c r="CJ71"/>
  <c r="A71"/>
  <c r="IF70"/>
  <c r="IL70" s="1"/>
  <c r="HZ70"/>
  <c r="HY70"/>
  <c r="HH70"/>
  <c r="GR70"/>
  <c r="GR71" s="1"/>
  <c r="GP70"/>
  <c r="EB70"/>
  <c r="DZ70"/>
  <c r="DM70"/>
  <c r="DB70"/>
  <c r="CZ70"/>
  <c r="CW70"/>
  <c r="CU70"/>
  <c r="CU71" s="1"/>
  <c r="CU72" s="1"/>
  <c r="CU73" s="1"/>
  <c r="CJ70"/>
  <c r="A70"/>
  <c r="HZ69"/>
  <c r="HY69"/>
  <c r="HW69"/>
  <c r="HV69"/>
  <c r="HU69"/>
  <c r="HT69"/>
  <c r="HR69"/>
  <c r="HP69"/>
  <c r="HO69"/>
  <c r="HM69"/>
  <c r="HX69" s="1"/>
  <c r="HL69"/>
  <c r="HK69"/>
  <c r="HJ69"/>
  <c r="HI69"/>
  <c r="GU69"/>
  <c r="GP69"/>
  <c r="EB69"/>
  <c r="DZ69"/>
  <c r="DM69"/>
  <c r="DI69"/>
  <c r="CV69"/>
  <c r="CQ69"/>
  <c r="BB69"/>
  <c r="IB69" s="1"/>
  <c r="A69"/>
  <c r="HZ68"/>
  <c r="HY68"/>
  <c r="HW68"/>
  <c r="HV68"/>
  <c r="HU68"/>
  <c r="HT68"/>
  <c r="HR68"/>
  <c r="HP68"/>
  <c r="HO68"/>
  <c r="HM68"/>
  <c r="HX68" s="1"/>
  <c r="HL68"/>
  <c r="HK68"/>
  <c r="HJ68"/>
  <c r="HI68"/>
  <c r="GU68"/>
  <c r="GP68"/>
  <c r="EB68"/>
  <c r="DZ68"/>
  <c r="DM68"/>
  <c r="DI68"/>
  <c r="CV68"/>
  <c r="CQ68"/>
  <c r="BB68"/>
  <c r="IB68" s="1"/>
  <c r="A68"/>
  <c r="HZ67"/>
  <c r="HY67"/>
  <c r="HW67"/>
  <c r="HV67"/>
  <c r="HU67"/>
  <c r="HT67"/>
  <c r="HR67"/>
  <c r="HP67"/>
  <c r="HO67"/>
  <c r="HM67"/>
  <c r="HX67" s="1"/>
  <c r="HL67"/>
  <c r="HK67"/>
  <c r="HJ67"/>
  <c r="HI67"/>
  <c r="GU67"/>
  <c r="GP67"/>
  <c r="EB67"/>
  <c r="DZ67"/>
  <c r="DM67"/>
  <c r="DI67"/>
  <c r="CV67"/>
  <c r="CQ67"/>
  <c r="BB67"/>
  <c r="IB67" s="1"/>
  <c r="A67"/>
  <c r="HZ66"/>
  <c r="HY66"/>
  <c r="HW66"/>
  <c r="HV66"/>
  <c r="HU66"/>
  <c r="HT66"/>
  <c r="HR66"/>
  <c r="HP66"/>
  <c r="HO66"/>
  <c r="HM66"/>
  <c r="HX66" s="1"/>
  <c r="HL66"/>
  <c r="HK66"/>
  <c r="HJ66"/>
  <c r="HI66"/>
  <c r="GU66"/>
  <c r="GP66"/>
  <c r="EB66"/>
  <c r="DZ66"/>
  <c r="DM66"/>
  <c r="DI66"/>
  <c r="CV66"/>
  <c r="CQ66"/>
  <c r="BB66"/>
  <c r="IB66" s="1"/>
  <c r="A66"/>
  <c r="HZ65"/>
  <c r="HY65"/>
  <c r="HW65"/>
  <c r="HV65"/>
  <c r="HU65"/>
  <c r="HT65"/>
  <c r="HR65"/>
  <c r="HP65"/>
  <c r="HO65"/>
  <c r="HM65"/>
  <c r="HX65" s="1"/>
  <c r="HL65"/>
  <c r="HK65"/>
  <c r="HJ65"/>
  <c r="HI65"/>
  <c r="GU65"/>
  <c r="GP65"/>
  <c r="EB65"/>
  <c r="DZ65"/>
  <c r="DM65"/>
  <c r="DI65"/>
  <c r="CV65"/>
  <c r="CQ65"/>
  <c r="BB65"/>
  <c r="IB65" s="1"/>
  <c r="A65"/>
  <c r="IF64"/>
  <c r="IL64" s="1"/>
  <c r="HZ64"/>
  <c r="HY64"/>
  <c r="HH64"/>
  <c r="GU64"/>
  <c r="GP64"/>
  <c r="EB64"/>
  <c r="DZ64"/>
  <c r="DM64"/>
  <c r="CZ64"/>
  <c r="CV64" s="1"/>
  <c r="CJ64"/>
  <c r="A64"/>
  <c r="IH63"/>
  <c r="IF63"/>
  <c r="IJ63" s="1"/>
  <c r="IA63"/>
  <c r="HZ63"/>
  <c r="HY63"/>
  <c r="HX63"/>
  <c r="EB63"/>
  <c r="DZ63"/>
  <c r="DM63"/>
  <c r="DI63"/>
  <c r="CV63"/>
  <c r="BB63"/>
  <c r="HF63" s="1"/>
  <c r="AZ63"/>
  <c r="AW63"/>
  <c r="AV63"/>
  <c r="AP63"/>
  <c r="V63"/>
  <c r="D63"/>
  <c r="B63"/>
  <c r="HS90" l="1"/>
  <c r="JY63"/>
  <c r="CV76"/>
  <c r="AP79"/>
  <c r="CV80"/>
  <c r="KX63"/>
  <c r="KV63"/>
  <c r="KT63"/>
  <c r="KY63"/>
  <c r="KU63"/>
  <c r="GP80"/>
  <c r="IJ82"/>
  <c r="CB84"/>
  <c r="EI85"/>
  <c r="EB80"/>
  <c r="IO84"/>
  <c r="BB83"/>
  <c r="IP82"/>
  <c r="D69"/>
  <c r="D79"/>
  <c r="BN79"/>
  <c r="EH79"/>
  <c r="ED79" s="1"/>
  <c r="JN63"/>
  <c r="JV63"/>
  <c r="KA63" s="1"/>
  <c r="KB63" s="1"/>
  <c r="KC63" s="1"/>
  <c r="JU63"/>
  <c r="JZ63" s="1"/>
  <c r="GU70"/>
  <c r="JH84"/>
  <c r="KR84"/>
  <c r="IA65"/>
  <c r="IA67"/>
  <c r="IA78"/>
  <c r="IB78" s="1"/>
  <c r="IA79"/>
  <c r="IB79" s="1"/>
  <c r="IA66"/>
  <c r="HM90"/>
  <c r="AX63"/>
  <c r="AP66"/>
  <c r="AP67"/>
  <c r="D68"/>
  <c r="BP77"/>
  <c r="AP68"/>
  <c r="AP69"/>
  <c r="BV79"/>
  <c r="CD79"/>
  <c r="AP81"/>
  <c r="D82"/>
  <c r="CU75"/>
  <c r="GR72"/>
  <c r="GU71"/>
  <c r="DI64"/>
  <c r="D65"/>
  <c r="AP65"/>
  <c r="D66"/>
  <c r="D67"/>
  <c r="IA68"/>
  <c r="IA69"/>
  <c r="CV70"/>
  <c r="DI70" s="1"/>
  <c r="CW71"/>
  <c r="CX72"/>
  <c r="DI76"/>
  <c r="HX77"/>
  <c r="GK78"/>
  <c r="D78"/>
  <c r="FO85"/>
  <c r="FK85"/>
  <c r="FQ85"/>
  <c r="FG85"/>
  <c r="FM85"/>
  <c r="FE85"/>
  <c r="FJ77"/>
  <c r="GK77"/>
  <c r="EH77"/>
  <c r="ED77" s="1"/>
  <c r="CE77"/>
  <c r="BU77"/>
  <c r="BN77"/>
  <c r="AP77"/>
  <c r="BY77"/>
  <c r="CC77"/>
  <c r="GU80"/>
  <c r="JM82"/>
  <c r="JN82" s="1"/>
  <c r="GX82"/>
  <c r="DI83"/>
  <c r="GW83"/>
  <c r="HB83"/>
  <c r="FK90"/>
  <c r="FB90"/>
  <c r="GE90" s="1"/>
  <c r="GC90"/>
  <c r="EJ85"/>
  <c r="EK85"/>
  <c r="FC84"/>
  <c r="FZ90"/>
  <c r="FM90"/>
  <c r="CV74"/>
  <c r="DI74" s="1"/>
  <c r="AX75"/>
  <c r="IC77"/>
  <c r="IC78"/>
  <c r="BP79"/>
  <c r="CM79"/>
  <c r="CI79" s="1"/>
  <c r="FJ79"/>
  <c r="DI80"/>
  <c r="ED80"/>
  <c r="D81"/>
  <c r="JY81" s="1"/>
  <c r="BO81"/>
  <c r="DI82"/>
  <c r="AX83"/>
  <c r="FE84"/>
  <c r="EY86"/>
  <c r="FG90"/>
  <c r="FI85"/>
  <c r="BN63"/>
  <c r="BP63"/>
  <c r="BX63"/>
  <c r="CB63"/>
  <c r="JD63" s="1"/>
  <c r="CD63"/>
  <c r="CK63"/>
  <c r="CM63"/>
  <c r="FB63"/>
  <c r="GL63"/>
  <c r="IB63"/>
  <c r="BN65"/>
  <c r="BP65"/>
  <c r="BY65"/>
  <c r="CC65"/>
  <c r="CE65"/>
  <c r="CL65"/>
  <c r="CN65"/>
  <c r="EP65"/>
  <c r="FJ65"/>
  <c r="BN66"/>
  <c r="BP66"/>
  <c r="BY66"/>
  <c r="CC66"/>
  <c r="CE66"/>
  <c r="CL66"/>
  <c r="CN66"/>
  <c r="EP66"/>
  <c r="FJ66"/>
  <c r="BN67"/>
  <c r="BP67"/>
  <c r="BY67"/>
  <c r="CC67"/>
  <c r="CE67"/>
  <c r="CL67"/>
  <c r="CN67"/>
  <c r="EP67"/>
  <c r="FJ67"/>
  <c r="BN68"/>
  <c r="BP68"/>
  <c r="BY68"/>
  <c r="CC68"/>
  <c r="CE68"/>
  <c r="CL68"/>
  <c r="CN68"/>
  <c r="EP68"/>
  <c r="FJ68"/>
  <c r="BN69"/>
  <c r="BP69"/>
  <c r="BY69"/>
  <c r="CC69"/>
  <c r="CE69"/>
  <c r="CL69"/>
  <c r="CN69"/>
  <c r="EP69"/>
  <c r="FJ69"/>
  <c r="FN83"/>
  <c r="HK83" s="1"/>
  <c r="FL83"/>
  <c r="FH83"/>
  <c r="EH83"/>
  <c r="ED83" s="1"/>
  <c r="BX83"/>
  <c r="BN83"/>
  <c r="HF83"/>
  <c r="FR83"/>
  <c r="FT83" s="1"/>
  <c r="FP83"/>
  <c r="FF83"/>
  <c r="FD83"/>
  <c r="FC83" s="1"/>
  <c r="EP83"/>
  <c r="BQ83"/>
  <c r="D83"/>
  <c r="BO63"/>
  <c r="BQ63"/>
  <c r="BY63"/>
  <c r="CC63"/>
  <c r="CE63"/>
  <c r="CL63"/>
  <c r="CN63"/>
  <c r="EP63"/>
  <c r="FJ63"/>
  <c r="GK63"/>
  <c r="IC63"/>
  <c r="BO65"/>
  <c r="BQ65"/>
  <c r="CB65"/>
  <c r="JD65" s="1"/>
  <c r="CD65"/>
  <c r="CK65"/>
  <c r="CM65"/>
  <c r="EH65"/>
  <c r="ED65" s="1"/>
  <c r="BO66"/>
  <c r="BQ66"/>
  <c r="CB66"/>
  <c r="JD66" s="1"/>
  <c r="CD66"/>
  <c r="CK66"/>
  <c r="CM66"/>
  <c r="EH66"/>
  <c r="ED66" s="1"/>
  <c r="BO67"/>
  <c r="BQ67"/>
  <c r="CB67"/>
  <c r="JD67" s="1"/>
  <c r="CD67"/>
  <c r="CK67"/>
  <c r="CM67"/>
  <c r="EH67"/>
  <c r="ED67" s="1"/>
  <c r="BO68"/>
  <c r="BQ68"/>
  <c r="CB68"/>
  <c r="JD68" s="1"/>
  <c r="CD68"/>
  <c r="CK68"/>
  <c r="CM68"/>
  <c r="EH68"/>
  <c r="ED68" s="1"/>
  <c r="BO69"/>
  <c r="BQ69"/>
  <c r="CB69"/>
  <c r="JD69" s="1"/>
  <c r="CD69"/>
  <c r="CK69"/>
  <c r="CM69"/>
  <c r="EH69"/>
  <c r="ED69" s="1"/>
  <c r="HV86"/>
  <c r="HT86"/>
  <c r="HR86"/>
  <c r="HL86"/>
  <c r="HW86"/>
  <c r="HU86"/>
  <c r="HQ86"/>
  <c r="HS86" s="1"/>
  <c r="HI86"/>
  <c r="JE77"/>
  <c r="BO78"/>
  <c r="BQ78"/>
  <c r="BV78"/>
  <c r="CD78"/>
  <c r="CK78"/>
  <c r="CM78"/>
  <c r="EH78"/>
  <c r="ED78" s="1"/>
  <c r="FJ78"/>
  <c r="BQ81"/>
  <c r="BV81"/>
  <c r="BY81"/>
  <c r="CD81"/>
  <c r="CK81"/>
  <c r="CM81"/>
  <c r="EP81"/>
  <c r="FJ81"/>
  <c r="GK81"/>
  <c r="BQ82"/>
  <c r="BX82"/>
  <c r="EH82"/>
  <c r="FH82"/>
  <c r="FL82"/>
  <c r="FN82"/>
  <c r="HK82" s="1"/>
  <c r="FU84"/>
  <c r="FT84" s="1"/>
  <c r="FG84"/>
  <c r="FQ84"/>
  <c r="HW84"/>
  <c r="HS84"/>
  <c r="HQ84"/>
  <c r="HV84"/>
  <c r="HR84"/>
  <c r="FC86"/>
  <c r="FM86" s="1"/>
  <c r="HJ86"/>
  <c r="BO77"/>
  <c r="BQ77"/>
  <c r="BV77"/>
  <c r="CD77"/>
  <c r="CK77"/>
  <c r="CN77"/>
  <c r="EP77"/>
  <c r="AP78"/>
  <c r="BN78"/>
  <c r="BP78"/>
  <c r="BU78"/>
  <c r="BY78"/>
  <c r="CC78"/>
  <c r="CE78"/>
  <c r="CL78"/>
  <c r="CN78"/>
  <c r="EP78"/>
  <c r="BO79"/>
  <c r="BQ79"/>
  <c r="BY79"/>
  <c r="CC79"/>
  <c r="CE79"/>
  <c r="CN79"/>
  <c r="EP79"/>
  <c r="BN81"/>
  <c r="BP81"/>
  <c r="BU81"/>
  <c r="BX81"/>
  <c r="CC81"/>
  <c r="CE81"/>
  <c r="CL81"/>
  <c r="LB81" s="1"/>
  <c r="JE81" s="1"/>
  <c r="CN81"/>
  <c r="EH81"/>
  <c r="FB81"/>
  <c r="GL81"/>
  <c r="HF81"/>
  <c r="BN82"/>
  <c r="FD82"/>
  <c r="FF82"/>
  <c r="FP82"/>
  <c r="FR82"/>
  <c r="FT82" s="1"/>
  <c r="HF82"/>
  <c r="GA84"/>
  <c r="FK84"/>
  <c r="FJ86"/>
  <c r="FI86" s="1"/>
  <c r="FU86"/>
  <c r="FT86" s="1"/>
  <c r="FQ86"/>
  <c r="EY88"/>
  <c r="FB88" s="1"/>
  <c r="IF62"/>
  <c r="IL62" s="1"/>
  <c r="HZ62"/>
  <c r="HY62"/>
  <c r="EB62"/>
  <c r="DZ62"/>
  <c r="DM62"/>
  <c r="CV62"/>
  <c r="BC62"/>
  <c r="AZ62"/>
  <c r="AW62"/>
  <c r="AV62"/>
  <c r="V62"/>
  <c r="GD63" s="1"/>
  <c r="B62"/>
  <c r="IF61"/>
  <c r="IL61" s="1"/>
  <c r="HZ61"/>
  <c r="HY61"/>
  <c r="EB61"/>
  <c r="DZ61"/>
  <c r="DM61"/>
  <c r="CV61"/>
  <c r="L61"/>
  <c r="A61"/>
  <c r="HX60"/>
  <c r="EB60"/>
  <c r="DZ60"/>
  <c r="DM60"/>
  <c r="DI60"/>
  <c r="CV60"/>
  <c r="CQ60"/>
  <c r="BB60"/>
  <c r="HF60" s="1"/>
  <c r="AZ60"/>
  <c r="AW60"/>
  <c r="AV60"/>
  <c r="AP60"/>
  <c r="V60"/>
  <c r="D60"/>
  <c r="KA60" s="1"/>
  <c r="KB60" s="1"/>
  <c r="KC60" s="1"/>
  <c r="B60"/>
  <c r="IH59"/>
  <c r="IF59"/>
  <c r="IL59" s="1"/>
  <c r="HH59"/>
  <c r="EZ59"/>
  <c r="EO59"/>
  <c r="EB59"/>
  <c r="DZ59"/>
  <c r="CV59"/>
  <c r="B59"/>
  <c r="IH58"/>
  <c r="IF58"/>
  <c r="IL58" s="1"/>
  <c r="HH58"/>
  <c r="EO58"/>
  <c r="EB58"/>
  <c r="DZ58"/>
  <c r="DM58"/>
  <c r="CV58"/>
  <c r="AZ58"/>
  <c r="AW58"/>
  <c r="AV58"/>
  <c r="V58"/>
  <c r="B58"/>
  <c r="IH57"/>
  <c r="IF57"/>
  <c r="IL57" s="1"/>
  <c r="HY57"/>
  <c r="HH57"/>
  <c r="FA57"/>
  <c r="EO57"/>
  <c r="EB57"/>
  <c r="DZ57"/>
  <c r="DI57" s="1"/>
  <c r="CV57"/>
  <c r="B57"/>
  <c r="IH56"/>
  <c r="IF56"/>
  <c r="HY56"/>
  <c r="HH56"/>
  <c r="EO56"/>
  <c r="EB56"/>
  <c r="DZ56"/>
  <c r="DM56"/>
  <c r="DI56" s="1"/>
  <c r="CV56"/>
  <c r="AZ56"/>
  <c r="AW56"/>
  <c r="AV56"/>
  <c r="V56"/>
  <c r="B56"/>
  <c r="IH55"/>
  <c r="IF55"/>
  <c r="IL55" s="1"/>
  <c r="HY55"/>
  <c r="HH55"/>
  <c r="EO55"/>
  <c r="EB55"/>
  <c r="DZ55"/>
  <c r="DM55"/>
  <c r="CV55"/>
  <c r="AZ55"/>
  <c r="AW55"/>
  <c r="AV55"/>
  <c r="V55"/>
  <c r="B55"/>
  <c r="IJ56" l="1"/>
  <c r="IL56"/>
  <c r="KR81"/>
  <c r="KG81"/>
  <c r="JX63"/>
  <c r="IC79"/>
  <c r="LA63"/>
  <c r="LB63"/>
  <c r="AX62"/>
  <c r="IJ55"/>
  <c r="FO86"/>
  <c r="DI58"/>
  <c r="IJ58"/>
  <c r="IJ59"/>
  <c r="DI61"/>
  <c r="DI62"/>
  <c r="FE86"/>
  <c r="EP85"/>
  <c r="ET85" s="1"/>
  <c r="EY85" s="1"/>
  <c r="FB85" s="1"/>
  <c r="GE85" s="1"/>
  <c r="CW72"/>
  <c r="CW75" s="1"/>
  <c r="AX58"/>
  <c r="FJ82"/>
  <c r="HM86"/>
  <c r="FK86"/>
  <c r="BY60"/>
  <c r="CN60"/>
  <c r="BN60"/>
  <c r="CE60"/>
  <c r="GL60"/>
  <c r="CB81"/>
  <c r="JD81" s="1"/>
  <c r="FV84"/>
  <c r="GC84"/>
  <c r="FM84"/>
  <c r="FI84"/>
  <c r="IJ57"/>
  <c r="AX55"/>
  <c r="DI55"/>
  <c r="AX56"/>
  <c r="DI59"/>
  <c r="AX60"/>
  <c r="BP60"/>
  <c r="CC60"/>
  <c r="CL60"/>
  <c r="LB60" s="1"/>
  <c r="EP60"/>
  <c r="FB86"/>
  <c r="GE86" s="1"/>
  <c r="GC86"/>
  <c r="FG86"/>
  <c r="FU83"/>
  <c r="FO84"/>
  <c r="GR73"/>
  <c r="GU72"/>
  <c r="ED81"/>
  <c r="JE78"/>
  <c r="LB78"/>
  <c r="ED82"/>
  <c r="FC82" s="1"/>
  <c r="FE83"/>
  <c r="GC83"/>
  <c r="LB68"/>
  <c r="JE68"/>
  <c r="LB67"/>
  <c r="JE67"/>
  <c r="IB60"/>
  <c r="FJ83"/>
  <c r="FI83" s="1"/>
  <c r="FO83"/>
  <c r="FG83"/>
  <c r="HJ83"/>
  <c r="GA63"/>
  <c r="GE88"/>
  <c r="HW82"/>
  <c r="HV82"/>
  <c r="HQ82"/>
  <c r="HI82"/>
  <c r="ED63"/>
  <c r="JE63"/>
  <c r="HV83"/>
  <c r="HT83"/>
  <c r="HR83"/>
  <c r="HL83"/>
  <c r="HI83"/>
  <c r="HW83"/>
  <c r="HU83"/>
  <c r="HQ83"/>
  <c r="LB69"/>
  <c r="JE69"/>
  <c r="LB66"/>
  <c r="JE66"/>
  <c r="LB65"/>
  <c r="JE65"/>
  <c r="GF63"/>
  <c r="BO60"/>
  <c r="BQ60"/>
  <c r="CB60"/>
  <c r="JD60" s="1"/>
  <c r="CD60"/>
  <c r="CK60"/>
  <c r="CM60"/>
  <c r="EH60"/>
  <c r="EY60"/>
  <c r="GK60"/>
  <c r="FU82"/>
  <c r="HJ82"/>
  <c r="FM83"/>
  <c r="EY83"/>
  <c r="FB83" s="1"/>
  <c r="GE83" s="1"/>
  <c r="FK83"/>
  <c r="FQ83"/>
  <c r="IH54"/>
  <c r="IF54"/>
  <c r="IL54" s="1"/>
  <c r="HY54"/>
  <c r="HH54"/>
  <c r="FA54"/>
  <c r="EO54"/>
  <c r="EN54"/>
  <c r="EF54"/>
  <c r="EB54"/>
  <c r="DM54"/>
  <c r="CV54"/>
  <c r="BC54"/>
  <c r="BC55" s="1"/>
  <c r="AZ54"/>
  <c r="AW54"/>
  <c r="AV54"/>
  <c r="V54"/>
  <c r="B54"/>
  <c r="IH53"/>
  <c r="IF53"/>
  <c r="IL53" s="1"/>
  <c r="HY53"/>
  <c r="HH53"/>
  <c r="EO53"/>
  <c r="EN53"/>
  <c r="EF53"/>
  <c r="DL53"/>
  <c r="DK53"/>
  <c r="EB53" s="1"/>
  <c r="CV53"/>
  <c r="A53"/>
  <c r="HX52"/>
  <c r="HB52"/>
  <c r="GS52"/>
  <c r="EB52"/>
  <c r="DZ52"/>
  <c r="DM52"/>
  <c r="DI52"/>
  <c r="CV52"/>
  <c r="BB52"/>
  <c r="HF52" s="1"/>
  <c r="AZ52"/>
  <c r="AW52"/>
  <c r="AV52"/>
  <c r="V52"/>
  <c r="B52"/>
  <c r="DI54" l="1"/>
  <c r="EI82"/>
  <c r="EJ82"/>
  <c r="EK82"/>
  <c r="EU85"/>
  <c r="JE60"/>
  <c r="ED54"/>
  <c r="IJ54"/>
  <c r="AP52"/>
  <c r="HS83"/>
  <c r="HM83"/>
  <c r="GU52"/>
  <c r="AX52"/>
  <c r="AX54"/>
  <c r="FI82"/>
  <c r="FO82"/>
  <c r="FE82"/>
  <c r="FK82"/>
  <c r="FQ82"/>
  <c r="FM82"/>
  <c r="FG82"/>
  <c r="GC82"/>
  <c r="IJ53"/>
  <c r="D52"/>
  <c r="KA52" s="1"/>
  <c r="KB52" s="1"/>
  <c r="KC52" s="1"/>
  <c r="BO52"/>
  <c r="CB52"/>
  <c r="JD52" s="1"/>
  <c r="CK52"/>
  <c r="DI53"/>
  <c r="DM53"/>
  <c r="DZ53" s="1"/>
  <c r="ED53"/>
  <c r="DZ54"/>
  <c r="GR75"/>
  <c r="GU73"/>
  <c r="BQ52"/>
  <c r="CD52"/>
  <c r="CM52"/>
  <c r="EP82"/>
  <c r="EY82" s="1"/>
  <c r="FB82" s="1"/>
  <c r="BN52"/>
  <c r="BP52"/>
  <c r="BY52"/>
  <c r="CC52"/>
  <c r="CE52"/>
  <c r="CL52"/>
  <c r="CN52"/>
  <c r="EP52"/>
  <c r="ED52" s="1"/>
  <c r="FC52" s="1"/>
  <c r="FD52" s="1"/>
  <c r="ED60"/>
  <c r="FC60" s="1"/>
  <c r="FQ60" s="1"/>
  <c r="EU82"/>
  <c r="EY52"/>
  <c r="IH51"/>
  <c r="IF51"/>
  <c r="IL51" s="1"/>
  <c r="HH51"/>
  <c r="EB51"/>
  <c r="DZ51"/>
  <c r="DM51"/>
  <c r="CV51"/>
  <c r="AZ51"/>
  <c r="AW51"/>
  <c r="AV51"/>
  <c r="V51"/>
  <c r="B51"/>
  <c r="IH50"/>
  <c r="IF50"/>
  <c r="IL50" s="1"/>
  <c r="HH50"/>
  <c r="EB50"/>
  <c r="DM50"/>
  <c r="CV50"/>
  <c r="AZ50"/>
  <c r="AW50"/>
  <c r="AV50"/>
  <c r="V50"/>
  <c r="B50"/>
  <c r="IH49"/>
  <c r="IF49"/>
  <c r="IL49" s="1"/>
  <c r="HY49"/>
  <c r="HH49"/>
  <c r="EB49"/>
  <c r="DZ49"/>
  <c r="CV49"/>
  <c r="B49"/>
  <c r="IH48"/>
  <c r="IF48"/>
  <c r="IL48" s="1"/>
  <c r="HY48"/>
  <c r="HH48"/>
  <c r="EB48"/>
  <c r="DZ48"/>
  <c r="DM48"/>
  <c r="CV48"/>
  <c r="IJ48" l="1"/>
  <c r="DI49"/>
  <c r="DZ50"/>
  <c r="IJ50"/>
  <c r="AX50"/>
  <c r="IJ51"/>
  <c r="IJ49"/>
  <c r="DI48"/>
  <c r="DI50"/>
  <c r="AX51"/>
  <c r="DI51"/>
  <c r="GU75"/>
  <c r="GE82"/>
  <c r="JE52"/>
  <c r="LB52"/>
  <c r="HG52"/>
  <c r="AZ48"/>
  <c r="AW48"/>
  <c r="AV48"/>
  <c r="V48"/>
  <c r="B48"/>
  <c r="AX48" l="1"/>
  <c r="IH47"/>
  <c r="IF47"/>
  <c r="IL47" s="1"/>
  <c r="HY47"/>
  <c r="HH47"/>
  <c r="FA47"/>
  <c r="EB47"/>
  <c r="DM47"/>
  <c r="CV47"/>
  <c r="AZ47"/>
  <c r="AW47"/>
  <c r="AV47"/>
  <c r="V47"/>
  <c r="B47"/>
  <c r="IH46"/>
  <c r="IF46"/>
  <c r="IL46" s="1"/>
  <c r="HY46"/>
  <c r="HH46"/>
  <c r="EB46"/>
  <c r="DZ46"/>
  <c r="DM46"/>
  <c r="CV46"/>
  <c r="AZ46"/>
  <c r="AW46"/>
  <c r="AV46"/>
  <c r="V46"/>
  <c r="B46"/>
  <c r="DZ47" l="1"/>
  <c r="IJ46"/>
  <c r="AX46"/>
  <c r="AX47"/>
  <c r="IJ47"/>
  <c r="DI46"/>
  <c r="DI47"/>
  <c r="IH45"/>
  <c r="IF45"/>
  <c r="IL45" s="1"/>
  <c r="HY45"/>
  <c r="HH45"/>
  <c r="FA45"/>
  <c r="DM45"/>
  <c r="DZ45" s="1"/>
  <c r="CT45"/>
  <c r="EB45" s="1"/>
  <c r="BC45"/>
  <c r="AZ45"/>
  <c r="AW45"/>
  <c r="AV45"/>
  <c r="V45"/>
  <c r="B45"/>
  <c r="IJ45" l="1"/>
  <c r="AX45"/>
  <c r="CV45"/>
  <c r="DI45" s="1"/>
  <c r="IH44" l="1"/>
  <c r="IF44"/>
  <c r="IL44" s="1"/>
  <c r="HY44"/>
  <c r="HH44"/>
  <c r="DM44"/>
  <c r="CT44"/>
  <c r="EB44" s="1"/>
  <c r="DZ44" l="1"/>
  <c r="IJ44"/>
  <c r="CV44"/>
  <c r="DI44" s="1"/>
  <c r="FA58"/>
  <c r="AU44"/>
  <c r="A44"/>
  <c r="HX43"/>
  <c r="HB43"/>
  <c r="EB43"/>
  <c r="DZ43"/>
  <c r="DM43"/>
  <c r="DI43"/>
  <c r="CV43"/>
  <c r="CQ43"/>
  <c r="BB43"/>
  <c r="EP43" s="1"/>
  <c r="ED43" s="1"/>
  <c r="AZ43"/>
  <c r="AW43"/>
  <c r="AV43"/>
  <c r="AP43"/>
  <c r="A43"/>
  <c r="HX42"/>
  <c r="HB42"/>
  <c r="EB42"/>
  <c r="DZ42"/>
  <c r="DM42"/>
  <c r="DI42"/>
  <c r="CV42"/>
  <c r="CQ42"/>
  <c r="BB42"/>
  <c r="IB42" s="1"/>
  <c r="AZ42"/>
  <c r="AW42"/>
  <c r="AV42"/>
  <c r="AP42"/>
  <c r="A42"/>
  <c r="HX41"/>
  <c r="HB41"/>
  <c r="EB41"/>
  <c r="DZ41"/>
  <c r="DM41"/>
  <c r="DI41"/>
  <c r="CV41"/>
  <c r="CQ41"/>
  <c r="BB41"/>
  <c r="EP41" s="1"/>
  <c r="ED41" s="1"/>
  <c r="AZ41"/>
  <c r="AW41"/>
  <c r="AV41"/>
  <c r="AP41"/>
  <c r="A41"/>
  <c r="HX40"/>
  <c r="HB40"/>
  <c r="EB40"/>
  <c r="DZ40"/>
  <c r="DM40"/>
  <c r="DI40"/>
  <c r="CV40"/>
  <c r="CQ40"/>
  <c r="BB40"/>
  <c r="IB40" s="1"/>
  <c r="AZ40"/>
  <c r="AW40"/>
  <c r="AV40"/>
  <c r="A40"/>
  <c r="HX39"/>
  <c r="HB39"/>
  <c r="EB39"/>
  <c r="DZ39"/>
  <c r="DM39"/>
  <c r="DI39"/>
  <c r="CV39"/>
  <c r="CQ39"/>
  <c r="BB39"/>
  <c r="EP39" s="1"/>
  <c r="ED39" s="1"/>
  <c r="AZ39"/>
  <c r="AW39"/>
  <c r="AV39"/>
  <c r="AP39"/>
  <c r="E39"/>
  <c r="D39"/>
  <c r="A39"/>
  <c r="AX43" l="1"/>
  <c r="AX41"/>
  <c r="D42"/>
  <c r="D43"/>
  <c r="AP40"/>
  <c r="D40"/>
  <c r="D41"/>
  <c r="AX40"/>
  <c r="AX39"/>
  <c r="AX42"/>
  <c r="BN43"/>
  <c r="BY43"/>
  <c r="BP43"/>
  <c r="BQ39"/>
  <c r="BP39" s="1"/>
  <c r="BO39" s="1"/>
  <c r="CB39"/>
  <c r="CD39"/>
  <c r="CK39"/>
  <c r="CN39"/>
  <c r="FJ39"/>
  <c r="IB39"/>
  <c r="BN40"/>
  <c r="BP40"/>
  <c r="BY40"/>
  <c r="CC40"/>
  <c r="CE40"/>
  <c r="CL40"/>
  <c r="CN40"/>
  <c r="FJ40"/>
  <c r="BN41"/>
  <c r="BP41"/>
  <c r="BY41"/>
  <c r="CC41"/>
  <c r="CE41"/>
  <c r="CL41"/>
  <c r="CN41"/>
  <c r="FJ41"/>
  <c r="IB41"/>
  <c r="BN42"/>
  <c r="BP42"/>
  <c r="BY42"/>
  <c r="CC42"/>
  <c r="CE42"/>
  <c r="CL42"/>
  <c r="CN42"/>
  <c r="FJ42"/>
  <c r="CC43"/>
  <c r="CE43"/>
  <c r="CL43"/>
  <c r="CN43"/>
  <c r="FJ43"/>
  <c r="IB43"/>
  <c r="BN39"/>
  <c r="BY39"/>
  <c r="CC39"/>
  <c r="CE39"/>
  <c r="CM39"/>
  <c r="CL39" s="1"/>
  <c r="BO40"/>
  <c r="BQ40"/>
  <c r="CB40"/>
  <c r="CD40"/>
  <c r="CK40"/>
  <c r="CM40"/>
  <c r="EP40"/>
  <c r="ED40" s="1"/>
  <c r="BO41"/>
  <c r="BQ41"/>
  <c r="CB41"/>
  <c r="JD41" s="1"/>
  <c r="CD41"/>
  <c r="CK41"/>
  <c r="CM41"/>
  <c r="BO42"/>
  <c r="BQ42"/>
  <c r="CB42"/>
  <c r="CD42"/>
  <c r="CK42"/>
  <c r="CM42"/>
  <c r="EP42"/>
  <c r="ED42" s="1"/>
  <c r="BO43"/>
  <c r="BQ43"/>
  <c r="CB43"/>
  <c r="CD43"/>
  <c r="CK43"/>
  <c r="CM43"/>
  <c r="IH38"/>
  <c r="HZ38"/>
  <c r="HY38"/>
  <c r="HH38"/>
  <c r="GO38"/>
  <c r="DZ38"/>
  <c r="DM38"/>
  <c r="CT38"/>
  <c r="EB38" s="1"/>
  <c r="A38"/>
  <c r="CV38" l="1"/>
  <c r="LB39"/>
  <c r="JE39"/>
  <c r="JD39" s="1"/>
  <c r="HG39"/>
  <c r="JE43"/>
  <c r="JD43" s="1"/>
  <c r="LB43"/>
  <c r="HG43"/>
  <c r="LB41"/>
  <c r="JE41"/>
  <c r="HG41"/>
  <c r="LB40"/>
  <c r="HG40"/>
  <c r="JE40"/>
  <c r="JD40" s="1"/>
  <c r="LB42"/>
  <c r="HG42"/>
  <c r="JE42"/>
  <c r="JD42" s="1"/>
  <c r="DI38"/>
  <c r="GQ38"/>
  <c r="IF38"/>
  <c r="IL38" s="1"/>
  <c r="IH37"/>
  <c r="HZ37"/>
  <c r="HY37"/>
  <c r="HH37"/>
  <c r="GO37"/>
  <c r="GQ37" s="1"/>
  <c r="DM37"/>
  <c r="CT37"/>
  <c r="BZ37"/>
  <c r="BC37"/>
  <c r="A37"/>
  <c r="CV37" l="1"/>
  <c r="DI37" s="1"/>
  <c r="EB37"/>
  <c r="IJ38"/>
  <c r="IF37"/>
  <c r="IL37" s="1"/>
  <c r="IH36"/>
  <c r="HZ36"/>
  <c r="HY36"/>
  <c r="HH36"/>
  <c r="GO36"/>
  <c r="GQ36" s="1"/>
  <c r="DZ36"/>
  <c r="DM36"/>
  <c r="K36"/>
  <c r="J36"/>
  <c r="A36"/>
  <c r="IM35"/>
  <c r="IJ37" l="1"/>
  <c r="DZ37"/>
  <c r="ED37"/>
  <c r="IF36"/>
  <c r="IL36" s="1"/>
  <c r="IH35"/>
  <c r="IF35"/>
  <c r="IL35" s="1"/>
  <c r="IA35"/>
  <c r="HZ35"/>
  <c r="HY35"/>
  <c r="HX35"/>
  <c r="EB35"/>
  <c r="DZ35"/>
  <c r="DM35"/>
  <c r="DI35"/>
  <c r="CV35"/>
  <c r="IJ35" l="1"/>
  <c r="IJ36"/>
  <c r="AU35" l="1"/>
  <c r="A35"/>
  <c r="ED48" l="1"/>
  <c r="K3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FS30"/>
  <c r="GI29"/>
  <c r="GR27"/>
  <c r="GQ23"/>
  <c r="FB23" s="1"/>
  <c r="EY23"/>
  <c r="EX23"/>
  <c r="EW23"/>
  <c r="ER23"/>
  <c r="EQ23"/>
  <c r="CO23"/>
  <c r="CN23"/>
  <c r="CM23"/>
  <c r="CL23"/>
  <c r="CK23"/>
  <c r="CI23"/>
  <c r="AZ23"/>
  <c r="AW23"/>
  <c r="AV23"/>
  <c r="AX23" l="1"/>
  <c r="FA48"/>
  <c r="FA49" s="1"/>
  <c r="IH22" l="1"/>
  <c r="IF22"/>
  <c r="IL22" s="1"/>
  <c r="HZ22"/>
  <c r="HY22"/>
  <c r="HH22"/>
  <c r="IJ22" l="1"/>
  <c r="EB22" l="1"/>
  <c r="DZ22"/>
  <c r="DM22"/>
  <c r="DI22"/>
  <c r="CV22"/>
  <c r="BB22"/>
  <c r="JA22" s="1"/>
  <c r="AZ22"/>
  <c r="AW22"/>
  <c r="AV22"/>
  <c r="IR22" l="1"/>
  <c r="IS22" s="1"/>
  <c r="IP22"/>
  <c r="IQ22" s="1"/>
  <c r="AX22"/>
  <c r="IT22"/>
  <c r="IB22"/>
  <c r="HF22"/>
  <c r="GK22"/>
  <c r="GL22"/>
  <c r="BN22"/>
  <c r="BP22"/>
  <c r="BU22"/>
  <c r="BX22"/>
  <c r="CA22"/>
  <c r="CC22"/>
  <c r="CE22"/>
  <c r="CK22"/>
  <c r="CM22"/>
  <c r="CO22"/>
  <c r="EC22"/>
  <c r="EP22"/>
  <c r="EY22"/>
  <c r="FJ22"/>
  <c r="BO22"/>
  <c r="BQ22"/>
  <c r="BV22"/>
  <c r="BY22"/>
  <c r="CD22"/>
  <c r="CI22"/>
  <c r="CL22"/>
  <c r="CN22"/>
  <c r="EH22"/>
  <c r="ED22" s="1"/>
  <c r="ET22"/>
  <c r="FB22"/>
  <c r="AP22"/>
  <c r="V22"/>
  <c r="GA22" s="1"/>
  <c r="R22"/>
  <c r="P22"/>
  <c r="D22" s="1"/>
  <c r="A22"/>
  <c r="FY21"/>
  <c r="FW21"/>
  <c r="FV21"/>
  <c r="DM21"/>
  <c r="DI21"/>
  <c r="CV21"/>
  <c r="CN21"/>
  <c r="CM21"/>
  <c r="CL21"/>
  <c r="CK21"/>
  <c r="CI21"/>
  <c r="CD21"/>
  <c r="CC21"/>
  <c r="CB21"/>
  <c r="BY21"/>
  <c r="IC20"/>
  <c r="IB20"/>
  <c r="GH20"/>
  <c r="GF20"/>
  <c r="GE20"/>
  <c r="GD20"/>
  <c r="GB20"/>
  <c r="GA20"/>
  <c r="FS20"/>
  <c r="FR20"/>
  <c r="KG22" l="1"/>
  <c r="JY22"/>
  <c r="KY22"/>
  <c r="KU22"/>
  <c r="KX22"/>
  <c r="KV22"/>
  <c r="KT22"/>
  <c r="KH22"/>
  <c r="KM22"/>
  <c r="KI22"/>
  <c r="KN22"/>
  <c r="JW22"/>
  <c r="KF22" s="1"/>
  <c r="IV22"/>
  <c r="KS22"/>
  <c r="KR22"/>
  <c r="JV22"/>
  <c r="KD22" s="1"/>
  <c r="KQ22"/>
  <c r="JU22"/>
  <c r="KO22" s="1"/>
  <c r="FT20"/>
  <c r="FX21"/>
  <c r="CB22"/>
  <c r="GG20"/>
  <c r="IJ104"/>
  <c r="IP104" s="1"/>
  <c r="IJ101"/>
  <c r="IP101" s="1"/>
  <c r="IJ94"/>
  <c r="IP94" s="1"/>
  <c r="IJ97"/>
  <c r="IP97" s="1"/>
  <c r="IJ98"/>
  <c r="IP98" s="1"/>
  <c r="IJ90"/>
  <c r="IP90" s="1"/>
  <c r="IJ89"/>
  <c r="IP89" s="1"/>
  <c r="IJ86"/>
  <c r="IP86" s="1"/>
  <c r="IJ83"/>
  <c r="IP83" s="1"/>
  <c r="JS22"/>
  <c r="KW22" s="1"/>
  <c r="JN22"/>
  <c r="JF22"/>
  <c r="IX22"/>
  <c r="JE22" s="1"/>
  <c r="JH22"/>
  <c r="IY22"/>
  <c r="IZ22" s="1"/>
  <c r="GW22"/>
  <c r="GY22"/>
  <c r="GX22" s="1"/>
  <c r="GV22"/>
  <c r="HA22"/>
  <c r="FS22"/>
  <c r="FR22"/>
  <c r="FN22"/>
  <c r="FF22"/>
  <c r="GE22"/>
  <c r="GD22" s="1"/>
  <c r="FP22"/>
  <c r="FL22"/>
  <c r="FH22"/>
  <c r="FD22"/>
  <c r="FC22" s="1"/>
  <c r="FP20"/>
  <c r="FN20"/>
  <c r="FL20"/>
  <c r="FJ20"/>
  <c r="FD20"/>
  <c r="FC20"/>
  <c r="GC20" s="1"/>
  <c r="CN20"/>
  <c r="CM20"/>
  <c r="CL20"/>
  <c r="CK20"/>
  <c r="CD20"/>
  <c r="CC20"/>
  <c r="CB20"/>
  <c r="HI7"/>
  <c r="CN19"/>
  <c r="CM19"/>
  <c r="CL19"/>
  <c r="CK19"/>
  <c r="CD19"/>
  <c r="CC19"/>
  <c r="CB19"/>
  <c r="BY19"/>
  <c r="IW5"/>
  <c r="HP5"/>
  <c r="HI59" i="1"/>
  <c r="HH59"/>
  <c r="HF59"/>
  <c r="DE59"/>
  <c r="X59"/>
  <c r="C59"/>
  <c r="A59"/>
  <c r="HI58"/>
  <c r="HH58"/>
  <c r="HF58"/>
  <c r="DE58"/>
  <c r="CU58"/>
  <c r="X58"/>
  <c r="KA22" i="24" l="1"/>
  <c r="KB22" s="1"/>
  <c r="KC22" s="1"/>
  <c r="KE22"/>
  <c r="JX22"/>
  <c r="KL22"/>
  <c r="JZ22"/>
  <c r="LA22"/>
  <c r="LB22"/>
  <c r="KP22"/>
  <c r="KJ22"/>
  <c r="KK22"/>
  <c r="FU20"/>
  <c r="FQ20"/>
  <c r="FK20"/>
  <c r="HJ7"/>
  <c r="FM20"/>
  <c r="FO20"/>
  <c r="JD22"/>
  <c r="FI22"/>
  <c r="FE22"/>
  <c r="FV22"/>
  <c r="FK22"/>
  <c r="FM22"/>
  <c r="FQ22"/>
  <c r="HV22"/>
  <c r="HT22"/>
  <c r="HR22"/>
  <c r="HP22"/>
  <c r="HL22"/>
  <c r="HI22"/>
  <c r="HO22"/>
  <c r="HW22"/>
  <c r="HU22"/>
  <c r="HS22"/>
  <c r="HQ22"/>
  <c r="HM22"/>
  <c r="IM22" s="1"/>
  <c r="FU22"/>
  <c r="FG22"/>
  <c r="HK22"/>
  <c r="HJ22" s="1"/>
  <c r="FO22"/>
  <c r="FT22"/>
  <c r="C58" i="1"/>
  <c r="A58"/>
  <c r="HI57"/>
  <c r="HH57"/>
  <c r="HF57"/>
  <c r="FB57"/>
  <c r="DE57"/>
  <c r="X57"/>
  <c r="A57" s="1"/>
  <c r="C57"/>
  <c r="B57"/>
  <c r="HM56"/>
  <c r="HI56"/>
  <c r="HH56"/>
  <c r="HD56"/>
  <c r="GZ56"/>
  <c r="GY56"/>
  <c r="GO56"/>
  <c r="GA56"/>
  <c r="HJ57" l="1"/>
  <c r="HJ56"/>
  <c r="HX22" i="24"/>
  <c r="IA22"/>
  <c r="IW22" s="1"/>
  <c r="AD56" i="1"/>
  <c r="C56"/>
  <c r="HM55"/>
  <c r="HI55"/>
  <c r="HH55"/>
  <c r="HD55"/>
  <c r="GZ55"/>
  <c r="GY55"/>
  <c r="GO55"/>
  <c r="GA55"/>
  <c r="CU55"/>
  <c r="HJ55" l="1"/>
  <c r="IU22" i="24"/>
  <c r="AD55" i="1"/>
  <c r="C55"/>
  <c r="B55"/>
  <c r="HM54"/>
  <c r="HI54"/>
  <c r="HH54"/>
  <c r="HD54"/>
  <c r="GZ54"/>
  <c r="GY54"/>
  <c r="GO54"/>
  <c r="GA54"/>
  <c r="HJ54" l="1"/>
  <c r="AD54"/>
  <c r="C54"/>
  <c r="HM53" l="1"/>
  <c r="HI53"/>
  <c r="HH53"/>
  <c r="HD53"/>
  <c r="GZ53"/>
  <c r="GY53"/>
  <c r="GO53"/>
  <c r="GA53"/>
  <c r="CU53"/>
  <c r="HJ53" l="1"/>
  <c r="AD53"/>
  <c r="I53"/>
  <c r="C53"/>
  <c r="B53"/>
  <c r="HM52"/>
  <c r="HI52"/>
  <c r="HJ52" s="1"/>
  <c r="HH52"/>
  <c r="HD52"/>
  <c r="GZ52"/>
  <c r="GY52"/>
  <c r="GO52"/>
  <c r="GA52"/>
  <c r="AD52"/>
  <c r="C52"/>
  <c r="HM51"/>
  <c r="HI51"/>
  <c r="HJ51" s="1"/>
  <c r="HH51"/>
  <c r="HD51"/>
  <c r="GZ51"/>
  <c r="GY51"/>
  <c r="GO51"/>
  <c r="GA51"/>
  <c r="AD51"/>
  <c r="W51"/>
  <c r="W52" s="1"/>
  <c r="C51"/>
  <c r="HM50"/>
  <c r="HI50"/>
  <c r="HH50"/>
  <c r="HD50"/>
  <c r="GZ50"/>
  <c r="GY50"/>
  <c r="GO50"/>
  <c r="GA50"/>
  <c r="CU50"/>
  <c r="AD50"/>
  <c r="X50"/>
  <c r="A50" s="1"/>
  <c r="C50"/>
  <c r="B50"/>
  <c r="HM49"/>
  <c r="HI49"/>
  <c r="HH49"/>
  <c r="HF49"/>
  <c r="GZ49"/>
  <c r="GY49"/>
  <c r="GU49"/>
  <c r="GS49"/>
  <c r="GO49"/>
  <c r="GB49"/>
  <c r="GA49"/>
  <c r="FB49"/>
  <c r="DE49"/>
  <c r="C49"/>
  <c r="HM48"/>
  <c r="HI48"/>
  <c r="HH48"/>
  <c r="HF48"/>
  <c r="GZ48"/>
  <c r="GY48"/>
  <c r="GU48"/>
  <c r="GS48"/>
  <c r="GO48"/>
  <c r="GB48"/>
  <c r="GA48"/>
  <c r="FB48"/>
  <c r="DI48"/>
  <c r="DE48"/>
  <c r="CU48"/>
  <c r="C48"/>
  <c r="B48"/>
  <c r="HJ47"/>
  <c r="HI47"/>
  <c r="GZ47"/>
  <c r="GR47"/>
  <c r="GO47"/>
  <c r="GD47"/>
  <c r="HD47" s="1"/>
  <c r="GA47"/>
  <c r="EI47"/>
  <c r="DE47"/>
  <c r="C47"/>
  <c r="HI46"/>
  <c r="GZ46"/>
  <c r="GR46"/>
  <c r="GO46"/>
  <c r="GD46"/>
  <c r="HD46" s="1"/>
  <c r="GA46"/>
  <c r="EI46"/>
  <c r="HH46" s="1"/>
  <c r="DE46"/>
  <c r="C46"/>
  <c r="HI45"/>
  <c r="GZ45"/>
  <c r="GR45"/>
  <c r="GO45"/>
  <c r="GD45"/>
  <c r="HD45" s="1"/>
  <c r="GA45"/>
  <c r="EI45"/>
  <c r="DE45"/>
  <c r="C45"/>
  <c r="HM44"/>
  <c r="HI44"/>
  <c r="GZ44"/>
  <c r="GR44"/>
  <c r="GO44"/>
  <c r="GD44"/>
  <c r="HD44" s="1"/>
  <c r="HE44" s="1"/>
  <c r="GA44"/>
  <c r="EI44"/>
  <c r="DE44"/>
  <c r="C44"/>
  <c r="HM43"/>
  <c r="HI43"/>
  <c r="HH43"/>
  <c r="GZ43"/>
  <c r="GY43"/>
  <c r="GR43"/>
  <c r="GO43"/>
  <c r="GD43"/>
  <c r="HD43" s="1"/>
  <c r="GA43"/>
  <c r="FB43"/>
  <c r="DI43"/>
  <c r="DE43"/>
  <c r="CU43"/>
  <c r="C43"/>
  <c r="HM42"/>
  <c r="HI42"/>
  <c r="HH42"/>
  <c r="GZ42"/>
  <c r="GY42"/>
  <c r="GR42"/>
  <c r="GO42"/>
  <c r="GD42"/>
  <c r="GA42"/>
  <c r="FB42"/>
  <c r="DI42"/>
  <c r="DE42"/>
  <c r="AD42"/>
  <c r="C42"/>
  <c r="HM41"/>
  <c r="HI41"/>
  <c r="HH41"/>
  <c r="GZ41"/>
  <c r="GR41"/>
  <c r="GO41"/>
  <c r="GD41"/>
  <c r="GA41"/>
  <c r="FB41"/>
  <c r="DI41"/>
  <c r="DE41"/>
  <c r="C41"/>
  <c r="HM40"/>
  <c r="HI40"/>
  <c r="HH40"/>
  <c r="GZ40"/>
  <c r="GR40"/>
  <c r="GO40"/>
  <c r="GD40"/>
  <c r="HD40" s="1"/>
  <c r="GA40"/>
  <c r="FB40"/>
  <c r="DI40"/>
  <c r="DE40"/>
  <c r="CU40"/>
  <c r="BF40"/>
  <c r="C40"/>
  <c r="HM39"/>
  <c r="HI39"/>
  <c r="HH39"/>
  <c r="GR39"/>
  <c r="GO39"/>
  <c r="GL39"/>
  <c r="GD39"/>
  <c r="FB39"/>
  <c r="DI39"/>
  <c r="DE39"/>
  <c r="CU39"/>
  <c r="C39"/>
  <c r="HI38"/>
  <c r="HH38"/>
  <c r="FB38"/>
  <c r="DI38"/>
  <c r="DE38"/>
  <c r="C38"/>
  <c r="HI37"/>
  <c r="HH37"/>
  <c r="FB37"/>
  <c r="DI37"/>
  <c r="DE37"/>
  <c r="C37"/>
  <c r="HI36"/>
  <c r="HH36"/>
  <c r="FB36"/>
  <c r="DI36"/>
  <c r="DE36"/>
  <c r="C36"/>
  <c r="HI35"/>
  <c r="HH35"/>
  <c r="FB35"/>
  <c r="DI35"/>
  <c r="DE35"/>
  <c r="C35"/>
  <c r="HI34"/>
  <c r="HH34"/>
  <c r="FB34"/>
  <c r="DI34"/>
  <c r="DE34"/>
  <c r="CU34"/>
  <c r="W34"/>
  <c r="W35" s="1"/>
  <c r="X35" s="1"/>
  <c r="A35" s="1"/>
  <c r="HJ34" s="1"/>
  <c r="C34"/>
  <c r="HM33"/>
  <c r="HI33"/>
  <c r="HH33"/>
  <c r="HB33"/>
  <c r="GR33"/>
  <c r="GO33"/>
  <c r="GD33"/>
  <c r="HD33" s="1"/>
  <c r="HE33" s="1"/>
  <c r="FX33"/>
  <c r="GZ33" s="1"/>
  <c r="FB33"/>
  <c r="DI33"/>
  <c r="DE33"/>
  <c r="CU33"/>
  <c r="X33"/>
  <c r="A33" s="1"/>
  <c r="C33"/>
  <c r="B33"/>
  <c r="HK32"/>
  <c r="HI32"/>
  <c r="HH32"/>
  <c r="HF32"/>
  <c r="FB32"/>
  <c r="DE32"/>
  <c r="CC32"/>
  <c r="BX32"/>
  <c r="X32"/>
  <c r="A32" s="1"/>
  <c r="C32"/>
  <c r="B32"/>
  <c r="HK31"/>
  <c r="HI31"/>
  <c r="HH31"/>
  <c r="HC31"/>
  <c r="HD31" s="1"/>
  <c r="GZ31"/>
  <c r="FB31"/>
  <c r="DI31"/>
  <c r="DE31"/>
  <c r="CU31"/>
  <c r="CB31"/>
  <c r="X31"/>
  <c r="A31" s="1"/>
  <c r="C31"/>
  <c r="B31"/>
  <c r="HI30"/>
  <c r="HH30"/>
  <c r="HD30"/>
  <c r="FB30"/>
  <c r="EG30"/>
  <c r="DE30"/>
  <c r="CU30"/>
  <c r="X30"/>
  <c r="A30" s="1"/>
  <c r="C30"/>
  <c r="B30"/>
  <c r="HI29"/>
  <c r="HH29"/>
  <c r="HF29"/>
  <c r="FB29"/>
  <c r="DE29"/>
  <c r="BS29"/>
  <c r="C29"/>
  <c r="HI28"/>
  <c r="HH28"/>
  <c r="HF28"/>
  <c r="FB28"/>
  <c r="DE28"/>
  <c r="BS28"/>
  <c r="C28"/>
  <c r="HI27"/>
  <c r="HH27"/>
  <c r="HF27"/>
  <c r="FB27"/>
  <c r="DE27"/>
  <c r="BS27"/>
  <c r="HD39" l="1"/>
  <c r="GZ39" s="1"/>
  <c r="HJ39"/>
  <c r="X34"/>
  <c r="A34" s="1"/>
  <c r="HH45"/>
  <c r="W53"/>
  <c r="X52"/>
  <c r="A52" s="1"/>
  <c r="W36"/>
  <c r="W37" s="1"/>
  <c r="W38" s="1"/>
  <c r="W39" s="1"/>
  <c r="W40" s="1"/>
  <c r="W41" s="1"/>
  <c r="W42" s="1"/>
  <c r="W43" s="1"/>
  <c r="W44" s="1"/>
  <c r="W45" s="1"/>
  <c r="W46" s="1"/>
  <c r="W47" s="1"/>
  <c r="W48" s="1"/>
  <c r="W49" s="1"/>
  <c r="EG31"/>
  <c r="EG57" s="1"/>
  <c r="HJ31"/>
  <c r="HH44"/>
  <c r="HF44" s="1"/>
  <c r="HF45" s="1"/>
  <c r="HF46" s="1"/>
  <c r="HN46" s="1"/>
  <c r="HJ32"/>
  <c r="HF33"/>
  <c r="HJ33"/>
  <c r="X42"/>
  <c r="A42" s="1"/>
  <c r="HJ44"/>
  <c r="HN44"/>
  <c r="HH47"/>
  <c r="DI49"/>
  <c r="HJ50"/>
  <c r="X51"/>
  <c r="A51" s="1"/>
  <c r="CU42"/>
  <c r="CU32"/>
  <c r="CU41"/>
  <c r="C27"/>
  <c r="HI26"/>
  <c r="HH26"/>
  <c r="HF26"/>
  <c r="FB26"/>
  <c r="DE26"/>
  <c r="BS26"/>
  <c r="C26"/>
  <c r="HI25"/>
  <c r="HH25"/>
  <c r="HF25"/>
  <c r="FB25"/>
  <c r="DE25"/>
  <c r="BS25"/>
  <c r="HN45" l="1"/>
  <c r="HM45" s="1"/>
  <c r="HJ45" s="1"/>
  <c r="HN33"/>
  <c r="HF47"/>
  <c r="HN47" s="1"/>
  <c r="W54"/>
  <c r="X53"/>
  <c r="A53" s="1"/>
  <c r="C25"/>
  <c r="HI24"/>
  <c r="HH24"/>
  <c r="HF24"/>
  <c r="FB24"/>
  <c r="DE24"/>
  <c r="BS24"/>
  <c r="HM46" l="1"/>
  <c r="HJ46" s="1"/>
  <c r="W55"/>
  <c r="X54"/>
  <c r="A54" s="1"/>
  <c r="C24"/>
  <c r="HI23"/>
  <c r="HH23"/>
  <c r="HF23"/>
  <c r="FB23"/>
  <c r="DI23"/>
  <c r="DI24" s="1"/>
  <c r="DI25" s="1"/>
  <c r="DI26" s="1"/>
  <c r="DI27" s="1"/>
  <c r="DI28" s="1"/>
  <c r="DI29" s="1"/>
  <c r="DE23"/>
  <c r="BX23"/>
  <c r="BS23"/>
  <c r="AS23"/>
  <c r="AS24" s="1"/>
  <c r="AS25" s="1"/>
  <c r="AS26" s="1"/>
  <c r="AS27" s="1"/>
  <c r="AS28" s="1"/>
  <c r="AS29" s="1"/>
  <c r="AR23"/>
  <c r="AR24" s="1"/>
  <c r="AR25" s="1"/>
  <c r="AR26" s="1"/>
  <c r="AR27" s="1"/>
  <c r="AR28" s="1"/>
  <c r="AR29" s="1"/>
  <c r="AQ23"/>
  <c r="AQ24" s="1"/>
  <c r="AQ25" s="1"/>
  <c r="AQ26" s="1"/>
  <c r="AQ27" s="1"/>
  <c r="AQ28" s="1"/>
  <c r="AQ29" s="1"/>
  <c r="AP23"/>
  <c r="AP24" s="1"/>
  <c r="AP25" s="1"/>
  <c r="AP26" s="1"/>
  <c r="AP27" s="1"/>
  <c r="AP28" s="1"/>
  <c r="AP29" s="1"/>
  <c r="X23"/>
  <c r="A23" s="1"/>
  <c r="W23"/>
  <c r="W24" s="1"/>
  <c r="C23"/>
  <c r="HI22"/>
  <c r="HH22"/>
  <c r="HJ22" s="1"/>
  <c r="HF22"/>
  <c r="FB22"/>
  <c r="DE22"/>
  <c r="CU22"/>
  <c r="BS22"/>
  <c r="X22"/>
  <c r="A22" s="1"/>
  <c r="HJ21" s="1"/>
  <c r="C22"/>
  <c r="B22"/>
  <c r="HI21"/>
  <c r="HH21"/>
  <c r="HF21"/>
  <c r="DD21"/>
  <c r="DE21" s="1"/>
  <c r="X21"/>
  <c r="A21" s="1"/>
  <c r="C21"/>
  <c r="B21"/>
  <c r="H20"/>
  <c r="EU17"/>
  <c r="HK11"/>
  <c r="HI11"/>
  <c r="HH11"/>
  <c r="HD11"/>
  <c r="HB11"/>
  <c r="GZ11"/>
  <c r="FB11"/>
  <c r="BB11"/>
  <c r="X11"/>
  <c r="FO11" s="1"/>
  <c r="C11"/>
  <c r="B11"/>
  <c r="F45" i="67"/>
  <c r="M19"/>
  <c r="HM47" i="1" l="1"/>
  <c r="F48" i="67"/>
  <c r="P16" s="1"/>
  <c r="M21"/>
  <c r="M27" s="1"/>
  <c r="HK22" i="1"/>
  <c r="BC11"/>
  <c r="FF11"/>
  <c r="FN11"/>
  <c r="FD11"/>
  <c r="FH11"/>
  <c r="FJ11"/>
  <c r="FL11"/>
  <c r="W25"/>
  <c r="X24"/>
  <c r="A24" s="1"/>
  <c r="HK23" s="1"/>
  <c r="HJ23" s="1"/>
  <c r="A11"/>
  <c r="DE11"/>
  <c r="FE11"/>
  <c r="FG11"/>
  <c r="FI11"/>
  <c r="FK11"/>
  <c r="FM11"/>
  <c r="HJ11"/>
  <c r="W56"/>
  <c r="X56" s="1"/>
  <c r="A56" s="1"/>
  <c r="X55"/>
  <c r="A55" s="1"/>
  <c r="GU11"/>
  <c r="GS11" s="1"/>
  <c r="GP11" s="1"/>
  <c r="GE11" s="1"/>
  <c r="GB11" s="1"/>
  <c r="F50" i="67" l="1"/>
  <c r="W26" i="1"/>
  <c r="X25"/>
  <c r="F51" i="67" l="1"/>
  <c r="M29"/>
  <c r="A25" i="1"/>
  <c r="HK24" s="1"/>
  <c r="HJ24" s="1"/>
  <c r="W27"/>
  <c r="X26"/>
  <c r="F53" i="67" l="1"/>
  <c r="T19"/>
  <c r="W28" i="1"/>
  <c r="X27"/>
  <c r="A26"/>
  <c r="HK25" s="1"/>
  <c r="HJ25" s="1"/>
  <c r="T24" i="67" l="1"/>
  <c r="F55"/>
  <c r="W29" i="1"/>
  <c r="X29" s="1"/>
  <c r="A29" s="1"/>
  <c r="X28"/>
  <c r="A27"/>
  <c r="HK26" s="1"/>
  <c r="HJ26" s="1"/>
  <c r="T27" i="67" l="1"/>
  <c r="F57"/>
  <c r="A28" i="1"/>
  <c r="HK27" s="1"/>
  <c r="HJ27" s="1"/>
  <c r="AB19" i="67" l="1"/>
  <c r="F58"/>
  <c r="HK28" i="1"/>
  <c r="HK29" s="1"/>
  <c r="HJ28"/>
  <c r="F83" i="60"/>
  <c r="F85" s="1"/>
  <c r="F87" s="1"/>
  <c r="F88" s="1"/>
  <c r="F90" s="1"/>
  <c r="F94" s="1"/>
  <c r="F97" s="1"/>
  <c r="AB21" i="67" l="1"/>
  <c r="F60"/>
  <c r="HJ29" i="1"/>
  <c r="AB81" i="60"/>
  <c r="M65"/>
  <c r="M59"/>
  <c r="F61" i="67" l="1"/>
  <c r="AJ31" s="1"/>
  <c r="AB27"/>
  <c r="AB83" i="60"/>
  <c r="AB85" s="1"/>
  <c r="AB87" s="1"/>
  <c r="AB90" s="1"/>
  <c r="AB92" s="1"/>
  <c r="AB94" s="1"/>
  <c r="AB97" s="1"/>
  <c r="AL77" s="1"/>
  <c r="AM55" l="1"/>
  <c r="AE55"/>
  <c r="U55" l="1"/>
  <c r="U53"/>
  <c r="M53"/>
  <c r="M49"/>
  <c r="G35"/>
  <c r="AU14"/>
  <c r="AM14" l="1"/>
  <c r="AG14"/>
  <c r="AE14" l="1"/>
  <c r="U14"/>
  <c r="M14"/>
  <c r="AD8" s="1"/>
  <c r="AC8"/>
  <c r="P103" i="54"/>
  <c r="A103" l="1"/>
  <c r="AE102"/>
  <c r="AD102"/>
  <c r="A102"/>
  <c r="P101"/>
  <c r="A101" l="1"/>
  <c r="AE100"/>
  <c r="AD100"/>
  <c r="C100" l="1"/>
  <c r="A100"/>
  <c r="AE99"/>
  <c r="AD99"/>
  <c r="P99"/>
  <c r="A99"/>
  <c r="AE98"/>
  <c r="AD98"/>
  <c r="A98" l="1"/>
  <c r="P97" l="1"/>
  <c r="A97"/>
  <c r="AE96"/>
  <c r="AD96"/>
  <c r="P96"/>
  <c r="A96"/>
  <c r="AE95"/>
  <c r="AD95"/>
  <c r="A95" l="1"/>
  <c r="P94" l="1"/>
  <c r="A94"/>
  <c r="AE93"/>
  <c r="AD93"/>
  <c r="P93"/>
  <c r="A93"/>
  <c r="AE92"/>
  <c r="AD92"/>
  <c r="A92" l="1"/>
  <c r="P91"/>
  <c r="A91" l="1"/>
  <c r="AE90"/>
  <c r="AD90"/>
  <c r="P90"/>
  <c r="A90"/>
  <c r="AD89"/>
  <c r="AC89"/>
  <c r="A89" l="1"/>
  <c r="P88" l="1"/>
  <c r="A88"/>
  <c r="AE87"/>
  <c r="AD87"/>
  <c r="P87"/>
  <c r="A87" l="1"/>
  <c r="AE86"/>
  <c r="AD86"/>
  <c r="P86" l="1"/>
  <c r="A86" l="1"/>
  <c r="AD85"/>
  <c r="AC85"/>
  <c r="A85"/>
  <c r="P84"/>
  <c r="A84" l="1"/>
  <c r="AE83"/>
  <c r="AD83"/>
  <c r="P83" l="1"/>
  <c r="A83"/>
  <c r="AD82"/>
  <c r="AC82"/>
  <c r="P82"/>
  <c r="A82" l="1"/>
  <c r="AD81"/>
  <c r="AC81"/>
  <c r="A81" l="1"/>
  <c r="P80"/>
  <c r="A80" l="1"/>
  <c r="AE79"/>
  <c r="AD79"/>
  <c r="P79" l="1"/>
  <c r="A79"/>
  <c r="AE78"/>
  <c r="AD78"/>
  <c r="P78"/>
  <c r="A78"/>
  <c r="AD77"/>
  <c r="AC77"/>
  <c r="A77" l="1"/>
  <c r="P76" l="1"/>
  <c r="A76"/>
  <c r="AE75"/>
  <c r="AD75"/>
  <c r="P75"/>
  <c r="A75"/>
  <c r="AD74"/>
  <c r="AC74"/>
  <c r="A74" l="1"/>
  <c r="P73" l="1"/>
  <c r="A73"/>
  <c r="AE72"/>
  <c r="AD72"/>
  <c r="P72"/>
  <c r="A72" l="1"/>
  <c r="AE71"/>
  <c r="AD71"/>
  <c r="A71" l="1"/>
  <c r="A70"/>
  <c r="AE69"/>
  <c r="A69" l="1"/>
  <c r="A68" l="1"/>
  <c r="A67" l="1"/>
  <c r="A66" l="1"/>
  <c r="AE65"/>
  <c r="A65" l="1"/>
  <c r="AD64"/>
  <c r="AC64"/>
  <c r="P64"/>
  <c r="A64" l="1"/>
  <c r="AE63"/>
  <c r="A63" l="1"/>
  <c r="AD62"/>
  <c r="AC62"/>
  <c r="A62" l="1"/>
  <c r="AD61"/>
  <c r="AC61"/>
  <c r="A61" l="1"/>
  <c r="AD60"/>
  <c r="AC60"/>
  <c r="A60"/>
  <c r="AD59"/>
  <c r="AC59"/>
  <c r="A59" l="1"/>
  <c r="A58" l="1"/>
  <c r="A57" l="1"/>
  <c r="A56" l="1"/>
  <c r="A55" l="1"/>
  <c r="A54" l="1"/>
  <c r="AD53"/>
  <c r="AC53"/>
  <c r="A53" l="1"/>
  <c r="A52"/>
  <c r="AE51"/>
  <c r="A51"/>
  <c r="AE50"/>
  <c r="J50"/>
  <c r="A50"/>
  <c r="A49"/>
  <c r="AD48"/>
  <c r="C48"/>
  <c r="A48"/>
  <c r="AD47"/>
  <c r="A47" l="1"/>
  <c r="AD46"/>
  <c r="C46" l="1"/>
  <c r="A46"/>
  <c r="AD45"/>
  <c r="A45"/>
  <c r="AE44"/>
  <c r="A44" l="1"/>
  <c r="AD43"/>
  <c r="A43" l="1"/>
  <c r="AD42"/>
  <c r="A42" l="1"/>
  <c r="A41"/>
  <c r="AA40"/>
  <c r="A40"/>
  <c r="AA39"/>
  <c r="A39" l="1"/>
  <c r="AA38"/>
  <c r="C38" l="1"/>
  <c r="A38"/>
  <c r="AA37"/>
  <c r="A37"/>
  <c r="AA36"/>
  <c r="A36" l="1"/>
  <c r="AA35"/>
  <c r="A35"/>
  <c r="AA34"/>
  <c r="A34"/>
  <c r="AA33"/>
  <c r="A33"/>
  <c r="A32"/>
  <c r="A31"/>
  <c r="A30"/>
  <c r="A29"/>
  <c r="AE28"/>
  <c r="AD28"/>
  <c r="AC28"/>
  <c r="A28"/>
  <c r="AE27"/>
  <c r="AB27"/>
  <c r="A27"/>
  <c r="AE26"/>
  <c r="AB26"/>
  <c r="A26"/>
  <c r="I25"/>
  <c r="A25"/>
  <c r="A24" l="1"/>
  <c r="J23"/>
  <c r="AE10"/>
  <c r="AD10"/>
  <c r="AC10"/>
  <c r="R10"/>
  <c r="P10"/>
  <c r="N10"/>
  <c r="K10"/>
  <c r="A10"/>
  <c r="G10" s="1"/>
  <c r="R98" i="21"/>
  <c r="A98"/>
  <c r="R97"/>
  <c r="A97"/>
  <c r="R96"/>
  <c r="C96"/>
  <c r="A96"/>
  <c r="C95"/>
  <c r="A95"/>
  <c r="C94"/>
  <c r="A94"/>
  <c r="R93"/>
  <c r="R94" s="1"/>
  <c r="A93"/>
  <c r="R92"/>
  <c r="A92"/>
  <c r="A91"/>
  <c r="R90"/>
  <c r="R91" s="1"/>
  <c r="A90"/>
  <c r="R89"/>
  <c r="A89"/>
  <c r="A88"/>
  <c r="R87"/>
  <c r="R88" s="1"/>
  <c r="A87"/>
  <c r="R86"/>
  <c r="A86"/>
  <c r="A85"/>
  <c r="R84"/>
  <c r="R85" s="1"/>
  <c r="A84"/>
  <c r="R83"/>
  <c r="A83"/>
  <c r="C82"/>
  <c r="A82"/>
  <c r="A81"/>
  <c r="R80"/>
  <c r="D80" s="1"/>
  <c r="A80"/>
  <c r="R79"/>
  <c r="A79"/>
  <c r="A78"/>
  <c r="A77"/>
  <c r="R76"/>
  <c r="R77" s="1"/>
  <c r="A76"/>
  <c r="R75"/>
  <c r="A75"/>
  <c r="C74"/>
  <c r="A74"/>
  <c r="A73"/>
  <c r="R72"/>
  <c r="R73" s="1"/>
  <c r="A72"/>
  <c r="R71"/>
  <c r="A71"/>
  <c r="A70"/>
  <c r="R69"/>
  <c r="R70" s="1"/>
  <c r="A69"/>
  <c r="R68"/>
  <c r="A68"/>
  <c r="A67"/>
  <c r="R66"/>
  <c r="R67" s="1"/>
  <c r="A66"/>
  <c r="R65"/>
  <c r="A65"/>
  <c r="A64"/>
  <c r="R63"/>
  <c r="A63"/>
  <c r="R62"/>
  <c r="A62"/>
  <c r="R61"/>
  <c r="A61"/>
  <c r="A60"/>
  <c r="S59"/>
  <c r="A59"/>
  <c r="A58"/>
  <c r="A57"/>
  <c r="A56"/>
  <c r="A55"/>
  <c r="A54"/>
  <c r="A53"/>
  <c r="A52"/>
  <c r="A51"/>
  <c r="A50"/>
  <c r="R49"/>
  <c r="A49"/>
  <c r="D69" l="1"/>
  <c r="D66"/>
  <c r="D72"/>
  <c r="D76"/>
  <c r="D84"/>
  <c r="D90"/>
  <c r="D93"/>
  <c r="B10" i="54"/>
  <c r="B74" i="21"/>
  <c r="B82"/>
  <c r="B94"/>
  <c r="B95"/>
  <c r="B96"/>
  <c r="D73"/>
  <c r="R74"/>
  <c r="R78"/>
  <c r="D78" s="1"/>
  <c r="D77"/>
  <c r="R95"/>
  <c r="D94"/>
  <c r="D67"/>
  <c r="R81"/>
  <c r="D88"/>
  <c r="D91"/>
  <c r="Q25" i="33"/>
  <c r="D61" i="21"/>
  <c r="D62"/>
  <c r="D68"/>
  <c r="D70"/>
  <c r="D79"/>
  <c r="D83"/>
  <c r="D85"/>
  <c r="D89"/>
  <c r="D92"/>
  <c r="A48"/>
  <c r="R47"/>
  <c r="A47"/>
  <c r="S46"/>
  <c r="A46"/>
  <c r="I45"/>
  <c r="A45"/>
  <c r="R44"/>
  <c r="A44"/>
  <c r="C43"/>
  <c r="A43"/>
  <c r="A42"/>
  <c r="C41"/>
  <c r="A41"/>
  <c r="A40"/>
  <c r="A39"/>
  <c r="S38"/>
  <c r="S39" s="1"/>
  <c r="S40" s="1"/>
  <c r="S41" s="1"/>
  <c r="S42" s="1"/>
  <c r="S43" s="1"/>
  <c r="A38"/>
  <c r="A37"/>
  <c r="R36"/>
  <c r="A36"/>
  <c r="A35"/>
  <c r="A34"/>
  <c r="C33"/>
  <c r="A33"/>
  <c r="A32"/>
  <c r="A31"/>
  <c r="A30"/>
  <c r="S29"/>
  <c r="S30" s="1"/>
  <c r="S31" s="1"/>
  <c r="S32" s="1"/>
  <c r="S33" s="1"/>
  <c r="S34" s="1"/>
  <c r="S35" s="1"/>
  <c r="A29"/>
  <c r="A28"/>
  <c r="R27"/>
  <c r="A27"/>
  <c r="R26"/>
  <c r="A26"/>
  <c r="R25"/>
  <c r="A25"/>
  <c r="R24"/>
  <c r="A24"/>
  <c r="A23"/>
  <c r="A22"/>
  <c r="S21"/>
  <c r="S22" s="1"/>
  <c r="A21"/>
  <c r="H20"/>
  <c r="H21" s="1"/>
  <c r="A20"/>
  <c r="A19"/>
  <c r="R7"/>
  <c r="D7" s="1"/>
  <c r="O7"/>
  <c r="M7"/>
  <c r="J7"/>
  <c r="A7"/>
  <c r="C4" i="63"/>
  <c r="BF62" i="34"/>
  <c r="I48" i="21" l="1"/>
  <c r="B33"/>
  <c r="B41"/>
  <c r="B43"/>
  <c r="D47"/>
  <c r="R82"/>
  <c r="D81"/>
  <c r="G57" i="34"/>
  <c r="A57"/>
  <c r="A56"/>
  <c r="BA55"/>
  <c r="A55"/>
  <c r="A54" l="1"/>
  <c r="A53" l="1"/>
  <c r="A52" l="1"/>
  <c r="A51" l="1"/>
  <c r="A50" l="1"/>
  <c r="A49" l="1"/>
  <c r="A48" l="1"/>
  <c r="CR47"/>
  <c r="CP47"/>
  <c r="CV47" s="1"/>
  <c r="CK47"/>
  <c r="CD47"/>
  <c r="BN47"/>
  <c r="BO47" s="1"/>
  <c r="BB47"/>
  <c r="AP47"/>
  <c r="AF47"/>
  <c r="A47"/>
  <c r="CR46"/>
  <c r="CP46"/>
  <c r="CV46" s="1"/>
  <c r="CK46"/>
  <c r="CD46"/>
  <c r="BN46"/>
  <c r="BO46" s="1"/>
  <c r="BB46"/>
  <c r="BC46" s="1"/>
  <c r="AP46"/>
  <c r="AQ46" s="1"/>
  <c r="AF46"/>
  <c r="BZ46" l="1"/>
  <c r="A46" l="1"/>
  <c r="DA45"/>
  <c r="A45" l="1"/>
  <c r="DA44"/>
  <c r="A44" l="1"/>
  <c r="DA43"/>
  <c r="A43" l="1"/>
  <c r="A42" l="1"/>
  <c r="A41" l="1"/>
  <c r="AR40" l="1"/>
  <c r="A40" l="1"/>
  <c r="Q39"/>
  <c r="A39" l="1"/>
  <c r="A38" l="1"/>
  <c r="A37"/>
  <c r="DA36"/>
  <c r="A36"/>
  <c r="A35"/>
  <c r="DA34"/>
  <c r="A34" l="1"/>
  <c r="DA33"/>
  <c r="A33" l="1"/>
  <c r="I32"/>
  <c r="A32" l="1"/>
  <c r="I31"/>
  <c r="A31" l="1"/>
  <c r="I30"/>
  <c r="A30" l="1"/>
  <c r="I29"/>
  <c r="A29"/>
  <c r="I28"/>
  <c r="A28"/>
  <c r="DA27"/>
  <c r="I27"/>
  <c r="A27"/>
  <c r="DA26"/>
  <c r="I26"/>
  <c r="A26"/>
  <c r="DA25"/>
  <c r="I25"/>
  <c r="A25"/>
  <c r="DA24"/>
  <c r="I24"/>
  <c r="A24"/>
  <c r="DA23"/>
  <c r="I23"/>
  <c r="A23"/>
  <c r="DA22"/>
  <c r="I22"/>
  <c r="A22"/>
  <c r="DA21"/>
  <c r="I21"/>
  <c r="A21" l="1"/>
  <c r="I20"/>
  <c r="G20"/>
  <c r="A20"/>
  <c r="I19"/>
  <c r="A19"/>
  <c r="H18"/>
  <c r="G21" l="1"/>
  <c r="G83" i="33"/>
  <c r="Q31"/>
  <c r="J47"/>
  <c r="G156" i="11"/>
  <c r="G153"/>
  <c r="G149"/>
  <c r="G146"/>
  <c r="G117"/>
  <c r="G110"/>
  <c r="G100"/>
  <c r="G97"/>
  <c r="G92"/>
  <c r="G87"/>
  <c r="G85"/>
  <c r="G80"/>
  <c r="G68"/>
  <c r="G67"/>
  <c r="G66"/>
  <c r="G64"/>
  <c r="G62"/>
  <c r="G56"/>
  <c r="G55"/>
  <c r="G53"/>
  <c r="G52"/>
  <c r="G51"/>
  <c r="G22" i="34" l="1"/>
  <c r="D83" i="33"/>
  <c r="G84"/>
  <c r="D84" l="1"/>
  <c r="G85"/>
  <c r="G23" i="34"/>
  <c r="D85" i="33" l="1"/>
  <c r="G24" i="34"/>
  <c r="G25" l="1"/>
  <c r="G26" l="1"/>
  <c r="G27" l="1"/>
  <c r="G38" i="11"/>
  <c r="G28" i="34" l="1"/>
  <c r="G29" l="1"/>
  <c r="G30" l="1"/>
  <c r="G32" i="11"/>
  <c r="G31"/>
  <c r="G30"/>
  <c r="G31" i="34" l="1"/>
  <c r="G32" l="1"/>
  <c r="AA27" i="11"/>
  <c r="C26"/>
  <c r="C27" s="1"/>
  <c r="B411" i="40"/>
  <c r="C410"/>
  <c r="C409"/>
  <c r="C408"/>
  <c r="C407"/>
  <c r="C406"/>
  <c r="C405"/>
  <c r="C404"/>
  <c r="C403"/>
  <c r="C402"/>
  <c r="C401"/>
  <c r="C400"/>
  <c r="C399"/>
  <c r="C398"/>
  <c r="C397"/>
  <c r="C396"/>
  <c r="C395"/>
  <c r="C394"/>
  <c r="B393"/>
  <c r="C392"/>
  <c r="C391"/>
  <c r="C390"/>
  <c r="C389"/>
  <c r="C388"/>
  <c r="C387"/>
  <c r="C386"/>
  <c r="C385"/>
  <c r="C384"/>
  <c r="B383"/>
  <c r="C370"/>
  <c r="C369"/>
  <c r="C368"/>
  <c r="C367"/>
  <c r="C366"/>
  <c r="C28" i="11" l="1"/>
  <c r="R383" i="40"/>
  <c r="E388" s="1"/>
  <c r="G33" i="34"/>
  <c r="E383" i="40"/>
  <c r="R393"/>
  <c r="E411"/>
  <c r="C365"/>
  <c r="C364"/>
  <c r="C363"/>
  <c r="C362"/>
  <c r="C361"/>
  <c r="C360"/>
  <c r="B359"/>
  <c r="R359" s="1"/>
  <c r="C358"/>
  <c r="C357"/>
  <c r="C356"/>
  <c r="C355"/>
  <c r="C354"/>
  <c r="C353"/>
  <c r="C352"/>
  <c r="C351"/>
  <c r="C350"/>
  <c r="C349"/>
  <c r="C348"/>
  <c r="C29" i="11" l="1"/>
  <c r="G34" i="34"/>
  <c r="E359" i="40"/>
  <c r="E365"/>
  <c r="E399"/>
  <c r="E393"/>
  <c r="B347"/>
  <c r="D337"/>
  <c r="C337"/>
  <c r="D336"/>
  <c r="C336"/>
  <c r="D335"/>
  <c r="C335"/>
  <c r="D334"/>
  <c r="C334"/>
  <c r="D333"/>
  <c r="C333"/>
  <c r="D332"/>
  <c r="C332"/>
  <c r="D331"/>
  <c r="C331"/>
  <c r="D330"/>
  <c r="C330"/>
  <c r="D329"/>
  <c r="C329"/>
  <c r="D328"/>
  <c r="C328"/>
  <c r="D327"/>
  <c r="C327"/>
  <c r="G35" i="34" l="1"/>
  <c r="C30" i="11"/>
  <c r="R347" i="40"/>
  <c r="E353" s="1"/>
  <c r="D326"/>
  <c r="C326"/>
  <c r="D325"/>
  <c r="C325"/>
  <c r="D324"/>
  <c r="C324"/>
  <c r="D323"/>
  <c r="C323"/>
  <c r="D322"/>
  <c r="C322"/>
  <c r="D321"/>
  <c r="C321"/>
  <c r="B320"/>
  <c r="C319"/>
  <c r="C318"/>
  <c r="C317"/>
  <c r="C316"/>
  <c r="C315"/>
  <c r="C314"/>
  <c r="C313"/>
  <c r="C312"/>
  <c r="C311"/>
  <c r="C310"/>
  <c r="C309"/>
  <c r="C308"/>
  <c r="C307"/>
  <c r="C306"/>
  <c r="C305"/>
  <c r="C304"/>
  <c r="C303"/>
  <c r="B302"/>
  <c r="C294"/>
  <c r="C293"/>
  <c r="C292"/>
  <c r="C291"/>
  <c r="C290"/>
  <c r="C289"/>
  <c r="D288"/>
  <c r="C288"/>
  <c r="D287"/>
  <c r="C287"/>
  <c r="D286"/>
  <c r="C286"/>
  <c r="D285"/>
  <c r="C285"/>
  <c r="D284"/>
  <c r="C284"/>
  <c r="D283"/>
  <c r="C283"/>
  <c r="C282"/>
  <c r="C281"/>
  <c r="C280"/>
  <c r="C279"/>
  <c r="C278"/>
  <c r="B277"/>
  <c r="C276"/>
  <c r="C275"/>
  <c r="C274"/>
  <c r="C273"/>
  <c r="C272"/>
  <c r="C271"/>
  <c r="C270"/>
  <c r="C269"/>
  <c r="C268"/>
  <c r="C267"/>
  <c r="C266"/>
  <c r="I265"/>
  <c r="B265"/>
  <c r="C264"/>
  <c r="C263"/>
  <c r="C262"/>
  <c r="C261"/>
  <c r="C260"/>
  <c r="E347" l="1"/>
  <c r="C31" i="11"/>
  <c r="G36" i="34"/>
  <c r="R320" i="40"/>
  <c r="E320" s="1"/>
  <c r="R265"/>
  <c r="E265" s="1"/>
  <c r="C259"/>
  <c r="C258"/>
  <c r="C257"/>
  <c r="C256"/>
  <c r="C255"/>
  <c r="C254"/>
  <c r="B253"/>
  <c r="AF250"/>
  <c r="AA250"/>
  <c r="AF249"/>
  <c r="AA249"/>
  <c r="D244"/>
  <c r="C244"/>
  <c r="D243"/>
  <c r="C243"/>
  <c r="Q242"/>
  <c r="D241"/>
  <c r="C241"/>
  <c r="D240"/>
  <c r="C240"/>
  <c r="AE235"/>
  <c r="Z235"/>
  <c r="U235"/>
  <c r="C235"/>
  <c r="AE234"/>
  <c r="Z234"/>
  <c r="U234"/>
  <c r="C234"/>
  <c r="AE232"/>
  <c r="Z232"/>
  <c r="U232"/>
  <c r="C232"/>
  <c r="C231"/>
  <c r="AE230"/>
  <c r="Z230"/>
  <c r="U230"/>
  <c r="E326" l="1"/>
  <c r="AF251"/>
  <c r="R271"/>
  <c r="AA251"/>
  <c r="E271"/>
  <c r="R253"/>
  <c r="E259" s="1"/>
  <c r="G37" i="34"/>
  <c r="C32" i="11"/>
  <c r="C229" i="40"/>
  <c r="C228"/>
  <c r="C226"/>
  <c r="C225"/>
  <c r="C223"/>
  <c r="C222"/>
  <c r="C221"/>
  <c r="C220"/>
  <c r="C219"/>
  <c r="E253" l="1"/>
  <c r="G38" i="34"/>
  <c r="C33" i="11"/>
  <c r="C218" i="40"/>
  <c r="C217"/>
  <c r="C216"/>
  <c r="C215"/>
  <c r="C214"/>
  <c r="C213"/>
  <c r="K198"/>
  <c r="O211"/>
  <c r="N211"/>
  <c r="M211"/>
  <c r="D211" s="1"/>
  <c r="C211"/>
  <c r="O210"/>
  <c r="N210"/>
  <c r="M210"/>
  <c r="D210" s="1"/>
  <c r="C210"/>
  <c r="O209"/>
  <c r="N209"/>
  <c r="M209"/>
  <c r="D209" s="1"/>
  <c r="C209"/>
  <c r="O208"/>
  <c r="N208"/>
  <c r="M208"/>
  <c r="D208" s="1"/>
  <c r="C208"/>
  <c r="O207"/>
  <c r="N207"/>
  <c r="M207"/>
  <c r="D207" s="1"/>
  <c r="C207"/>
  <c r="B206"/>
  <c r="O205"/>
  <c r="N205"/>
  <c r="M205"/>
  <c r="D205" s="1"/>
  <c r="C205"/>
  <c r="O204"/>
  <c r="N204"/>
  <c r="M204"/>
  <c r="D204" s="1"/>
  <c r="C204"/>
  <c r="O203"/>
  <c r="N203"/>
  <c r="M203"/>
  <c r="D203" s="1"/>
  <c r="C203"/>
  <c r="O202"/>
  <c r="N202"/>
  <c r="M202"/>
  <c r="D202" s="1"/>
  <c r="C202"/>
  <c r="O201"/>
  <c r="N201"/>
  <c r="M201"/>
  <c r="D201" s="1"/>
  <c r="C201"/>
  <c r="O195"/>
  <c r="N195"/>
  <c r="M195"/>
  <c r="D195" s="1"/>
  <c r="C195"/>
  <c r="O194"/>
  <c r="N194"/>
  <c r="M194"/>
  <c r="D194" s="1"/>
  <c r="C194"/>
  <c r="O193"/>
  <c r="N193"/>
  <c r="M193"/>
  <c r="D193" s="1"/>
  <c r="C193"/>
  <c r="O192"/>
  <c r="N192"/>
  <c r="M192"/>
  <c r="D192" s="1"/>
  <c r="C192"/>
  <c r="O191"/>
  <c r="N191"/>
  <c r="M191"/>
  <c r="D191" s="1"/>
  <c r="C191"/>
  <c r="B187"/>
  <c r="B180"/>
  <c r="B179"/>
  <c r="C178"/>
  <c r="C177"/>
  <c r="C34" i="11" l="1"/>
  <c r="G39" i="34"/>
  <c r="R179" i="40"/>
  <c r="R206"/>
  <c r="C176"/>
  <c r="C175"/>
  <c r="C174"/>
  <c r="C35" i="11" l="1"/>
  <c r="G40" i="34"/>
  <c r="E179" i="40"/>
  <c r="E206"/>
  <c r="B173"/>
  <c r="R173" s="1"/>
  <c r="D169"/>
  <c r="C169"/>
  <c r="D168"/>
  <c r="C168"/>
  <c r="D167"/>
  <c r="C167"/>
  <c r="D166"/>
  <c r="C166"/>
  <c r="D165"/>
  <c r="C165"/>
  <c r="D164"/>
  <c r="C164"/>
  <c r="D163"/>
  <c r="C163"/>
  <c r="D162"/>
  <c r="C162"/>
  <c r="D161"/>
  <c r="C161"/>
  <c r="D160"/>
  <c r="C160"/>
  <c r="D159"/>
  <c r="C159"/>
  <c r="B158"/>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B114"/>
  <c r="C109"/>
  <c r="C108"/>
  <c r="C107"/>
  <c r="C106"/>
  <c r="C105"/>
  <c r="C104"/>
  <c r="C103"/>
  <c r="C102"/>
  <c r="C101"/>
  <c r="C100"/>
  <c r="C99"/>
  <c r="G41" i="34" l="1"/>
  <c r="C36" i="11"/>
  <c r="R114" i="40"/>
  <c r="R119" s="1"/>
  <c r="E124" s="1"/>
  <c r="R158"/>
  <c r="R164" s="1"/>
  <c r="E173"/>
  <c r="C98"/>
  <c r="C97"/>
  <c r="C37" i="11" l="1"/>
  <c r="G42" i="34"/>
  <c r="E164" i="40"/>
  <c r="E119"/>
  <c r="E114"/>
  <c r="E158"/>
  <c r="C96"/>
  <c r="C95"/>
  <c r="C94"/>
  <c r="C93"/>
  <c r="C92"/>
  <c r="C91"/>
  <c r="C90"/>
  <c r="C89"/>
  <c r="C88"/>
  <c r="C87"/>
  <c r="C86"/>
  <c r="C85"/>
  <c r="C84"/>
  <c r="C83"/>
  <c r="C82"/>
  <c r="C81"/>
  <c r="C80"/>
  <c r="C79"/>
  <c r="C78"/>
  <c r="C77"/>
  <c r="C76"/>
  <c r="C75"/>
  <c r="C74"/>
  <c r="C73"/>
  <c r="C72"/>
  <c r="C71"/>
  <c r="C70"/>
  <c r="C69"/>
  <c r="C68"/>
  <c r="C67"/>
  <c r="B66"/>
  <c r="D55"/>
  <c r="D54"/>
  <c r="D52"/>
  <c r="D51"/>
  <c r="G43" i="34" l="1"/>
  <c r="C38" i="11"/>
  <c r="R66" i="40"/>
  <c r="R72" s="1"/>
  <c r="E78" s="1"/>
  <c r="D49"/>
  <c r="D48"/>
  <c r="D46"/>
  <c r="E72" l="1"/>
  <c r="E66"/>
  <c r="R78"/>
  <c r="C39" i="11"/>
  <c r="G44" i="34"/>
  <c r="D45" i="40"/>
  <c r="C40" i="11" l="1"/>
  <c r="G45" i="34"/>
  <c r="R84" i="40"/>
  <c r="E84"/>
  <c r="D43"/>
  <c r="D42"/>
  <c r="D40"/>
  <c r="D39"/>
  <c r="D37"/>
  <c r="D36"/>
  <c r="D34"/>
  <c r="D33"/>
  <c r="I32"/>
  <c r="B32"/>
  <c r="B38" s="1"/>
  <c r="B28"/>
  <c r="AF14"/>
  <c r="AA14"/>
  <c r="AF230" s="1"/>
  <c r="AF19"/>
  <c r="AA19"/>
  <c r="N62" i="22"/>
  <c r="N61"/>
  <c r="N60"/>
  <c r="N59"/>
  <c r="N58"/>
  <c r="N57"/>
  <c r="N56"/>
  <c r="N55"/>
  <c r="N54"/>
  <c r="N53"/>
  <c r="N45"/>
  <c r="N38"/>
  <c r="R90" i="40" l="1"/>
  <c r="E90"/>
  <c r="C38" i="22"/>
  <c r="P62"/>
  <c r="G46" i="34"/>
  <c r="C41" i="11"/>
  <c r="E28" i="40"/>
  <c r="B35"/>
  <c r="B53"/>
  <c r="B47"/>
  <c r="B50"/>
  <c r="R32"/>
  <c r="E32" s="1"/>
  <c r="B41"/>
  <c r="B44"/>
  <c r="N37" i="22"/>
  <c r="C37" s="1"/>
  <c r="N36"/>
  <c r="N35"/>
  <c r="C35" s="1"/>
  <c r="N34"/>
  <c r="C34" s="1"/>
  <c r="N33"/>
  <c r="C33" s="1"/>
  <c r="N32"/>
  <c r="N31"/>
  <c r="N30"/>
  <c r="N29"/>
  <c r="N28"/>
  <c r="N25"/>
  <c r="C25" s="1"/>
  <c r="N24"/>
  <c r="C24" s="1"/>
  <c r="C23"/>
  <c r="N15"/>
  <c r="M15" s="1"/>
  <c r="G20" i="57"/>
  <c r="O18"/>
  <c r="E18"/>
  <c r="E19" s="1"/>
  <c r="G17"/>
  <c r="E15" i="22" l="1"/>
  <c r="R40" i="40"/>
  <c r="R48" s="1"/>
  <c r="E20" i="57"/>
  <c r="O19" s="1"/>
  <c r="G15" i="22"/>
  <c r="C36"/>
  <c r="E40" i="40"/>
  <c r="C42" i="11"/>
  <c r="G47" i="34"/>
  <c r="E95" i="40"/>
  <c r="R95"/>
  <c r="D15" i="22"/>
  <c r="F15"/>
  <c r="H15"/>
  <c r="K15"/>
  <c r="C28"/>
  <c r="N27" s="1"/>
  <c r="C29"/>
  <c r="C30"/>
  <c r="C31"/>
  <c r="C32"/>
  <c r="E48" i="40" l="1"/>
  <c r="R100"/>
  <c r="E100"/>
  <c r="C43" i="11"/>
  <c r="E21" i="57"/>
  <c r="E22" s="1"/>
  <c r="E23" s="1"/>
  <c r="G48" i="34"/>
  <c r="C27" i="22"/>
  <c r="N26" s="1"/>
  <c r="E24" i="57" l="1"/>
  <c r="G49" i="34"/>
  <c r="C44" i="11"/>
  <c r="R105" i="40"/>
  <c r="E105"/>
  <c r="C26" i="22"/>
  <c r="E25" i="57" l="1"/>
  <c r="E26" s="1"/>
  <c r="E27" s="1"/>
  <c r="E28" s="1"/>
  <c r="E29" s="1"/>
  <c r="C45" i="11"/>
  <c r="G50" i="34"/>
  <c r="G51" l="1"/>
  <c r="C46" i="11"/>
  <c r="C47" l="1"/>
  <c r="G52" i="34"/>
  <c r="G53" l="1"/>
  <c r="C48" i="11"/>
  <c r="C49" l="1"/>
  <c r="G54" i="34"/>
  <c r="M18" i="45" l="1"/>
  <c r="M19"/>
  <c r="M20"/>
  <c r="M21"/>
  <c r="M22"/>
  <c r="M23"/>
  <c r="M24"/>
  <c r="M25"/>
  <c r="M26"/>
  <c r="M27"/>
  <c r="M28"/>
  <c r="M29"/>
  <c r="M33"/>
  <c r="M34"/>
  <c r="M35"/>
  <c r="M36"/>
  <c r="M37"/>
  <c r="M38"/>
  <c r="L42"/>
  <c r="L45"/>
  <c r="L48"/>
  <c r="L51"/>
  <c r="L54"/>
  <c r="L57"/>
  <c r="L58"/>
  <c r="L59" s="1"/>
  <c r="L60" s="1"/>
  <c r="L69"/>
  <c r="L71"/>
  <c r="L72" s="1"/>
  <c r="M86"/>
  <c r="M87"/>
  <c r="M88"/>
  <c r="M89"/>
  <c r="M90"/>
  <c r="M91"/>
  <c r="M95"/>
  <c r="M96"/>
  <c r="M97"/>
  <c r="M98"/>
  <c r="M99"/>
  <c r="M100"/>
  <c r="M101"/>
  <c r="M102"/>
  <c r="M103"/>
  <c r="M104"/>
  <c r="M105"/>
  <c r="M106"/>
  <c r="L112"/>
  <c r="L115"/>
  <c r="L118"/>
  <c r="M119"/>
  <c r="M120"/>
  <c r="M121"/>
  <c r="M122"/>
  <c r="M123"/>
  <c r="M124"/>
  <c r="L133"/>
  <c r="L136"/>
  <c r="L142"/>
  <c r="L145"/>
  <c r="M146"/>
  <c r="M147"/>
  <c r="M148"/>
  <c r="M149"/>
  <c r="M150"/>
  <c r="M151"/>
  <c r="M152"/>
  <c r="L155"/>
  <c r="L156"/>
  <c r="L157" s="1"/>
  <c r="L158" s="1"/>
  <c r="L159" s="1"/>
  <c r="L160" s="1"/>
  <c r="L161" s="1"/>
  <c r="L162" s="1"/>
  <c r="L163" s="1"/>
  <c r="L164" s="1"/>
  <c r="L165" s="1"/>
  <c r="L166" s="1"/>
  <c r="L167" s="1"/>
  <c r="L168" s="1"/>
  <c r="L169" s="1"/>
  <c r="L170" s="1"/>
  <c r="L171" s="1"/>
  <c r="L172" s="1"/>
  <c r="L173" s="1"/>
  <c r="L174" s="1"/>
  <c r="L175" s="1"/>
  <c r="L176" s="1"/>
  <c r="BC22" i="1"/>
  <c r="ED38" i="24"/>
  <c r="R124" i="40"/>
  <c r="R130" s="1"/>
  <c r="R136" s="1"/>
  <c r="IH61" i="24"/>
  <c r="IJ61" s="1"/>
  <c r="E130" i="40"/>
  <c r="BD40" i="34"/>
  <c r="BP40"/>
  <c r="CD40"/>
  <c r="HL82" i="24"/>
  <c r="HM82" s="1"/>
  <c r="R277" i="40"/>
  <c r="FW90" i="24"/>
  <c r="HO90" s="1"/>
  <c r="HX90" s="1"/>
  <c r="HL88"/>
  <c r="HM88" s="1"/>
  <c r="FW86"/>
  <c r="HO86" s="1"/>
  <c r="FY86"/>
  <c r="HP86" s="1"/>
  <c r="FW83"/>
  <c r="FX83" s="1"/>
  <c r="FY83"/>
  <c r="HP83" s="1"/>
  <c r="R302" i="40"/>
  <c r="FW94" i="24"/>
  <c r="FY94"/>
  <c r="HP94" s="1"/>
  <c r="HL93"/>
  <c r="HM93" s="1"/>
  <c r="E302" i="40"/>
  <c r="HL92" i="24"/>
  <c r="HM92" s="1"/>
  <c r="HL85"/>
  <c r="HM85" s="1"/>
  <c r="R259" i="40"/>
  <c r="FW82" i="24"/>
  <c r="FX82" s="1"/>
  <c r="FY82"/>
  <c r="HL96"/>
  <c r="HM96" s="1"/>
  <c r="FW89"/>
  <c r="HO89" s="1"/>
  <c r="FY89"/>
  <c r="HP89" s="1"/>
  <c r="R326" i="40"/>
  <c r="FW92" i="24"/>
  <c r="FX92" s="1"/>
  <c r="FY92"/>
  <c r="FZ92" s="1"/>
  <c r="GB92"/>
  <c r="GC92" s="1"/>
  <c r="FW93"/>
  <c r="FX93" s="1"/>
  <c r="FY93"/>
  <c r="FZ93" s="1"/>
  <c r="GB93"/>
  <c r="FW97"/>
  <c r="FX97" s="1"/>
  <c r="FY97"/>
  <c r="HP97" s="1"/>
  <c r="FW85"/>
  <c r="FX85" s="1"/>
  <c r="FY85"/>
  <c r="FZ85" s="1"/>
  <c r="GB85"/>
  <c r="GC85" s="1"/>
  <c r="FW88"/>
  <c r="FX88" s="1"/>
  <c r="FY88"/>
  <c r="FZ88" s="1"/>
  <c r="GB88"/>
  <c r="GF90"/>
  <c r="GG90" s="1"/>
  <c r="FW96"/>
  <c r="FY96"/>
  <c r="FZ96" s="1"/>
  <c r="GB96"/>
  <c r="GC96" s="1"/>
  <c r="FW98"/>
  <c r="HO98" s="1"/>
  <c r="FY98"/>
  <c r="HP98" s="1"/>
  <c r="FW101"/>
  <c r="HO101" s="1"/>
  <c r="HX101" s="1"/>
  <c r="HL103"/>
  <c r="HM103" s="1"/>
  <c r="HL100"/>
  <c r="HM100" s="1"/>
  <c r="R399" i="40"/>
  <c r="E405" s="1"/>
  <c r="IN111" i="24"/>
  <c r="HC111"/>
  <c r="IY111" s="1"/>
  <c r="IN109"/>
  <c r="IY109"/>
  <c r="IN110"/>
  <c r="HC110"/>
  <c r="IY110" s="1"/>
  <c r="IN107"/>
  <c r="GK107"/>
  <c r="GU107" s="1"/>
  <c r="HC107" s="1"/>
  <c r="IY107" s="1"/>
  <c r="IN106"/>
  <c r="HC106"/>
  <c r="IY106" s="1"/>
  <c r="FW104"/>
  <c r="HO104" s="1"/>
  <c r="FY104"/>
  <c r="HP104" s="1"/>
  <c r="FW100"/>
  <c r="FY100"/>
  <c r="FZ100" s="1"/>
  <c r="GB100"/>
  <c r="R353" i="40"/>
  <c r="FW103" i="24"/>
  <c r="FX103" s="1"/>
  <c r="FY103"/>
  <c r="FZ103" s="1"/>
  <c r="GB103"/>
  <c r="GC103" s="1"/>
  <c r="R365" i="40"/>
  <c r="FW111" i="24"/>
  <c r="FY111"/>
  <c r="FZ111" s="1"/>
  <c r="GB111"/>
  <c r="FW106"/>
  <c r="FX106" s="1"/>
  <c r="FY106"/>
  <c r="GB106"/>
  <c r="GC106" s="1"/>
  <c r="R388" i="40"/>
  <c r="FW107" i="24"/>
  <c r="FY107"/>
  <c r="GB107"/>
  <c r="GC107" s="1"/>
  <c r="FW109"/>
  <c r="FY109"/>
  <c r="FZ109" s="1"/>
  <c r="GB109"/>
  <c r="FW110"/>
  <c r="FX110" s="1"/>
  <c r="FY110"/>
  <c r="GB110"/>
  <c r="GC110" s="1"/>
  <c r="CK40" i="34"/>
  <c r="CR40"/>
  <c r="W10" i="54"/>
  <c r="D10" s="1"/>
  <c r="L253" i="45"/>
  <c r="L256"/>
  <c r="L262"/>
  <c r="L270"/>
  <c r="L271" s="1"/>
  <c r="L274"/>
  <c r="L277"/>
  <c r="L280"/>
  <c r="L287"/>
  <c r="L288" s="1"/>
  <c r="L289" s="1"/>
  <c r="M300"/>
  <c r="N300" s="1"/>
  <c r="M301"/>
  <c r="M302"/>
  <c r="A302" s="1"/>
  <c r="B302" s="1"/>
  <c r="M303"/>
  <c r="M304"/>
  <c r="N304" s="1"/>
  <c r="C304" s="1"/>
  <c r="M305"/>
  <c r="L307"/>
  <c r="L308" s="1"/>
  <c r="M309"/>
  <c r="A309" s="1"/>
  <c r="B309" s="1"/>
  <c r="M310"/>
  <c r="M311"/>
  <c r="N311" s="1"/>
  <c r="C311" s="1"/>
  <c r="M312"/>
  <c r="M313"/>
  <c r="A313" s="1"/>
  <c r="B313" s="1"/>
  <c r="M314"/>
  <c r="M315"/>
  <c r="N315" s="1"/>
  <c r="C315" s="1"/>
  <c r="M316"/>
  <c r="M317"/>
  <c r="A317" s="1"/>
  <c r="B317" s="1"/>
  <c r="L326"/>
  <c r="L329"/>
  <c r="M330"/>
  <c r="M331"/>
  <c r="A331" s="1"/>
  <c r="B331" s="1"/>
  <c r="M332"/>
  <c r="M333"/>
  <c r="N333" s="1"/>
  <c r="C333" s="1"/>
  <c r="M334"/>
  <c r="M335"/>
  <c r="A335" s="1"/>
  <c r="B335" s="1"/>
  <c r="L356"/>
  <c r="M357"/>
  <c r="N357" s="1"/>
  <c r="C357" s="1"/>
  <c r="M358"/>
  <c r="M359"/>
  <c r="A359" s="1"/>
  <c r="B359" s="1"/>
  <c r="M360"/>
  <c r="M361"/>
  <c r="N361" s="1"/>
  <c r="C361" s="1"/>
  <c r="M362"/>
  <c r="M363"/>
  <c r="A363" s="1"/>
  <c r="B363" s="1"/>
  <c r="L390"/>
  <c r="IN22" i="24"/>
  <c r="IO22" s="1"/>
  <c r="FY22"/>
  <c r="FZ22" s="1"/>
  <c r="FW22"/>
  <c r="FX22" s="1"/>
  <c r="GB22"/>
  <c r="GC22" s="1"/>
  <c r="GF22"/>
  <c r="GG22" s="1"/>
  <c r="GS22"/>
  <c r="GZ22" s="1"/>
  <c r="HB22" s="1"/>
  <c r="IW35"/>
  <c r="IX35" s="1"/>
  <c r="JE35" s="1"/>
  <c r="BC38"/>
  <c r="AZ38" s="1"/>
  <c r="BC46"/>
  <c r="AU53"/>
  <c r="AU61" s="1"/>
  <c r="AU64" s="1"/>
  <c r="AU65" s="1"/>
  <c r="FY84"/>
  <c r="FZ84" s="1"/>
  <c r="FW84"/>
  <c r="FX84" s="1"/>
  <c r="FA53"/>
  <c r="BO83"/>
  <c r="BP83" s="1"/>
  <c r="BO82"/>
  <c r="BP82" s="1"/>
  <c r="BO86"/>
  <c r="BP86" s="1"/>
  <c r="BC56"/>
  <c r="BC57"/>
  <c r="FA59"/>
  <c r="HC84"/>
  <c r="IY84" s="1"/>
  <c r="IZ84" s="1"/>
  <c r="ED70"/>
  <c r="FZ82"/>
  <c r="HB82"/>
  <c r="HC82"/>
  <c r="IY82" s="1"/>
  <c r="HC83"/>
  <c r="IY83" s="1"/>
  <c r="ED72"/>
  <c r="ED74"/>
  <c r="ED75"/>
  <c r="GF81"/>
  <c r="FZ83"/>
  <c r="BO85"/>
  <c r="BP85" s="1"/>
  <c r="IW84"/>
  <c r="IU84"/>
  <c r="FY87"/>
  <c r="FZ87" s="1"/>
  <c r="FW87"/>
  <c r="FX87" s="1"/>
  <c r="BO89"/>
  <c r="BP89" s="1"/>
  <c r="GF84"/>
  <c r="GG84" s="1"/>
  <c r="HB84"/>
  <c r="HC85"/>
  <c r="HB85"/>
  <c r="BO88"/>
  <c r="BP88" s="1"/>
  <c r="HC87"/>
  <c r="IY87" s="1"/>
  <c r="IZ87" s="1"/>
  <c r="IY85"/>
  <c r="HC86"/>
  <c r="HD86" s="1"/>
  <c r="HB87"/>
  <c r="IW87"/>
  <c r="BO94"/>
  <c r="BP94" s="1"/>
  <c r="GF87"/>
  <c r="GG87" s="1"/>
  <c r="IU87"/>
  <c r="HC88"/>
  <c r="IY88" s="1"/>
  <c r="HB88"/>
  <c r="FY91"/>
  <c r="FZ91" s="1"/>
  <c r="FW91"/>
  <c r="FX91" s="1"/>
  <c r="BO101"/>
  <c r="BP101" s="1"/>
  <c r="GC88"/>
  <c r="HC89"/>
  <c r="BO92"/>
  <c r="BP92" s="1"/>
  <c r="BO93"/>
  <c r="BP93" s="1"/>
  <c r="HC91"/>
  <c r="IY91" s="1"/>
  <c r="IX91" s="1"/>
  <c r="JE91" s="1"/>
  <c r="BO100"/>
  <c r="BP100" s="1"/>
  <c r="HC90"/>
  <c r="HD90" s="1"/>
  <c r="FZ98"/>
  <c r="FX98"/>
  <c r="BO97"/>
  <c r="BP97" s="1"/>
  <c r="FY95"/>
  <c r="FZ95" s="1"/>
  <c r="FW95"/>
  <c r="FX95" s="1"/>
  <c r="BO96"/>
  <c r="BP96" s="1"/>
  <c r="FX94"/>
  <c r="HC92"/>
  <c r="HB92"/>
  <c r="GC93"/>
  <c r="HC102"/>
  <c r="IY102" s="1"/>
  <c r="IZ102" s="1"/>
  <c r="HC99"/>
  <c r="HB99"/>
  <c r="HC95"/>
  <c r="IY95" s="1"/>
  <c r="IZ95" s="1"/>
  <c r="FY99"/>
  <c r="FZ99" s="1"/>
  <c r="FW99"/>
  <c r="FX99" s="1"/>
  <c r="GF91"/>
  <c r="GG91" s="1"/>
  <c r="HB91"/>
  <c r="HC93"/>
  <c r="HB93"/>
  <c r="BO104"/>
  <c r="BP104" s="1"/>
  <c r="HC96"/>
  <c r="IY93"/>
  <c r="HC94"/>
  <c r="HB95"/>
  <c r="IW95"/>
  <c r="FX96"/>
  <c r="FZ97"/>
  <c r="HC97"/>
  <c r="HD97" s="1"/>
  <c r="HC98"/>
  <c r="HD98" s="1"/>
  <c r="HC100"/>
  <c r="IY100" s="1"/>
  <c r="HB100"/>
  <c r="BO103"/>
  <c r="BP103" s="1"/>
  <c r="FY102"/>
  <c r="FZ102" s="1"/>
  <c r="FW102"/>
  <c r="FX102" s="1"/>
  <c r="IU95"/>
  <c r="HB96"/>
  <c r="GF99"/>
  <c r="GG99" s="1"/>
  <c r="FX100"/>
  <c r="GC100"/>
  <c r="HC101"/>
  <c r="HD101" s="1"/>
  <c r="GF102"/>
  <c r="GG102" s="1"/>
  <c r="IW102"/>
  <c r="IU102"/>
  <c r="HB102"/>
  <c r="HC103"/>
  <c r="IY103" s="1"/>
  <c r="HB103"/>
  <c r="JI111"/>
  <c r="JO111" s="1"/>
  <c r="JS111" s="1"/>
  <c r="BO107"/>
  <c r="BP107" s="1"/>
  <c r="JI107"/>
  <c r="JO107" s="1"/>
  <c r="JS107" s="1"/>
  <c r="JI110"/>
  <c r="JO110" s="1"/>
  <c r="JS110" s="1"/>
  <c r="FX104"/>
  <c r="HC104"/>
  <c r="HD104" s="1"/>
  <c r="BO109"/>
  <c r="BP109" s="1"/>
  <c r="IM108"/>
  <c r="IL108"/>
  <c r="HC108"/>
  <c r="IY108" s="1"/>
  <c r="IZ108" s="1"/>
  <c r="BO106"/>
  <c r="BP106" s="1"/>
  <c r="JI106"/>
  <c r="JO106" s="1"/>
  <c r="JS106" s="1"/>
  <c r="FZ106"/>
  <c r="JI109"/>
  <c r="JO109" s="1"/>
  <c r="JS109" s="1"/>
  <c r="FW105"/>
  <c r="FX105" s="1"/>
  <c r="FY105"/>
  <c r="FZ105" s="1"/>
  <c r="GF105"/>
  <c r="GG105" s="1"/>
  <c r="HB106"/>
  <c r="FZ107"/>
  <c r="FY108"/>
  <c r="FZ108" s="1"/>
  <c r="GB108"/>
  <c r="GC108" s="1"/>
  <c r="GC109"/>
  <c r="HB107"/>
  <c r="FW108"/>
  <c r="FX108" s="1"/>
  <c r="GF108"/>
  <c r="GG108" s="1"/>
  <c r="HB108"/>
  <c r="IW108"/>
  <c r="FX109"/>
  <c r="FZ110"/>
  <c r="HB110"/>
  <c r="BO113"/>
  <c r="BP113" s="1"/>
  <c r="FX111"/>
  <c r="GB113"/>
  <c r="GC113" s="1"/>
  <c r="GC111"/>
  <c r="HB111"/>
  <c r="C11" i="68"/>
  <c r="JH113" i="24"/>
  <c r="JI113" s="1"/>
  <c r="JO113" s="1"/>
  <c r="JS113" s="1"/>
  <c r="FY114"/>
  <c r="FZ114" s="1"/>
  <c r="FW114"/>
  <c r="FX114" s="1"/>
  <c r="HC113"/>
  <c r="IY113" s="1"/>
  <c r="IM113"/>
  <c r="IN113" s="1"/>
  <c r="N362" i="45"/>
  <c r="C362" s="1"/>
  <c r="A362"/>
  <c r="B362" s="1"/>
  <c r="N358"/>
  <c r="C358" s="1"/>
  <c r="A358"/>
  <c r="B358" s="1"/>
  <c r="A333"/>
  <c r="B333" s="1"/>
  <c r="A315"/>
  <c r="B315" s="1"/>
  <c r="A311"/>
  <c r="B311" s="1"/>
  <c r="C300"/>
  <c r="M189"/>
  <c r="N189" s="1"/>
  <c r="C189" s="1"/>
  <c r="N363"/>
  <c r="C363" s="1"/>
  <c r="N359"/>
  <c r="C359" s="1"/>
  <c r="N332"/>
  <c r="C332" s="1"/>
  <c r="A332"/>
  <c r="B332" s="1"/>
  <c r="N314"/>
  <c r="C314" s="1"/>
  <c r="A314"/>
  <c r="B314" s="1"/>
  <c r="N310"/>
  <c r="C310" s="1"/>
  <c r="A310"/>
  <c r="B310" s="1"/>
  <c r="N305"/>
  <c r="C305" s="1"/>
  <c r="A305"/>
  <c r="B305" s="1"/>
  <c r="N301"/>
  <c r="C301" s="1"/>
  <c r="A301"/>
  <c r="B301" s="1"/>
  <c r="M192"/>
  <c r="N192" s="1"/>
  <c r="C192" s="1"/>
  <c r="HC112" i="24"/>
  <c r="HB112"/>
  <c r="FY113"/>
  <c r="FW113"/>
  <c r="FX113" s="1"/>
  <c r="HB113"/>
  <c r="N360" i="45"/>
  <c r="C360" s="1"/>
  <c r="A360"/>
  <c r="B360" s="1"/>
  <c r="N335"/>
  <c r="C335" s="1"/>
  <c r="N331"/>
  <c r="C331" s="1"/>
  <c r="N317"/>
  <c r="C317" s="1"/>
  <c r="N313"/>
  <c r="C313" s="1"/>
  <c r="N309"/>
  <c r="C309" s="1"/>
  <c r="N302"/>
  <c r="C302" s="1"/>
  <c r="M183"/>
  <c r="N183" s="1"/>
  <c r="C183" s="1"/>
  <c r="A361"/>
  <c r="B361" s="1"/>
  <c r="A357"/>
  <c r="B357" s="1"/>
  <c r="N334"/>
  <c r="C334" s="1"/>
  <c r="A334"/>
  <c r="B334" s="1"/>
  <c r="N330"/>
  <c r="C330" s="1"/>
  <c r="A330"/>
  <c r="B330" s="1"/>
  <c r="N316"/>
  <c r="C316" s="1"/>
  <c r="A316"/>
  <c r="B316" s="1"/>
  <c r="N312"/>
  <c r="C312" s="1"/>
  <c r="A312"/>
  <c r="B312" s="1"/>
  <c r="N303"/>
  <c r="C303" s="1"/>
  <c r="A303"/>
  <c r="B303" s="1"/>
  <c r="C295"/>
  <c r="B295"/>
  <c r="C294"/>
  <c r="B294"/>
  <c r="M186"/>
  <c r="N186" s="1"/>
  <c r="C186" s="1"/>
  <c r="A21"/>
  <c r="N21"/>
  <c r="A25"/>
  <c r="N25"/>
  <c r="A29"/>
  <c r="N29"/>
  <c r="A35"/>
  <c r="N35"/>
  <c r="A87"/>
  <c r="N87"/>
  <c r="A89"/>
  <c r="N89"/>
  <c r="A91"/>
  <c r="N91"/>
  <c r="A96"/>
  <c r="N96"/>
  <c r="A98"/>
  <c r="N98"/>
  <c r="A100"/>
  <c r="N100"/>
  <c r="A102"/>
  <c r="N102"/>
  <c r="A104"/>
  <c r="N104"/>
  <c r="A106"/>
  <c r="N106"/>
  <c r="A120"/>
  <c r="N120"/>
  <c r="A122"/>
  <c r="N122"/>
  <c r="A124"/>
  <c r="N124"/>
  <c r="A147"/>
  <c r="N147"/>
  <c r="A149"/>
  <c r="N149"/>
  <c r="A151"/>
  <c r="N151"/>
  <c r="A19"/>
  <c r="N19"/>
  <c r="A23"/>
  <c r="N23"/>
  <c r="A27"/>
  <c r="N27"/>
  <c r="A33"/>
  <c r="N33"/>
  <c r="A37"/>
  <c r="N37"/>
  <c r="R11" i="1"/>
  <c r="CH11"/>
  <c r="CK11"/>
  <c r="S11"/>
  <c r="BG11"/>
  <c r="CJ11"/>
  <c r="BX24"/>
  <c r="BX25" s="1"/>
  <c r="BX26" s="1"/>
  <c r="BX27" s="1"/>
  <c r="BX28" s="1"/>
  <c r="BX29" s="1"/>
  <c r="L182" i="45"/>
  <c r="M184"/>
  <c r="N184" s="1"/>
  <c r="M185"/>
  <c r="N185" s="1"/>
  <c r="M187"/>
  <c r="N187" s="1"/>
  <c r="M188"/>
  <c r="N188" s="1"/>
  <c r="M190"/>
  <c r="A190" s="1"/>
  <c r="M191"/>
  <c r="A191" s="1"/>
  <c r="M193"/>
  <c r="N193" s="1"/>
  <c r="M194"/>
  <c r="A194" s="1"/>
  <c r="M195"/>
  <c r="N195" s="1"/>
  <c r="M196"/>
  <c r="A196" s="1"/>
  <c r="M197"/>
  <c r="N197" s="1"/>
  <c r="M198"/>
  <c r="A198" s="1"/>
  <c r="M200"/>
  <c r="A200" s="1"/>
  <c r="M201"/>
  <c r="A201" s="1"/>
  <c r="M202"/>
  <c r="A202" s="1"/>
  <c r="M203"/>
  <c r="A203" s="1"/>
  <c r="M204"/>
  <c r="A204" s="1"/>
  <c r="M205"/>
  <c r="A205" s="1"/>
  <c r="M206"/>
  <c r="A206" s="1"/>
  <c r="M207"/>
  <c r="A207" s="1"/>
  <c r="M208"/>
  <c r="A208" s="1"/>
  <c r="BF41" i="1"/>
  <c r="BF42" s="1"/>
  <c r="BF43" s="1"/>
  <c r="BF44" s="1"/>
  <c r="BF45" s="1"/>
  <c r="BF46" s="1"/>
  <c r="BF47" s="1"/>
  <c r="BF48" s="1"/>
  <c r="BF49" s="1"/>
  <c r="I55"/>
  <c r="A18" i="45"/>
  <c r="N18"/>
  <c r="A20"/>
  <c r="N20"/>
  <c r="A22"/>
  <c r="N22"/>
  <c r="A24"/>
  <c r="N24"/>
  <c r="A26"/>
  <c r="N26"/>
  <c r="A28"/>
  <c r="N28"/>
  <c r="A34"/>
  <c r="N34"/>
  <c r="A36"/>
  <c r="N36"/>
  <c r="A38"/>
  <c r="N38"/>
  <c r="A86"/>
  <c r="N86"/>
  <c r="A88"/>
  <c r="N88"/>
  <c r="A90"/>
  <c r="N90"/>
  <c r="A95"/>
  <c r="N95"/>
  <c r="A97"/>
  <c r="N97"/>
  <c r="A99"/>
  <c r="N99"/>
  <c r="A101"/>
  <c r="N101"/>
  <c r="A103"/>
  <c r="N103"/>
  <c r="A105"/>
  <c r="N105"/>
  <c r="A119"/>
  <c r="N119"/>
  <c r="A121"/>
  <c r="N121"/>
  <c r="A123"/>
  <c r="N123"/>
  <c r="A146"/>
  <c r="N146"/>
  <c r="A148"/>
  <c r="N148"/>
  <c r="A150"/>
  <c r="N150"/>
  <c r="A197"/>
  <c r="A152"/>
  <c r="N152"/>
  <c r="A186"/>
  <c r="N200"/>
  <c r="M394"/>
  <c r="A394" s="1"/>
  <c r="B394" s="1"/>
  <c r="M395"/>
  <c r="N395" s="1"/>
  <c r="C395" s="1"/>
  <c r="M396"/>
  <c r="A396" s="1"/>
  <c r="B396" s="1"/>
  <c r="M397"/>
  <c r="N397" s="1"/>
  <c r="C397" s="1"/>
  <c r="M398"/>
  <c r="A398" s="1"/>
  <c r="B398" s="1"/>
  <c r="M399"/>
  <c r="N399" s="1"/>
  <c r="C399" s="1"/>
  <c r="M400"/>
  <c r="A400" s="1"/>
  <c r="B400" s="1"/>
  <c r="M401"/>
  <c r="N401" s="1"/>
  <c r="C401" s="1"/>
  <c r="M402"/>
  <c r="N402" s="1"/>
  <c r="C402" s="1"/>
  <c r="M403"/>
  <c r="N403" s="1"/>
  <c r="C403" s="1"/>
  <c r="M404"/>
  <c r="N404" s="1"/>
  <c r="C404" s="1"/>
  <c r="M405"/>
  <c r="N405" s="1"/>
  <c r="C405" s="1"/>
  <c r="M406"/>
  <c r="A406" s="1"/>
  <c r="B406" s="1"/>
  <c r="M407"/>
  <c r="N407" s="1"/>
  <c r="C407" s="1"/>
  <c r="M408"/>
  <c r="N408" s="1"/>
  <c r="C408" s="1"/>
  <c r="M409"/>
  <c r="N409" s="1"/>
  <c r="C409" s="1"/>
  <c r="M411"/>
  <c r="N411" s="1"/>
  <c r="C411" s="1"/>
  <c r="M412"/>
  <c r="N412" s="1"/>
  <c r="C412" s="1"/>
  <c r="M413"/>
  <c r="N413" s="1"/>
  <c r="C413" s="1"/>
  <c r="M414"/>
  <c r="N414" s="1"/>
  <c r="C414" s="1"/>
  <c r="M415"/>
  <c r="A415" s="1"/>
  <c r="B415" s="1"/>
  <c r="M416"/>
  <c r="N416" s="1"/>
  <c r="C416" s="1"/>
  <c r="M417"/>
  <c r="N417" s="1"/>
  <c r="C417" s="1"/>
  <c r="M418"/>
  <c r="N418" s="1"/>
  <c r="C418" s="1"/>
  <c r="M419"/>
  <c r="N419" s="1"/>
  <c r="C419" s="1"/>
  <c r="A401"/>
  <c r="B401" s="1"/>
  <c r="A407"/>
  <c r="B407" s="1"/>
  <c r="N398" l="1"/>
  <c r="C398" s="1"/>
  <c r="N400"/>
  <c r="C400" s="1"/>
  <c r="N208"/>
  <c r="A193"/>
  <c r="KU106" i="24"/>
  <c r="KU110"/>
  <c r="KU107"/>
  <c r="KU111"/>
  <c r="HD111"/>
  <c r="HD107"/>
  <c r="HD106"/>
  <c r="FX89"/>
  <c r="FZ86"/>
  <c r="HO92"/>
  <c r="HO96"/>
  <c r="HO85"/>
  <c r="HO82"/>
  <c r="FZ104"/>
  <c r="FX86"/>
  <c r="HD110"/>
  <c r="FZ94"/>
  <c r="FX101"/>
  <c r="FZ89"/>
  <c r="FX90"/>
  <c r="L61" i="45"/>
  <c r="A418"/>
  <c r="B418" s="1"/>
  <c r="Y10" i="54"/>
  <c r="N415" i="45"/>
  <c r="C415" s="1"/>
  <c r="A417"/>
  <c r="B417" s="1"/>
  <c r="N204"/>
  <c r="R405" i="40"/>
  <c r="A399" i="45"/>
  <c r="B399" s="1"/>
  <c r="A416"/>
  <c r="B416" s="1"/>
  <c r="A409"/>
  <c r="B409" s="1"/>
  <c r="N206"/>
  <c r="N202"/>
  <c r="N190"/>
  <c r="A184"/>
  <c r="A195"/>
  <c r="A187"/>
  <c r="A395"/>
  <c r="B395" s="1"/>
  <c r="A403"/>
  <c r="B403" s="1"/>
  <c r="A412"/>
  <c r="B412" s="1"/>
  <c r="A397"/>
  <c r="B397" s="1"/>
  <c r="A405"/>
  <c r="B405" s="1"/>
  <c r="A414"/>
  <c r="B414" s="1"/>
  <c r="A183"/>
  <c r="N394"/>
  <c r="C394" s="1"/>
  <c r="N406"/>
  <c r="C406" s="1"/>
  <c r="N396"/>
  <c r="C396" s="1"/>
  <c r="A408"/>
  <c r="B408" s="1"/>
  <c r="A411"/>
  <c r="B411" s="1"/>
  <c r="N196"/>
  <c r="N201"/>
  <c r="GF89" i="24"/>
  <c r="GG89" s="1"/>
  <c r="GF88"/>
  <c r="GG88" s="1"/>
  <c r="GF93"/>
  <c r="GG93" s="1"/>
  <c r="A192" i="45"/>
  <c r="N205"/>
  <c r="A189"/>
  <c r="GF104" i="24"/>
  <c r="GG104" s="1"/>
  <c r="GF86"/>
  <c r="GG86" s="1"/>
  <c r="A404" i="45"/>
  <c r="B404" s="1"/>
  <c r="A413"/>
  <c r="B413" s="1"/>
  <c r="A402"/>
  <c r="B402" s="1"/>
  <c r="A419"/>
  <c r="B419" s="1"/>
  <c r="N198"/>
  <c r="N194"/>
  <c r="A188"/>
  <c r="N207"/>
  <c r="N203"/>
  <c r="N191"/>
  <c r="A185"/>
  <c r="KU113" i="24"/>
  <c r="L290" i="45"/>
  <c r="IN108" i="24"/>
  <c r="IO108" s="1"/>
  <c r="IZ113"/>
  <c r="IO113"/>
  <c r="IT113" s="1"/>
  <c r="IX113" s="1"/>
  <c r="JA113" s="1"/>
  <c r="IR113"/>
  <c r="IS113" s="1"/>
  <c r="IO106"/>
  <c r="IT106" s="1"/>
  <c r="IR106"/>
  <c r="IS106" s="1"/>
  <c r="IO107"/>
  <c r="IT107" s="1"/>
  <c r="IR107"/>
  <c r="IS107" s="1"/>
  <c r="IO109"/>
  <c r="IT109" s="1"/>
  <c r="IR109"/>
  <c r="IS109" s="1"/>
  <c r="IO110"/>
  <c r="IT110" s="1"/>
  <c r="IR110"/>
  <c r="IS110" s="1"/>
  <c r="IO111"/>
  <c r="IT111" s="1"/>
  <c r="IR111"/>
  <c r="IS111" s="1"/>
  <c r="HD113"/>
  <c r="IY97"/>
  <c r="HD88"/>
  <c r="IX87"/>
  <c r="JE87" s="1"/>
  <c r="IY86"/>
  <c r="HD112"/>
  <c r="HD99"/>
  <c r="HD92"/>
  <c r="HD103"/>
  <c r="GF107"/>
  <c r="IB107" s="1"/>
  <c r="IY112"/>
  <c r="IZ112" s="1"/>
  <c r="GL107"/>
  <c r="FX107"/>
  <c r="HD100"/>
  <c r="IY98"/>
  <c r="HD93"/>
  <c r="HD85"/>
  <c r="GF109"/>
  <c r="GG109" s="1"/>
  <c r="GF113"/>
  <c r="IB113" s="1"/>
  <c r="HD102"/>
  <c r="IX102"/>
  <c r="JE102" s="1"/>
  <c r="IY101"/>
  <c r="IY92"/>
  <c r="HD91"/>
  <c r="HD87"/>
  <c r="HD84"/>
  <c r="IX84"/>
  <c r="JE84" s="1"/>
  <c r="HD82"/>
  <c r="GU22"/>
  <c r="HC22" s="1"/>
  <c r="HG22" s="1"/>
  <c r="GF106"/>
  <c r="IB106" s="1"/>
  <c r="GF103"/>
  <c r="GG103" s="1"/>
  <c r="GF82"/>
  <c r="GG82" s="1"/>
  <c r="IA101"/>
  <c r="JH101"/>
  <c r="JI101" s="1"/>
  <c r="JO101" s="1"/>
  <c r="JS101" s="1"/>
  <c r="FZ113"/>
  <c r="IY104"/>
  <c r="HD96"/>
  <c r="IX95"/>
  <c r="HD95"/>
  <c r="JD91"/>
  <c r="HD83"/>
  <c r="GF101"/>
  <c r="GG101" s="1"/>
  <c r="HX98"/>
  <c r="IA98" s="1"/>
  <c r="IX108"/>
  <c r="HD108"/>
  <c r="IY96"/>
  <c r="IY90"/>
  <c r="IZ91"/>
  <c r="JH98"/>
  <c r="JI98" s="1"/>
  <c r="JO98" s="1"/>
  <c r="JS98" s="1"/>
  <c r="IA90"/>
  <c r="JH90"/>
  <c r="JI90" s="1"/>
  <c r="JO90" s="1"/>
  <c r="JS90" s="1"/>
  <c r="HD94"/>
  <c r="IY94"/>
  <c r="HD89"/>
  <c r="IY89"/>
  <c r="BC58"/>
  <c r="BC47"/>
  <c r="A300" i="45"/>
  <c r="B300" s="1"/>
  <c r="A304"/>
  <c r="B304" s="1"/>
  <c r="AV38" i="24"/>
  <c r="AW38"/>
  <c r="AX38" s="1"/>
  <c r="GF111"/>
  <c r="GF98"/>
  <c r="HO100"/>
  <c r="HP100" s="1"/>
  <c r="HR100" s="1"/>
  <c r="HS100" s="1"/>
  <c r="GF85"/>
  <c r="HP92"/>
  <c r="HO93"/>
  <c r="HP93" s="1"/>
  <c r="HO94"/>
  <c r="HX94" s="1"/>
  <c r="GF94"/>
  <c r="R308" i="40"/>
  <c r="E308"/>
  <c r="HX86" i="24"/>
  <c r="HP82"/>
  <c r="HR82" s="1"/>
  <c r="HS82" s="1"/>
  <c r="R142" i="40"/>
  <c r="E142"/>
  <c r="GF110" i="24"/>
  <c r="GF100"/>
  <c r="HX104"/>
  <c r="HO103"/>
  <c r="GF96"/>
  <c r="HO97"/>
  <c r="HX97" s="1"/>
  <c r="GF97"/>
  <c r="GF92"/>
  <c r="E332" i="40"/>
  <c r="R332"/>
  <c r="HX89" i="24"/>
  <c r="HP96"/>
  <c r="HP85"/>
  <c r="HO83"/>
  <c r="HX83" s="1"/>
  <c r="GF83"/>
  <c r="HO88"/>
  <c r="HP88" s="1"/>
  <c r="R283" i="40"/>
  <c r="E277"/>
  <c r="E283"/>
  <c r="E136"/>
  <c r="IM98" i="24" l="1"/>
  <c r="IM101"/>
  <c r="IN101" s="1"/>
  <c r="IM90"/>
  <c r="GG107"/>
  <c r="L62" i="45"/>
  <c r="L63" s="1"/>
  <c r="L64"/>
  <c r="GG113" i="24"/>
  <c r="IX112"/>
  <c r="GG106"/>
  <c r="JD87"/>
  <c r="HD22"/>
  <c r="L291" i="45"/>
  <c r="L292" s="1"/>
  <c r="L293"/>
  <c r="L294" s="1"/>
  <c r="L295" s="1"/>
  <c r="JD102" i="24"/>
  <c r="JD84"/>
  <c r="IB109"/>
  <c r="IB101"/>
  <c r="JD95"/>
  <c r="JE95"/>
  <c r="HR88"/>
  <c r="HS88" s="1"/>
  <c r="GG83"/>
  <c r="GG92"/>
  <c r="GG100"/>
  <c r="E148" i="40"/>
  <c r="R148"/>
  <c r="HR96" i="24"/>
  <c r="HS96" s="1"/>
  <c r="IN90"/>
  <c r="IB90"/>
  <c r="HP103"/>
  <c r="JD108"/>
  <c r="JE108"/>
  <c r="R289" i="40"/>
  <c r="E289"/>
  <c r="IA97" i="24"/>
  <c r="JH97"/>
  <c r="JI97" s="1"/>
  <c r="JO97" s="1"/>
  <c r="JS97" s="1"/>
  <c r="IB110"/>
  <c r="GG110"/>
  <c r="GG94"/>
  <c r="IB98"/>
  <c r="GG98"/>
  <c r="IB111"/>
  <c r="GG111"/>
  <c r="HR85"/>
  <c r="HS85" s="1"/>
  <c r="BC48"/>
  <c r="IA83"/>
  <c r="JH83"/>
  <c r="JI83" s="1"/>
  <c r="IA89"/>
  <c r="JH89"/>
  <c r="JI89" s="1"/>
  <c r="JO89" s="1"/>
  <c r="JS89" s="1"/>
  <c r="GG97"/>
  <c r="IB97"/>
  <c r="GG96"/>
  <c r="IA104"/>
  <c r="JH104"/>
  <c r="JI104" s="1"/>
  <c r="JO104" s="1"/>
  <c r="JS104" s="1"/>
  <c r="HU82"/>
  <c r="HT82"/>
  <c r="IA86"/>
  <c r="JH86"/>
  <c r="JI86" s="1"/>
  <c r="JO86" s="1"/>
  <c r="JS86" s="1"/>
  <c r="E314" i="40"/>
  <c r="R314"/>
  <c r="IA94" i="24"/>
  <c r="JH94"/>
  <c r="JI94" s="1"/>
  <c r="HR93"/>
  <c r="HS93" s="1"/>
  <c r="GG85"/>
  <c r="HT100"/>
  <c r="HU100"/>
  <c r="BC59"/>
  <c r="HR92"/>
  <c r="HS92" s="1"/>
  <c r="IN98"/>
  <c r="KU89" l="1"/>
  <c r="KU97"/>
  <c r="IR101"/>
  <c r="IS101" s="1"/>
  <c r="IO101"/>
  <c r="IT101" s="1"/>
  <c r="IM94"/>
  <c r="IM86"/>
  <c r="IM104"/>
  <c r="IM97"/>
  <c r="IM89"/>
  <c r="IM83"/>
  <c r="L65" i="45"/>
  <c r="L66" s="1"/>
  <c r="L92"/>
  <c r="IO90" i="24"/>
  <c r="IT90" s="1"/>
  <c r="IR90"/>
  <c r="IS90" s="1"/>
  <c r="IO98"/>
  <c r="IT98" s="1"/>
  <c r="IR98"/>
  <c r="IS98" s="1"/>
  <c r="HX100"/>
  <c r="JH100" s="1"/>
  <c r="JI100" s="1"/>
  <c r="JO100" s="1"/>
  <c r="JS100" s="1"/>
  <c r="HT92"/>
  <c r="IN94"/>
  <c r="IN86"/>
  <c r="IB86"/>
  <c r="IN104"/>
  <c r="IB104"/>
  <c r="HU92"/>
  <c r="HX92" s="1"/>
  <c r="HX82"/>
  <c r="IN89"/>
  <c r="IB89"/>
  <c r="IN83"/>
  <c r="IN97"/>
  <c r="HU85"/>
  <c r="HU93"/>
  <c r="HU96"/>
  <c r="HT88"/>
  <c r="BC49"/>
  <c r="IB94"/>
  <c r="HT85"/>
  <c r="HT93"/>
  <c r="HT96"/>
  <c r="IB83"/>
  <c r="HU88"/>
  <c r="HR103"/>
  <c r="HS103" s="1"/>
  <c r="KU100" l="1"/>
  <c r="L93" i="45"/>
  <c r="L94" s="1"/>
  <c r="L177"/>
  <c r="HX93" i="24"/>
  <c r="IA93" s="1"/>
  <c r="IA100"/>
  <c r="IO97"/>
  <c r="IT97" s="1"/>
  <c r="IR97"/>
  <c r="IS97" s="1"/>
  <c r="IO83"/>
  <c r="IT83" s="1"/>
  <c r="IR83"/>
  <c r="IS83" s="1"/>
  <c r="IO89"/>
  <c r="IT89" s="1"/>
  <c r="IR89"/>
  <c r="IS89" s="1"/>
  <c r="IO104"/>
  <c r="IT104" s="1"/>
  <c r="IR104"/>
  <c r="IS104" s="1"/>
  <c r="IO94"/>
  <c r="IT94" s="1"/>
  <c r="IR94"/>
  <c r="IS94" s="1"/>
  <c r="IO86"/>
  <c r="IT86" s="1"/>
  <c r="IR86"/>
  <c r="IS86" s="1"/>
  <c r="HX88"/>
  <c r="JH88" s="1"/>
  <c r="JI88" s="1"/>
  <c r="JO88" s="1"/>
  <c r="JS88" s="1"/>
  <c r="JH92"/>
  <c r="JI92" s="1"/>
  <c r="JO92" s="1"/>
  <c r="JS92" s="1"/>
  <c r="IA92"/>
  <c r="HU103"/>
  <c r="HX96"/>
  <c r="HT103"/>
  <c r="HX85"/>
  <c r="BC50"/>
  <c r="JH82"/>
  <c r="JI82" s="1"/>
  <c r="JO82" s="1"/>
  <c r="JS82" s="1"/>
  <c r="IA82"/>
  <c r="KU82" l="1"/>
  <c r="KU88"/>
  <c r="KU92"/>
  <c r="IM93"/>
  <c r="IM82"/>
  <c r="IM92"/>
  <c r="IM100"/>
  <c r="IN100" s="1"/>
  <c r="IB100"/>
  <c r="L107" i="45"/>
  <c r="L108" s="1"/>
  <c r="L109" s="1"/>
  <c r="L178"/>
  <c r="L179" s="1"/>
  <c r="JH93" i="24"/>
  <c r="JI93" s="1"/>
  <c r="JO93" s="1"/>
  <c r="JS93" s="1"/>
  <c r="HX103"/>
  <c r="JH103" s="1"/>
  <c r="JI103" s="1"/>
  <c r="JO103" s="1"/>
  <c r="JS103" s="1"/>
  <c r="IA88"/>
  <c r="IA103"/>
  <c r="IB82"/>
  <c r="IN82"/>
  <c r="IN92"/>
  <c r="IB92"/>
  <c r="BC51"/>
  <c r="JH85"/>
  <c r="JI85" s="1"/>
  <c r="JO85" s="1"/>
  <c r="JS85" s="1"/>
  <c r="IA85"/>
  <c r="JH96"/>
  <c r="JI96" s="1"/>
  <c r="JO96" s="1"/>
  <c r="JS96" s="1"/>
  <c r="IA96"/>
  <c r="IN93"/>
  <c r="IB93"/>
  <c r="KU96" l="1"/>
  <c r="KU103"/>
  <c r="KU85"/>
  <c r="KU93"/>
  <c r="IO100"/>
  <c r="IT100" s="1"/>
  <c r="IR100"/>
  <c r="IS100" s="1"/>
  <c r="IM96"/>
  <c r="IM85"/>
  <c r="IB88"/>
  <c r="IM88"/>
  <c r="IN88" s="1"/>
  <c r="IR88" s="1"/>
  <c r="IS88" s="1"/>
  <c r="IM103"/>
  <c r="IO93"/>
  <c r="IT93" s="1"/>
  <c r="IR93"/>
  <c r="IS93" s="1"/>
  <c r="IO92"/>
  <c r="IT92" s="1"/>
  <c r="IR92"/>
  <c r="IS92" s="1"/>
  <c r="IO82"/>
  <c r="IT82" s="1"/>
  <c r="IR82"/>
  <c r="IS82" s="1"/>
  <c r="IN96"/>
  <c r="IB96"/>
  <c r="IN85"/>
  <c r="IB85"/>
  <c r="IB103"/>
  <c r="IN103"/>
  <c r="IO88" l="1"/>
  <c r="IT88" s="1"/>
  <c r="IO85"/>
  <c r="IT85" s="1"/>
  <c r="IR85"/>
  <c r="IS85" s="1"/>
  <c r="IO103"/>
  <c r="IT103" s="1"/>
  <c r="IR103"/>
  <c r="IS103" s="1"/>
  <c r="IO96"/>
  <c r="IT96" s="1"/>
  <c r="IR96"/>
  <c r="IS96" s="1"/>
  <c r="I20" i="1" l="1"/>
  <c r="J20" s="1"/>
  <c r="K20" s="1"/>
  <c r="L20" s="1"/>
  <c r="X36"/>
  <c r="X37"/>
  <c r="X38"/>
  <c r="X39"/>
  <c r="X40"/>
  <c r="X41"/>
  <c r="X43"/>
  <c r="X44"/>
  <c r="X45"/>
  <c r="X46"/>
  <c r="X47"/>
  <c r="X48"/>
  <c r="X49"/>
  <c r="M35" i="24"/>
  <c r="I18" i="34"/>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K30" i="45"/>
  <c r="M30" s="1"/>
  <c r="K39"/>
  <c r="M39" s="1"/>
  <c r="N39" s="1"/>
  <c r="K40"/>
  <c r="M40" s="1"/>
  <c r="K41"/>
  <c r="M41" s="1"/>
  <c r="J42"/>
  <c r="K42" s="1"/>
  <c r="M42" s="1"/>
  <c r="K46"/>
  <c r="M46" s="1"/>
  <c r="K47"/>
  <c r="M47" s="1"/>
  <c r="K48"/>
  <c r="M48" s="1"/>
  <c r="K49"/>
  <c r="M49" s="1"/>
  <c r="K50"/>
  <c r="M50" s="1"/>
  <c r="K51"/>
  <c r="M51" s="1"/>
  <c r="K52"/>
  <c r="M52" s="1"/>
  <c r="K53"/>
  <c r="M53" s="1"/>
  <c r="K54"/>
  <c r="M54" s="1"/>
  <c r="K55"/>
  <c r="M55" s="1"/>
  <c r="K56"/>
  <c r="M56" s="1"/>
  <c r="K57"/>
  <c r="M57" s="1"/>
  <c r="K58"/>
  <c r="M58" s="1"/>
  <c r="K59"/>
  <c r="M59" s="1"/>
  <c r="K60"/>
  <c r="M60" s="1"/>
  <c r="K61"/>
  <c r="M61" s="1"/>
  <c r="K62"/>
  <c r="M62" s="1"/>
  <c r="K63"/>
  <c r="M63" s="1"/>
  <c r="K64"/>
  <c r="M64" s="1"/>
  <c r="K65"/>
  <c r="M65" s="1"/>
  <c r="K66"/>
  <c r="M66" s="1"/>
  <c r="K67"/>
  <c r="M67" s="1"/>
  <c r="K68"/>
  <c r="M68" s="1"/>
  <c r="K69"/>
  <c r="M69" s="1"/>
  <c r="K70"/>
  <c r="M70" s="1"/>
  <c r="K71"/>
  <c r="M71" s="1"/>
  <c r="K72"/>
  <c r="M72" s="1"/>
  <c r="K73"/>
  <c r="M73" s="1"/>
  <c r="K74"/>
  <c r="M74" s="1"/>
  <c r="K75"/>
  <c r="M75" s="1"/>
  <c r="K76"/>
  <c r="M76" s="1"/>
  <c r="K77"/>
  <c r="M77" s="1"/>
  <c r="K78"/>
  <c r="M78" s="1"/>
  <c r="K79"/>
  <c r="M79" s="1"/>
  <c r="K80"/>
  <c r="M80" s="1"/>
  <c r="K81"/>
  <c r="M81" s="1"/>
  <c r="K82"/>
  <c r="M82" s="1"/>
  <c r="K83"/>
  <c r="M83" s="1"/>
  <c r="N83" s="1"/>
  <c r="K84"/>
  <c r="M84" s="1"/>
  <c r="K85"/>
  <c r="M85" s="1"/>
  <c r="N85" s="1"/>
  <c r="K92"/>
  <c r="M92" s="1"/>
  <c r="K93"/>
  <c r="M93" s="1"/>
  <c r="K94"/>
  <c r="M94" s="1"/>
  <c r="K107"/>
  <c r="M107" s="1"/>
  <c r="K108"/>
  <c r="M108" s="1"/>
  <c r="K109"/>
  <c r="M109" s="1"/>
  <c r="K110"/>
  <c r="M110" s="1"/>
  <c r="K111"/>
  <c r="M111" s="1"/>
  <c r="K112"/>
  <c r="M112" s="1"/>
  <c r="K113"/>
  <c r="M113" s="1"/>
  <c r="K114"/>
  <c r="M114" s="1"/>
  <c r="K115"/>
  <c r="M115" s="1"/>
  <c r="K116"/>
  <c r="M116" s="1"/>
  <c r="K117"/>
  <c r="M117" s="1"/>
  <c r="K118"/>
  <c r="M118" s="1"/>
  <c r="K125"/>
  <c r="M125" s="1"/>
  <c r="K126"/>
  <c r="M126" s="1"/>
  <c r="K127"/>
  <c r="M127" s="1"/>
  <c r="K128"/>
  <c r="M128" s="1"/>
  <c r="K129"/>
  <c r="M129" s="1"/>
  <c r="N129" s="1"/>
  <c r="K130"/>
  <c r="M130" s="1"/>
  <c r="K131"/>
  <c r="M131" s="1"/>
  <c r="K132"/>
  <c r="M132" s="1"/>
  <c r="K133"/>
  <c r="M133" s="1"/>
  <c r="K134"/>
  <c r="M134" s="1"/>
  <c r="K135"/>
  <c r="M135" s="1"/>
  <c r="K136"/>
  <c r="M136" s="1"/>
  <c r="K137"/>
  <c r="M137" s="1"/>
  <c r="K138"/>
  <c r="M138" s="1"/>
  <c r="K139"/>
  <c r="M139" s="1"/>
  <c r="N139" s="1"/>
  <c r="K140"/>
  <c r="M140" s="1"/>
  <c r="K141"/>
  <c r="M141" s="1"/>
  <c r="K142"/>
  <c r="M142" s="1"/>
  <c r="K143"/>
  <c r="M143" s="1"/>
  <c r="K144"/>
  <c r="M144" s="1"/>
  <c r="K145"/>
  <c r="M145" s="1"/>
  <c r="K153"/>
  <c r="M153" s="1"/>
  <c r="K154"/>
  <c r="M154" s="1"/>
  <c r="K155"/>
  <c r="M155" s="1"/>
  <c r="K156"/>
  <c r="M156" s="1"/>
  <c r="K157"/>
  <c r="M157" s="1"/>
  <c r="K158"/>
  <c r="M158" s="1"/>
  <c r="K159"/>
  <c r="M159" s="1"/>
  <c r="K160"/>
  <c r="M160" s="1"/>
  <c r="K161"/>
  <c r="M161" s="1"/>
  <c r="K162"/>
  <c r="M162" s="1"/>
  <c r="K163"/>
  <c r="M163" s="1"/>
  <c r="K164"/>
  <c r="M164" s="1"/>
  <c r="K165"/>
  <c r="M165" s="1"/>
  <c r="K166"/>
  <c r="M166" s="1"/>
  <c r="K167"/>
  <c r="M167" s="1"/>
  <c r="K168"/>
  <c r="M168" s="1"/>
  <c r="K169"/>
  <c r="M169" s="1"/>
  <c r="K170"/>
  <c r="M170" s="1"/>
  <c r="K171"/>
  <c r="M171" s="1"/>
  <c r="K172"/>
  <c r="M172" s="1"/>
  <c r="K173"/>
  <c r="M173" s="1"/>
  <c r="K174"/>
  <c r="M174" s="1"/>
  <c r="K175"/>
  <c r="M175" s="1"/>
  <c r="K176"/>
  <c r="M176" s="1"/>
  <c r="K177"/>
  <c r="M177" s="1"/>
  <c r="K178"/>
  <c r="M178" s="1"/>
  <c r="K179"/>
  <c r="M179" s="1"/>
  <c r="K180"/>
  <c r="M180" s="1"/>
  <c r="K181"/>
  <c r="M181" s="1"/>
  <c r="K182"/>
  <c r="M182" s="1"/>
  <c r="N82"/>
  <c r="N84"/>
  <c r="N126"/>
  <c r="N127"/>
  <c r="N130"/>
  <c r="N138"/>
  <c r="I17"/>
  <c r="J17" s="1"/>
  <c r="K17" s="1"/>
  <c r="L17" s="1"/>
  <c r="M17" s="1"/>
  <c r="N17" s="1"/>
  <c r="O17" s="1"/>
  <c r="P17" s="1"/>
  <c r="Q17" s="1"/>
  <c r="R17" s="1"/>
  <c r="S17" s="1"/>
  <c r="T17" s="1"/>
  <c r="U17" s="1"/>
  <c r="V17" s="1"/>
  <c r="W17" s="1"/>
  <c r="X17" s="1"/>
  <c r="Y17" s="1"/>
  <c r="Z17" s="1"/>
  <c r="AA17" s="1"/>
  <c r="AB17" s="1"/>
  <c r="AC17" s="1"/>
  <c r="J18" i="21"/>
  <c r="K18" s="1"/>
  <c r="L18" s="1"/>
  <c r="M18" s="1"/>
  <c r="N18" s="1"/>
  <c r="O18" s="1"/>
  <c r="P18" s="1"/>
  <c r="Q18" s="1"/>
  <c r="ED35" i="24"/>
  <c r="M36"/>
  <c r="P36"/>
  <c r="K23" i="54"/>
  <c r="L23" s="1"/>
  <c r="M23" s="1"/>
  <c r="N23" s="1"/>
  <c r="O23" s="1"/>
  <c r="P23" s="1"/>
  <c r="Q23" s="1"/>
  <c r="R23" s="1"/>
  <c r="S23" s="1"/>
  <c r="T23" s="1"/>
  <c r="U23" s="1"/>
  <c r="V23" s="1"/>
  <c r="W23" s="1"/>
  <c r="X23" s="1"/>
  <c r="Y23" s="1"/>
  <c r="Z23" s="1"/>
  <c r="AA23" s="1"/>
  <c r="AB23" s="1"/>
  <c r="AC23" s="1"/>
  <c r="AD23" s="1"/>
  <c r="AE23" s="1"/>
  <c r="AF23" s="1"/>
  <c r="AG23" s="1"/>
  <c r="H28" i="31"/>
  <c r="CS36" i="24" s="1"/>
  <c r="J37"/>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K37"/>
  <c r="M37"/>
  <c r="I26" i="54"/>
  <c r="H68" i="31"/>
  <c r="H69" s="1"/>
  <c r="H71" s="1"/>
  <c r="K38" i="24"/>
  <c r="K39" s="1"/>
  <c r="K40" s="1"/>
  <c r="K41" s="1"/>
  <c r="K42" s="1"/>
  <c r="K43" s="1"/>
  <c r="K44" s="1"/>
  <c r="K53" s="1"/>
  <c r="K61" s="1"/>
  <c r="K64" s="1"/>
  <c r="K65" s="1"/>
  <c r="K66" s="1"/>
  <c r="K67" s="1"/>
  <c r="K68" s="1"/>
  <c r="K69" s="1"/>
  <c r="K70" s="1"/>
  <c r="K71" s="1"/>
  <c r="K72" s="1"/>
  <c r="K73" s="1"/>
  <c r="K74" s="1"/>
  <c r="K76" s="1"/>
  <c r="K77" s="1"/>
  <c r="K78" s="1"/>
  <c r="K79" s="1"/>
  <c r="M38"/>
  <c r="H22" i="21"/>
  <c r="I27" i="54"/>
  <c r="M39" i="24"/>
  <c r="M40"/>
  <c r="M41"/>
  <c r="M42"/>
  <c r="M43"/>
  <c r="M44"/>
  <c r="P44"/>
  <c r="HE30" i="1"/>
  <c r="D12" i="13"/>
  <c r="BB21" i="1" s="1"/>
  <c r="BC21" s="1"/>
  <c r="AD17" i="45"/>
  <c r="AE17" s="1"/>
  <c r="AF17" s="1"/>
  <c r="AG17" s="1"/>
  <c r="AH17" s="1"/>
  <c r="K241"/>
  <c r="M241" s="1"/>
  <c r="K251"/>
  <c r="M251" s="1"/>
  <c r="A251" s="1"/>
  <c r="B251" s="1"/>
  <c r="K252"/>
  <c r="M252" s="1"/>
  <c r="A252" s="1"/>
  <c r="B252" s="1"/>
  <c r="K253"/>
  <c r="M253" s="1"/>
  <c r="A253" s="1"/>
  <c r="B253" s="1"/>
  <c r="K254"/>
  <c r="M254" s="1"/>
  <c r="K255"/>
  <c r="M255" s="1"/>
  <c r="K256"/>
  <c r="M256" s="1"/>
  <c r="K257"/>
  <c r="M257" s="1"/>
  <c r="K258"/>
  <c r="M258" s="1"/>
  <c r="K259"/>
  <c r="M259" s="1"/>
  <c r="K260"/>
  <c r="M260" s="1"/>
  <c r="K261"/>
  <c r="M261" s="1"/>
  <c r="K262"/>
  <c r="M262" s="1"/>
  <c r="K266"/>
  <c r="M266" s="1"/>
  <c r="K267"/>
  <c r="M267" s="1"/>
  <c r="K268"/>
  <c r="M268" s="1"/>
  <c r="K269"/>
  <c r="M269" s="1"/>
  <c r="K270"/>
  <c r="M270" s="1"/>
  <c r="K271"/>
  <c r="M271" s="1"/>
  <c r="K272"/>
  <c r="M272" s="1"/>
  <c r="K273"/>
  <c r="M273" s="1"/>
  <c r="K274"/>
  <c r="M274" s="1"/>
  <c r="K275"/>
  <c r="M275" s="1"/>
  <c r="K276"/>
  <c r="M276" s="1"/>
  <c r="K277"/>
  <c r="M277" s="1"/>
  <c r="K278"/>
  <c r="M278" s="1"/>
  <c r="K279"/>
  <c r="M279" s="1"/>
  <c r="K280"/>
  <c r="M280" s="1"/>
  <c r="K281"/>
  <c r="M281" s="1"/>
  <c r="K282"/>
  <c r="M282" s="1"/>
  <c r="K283"/>
  <c r="M283" s="1"/>
  <c r="K284"/>
  <c r="M284" s="1"/>
  <c r="K285"/>
  <c r="M285" s="1"/>
  <c r="K286"/>
  <c r="M286" s="1"/>
  <c r="K287"/>
  <c r="M287" s="1"/>
  <c r="K288"/>
  <c r="M288" s="1"/>
  <c r="K289"/>
  <c r="M289" s="1"/>
  <c r="K290"/>
  <c r="M290" s="1"/>
  <c r="K291"/>
  <c r="M291" s="1"/>
  <c r="K292"/>
  <c r="M292" s="1"/>
  <c r="K293"/>
  <c r="M293" s="1"/>
  <c r="K296"/>
  <c r="M296" s="1"/>
  <c r="N296" s="1"/>
  <c r="C296" s="1"/>
  <c r="K297"/>
  <c r="M297" s="1"/>
  <c r="N297" s="1"/>
  <c r="C297" s="1"/>
  <c r="K298"/>
  <c r="M298" s="1"/>
  <c r="K299"/>
  <c r="M299" s="1"/>
  <c r="N299" s="1"/>
  <c r="C299" s="1"/>
  <c r="K306"/>
  <c r="M306" s="1"/>
  <c r="K307"/>
  <c r="M307" s="1"/>
  <c r="K308"/>
  <c r="M308" s="1"/>
  <c r="K318"/>
  <c r="M318" s="1"/>
  <c r="K319"/>
  <c r="M319" s="1"/>
  <c r="K320"/>
  <c r="M320" s="1"/>
  <c r="K321"/>
  <c r="M321" s="1"/>
  <c r="K322"/>
  <c r="M322" s="1"/>
  <c r="K323"/>
  <c r="M323" s="1"/>
  <c r="K324"/>
  <c r="M324" s="1"/>
  <c r="K325"/>
  <c r="M325" s="1"/>
  <c r="K326"/>
  <c r="M326" s="1"/>
  <c r="K327"/>
  <c r="M327" s="1"/>
  <c r="K328"/>
  <c r="M328" s="1"/>
  <c r="K329"/>
  <c r="M329" s="1"/>
  <c r="K336"/>
  <c r="M336" s="1"/>
  <c r="K337"/>
  <c r="M337" s="1"/>
  <c r="N337" s="1"/>
  <c r="C337" s="1"/>
  <c r="K338"/>
  <c r="M338" s="1"/>
  <c r="N338" s="1"/>
  <c r="C338" s="1"/>
  <c r="K339"/>
  <c r="M339" s="1"/>
  <c r="K340"/>
  <c r="M340" s="1"/>
  <c r="K341"/>
  <c r="M341" s="1"/>
  <c r="N341" s="1"/>
  <c r="C341" s="1"/>
  <c r="K342"/>
  <c r="M342" s="1"/>
  <c r="K343"/>
  <c r="M343" s="1"/>
  <c r="K344"/>
  <c r="M344" s="1"/>
  <c r="K345"/>
  <c r="M345" s="1"/>
  <c r="K346"/>
  <c r="M346" s="1"/>
  <c r="K347"/>
  <c r="M347" s="1"/>
  <c r="K348"/>
  <c r="M348" s="1"/>
  <c r="K349"/>
  <c r="M349" s="1"/>
  <c r="K350"/>
  <c r="M350" s="1"/>
  <c r="N350" s="1"/>
  <c r="C350" s="1"/>
  <c r="K351"/>
  <c r="M351" s="1"/>
  <c r="K352"/>
  <c r="M352" s="1"/>
  <c r="K353"/>
  <c r="M353" s="1"/>
  <c r="K354"/>
  <c r="M354" s="1"/>
  <c r="K355"/>
  <c r="M355" s="1"/>
  <c r="K356"/>
  <c r="M356" s="1"/>
  <c r="K364"/>
  <c r="M364" s="1"/>
  <c r="K365"/>
  <c r="M365" s="1"/>
  <c r="K366"/>
  <c r="M366" s="1"/>
  <c r="K367"/>
  <c r="M367" s="1"/>
  <c r="K368"/>
  <c r="M368" s="1"/>
  <c r="K369"/>
  <c r="M369" s="1"/>
  <c r="K370"/>
  <c r="M370" s="1"/>
  <c r="K371"/>
  <c r="M371" s="1"/>
  <c r="K372"/>
  <c r="M372" s="1"/>
  <c r="K373"/>
  <c r="M373" s="1"/>
  <c r="K374"/>
  <c r="M374" s="1"/>
  <c r="K375"/>
  <c r="M375" s="1"/>
  <c r="K376"/>
  <c r="M376" s="1"/>
  <c r="K377"/>
  <c r="M377" s="1"/>
  <c r="K378"/>
  <c r="M378" s="1"/>
  <c r="A378" s="1"/>
  <c r="B378" s="1"/>
  <c r="K379"/>
  <c r="M379" s="1"/>
  <c r="K380"/>
  <c r="M380" s="1"/>
  <c r="K381"/>
  <c r="M381" s="1"/>
  <c r="K382"/>
  <c r="M382" s="1"/>
  <c r="K383"/>
  <c r="M383" s="1"/>
  <c r="K384"/>
  <c r="M384" s="1"/>
  <c r="K385"/>
  <c r="M385" s="1"/>
  <c r="K386"/>
  <c r="M386" s="1"/>
  <c r="K387"/>
  <c r="M387" s="1"/>
  <c r="K388"/>
  <c r="M388" s="1"/>
  <c r="K389"/>
  <c r="M389" s="1"/>
  <c r="A389" s="1"/>
  <c r="B389" s="1"/>
  <c r="K390"/>
  <c r="M390" s="1"/>
  <c r="K391"/>
  <c r="M391" s="1"/>
  <c r="K392"/>
  <c r="M392" s="1"/>
  <c r="K393"/>
  <c r="M393" s="1"/>
  <c r="G241"/>
  <c r="G242" s="1"/>
  <c r="I241"/>
  <c r="K242"/>
  <c r="K243"/>
  <c r="I244"/>
  <c r="I247" s="1"/>
  <c r="I250" s="1"/>
  <c r="I251" s="1"/>
  <c r="I254" s="1"/>
  <c r="I257" s="1"/>
  <c r="I260" s="1"/>
  <c r="I263" s="1"/>
  <c r="I266" s="1"/>
  <c r="I269" s="1"/>
  <c r="I272" s="1"/>
  <c r="I275" s="1"/>
  <c r="I278" s="1"/>
  <c r="I281" s="1"/>
  <c r="I284" s="1"/>
  <c r="I287" s="1"/>
  <c r="I290" s="1"/>
  <c r="I293" s="1"/>
  <c r="I296" s="1"/>
  <c r="I297" s="1"/>
  <c r="I298" s="1"/>
  <c r="I299" s="1"/>
  <c r="I300" s="1"/>
  <c r="I303" s="1"/>
  <c r="I306" s="1"/>
  <c r="I309" s="1"/>
  <c r="I312" s="1"/>
  <c r="I315" s="1"/>
  <c r="I318" s="1"/>
  <c r="I321" s="1"/>
  <c r="I324" s="1"/>
  <c r="I327" s="1"/>
  <c r="I330" s="1"/>
  <c r="I333" s="1"/>
  <c r="I336" s="1"/>
  <c r="I339" s="1"/>
  <c r="I342" s="1"/>
  <c r="I345" s="1"/>
  <c r="I348" s="1"/>
  <c r="I351" s="1"/>
  <c r="I354" s="1"/>
  <c r="I357" s="1"/>
  <c r="I360" s="1"/>
  <c r="I361" s="1"/>
  <c r="I364" s="1"/>
  <c r="I367" s="1"/>
  <c r="I370" s="1"/>
  <c r="I373" s="1"/>
  <c r="I376" s="1"/>
  <c r="I379" s="1"/>
  <c r="I382" s="1"/>
  <c r="I385" s="1"/>
  <c r="I388" s="1"/>
  <c r="I391" s="1"/>
  <c r="I394" s="1"/>
  <c r="I397" s="1"/>
  <c r="I400" s="1"/>
  <c r="I403" s="1"/>
  <c r="I406" s="1"/>
  <c r="I409" s="1"/>
  <c r="I411" s="1"/>
  <c r="I414" s="1"/>
  <c r="I417" s="1"/>
  <c r="K250"/>
  <c r="N298"/>
  <c r="N340"/>
  <c r="N349"/>
  <c r="BB23" i="1"/>
  <c r="BC23" s="1"/>
  <c r="BB24"/>
  <c r="BC24" s="1"/>
  <c r="BB25"/>
  <c r="BC25" s="1"/>
  <c r="BB26"/>
  <c r="BC26" s="1"/>
  <c r="BB27"/>
  <c r="BC27" s="1"/>
  <c r="BB28"/>
  <c r="BC28" s="1"/>
  <c r="BB29"/>
  <c r="BC29" s="1"/>
  <c r="BB30"/>
  <c r="BC30" s="1"/>
  <c r="HF30"/>
  <c r="HK30"/>
  <c r="HL30"/>
  <c r="HM30"/>
  <c r="HN30"/>
  <c r="BB31"/>
  <c r="BC31" s="1"/>
  <c r="HE31"/>
  <c r="HF31"/>
  <c r="BB32"/>
  <c r="BC32" s="1"/>
  <c r="R33"/>
  <c r="S33"/>
  <c r="BB33"/>
  <c r="BC33" s="1"/>
  <c r="BG33"/>
  <c r="CH33"/>
  <c r="CJ33"/>
  <c r="CK33"/>
  <c r="BB34"/>
  <c r="BC34" s="1"/>
  <c r="BB35"/>
  <c r="BC35" s="1"/>
  <c r="HJ35"/>
  <c r="BB36"/>
  <c r="BC36" s="1"/>
  <c r="HJ36"/>
  <c r="BB37"/>
  <c r="BC37" s="1"/>
  <c r="HJ37"/>
  <c r="BB38"/>
  <c r="BC38" s="1"/>
  <c r="HJ38"/>
  <c r="BB39"/>
  <c r="BC39" s="1"/>
  <c r="HE39"/>
  <c r="HF39" s="1"/>
  <c r="HN39" s="1"/>
  <c r="BB40"/>
  <c r="BC40" s="1"/>
  <c r="HE40"/>
  <c r="HF40" s="1"/>
  <c r="HN40" s="1"/>
  <c r="BB41"/>
  <c r="BC41" s="1"/>
  <c r="HD41"/>
  <c r="HE41"/>
  <c r="HF41" s="1"/>
  <c r="HN41" s="1"/>
  <c r="BB42"/>
  <c r="BC42" s="1"/>
  <c r="HD42"/>
  <c r="HE42" s="1"/>
  <c r="HF42" s="1"/>
  <c r="HN42" s="1"/>
  <c r="BB43"/>
  <c r="BC43" s="1"/>
  <c r="HE43"/>
  <c r="HF43" s="1"/>
  <c r="HN43" s="1"/>
  <c r="BB44"/>
  <c r="BC44" s="1"/>
  <c r="BB45"/>
  <c r="BC45" s="1"/>
  <c r="BB46"/>
  <c r="BC46" s="1"/>
  <c r="BB47"/>
  <c r="BC47" s="1"/>
  <c r="BB48"/>
  <c r="BC48" s="1"/>
  <c r="BB49"/>
  <c r="BC49" s="1"/>
  <c r="BB50"/>
  <c r="BC50" s="1"/>
  <c r="HE50"/>
  <c r="HF50" s="1"/>
  <c r="HN50" s="1"/>
  <c r="BB51"/>
  <c r="BC51" s="1"/>
  <c r="HE51"/>
  <c r="HF51" s="1"/>
  <c r="HN51" s="1"/>
  <c r="BB52"/>
  <c r="BC52" s="1"/>
  <c r="HE52"/>
  <c r="HF52" s="1"/>
  <c r="HN52" s="1"/>
  <c r="BB53"/>
  <c r="BC53" s="1"/>
  <c r="HE53"/>
  <c r="HF53" s="1"/>
  <c r="HN53" s="1"/>
  <c r="BB54"/>
  <c r="BC54" s="1"/>
  <c r="HE54"/>
  <c r="HF54" s="1"/>
  <c r="HN54" s="1"/>
  <c r="BB55"/>
  <c r="BC55" s="1"/>
  <c r="HE55"/>
  <c r="HF55" s="1"/>
  <c r="HN55" s="1"/>
  <c r="BB56"/>
  <c r="BC56" s="1"/>
  <c r="HE56"/>
  <c r="HF56"/>
  <c r="HN56" s="1"/>
  <c r="BB57"/>
  <c r="BC57" s="1"/>
  <c r="R58"/>
  <c r="S58"/>
  <c r="BB58"/>
  <c r="BC58" s="1"/>
  <c r="BG58"/>
  <c r="CH58"/>
  <c r="CJ58"/>
  <c r="CK58"/>
  <c r="BB59"/>
  <c r="BC59" s="1"/>
  <c r="D24" i="21"/>
  <c r="D25"/>
  <c r="D26"/>
  <c r="D27"/>
  <c r="D36"/>
  <c r="D44"/>
  <c r="D63"/>
  <c r="D65"/>
  <c r="D71"/>
  <c r="D74"/>
  <c r="D75"/>
  <c r="D82"/>
  <c r="D86"/>
  <c r="D87"/>
  <c r="D95"/>
  <c r="D96"/>
  <c r="D97"/>
  <c r="D98"/>
  <c r="J19"/>
  <c r="M19"/>
  <c r="J20"/>
  <c r="M20"/>
  <c r="J21"/>
  <c r="J22"/>
  <c r="H23"/>
  <c r="J23"/>
  <c r="H24"/>
  <c r="J24"/>
  <c r="H25"/>
  <c r="J25"/>
  <c r="H26"/>
  <c r="J26"/>
  <c r="H27"/>
  <c r="J27"/>
  <c r="H28"/>
  <c r="H29" s="1"/>
  <c r="H30" s="1"/>
  <c r="H31"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J28"/>
  <c r="M28"/>
  <c r="N29"/>
  <c r="N30"/>
  <c r="N31"/>
  <c r="N32"/>
  <c r="N34"/>
  <c r="N35"/>
  <c r="N36"/>
  <c r="J37"/>
  <c r="M37"/>
  <c r="N38"/>
  <c r="N39"/>
  <c r="N40"/>
  <c r="N42"/>
  <c r="N44"/>
  <c r="J45"/>
  <c r="M45"/>
  <c r="N46"/>
  <c r="N47"/>
  <c r="J48"/>
  <c r="M48"/>
  <c r="I49"/>
  <c r="M49"/>
  <c r="I52"/>
  <c r="I54" s="1"/>
  <c r="I55" s="1"/>
  <c r="I56" s="1"/>
  <c r="I57" s="1"/>
  <c r="I58" s="1"/>
  <c r="I60" s="1"/>
  <c r="I64" s="1"/>
  <c r="I66" s="1"/>
  <c r="I69" s="1"/>
  <c r="I72" s="1"/>
  <c r="I76" s="1"/>
  <c r="I80" s="1"/>
  <c r="I84" s="1"/>
  <c r="I87" s="1"/>
  <c r="I90" s="1"/>
  <c r="I93" s="1"/>
  <c r="I97" s="1"/>
  <c r="M54"/>
  <c r="M55"/>
  <c r="M58"/>
  <c r="N59"/>
  <c r="J64"/>
  <c r="J66" s="1"/>
  <c r="M66"/>
  <c r="N67"/>
  <c r="N68"/>
  <c r="N70"/>
  <c r="N71"/>
  <c r="N73"/>
  <c r="N75"/>
  <c r="M76"/>
  <c r="N77"/>
  <c r="N78"/>
  <c r="N79"/>
  <c r="N81"/>
  <c r="N83"/>
  <c r="M84"/>
  <c r="N85"/>
  <c r="N86"/>
  <c r="N88"/>
  <c r="N89"/>
  <c r="J90"/>
  <c r="M90"/>
  <c r="N91"/>
  <c r="N92"/>
  <c r="M93"/>
  <c r="N98"/>
  <c r="I28" i="54"/>
  <c r="I29" s="1"/>
  <c r="I30" s="1"/>
  <c r="I31" s="1"/>
  <c r="I32" s="1"/>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K24"/>
  <c r="N24"/>
  <c r="K25"/>
  <c r="N25"/>
  <c r="K26"/>
  <c r="K27"/>
  <c r="K28"/>
  <c r="K29"/>
  <c r="K30"/>
  <c r="K31"/>
  <c r="K32"/>
  <c r="K33"/>
  <c r="N33"/>
  <c r="AD33"/>
  <c r="O34"/>
  <c r="AD34"/>
  <c r="O35"/>
  <c r="AD35"/>
  <c r="O36"/>
  <c r="AD36"/>
  <c r="O37"/>
  <c r="AD37"/>
  <c r="AD38"/>
  <c r="O39"/>
  <c r="AD39"/>
  <c r="O40"/>
  <c r="C40" s="1"/>
  <c r="AD40"/>
  <c r="O41"/>
  <c r="K42"/>
  <c r="N42"/>
  <c r="O43"/>
  <c r="O44"/>
  <c r="O45"/>
  <c r="O47"/>
  <c r="O49"/>
  <c r="K50"/>
  <c r="N50"/>
  <c r="O51"/>
  <c r="U51"/>
  <c r="O52"/>
  <c r="C52" s="1"/>
  <c r="U52"/>
  <c r="J53"/>
  <c r="K53"/>
  <c r="N53"/>
  <c r="N54"/>
  <c r="N59"/>
  <c r="N60"/>
  <c r="N63"/>
  <c r="O64"/>
  <c r="U64"/>
  <c r="V64"/>
  <c r="K69"/>
  <c r="N71"/>
  <c r="O72"/>
  <c r="U72"/>
  <c r="O73"/>
  <c r="C73" s="1"/>
  <c r="U73"/>
  <c r="O75"/>
  <c r="C75" s="1"/>
  <c r="U75"/>
  <c r="O76"/>
  <c r="C76" s="1"/>
  <c r="U76"/>
  <c r="O78"/>
  <c r="C78" s="1"/>
  <c r="U78"/>
  <c r="O79"/>
  <c r="U79"/>
  <c r="O80"/>
  <c r="C80" s="1"/>
  <c r="U80"/>
  <c r="N81"/>
  <c r="O82"/>
  <c r="U82"/>
  <c r="O83"/>
  <c r="C83" s="1"/>
  <c r="U83"/>
  <c r="O84"/>
  <c r="U84"/>
  <c r="O86"/>
  <c r="C86" s="1"/>
  <c r="U86"/>
  <c r="O87"/>
  <c r="C87" s="1"/>
  <c r="U87"/>
  <c r="O88"/>
  <c r="C88" s="1"/>
  <c r="U88"/>
  <c r="N89"/>
  <c r="O90"/>
  <c r="U90"/>
  <c r="O91"/>
  <c r="C91" s="1"/>
  <c r="U91"/>
  <c r="O93"/>
  <c r="C93" s="1"/>
  <c r="U93"/>
  <c r="O94"/>
  <c r="U94"/>
  <c r="K95"/>
  <c r="N95"/>
  <c r="O96"/>
  <c r="C96" s="1"/>
  <c r="U96"/>
  <c r="O97"/>
  <c r="C97" s="1"/>
  <c r="U97"/>
  <c r="N98"/>
  <c r="O99"/>
  <c r="U99"/>
  <c r="U100"/>
  <c r="O101"/>
  <c r="C101" s="1"/>
  <c r="U101"/>
  <c r="O103"/>
  <c r="U103"/>
  <c r="ED44" i="24"/>
  <c r="T46"/>
  <c r="T45"/>
  <c r="Q45"/>
  <c r="U45"/>
  <c r="W45"/>
  <c r="X45"/>
  <c r="Z45"/>
  <c r="AA45"/>
  <c r="AB45"/>
  <c r="AC45"/>
  <c r="AD45"/>
  <c r="AF45"/>
  <c r="AG45"/>
  <c r="AO45"/>
  <c r="AQ45"/>
  <c r="AR45"/>
  <c r="AS45"/>
  <c r="AT45"/>
  <c r="ED45"/>
  <c r="Q46"/>
  <c r="U46"/>
  <c r="W46"/>
  <c r="X46"/>
  <c r="Z46"/>
  <c r="AA46"/>
  <c r="AB46"/>
  <c r="AC46"/>
  <c r="AD46"/>
  <c r="AF46"/>
  <c r="AG46"/>
  <c r="AO46"/>
  <c r="AQ46"/>
  <c r="AR46"/>
  <c r="AS46"/>
  <c r="AT46"/>
  <c r="ED46"/>
  <c r="Q47"/>
  <c r="T47"/>
  <c r="U47"/>
  <c r="W47"/>
  <c r="X47"/>
  <c r="Z47"/>
  <c r="AA47"/>
  <c r="AB47"/>
  <c r="AC47"/>
  <c r="AD47"/>
  <c r="AF47"/>
  <c r="AG47"/>
  <c r="AO47"/>
  <c r="AQ47"/>
  <c r="AR47"/>
  <c r="AS47"/>
  <c r="AT47"/>
  <c r="ED47"/>
  <c r="Q48"/>
  <c r="T48"/>
  <c r="U48"/>
  <c r="W48"/>
  <c r="X48"/>
  <c r="Z48"/>
  <c r="AA48"/>
  <c r="AB48"/>
  <c r="AC48"/>
  <c r="AD48"/>
  <c r="AF48"/>
  <c r="AG48"/>
  <c r="AO48"/>
  <c r="AQ48"/>
  <c r="AR48"/>
  <c r="AS48"/>
  <c r="AT48"/>
  <c r="AC49"/>
  <c r="AD49"/>
  <c r="AF49"/>
  <c r="AG49"/>
  <c r="AO49"/>
  <c r="AQ49"/>
  <c r="AR49"/>
  <c r="AS49"/>
  <c r="AT49"/>
  <c r="ED49"/>
  <c r="Q50"/>
  <c r="T50"/>
  <c r="U50"/>
  <c r="W50"/>
  <c r="X50"/>
  <c r="Z50"/>
  <c r="AA50"/>
  <c r="AB50"/>
  <c r="AC50"/>
  <c r="AD50"/>
  <c r="AF50"/>
  <c r="AG50"/>
  <c r="AO50"/>
  <c r="AQ50"/>
  <c r="AR50"/>
  <c r="AS50"/>
  <c r="AT50"/>
  <c r="ED50"/>
  <c r="Q51"/>
  <c r="T51"/>
  <c r="U51"/>
  <c r="W51"/>
  <c r="X51"/>
  <c r="Z51"/>
  <c r="AA51"/>
  <c r="AB51"/>
  <c r="AC51"/>
  <c r="AD51"/>
  <c r="AF51"/>
  <c r="AG51"/>
  <c r="AO51"/>
  <c r="AQ51"/>
  <c r="AR51"/>
  <c r="AS51"/>
  <c r="AT51"/>
  <c r="ED51"/>
  <c r="Q52"/>
  <c r="T52"/>
  <c r="U52"/>
  <c r="W52"/>
  <c r="X52"/>
  <c r="Z52"/>
  <c r="AA52"/>
  <c r="AB52"/>
  <c r="AC52"/>
  <c r="AD52"/>
  <c r="AF52"/>
  <c r="AG52"/>
  <c r="AO52"/>
  <c r="AQ52"/>
  <c r="AR52"/>
  <c r="AS52"/>
  <c r="AT52"/>
  <c r="M53"/>
  <c r="P53"/>
  <c r="T55"/>
  <c r="T54"/>
  <c r="Q54"/>
  <c r="U54"/>
  <c r="W54"/>
  <c r="X54"/>
  <c r="Z54"/>
  <c r="AA54"/>
  <c r="AB54"/>
  <c r="AC54"/>
  <c r="AD54"/>
  <c r="AF54"/>
  <c r="AG54"/>
  <c r="AO54"/>
  <c r="AQ54"/>
  <c r="AR54"/>
  <c r="AS54"/>
  <c r="AT54"/>
  <c r="ED55"/>
  <c r="ED56"/>
  <c r="Q55"/>
  <c r="U55"/>
  <c r="W55"/>
  <c r="X55"/>
  <c r="Z55"/>
  <c r="AA55"/>
  <c r="AB55"/>
  <c r="AC55"/>
  <c r="AD55"/>
  <c r="AF55"/>
  <c r="AG55"/>
  <c r="AO55"/>
  <c r="AQ55"/>
  <c r="AR55"/>
  <c r="AS55"/>
  <c r="AT55"/>
  <c r="Q56"/>
  <c r="T56"/>
  <c r="U56"/>
  <c r="W56"/>
  <c r="X56"/>
  <c r="Z56"/>
  <c r="AA56"/>
  <c r="AB56"/>
  <c r="AC56"/>
  <c r="AD56"/>
  <c r="AF56"/>
  <c r="AG56"/>
  <c r="AO56"/>
  <c r="AQ56"/>
  <c r="AR56"/>
  <c r="AS56"/>
  <c r="AT56"/>
  <c r="AF57"/>
  <c r="AG57"/>
  <c r="AO57"/>
  <c r="AQ57"/>
  <c r="AR57"/>
  <c r="AS57"/>
  <c r="AT57"/>
  <c r="ED57"/>
  <c r="Q58"/>
  <c r="T58"/>
  <c r="U58"/>
  <c r="W58"/>
  <c r="X58"/>
  <c r="Z58"/>
  <c r="AA58"/>
  <c r="AB58"/>
  <c r="AC58"/>
  <c r="AD58"/>
  <c r="AF58"/>
  <c r="AG58"/>
  <c r="AO58"/>
  <c r="AQ58"/>
  <c r="AR58"/>
  <c r="AS58"/>
  <c r="AT58"/>
  <c r="ED58"/>
  <c r="AF59"/>
  <c r="AG59"/>
  <c r="AO59"/>
  <c r="AQ59"/>
  <c r="AR59"/>
  <c r="AS59"/>
  <c r="AT59"/>
  <c r="ED59"/>
  <c r="Q60"/>
  <c r="T60"/>
  <c r="U60"/>
  <c r="W60"/>
  <c r="X60"/>
  <c r="Z60"/>
  <c r="AA60"/>
  <c r="AB60"/>
  <c r="AC60"/>
  <c r="AD60"/>
  <c r="AF60"/>
  <c r="AG60"/>
  <c r="AO60"/>
  <c r="AQ60"/>
  <c r="AR60"/>
  <c r="AS60"/>
  <c r="AT60"/>
  <c r="FV60"/>
  <c r="M61"/>
  <c r="P61"/>
  <c r="ED61"/>
  <c r="Q62"/>
  <c r="T62"/>
  <c r="U62"/>
  <c r="W62"/>
  <c r="X62"/>
  <c r="Z62"/>
  <c r="AA62"/>
  <c r="AB62"/>
  <c r="AC62"/>
  <c r="AD62"/>
  <c r="AE62"/>
  <c r="AF62"/>
  <c r="AG62"/>
  <c r="AO62"/>
  <c r="AQ62"/>
  <c r="AR62"/>
  <c r="AS62"/>
  <c r="AT62"/>
  <c r="ED62"/>
  <c r="Q63"/>
  <c r="T63"/>
  <c r="U63"/>
  <c r="W63"/>
  <c r="X63"/>
  <c r="Z63"/>
  <c r="AA63"/>
  <c r="AB63"/>
  <c r="AC63"/>
  <c r="AD63"/>
  <c r="AE63"/>
  <c r="AF63"/>
  <c r="AG63"/>
  <c r="AO63"/>
  <c r="AQ63"/>
  <c r="AR63"/>
  <c r="AS63"/>
  <c r="AT63"/>
  <c r="GU63"/>
  <c r="L64"/>
  <c r="M64"/>
  <c r="P64"/>
  <c r="AM31" i="34"/>
  <c r="AR31"/>
  <c r="AY31"/>
  <c r="BD31"/>
  <c r="BK31"/>
  <c r="BP31"/>
  <c r="AJ31"/>
  <c r="CB31" s="1"/>
  <c r="CD31"/>
  <c r="ED64" i="24"/>
  <c r="IH64"/>
  <c r="P65"/>
  <c r="AU66"/>
  <c r="AU67" s="1"/>
  <c r="AU68" s="1"/>
  <c r="AU69" s="1"/>
  <c r="AU70" s="1"/>
  <c r="AU71" s="1"/>
  <c r="AU72" s="1"/>
  <c r="AU73" s="1"/>
  <c r="AU74" s="1"/>
  <c r="AU76" s="1"/>
  <c r="AU77" s="1"/>
  <c r="AU78" s="1"/>
  <c r="AU79" s="1"/>
  <c r="AU80" s="1"/>
  <c r="AU81" s="1"/>
  <c r="AU82" s="1"/>
  <c r="AU85" s="1"/>
  <c r="AU88" s="1"/>
  <c r="AU92" s="1"/>
  <c r="P70"/>
  <c r="IH70"/>
  <c r="IJ70" s="1"/>
  <c r="P71"/>
  <c r="DB71"/>
  <c r="CV71" s="1"/>
  <c r="DI71" s="1"/>
  <c r="ED71"/>
  <c r="IH71"/>
  <c r="IJ71" s="1"/>
  <c r="IH72"/>
  <c r="IJ72" s="1"/>
  <c r="ED73"/>
  <c r="IH73"/>
  <c r="IJ73" s="1"/>
  <c r="P74"/>
  <c r="IH74"/>
  <c r="IJ74" s="1"/>
  <c r="Q75"/>
  <c r="T75"/>
  <c r="U75"/>
  <c r="W75"/>
  <c r="X75"/>
  <c r="Y75"/>
  <c r="Z75"/>
  <c r="AA75"/>
  <c r="AB75"/>
  <c r="AC75"/>
  <c r="AD75"/>
  <c r="AE75"/>
  <c r="AF75"/>
  <c r="AG75"/>
  <c r="AO75"/>
  <c r="AQ75"/>
  <c r="AR75"/>
  <c r="AS75"/>
  <c r="AT75"/>
  <c r="IH75"/>
  <c r="IJ75" s="1"/>
  <c r="ED76"/>
  <c r="IH76"/>
  <c r="M80"/>
  <c r="CB46" i="34"/>
  <c r="CB47"/>
  <c r="CI47"/>
  <c r="CS46"/>
  <c r="CS47"/>
  <c r="IF80" i="24"/>
  <c r="IL80" s="1"/>
  <c r="IH80"/>
  <c r="K81"/>
  <c r="GU81"/>
  <c r="P82"/>
  <c r="Q83"/>
  <c r="T83"/>
  <c r="U83"/>
  <c r="W83"/>
  <c r="X83"/>
  <c r="Y83"/>
  <c r="Z83"/>
  <c r="AA83"/>
  <c r="AB83"/>
  <c r="AC83"/>
  <c r="AD83"/>
  <c r="AE83"/>
  <c r="AF83"/>
  <c r="AG83"/>
  <c r="AO83"/>
  <c r="AP83"/>
  <c r="AQ83"/>
  <c r="AR83"/>
  <c r="AS83"/>
  <c r="AT83"/>
  <c r="Q84"/>
  <c r="T84"/>
  <c r="U84"/>
  <c r="W84"/>
  <c r="X84"/>
  <c r="Y84"/>
  <c r="Z84"/>
  <c r="AA84"/>
  <c r="AB84"/>
  <c r="AC84"/>
  <c r="AD84"/>
  <c r="AE84"/>
  <c r="AF84"/>
  <c r="AG84"/>
  <c r="AO84"/>
  <c r="AQ84"/>
  <c r="AR84"/>
  <c r="AS84"/>
  <c r="AT84"/>
  <c r="AH85"/>
  <c r="AN85"/>
  <c r="AN88" s="1"/>
  <c r="AN92" s="1"/>
  <c r="AN96" s="1"/>
  <c r="AN100" s="1"/>
  <c r="AN103" s="1"/>
  <c r="AN106" s="1"/>
  <c r="AN109" s="1"/>
  <c r="AN113" s="1"/>
  <c r="Q86"/>
  <c r="T86"/>
  <c r="U86"/>
  <c r="W86"/>
  <c r="X86"/>
  <c r="Y86"/>
  <c r="Z86"/>
  <c r="AA86"/>
  <c r="AB86"/>
  <c r="AC86"/>
  <c r="AD86"/>
  <c r="AE86"/>
  <c r="AF86"/>
  <c r="AG86"/>
  <c r="AO86"/>
  <c r="AP86"/>
  <c r="AQ86"/>
  <c r="AR86"/>
  <c r="AS86"/>
  <c r="AT86"/>
  <c r="Q87"/>
  <c r="T87"/>
  <c r="U87"/>
  <c r="W87"/>
  <c r="X87"/>
  <c r="Y87"/>
  <c r="Z87"/>
  <c r="AA87"/>
  <c r="AB87"/>
  <c r="AC87"/>
  <c r="AD87"/>
  <c r="AE87"/>
  <c r="AF87"/>
  <c r="AG87"/>
  <c r="AO87"/>
  <c r="AQ87"/>
  <c r="AR87"/>
  <c r="AS87"/>
  <c r="AT87"/>
  <c r="K88"/>
  <c r="AH88"/>
  <c r="AH92" s="1"/>
  <c r="AH96" s="1"/>
  <c r="AH100" s="1"/>
  <c r="AH103" s="1"/>
  <c r="AH106" s="1"/>
  <c r="AH109" s="1"/>
  <c r="AH113" s="1"/>
  <c r="Q89"/>
  <c r="T89"/>
  <c r="U89"/>
  <c r="W89"/>
  <c r="X89"/>
  <c r="Y89"/>
  <c r="Z89"/>
  <c r="AA89"/>
  <c r="AB89"/>
  <c r="AC89"/>
  <c r="AD89"/>
  <c r="AE89"/>
  <c r="AF89"/>
  <c r="AG89"/>
  <c r="AO89"/>
  <c r="AP89"/>
  <c r="AQ89"/>
  <c r="AR89"/>
  <c r="AS89"/>
  <c r="AT89"/>
  <c r="Y90"/>
  <c r="AD90"/>
  <c r="AE90"/>
  <c r="AF90"/>
  <c r="AG90"/>
  <c r="AO90"/>
  <c r="AP90"/>
  <c r="AQ90"/>
  <c r="AR90"/>
  <c r="AS90"/>
  <c r="AT90"/>
  <c r="Q91"/>
  <c r="T91"/>
  <c r="U91"/>
  <c r="W91"/>
  <c r="X91"/>
  <c r="Y91"/>
  <c r="Z91"/>
  <c r="AA91"/>
  <c r="AB91"/>
  <c r="AC91"/>
  <c r="AD91"/>
  <c r="AE91"/>
  <c r="AF91"/>
  <c r="AG91"/>
  <c r="AO91"/>
  <c r="AQ91"/>
  <c r="AR91"/>
  <c r="AS91"/>
  <c r="AT91"/>
  <c r="K92"/>
  <c r="K96" s="1"/>
  <c r="K100" s="1"/>
  <c r="K103" s="1"/>
  <c r="K106" s="1"/>
  <c r="K109" s="1"/>
  <c r="K113" s="1"/>
  <c r="P92"/>
  <c r="Q93"/>
  <c r="T93"/>
  <c r="U93"/>
  <c r="W93"/>
  <c r="X93"/>
  <c r="Y93"/>
  <c r="Z93"/>
  <c r="AA93"/>
  <c r="AB93"/>
  <c r="AC93"/>
  <c r="AD93"/>
  <c r="AE93"/>
  <c r="AF93"/>
  <c r="AG93"/>
  <c r="AO93"/>
  <c r="AP93"/>
  <c r="AQ93"/>
  <c r="AR93"/>
  <c r="AS93"/>
  <c r="AT93"/>
  <c r="Q94"/>
  <c r="T94"/>
  <c r="U94"/>
  <c r="W94"/>
  <c r="X94"/>
  <c r="Y94"/>
  <c r="Z94"/>
  <c r="AA94"/>
  <c r="AB94"/>
  <c r="AC94"/>
  <c r="AD94"/>
  <c r="AE94"/>
  <c r="AF94"/>
  <c r="AG94"/>
  <c r="AO94"/>
  <c r="AP94"/>
  <c r="AQ94"/>
  <c r="AR94"/>
  <c r="AS94"/>
  <c r="AT94"/>
  <c r="Q95"/>
  <c r="T95"/>
  <c r="U95"/>
  <c r="W95"/>
  <c r="X95"/>
  <c r="Y95"/>
  <c r="Z95"/>
  <c r="AA95"/>
  <c r="AB95"/>
  <c r="AC95"/>
  <c r="AD95"/>
  <c r="AE95"/>
  <c r="AF95"/>
  <c r="AG95"/>
  <c r="AO95"/>
  <c r="AQ95"/>
  <c r="AR95"/>
  <c r="AS95"/>
  <c r="AT95"/>
  <c r="Q97"/>
  <c r="T97"/>
  <c r="U97"/>
  <c r="W97"/>
  <c r="X97"/>
  <c r="Y97"/>
  <c r="Z97"/>
  <c r="AA97"/>
  <c r="AB97"/>
  <c r="AC97"/>
  <c r="AD97"/>
  <c r="AE97"/>
  <c r="AF97"/>
  <c r="AG97"/>
  <c r="AO97"/>
  <c r="AP97"/>
  <c r="AQ97"/>
  <c r="AR97"/>
  <c r="AS97"/>
  <c r="AT97"/>
  <c r="Y98"/>
  <c r="AD98"/>
  <c r="AE98"/>
  <c r="AF98"/>
  <c r="AG98"/>
  <c r="AO98"/>
  <c r="AP98"/>
  <c r="AQ98"/>
  <c r="AR98"/>
  <c r="AS98"/>
  <c r="AT98"/>
  <c r="Q99"/>
  <c r="T99"/>
  <c r="U99"/>
  <c r="W99"/>
  <c r="X99"/>
  <c r="Y99"/>
  <c r="Z99"/>
  <c r="AA99"/>
  <c r="AB99"/>
  <c r="AC99"/>
  <c r="AD99"/>
  <c r="AE99"/>
  <c r="AF99"/>
  <c r="AG99"/>
  <c r="AO99"/>
  <c r="AQ99"/>
  <c r="AR99"/>
  <c r="AS99"/>
  <c r="AT99"/>
  <c r="P100"/>
  <c r="Q101"/>
  <c r="T101"/>
  <c r="U101"/>
  <c r="W101"/>
  <c r="X101"/>
  <c r="Y101"/>
  <c r="Z101"/>
  <c r="AA101"/>
  <c r="AB101"/>
  <c r="AC101"/>
  <c r="AD101"/>
  <c r="AE101"/>
  <c r="AF101"/>
  <c r="AG101"/>
  <c r="AO101"/>
  <c r="AP101"/>
  <c r="AQ101"/>
  <c r="AR101"/>
  <c r="AS101"/>
  <c r="AT101"/>
  <c r="Q102"/>
  <c r="T102"/>
  <c r="U102"/>
  <c r="W102"/>
  <c r="X102"/>
  <c r="Y102"/>
  <c r="Z102"/>
  <c r="AA102"/>
  <c r="AB102"/>
  <c r="AC102"/>
  <c r="AD102"/>
  <c r="AE102"/>
  <c r="AF102"/>
  <c r="AG102"/>
  <c r="AO102"/>
  <c r="AQ102"/>
  <c r="AR102"/>
  <c r="AS102"/>
  <c r="AT102"/>
  <c r="Q104"/>
  <c r="T104"/>
  <c r="U104"/>
  <c r="W104"/>
  <c r="X104"/>
  <c r="Y104"/>
  <c r="Z104"/>
  <c r="AA104"/>
  <c r="AB104"/>
  <c r="AC104"/>
  <c r="AD104"/>
  <c r="AE104"/>
  <c r="AF104"/>
  <c r="AG104"/>
  <c r="AO104"/>
  <c r="AP104"/>
  <c r="AQ104"/>
  <c r="AR104"/>
  <c r="AS104"/>
  <c r="AT104"/>
  <c r="Q105"/>
  <c r="T105"/>
  <c r="GH105" s="1"/>
  <c r="U105"/>
  <c r="W105"/>
  <c r="X105"/>
  <c r="Y105"/>
  <c r="Z105"/>
  <c r="AA105"/>
  <c r="AB105"/>
  <c r="AC105"/>
  <c r="AD105"/>
  <c r="AE105"/>
  <c r="AF105"/>
  <c r="AG105"/>
  <c r="AO105"/>
  <c r="AQ105"/>
  <c r="AR105"/>
  <c r="AS105"/>
  <c r="AT105"/>
  <c r="IN105"/>
  <c r="IO105" s="1"/>
  <c r="M106"/>
  <c r="P106"/>
  <c r="Q107"/>
  <c r="T107"/>
  <c r="U107"/>
  <c r="W107"/>
  <c r="X107"/>
  <c r="Y107"/>
  <c r="Z107"/>
  <c r="AA107"/>
  <c r="AB107"/>
  <c r="AC107"/>
  <c r="AD107"/>
  <c r="AE107"/>
  <c r="AF107"/>
  <c r="AG107"/>
  <c r="AO107"/>
  <c r="AP107"/>
  <c r="AQ107"/>
  <c r="AR107"/>
  <c r="AS107"/>
  <c r="AT107"/>
  <c r="Q108"/>
  <c r="T108"/>
  <c r="U108"/>
  <c r="W108"/>
  <c r="X108"/>
  <c r="Y108"/>
  <c r="Z108"/>
  <c r="AA108"/>
  <c r="AB108"/>
  <c r="AC108"/>
  <c r="AD108"/>
  <c r="AE108"/>
  <c r="AF108"/>
  <c r="AG108"/>
  <c r="AO108"/>
  <c r="AQ108"/>
  <c r="AR108"/>
  <c r="AS108"/>
  <c r="AT108"/>
  <c r="P109"/>
  <c r="AM56" i="34"/>
  <c r="AO56" s="1"/>
  <c r="AN56"/>
  <c r="AY56"/>
  <c r="BA56" s="1"/>
  <c r="AZ56"/>
  <c r="BK56"/>
  <c r="BL56"/>
  <c r="AJ56"/>
  <c r="CB56" s="1"/>
  <c r="AR56"/>
  <c r="CD56" s="1"/>
  <c r="AD110" i="24"/>
  <c r="AE110"/>
  <c r="AF110"/>
  <c r="AG110"/>
  <c r="AO110"/>
  <c r="AP110"/>
  <c r="AQ110"/>
  <c r="AR110"/>
  <c r="AS110"/>
  <c r="AT110"/>
  <c r="AD111"/>
  <c r="AE111"/>
  <c r="AF111"/>
  <c r="AG111"/>
  <c r="AO111"/>
  <c r="AP111"/>
  <c r="AQ111"/>
  <c r="AR111"/>
  <c r="AS111"/>
  <c r="AT111"/>
  <c r="U112"/>
  <c r="X112"/>
  <c r="Y112"/>
  <c r="Z112"/>
  <c r="AA112"/>
  <c r="AB112"/>
  <c r="AC112"/>
  <c r="AD112"/>
  <c r="AE112"/>
  <c r="AF112"/>
  <c r="AG112"/>
  <c r="AO112"/>
  <c r="AQ112"/>
  <c r="AR112"/>
  <c r="AS112"/>
  <c r="AT112"/>
  <c r="FW112"/>
  <c r="FX112" s="1"/>
  <c r="FY112"/>
  <c r="FZ112" s="1"/>
  <c r="GF112"/>
  <c r="GG112" s="1"/>
  <c r="IN112"/>
  <c r="IO112" s="1"/>
  <c r="Q114"/>
  <c r="T114"/>
  <c r="U114"/>
  <c r="W114"/>
  <c r="X114"/>
  <c r="Y114"/>
  <c r="Z114"/>
  <c r="AA114"/>
  <c r="AB114"/>
  <c r="AC114"/>
  <c r="AD114"/>
  <c r="AE114"/>
  <c r="AF114"/>
  <c r="AG114"/>
  <c r="AO114"/>
  <c r="AQ114"/>
  <c r="AR114"/>
  <c r="AS114"/>
  <c r="AT114"/>
  <c r="A41" i="1"/>
  <c r="B200" i="40"/>
  <c r="R200" s="1"/>
  <c r="E200" s="1"/>
  <c r="A40" i="1"/>
  <c r="B190" i="40" s="1"/>
  <c r="C190" s="1"/>
  <c r="A39" i="1"/>
  <c r="B184" i="40" s="1"/>
  <c r="R184" s="1"/>
  <c r="E184" s="1"/>
  <c r="A48" i="1"/>
  <c r="B239" i="40" s="1"/>
  <c r="R239" s="1"/>
  <c r="E239" s="1"/>
  <c r="A44" i="1"/>
  <c r="B224" i="40" s="1"/>
  <c r="R212" s="1"/>
  <c r="A43" i="1"/>
  <c r="B212" i="40" s="1"/>
  <c r="C212" s="1"/>
  <c r="A391" i="45"/>
  <c r="B391" s="1"/>
  <c r="A386"/>
  <c r="A388"/>
  <c r="B388" s="1"/>
  <c r="A392"/>
  <c r="B392" s="1"/>
  <c r="A364"/>
  <c r="B364" s="1"/>
  <c r="B367" s="1"/>
  <c r="B370" s="1"/>
  <c r="B373" s="1"/>
  <c r="B376" s="1"/>
  <c r="B379" s="1"/>
  <c r="B382" s="1"/>
  <c r="B385" s="1"/>
  <c r="A387"/>
  <c r="B387" s="1"/>
  <c r="A390"/>
  <c r="A393"/>
  <c r="B393" s="1"/>
  <c r="A384"/>
  <c r="A383"/>
  <c r="B383" s="1"/>
  <c r="A381"/>
  <c r="B381" s="1"/>
  <c r="A380"/>
  <c r="B380" s="1"/>
  <c r="A377"/>
  <c r="B377" s="1"/>
  <c r="A375"/>
  <c r="B375" s="1"/>
  <c r="A374"/>
  <c r="B374" s="1"/>
  <c r="A368"/>
  <c r="B368" s="1"/>
  <c r="A355"/>
  <c r="B355" s="1"/>
  <c r="A349"/>
  <c r="B349" s="1"/>
  <c r="A344"/>
  <c r="B344" s="1"/>
  <c r="A341"/>
  <c r="B341" s="1"/>
  <c r="A337"/>
  <c r="B337" s="1"/>
  <c r="A327"/>
  <c r="B327" s="1"/>
  <c r="A323"/>
  <c r="B323" s="1"/>
  <c r="A320"/>
  <c r="B320" s="1"/>
  <c r="A307"/>
  <c r="B307" s="1"/>
  <c r="A290"/>
  <c r="B290" s="1"/>
  <c r="A289"/>
  <c r="B289" s="1"/>
  <c r="A281"/>
  <c r="B281" s="1"/>
  <c r="A275"/>
  <c r="B275" s="1"/>
  <c r="A269"/>
  <c r="B269" s="1"/>
  <c r="A267"/>
  <c r="B267" s="1"/>
  <c r="A259"/>
  <c r="B259" s="1"/>
  <c r="A255"/>
  <c r="B255" s="1"/>
  <c r="AI17"/>
  <c r="AJ17" s="1"/>
  <c r="AK17" s="1"/>
  <c r="AL17" s="1"/>
  <c r="AM17" s="1"/>
  <c r="AN17" s="1"/>
  <c r="AO17" s="1"/>
  <c r="AP17" s="1"/>
  <c r="B390"/>
  <c r="B386"/>
  <c r="A385"/>
  <c r="B384"/>
  <c r="A382"/>
  <c r="A379"/>
  <c r="A376"/>
  <c r="A372"/>
  <c r="B372" s="1"/>
  <c r="A371"/>
  <c r="B371" s="1"/>
  <c r="A366"/>
  <c r="B366" s="1"/>
  <c r="A365"/>
  <c r="B365" s="1"/>
  <c r="A354"/>
  <c r="B354" s="1"/>
  <c r="A353"/>
  <c r="B353" s="1"/>
  <c r="A352"/>
  <c r="B352" s="1"/>
  <c r="A350"/>
  <c r="B350" s="1"/>
  <c r="A348"/>
  <c r="B348" s="1"/>
  <c r="A347"/>
  <c r="B347" s="1"/>
  <c r="A346"/>
  <c r="B346" s="1"/>
  <c r="A342"/>
  <c r="B342" s="1"/>
  <c r="A340"/>
  <c r="B340" s="1"/>
  <c r="A338"/>
  <c r="B338" s="1"/>
  <c r="A336"/>
  <c r="B336" s="1"/>
  <c r="A329"/>
  <c r="B329" s="1"/>
  <c r="A325"/>
  <c r="B325" s="1"/>
  <c r="A324"/>
  <c r="B324" s="1"/>
  <c r="A322"/>
  <c r="B322" s="1"/>
  <c r="A318"/>
  <c r="B318" s="1"/>
  <c r="A308"/>
  <c r="B308" s="1"/>
  <c r="A293"/>
  <c r="B293" s="1"/>
  <c r="A292"/>
  <c r="B292" s="1"/>
  <c r="A291"/>
  <c r="B291" s="1"/>
  <c r="A287"/>
  <c r="B287" s="1"/>
  <c r="A286"/>
  <c r="B286" s="1"/>
  <c r="A285"/>
  <c r="B285" s="1"/>
  <c r="A284"/>
  <c r="B284" s="1"/>
  <c r="A283"/>
  <c r="B283" s="1"/>
  <c r="A282"/>
  <c r="B282" s="1"/>
  <c r="A280"/>
  <c r="B280" s="1"/>
  <c r="A279"/>
  <c r="B279" s="1"/>
  <c r="A278"/>
  <c r="B278" s="1"/>
  <c r="A274"/>
  <c r="B274" s="1"/>
  <c r="A273"/>
  <c r="B273" s="1"/>
  <c r="A272"/>
  <c r="B272" s="1"/>
  <c r="A271"/>
  <c r="B271" s="1"/>
  <c r="A266"/>
  <c r="B266" s="1"/>
  <c r="A262"/>
  <c r="B262" s="1"/>
  <c r="A261"/>
  <c r="B261" s="1"/>
  <c r="A257"/>
  <c r="B257" s="1"/>
  <c r="A256"/>
  <c r="B256" s="1"/>
  <c r="A181"/>
  <c r="A178"/>
  <c r="A172"/>
  <c r="A167"/>
  <c r="A182"/>
  <c r="A175"/>
  <c r="A144"/>
  <c r="A141"/>
  <c r="A138"/>
  <c r="A136"/>
  <c r="A135"/>
  <c r="A133"/>
  <c r="A129"/>
  <c r="A126"/>
  <c r="A118"/>
  <c r="A115"/>
  <c r="A114"/>
  <c r="A112"/>
  <c r="A108"/>
  <c r="A94"/>
  <c r="A93"/>
  <c r="A84"/>
  <c r="A82"/>
  <c r="A81"/>
  <c r="A80"/>
  <c r="A78"/>
  <c r="A75"/>
  <c r="A74"/>
  <c r="A71"/>
  <c r="A68"/>
  <c r="A66"/>
  <c r="A65"/>
  <c r="A63"/>
  <c r="A60"/>
  <c r="A59"/>
  <c r="A57"/>
  <c r="A56"/>
  <c r="A54"/>
  <c r="A53"/>
  <c r="A51"/>
  <c r="A50"/>
  <c r="A47"/>
  <c r="A77"/>
  <c r="A64"/>
  <c r="B64" s="1"/>
  <c r="A70"/>
  <c r="B70" s="1"/>
  <c r="A79"/>
  <c r="B79" s="1"/>
  <c r="A107"/>
  <c r="B107" s="1"/>
  <c r="A125"/>
  <c r="B125" s="1"/>
  <c r="A131"/>
  <c r="B131" s="1"/>
  <c r="A140"/>
  <c r="B140" s="1"/>
  <c r="A30"/>
  <c r="B30" s="1"/>
  <c r="A162"/>
  <c r="A343"/>
  <c r="B343" s="1"/>
  <c r="A351"/>
  <c r="B351" s="1"/>
  <c r="A153"/>
  <c r="B153" s="1"/>
  <c r="B156" s="1"/>
  <c r="B159" s="1"/>
  <c r="B162" s="1"/>
  <c r="B165" s="1"/>
  <c r="B168" s="1"/>
  <c r="B171" s="1"/>
  <c r="B174" s="1"/>
  <c r="A171"/>
  <c r="A296"/>
  <c r="B296" s="1"/>
  <c r="C349"/>
  <c r="BD56" i="34"/>
  <c r="CK56" s="1"/>
  <c r="BP56"/>
  <c r="CR56" s="1"/>
  <c r="BH56"/>
  <c r="CP56" s="1"/>
  <c r="A179" i="45"/>
  <c r="A170"/>
  <c r="A163"/>
  <c r="A160"/>
  <c r="A158"/>
  <c r="A156"/>
  <c r="A373"/>
  <c r="A369"/>
  <c r="B369" s="1"/>
  <c r="A356"/>
  <c r="B356" s="1"/>
  <c r="A345"/>
  <c r="B345" s="1"/>
  <c r="A339"/>
  <c r="B339" s="1"/>
  <c r="A328"/>
  <c r="B328" s="1"/>
  <c r="A326"/>
  <c r="B326" s="1"/>
  <c r="A321"/>
  <c r="B321" s="1"/>
  <c r="A319"/>
  <c r="B319" s="1"/>
  <c r="A306"/>
  <c r="B306" s="1"/>
  <c r="A288"/>
  <c r="B288" s="1"/>
  <c r="A277"/>
  <c r="B277" s="1"/>
  <c r="A276"/>
  <c r="B276" s="1"/>
  <c r="A270"/>
  <c r="B270" s="1"/>
  <c r="A268"/>
  <c r="B268" s="1"/>
  <c r="A260"/>
  <c r="B260" s="1"/>
  <c r="A258"/>
  <c r="B258" s="1"/>
  <c r="A254"/>
  <c r="B254" s="1"/>
  <c r="A176"/>
  <c r="A173"/>
  <c r="A169"/>
  <c r="A166"/>
  <c r="A164"/>
  <c r="A161"/>
  <c r="A159"/>
  <c r="A154"/>
  <c r="A132"/>
  <c r="A52"/>
  <c r="B52" s="1"/>
  <c r="A61"/>
  <c r="B61" s="1"/>
  <c r="A110"/>
  <c r="B110" s="1"/>
  <c r="A134"/>
  <c r="A168"/>
  <c r="A177"/>
  <c r="B177" s="1"/>
  <c r="A299"/>
  <c r="A298"/>
  <c r="B298" s="1"/>
  <c r="A55"/>
  <c r="B55" s="1"/>
  <c r="A67"/>
  <c r="B67" s="1"/>
  <c r="A73"/>
  <c r="B73" s="1"/>
  <c r="A92"/>
  <c r="B92" s="1"/>
  <c r="A113"/>
  <c r="B113" s="1"/>
  <c r="A128"/>
  <c r="A137"/>
  <c r="B137" s="1"/>
  <c r="A143"/>
  <c r="B143" s="1"/>
  <c r="A40"/>
  <c r="B40" s="1"/>
  <c r="A46"/>
  <c r="B46" s="1"/>
  <c r="A49"/>
  <c r="B49" s="1"/>
  <c r="A58"/>
  <c r="B58" s="1"/>
  <c r="A76"/>
  <c r="B76" s="1"/>
  <c r="A116"/>
  <c r="B116" s="1"/>
  <c r="A165"/>
  <c r="A180"/>
  <c r="B180" s="1"/>
  <c r="A297"/>
  <c r="B297" s="1"/>
  <c r="A6" i="68"/>
  <c r="A7" s="1"/>
  <c r="A8" s="1"/>
  <c r="A9" s="1"/>
  <c r="A10" s="1"/>
  <c r="A11" s="1"/>
  <c r="A12" s="1"/>
  <c r="A13" s="1"/>
  <c r="AV56" i="34"/>
  <c r="CI56" s="1"/>
  <c r="BJ56"/>
  <c r="CQ56" s="1"/>
  <c r="CR31"/>
  <c r="BH31"/>
  <c r="CP31" s="1"/>
  <c r="A48" i="45"/>
  <c r="A157"/>
  <c r="A155"/>
  <c r="A145"/>
  <c r="A142"/>
  <c r="A139"/>
  <c r="A130"/>
  <c r="A127"/>
  <c r="A117"/>
  <c r="A111"/>
  <c r="A109"/>
  <c r="A85"/>
  <c r="A83"/>
  <c r="A72"/>
  <c r="A69"/>
  <c r="A62"/>
  <c r="A39"/>
  <c r="B134"/>
  <c r="B299"/>
  <c r="A370"/>
  <c r="C298"/>
  <c r="B128"/>
  <c r="A174"/>
  <c r="C340"/>
  <c r="A367"/>
  <c r="AX56" i="34"/>
  <c r="CJ56" s="1"/>
  <c r="BM56"/>
  <c r="BJ31"/>
  <c r="AL56"/>
  <c r="AQ47"/>
  <c r="BC47"/>
  <c r="AV31"/>
  <c r="CI31" s="1"/>
  <c r="CK31"/>
  <c r="CQ31"/>
  <c r="AL31"/>
  <c r="AX31"/>
  <c r="CJ31" s="1"/>
  <c r="CC31"/>
  <c r="M308" i="40"/>
  <c r="D308" s="1"/>
  <c r="CC56" i="34"/>
  <c r="AI31"/>
  <c r="M314" i="40"/>
  <c r="D314" s="1"/>
  <c r="M289"/>
  <c r="D289" s="1"/>
  <c r="AI56" i="34"/>
  <c r="BG56"/>
  <c r="BG31"/>
  <c r="AW31"/>
  <c r="BL31"/>
  <c r="AZ31"/>
  <c r="AN31"/>
  <c r="BI56"/>
  <c r="AU56"/>
  <c r="AK56"/>
  <c r="BI31"/>
  <c r="AU31"/>
  <c r="AK31"/>
  <c r="AW56"/>
  <c r="C103" i="54"/>
  <c r="C99"/>
  <c r="C94"/>
  <c r="C90"/>
  <c r="C84"/>
  <c r="C82"/>
  <c r="C79"/>
  <c r="G101" i="11"/>
  <c r="G105" s="1"/>
  <c r="D23" i="22"/>
  <c r="E23" s="1"/>
  <c r="F23" s="1"/>
  <c r="G23" s="1"/>
  <c r="H23" s="1"/>
  <c r="I23" s="1"/>
  <c r="J23" s="1"/>
  <c r="K23" s="1"/>
  <c r="L23" s="1"/>
  <c r="M23" s="1"/>
  <c r="N23" s="1"/>
  <c r="A36" i="1"/>
  <c r="N39" i="22" s="1"/>
  <c r="A37" i="1"/>
  <c r="N40" i="22" s="1"/>
  <c r="A38" i="1"/>
  <c r="N41" i="22" s="1"/>
  <c r="N42"/>
  <c r="F42" s="1"/>
  <c r="N43"/>
  <c r="E43" s="1"/>
  <c r="N44"/>
  <c r="F44" s="1"/>
  <c r="N46"/>
  <c r="F46" s="1"/>
  <c r="N47"/>
  <c r="C47" s="1"/>
  <c r="A45" i="1"/>
  <c r="N48" i="22"/>
  <c r="A46" i="1"/>
  <c r="N49" i="22"/>
  <c r="F49" s="1"/>
  <c r="A47" i="1"/>
  <c r="N50" i="22"/>
  <c r="C43"/>
  <c r="G47"/>
  <c r="N51"/>
  <c r="F51" s="1"/>
  <c r="A49" i="1"/>
  <c r="N52" i="22" s="1"/>
  <c r="C72" i="54"/>
  <c r="B188" i="40"/>
  <c r="B181"/>
  <c r="J181" s="1"/>
  <c r="M214"/>
  <c r="D214" s="1"/>
  <c r="M215"/>
  <c r="D215" s="1"/>
  <c r="I35"/>
  <c r="I38" s="1"/>
  <c r="I41" s="1"/>
  <c r="I44" s="1"/>
  <c r="I47" s="1"/>
  <c r="I50" s="1"/>
  <c r="I53" s="1"/>
  <c r="I66" s="1"/>
  <c r="I114" s="1"/>
  <c r="I158" s="1"/>
  <c r="I173" s="1"/>
  <c r="I179" s="1"/>
  <c r="I180" s="1"/>
  <c r="I181" s="1"/>
  <c r="I182" s="1"/>
  <c r="I183" s="1"/>
  <c r="I184" s="1"/>
  <c r="I190" s="1"/>
  <c r="I200" s="1"/>
  <c r="I206" s="1"/>
  <c r="I212" s="1"/>
  <c r="I224" s="1"/>
  <c r="I227" s="1"/>
  <c r="I230" s="1"/>
  <c r="I233" s="1"/>
  <c r="L190"/>
  <c r="B189"/>
  <c r="B186"/>
  <c r="L186" s="1"/>
  <c r="B185"/>
  <c r="B183"/>
  <c r="L183" s="1"/>
  <c r="M218"/>
  <c r="D218" s="1"/>
  <c r="M229"/>
  <c r="D229" s="1"/>
  <c r="M223"/>
  <c r="D223" s="1"/>
  <c r="M221"/>
  <c r="D221" s="1"/>
  <c r="M225"/>
  <c r="D225" s="1"/>
  <c r="M222"/>
  <c r="D222" s="1"/>
  <c r="M220"/>
  <c r="D220" s="1"/>
  <c r="B227"/>
  <c r="C227" s="1"/>
  <c r="B230"/>
  <c r="B233"/>
  <c r="M235"/>
  <c r="D235" s="1"/>
  <c r="M271"/>
  <c r="D271" s="1"/>
  <c r="I277"/>
  <c r="I302" s="1"/>
  <c r="I320" s="1"/>
  <c r="I347" s="1"/>
  <c r="I359" s="1"/>
  <c r="I383" s="1"/>
  <c r="I393" s="1"/>
  <c r="I411" s="1"/>
  <c r="M254"/>
  <c r="D254" s="1"/>
  <c r="B242"/>
  <c r="C242" s="1"/>
  <c r="M234"/>
  <c r="D234" s="1"/>
  <c r="M259"/>
  <c r="D259" s="1"/>
  <c r="M294"/>
  <c r="D294" s="1"/>
  <c r="M292"/>
  <c r="D292" s="1"/>
  <c r="M282"/>
  <c r="D282" s="1"/>
  <c r="M278"/>
  <c r="D278" s="1"/>
  <c r="M272"/>
  <c r="D272" s="1"/>
  <c r="M269"/>
  <c r="D269" s="1"/>
  <c r="M260"/>
  <c r="D260" s="1"/>
  <c r="M293"/>
  <c r="D293" s="1"/>
  <c r="M291"/>
  <c r="D291" s="1"/>
  <c r="M281"/>
  <c r="D281" s="1"/>
  <c r="M270"/>
  <c r="D270" s="1"/>
  <c r="M266"/>
  <c r="D266" s="1"/>
  <c r="C64" i="54"/>
  <c r="C51"/>
  <c r="I53" i="33"/>
  <c r="J53" s="1"/>
  <c r="D38"/>
  <c r="D39" s="1"/>
  <c r="D40" s="1"/>
  <c r="D41" s="1"/>
  <c r="D42" s="1"/>
  <c r="C49" i="54"/>
  <c r="C47"/>
  <c r="C45"/>
  <c r="C44"/>
  <c r="C43"/>
  <c r="C41"/>
  <c r="C39"/>
  <c r="C37"/>
  <c r="C36"/>
  <c r="C35"/>
  <c r="C34"/>
  <c r="C35" i="21"/>
  <c r="B35"/>
  <c r="C34"/>
  <c r="B34"/>
  <c r="C42"/>
  <c r="B42"/>
  <c r="C81"/>
  <c r="B81"/>
  <c r="C47"/>
  <c r="B47"/>
  <c r="C39"/>
  <c r="B39"/>
  <c r="C31"/>
  <c r="B31"/>
  <c r="C29"/>
  <c r="B29"/>
  <c r="C73"/>
  <c r="B73"/>
  <c r="C88"/>
  <c r="B88"/>
  <c r="C68"/>
  <c r="B68"/>
  <c r="C83"/>
  <c r="B83"/>
  <c r="C92"/>
  <c r="B92"/>
  <c r="N7"/>
  <c r="C7" s="1"/>
  <c r="B7"/>
  <c r="C91"/>
  <c r="B91"/>
  <c r="C79"/>
  <c r="B79"/>
  <c r="C5" i="63"/>
  <c r="C6" s="1"/>
  <c r="Q3" s="1"/>
  <c r="Q4" s="1"/>
  <c r="Q5" s="1"/>
  <c r="Q6" s="1"/>
  <c r="C40" i="21"/>
  <c r="B40"/>
  <c r="C38"/>
  <c r="B38"/>
  <c r="C32"/>
  <c r="B32"/>
  <c r="C30"/>
  <c r="B30"/>
  <c r="C46"/>
  <c r="B46"/>
  <c r="C78"/>
  <c r="B78"/>
  <c r="C70"/>
  <c r="B70"/>
  <c r="C85"/>
  <c r="B85"/>
  <c r="C77"/>
  <c r="B77"/>
  <c r="C67"/>
  <c r="B67"/>
  <c r="C89"/>
  <c r="B89"/>
  <c r="C59"/>
  <c r="B59"/>
  <c r="G42" i="60"/>
  <c r="G47" s="1"/>
  <c r="HE11" i="1"/>
  <c r="HF11"/>
  <c r="HL11" s="1"/>
  <c r="HM11" s="1"/>
  <c r="A47" i="11"/>
  <c r="F26" i="22"/>
  <c r="F27"/>
  <c r="F35"/>
  <c r="F36"/>
  <c r="F34"/>
  <c r="F32"/>
  <c r="F31"/>
  <c r="F30"/>
  <c r="F29"/>
  <c r="F25"/>
  <c r="F28"/>
  <c r="F33"/>
  <c r="F37"/>
  <c r="F24"/>
  <c r="C32" i="40"/>
  <c r="F38" i="22"/>
  <c r="A40" i="11"/>
  <c r="C28" i="40"/>
  <c r="C66"/>
  <c r="C173"/>
  <c r="C158"/>
  <c r="C114"/>
  <c r="C179"/>
  <c r="C180"/>
  <c r="A30" i="11"/>
  <c r="A29"/>
  <c r="A28"/>
  <c r="A27"/>
  <c r="A25"/>
  <c r="A26"/>
  <c r="B20" i="34"/>
  <c r="B21"/>
  <c r="B19"/>
  <c r="B23"/>
  <c r="B29"/>
  <c r="B26"/>
  <c r="B30"/>
  <c r="B28"/>
  <c r="B22"/>
  <c r="B24"/>
  <c r="B25"/>
  <c r="B27"/>
  <c r="B31"/>
  <c r="B45" i="21"/>
  <c r="B21"/>
  <c r="B27"/>
  <c r="B19"/>
  <c r="B48"/>
  <c r="B22"/>
  <c r="B37"/>
  <c r="B25"/>
  <c r="B20"/>
  <c r="B23"/>
  <c r="B24"/>
  <c r="B26"/>
  <c r="B28"/>
  <c r="B49"/>
  <c r="B50"/>
  <c r="B24" i="54"/>
  <c r="B28"/>
  <c r="B31"/>
  <c r="B26"/>
  <c r="B33"/>
  <c r="B29"/>
  <c r="B25"/>
  <c r="B32"/>
  <c r="B27"/>
  <c r="B30"/>
  <c r="B42"/>
  <c r="B53"/>
  <c r="B50"/>
  <c r="B54"/>
  <c r="B55"/>
  <c r="B64" i="24"/>
  <c r="B42"/>
  <c r="B65"/>
  <c r="B66"/>
  <c r="B41"/>
  <c r="B40"/>
  <c r="B39"/>
  <c r="B35"/>
  <c r="B38"/>
  <c r="B37"/>
  <c r="B36"/>
  <c r="G26" i="22"/>
  <c r="G27"/>
  <c r="L53" i="40"/>
  <c r="L47"/>
  <c r="G36" i="22"/>
  <c r="G32"/>
  <c r="G30"/>
  <c r="G28"/>
  <c r="L35" i="40"/>
  <c r="L50"/>
  <c r="L41"/>
  <c r="L44"/>
  <c r="G24" i="22"/>
  <c r="G25"/>
  <c r="G31"/>
  <c r="G34"/>
  <c r="G33"/>
  <c r="G37"/>
  <c r="L32" i="40"/>
  <c r="L38"/>
  <c r="L28"/>
  <c r="G29" i="22"/>
  <c r="G35"/>
  <c r="G38"/>
  <c r="L66" i="40"/>
  <c r="L158"/>
  <c r="L114"/>
  <c r="L173"/>
  <c r="L180"/>
  <c r="L179"/>
  <c r="M19" i="34"/>
  <c r="M20"/>
  <c r="M21"/>
  <c r="M23"/>
  <c r="M26"/>
  <c r="M28"/>
  <c r="M29"/>
  <c r="M22"/>
  <c r="M24"/>
  <c r="M25"/>
  <c r="M27"/>
  <c r="M30"/>
  <c r="M31"/>
  <c r="M32"/>
  <c r="M33"/>
  <c r="E26" i="22"/>
  <c r="E27"/>
  <c r="J41" i="40"/>
  <c r="J44"/>
  <c r="J53"/>
  <c r="J47"/>
  <c r="J35"/>
  <c r="J50"/>
  <c r="E30" i="22"/>
  <c r="E24"/>
  <c r="E32"/>
  <c r="E35"/>
  <c r="J32" i="40"/>
  <c r="E25" i="22"/>
  <c r="E29"/>
  <c r="E31"/>
  <c r="E33"/>
  <c r="E34"/>
  <c r="E37"/>
  <c r="J28" i="40"/>
  <c r="E28" i="22"/>
  <c r="E36"/>
  <c r="K31" i="40"/>
  <c r="J38"/>
  <c r="E38" i="22"/>
  <c r="J66" i="40"/>
  <c r="K65"/>
  <c r="J114"/>
  <c r="J173"/>
  <c r="J158"/>
  <c r="K157"/>
  <c r="J212"/>
  <c r="K172"/>
  <c r="K113"/>
  <c r="J180"/>
  <c r="J179"/>
  <c r="J19" i="34"/>
  <c r="J20"/>
  <c r="J21"/>
  <c r="J23"/>
  <c r="J26"/>
  <c r="J28"/>
  <c r="J29"/>
  <c r="J22"/>
  <c r="J24"/>
  <c r="J25"/>
  <c r="J27"/>
  <c r="J30"/>
  <c r="J31"/>
  <c r="J32"/>
  <c r="J33"/>
  <c r="L15" i="22"/>
  <c r="J15"/>
  <c r="D62"/>
  <c r="D60"/>
  <c r="D58"/>
  <c r="D56"/>
  <c r="D54"/>
  <c r="G60"/>
  <c r="F59"/>
  <c r="G56"/>
  <c r="F55"/>
  <c r="F62"/>
  <c r="F60"/>
  <c r="F58"/>
  <c r="F56"/>
  <c r="F54"/>
  <c r="C60"/>
  <c r="D59"/>
  <c r="C56"/>
  <c r="D55"/>
  <c r="E56"/>
  <c r="E60"/>
  <c r="F53"/>
  <c r="C54"/>
  <c r="E55"/>
  <c r="F57"/>
  <c r="C58"/>
  <c r="C59"/>
  <c r="D61"/>
  <c r="G62"/>
  <c r="J33" i="40"/>
  <c r="L33"/>
  <c r="N33"/>
  <c r="P33"/>
  <c r="K34"/>
  <c r="M34"/>
  <c r="O34"/>
  <c r="Q34"/>
  <c r="J36"/>
  <c r="L36"/>
  <c r="N36"/>
  <c r="P36"/>
  <c r="K37"/>
  <c r="M37"/>
  <c r="O37"/>
  <c r="Q37"/>
  <c r="J39"/>
  <c r="L39"/>
  <c r="N39"/>
  <c r="P39"/>
  <c r="K40"/>
  <c r="M40"/>
  <c r="O40"/>
  <c r="Q40"/>
  <c r="J42"/>
  <c r="L42"/>
  <c r="N42"/>
  <c r="P42"/>
  <c r="K43"/>
  <c r="M43"/>
  <c r="O43"/>
  <c r="Q43"/>
  <c r="F45" i="22"/>
  <c r="D53"/>
  <c r="G54"/>
  <c r="C55"/>
  <c r="G55"/>
  <c r="D57"/>
  <c r="G58"/>
  <c r="E59"/>
  <c r="G59"/>
  <c r="F61"/>
  <c r="C62"/>
  <c r="C45"/>
  <c r="E45"/>
  <c r="G45"/>
  <c r="C53"/>
  <c r="E53"/>
  <c r="G53"/>
  <c r="E54"/>
  <c r="C57"/>
  <c r="E57"/>
  <c r="G57"/>
  <c r="E58"/>
  <c r="C61"/>
  <c r="E61"/>
  <c r="G61"/>
  <c r="E62"/>
  <c r="K33" i="40"/>
  <c r="M33"/>
  <c r="O33"/>
  <c r="Q33"/>
  <c r="J34"/>
  <c r="L34"/>
  <c r="N34"/>
  <c r="P34"/>
  <c r="K36"/>
  <c r="M36"/>
  <c r="O36"/>
  <c r="Q36"/>
  <c r="J37"/>
  <c r="L37"/>
  <c r="N37"/>
  <c r="P37"/>
  <c r="K39"/>
  <c r="M39"/>
  <c r="O39"/>
  <c r="Q39"/>
  <c r="J40"/>
  <c r="L40"/>
  <c r="N40"/>
  <c r="P40"/>
  <c r="K42"/>
  <c r="M42"/>
  <c r="O42"/>
  <c r="Q42"/>
  <c r="J43"/>
  <c r="L43"/>
  <c r="N43"/>
  <c r="P43"/>
  <c r="J45"/>
  <c r="L45"/>
  <c r="N45"/>
  <c r="P45"/>
  <c r="K45"/>
  <c r="M45"/>
  <c r="O45"/>
  <c r="Q45"/>
  <c r="K46"/>
  <c r="O46"/>
  <c r="J48"/>
  <c r="J46"/>
  <c r="L46"/>
  <c r="N46"/>
  <c r="P46"/>
  <c r="K48"/>
  <c r="M48"/>
  <c r="O48"/>
  <c r="Q48"/>
  <c r="J49"/>
  <c r="L49"/>
  <c r="N49"/>
  <c r="P49"/>
  <c r="M46"/>
  <c r="Q46"/>
  <c r="L48"/>
  <c r="N48"/>
  <c r="P48"/>
  <c r="K49"/>
  <c r="M49"/>
  <c r="O49"/>
  <c r="Q49"/>
  <c r="J51"/>
  <c r="L51"/>
  <c r="N51"/>
  <c r="P51"/>
  <c r="K52"/>
  <c r="M52"/>
  <c r="O52"/>
  <c r="Q52"/>
  <c r="J54"/>
  <c r="L54"/>
  <c r="N54"/>
  <c r="K55"/>
  <c r="Q55"/>
  <c r="P67"/>
  <c r="P68"/>
  <c r="N69"/>
  <c r="L70"/>
  <c r="N70"/>
  <c r="L71"/>
  <c r="P71"/>
  <c r="N72"/>
  <c r="L73"/>
  <c r="N73"/>
  <c r="L74"/>
  <c r="N74"/>
  <c r="L75"/>
  <c r="P75"/>
  <c r="N76"/>
  <c r="L77"/>
  <c r="N77"/>
  <c r="L78"/>
  <c r="K51"/>
  <c r="M51"/>
  <c r="O51"/>
  <c r="Q51"/>
  <c r="J52"/>
  <c r="L52"/>
  <c r="N52"/>
  <c r="P52"/>
  <c r="K54"/>
  <c r="M54"/>
  <c r="O54"/>
  <c r="Q54"/>
  <c r="J55"/>
  <c r="L55"/>
  <c r="N55"/>
  <c r="P55"/>
  <c r="K67"/>
  <c r="M67"/>
  <c r="O67"/>
  <c r="Q67"/>
  <c r="K68"/>
  <c r="M68"/>
  <c r="O68"/>
  <c r="Q68"/>
  <c r="K69"/>
  <c r="M69"/>
  <c r="O69"/>
  <c r="Q69"/>
  <c r="K70"/>
  <c r="M70"/>
  <c r="O70"/>
  <c r="Q70"/>
  <c r="K71"/>
  <c r="M71"/>
  <c r="O71"/>
  <c r="Q71"/>
  <c r="K72"/>
  <c r="M72"/>
  <c r="O72"/>
  <c r="Q72"/>
  <c r="K73"/>
  <c r="M73"/>
  <c r="O73"/>
  <c r="Q73"/>
  <c r="K74"/>
  <c r="M74"/>
  <c r="O74"/>
  <c r="Q74"/>
  <c r="K75"/>
  <c r="M75"/>
  <c r="O75"/>
  <c r="Q75"/>
  <c r="K76"/>
  <c r="M76"/>
  <c r="O76"/>
  <c r="Q76"/>
  <c r="K77"/>
  <c r="M77"/>
  <c r="O77"/>
  <c r="Q77"/>
  <c r="K78"/>
  <c r="M78"/>
  <c r="O78"/>
  <c r="Q78"/>
  <c r="K79"/>
  <c r="M79"/>
  <c r="O79"/>
  <c r="Q79"/>
  <c r="K80"/>
  <c r="M80"/>
  <c r="O80"/>
  <c r="Q80"/>
  <c r="K81"/>
  <c r="M81"/>
  <c r="O81"/>
  <c r="Q81"/>
  <c r="K82"/>
  <c r="M82"/>
  <c r="O82"/>
  <c r="Q82"/>
  <c r="K83"/>
  <c r="M83"/>
  <c r="O83"/>
  <c r="Q83"/>
  <c r="K84"/>
  <c r="M84"/>
  <c r="O84"/>
  <c r="Q84"/>
  <c r="K85"/>
  <c r="M85"/>
  <c r="O85"/>
  <c r="Q85"/>
  <c r="K86"/>
  <c r="M86"/>
  <c r="O86"/>
  <c r="Q86"/>
  <c r="K87"/>
  <c r="M87"/>
  <c r="O87"/>
  <c r="Q87"/>
  <c r="K88"/>
  <c r="M88"/>
  <c r="O88"/>
  <c r="Q88"/>
  <c r="K89"/>
  <c r="M89"/>
  <c r="O89"/>
  <c r="Q89"/>
  <c r="K90"/>
  <c r="M90"/>
  <c r="O90"/>
  <c r="Q90"/>
  <c r="K91"/>
  <c r="M91"/>
  <c r="O91"/>
  <c r="Q91"/>
  <c r="K92"/>
  <c r="M92"/>
  <c r="O92"/>
  <c r="Q92"/>
  <c r="K93"/>
  <c r="M93"/>
  <c r="O93"/>
  <c r="Q93"/>
  <c r="K94"/>
  <c r="M94"/>
  <c r="O94"/>
  <c r="Q94"/>
  <c r="K95"/>
  <c r="M95"/>
  <c r="O95"/>
  <c r="Q95"/>
  <c r="K96"/>
  <c r="M96"/>
  <c r="O96"/>
  <c r="Q96"/>
  <c r="P54"/>
  <c r="M55"/>
  <c r="O55"/>
  <c r="L67"/>
  <c r="N67"/>
  <c r="L68"/>
  <c r="N68"/>
  <c r="L69"/>
  <c r="P69"/>
  <c r="P70"/>
  <c r="N71"/>
  <c r="L72"/>
  <c r="P72"/>
  <c r="P73"/>
  <c r="P74"/>
  <c r="N75"/>
  <c r="L76"/>
  <c r="P76"/>
  <c r="P77"/>
  <c r="N78"/>
  <c r="P78"/>
  <c r="L79"/>
  <c r="N79"/>
  <c r="P79"/>
  <c r="L80"/>
  <c r="N80"/>
  <c r="P80"/>
  <c r="L81"/>
  <c r="N81"/>
  <c r="P81"/>
  <c r="L82"/>
  <c r="N82"/>
  <c r="P82"/>
  <c r="L83"/>
  <c r="N83"/>
  <c r="P83"/>
  <c r="L84"/>
  <c r="N84"/>
  <c r="P84"/>
  <c r="L85"/>
  <c r="N85"/>
  <c r="P85"/>
  <c r="L86"/>
  <c r="N86"/>
  <c r="P86"/>
  <c r="L87"/>
  <c r="N87"/>
  <c r="P87"/>
  <c r="L88"/>
  <c r="N88"/>
  <c r="P88"/>
  <c r="L89"/>
  <c r="N89"/>
  <c r="P89"/>
  <c r="L90"/>
  <c r="N90"/>
  <c r="P90"/>
  <c r="L91"/>
  <c r="N91"/>
  <c r="P91"/>
  <c r="L92"/>
  <c r="N92"/>
  <c r="P92"/>
  <c r="L93"/>
  <c r="N93"/>
  <c r="P93"/>
  <c r="L94"/>
  <c r="N94"/>
  <c r="P94"/>
  <c r="L95"/>
  <c r="N95"/>
  <c r="P95"/>
  <c r="L96"/>
  <c r="N96"/>
  <c r="P96"/>
  <c r="L97"/>
  <c r="N97"/>
  <c r="P97"/>
  <c r="L98"/>
  <c r="N98"/>
  <c r="P98"/>
  <c r="K97"/>
  <c r="M97"/>
  <c r="O97"/>
  <c r="Q97"/>
  <c r="K98"/>
  <c r="M98"/>
  <c r="O98"/>
  <c r="Q98"/>
  <c r="L99"/>
  <c r="N99"/>
  <c r="P99"/>
  <c r="L105"/>
  <c r="N105"/>
  <c r="P105"/>
  <c r="L106"/>
  <c r="N106"/>
  <c r="P106"/>
  <c r="L107"/>
  <c r="N107"/>
  <c r="P107"/>
  <c r="L108"/>
  <c r="N108"/>
  <c r="P108"/>
  <c r="L109"/>
  <c r="N109"/>
  <c r="P109"/>
  <c r="J115"/>
  <c r="N115"/>
  <c r="M116"/>
  <c r="Q116"/>
  <c r="J117"/>
  <c r="P117"/>
  <c r="M118"/>
  <c r="Q118"/>
  <c r="L119"/>
  <c r="P119"/>
  <c r="M120"/>
  <c r="O120"/>
  <c r="J121"/>
  <c r="N121"/>
  <c r="K122"/>
  <c r="M122"/>
  <c r="J123"/>
  <c r="L123"/>
  <c r="P123"/>
  <c r="K124"/>
  <c r="Q124"/>
  <c r="J125"/>
  <c r="P125"/>
  <c r="M126"/>
  <c r="J127"/>
  <c r="L127"/>
  <c r="P127"/>
  <c r="M128"/>
  <c r="O128"/>
  <c r="J129"/>
  <c r="N129"/>
  <c r="K130"/>
  <c r="O130"/>
  <c r="Q130"/>
  <c r="L131"/>
  <c r="P131"/>
  <c r="M132"/>
  <c r="O132"/>
  <c r="J133"/>
  <c r="N133"/>
  <c r="P133"/>
  <c r="K134"/>
  <c r="M134"/>
  <c r="O134"/>
  <c r="Q134"/>
  <c r="J135"/>
  <c r="L135"/>
  <c r="K99"/>
  <c r="M99"/>
  <c r="O99"/>
  <c r="Q99"/>
  <c r="P100"/>
  <c r="P101"/>
  <c r="P102"/>
  <c r="P103"/>
  <c r="P104"/>
  <c r="K105"/>
  <c r="M105"/>
  <c r="O105"/>
  <c r="Q105"/>
  <c r="K106"/>
  <c r="M106"/>
  <c r="O106"/>
  <c r="Q106"/>
  <c r="K107"/>
  <c r="M107"/>
  <c r="O107"/>
  <c r="Q107"/>
  <c r="K108"/>
  <c r="M108"/>
  <c r="O108"/>
  <c r="Q108"/>
  <c r="K109"/>
  <c r="M109"/>
  <c r="O109"/>
  <c r="Q109"/>
  <c r="K115"/>
  <c r="M115"/>
  <c r="O115"/>
  <c r="Q115"/>
  <c r="J116"/>
  <c r="L116"/>
  <c r="N116"/>
  <c r="P116"/>
  <c r="K117"/>
  <c r="M117"/>
  <c r="O117"/>
  <c r="Q117"/>
  <c r="J118"/>
  <c r="L118"/>
  <c r="N118"/>
  <c r="P118"/>
  <c r="K119"/>
  <c r="M119"/>
  <c r="O119"/>
  <c r="Q119"/>
  <c r="J120"/>
  <c r="L120"/>
  <c r="N120"/>
  <c r="P120"/>
  <c r="K121"/>
  <c r="M121"/>
  <c r="O121"/>
  <c r="Q121"/>
  <c r="J122"/>
  <c r="L122"/>
  <c r="N122"/>
  <c r="P122"/>
  <c r="K123"/>
  <c r="M123"/>
  <c r="O123"/>
  <c r="Q123"/>
  <c r="J124"/>
  <c r="L124"/>
  <c r="N124"/>
  <c r="P124"/>
  <c r="K125"/>
  <c r="M125"/>
  <c r="O125"/>
  <c r="Q125"/>
  <c r="J126"/>
  <c r="L126"/>
  <c r="N126"/>
  <c r="P126"/>
  <c r="K127"/>
  <c r="M127"/>
  <c r="O127"/>
  <c r="Q127"/>
  <c r="J128"/>
  <c r="L128"/>
  <c r="N128"/>
  <c r="P128"/>
  <c r="K129"/>
  <c r="M129"/>
  <c r="O129"/>
  <c r="Q129"/>
  <c r="J130"/>
  <c r="L130"/>
  <c r="N130"/>
  <c r="P130"/>
  <c r="K131"/>
  <c r="M131"/>
  <c r="O131"/>
  <c r="Q131"/>
  <c r="J132"/>
  <c r="L132"/>
  <c r="N132"/>
  <c r="P132"/>
  <c r="K133"/>
  <c r="M133"/>
  <c r="O133"/>
  <c r="Q133"/>
  <c r="J134"/>
  <c r="L134"/>
  <c r="N134"/>
  <c r="P134"/>
  <c r="K135"/>
  <c r="M135"/>
  <c r="O135"/>
  <c r="Q135"/>
  <c r="P136"/>
  <c r="P137"/>
  <c r="P138"/>
  <c r="P139"/>
  <c r="P140"/>
  <c r="P141"/>
  <c r="P142"/>
  <c r="P143"/>
  <c r="P144"/>
  <c r="P145"/>
  <c r="P146"/>
  <c r="P147"/>
  <c r="J148"/>
  <c r="L148"/>
  <c r="N148"/>
  <c r="P148"/>
  <c r="K149"/>
  <c r="M149"/>
  <c r="O149"/>
  <c r="Q149"/>
  <c r="J150"/>
  <c r="L150"/>
  <c r="N150"/>
  <c r="P150"/>
  <c r="K151"/>
  <c r="M151"/>
  <c r="O151"/>
  <c r="Q151"/>
  <c r="J152"/>
  <c r="L152"/>
  <c r="N152"/>
  <c r="P152"/>
  <c r="K153"/>
  <c r="M153"/>
  <c r="O153"/>
  <c r="Q153"/>
  <c r="J159"/>
  <c r="L159"/>
  <c r="N159"/>
  <c r="P159"/>
  <c r="J160"/>
  <c r="L160"/>
  <c r="N160"/>
  <c r="P160"/>
  <c r="J161"/>
  <c r="L161"/>
  <c r="N161"/>
  <c r="P161"/>
  <c r="J162"/>
  <c r="L162"/>
  <c r="N162"/>
  <c r="P162"/>
  <c r="J163"/>
  <c r="L163"/>
  <c r="N163"/>
  <c r="P163"/>
  <c r="J164"/>
  <c r="L164"/>
  <c r="N164"/>
  <c r="P164"/>
  <c r="J165"/>
  <c r="L165"/>
  <c r="N165"/>
  <c r="P165"/>
  <c r="J166"/>
  <c r="L166"/>
  <c r="N166"/>
  <c r="P166"/>
  <c r="J167"/>
  <c r="L167"/>
  <c r="N167"/>
  <c r="P167"/>
  <c r="J168"/>
  <c r="L168"/>
  <c r="N168"/>
  <c r="P168"/>
  <c r="J169"/>
  <c r="L169"/>
  <c r="N169"/>
  <c r="P169"/>
  <c r="L115"/>
  <c r="P115"/>
  <c r="K116"/>
  <c r="O116"/>
  <c r="L117"/>
  <c r="N117"/>
  <c r="K118"/>
  <c r="O118"/>
  <c r="J119"/>
  <c r="N119"/>
  <c r="K120"/>
  <c r="Q120"/>
  <c r="L121"/>
  <c r="P121"/>
  <c r="O122"/>
  <c r="Q122"/>
  <c r="N123"/>
  <c r="M124"/>
  <c r="O124"/>
  <c r="L125"/>
  <c r="N125"/>
  <c r="K126"/>
  <c r="O126"/>
  <c r="Q126"/>
  <c r="N127"/>
  <c r="K128"/>
  <c r="Q128"/>
  <c r="L129"/>
  <c r="P129"/>
  <c r="M130"/>
  <c r="J131"/>
  <c r="N131"/>
  <c r="K132"/>
  <c r="Q132"/>
  <c r="L133"/>
  <c r="N135"/>
  <c r="P135"/>
  <c r="K148"/>
  <c r="M148"/>
  <c r="O148"/>
  <c r="Q148"/>
  <c r="J149"/>
  <c r="L149"/>
  <c r="N149"/>
  <c r="P149"/>
  <c r="K150"/>
  <c r="M150"/>
  <c r="O150"/>
  <c r="Q150"/>
  <c r="J151"/>
  <c r="L151"/>
  <c r="N151"/>
  <c r="P151"/>
  <c r="K152"/>
  <c r="M152"/>
  <c r="O152"/>
  <c r="Q152"/>
  <c r="J153"/>
  <c r="L153"/>
  <c r="N153"/>
  <c r="P153"/>
  <c r="K159"/>
  <c r="M159"/>
  <c r="O159"/>
  <c r="Q159"/>
  <c r="K160"/>
  <c r="M160"/>
  <c r="O160"/>
  <c r="Q160"/>
  <c r="K161"/>
  <c r="M161"/>
  <c r="O161"/>
  <c r="Q161"/>
  <c r="K162"/>
  <c r="M162"/>
  <c r="O162"/>
  <c r="Q162"/>
  <c r="K163"/>
  <c r="M163"/>
  <c r="O163"/>
  <c r="Q163"/>
  <c r="K164"/>
  <c r="M164"/>
  <c r="O164"/>
  <c r="Q164"/>
  <c r="K165"/>
  <c r="M165"/>
  <c r="O165"/>
  <c r="Q165"/>
  <c r="K166"/>
  <c r="M166"/>
  <c r="O166"/>
  <c r="Q166"/>
  <c r="K167"/>
  <c r="M167"/>
  <c r="O167"/>
  <c r="Q167"/>
  <c r="K168"/>
  <c r="M168"/>
  <c r="O168"/>
  <c r="Q168"/>
  <c r="K169"/>
  <c r="M169"/>
  <c r="O169"/>
  <c r="Q169"/>
  <c r="J176"/>
  <c r="L176"/>
  <c r="N176"/>
  <c r="P176"/>
  <c r="J206"/>
  <c r="C187"/>
  <c r="C206"/>
  <c r="L187"/>
  <c r="J174"/>
  <c r="L174"/>
  <c r="N174"/>
  <c r="P174"/>
  <c r="M175"/>
  <c r="O175"/>
  <c r="Q175"/>
  <c r="M174"/>
  <c r="O174"/>
  <c r="Q174"/>
  <c r="J175"/>
  <c r="L175"/>
  <c r="N175"/>
  <c r="P175"/>
  <c r="M176"/>
  <c r="O176"/>
  <c r="Q176"/>
  <c r="L206"/>
  <c r="J187"/>
  <c r="J177"/>
  <c r="L177"/>
  <c r="N177"/>
  <c r="P177"/>
  <c r="M178"/>
  <c r="O178"/>
  <c r="Q178"/>
  <c r="Q191"/>
  <c r="Q192"/>
  <c r="Q193"/>
  <c r="Q194"/>
  <c r="Q195"/>
  <c r="J201"/>
  <c r="L201"/>
  <c r="P201"/>
  <c r="J202"/>
  <c r="L202"/>
  <c r="P202"/>
  <c r="J203"/>
  <c r="L203"/>
  <c r="P203"/>
  <c r="J204"/>
  <c r="L204"/>
  <c r="P204"/>
  <c r="J205"/>
  <c r="L205"/>
  <c r="Q207"/>
  <c r="Q208"/>
  <c r="Q209"/>
  <c r="Q210"/>
  <c r="Q211"/>
  <c r="M213"/>
  <c r="O213"/>
  <c r="Q213"/>
  <c r="J214"/>
  <c r="L214"/>
  <c r="N214"/>
  <c r="P214"/>
  <c r="O215"/>
  <c r="Q215"/>
  <c r="J216"/>
  <c r="M216"/>
  <c r="D216" s="1"/>
  <c r="L216"/>
  <c r="N216"/>
  <c r="P216"/>
  <c r="M217"/>
  <c r="D217" s="1"/>
  <c r="O217"/>
  <c r="Q217"/>
  <c r="J218"/>
  <c r="L218"/>
  <c r="N218"/>
  <c r="P218"/>
  <c r="M177"/>
  <c r="O177"/>
  <c r="Q177"/>
  <c r="J178"/>
  <c r="L178"/>
  <c r="N178"/>
  <c r="P178"/>
  <c r="J191"/>
  <c r="L191"/>
  <c r="P191"/>
  <c r="J192"/>
  <c r="L192"/>
  <c r="P192"/>
  <c r="J193"/>
  <c r="L193"/>
  <c r="P193"/>
  <c r="J194"/>
  <c r="L194"/>
  <c r="P194"/>
  <c r="J195"/>
  <c r="L195"/>
  <c r="P195"/>
  <c r="Q201"/>
  <c r="Q202"/>
  <c r="Q203"/>
  <c r="Q204"/>
  <c r="Q205"/>
  <c r="J207"/>
  <c r="L207"/>
  <c r="P207"/>
  <c r="J208"/>
  <c r="L208"/>
  <c r="P208"/>
  <c r="J209"/>
  <c r="L209"/>
  <c r="P209"/>
  <c r="J210"/>
  <c r="L210"/>
  <c r="P210"/>
  <c r="J211"/>
  <c r="L211"/>
  <c r="P211"/>
  <c r="J213"/>
  <c r="D213"/>
  <c r="L213"/>
  <c r="N213"/>
  <c r="P213"/>
  <c r="O214"/>
  <c r="Q214"/>
  <c r="J215"/>
  <c r="L215"/>
  <c r="N215"/>
  <c r="P215"/>
  <c r="O216"/>
  <c r="Q216"/>
  <c r="J217"/>
  <c r="L217"/>
  <c r="N217"/>
  <c r="P217"/>
  <c r="O218"/>
  <c r="Q218"/>
  <c r="P205"/>
  <c r="M219"/>
  <c r="D219" s="1"/>
  <c r="O219"/>
  <c r="Q219"/>
  <c r="J220"/>
  <c r="L220"/>
  <c r="N220"/>
  <c r="P220"/>
  <c r="O221"/>
  <c r="Q221"/>
  <c r="J222"/>
  <c r="L222"/>
  <c r="N222"/>
  <c r="P222"/>
  <c r="O223"/>
  <c r="Q223"/>
  <c r="O225"/>
  <c r="J226"/>
  <c r="M226"/>
  <c r="D226" s="1"/>
  <c r="L226"/>
  <c r="N226"/>
  <c r="P226"/>
  <c r="J228"/>
  <c r="M228"/>
  <c r="D228" s="1"/>
  <c r="L228"/>
  <c r="N228"/>
  <c r="P228"/>
  <c r="O229"/>
  <c r="C253"/>
  <c r="J219"/>
  <c r="L219"/>
  <c r="N219"/>
  <c r="P219"/>
  <c r="O220"/>
  <c r="Q220"/>
  <c r="J221"/>
  <c r="L221"/>
  <c r="N221"/>
  <c r="P221"/>
  <c r="O222"/>
  <c r="Q222"/>
  <c r="J223"/>
  <c r="L223"/>
  <c r="N223"/>
  <c r="P223"/>
  <c r="J225"/>
  <c r="L225"/>
  <c r="N225"/>
  <c r="P225"/>
  <c r="O226"/>
  <c r="O228"/>
  <c r="J229"/>
  <c r="L229"/>
  <c r="N229"/>
  <c r="P229"/>
  <c r="K253"/>
  <c r="L253"/>
  <c r="K252"/>
  <c r="J253"/>
  <c r="O231"/>
  <c r="J232"/>
  <c r="M232"/>
  <c r="D232" s="1"/>
  <c r="N232"/>
  <c r="Q240"/>
  <c r="Q241"/>
  <c r="Q243"/>
  <c r="Q244"/>
  <c r="L254"/>
  <c r="N254"/>
  <c r="K255"/>
  <c r="M255"/>
  <c r="D255" s="1"/>
  <c r="Q255"/>
  <c r="N256"/>
  <c r="M257"/>
  <c r="D257" s="1"/>
  <c r="O257"/>
  <c r="J258"/>
  <c r="M258"/>
  <c r="D258" s="1"/>
  <c r="N258"/>
  <c r="K259"/>
  <c r="O259"/>
  <c r="Q259"/>
  <c r="J302"/>
  <c r="J231"/>
  <c r="M231"/>
  <c r="D231" s="1"/>
  <c r="L231"/>
  <c r="N231"/>
  <c r="P231"/>
  <c r="O232"/>
  <c r="J234"/>
  <c r="L234"/>
  <c r="N234"/>
  <c r="P234"/>
  <c r="J235"/>
  <c r="L235"/>
  <c r="N235"/>
  <c r="P235"/>
  <c r="P240"/>
  <c r="P241"/>
  <c r="P243"/>
  <c r="P244"/>
  <c r="K254"/>
  <c r="O254"/>
  <c r="Q254"/>
  <c r="J255"/>
  <c r="L255"/>
  <c r="N255"/>
  <c r="K256"/>
  <c r="M256"/>
  <c r="D256" s="1"/>
  <c r="O256"/>
  <c r="Q256"/>
  <c r="J257"/>
  <c r="L257"/>
  <c r="N257"/>
  <c r="K258"/>
  <c r="O258"/>
  <c r="Q258"/>
  <c r="J259"/>
  <c r="L259"/>
  <c r="N259"/>
  <c r="L302"/>
  <c r="J265"/>
  <c r="C302"/>
  <c r="J277"/>
  <c r="K265"/>
  <c r="L232"/>
  <c r="P232"/>
  <c r="O234"/>
  <c r="O235"/>
  <c r="J254"/>
  <c r="O255"/>
  <c r="J256"/>
  <c r="L256"/>
  <c r="K257"/>
  <c r="Q257"/>
  <c r="L258"/>
  <c r="K277"/>
  <c r="L265"/>
  <c r="K302"/>
  <c r="K301"/>
  <c r="L277"/>
  <c r="C277"/>
  <c r="C265"/>
  <c r="C320"/>
  <c r="L260"/>
  <c r="M261"/>
  <c r="D261" s="1"/>
  <c r="Q261"/>
  <c r="L262"/>
  <c r="K263"/>
  <c r="O263"/>
  <c r="J264"/>
  <c r="M264"/>
  <c r="D264" s="1"/>
  <c r="K266"/>
  <c r="O266"/>
  <c r="J267"/>
  <c r="M267"/>
  <c r="D267" s="1"/>
  <c r="P267"/>
  <c r="M268"/>
  <c r="D268" s="1"/>
  <c r="Q268"/>
  <c r="L269"/>
  <c r="P269"/>
  <c r="O270"/>
  <c r="J271"/>
  <c r="P271"/>
  <c r="J273"/>
  <c r="M273"/>
  <c r="D273" s="1"/>
  <c r="N273"/>
  <c r="K274"/>
  <c r="Q274"/>
  <c r="L275"/>
  <c r="N275"/>
  <c r="K276"/>
  <c r="O276"/>
  <c r="Q278"/>
  <c r="L279"/>
  <c r="N279"/>
  <c r="K280"/>
  <c r="O280"/>
  <c r="Q280"/>
  <c r="L281"/>
  <c r="P281"/>
  <c r="K282"/>
  <c r="Q282"/>
  <c r="P288"/>
  <c r="L289"/>
  <c r="N289"/>
  <c r="K290"/>
  <c r="O290"/>
  <c r="Q290"/>
  <c r="L291"/>
  <c r="P291"/>
  <c r="K292"/>
  <c r="Q292"/>
  <c r="J293"/>
  <c r="P293"/>
  <c r="K294"/>
  <c r="O294"/>
  <c r="K260"/>
  <c r="O260"/>
  <c r="Q260"/>
  <c r="J261"/>
  <c r="L261"/>
  <c r="N261"/>
  <c r="K262"/>
  <c r="M262"/>
  <c r="D262" s="1"/>
  <c r="O262"/>
  <c r="Q262"/>
  <c r="J263"/>
  <c r="M263"/>
  <c r="D263" s="1"/>
  <c r="L263"/>
  <c r="N263"/>
  <c r="K264"/>
  <c r="O264"/>
  <c r="Q264"/>
  <c r="J266"/>
  <c r="L266"/>
  <c r="N266"/>
  <c r="P266"/>
  <c r="K267"/>
  <c r="O267"/>
  <c r="Q267"/>
  <c r="J268"/>
  <c r="L268"/>
  <c r="N268"/>
  <c r="P268"/>
  <c r="K269"/>
  <c r="O269"/>
  <c r="Q269"/>
  <c r="J270"/>
  <c r="L270"/>
  <c r="N270"/>
  <c r="P270"/>
  <c r="K271"/>
  <c r="O271"/>
  <c r="Q271"/>
  <c r="J272"/>
  <c r="L272"/>
  <c r="N272"/>
  <c r="P272"/>
  <c r="K273"/>
  <c r="O273"/>
  <c r="Q273"/>
  <c r="J274"/>
  <c r="M274"/>
  <c r="D274" s="1"/>
  <c r="L274"/>
  <c r="N274"/>
  <c r="P274"/>
  <c r="K275"/>
  <c r="M275"/>
  <c r="O275"/>
  <c r="Q275"/>
  <c r="J276"/>
  <c r="M276"/>
  <c r="D276" s="1"/>
  <c r="L276"/>
  <c r="N276"/>
  <c r="P276"/>
  <c r="J278"/>
  <c r="L278"/>
  <c r="N278"/>
  <c r="P278"/>
  <c r="K279"/>
  <c r="M279"/>
  <c r="D279" s="1"/>
  <c r="O279"/>
  <c r="Q279"/>
  <c r="J280"/>
  <c r="M280"/>
  <c r="D280" s="1"/>
  <c r="L280"/>
  <c r="N280"/>
  <c r="P280"/>
  <c r="K281"/>
  <c r="O281"/>
  <c r="Q281"/>
  <c r="J282"/>
  <c r="L282"/>
  <c r="N282"/>
  <c r="P282"/>
  <c r="P283"/>
  <c r="P285"/>
  <c r="P287"/>
  <c r="K289"/>
  <c r="O289"/>
  <c r="Q289"/>
  <c r="J290"/>
  <c r="M290"/>
  <c r="D290" s="1"/>
  <c r="L290"/>
  <c r="N290"/>
  <c r="P290"/>
  <c r="K291"/>
  <c r="O291"/>
  <c r="Q291"/>
  <c r="J292"/>
  <c r="L292"/>
  <c r="N292"/>
  <c r="P292"/>
  <c r="K293"/>
  <c r="O293"/>
  <c r="Q293"/>
  <c r="J294"/>
  <c r="L294"/>
  <c r="N294"/>
  <c r="P294"/>
  <c r="M303"/>
  <c r="D303" s="1"/>
  <c r="O303"/>
  <c r="Q303"/>
  <c r="M304"/>
  <c r="D304" s="1"/>
  <c r="O304"/>
  <c r="Q304"/>
  <c r="M305"/>
  <c r="D305" s="1"/>
  <c r="O305"/>
  <c r="Q305"/>
  <c r="M306"/>
  <c r="D306" s="1"/>
  <c r="O306"/>
  <c r="Q306"/>
  <c r="M307"/>
  <c r="D307" s="1"/>
  <c r="O307"/>
  <c r="Q307"/>
  <c r="O308"/>
  <c r="Q308"/>
  <c r="M309"/>
  <c r="D309" s="1"/>
  <c r="O309"/>
  <c r="Q309"/>
  <c r="M310"/>
  <c r="D310" s="1"/>
  <c r="O310"/>
  <c r="Q310"/>
  <c r="M311"/>
  <c r="D311" s="1"/>
  <c r="O311"/>
  <c r="Q311"/>
  <c r="M312"/>
  <c r="D312" s="1"/>
  <c r="O312"/>
  <c r="Q312"/>
  <c r="M313"/>
  <c r="D313" s="1"/>
  <c r="O313"/>
  <c r="Q313"/>
  <c r="O314"/>
  <c r="Q314"/>
  <c r="M315"/>
  <c r="D315" s="1"/>
  <c r="O315"/>
  <c r="Q315"/>
  <c r="M316"/>
  <c r="D316" s="1"/>
  <c r="O316"/>
  <c r="Q316"/>
  <c r="M317"/>
  <c r="D317" s="1"/>
  <c r="O317"/>
  <c r="Q317"/>
  <c r="M318"/>
  <c r="D318" s="1"/>
  <c r="O318"/>
  <c r="Q318"/>
  <c r="M319"/>
  <c r="D319" s="1"/>
  <c r="O319"/>
  <c r="Q319"/>
  <c r="P321"/>
  <c r="P323"/>
  <c r="P325"/>
  <c r="C347"/>
  <c r="L347"/>
  <c r="J260"/>
  <c r="N260"/>
  <c r="K261"/>
  <c r="O261"/>
  <c r="J262"/>
  <c r="N262"/>
  <c r="Q263"/>
  <c r="L264"/>
  <c r="N264"/>
  <c r="Q266"/>
  <c r="L267"/>
  <c r="N267"/>
  <c r="K268"/>
  <c r="O268"/>
  <c r="J269"/>
  <c r="N269"/>
  <c r="K270"/>
  <c r="Q270"/>
  <c r="L271"/>
  <c r="N271"/>
  <c r="K272"/>
  <c r="O272"/>
  <c r="Q272"/>
  <c r="L273"/>
  <c r="P273"/>
  <c r="O274"/>
  <c r="J275"/>
  <c r="D275"/>
  <c r="P275"/>
  <c r="Q276"/>
  <c r="K278"/>
  <c r="O278"/>
  <c r="J279"/>
  <c r="P279"/>
  <c r="J281"/>
  <c r="N281"/>
  <c r="O282"/>
  <c r="P284"/>
  <c r="P286"/>
  <c r="J289"/>
  <c r="P289"/>
  <c r="J291"/>
  <c r="N291"/>
  <c r="O292"/>
  <c r="L293"/>
  <c r="N293"/>
  <c r="Q294"/>
  <c r="N303"/>
  <c r="P303"/>
  <c r="N304"/>
  <c r="P304"/>
  <c r="N305"/>
  <c r="P305"/>
  <c r="N306"/>
  <c r="P306"/>
  <c r="N307"/>
  <c r="P307"/>
  <c r="N308"/>
  <c r="P308"/>
  <c r="N309"/>
  <c r="P309"/>
  <c r="N310"/>
  <c r="P310"/>
  <c r="N311"/>
  <c r="P311"/>
  <c r="N312"/>
  <c r="P312"/>
  <c r="N313"/>
  <c r="P313"/>
  <c r="N314"/>
  <c r="P314"/>
  <c r="N315"/>
  <c r="P315"/>
  <c r="N316"/>
  <c r="P316"/>
  <c r="N317"/>
  <c r="P317"/>
  <c r="N318"/>
  <c r="P318"/>
  <c r="N319"/>
  <c r="P319"/>
  <c r="P322"/>
  <c r="P324"/>
  <c r="J347"/>
  <c r="K347"/>
  <c r="K346"/>
  <c r="P327"/>
  <c r="P329"/>
  <c r="P331"/>
  <c r="P333"/>
  <c r="P335"/>
  <c r="P337"/>
  <c r="K359"/>
  <c r="P326"/>
  <c r="P328"/>
  <c r="P330"/>
  <c r="P332"/>
  <c r="P334"/>
  <c r="P336"/>
  <c r="J359"/>
  <c r="K348"/>
  <c r="Q348"/>
  <c r="J349"/>
  <c r="P349"/>
  <c r="M350"/>
  <c r="Q350"/>
  <c r="L351"/>
  <c r="P351"/>
  <c r="K352"/>
  <c r="Q352"/>
  <c r="J353"/>
  <c r="N353"/>
  <c r="K354"/>
  <c r="M354"/>
  <c r="J355"/>
  <c r="N355"/>
  <c r="K356"/>
  <c r="Q356"/>
  <c r="L357"/>
  <c r="N357"/>
  <c r="K358"/>
  <c r="M358"/>
  <c r="C359"/>
  <c r="M360"/>
  <c r="Q360"/>
  <c r="L361"/>
  <c r="P361"/>
  <c r="M362"/>
  <c r="Q362"/>
  <c r="L363"/>
  <c r="P363"/>
  <c r="K364"/>
  <c r="O364"/>
  <c r="C393"/>
  <c r="J348"/>
  <c r="L348"/>
  <c r="N348"/>
  <c r="P348"/>
  <c r="K349"/>
  <c r="M349"/>
  <c r="O349"/>
  <c r="Q349"/>
  <c r="J350"/>
  <c r="L350"/>
  <c r="N350"/>
  <c r="P350"/>
  <c r="K351"/>
  <c r="M351"/>
  <c r="O351"/>
  <c r="Q351"/>
  <c r="J352"/>
  <c r="L352"/>
  <c r="N352"/>
  <c r="P352"/>
  <c r="K353"/>
  <c r="M353"/>
  <c r="O353"/>
  <c r="Q353"/>
  <c r="J354"/>
  <c r="L354"/>
  <c r="N354"/>
  <c r="P354"/>
  <c r="K355"/>
  <c r="M355"/>
  <c r="O355"/>
  <c r="Q355"/>
  <c r="J356"/>
  <c r="L356"/>
  <c r="N356"/>
  <c r="P356"/>
  <c r="K357"/>
  <c r="M357"/>
  <c r="O357"/>
  <c r="Q357"/>
  <c r="J358"/>
  <c r="L358"/>
  <c r="N358"/>
  <c r="P358"/>
  <c r="J360"/>
  <c r="L360"/>
  <c r="N360"/>
  <c r="P360"/>
  <c r="K361"/>
  <c r="M361"/>
  <c r="O361"/>
  <c r="Q361"/>
  <c r="J362"/>
  <c r="L362"/>
  <c r="N362"/>
  <c r="P362"/>
  <c r="K363"/>
  <c r="M363"/>
  <c r="O363"/>
  <c r="Q363"/>
  <c r="J364"/>
  <c r="L364"/>
  <c r="N364"/>
  <c r="P364"/>
  <c r="K411"/>
  <c r="J393"/>
  <c r="L411"/>
  <c r="C411"/>
  <c r="K393"/>
  <c r="K383"/>
  <c r="M348"/>
  <c r="O348"/>
  <c r="L349"/>
  <c r="N349"/>
  <c r="K350"/>
  <c r="O350"/>
  <c r="J351"/>
  <c r="N351"/>
  <c r="M352"/>
  <c r="O352"/>
  <c r="L353"/>
  <c r="P353"/>
  <c r="O354"/>
  <c r="Q354"/>
  <c r="L355"/>
  <c r="P355"/>
  <c r="M356"/>
  <c r="O356"/>
  <c r="J357"/>
  <c r="P357"/>
  <c r="O358"/>
  <c r="Q358"/>
  <c r="L359"/>
  <c r="K360"/>
  <c r="O360"/>
  <c r="J361"/>
  <c r="N361"/>
  <c r="K362"/>
  <c r="O362"/>
  <c r="J363"/>
  <c r="N363"/>
  <c r="M364"/>
  <c r="Q364"/>
  <c r="L393"/>
  <c r="J411"/>
  <c r="J383"/>
  <c r="M365"/>
  <c r="Q365"/>
  <c r="L366"/>
  <c r="N366"/>
  <c r="K367"/>
  <c r="O367"/>
  <c r="J368"/>
  <c r="N368"/>
  <c r="M369"/>
  <c r="Q369"/>
  <c r="J370"/>
  <c r="P370"/>
  <c r="K382"/>
  <c r="L383"/>
  <c r="K384"/>
  <c r="O384"/>
  <c r="J385"/>
  <c r="N385"/>
  <c r="M386"/>
  <c r="Q386"/>
  <c r="L387"/>
  <c r="P387"/>
  <c r="O388"/>
  <c r="J389"/>
  <c r="N389"/>
  <c r="K390"/>
  <c r="O390"/>
  <c r="J391"/>
  <c r="P391"/>
  <c r="M392"/>
  <c r="J365"/>
  <c r="L365"/>
  <c r="N365"/>
  <c r="P365"/>
  <c r="K366"/>
  <c r="M366"/>
  <c r="O366"/>
  <c r="Q366"/>
  <c r="J367"/>
  <c r="L367"/>
  <c r="N367"/>
  <c r="P367"/>
  <c r="K368"/>
  <c r="M368"/>
  <c r="O368"/>
  <c r="Q368"/>
  <c r="J369"/>
  <c r="L369"/>
  <c r="N369"/>
  <c r="P369"/>
  <c r="K370"/>
  <c r="M370"/>
  <c r="O370"/>
  <c r="Q370"/>
  <c r="J384"/>
  <c r="L384"/>
  <c r="N384"/>
  <c r="P384"/>
  <c r="K385"/>
  <c r="M385"/>
  <c r="O385"/>
  <c r="Q385"/>
  <c r="J386"/>
  <c r="L386"/>
  <c r="N386"/>
  <c r="P386"/>
  <c r="K387"/>
  <c r="M387"/>
  <c r="O387"/>
  <c r="Q387"/>
  <c r="J388"/>
  <c r="L388"/>
  <c r="N388"/>
  <c r="P388"/>
  <c r="K389"/>
  <c r="M389"/>
  <c r="O389"/>
  <c r="Q389"/>
  <c r="J390"/>
  <c r="L390"/>
  <c r="N390"/>
  <c r="P390"/>
  <c r="K391"/>
  <c r="M391"/>
  <c r="O391"/>
  <c r="Q391"/>
  <c r="J392"/>
  <c r="L392"/>
  <c r="N392"/>
  <c r="P392"/>
  <c r="J394"/>
  <c r="L394"/>
  <c r="K395"/>
  <c r="P395"/>
  <c r="J396"/>
  <c r="L396"/>
  <c r="K397"/>
  <c r="P397"/>
  <c r="J398"/>
  <c r="L398"/>
  <c r="K399"/>
  <c r="P399"/>
  <c r="J400"/>
  <c r="L400"/>
  <c r="K401"/>
  <c r="P401"/>
  <c r="J402"/>
  <c r="L402"/>
  <c r="K403"/>
  <c r="P403"/>
  <c r="J404"/>
  <c r="L404"/>
  <c r="K365"/>
  <c r="O365"/>
  <c r="J366"/>
  <c r="P366"/>
  <c r="M367"/>
  <c r="Q367"/>
  <c r="L368"/>
  <c r="P368"/>
  <c r="K369"/>
  <c r="O369"/>
  <c r="L370"/>
  <c r="N370"/>
  <c r="C383"/>
  <c r="M384"/>
  <c r="Q384"/>
  <c r="L385"/>
  <c r="P385"/>
  <c r="K386"/>
  <c r="O386"/>
  <c r="J387"/>
  <c r="N387"/>
  <c r="K388"/>
  <c r="M388"/>
  <c r="Q388"/>
  <c r="L389"/>
  <c r="P389"/>
  <c r="M390"/>
  <c r="Q390"/>
  <c r="L391"/>
  <c r="N391"/>
  <c r="K392"/>
  <c r="O392"/>
  <c r="Q392"/>
  <c r="K394"/>
  <c r="P394"/>
  <c r="J395"/>
  <c r="L395"/>
  <c r="K396"/>
  <c r="P396"/>
  <c r="J397"/>
  <c r="L397"/>
  <c r="K398"/>
  <c r="P398"/>
  <c r="J399"/>
  <c r="L399"/>
  <c r="K400"/>
  <c r="P400"/>
  <c r="J401"/>
  <c r="L401"/>
  <c r="K402"/>
  <c r="P402"/>
  <c r="J403"/>
  <c r="L403"/>
  <c r="K404"/>
  <c r="P404"/>
  <c r="P405"/>
  <c r="P406"/>
  <c r="P407"/>
  <c r="P408"/>
  <c r="P409"/>
  <c r="P410"/>
  <c r="K34" i="34"/>
  <c r="I35"/>
  <c r="K35"/>
  <c r="J34"/>
  <c r="M34"/>
  <c r="J35"/>
  <c r="M35"/>
  <c r="J36"/>
  <c r="M36"/>
  <c r="J37"/>
  <c r="M37"/>
  <c r="K36"/>
  <c r="I37"/>
  <c r="K37"/>
  <c r="I38"/>
  <c r="K38"/>
  <c r="J38"/>
  <c r="M38"/>
  <c r="I39"/>
  <c r="K39"/>
  <c r="J39"/>
  <c r="M39"/>
  <c r="J40"/>
  <c r="M40"/>
  <c r="I40"/>
  <c r="K40"/>
  <c r="J41"/>
  <c r="M41"/>
  <c r="I41"/>
  <c r="K41"/>
  <c r="J42"/>
  <c r="M42"/>
  <c r="I42"/>
  <c r="K42"/>
  <c r="K43"/>
  <c r="J43"/>
  <c r="M43"/>
  <c r="J44"/>
  <c r="M44"/>
  <c r="K44"/>
  <c r="B46"/>
  <c r="K45"/>
  <c r="J45"/>
  <c r="M45"/>
  <c r="M46"/>
  <c r="I46"/>
  <c r="K46"/>
  <c r="J46"/>
  <c r="K47"/>
  <c r="B47"/>
  <c r="J47"/>
  <c r="M47"/>
  <c r="B48"/>
  <c r="B49"/>
  <c r="J48"/>
  <c r="M48"/>
  <c r="I48"/>
  <c r="K48"/>
  <c r="B50"/>
  <c r="I49"/>
  <c r="K49"/>
  <c r="M49"/>
  <c r="B51"/>
  <c r="K50"/>
  <c r="I50"/>
  <c r="M50"/>
  <c r="B52"/>
  <c r="K51"/>
  <c r="I51"/>
  <c r="M51"/>
  <c r="I52"/>
  <c r="M52"/>
  <c r="K52"/>
  <c r="B53"/>
  <c r="K53"/>
  <c r="B54"/>
  <c r="B56"/>
  <c r="I53"/>
  <c r="M53"/>
  <c r="B57"/>
  <c r="B55"/>
  <c r="M54"/>
  <c r="I55"/>
  <c r="I56"/>
  <c r="K54"/>
  <c r="J55"/>
  <c r="M55"/>
  <c r="M56"/>
  <c r="I54"/>
  <c r="K55"/>
  <c r="M57"/>
  <c r="I57"/>
  <c r="C36" i="21"/>
  <c r="B36"/>
  <c r="C44"/>
  <c r="B44"/>
  <c r="C10" i="54"/>
  <c r="B72" i="21"/>
  <c r="B63"/>
  <c r="B61"/>
  <c r="B56"/>
  <c r="B87"/>
  <c r="B60"/>
  <c r="B53"/>
  <c r="B90"/>
  <c r="B64"/>
  <c r="B62"/>
  <c r="B58"/>
  <c r="B65"/>
  <c r="B55"/>
  <c r="B51"/>
  <c r="B52"/>
  <c r="B54"/>
  <c r="B57"/>
  <c r="B66"/>
  <c r="B69"/>
  <c r="B76"/>
  <c r="B84"/>
  <c r="B93"/>
  <c r="B97"/>
  <c r="T10" i="54"/>
  <c r="V10"/>
  <c r="B36"/>
  <c r="B35"/>
  <c r="C71" i="21"/>
  <c r="B71"/>
  <c r="B80"/>
  <c r="C86"/>
  <c r="B86"/>
  <c r="C75"/>
  <c r="B75"/>
  <c r="C98"/>
  <c r="B98"/>
  <c r="O10" i="54"/>
  <c r="Q10"/>
  <c r="S10"/>
  <c r="U10"/>
  <c r="B34"/>
  <c r="B37"/>
  <c r="B38"/>
  <c r="B39"/>
  <c r="B40"/>
  <c r="B41"/>
  <c r="B43"/>
  <c r="B44"/>
  <c r="B45"/>
  <c r="B46"/>
  <c r="B51"/>
  <c r="B47"/>
  <c r="B48"/>
  <c r="B49"/>
  <c r="B52"/>
  <c r="B56"/>
  <c r="B57"/>
  <c r="B58"/>
  <c r="B59"/>
  <c r="B60"/>
  <c r="B61"/>
  <c r="B62"/>
  <c r="B63"/>
  <c r="B64"/>
  <c r="B65"/>
  <c r="B66"/>
  <c r="B67"/>
  <c r="B68"/>
  <c r="B69"/>
  <c r="B70"/>
  <c r="B71"/>
  <c r="B72"/>
  <c r="B73"/>
  <c r="B74"/>
  <c r="B75"/>
  <c r="B76"/>
  <c r="B77"/>
  <c r="B79"/>
  <c r="B78"/>
  <c r="B80"/>
  <c r="B81"/>
  <c r="B82"/>
  <c r="B83"/>
  <c r="B84"/>
  <c r="B85"/>
  <c r="B86"/>
  <c r="B87"/>
  <c r="B88"/>
  <c r="B89"/>
  <c r="B91"/>
  <c r="B90"/>
  <c r="B92"/>
  <c r="B93"/>
  <c r="B94"/>
  <c r="B95"/>
  <c r="B96"/>
  <c r="B97"/>
  <c r="B98"/>
  <c r="B99"/>
  <c r="B100"/>
  <c r="B101"/>
  <c r="B102"/>
  <c r="B103"/>
  <c r="AE22" i="24"/>
  <c r="AS22"/>
  <c r="Q22"/>
  <c r="C22" s="1"/>
  <c r="U22"/>
  <c r="AF22"/>
  <c r="AO22"/>
  <c r="B85"/>
  <c r="AC22"/>
  <c r="B81"/>
  <c r="B72"/>
  <c r="B100"/>
  <c r="B73"/>
  <c r="Y22"/>
  <c r="Z22"/>
  <c r="B79"/>
  <c r="B68"/>
  <c r="T22"/>
  <c r="GH22" s="1"/>
  <c r="AR22"/>
  <c r="AT22"/>
  <c r="B82"/>
  <c r="B74"/>
  <c r="B80"/>
  <c r="B78"/>
  <c r="B96"/>
  <c r="B88"/>
  <c r="AA22"/>
  <c r="X22"/>
  <c r="AG22"/>
  <c r="W22"/>
  <c r="AB22"/>
  <c r="AQ22"/>
  <c r="AD22"/>
  <c r="B67"/>
  <c r="B113"/>
  <c r="B71"/>
  <c r="B70"/>
  <c r="B76"/>
  <c r="B69"/>
  <c r="B44"/>
  <c r="B106"/>
  <c r="B103"/>
  <c r="B53"/>
  <c r="B61"/>
  <c r="B43"/>
  <c r="B77"/>
  <c r="B109"/>
  <c r="B92"/>
  <c r="HT5"/>
  <c r="HU5" s="1"/>
  <c r="B22"/>
  <c r="B12" i="33"/>
  <c r="C12" i="68"/>
  <c r="C13" s="1"/>
  <c r="I228" i="45"/>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Z9" i="31"/>
  <c r="Z10" s="1"/>
  <c r="Z11" s="1"/>
  <c r="Z12" s="1"/>
  <c r="O11"/>
  <c r="Z63"/>
  <c r="Z64" s="1"/>
  <c r="Z65" s="1"/>
  <c r="Z66" s="1"/>
  <c r="I41"/>
  <c r="I42"/>
  <c r="K42" s="1"/>
  <c r="K49" s="1"/>
  <c r="AR7"/>
  <c r="O7"/>
  <c r="O8"/>
  <c r="O9"/>
  <c r="O10"/>
  <c r="O15"/>
  <c r="O16"/>
  <c r="P7"/>
  <c r="N24" s="1"/>
  <c r="O24" s="1"/>
  <c r="AR16"/>
  <c r="G6"/>
  <c r="H6" s="1"/>
  <c r="I6" s="1"/>
  <c r="J6" s="1"/>
  <c r="M6" s="1"/>
  <c r="N6" s="1"/>
  <c r="O6" s="1"/>
  <c r="P6" s="1"/>
  <c r="K41" i="40"/>
  <c r="K44"/>
  <c r="K53"/>
  <c r="K47"/>
  <c r="D36" i="22"/>
  <c r="D34"/>
  <c r="D25"/>
  <c r="D24"/>
  <c r="D33"/>
  <c r="D35"/>
  <c r="K35" i="40"/>
  <c r="K50"/>
  <c r="P29" i="11"/>
  <c r="K32" i="40"/>
  <c r="K28"/>
  <c r="K38"/>
  <c r="K66"/>
  <c r="K158"/>
  <c r="K114"/>
  <c r="K173"/>
  <c r="K200" s="1"/>
  <c r="K19" i="34"/>
  <c r="K20"/>
  <c r="K22"/>
  <c r="K24"/>
  <c r="K25"/>
  <c r="K27"/>
  <c r="K21"/>
  <c r="K23"/>
  <c r="K26"/>
  <c r="K28"/>
  <c r="K29"/>
  <c r="K30"/>
  <c r="K31"/>
  <c r="K32"/>
  <c r="K33"/>
  <c r="J24" i="31"/>
  <c r="Q37" i="33"/>
  <c r="Q43" s="1"/>
  <c r="Q49" s="1"/>
  <c r="M136"/>
  <c r="M138" s="1"/>
  <c r="F136"/>
  <c r="G136" s="1"/>
  <c r="G138" s="1"/>
  <c r="S122"/>
  <c r="S125" s="1"/>
  <c r="S126" s="1"/>
  <c r="S128" s="1"/>
  <c r="S130" s="1"/>
  <c r="S132" s="1"/>
  <c r="S136" s="1"/>
  <c r="R122"/>
  <c r="R125" s="1"/>
  <c r="R126" s="1"/>
  <c r="R128" s="1"/>
  <c r="R130" s="1"/>
  <c r="R132" s="1"/>
  <c r="R136" s="1"/>
  <c r="AR8" i="31"/>
  <c r="AR9" s="1"/>
  <c r="AP9"/>
  <c r="AP10" s="1"/>
  <c r="AP11" s="1"/>
  <c r="AP12" s="1"/>
  <c r="AB16"/>
  <c r="B122" i="33"/>
  <c r="B123" s="1"/>
  <c r="B124" s="1"/>
  <c r="B125" s="1"/>
  <c r="B126" s="1"/>
  <c r="B114"/>
  <c r="B115" s="1"/>
  <c r="B116" s="1"/>
  <c r="J12" i="13"/>
  <c r="K12" s="1"/>
  <c r="L12" s="1"/>
  <c r="AR61" i="31"/>
  <c r="AR62" s="1"/>
  <c r="AP63"/>
  <c r="AP64" s="1"/>
  <c r="AP65" s="1"/>
  <c r="AP66" s="1"/>
  <c r="AM66"/>
  <c r="AC66"/>
  <c r="AM61"/>
  <c r="AS80" s="1"/>
  <c r="AS82" s="1"/>
  <c r="G60"/>
  <c r="H60" s="1"/>
  <c r="I60" s="1"/>
  <c r="J60" s="1"/>
  <c r="AM67"/>
  <c r="AM69" s="1"/>
  <c r="I48"/>
  <c r="I49" s="1"/>
  <c r="H76"/>
  <c r="I135" i="33"/>
  <c r="J68" i="31"/>
  <c r="J70"/>
  <c r="AR70"/>
  <c r="E12" i="13"/>
  <c r="F43" i="22" l="1"/>
  <c r="C63"/>
  <c r="C46"/>
  <c r="G43"/>
  <c r="G51"/>
  <c r="C50"/>
  <c r="G48"/>
  <c r="C181" i="40"/>
  <c r="BQ56" i="34"/>
  <c r="BE31"/>
  <c r="CI46"/>
  <c r="B182" i="40"/>
  <c r="E49" i="22"/>
  <c r="F48"/>
  <c r="S137" i="33"/>
  <c r="E50" i="22"/>
  <c r="F50"/>
  <c r="E48"/>
  <c r="G42"/>
  <c r="GH112" i="24"/>
  <c r="DB72"/>
  <c r="AQ61" i="31"/>
  <c r="AM70"/>
  <c r="G52" i="22"/>
  <c r="E52"/>
  <c r="C52"/>
  <c r="F52"/>
  <c r="HN11" i="1"/>
  <c r="G50" i="22"/>
  <c r="G49"/>
  <c r="C49"/>
  <c r="C48"/>
  <c r="F47"/>
  <c r="E47"/>
  <c r="C44"/>
  <c r="W7" i="31"/>
  <c r="E46" i="22"/>
  <c r="G46"/>
  <c r="P176" i="11"/>
  <c r="CH18" i="34"/>
  <c r="CI18" s="1"/>
  <c r="CJ18" s="1"/>
  <c r="CK18" s="1"/>
  <c r="CL18" s="1"/>
  <c r="CM18" s="1"/>
  <c r="CN18" s="1"/>
  <c r="CO18" s="1"/>
  <c r="CP18" s="1"/>
  <c r="CQ18" s="1"/>
  <c r="CR18" s="1"/>
  <c r="CS18" s="1"/>
  <c r="CT18" s="1"/>
  <c r="CU18" s="1"/>
  <c r="CV18" s="1"/>
  <c r="CW18" s="1"/>
  <c r="CX18" s="1"/>
  <c r="G44" i="22"/>
  <c r="E44"/>
  <c r="E42"/>
  <c r="C42"/>
  <c r="BB56" i="34"/>
  <c r="CL56" s="1"/>
  <c r="CX47"/>
  <c r="BZ47"/>
  <c r="CT56"/>
  <c r="BN56"/>
  <c r="BO56" s="1"/>
  <c r="HN91" i="24"/>
  <c r="AP56" i="34"/>
  <c r="CE56" s="1"/>
  <c r="FE33" i="1"/>
  <c r="FG33"/>
  <c r="GE33" s="1"/>
  <c r="FI33"/>
  <c r="FM33"/>
  <c r="GS33" s="1"/>
  <c r="A241" i="45"/>
  <c r="B241" s="1"/>
  <c r="FD33" i="1"/>
  <c r="FF33"/>
  <c r="GB33" s="1"/>
  <c r="FH33"/>
  <c r="GG33" s="1"/>
  <c r="FK33"/>
  <c r="FO33"/>
  <c r="FC48"/>
  <c r="CS56" i="34"/>
  <c r="CU56" s="1"/>
  <c r="CV56" s="1"/>
  <c r="GH99" i="24"/>
  <c r="K239" i="40"/>
  <c r="C224"/>
  <c r="J224"/>
  <c r="L212"/>
  <c r="C239"/>
  <c r="J239"/>
  <c r="K199"/>
  <c r="L184"/>
  <c r="L224"/>
  <c r="J190"/>
  <c r="C184"/>
  <c r="C200"/>
  <c r="J200"/>
  <c r="L200"/>
  <c r="M42" i="31"/>
  <c r="I51"/>
  <c r="M49"/>
  <c r="AR63"/>
  <c r="AR10"/>
  <c r="O25"/>
  <c r="O26" s="1"/>
  <c r="O28" s="1"/>
  <c r="AM7" s="1"/>
  <c r="C41" i="22"/>
  <c r="G41"/>
  <c r="F41"/>
  <c r="E41"/>
  <c r="P50"/>
  <c r="C39"/>
  <c r="G39"/>
  <c r="F39"/>
  <c r="E39"/>
  <c r="AQ70" i="31"/>
  <c r="AQ62"/>
  <c r="AQ63" s="1"/>
  <c r="AQ64" s="1"/>
  <c r="AQ65" s="1"/>
  <c r="AS61"/>
  <c r="R137" i="33"/>
  <c r="F40" i="22"/>
  <c r="C40"/>
  <c r="E40"/>
  <c r="G40"/>
  <c r="CM56" i="34"/>
  <c r="CN56"/>
  <c r="CO56" s="1"/>
  <c r="AQ17" i="45"/>
  <c r="BQ31" i="34"/>
  <c r="AS56"/>
  <c r="AS31"/>
  <c r="BE56"/>
  <c r="CF56"/>
  <c r="CX46"/>
  <c r="AM62" i="31"/>
  <c r="P52" i="22"/>
  <c r="E51"/>
  <c r="C51"/>
  <c r="D51"/>
  <c r="R190" i="40"/>
  <c r="E190" s="1"/>
  <c r="BC56" i="34"/>
  <c r="IJ80" i="24"/>
  <c r="HL31" i="1"/>
  <c r="HM31" s="1"/>
  <c r="HN31"/>
  <c r="G243" i="45"/>
  <c r="FJ33" i="1"/>
  <c r="FL33"/>
  <c r="GP33" s="1"/>
  <c r="FN33"/>
  <c r="GU33" s="1"/>
  <c r="CS38" i="24"/>
  <c r="CS37" s="1"/>
  <c r="W61" i="31"/>
  <c r="J43" i="45"/>
  <c r="M20" i="1"/>
  <c r="P35" i="24"/>
  <c r="K238" i="40"/>
  <c r="L239"/>
  <c r="L181"/>
  <c r="J184"/>
  <c r="C233"/>
  <c r="C186"/>
  <c r="IJ64" i="24"/>
  <c r="IJ76"/>
  <c r="L189" i="40"/>
  <c r="J189"/>
  <c r="R224"/>
  <c r="E224" s="1"/>
  <c r="J185"/>
  <c r="J186"/>
  <c r="E212"/>
  <c r="R218"/>
  <c r="E218"/>
  <c r="L227"/>
  <c r="J227"/>
  <c r="L182"/>
  <c r="L233"/>
  <c r="J233"/>
  <c r="C230"/>
  <c r="J230"/>
  <c r="L230"/>
  <c r="E182"/>
  <c r="J182"/>
  <c r="C182"/>
  <c r="J183"/>
  <c r="C183"/>
  <c r="C185"/>
  <c r="L185"/>
  <c r="J188"/>
  <c r="L188"/>
  <c r="C188"/>
  <c r="C189"/>
  <c r="IC22" i="24"/>
  <c r="AU95"/>
  <c r="AU99" s="1"/>
  <c r="AU102" s="1"/>
  <c r="AU105" s="1"/>
  <c r="AU108" s="1"/>
  <c r="AU112" s="1"/>
  <c r="AU96"/>
  <c r="AU100" s="1"/>
  <c r="AU103" s="1"/>
  <c r="AU106" s="1"/>
  <c r="AU109" s="1"/>
  <c r="AU113" s="1"/>
  <c r="HN22"/>
  <c r="GH95"/>
  <c r="HN95"/>
  <c r="HN99"/>
  <c r="IC99"/>
  <c r="IC95"/>
  <c r="GH91"/>
  <c r="CV72" l="1"/>
  <c r="DI72" s="1"/>
  <c r="DB73"/>
  <c r="W15" i="31"/>
  <c r="AC26"/>
  <c r="AC28" s="1"/>
  <c r="W8"/>
  <c r="R18" i="21"/>
  <c r="S18" s="1"/>
  <c r="T18" s="1"/>
  <c r="U18" s="1"/>
  <c r="V18" s="1"/>
  <c r="W18" s="1"/>
  <c r="X18" s="1"/>
  <c r="Y18" s="1"/>
  <c r="Z18" s="1"/>
  <c r="P181" i="11"/>
  <c r="CY18" i="34"/>
  <c r="CZ18" s="1"/>
  <c r="AV77" i="24"/>
  <c r="AV79"/>
  <c r="AV66"/>
  <c r="AV67"/>
  <c r="AV69"/>
  <c r="AV78"/>
  <c r="AV81"/>
  <c r="AQ56" i="34"/>
  <c r="BZ56" s="1"/>
  <c r="CG56"/>
  <c r="CH56" s="1"/>
  <c r="DA56"/>
  <c r="N20" i="1"/>
  <c r="P50" i="11"/>
  <c r="P22" s="1"/>
  <c r="AA14" s="1"/>
  <c r="G244" i="45"/>
  <c r="BF56" i="34"/>
  <c r="BR56"/>
  <c r="BF31"/>
  <c r="AR17" i="45"/>
  <c r="AT56" i="34"/>
  <c r="AT31"/>
  <c r="BR31"/>
  <c r="AS62" i="31"/>
  <c r="K43" i="45"/>
  <c r="M43" s="1"/>
  <c r="J44"/>
  <c r="W69" i="31"/>
  <c r="AC80"/>
  <c r="AC82" s="1"/>
  <c r="W62"/>
  <c r="AV80" i="24"/>
  <c r="DB56" i="34"/>
  <c r="CW56"/>
  <c r="CX56"/>
  <c r="DD56" s="1"/>
  <c r="CZ56"/>
  <c r="AW109" i="24" s="1"/>
  <c r="CY56" i="34"/>
  <c r="AU61" i="31"/>
  <c r="AS70"/>
  <c r="AU70" s="1"/>
  <c r="AM8"/>
  <c r="AM15" s="1"/>
  <c r="AS26"/>
  <c r="AS28" s="1"/>
  <c r="AR11"/>
  <c r="AR64"/>
  <c r="AS63"/>
  <c r="CV73" i="24" l="1"/>
  <c r="DI73" s="1"/>
  <c r="DB75"/>
  <c r="CV75" s="1"/>
  <c r="DI75" s="1"/>
  <c r="W16" i="31"/>
  <c r="AA7"/>
  <c r="GT36" i="24"/>
  <c r="GU36" s="1"/>
  <c r="AW81"/>
  <c r="AX81" s="1"/>
  <c r="AW66"/>
  <c r="AW69"/>
  <c r="AW80"/>
  <c r="DA18" i="34"/>
  <c r="AW67" i="24"/>
  <c r="AS64" i="31"/>
  <c r="AR65"/>
  <c r="AR12"/>
  <c r="AS12" s="1"/>
  <c r="AQ7"/>
  <c r="AM16"/>
  <c r="JV110" i="24"/>
  <c r="JV109"/>
  <c r="JV111"/>
  <c r="DC56" i="34"/>
  <c r="GT38" i="24"/>
  <c r="AA61" i="31"/>
  <c r="W70"/>
  <c r="K44" i="45"/>
  <c r="M44" s="1"/>
  <c r="J45"/>
  <c r="K45" s="1"/>
  <c r="M45" s="1"/>
  <c r="AS17"/>
  <c r="BV31" i="34"/>
  <c r="BV56"/>
  <c r="O20" i="1"/>
  <c r="P56" i="11"/>
  <c r="AV109" i="24"/>
  <c r="DE56" i="34"/>
  <c r="AY19"/>
  <c r="BK19"/>
  <c r="BP19"/>
  <c r="AM19"/>
  <c r="AN19"/>
  <c r="AZ19"/>
  <c r="BL19"/>
  <c r="BH19"/>
  <c r="CP19" s="1"/>
  <c r="AN20"/>
  <c r="AN21"/>
  <c r="AM22"/>
  <c r="AN23"/>
  <c r="AM24"/>
  <c r="AN25"/>
  <c r="AM26"/>
  <c r="AN27"/>
  <c r="AZ20"/>
  <c r="AY21"/>
  <c r="AZ22"/>
  <c r="AY23"/>
  <c r="AZ24"/>
  <c r="AY25"/>
  <c r="AZ26"/>
  <c r="AY27"/>
  <c r="BK20"/>
  <c r="BL21"/>
  <c r="BK22"/>
  <c r="BL23"/>
  <c r="BK24"/>
  <c r="BL25"/>
  <c r="BK26"/>
  <c r="BL27"/>
  <c r="AJ20"/>
  <c r="AJ22"/>
  <c r="AJ24"/>
  <c r="AJ26"/>
  <c r="AR21"/>
  <c r="AR23"/>
  <c r="AR25"/>
  <c r="AR27"/>
  <c r="AN28"/>
  <c r="AZ28"/>
  <c r="BL28"/>
  <c r="AJ28"/>
  <c r="CB28" s="1"/>
  <c r="AR28"/>
  <c r="CD28" s="1"/>
  <c r="R21" i="1"/>
  <c r="BG21"/>
  <c r="CJ21"/>
  <c r="AM20" i="34"/>
  <c r="AM21"/>
  <c r="AN22"/>
  <c r="AM23"/>
  <c r="AN24"/>
  <c r="AM25"/>
  <c r="AN26"/>
  <c r="AM27"/>
  <c r="AY20"/>
  <c r="AZ21"/>
  <c r="AY22"/>
  <c r="AZ23"/>
  <c r="AY24"/>
  <c r="AZ25"/>
  <c r="AY26"/>
  <c r="AZ27"/>
  <c r="BL20"/>
  <c r="BK21"/>
  <c r="BL22"/>
  <c r="BK23"/>
  <c r="BL24"/>
  <c r="BK25"/>
  <c r="BL26"/>
  <c r="BK27"/>
  <c r="AJ21"/>
  <c r="AJ23"/>
  <c r="AJ25"/>
  <c r="AJ27"/>
  <c r="AR20"/>
  <c r="AR22"/>
  <c r="AR24"/>
  <c r="AR26"/>
  <c r="AM28"/>
  <c r="AY28"/>
  <c r="BK28"/>
  <c r="S21" i="1"/>
  <c r="CH21"/>
  <c r="CK21"/>
  <c r="S22"/>
  <c r="CH22"/>
  <c r="CK22"/>
  <c r="S23"/>
  <c r="CH23"/>
  <c r="CK23"/>
  <c r="S24"/>
  <c r="CH24"/>
  <c r="CK24"/>
  <c r="S25"/>
  <c r="CH25"/>
  <c r="CK25"/>
  <c r="S26"/>
  <c r="CH26"/>
  <c r="CK26"/>
  <c r="S27"/>
  <c r="CH27"/>
  <c r="CK27"/>
  <c r="S28"/>
  <c r="CH28"/>
  <c r="CK28"/>
  <c r="S29"/>
  <c r="CH29"/>
  <c r="CK29"/>
  <c r="S30"/>
  <c r="CH30"/>
  <c r="CK30"/>
  <c r="S31"/>
  <c r="CH31"/>
  <c r="CK31"/>
  <c r="S32"/>
  <c r="CH32"/>
  <c r="CK32"/>
  <c r="R34"/>
  <c r="R22"/>
  <c r="BG22"/>
  <c r="CJ22"/>
  <c r="R23"/>
  <c r="BG23"/>
  <c r="CJ23"/>
  <c r="R24"/>
  <c r="BG24"/>
  <c r="CJ24"/>
  <c r="R25"/>
  <c r="BG25"/>
  <c r="CJ25"/>
  <c r="R26"/>
  <c r="BG26"/>
  <c r="CJ26"/>
  <c r="R27"/>
  <c r="BG27"/>
  <c r="CJ27"/>
  <c r="R28"/>
  <c r="BG28"/>
  <c r="CJ28"/>
  <c r="R29"/>
  <c r="BG29"/>
  <c r="CJ29"/>
  <c r="R30"/>
  <c r="BG30"/>
  <c r="CJ30"/>
  <c r="R31"/>
  <c r="BG31"/>
  <c r="CJ31"/>
  <c r="CJ32"/>
  <c r="S34"/>
  <c r="CH34"/>
  <c r="CK34"/>
  <c r="R35"/>
  <c r="BG35"/>
  <c r="CJ35"/>
  <c r="R36"/>
  <c r="BG36"/>
  <c r="CJ36"/>
  <c r="R37"/>
  <c r="BG37"/>
  <c r="CJ37"/>
  <c r="R38"/>
  <c r="BG38"/>
  <c r="CJ38"/>
  <c r="R39"/>
  <c r="BG39"/>
  <c r="CJ39"/>
  <c r="S40"/>
  <c r="CH40"/>
  <c r="CK40"/>
  <c r="R41"/>
  <c r="BG41"/>
  <c r="CJ41"/>
  <c r="R42"/>
  <c r="BG42"/>
  <c r="CJ42"/>
  <c r="R43"/>
  <c r="BG43"/>
  <c r="CJ43"/>
  <c r="S44"/>
  <c r="CH44"/>
  <c r="CK44"/>
  <c r="S45"/>
  <c r="CH45"/>
  <c r="CK45"/>
  <c r="S46"/>
  <c r="CH46"/>
  <c r="CK46"/>
  <c r="S47"/>
  <c r="CH47"/>
  <c r="CK47"/>
  <c r="S48"/>
  <c r="CH48"/>
  <c r="CK48"/>
  <c r="R49"/>
  <c r="BG49"/>
  <c r="CJ49"/>
  <c r="R50"/>
  <c r="BG50"/>
  <c r="CJ50"/>
  <c r="S51"/>
  <c r="CH51"/>
  <c r="CK51"/>
  <c r="R52"/>
  <c r="BG52"/>
  <c r="CJ52"/>
  <c r="S53"/>
  <c r="CH53"/>
  <c r="CK53"/>
  <c r="R54"/>
  <c r="BG54"/>
  <c r="CJ54"/>
  <c r="S55"/>
  <c r="CH55"/>
  <c r="CK55"/>
  <c r="R56"/>
  <c r="BG56"/>
  <c r="CJ56"/>
  <c r="S57"/>
  <c r="CH57"/>
  <c r="CK57"/>
  <c r="S59"/>
  <c r="CH59"/>
  <c r="CK59"/>
  <c r="R32"/>
  <c r="BG32"/>
  <c r="BG34"/>
  <c r="CJ34"/>
  <c r="S35"/>
  <c r="CH35"/>
  <c r="CK35"/>
  <c r="S36"/>
  <c r="CH36"/>
  <c r="CK36"/>
  <c r="S37"/>
  <c r="CH37"/>
  <c r="CK37"/>
  <c r="S38"/>
  <c r="CH38"/>
  <c r="CK38"/>
  <c r="S39"/>
  <c r="CH39"/>
  <c r="CK39"/>
  <c r="R40"/>
  <c r="BG40"/>
  <c r="CJ40"/>
  <c r="S41"/>
  <c r="CH41"/>
  <c r="CK41"/>
  <c r="S42"/>
  <c r="CH42"/>
  <c r="CK42"/>
  <c r="S43"/>
  <c r="CH43"/>
  <c r="CK43"/>
  <c r="R44"/>
  <c r="BG44"/>
  <c r="CJ44"/>
  <c r="R45"/>
  <c r="BG45"/>
  <c r="CJ45"/>
  <c r="R46"/>
  <c r="BG46"/>
  <c r="CJ46"/>
  <c r="R47"/>
  <c r="BG47"/>
  <c r="CJ47"/>
  <c r="R48"/>
  <c r="BG48"/>
  <c r="CJ48"/>
  <c r="S49"/>
  <c r="CH49"/>
  <c r="CK49"/>
  <c r="S50"/>
  <c r="CH50"/>
  <c r="CK50"/>
  <c r="R51"/>
  <c r="BG51"/>
  <c r="CJ51"/>
  <c r="S52"/>
  <c r="CH52"/>
  <c r="CK52"/>
  <c r="R53"/>
  <c r="BG53"/>
  <c r="CJ53"/>
  <c r="S54"/>
  <c r="CH54"/>
  <c r="CK54"/>
  <c r="R55"/>
  <c r="BG55"/>
  <c r="CJ55"/>
  <c r="S56"/>
  <c r="CH56"/>
  <c r="CK56"/>
  <c r="R57"/>
  <c r="BG57"/>
  <c r="CJ57"/>
  <c r="R59"/>
  <c r="BG59"/>
  <c r="CJ59"/>
  <c r="AN29" i="34"/>
  <c r="AZ29"/>
  <c r="BL29"/>
  <c r="AJ29"/>
  <c r="CB29" s="1"/>
  <c r="AR29"/>
  <c r="CD29" s="1"/>
  <c r="AM30"/>
  <c r="AY30"/>
  <c r="BK30"/>
  <c r="AR32"/>
  <c r="AM33"/>
  <c r="AR34"/>
  <c r="BK32"/>
  <c r="BP32"/>
  <c r="CR32" s="1"/>
  <c r="AJ32"/>
  <c r="AJ34"/>
  <c r="AR35"/>
  <c r="CD35" s="1"/>
  <c r="BD36"/>
  <c r="AR37"/>
  <c r="CD37" s="1"/>
  <c r="BK37"/>
  <c r="BP37"/>
  <c r="CR37" s="1"/>
  <c r="AJ37"/>
  <c r="CB37" s="1"/>
  <c r="AR38"/>
  <c r="CD38" s="1"/>
  <c r="BK38"/>
  <c r="BP38"/>
  <c r="CR38" s="1"/>
  <c r="AJ38"/>
  <c r="CB38" s="1"/>
  <c r="AR39"/>
  <c r="CD39" s="1"/>
  <c r="BK39"/>
  <c r="BP39"/>
  <c r="CR39" s="1"/>
  <c r="AJ39"/>
  <c r="CB39" s="1"/>
  <c r="AY40"/>
  <c r="BK40"/>
  <c r="AM41"/>
  <c r="AY41"/>
  <c r="BD41"/>
  <c r="CK41" s="1"/>
  <c r="AM42"/>
  <c r="AN43"/>
  <c r="AM44"/>
  <c r="AN45"/>
  <c r="AZ42"/>
  <c r="AY43"/>
  <c r="AZ44"/>
  <c r="AY45"/>
  <c r="BK42"/>
  <c r="BL43"/>
  <c r="BK44"/>
  <c r="BL45"/>
  <c r="AJ42"/>
  <c r="AJ44"/>
  <c r="AR43"/>
  <c r="AR45"/>
  <c r="AM29"/>
  <c r="AY29"/>
  <c r="BK29"/>
  <c r="AN30"/>
  <c r="AZ30"/>
  <c r="BL30"/>
  <c r="BH30"/>
  <c r="CP30" s="1"/>
  <c r="BP30"/>
  <c r="CR30" s="1"/>
  <c r="AM32"/>
  <c r="AR33"/>
  <c r="AM34"/>
  <c r="AY32"/>
  <c r="BD32"/>
  <c r="AY33"/>
  <c r="BD33"/>
  <c r="AY34"/>
  <c r="BD34"/>
  <c r="AJ33"/>
  <c r="AM35"/>
  <c r="AY35"/>
  <c r="BD35"/>
  <c r="CK35" s="1"/>
  <c r="AY36"/>
  <c r="BK35"/>
  <c r="BP35"/>
  <c r="CR35" s="1"/>
  <c r="AJ35"/>
  <c r="CB35" s="1"/>
  <c r="AM37"/>
  <c r="AY37"/>
  <c r="BD37"/>
  <c r="CK37" s="1"/>
  <c r="AM38"/>
  <c r="AY38"/>
  <c r="BD38"/>
  <c r="CK38" s="1"/>
  <c r="AM39"/>
  <c r="AY39"/>
  <c r="BD39"/>
  <c r="CK39" s="1"/>
  <c r="AM40"/>
  <c r="AJ40"/>
  <c r="CB40" s="1"/>
  <c r="AR41"/>
  <c r="CD41" s="1"/>
  <c r="BK41"/>
  <c r="BP41"/>
  <c r="CR41" s="1"/>
  <c r="AJ41"/>
  <c r="CB41" s="1"/>
  <c r="AN42"/>
  <c r="AM43"/>
  <c r="AN44"/>
  <c r="AM45"/>
  <c r="AY42"/>
  <c r="AZ43"/>
  <c r="AY44"/>
  <c r="AZ45"/>
  <c r="BL42"/>
  <c r="BK43"/>
  <c r="BL44"/>
  <c r="BK45"/>
  <c r="AJ43"/>
  <c r="AJ45"/>
  <c r="AR42"/>
  <c r="AR44"/>
  <c r="AN48"/>
  <c r="AZ48"/>
  <c r="BL48"/>
  <c r="AJ48"/>
  <c r="CB48" s="1"/>
  <c r="AR48"/>
  <c r="CD48" s="1"/>
  <c r="AN49"/>
  <c r="AZ49"/>
  <c r="BL49"/>
  <c r="AJ49"/>
  <c r="CB49" s="1"/>
  <c r="AR49"/>
  <c r="CD49" s="1"/>
  <c r="AM50"/>
  <c r="AY50"/>
  <c r="BK50"/>
  <c r="AN51"/>
  <c r="AZ51"/>
  <c r="BL51"/>
  <c r="AJ51"/>
  <c r="CB51" s="1"/>
  <c r="AR51"/>
  <c r="CD51" s="1"/>
  <c r="AN52"/>
  <c r="AZ52"/>
  <c r="BL52"/>
  <c r="AJ52"/>
  <c r="CB52" s="1"/>
  <c r="AR52"/>
  <c r="CD52" s="1"/>
  <c r="AN53"/>
  <c r="AZ53"/>
  <c r="BL53"/>
  <c r="BH53"/>
  <c r="CP53" s="1"/>
  <c r="BP53"/>
  <c r="CR53" s="1"/>
  <c r="AM54"/>
  <c r="AY54"/>
  <c r="BK54"/>
  <c r="AM55"/>
  <c r="AZ55"/>
  <c r="BB55" s="1"/>
  <c r="BL55"/>
  <c r="AJ55"/>
  <c r="CB55" s="1"/>
  <c r="AR55"/>
  <c r="CD55" s="1"/>
  <c r="AM57"/>
  <c r="AY57"/>
  <c r="BK57"/>
  <c r="AV57"/>
  <c r="CI57" s="1"/>
  <c r="BJ55"/>
  <c r="CQ55" s="1"/>
  <c r="AR54"/>
  <c r="CD54" s="1"/>
  <c r="AV54"/>
  <c r="CI54" s="1"/>
  <c r="BJ54"/>
  <c r="CQ54" s="1"/>
  <c r="AV53"/>
  <c r="CI53" s="1"/>
  <c r="BD52"/>
  <c r="CK52" s="1"/>
  <c r="BH52"/>
  <c r="CP52" s="1"/>
  <c r="AX51"/>
  <c r="CJ51" s="1"/>
  <c r="BP51"/>
  <c r="CR51" s="1"/>
  <c r="AX49"/>
  <c r="CJ49" s="1"/>
  <c r="BP49"/>
  <c r="CR49" s="1"/>
  <c r="AV39"/>
  <c r="CI39" s="1"/>
  <c r="AV38"/>
  <c r="CI38" s="1"/>
  <c r="BJ38"/>
  <c r="CQ38" s="1"/>
  <c r="AX30"/>
  <c r="CJ30" s="1"/>
  <c r="AX29"/>
  <c r="CJ29" s="1"/>
  <c r="BP29"/>
  <c r="CR29" s="1"/>
  <c r="AR19"/>
  <c r="AV19"/>
  <c r="CI19" s="1"/>
  <c r="BH55"/>
  <c r="CP55" s="1"/>
  <c r="AR53"/>
  <c r="CD53" s="1"/>
  <c r="AX52"/>
  <c r="CJ52" s="1"/>
  <c r="BP52"/>
  <c r="CR52" s="1"/>
  <c r="AV51"/>
  <c r="CI51" s="1"/>
  <c r="AV50"/>
  <c r="CI50" s="1"/>
  <c r="AV49"/>
  <c r="CI49" s="1"/>
  <c r="BP43"/>
  <c r="BP45"/>
  <c r="BH43"/>
  <c r="BH45"/>
  <c r="BJ39"/>
  <c r="CQ39" s="1"/>
  <c r="BH37"/>
  <c r="CP37" s="1"/>
  <c r="AV30"/>
  <c r="CI30" s="1"/>
  <c r="BD29"/>
  <c r="CK29" s="1"/>
  <c r="BH29"/>
  <c r="CP29" s="1"/>
  <c r="BD28"/>
  <c r="CK28" s="1"/>
  <c r="BH28"/>
  <c r="CP28" s="1"/>
  <c r="BD19"/>
  <c r="AR57"/>
  <c r="CD57" s="1"/>
  <c r="BJ57"/>
  <c r="CQ57" s="1"/>
  <c r="BD55"/>
  <c r="CK55" s="1"/>
  <c r="AJ53"/>
  <c r="CB53" s="1"/>
  <c r="BJ52"/>
  <c r="CQ52" s="1"/>
  <c r="AX38"/>
  <c r="CJ38" s="1"/>
  <c r="AJ30"/>
  <c r="CB30" s="1"/>
  <c r="BJ29"/>
  <c r="CQ29" s="1"/>
  <c r="AX28"/>
  <c r="CJ28" s="1"/>
  <c r="BJ19"/>
  <c r="BJ20"/>
  <c r="BJ22"/>
  <c r="BJ24"/>
  <c r="BJ26"/>
  <c r="BJ33"/>
  <c r="BJ35"/>
  <c r="CQ35" s="1"/>
  <c r="BJ40"/>
  <c r="CQ40" s="1"/>
  <c r="BJ42"/>
  <c r="BJ44"/>
  <c r="BJ48"/>
  <c r="CQ48" s="1"/>
  <c r="AL57"/>
  <c r="CC57" s="1"/>
  <c r="BD21"/>
  <c r="BD23"/>
  <c r="BD25"/>
  <c r="BD27"/>
  <c r="BD43"/>
  <c r="BD45"/>
  <c r="AX55"/>
  <c r="CJ55" s="1"/>
  <c r="AL51"/>
  <c r="CC51" s="1"/>
  <c r="BP48"/>
  <c r="CR48" s="1"/>
  <c r="AV48"/>
  <c r="CI48" s="1"/>
  <c r="AL43"/>
  <c r="AV42"/>
  <c r="AV44"/>
  <c r="AL37"/>
  <c r="CC37" s="1"/>
  <c r="AX35"/>
  <c r="BK36"/>
  <c r="BP36"/>
  <c r="AV36"/>
  <c r="AL35"/>
  <c r="CC35" s="1"/>
  <c r="AL34"/>
  <c r="AX34"/>
  <c r="BK34"/>
  <c r="BP34"/>
  <c r="AX32"/>
  <c r="AL32"/>
  <c r="BH32"/>
  <c r="CP32" s="1"/>
  <c r="AV33"/>
  <c r="AL30"/>
  <c r="CC30" s="1"/>
  <c r="AX23"/>
  <c r="AL25"/>
  <c r="AL22"/>
  <c r="BP21"/>
  <c r="BP23"/>
  <c r="BP25"/>
  <c r="BP27"/>
  <c r="BH21"/>
  <c r="BH23"/>
  <c r="BH25"/>
  <c r="BH27"/>
  <c r="AV21"/>
  <c r="AV23"/>
  <c r="AV25"/>
  <c r="AV27"/>
  <c r="AW20"/>
  <c r="T125" i="11" s="1"/>
  <c r="V125" s="1"/>
  <c r="AL19" i="34"/>
  <c r="AL20"/>
  <c r="AL23"/>
  <c r="AL38"/>
  <c r="CC38" s="1"/>
  <c r="AL41"/>
  <c r="CC41" s="1"/>
  <c r="AL50"/>
  <c r="CC50" s="1"/>
  <c r="AL55"/>
  <c r="CC55" s="1"/>
  <c r="AX21"/>
  <c r="AX24"/>
  <c r="AX27"/>
  <c r="AX40"/>
  <c r="CJ40" s="1"/>
  <c r="AX42"/>
  <c r="AI51"/>
  <c r="AI39"/>
  <c r="AI32"/>
  <c r="BG20"/>
  <c r="AA123" i="11" s="1"/>
  <c r="BI20" i="34"/>
  <c r="AA125" i="11" s="1"/>
  <c r="AC125" s="1"/>
  <c r="AI40" i="34"/>
  <c r="BG30"/>
  <c r="BG53"/>
  <c r="AI29"/>
  <c r="AI28"/>
  <c r="AS20"/>
  <c r="P131" i="11" s="1"/>
  <c r="AU20" i="34"/>
  <c r="T123" i="11" s="1"/>
  <c r="AI52" i="34"/>
  <c r="BE57"/>
  <c r="BE55"/>
  <c r="BR54"/>
  <c r="BI54"/>
  <c r="AK53"/>
  <c r="BE52"/>
  <c r="AK52"/>
  <c r="BR52"/>
  <c r="BV51"/>
  <c r="AT51"/>
  <c r="BQ51"/>
  <c r="AW51"/>
  <c r="BF50"/>
  <c r="BS50"/>
  <c r="BE50"/>
  <c r="AK50"/>
  <c r="BQ49"/>
  <c r="AW49"/>
  <c r="BF49"/>
  <c r="BI48"/>
  <c r="AU48"/>
  <c r="BV45"/>
  <c r="AT45"/>
  <c r="BQ45"/>
  <c r="AW45"/>
  <c r="AI45"/>
  <c r="BR44"/>
  <c r="AW44"/>
  <c r="BV43"/>
  <c r="BQ43"/>
  <c r="AI43"/>
  <c r="AW42"/>
  <c r="BF42"/>
  <c r="AZ41"/>
  <c r="BG41"/>
  <c r="AN40"/>
  <c r="AZ39"/>
  <c r="BG39"/>
  <c r="AS38"/>
  <c r="AN37"/>
  <c r="BH36"/>
  <c r="BV35"/>
  <c r="AT34"/>
  <c r="BG37"/>
  <c r="BS36"/>
  <c r="AJ36"/>
  <c r="AW35"/>
  <c r="BI34"/>
  <c r="BQ33"/>
  <c r="AS33"/>
  <c r="BV33"/>
  <c r="BG33"/>
  <c r="AN33"/>
  <c r="BQ32"/>
  <c r="AW32"/>
  <c r="BL32"/>
  <c r="AN32"/>
  <c r="BQ30"/>
  <c r="AU30"/>
  <c r="BV30"/>
  <c r="BQ29"/>
  <c r="BI26"/>
  <c r="BI23"/>
  <c r="BS21"/>
  <c r="AK21"/>
  <c r="AU28"/>
  <c r="BG27"/>
  <c r="BV26"/>
  <c r="BQ25"/>
  <c r="BI57"/>
  <c r="AS57"/>
  <c r="BV57"/>
  <c r="AT57"/>
  <c r="BG55"/>
  <c r="AS55"/>
  <c r="BV55"/>
  <c r="AT55"/>
  <c r="BQ54"/>
  <c r="AU54"/>
  <c r="BI53"/>
  <c r="AS53"/>
  <c r="BV53"/>
  <c r="AT53"/>
  <c r="BQ52"/>
  <c r="AW52"/>
  <c r="BF52"/>
  <c r="BI51"/>
  <c r="AU51"/>
  <c r="BV50"/>
  <c r="AT50"/>
  <c r="BQ50"/>
  <c r="AW50"/>
  <c r="BI49"/>
  <c r="AU49"/>
  <c r="BV49"/>
  <c r="AT49"/>
  <c r="BR48"/>
  <c r="BG48"/>
  <c r="AS48"/>
  <c r="BI45"/>
  <c r="AU45"/>
  <c r="BF44"/>
  <c r="BS44"/>
  <c r="BE44"/>
  <c r="AK44"/>
  <c r="BI43"/>
  <c r="AU43"/>
  <c r="BI42"/>
  <c r="AU42"/>
  <c r="BV42"/>
  <c r="AT42"/>
  <c r="BR41"/>
  <c r="AT41"/>
  <c r="BS41"/>
  <c r="BE41"/>
  <c r="AK41"/>
  <c r="BR40"/>
  <c r="AZ40"/>
  <c r="BS40"/>
  <c r="AW40"/>
  <c r="AK40"/>
  <c r="BR39"/>
  <c r="AT39"/>
  <c r="BS39"/>
  <c r="BE39"/>
  <c r="AK39"/>
  <c r="BR38"/>
  <c r="AT38"/>
  <c r="BS38"/>
  <c r="BE38"/>
  <c r="AK38"/>
  <c r="BR37"/>
  <c r="AT37"/>
  <c r="BF36"/>
  <c r="AK36"/>
  <c r="AZ35"/>
  <c r="BH34"/>
  <c r="AK34"/>
  <c r="BS37"/>
  <c r="BE37"/>
  <c r="AK37"/>
  <c r="BQ36"/>
  <c r="AZ36"/>
  <c r="BI35"/>
  <c r="AU35"/>
  <c r="BV34"/>
  <c r="BG34"/>
  <c r="AS34"/>
  <c r="BS33"/>
  <c r="BF33"/>
  <c r="AK33"/>
  <c r="BE33"/>
  <c r="BI32"/>
  <c r="AU32"/>
  <c r="BV32"/>
  <c r="BF32"/>
  <c r="BI30"/>
  <c r="AS30"/>
  <c r="BR30"/>
  <c r="BG29"/>
  <c r="BF27"/>
  <c r="BE26"/>
  <c r="BF24"/>
  <c r="BE23"/>
  <c r="BI21"/>
  <c r="BS28"/>
  <c r="AK28"/>
  <c r="AW27"/>
  <c r="BR26"/>
  <c r="BG25"/>
  <c r="AS24"/>
  <c r="AT23"/>
  <c r="AW22"/>
  <c r="BR21"/>
  <c r="AK19"/>
  <c r="AU57"/>
  <c r="BF57"/>
  <c r="AU55"/>
  <c r="AT54"/>
  <c r="BF55"/>
  <c r="AW54"/>
  <c r="BQ53"/>
  <c r="BS52"/>
  <c r="AI44"/>
  <c r="AS43"/>
  <c r="BG42"/>
  <c r="BL41"/>
  <c r="BQ41"/>
  <c r="AT40"/>
  <c r="AU40"/>
  <c r="BL39"/>
  <c r="BQ39"/>
  <c r="AN38"/>
  <c r="AW38"/>
  <c r="AM48"/>
  <c r="AY48"/>
  <c r="BK48"/>
  <c r="AM49"/>
  <c r="AY49"/>
  <c r="BK49"/>
  <c r="AN50"/>
  <c r="AZ50"/>
  <c r="BL50"/>
  <c r="AJ50"/>
  <c r="CB50" s="1"/>
  <c r="AR50"/>
  <c r="CD50" s="1"/>
  <c r="AM51"/>
  <c r="AY51"/>
  <c r="BK51"/>
  <c r="AM52"/>
  <c r="AY52"/>
  <c r="BK52"/>
  <c r="AM53"/>
  <c r="AY53"/>
  <c r="BK53"/>
  <c r="AN54"/>
  <c r="AZ54"/>
  <c r="BL54"/>
  <c r="BH54"/>
  <c r="CP54" s="1"/>
  <c r="BP54"/>
  <c r="CR54" s="1"/>
  <c r="AN55"/>
  <c r="BK55"/>
  <c r="AN57"/>
  <c r="AZ57"/>
  <c r="BL57"/>
  <c r="BH57"/>
  <c r="CP57" s="1"/>
  <c r="BP57"/>
  <c r="CR57" s="1"/>
  <c r="BD57"/>
  <c r="CK57" s="1"/>
  <c r="AJ54"/>
  <c r="CB54" s="1"/>
  <c r="AV52"/>
  <c r="CI52" s="1"/>
  <c r="AX50"/>
  <c r="CJ50" s="1"/>
  <c r="BP50"/>
  <c r="CR50" s="1"/>
  <c r="BH40"/>
  <c r="CP40" s="1"/>
  <c r="BH39"/>
  <c r="CP39" s="1"/>
  <c r="BJ37"/>
  <c r="CQ37" s="1"/>
  <c r="BH35"/>
  <c r="CP35" s="1"/>
  <c r="AV28"/>
  <c r="CI28" s="1"/>
  <c r="BJ28"/>
  <c r="CQ28" s="1"/>
  <c r="AJ19"/>
  <c r="CB19" s="1"/>
  <c r="A43" i="45"/>
  <c r="B43" s="1"/>
  <c r="AX57" i="34"/>
  <c r="CJ57" s="1"/>
  <c r="BP55"/>
  <c r="CR55" s="1"/>
  <c r="BD54"/>
  <c r="CK54" s="1"/>
  <c r="BD53"/>
  <c r="CK53" s="1"/>
  <c r="BD51"/>
  <c r="CK51" s="1"/>
  <c r="BH51"/>
  <c r="CP51" s="1"/>
  <c r="BD50"/>
  <c r="CK50" s="1"/>
  <c r="BH50"/>
  <c r="CP50" s="1"/>
  <c r="BD49"/>
  <c r="CK49" s="1"/>
  <c r="BH49"/>
  <c r="CP49" s="1"/>
  <c r="BP42"/>
  <c r="BP44"/>
  <c r="BH42"/>
  <c r="BH44"/>
  <c r="BH41"/>
  <c r="CP41" s="1"/>
  <c r="BH38"/>
  <c r="CP38" s="1"/>
  <c r="AV37"/>
  <c r="CI37" s="1"/>
  <c r="BD30"/>
  <c r="CK30" s="1"/>
  <c r="AV29"/>
  <c r="CI29" s="1"/>
  <c r="BP28"/>
  <c r="CR28" s="1"/>
  <c r="AJ57"/>
  <c r="CB57" s="1"/>
  <c r="AV55"/>
  <c r="CI55" s="1"/>
  <c r="AX54"/>
  <c r="CJ54" s="1"/>
  <c r="AX53"/>
  <c r="CJ53" s="1"/>
  <c r="BJ53"/>
  <c r="CQ53" s="1"/>
  <c r="BJ51"/>
  <c r="CQ51" s="1"/>
  <c r="BJ50"/>
  <c r="CQ50" s="1"/>
  <c r="BJ49"/>
  <c r="CQ49" s="1"/>
  <c r="AR30"/>
  <c r="CD30" s="1"/>
  <c r="BJ30"/>
  <c r="CQ30" s="1"/>
  <c r="BJ21"/>
  <c r="BJ23"/>
  <c r="BJ25"/>
  <c r="BJ27"/>
  <c r="BJ32"/>
  <c r="CQ32" s="1"/>
  <c r="BJ34"/>
  <c r="BJ36"/>
  <c r="BJ41"/>
  <c r="CQ41" s="1"/>
  <c r="BJ43"/>
  <c r="BJ45"/>
  <c r="BD20"/>
  <c r="BD22"/>
  <c r="BD24"/>
  <c r="BD26"/>
  <c r="BD42"/>
  <c r="BD44"/>
  <c r="BD48"/>
  <c r="CK48" s="1"/>
  <c r="AL54"/>
  <c r="CC54" s="1"/>
  <c r="AL53"/>
  <c r="CC53" s="1"/>
  <c r="AL49"/>
  <c r="CC49" s="1"/>
  <c r="AX48"/>
  <c r="CJ48" s="1"/>
  <c r="BH48"/>
  <c r="CP48" s="1"/>
  <c r="AL48"/>
  <c r="CC48" s="1"/>
  <c r="AL45"/>
  <c r="AX45"/>
  <c r="AL44"/>
  <c r="AX44"/>
  <c r="AV43"/>
  <c r="AV45"/>
  <c r="AL39"/>
  <c r="CC39" s="1"/>
  <c r="AX39"/>
  <c r="CJ39" s="1"/>
  <c r="AX36"/>
  <c r="AM36"/>
  <c r="AR36"/>
  <c r="AL36"/>
  <c r="AV35"/>
  <c r="CI35" s="1"/>
  <c r="AL33"/>
  <c r="AX33"/>
  <c r="BK33"/>
  <c r="BP33"/>
  <c r="AV32"/>
  <c r="AV34"/>
  <c r="AL26"/>
  <c r="AX26"/>
  <c r="AL28"/>
  <c r="CC28" s="1"/>
  <c r="AL27"/>
  <c r="AL24"/>
  <c r="BP20"/>
  <c r="BP22"/>
  <c r="BP24"/>
  <c r="BP26"/>
  <c r="BH20"/>
  <c r="BH22"/>
  <c r="BH24"/>
  <c r="BH26"/>
  <c r="AV20"/>
  <c r="AV22"/>
  <c r="AV24"/>
  <c r="AV26"/>
  <c r="AX19"/>
  <c r="AL21"/>
  <c r="AL29"/>
  <c r="CC29" s="1"/>
  <c r="AL40"/>
  <c r="CC40" s="1"/>
  <c r="AL42"/>
  <c r="AL52"/>
  <c r="CC52" s="1"/>
  <c r="AX20"/>
  <c r="AX22"/>
  <c r="AX25"/>
  <c r="AX37"/>
  <c r="CJ37" s="1"/>
  <c r="AX41"/>
  <c r="CJ41" s="1"/>
  <c r="AX43"/>
  <c r="AV41"/>
  <c r="CI41" s="1"/>
  <c r="AI41"/>
  <c r="AV40"/>
  <c r="CI40" s="1"/>
  <c r="AI35"/>
  <c r="BG19"/>
  <c r="AK20"/>
  <c r="P125" i="11" s="1"/>
  <c r="Q125" s="1"/>
  <c r="AI48" i="34"/>
  <c r="AI37"/>
  <c r="AI49"/>
  <c r="AI42"/>
  <c r="AI38"/>
  <c r="AI20"/>
  <c r="P123" i="11" s="1"/>
  <c r="BE20" i="34"/>
  <c r="T131" i="11" s="1"/>
  <c r="BG54" i="34"/>
  <c r="BQ20"/>
  <c r="AA131" i="11" s="1"/>
  <c r="BS20" i="34"/>
  <c r="AI50"/>
  <c r="AI55"/>
  <c r="BG57"/>
  <c r="AK57"/>
  <c r="BS55"/>
  <c r="AK55"/>
  <c r="AS54"/>
  <c r="BE53"/>
  <c r="BI52"/>
  <c r="AU52"/>
  <c r="BV52"/>
  <c r="AT52"/>
  <c r="BR51"/>
  <c r="BG51"/>
  <c r="AS51"/>
  <c r="BI50"/>
  <c r="AU50"/>
  <c r="BG49"/>
  <c r="AS49"/>
  <c r="BF48"/>
  <c r="BS48"/>
  <c r="BE48"/>
  <c r="AK48"/>
  <c r="BR45"/>
  <c r="BG45"/>
  <c r="AS45"/>
  <c r="BV44"/>
  <c r="AT44"/>
  <c r="BQ44"/>
  <c r="AS44"/>
  <c r="AT43"/>
  <c r="AW43"/>
  <c r="BQ42"/>
  <c r="AS41"/>
  <c r="BE40"/>
  <c r="BF40"/>
  <c r="AS39"/>
  <c r="AZ38"/>
  <c r="BG38"/>
  <c r="BV36"/>
  <c r="AS36"/>
  <c r="BF35"/>
  <c r="BL34"/>
  <c r="BE36"/>
  <c r="BQ35"/>
  <c r="AN34"/>
  <c r="BH33"/>
  <c r="AI33"/>
  <c r="BR33"/>
  <c r="AZ33"/>
  <c r="BG32"/>
  <c r="AS32"/>
  <c r="AZ32"/>
  <c r="BE30"/>
  <c r="AK30"/>
  <c r="AT30"/>
  <c r="AW29"/>
  <c r="BF28"/>
  <c r="AU26"/>
  <c r="BF25"/>
  <c r="AU23"/>
  <c r="BF22"/>
  <c r="BE21"/>
  <c r="BI28"/>
  <c r="AS27"/>
  <c r="AT26"/>
  <c r="AW25"/>
  <c r="BS57"/>
  <c r="AW57"/>
  <c r="AI57"/>
  <c r="BR57"/>
  <c r="BQ55"/>
  <c r="AW55"/>
  <c r="BF54"/>
  <c r="BR55"/>
  <c r="BE54"/>
  <c r="AK54"/>
  <c r="BS53"/>
  <c r="AW53"/>
  <c r="AI53"/>
  <c r="BR53"/>
  <c r="BG52"/>
  <c r="AS52"/>
  <c r="BF51"/>
  <c r="BS51"/>
  <c r="BE51"/>
  <c r="AK51"/>
  <c r="BR50"/>
  <c r="BG50"/>
  <c r="AS50"/>
  <c r="BS49"/>
  <c r="BE49"/>
  <c r="AK49"/>
  <c r="BR49"/>
  <c r="BV48"/>
  <c r="AT48"/>
  <c r="BQ48"/>
  <c r="AW48"/>
  <c r="BF45"/>
  <c r="BS45"/>
  <c r="BE45"/>
  <c r="AK45"/>
  <c r="BI44"/>
  <c r="AU44"/>
  <c r="BF43"/>
  <c r="BS43"/>
  <c r="BE43"/>
  <c r="AK43"/>
  <c r="BS42"/>
  <c r="BE42"/>
  <c r="AK42"/>
  <c r="BR42"/>
  <c r="BV41"/>
  <c r="BF41"/>
  <c r="BI41"/>
  <c r="AU41"/>
  <c r="BV40"/>
  <c r="BG40"/>
  <c r="BL40"/>
  <c r="AS40"/>
  <c r="BV39"/>
  <c r="BF39"/>
  <c r="BI39"/>
  <c r="AU39"/>
  <c r="BV38"/>
  <c r="BF38"/>
  <c r="BI38"/>
  <c r="AU38"/>
  <c r="BV37"/>
  <c r="BF37"/>
  <c r="BL36"/>
  <c r="AU36"/>
  <c r="BL35"/>
  <c r="AN35"/>
  <c r="BQ34"/>
  <c r="AZ34"/>
  <c r="BI37"/>
  <c r="AU37"/>
  <c r="BG36"/>
  <c r="AN36"/>
  <c r="BS35"/>
  <c r="BE35"/>
  <c r="AK35"/>
  <c r="BR34"/>
  <c r="AW34"/>
  <c r="BL33"/>
  <c r="AU33"/>
  <c r="BI33"/>
  <c r="AT33"/>
  <c r="BS32"/>
  <c r="BE32"/>
  <c r="AK32"/>
  <c r="BR32"/>
  <c r="AT32"/>
  <c r="AW30"/>
  <c r="AK26"/>
  <c r="BS23"/>
  <c r="BF29"/>
  <c r="BQ27"/>
  <c r="BG24"/>
  <c r="BQ22"/>
  <c r="BV20"/>
  <c r="BE19"/>
  <c r="BI55"/>
  <c r="AI54"/>
  <c r="BF53"/>
  <c r="BR43"/>
  <c r="AW41"/>
  <c r="BQ40"/>
  <c r="AN39"/>
  <c r="BL38"/>
  <c r="AZ37"/>
  <c r="AW36"/>
  <c r="BR35"/>
  <c r="BS34"/>
  <c r="AI34"/>
  <c r="AW37"/>
  <c r="BI36"/>
  <c r="AS35"/>
  <c r="BE34"/>
  <c r="AI25"/>
  <c r="AW24"/>
  <c r="BR23"/>
  <c r="BG22"/>
  <c r="BV21"/>
  <c r="BF20"/>
  <c r="AU19"/>
  <c r="BI29"/>
  <c r="AU29"/>
  <c r="BV28"/>
  <c r="AT28"/>
  <c r="BR27"/>
  <c r="BG26"/>
  <c r="AS26"/>
  <c r="BV25"/>
  <c r="AT25"/>
  <c r="BR24"/>
  <c r="BG23"/>
  <c r="AS23"/>
  <c r="BV22"/>
  <c r="AT22"/>
  <c r="BQ21"/>
  <c r="AW21"/>
  <c r="AI21"/>
  <c r="BR29"/>
  <c r="BG28"/>
  <c r="AS28"/>
  <c r="BS27"/>
  <c r="BE27"/>
  <c r="AK27"/>
  <c r="BI25"/>
  <c r="AU25"/>
  <c r="BI24"/>
  <c r="AU24"/>
  <c r="BF23"/>
  <c r="BS22"/>
  <c r="BE22"/>
  <c r="AK22"/>
  <c r="AT20"/>
  <c r="BR19"/>
  <c r="BI19"/>
  <c r="AS19"/>
  <c r="BS30"/>
  <c r="AI30"/>
  <c r="AS29"/>
  <c r="BS26"/>
  <c r="AK23"/>
  <c r="AU21"/>
  <c r="BE28"/>
  <c r="AI27"/>
  <c r="AS25"/>
  <c r="BV23"/>
  <c r="AI22"/>
  <c r="BF19"/>
  <c r="BQ57"/>
  <c r="BV54"/>
  <c r="BS54"/>
  <c r="AU53"/>
  <c r="BG44"/>
  <c r="BG43"/>
  <c r="AS42"/>
  <c r="AN41"/>
  <c r="BI40"/>
  <c r="AW39"/>
  <c r="BQ38"/>
  <c r="BL37"/>
  <c r="BR36"/>
  <c r="AI36"/>
  <c r="AT35"/>
  <c r="BF34"/>
  <c r="BQ37"/>
  <c r="AS37"/>
  <c r="AT36"/>
  <c r="BG35"/>
  <c r="AU34"/>
  <c r="AW33"/>
  <c r="BQ24"/>
  <c r="AI24"/>
  <c r="AS22"/>
  <c r="AT21"/>
  <c r="BQ19"/>
  <c r="BF30"/>
  <c r="BS29"/>
  <c r="BE29"/>
  <c r="AK29"/>
  <c r="BR28"/>
  <c r="BV27"/>
  <c r="AT27"/>
  <c r="BQ26"/>
  <c r="AW26"/>
  <c r="AI26"/>
  <c r="BR25"/>
  <c r="BV24"/>
  <c r="AT24"/>
  <c r="BQ23"/>
  <c r="AW23"/>
  <c r="AI23"/>
  <c r="BR22"/>
  <c r="BG21"/>
  <c r="AS21"/>
  <c r="BV29"/>
  <c r="AT29"/>
  <c r="BQ28"/>
  <c r="AW28"/>
  <c r="BI27"/>
  <c r="AU27"/>
  <c r="BF26"/>
  <c r="BS25"/>
  <c r="BE25"/>
  <c r="AK25"/>
  <c r="BS24"/>
  <c r="BE24"/>
  <c r="AK24"/>
  <c r="BI22"/>
  <c r="AU22"/>
  <c r="BF21"/>
  <c r="BR20"/>
  <c r="BV19"/>
  <c r="AT19"/>
  <c r="BS19"/>
  <c r="AW19"/>
  <c r="AI19"/>
  <c r="G245" i="45"/>
  <c r="KA111" i="24" l="1"/>
  <c r="KB111" s="1"/>
  <c r="KC111" s="1"/>
  <c r="KA110"/>
  <c r="KB110" s="1"/>
  <c r="KC110" s="1"/>
  <c r="KA109"/>
  <c r="KB109" s="1"/>
  <c r="KC109" s="1"/>
  <c r="KQ111"/>
  <c r="KQ109"/>
  <c r="KQ110"/>
  <c r="AA8" i="31"/>
  <c r="AC7"/>
  <c r="AA16"/>
  <c r="AZ67" i="24"/>
  <c r="AX67" s="1"/>
  <c r="DB18" i="34"/>
  <c r="DC18" s="1"/>
  <c r="DD18" s="1"/>
  <c r="DE18" s="1"/>
  <c r="DF18" s="1"/>
  <c r="AZ109" i="24"/>
  <c r="AX109" s="1"/>
  <c r="AZ66"/>
  <c r="AX66" s="1"/>
  <c r="AZ69"/>
  <c r="AX69" s="1"/>
  <c r="CC42" i="34"/>
  <c r="CD42"/>
  <c r="CL28" i="1"/>
  <c r="CL26"/>
  <c r="CL24"/>
  <c r="CL22"/>
  <c r="CI32" i="34"/>
  <c r="CK42"/>
  <c r="CP42"/>
  <c r="CR42"/>
  <c r="P158" i="11"/>
  <c r="P134"/>
  <c r="CJ20" i="34"/>
  <c r="T126" i="11" s="1"/>
  <c r="V126" s="1"/>
  <c r="CJ19" i="34"/>
  <c r="AX61"/>
  <c r="CI20"/>
  <c r="T124" i="11" s="1"/>
  <c r="V124" s="1"/>
  <c r="CP20" i="34"/>
  <c r="AA124" i="11" s="1"/>
  <c r="AC124" s="1"/>
  <c r="CR20" i="34"/>
  <c r="BM55"/>
  <c r="CT55" s="1"/>
  <c r="BN55"/>
  <c r="BB53"/>
  <c r="BA53"/>
  <c r="CM53" s="1"/>
  <c r="BM52"/>
  <c r="CT52" s="1"/>
  <c r="BN52"/>
  <c r="AP52"/>
  <c r="AO52"/>
  <c r="CF52" s="1"/>
  <c r="BB51"/>
  <c r="BA51"/>
  <c r="CM51" s="1"/>
  <c r="BB49"/>
  <c r="BA49"/>
  <c r="CM49" s="1"/>
  <c r="BM48"/>
  <c r="CT48" s="1"/>
  <c r="BN48"/>
  <c r="AO48"/>
  <c r="CF48" s="1"/>
  <c r="AP48"/>
  <c r="CC19"/>
  <c r="AL61"/>
  <c r="CC32"/>
  <c r="CJ35"/>
  <c r="CQ42"/>
  <c r="CQ19"/>
  <c r="BJ61"/>
  <c r="BD61"/>
  <c r="CK19"/>
  <c r="CD19"/>
  <c r="AR61"/>
  <c r="BB57"/>
  <c r="BA57"/>
  <c r="CM57" s="1"/>
  <c r="AP55"/>
  <c r="AO55"/>
  <c r="CF55" s="1"/>
  <c r="BB54"/>
  <c r="BA54"/>
  <c r="CM54" s="1"/>
  <c r="BB50"/>
  <c r="BA50"/>
  <c r="CM50" s="1"/>
  <c r="BN45"/>
  <c r="BO45" s="1"/>
  <c r="BM45"/>
  <c r="BN43"/>
  <c r="BO43" s="1"/>
  <c r="BM43"/>
  <c r="AP45"/>
  <c r="AQ45" s="1"/>
  <c r="AO45"/>
  <c r="AP43"/>
  <c r="AQ43" s="1"/>
  <c r="AO43"/>
  <c r="BB29"/>
  <c r="BA29"/>
  <c r="CM29" s="1"/>
  <c r="BB45"/>
  <c r="BC45" s="1"/>
  <c r="BA45"/>
  <c r="BB43"/>
  <c r="BC43" s="1"/>
  <c r="BA43"/>
  <c r="CB32"/>
  <c r="BN30"/>
  <c r="BM30"/>
  <c r="CT30" s="1"/>
  <c r="AP30"/>
  <c r="AO30"/>
  <c r="CF30" s="1"/>
  <c r="CL29" i="1"/>
  <c r="CL27"/>
  <c r="CL25"/>
  <c r="CL23"/>
  <c r="BB28" i="34"/>
  <c r="BA28"/>
  <c r="CM28" s="1"/>
  <c r="BN27"/>
  <c r="BO27" s="1"/>
  <c r="BM27"/>
  <c r="BN25"/>
  <c r="BO25" s="1"/>
  <c r="BM25"/>
  <c r="BN23"/>
  <c r="BO23" s="1"/>
  <c r="BM23"/>
  <c r="BN21"/>
  <c r="BO21" s="1"/>
  <c r="BM21"/>
  <c r="AP27"/>
  <c r="AQ27" s="1"/>
  <c r="AO27"/>
  <c r="AP25"/>
  <c r="AQ25" s="1"/>
  <c r="AO25"/>
  <c r="AP23"/>
  <c r="AQ23" s="1"/>
  <c r="AO23"/>
  <c r="AP21"/>
  <c r="AQ21" s="1"/>
  <c r="AO21"/>
  <c r="BB27"/>
  <c r="BC27" s="1"/>
  <c r="BA27"/>
  <c r="BB25"/>
  <c r="BC25" s="1"/>
  <c r="BA25"/>
  <c r="BB23"/>
  <c r="BC23" s="1"/>
  <c r="BA23"/>
  <c r="BB21"/>
  <c r="BC21" s="1"/>
  <c r="BA21"/>
  <c r="AP19"/>
  <c r="AO19"/>
  <c r="BN19"/>
  <c r="BM19"/>
  <c r="AT17" i="45"/>
  <c r="BS56" i="34"/>
  <c r="BS31"/>
  <c r="A45" i="45"/>
  <c r="GT37" i="24"/>
  <c r="GU38"/>
  <c r="AR66" i="31"/>
  <c r="AS66" s="1"/>
  <c r="AS65"/>
  <c r="G246" i="45"/>
  <c r="CK20" i="34"/>
  <c r="BN53"/>
  <c r="BM53"/>
  <c r="CT53" s="1"/>
  <c r="AP53"/>
  <c r="AO53"/>
  <c r="CF53" s="1"/>
  <c r="BA52"/>
  <c r="CM52" s="1"/>
  <c r="BB52"/>
  <c r="BM51"/>
  <c r="CT51" s="1"/>
  <c r="BN51"/>
  <c r="AO51"/>
  <c r="CF51" s="1"/>
  <c r="AP51"/>
  <c r="BM49"/>
  <c r="BN49"/>
  <c r="AP49"/>
  <c r="AO49"/>
  <c r="CF49" s="1"/>
  <c r="BA48"/>
  <c r="CM48" s="1"/>
  <c r="BB48"/>
  <c r="CJ42"/>
  <c r="CC20"/>
  <c r="P126" i="11" s="1"/>
  <c r="Q126" s="1"/>
  <c r="CJ32" i="34"/>
  <c r="CI42"/>
  <c r="CQ20"/>
  <c r="AA126" i="11" s="1"/>
  <c r="AC126" s="1"/>
  <c r="CM55" i="34"/>
  <c r="CT49"/>
  <c r="BN57"/>
  <c r="BM57"/>
  <c r="CT57" s="1"/>
  <c r="AP57"/>
  <c r="AO57"/>
  <c r="CF57" s="1"/>
  <c r="CL55"/>
  <c r="CN55" s="1"/>
  <c r="CO55" s="1"/>
  <c r="BC55"/>
  <c r="BN54"/>
  <c r="BM54"/>
  <c r="CT54" s="1"/>
  <c r="AP54"/>
  <c r="AO54"/>
  <c r="CF54" s="1"/>
  <c r="BN50"/>
  <c r="BM50"/>
  <c r="CT50" s="1"/>
  <c r="AP50"/>
  <c r="AO50"/>
  <c r="CF50" s="1"/>
  <c r="CF42"/>
  <c r="BB44"/>
  <c r="BC44" s="1"/>
  <c r="BA44"/>
  <c r="CM42" s="1"/>
  <c r="BB42"/>
  <c r="BA42"/>
  <c r="CK32"/>
  <c r="BN29"/>
  <c r="BM29"/>
  <c r="CT29" s="1"/>
  <c r="AP29"/>
  <c r="AO29"/>
  <c r="CF29" s="1"/>
  <c r="CB42"/>
  <c r="BN44"/>
  <c r="BO44" s="1"/>
  <c r="BM44"/>
  <c r="BN42"/>
  <c r="BM42"/>
  <c r="AP44"/>
  <c r="AQ44" s="1"/>
  <c r="BZ44" s="1"/>
  <c r="AO44"/>
  <c r="AP42"/>
  <c r="AO42"/>
  <c r="CD32"/>
  <c r="BB30"/>
  <c r="BA30"/>
  <c r="CM30" s="1"/>
  <c r="BN28"/>
  <c r="BM28"/>
  <c r="CT28" s="1"/>
  <c r="AP28"/>
  <c r="AO28"/>
  <c r="CD20"/>
  <c r="BB26"/>
  <c r="BC26" s="1"/>
  <c r="BA26"/>
  <c r="BB24"/>
  <c r="BC24" s="1"/>
  <c r="BA24"/>
  <c r="BB22"/>
  <c r="BC22" s="1"/>
  <c r="BA22"/>
  <c r="BB20"/>
  <c r="BA20"/>
  <c r="AP20"/>
  <c r="AO20"/>
  <c r="CF28"/>
  <c r="CB20"/>
  <c r="P124" i="11" s="1"/>
  <c r="Q124" s="1"/>
  <c r="BN26" i="34"/>
  <c r="BO26" s="1"/>
  <c r="BM26"/>
  <c r="BN24"/>
  <c r="BO24" s="1"/>
  <c r="BM24"/>
  <c r="BN22"/>
  <c r="BO22" s="1"/>
  <c r="BM22"/>
  <c r="BN20"/>
  <c r="BM20"/>
  <c r="AP26"/>
  <c r="AQ26" s="1"/>
  <c r="BZ26" s="1"/>
  <c r="AO26"/>
  <c r="AP24"/>
  <c r="AQ24" s="1"/>
  <c r="BZ24" s="1"/>
  <c r="AO24"/>
  <c r="AP22"/>
  <c r="AQ22" s="1"/>
  <c r="BZ22" s="1"/>
  <c r="AO22"/>
  <c r="CR19"/>
  <c r="BP61"/>
  <c r="BB19"/>
  <c r="BA19"/>
  <c r="JU109" i="24"/>
  <c r="KD109" s="1"/>
  <c r="JU111"/>
  <c r="KL111" s="1"/>
  <c r="JU110"/>
  <c r="KL110" s="1"/>
  <c r="P20" i="1"/>
  <c r="P55" i="11"/>
  <c r="A44" i="45"/>
  <c r="AC61" i="31"/>
  <c r="AA62"/>
  <c r="AA70"/>
  <c r="AQ16"/>
  <c r="AS7"/>
  <c r="AQ8"/>
  <c r="KD111" i="24" l="1"/>
  <c r="KD110"/>
  <c r="CT42" i="34"/>
  <c r="KK111" i="24"/>
  <c r="JX111"/>
  <c r="JY111" s="1"/>
  <c r="JX110"/>
  <c r="JY110" s="1"/>
  <c r="KK110"/>
  <c r="KK109"/>
  <c r="JX109"/>
  <c r="JY109" s="1"/>
  <c r="KR111"/>
  <c r="KS111" s="1"/>
  <c r="KR110"/>
  <c r="KR109"/>
  <c r="AE7" i="31"/>
  <c r="GJ36" i="24" s="1"/>
  <c r="AC16" i="31"/>
  <c r="AE16" s="1"/>
  <c r="GI36" i="24"/>
  <c r="AA9" i="31"/>
  <c r="AC8"/>
  <c r="AS16"/>
  <c r="AU16" s="1"/>
  <c r="AU7"/>
  <c r="AC62"/>
  <c r="AA63"/>
  <c r="Q20" i="1"/>
  <c r="N19" i="34"/>
  <c r="N22"/>
  <c r="N25"/>
  <c r="N21"/>
  <c r="N26"/>
  <c r="N29"/>
  <c r="N31"/>
  <c r="N33"/>
  <c r="N35"/>
  <c r="N36"/>
  <c r="N38"/>
  <c r="N39"/>
  <c r="N42"/>
  <c r="N44"/>
  <c r="N45"/>
  <c r="N46"/>
  <c r="N50"/>
  <c r="N51"/>
  <c r="N52"/>
  <c r="N54"/>
  <c r="N57"/>
  <c r="N20"/>
  <c r="N24"/>
  <c r="N27"/>
  <c r="N23"/>
  <c r="N28"/>
  <c r="N30"/>
  <c r="N32"/>
  <c r="N34"/>
  <c r="N37"/>
  <c r="N40"/>
  <c r="N41"/>
  <c r="N43"/>
  <c r="N47"/>
  <c r="N48"/>
  <c r="N49"/>
  <c r="N53"/>
  <c r="N55"/>
  <c r="N56"/>
  <c r="CE20"/>
  <c r="AQ20"/>
  <c r="CL20"/>
  <c r="T130" i="11" s="1"/>
  <c r="V130" s="1"/>
  <c r="BC20" i="34"/>
  <c r="CE42"/>
  <c r="AQ42"/>
  <c r="CS42"/>
  <c r="CU42" s="1"/>
  <c r="CV42" s="1"/>
  <c r="BO42"/>
  <c r="CL42"/>
  <c r="CN42" s="1"/>
  <c r="CO42" s="1"/>
  <c r="BC42"/>
  <c r="AQ50"/>
  <c r="CE50"/>
  <c r="BO50"/>
  <c r="CS50"/>
  <c r="CU50" s="1"/>
  <c r="CV50" s="1"/>
  <c r="AQ54"/>
  <c r="CE54"/>
  <c r="BO54"/>
  <c r="CS54"/>
  <c r="CU54" s="1"/>
  <c r="CV54" s="1"/>
  <c r="CE57"/>
  <c r="AQ57"/>
  <c r="CS57"/>
  <c r="CU57" s="1"/>
  <c r="CV57" s="1"/>
  <c r="BO57"/>
  <c r="CL48"/>
  <c r="CN48" s="1"/>
  <c r="CO48" s="1"/>
  <c r="BC48"/>
  <c r="CS49"/>
  <c r="CU49" s="1"/>
  <c r="CV49" s="1"/>
  <c r="BO49"/>
  <c r="CE51"/>
  <c r="AQ51"/>
  <c r="CS51"/>
  <c r="CU51" s="1"/>
  <c r="CV51" s="1"/>
  <c r="BO51"/>
  <c r="CL52"/>
  <c r="CN52" s="1"/>
  <c r="CO52" s="1"/>
  <c r="BC52"/>
  <c r="CN20"/>
  <c r="CO20" s="1"/>
  <c r="CM20"/>
  <c r="T128" i="11" s="1"/>
  <c r="V128" s="1"/>
  <c r="T127"/>
  <c r="V127" s="1"/>
  <c r="GU37" i="24"/>
  <c r="CL29" i="34"/>
  <c r="CN29" s="1"/>
  <c r="CO29" s="1"/>
  <c r="BC29"/>
  <c r="CM19"/>
  <c r="CL49"/>
  <c r="CN49" s="1"/>
  <c r="CO49" s="1"/>
  <c r="BC49"/>
  <c r="CL51"/>
  <c r="CN51" s="1"/>
  <c r="CO51" s="1"/>
  <c r="BC51"/>
  <c r="CE52"/>
  <c r="AQ52"/>
  <c r="CL53"/>
  <c r="CN53" s="1"/>
  <c r="CO53" s="1"/>
  <c r="BC53"/>
  <c r="AQ9" i="31"/>
  <c r="AS8"/>
  <c r="AE61"/>
  <c r="GJ38" i="24" s="1"/>
  <c r="GJ37" s="1"/>
  <c r="GI38"/>
  <c r="GI37" s="1"/>
  <c r="AC70" i="31"/>
  <c r="AE70" s="1"/>
  <c r="CL19" i="34"/>
  <c r="CN19" s="1"/>
  <c r="CO19" s="1"/>
  <c r="BC19"/>
  <c r="CT19"/>
  <c r="CS20"/>
  <c r="AA130" i="11" s="1"/>
  <c r="AC130" s="1"/>
  <c r="BO20" i="34"/>
  <c r="CG20"/>
  <c r="CH20" s="1"/>
  <c r="P127" i="11"/>
  <c r="Q127" s="1"/>
  <c r="CF20" i="34"/>
  <c r="P128" i="11" s="1"/>
  <c r="Q128" s="1"/>
  <c r="CE28" i="34"/>
  <c r="AQ28"/>
  <c r="CS28"/>
  <c r="CU28" s="1"/>
  <c r="CV28" s="1"/>
  <c r="BO28"/>
  <c r="CL30"/>
  <c r="CN30" s="1"/>
  <c r="CO30" s="1"/>
  <c r="BC30"/>
  <c r="CE29"/>
  <c r="AQ29"/>
  <c r="CS29"/>
  <c r="CU29" s="1"/>
  <c r="CV29" s="1"/>
  <c r="BO29"/>
  <c r="CE49"/>
  <c r="AQ49"/>
  <c r="CE53"/>
  <c r="AQ53"/>
  <c r="CS53"/>
  <c r="CU53" s="1"/>
  <c r="CV53" s="1"/>
  <c r="BO53"/>
  <c r="G247" i="45"/>
  <c r="AU17"/>
  <c r="BT31" i="34"/>
  <c r="BT56"/>
  <c r="BT57"/>
  <c r="BT48"/>
  <c r="BT38"/>
  <c r="BT27"/>
  <c r="BT45"/>
  <c r="BT36"/>
  <c r="BT33"/>
  <c r="BT28"/>
  <c r="BT22"/>
  <c r="BT42"/>
  <c r="BT53"/>
  <c r="BT49"/>
  <c r="BT41"/>
  <c r="BT37"/>
  <c r="BT32"/>
  <c r="BT52"/>
  <c r="BT34"/>
  <c r="BT19"/>
  <c r="BT23"/>
  <c r="BT55"/>
  <c r="BT40"/>
  <c r="BT24"/>
  <c r="BT54"/>
  <c r="BT51"/>
  <c r="BT43"/>
  <c r="BT35"/>
  <c r="BT25"/>
  <c r="BT20"/>
  <c r="P135" i="11" s="1"/>
  <c r="BT50" i="34"/>
  <c r="BT39"/>
  <c r="BT29"/>
  <c r="BT44"/>
  <c r="BT30"/>
  <c r="BT26"/>
  <c r="BT21"/>
  <c r="CS19"/>
  <c r="CU19" s="1"/>
  <c r="CV19" s="1"/>
  <c r="BO19"/>
  <c r="CE19"/>
  <c r="AQ19"/>
  <c r="BZ19" s="1"/>
  <c r="BZ21"/>
  <c r="BZ23"/>
  <c r="BZ25"/>
  <c r="BZ27"/>
  <c r="CL28"/>
  <c r="CN28" s="1"/>
  <c r="CO28" s="1"/>
  <c r="BC28"/>
  <c r="CE30"/>
  <c r="AQ30"/>
  <c r="CS30"/>
  <c r="CU30" s="1"/>
  <c r="CV30" s="1"/>
  <c r="BO30"/>
  <c r="BZ43"/>
  <c r="BZ45"/>
  <c r="CL50"/>
  <c r="CN50" s="1"/>
  <c r="CO50" s="1"/>
  <c r="BC50"/>
  <c r="CL54"/>
  <c r="CN54" s="1"/>
  <c r="CO54" s="1"/>
  <c r="BC54"/>
  <c r="CE55"/>
  <c r="AQ55"/>
  <c r="BC57"/>
  <c r="CL57"/>
  <c r="CN57" s="1"/>
  <c r="CO57" s="1"/>
  <c r="CG19"/>
  <c r="CH19" s="1"/>
  <c r="CF19"/>
  <c r="CE48"/>
  <c r="AQ48"/>
  <c r="CS48"/>
  <c r="CU48" s="1"/>
  <c r="CV48" s="1"/>
  <c r="BO48"/>
  <c r="CS52"/>
  <c r="CU52" s="1"/>
  <c r="CV52" s="1"/>
  <c r="BO52"/>
  <c r="CS55"/>
  <c r="CU55" s="1"/>
  <c r="CV55" s="1"/>
  <c r="BO55"/>
  <c r="CT20"/>
  <c r="AA128" i="11" s="1"/>
  <c r="AC128" s="1"/>
  <c r="CT35" i="34"/>
  <c r="AA127" i="11"/>
  <c r="AC127" s="1"/>
  <c r="KM110" i="24" l="1"/>
  <c r="KT110" s="1"/>
  <c r="KN111"/>
  <c r="KM111"/>
  <c r="KN109"/>
  <c r="KN110"/>
  <c r="KS110"/>
  <c r="KS109"/>
  <c r="AC9" i="31"/>
  <c r="AA10"/>
  <c r="CU20" i="34"/>
  <c r="CV20" s="1"/>
  <c r="BZ49"/>
  <c r="BZ48"/>
  <c r="BZ55"/>
  <c r="BZ30"/>
  <c r="DA19"/>
  <c r="G248" i="45"/>
  <c r="DA53" i="34"/>
  <c r="CG53"/>
  <c r="CH53" s="1"/>
  <c r="DA49"/>
  <c r="CG49"/>
  <c r="CH49" s="1"/>
  <c r="DA29"/>
  <c r="CG29"/>
  <c r="CH29" s="1"/>
  <c r="DA28"/>
  <c r="CG28"/>
  <c r="CH28" s="1"/>
  <c r="AQ10" i="31"/>
  <c r="AS9"/>
  <c r="DA52" i="34"/>
  <c r="CG52"/>
  <c r="CH52" s="1"/>
  <c r="BZ51"/>
  <c r="BZ57"/>
  <c r="DA54"/>
  <c r="CG54"/>
  <c r="CH54" s="1"/>
  <c r="DA50"/>
  <c r="CG50"/>
  <c r="CH50" s="1"/>
  <c r="BZ42"/>
  <c r="BZ20"/>
  <c r="AC63" i="31"/>
  <c r="AA64"/>
  <c r="DA48" i="34"/>
  <c r="CG48"/>
  <c r="CH48" s="1"/>
  <c r="DA55"/>
  <c r="CG55"/>
  <c r="CH55" s="1"/>
  <c r="DA30"/>
  <c r="CG30"/>
  <c r="CH30" s="1"/>
  <c r="AV17" i="45"/>
  <c r="BU56" i="34"/>
  <c r="BU31"/>
  <c r="BU44"/>
  <c r="BU40"/>
  <c r="BU55"/>
  <c r="BU24"/>
  <c r="BU19"/>
  <c r="BU51"/>
  <c r="BU39"/>
  <c r="BU30"/>
  <c r="BU54"/>
  <c r="BU25"/>
  <c r="BU33"/>
  <c r="BU26"/>
  <c r="BU23"/>
  <c r="BU21"/>
  <c r="BU20"/>
  <c r="P136" i="11" s="1"/>
  <c r="BU53" i="34"/>
  <c r="BU38"/>
  <c r="BU48"/>
  <c r="BU34"/>
  <c r="BU43"/>
  <c r="BU57"/>
  <c r="BU49"/>
  <c r="BU45"/>
  <c r="BU41"/>
  <c r="BU37"/>
  <c r="BU32"/>
  <c r="BU27"/>
  <c r="BU52"/>
  <c r="BU50"/>
  <c r="BU36"/>
  <c r="BU29"/>
  <c r="BU42"/>
  <c r="BU35"/>
  <c r="BU28"/>
  <c r="BU22"/>
  <c r="BZ53"/>
  <c r="BZ29"/>
  <c r="BZ28"/>
  <c r="P129" i="11"/>
  <c r="Q129" s="1"/>
  <c r="BZ52" i="34"/>
  <c r="T129" i="11"/>
  <c r="V129" s="1"/>
  <c r="DA51" i="34"/>
  <c r="CG51"/>
  <c r="CH51" s="1"/>
  <c r="DA57"/>
  <c r="CG57"/>
  <c r="CH57" s="1"/>
  <c r="BZ54"/>
  <c r="BZ50"/>
  <c r="DA42"/>
  <c r="CG42"/>
  <c r="CH42" s="1"/>
  <c r="DA20"/>
  <c r="P130" i="11"/>
  <c r="Q130" s="1"/>
  <c r="Q36" i="24"/>
  <c r="C36" s="1"/>
  <c r="Q38"/>
  <c r="C38" s="1"/>
  <c r="Q79"/>
  <c r="C79" s="1"/>
  <c r="R20" i="1"/>
  <c r="S20" s="1"/>
  <c r="Q37" i="24"/>
  <c r="C37" s="1"/>
  <c r="Q80"/>
  <c r="C80" s="1"/>
  <c r="Q35"/>
  <c r="C35" s="1"/>
  <c r="N40" i="45"/>
  <c r="C40" s="1"/>
  <c r="N48"/>
  <c r="N52"/>
  <c r="C52" s="1"/>
  <c r="N56"/>
  <c r="N60"/>
  <c r="N64"/>
  <c r="C64" s="1"/>
  <c r="N68"/>
  <c r="N72"/>
  <c r="N76"/>
  <c r="C76" s="1"/>
  <c r="N80"/>
  <c r="N94"/>
  <c r="N110"/>
  <c r="C110" s="1"/>
  <c r="N112"/>
  <c r="N114"/>
  <c r="N116"/>
  <c r="C116" s="1"/>
  <c r="N118"/>
  <c r="N128"/>
  <c r="C128" s="1"/>
  <c r="N132"/>
  <c r="N134"/>
  <c r="C134" s="1"/>
  <c r="N136"/>
  <c r="N140"/>
  <c r="C140" s="1"/>
  <c r="N142"/>
  <c r="N144"/>
  <c r="N153"/>
  <c r="C153" s="1"/>
  <c r="N155"/>
  <c r="N157"/>
  <c r="N159"/>
  <c r="C159" s="1"/>
  <c r="N161"/>
  <c r="N163"/>
  <c r="N165"/>
  <c r="C165" s="1"/>
  <c r="N167"/>
  <c r="N169"/>
  <c r="N171"/>
  <c r="C171" s="1"/>
  <c r="N173"/>
  <c r="N175"/>
  <c r="N177"/>
  <c r="C177" s="1"/>
  <c r="N179"/>
  <c r="N181"/>
  <c r="N30"/>
  <c r="C30" s="1"/>
  <c r="N42"/>
  <c r="N46"/>
  <c r="C46" s="1"/>
  <c r="N50"/>
  <c r="N54"/>
  <c r="N58"/>
  <c r="C58" s="1"/>
  <c r="N62"/>
  <c r="N66"/>
  <c r="N70"/>
  <c r="C70" s="1"/>
  <c r="N74"/>
  <c r="N78"/>
  <c r="N92"/>
  <c r="C92" s="1"/>
  <c r="N108"/>
  <c r="N111"/>
  <c r="N113"/>
  <c r="C113" s="1"/>
  <c r="N115"/>
  <c r="N117"/>
  <c r="N125"/>
  <c r="C125" s="1"/>
  <c r="N131"/>
  <c r="C131" s="1"/>
  <c r="N133"/>
  <c r="N135"/>
  <c r="N137"/>
  <c r="C137" s="1"/>
  <c r="N141"/>
  <c r="N143"/>
  <c r="C143" s="1"/>
  <c r="N145"/>
  <c r="N154"/>
  <c r="N156"/>
  <c r="C156" s="1"/>
  <c r="N158"/>
  <c r="N160"/>
  <c r="N162"/>
  <c r="C162" s="1"/>
  <c r="N164"/>
  <c r="N166"/>
  <c r="N168"/>
  <c r="C168" s="1"/>
  <c r="N170"/>
  <c r="N172"/>
  <c r="N174"/>
  <c r="C174" s="1"/>
  <c r="N176"/>
  <c r="N178"/>
  <c r="N180"/>
  <c r="C180" s="1"/>
  <c r="N182"/>
  <c r="N21" i="21"/>
  <c r="C21" s="1"/>
  <c r="N20"/>
  <c r="C20" s="1"/>
  <c r="Q41" i="24"/>
  <c r="C41" s="1"/>
  <c r="Q43"/>
  <c r="C43" s="1"/>
  <c r="Q44"/>
  <c r="C44" s="1"/>
  <c r="N22" i="21"/>
  <c r="C22" s="1"/>
  <c r="Q39" i="24"/>
  <c r="C39" s="1"/>
  <c r="Q40"/>
  <c r="C40" s="1"/>
  <c r="Q42"/>
  <c r="C42" s="1"/>
  <c r="N254" i="45"/>
  <c r="C254" s="1"/>
  <c r="N255"/>
  <c r="C255" s="1"/>
  <c r="N256"/>
  <c r="C256" s="1"/>
  <c r="N260"/>
  <c r="C260" s="1"/>
  <c r="N261"/>
  <c r="C261" s="1"/>
  <c r="N262"/>
  <c r="C262" s="1"/>
  <c r="N269"/>
  <c r="C269" s="1"/>
  <c r="N270"/>
  <c r="C270" s="1"/>
  <c r="N271"/>
  <c r="C271" s="1"/>
  <c r="N275"/>
  <c r="C275" s="1"/>
  <c r="N276"/>
  <c r="C276" s="1"/>
  <c r="N277"/>
  <c r="C277" s="1"/>
  <c r="N281"/>
  <c r="C281" s="1"/>
  <c r="N282"/>
  <c r="C282" s="1"/>
  <c r="N283"/>
  <c r="C283" s="1"/>
  <c r="N287"/>
  <c r="C287" s="1"/>
  <c r="N288"/>
  <c r="C288" s="1"/>
  <c r="N289"/>
  <c r="C289" s="1"/>
  <c r="N293"/>
  <c r="C293" s="1"/>
  <c r="N318"/>
  <c r="C318" s="1"/>
  <c r="N319"/>
  <c r="C319" s="1"/>
  <c r="N320"/>
  <c r="C320" s="1"/>
  <c r="N324"/>
  <c r="C324" s="1"/>
  <c r="N325"/>
  <c r="C325" s="1"/>
  <c r="N326"/>
  <c r="C326" s="1"/>
  <c r="N336"/>
  <c r="C336" s="1"/>
  <c r="N342"/>
  <c r="C342" s="1"/>
  <c r="N343"/>
  <c r="C343" s="1"/>
  <c r="N344"/>
  <c r="C344" s="1"/>
  <c r="N348"/>
  <c r="C348" s="1"/>
  <c r="N354"/>
  <c r="C354" s="1"/>
  <c r="N355"/>
  <c r="C355" s="1"/>
  <c r="N356"/>
  <c r="C356" s="1"/>
  <c r="N367"/>
  <c r="C367" s="1"/>
  <c r="N368"/>
  <c r="C368" s="1"/>
  <c r="N369"/>
  <c r="C369" s="1"/>
  <c r="N373"/>
  <c r="C373" s="1"/>
  <c r="N374"/>
  <c r="C374" s="1"/>
  <c r="N375"/>
  <c r="C375" s="1"/>
  <c r="N241"/>
  <c r="C241" s="1"/>
  <c r="N251"/>
  <c r="C251" s="1"/>
  <c r="N252"/>
  <c r="C252" s="1"/>
  <c r="N253"/>
  <c r="C253" s="1"/>
  <c r="N257"/>
  <c r="C257" s="1"/>
  <c r="N258"/>
  <c r="C258" s="1"/>
  <c r="N259"/>
  <c r="C259" s="1"/>
  <c r="N266"/>
  <c r="C266" s="1"/>
  <c r="N267"/>
  <c r="C267" s="1"/>
  <c r="N268"/>
  <c r="C268" s="1"/>
  <c r="N272"/>
  <c r="C272" s="1"/>
  <c r="N273"/>
  <c r="C273" s="1"/>
  <c r="N274"/>
  <c r="C274" s="1"/>
  <c r="N278"/>
  <c r="C278" s="1"/>
  <c r="N279"/>
  <c r="C279" s="1"/>
  <c r="N280"/>
  <c r="C280" s="1"/>
  <c r="N284"/>
  <c r="C284" s="1"/>
  <c r="N285"/>
  <c r="C285" s="1"/>
  <c r="N286"/>
  <c r="C286" s="1"/>
  <c r="N290"/>
  <c r="C290" s="1"/>
  <c r="N291"/>
  <c r="C291" s="1"/>
  <c r="N292"/>
  <c r="C292" s="1"/>
  <c r="N306"/>
  <c r="C306" s="1"/>
  <c r="N307"/>
  <c r="C307" s="1"/>
  <c r="N308"/>
  <c r="C308" s="1"/>
  <c r="N321"/>
  <c r="C321" s="1"/>
  <c r="N322"/>
  <c r="C322" s="1"/>
  <c r="N323"/>
  <c r="C323" s="1"/>
  <c r="N327"/>
  <c r="C327" s="1"/>
  <c r="N328"/>
  <c r="C328" s="1"/>
  <c r="N329"/>
  <c r="C329" s="1"/>
  <c r="N339"/>
  <c r="C339" s="1"/>
  <c r="N345"/>
  <c r="C345" s="1"/>
  <c r="N346"/>
  <c r="C346" s="1"/>
  <c r="N347"/>
  <c r="C347" s="1"/>
  <c r="N351"/>
  <c r="C351" s="1"/>
  <c r="N352"/>
  <c r="C352" s="1"/>
  <c r="N353"/>
  <c r="C353" s="1"/>
  <c r="N364"/>
  <c r="C364" s="1"/>
  <c r="N365"/>
  <c r="C365" s="1"/>
  <c r="N366"/>
  <c r="C366" s="1"/>
  <c r="N370"/>
  <c r="C370" s="1"/>
  <c r="N371"/>
  <c r="C371" s="1"/>
  <c r="N372"/>
  <c r="C372" s="1"/>
  <c r="N376"/>
  <c r="C376" s="1"/>
  <c r="N377"/>
  <c r="C377" s="1"/>
  <c r="N378"/>
  <c r="C378" s="1"/>
  <c r="N28" i="21"/>
  <c r="C28" s="1"/>
  <c r="N50"/>
  <c r="C50" s="1"/>
  <c r="N53"/>
  <c r="C53" s="1"/>
  <c r="N56"/>
  <c r="C56" s="1"/>
  <c r="N60"/>
  <c r="C60" s="1"/>
  <c r="N61"/>
  <c r="C61" s="1"/>
  <c r="N72"/>
  <c r="C72" s="1"/>
  <c r="N80"/>
  <c r="C80" s="1"/>
  <c r="N87"/>
  <c r="C87" s="1"/>
  <c r="O25" i="54"/>
  <c r="C25" s="1"/>
  <c r="O26"/>
  <c r="C26" s="1"/>
  <c r="O28"/>
  <c r="C28" s="1"/>
  <c r="O30"/>
  <c r="C30" s="1"/>
  <c r="O31"/>
  <c r="C31" s="1"/>
  <c r="O32"/>
  <c r="C32" s="1"/>
  <c r="O42"/>
  <c r="C42" s="1"/>
  <c r="O53"/>
  <c r="C53" s="1"/>
  <c r="O55"/>
  <c r="C55" s="1"/>
  <c r="O57"/>
  <c r="C57" s="1"/>
  <c r="O60"/>
  <c r="C60" s="1"/>
  <c r="O61"/>
  <c r="C61" s="1"/>
  <c r="O62"/>
  <c r="C62" s="1"/>
  <c r="O66"/>
  <c r="C66" s="1"/>
  <c r="O67"/>
  <c r="C67" s="1"/>
  <c r="O68"/>
  <c r="C68" s="1"/>
  <c r="O70"/>
  <c r="C70" s="1"/>
  <c r="O74"/>
  <c r="C74" s="1"/>
  <c r="N23" i="21"/>
  <c r="C23" s="1"/>
  <c r="N64"/>
  <c r="C64" s="1"/>
  <c r="N63"/>
  <c r="C63" s="1"/>
  <c r="N19"/>
  <c r="C19" s="1"/>
  <c r="N24"/>
  <c r="C24" s="1"/>
  <c r="N25"/>
  <c r="C25" s="1"/>
  <c r="N26"/>
  <c r="C26" s="1"/>
  <c r="N27"/>
  <c r="C27" s="1"/>
  <c r="N37"/>
  <c r="C37" s="1"/>
  <c r="N45"/>
  <c r="C45" s="1"/>
  <c r="N48"/>
  <c r="C48" s="1"/>
  <c r="N49"/>
  <c r="C49" s="1"/>
  <c r="N51"/>
  <c r="C51" s="1"/>
  <c r="N52"/>
  <c r="C52" s="1"/>
  <c r="N54"/>
  <c r="C54" s="1"/>
  <c r="N55"/>
  <c r="C55" s="1"/>
  <c r="N57"/>
  <c r="C57" s="1"/>
  <c r="N58"/>
  <c r="C58" s="1"/>
  <c r="N62"/>
  <c r="C62" s="1"/>
  <c r="N65"/>
  <c r="C65" s="1"/>
  <c r="N66"/>
  <c r="C66" s="1"/>
  <c r="N69"/>
  <c r="C69" s="1"/>
  <c r="N76"/>
  <c r="C76" s="1"/>
  <c r="N84"/>
  <c r="C84" s="1"/>
  <c r="N90"/>
  <c r="C90" s="1"/>
  <c r="N93"/>
  <c r="C93" s="1"/>
  <c r="N97"/>
  <c r="C97" s="1"/>
  <c r="O24" i="54"/>
  <c r="O27"/>
  <c r="C27" s="1"/>
  <c r="O29"/>
  <c r="C29" s="1"/>
  <c r="O33"/>
  <c r="C33" s="1"/>
  <c r="O50"/>
  <c r="C50" s="1"/>
  <c r="O54"/>
  <c r="C54" s="1"/>
  <c r="O56"/>
  <c r="C56" s="1"/>
  <c r="O58"/>
  <c r="C58" s="1"/>
  <c r="O59"/>
  <c r="C59" s="1"/>
  <c r="O63"/>
  <c r="C63" s="1"/>
  <c r="O65"/>
  <c r="C65" s="1"/>
  <c r="O69"/>
  <c r="C69" s="1"/>
  <c r="O77"/>
  <c r="C77" s="1"/>
  <c r="O85"/>
  <c r="C85" s="1"/>
  <c r="O89"/>
  <c r="C89" s="1"/>
  <c r="O95"/>
  <c r="C95" s="1"/>
  <c r="O98"/>
  <c r="C98" s="1"/>
  <c r="O102"/>
  <c r="C102" s="1"/>
  <c r="Q53" i="24"/>
  <c r="C53" s="1"/>
  <c r="Q65"/>
  <c r="C65" s="1"/>
  <c r="Q67"/>
  <c r="C67" s="1"/>
  <c r="Q70"/>
  <c r="C70" s="1"/>
  <c r="Q71"/>
  <c r="C71" s="1"/>
  <c r="Q73"/>
  <c r="C73" s="1"/>
  <c r="O71" i="54"/>
  <c r="C71" s="1"/>
  <c r="O81"/>
  <c r="C81" s="1"/>
  <c r="O92"/>
  <c r="C92" s="1"/>
  <c r="Q61" i="24"/>
  <c r="C61" s="1"/>
  <c r="Q64"/>
  <c r="C64" s="1"/>
  <c r="Q66"/>
  <c r="C66" s="1"/>
  <c r="Q68"/>
  <c r="C68" s="1"/>
  <c r="Q69"/>
  <c r="C69" s="1"/>
  <c r="Q72"/>
  <c r="C72" s="1"/>
  <c r="Q74"/>
  <c r="C74" s="1"/>
  <c r="Q76"/>
  <c r="C76" s="1"/>
  <c r="Q77"/>
  <c r="C77" s="1"/>
  <c r="Q78"/>
  <c r="C78" s="1"/>
  <c r="Q81"/>
  <c r="C81" s="1"/>
  <c r="Q82"/>
  <c r="Q85"/>
  <c r="C85" s="1"/>
  <c r="Q88"/>
  <c r="C88" s="1"/>
  <c r="Q92"/>
  <c r="C92" s="1"/>
  <c r="Q96"/>
  <c r="C96" s="1"/>
  <c r="Q100"/>
  <c r="C100" s="1"/>
  <c r="M302" i="40"/>
  <c r="D302" s="1"/>
  <c r="M277"/>
  <c r="D277" s="1"/>
  <c r="Q103" i="24"/>
  <c r="C103" s="1"/>
  <c r="Q106"/>
  <c r="C106" s="1"/>
  <c r="Q109"/>
  <c r="C109" s="1"/>
  <c r="Q113"/>
  <c r="C113" s="1"/>
  <c r="M44" i="40"/>
  <c r="D44" s="1"/>
  <c r="M38"/>
  <c r="D38" s="1"/>
  <c r="M32"/>
  <c r="D32" s="1"/>
  <c r="H43" i="22"/>
  <c r="H47"/>
  <c r="H49"/>
  <c r="M158" i="40"/>
  <c r="D158" s="1"/>
  <c r="O42" i="34"/>
  <c r="C42" s="1"/>
  <c r="M173" i="40"/>
  <c r="D173" s="1"/>
  <c r="M206"/>
  <c r="D206" s="1"/>
  <c r="O39" i="34"/>
  <c r="C39" s="1"/>
  <c r="M212" i="40"/>
  <c r="D212" s="1"/>
  <c r="M200"/>
  <c r="D200" s="1"/>
  <c r="M190"/>
  <c r="D190" s="1"/>
  <c r="M265"/>
  <c r="D265" s="1"/>
  <c r="M359"/>
  <c r="D359" s="1"/>
  <c r="O33" i="34"/>
  <c r="C33" s="1"/>
  <c r="M411" i="40"/>
  <c r="D411" s="1"/>
  <c r="O32" i="34"/>
  <c r="C32" s="1"/>
  <c r="O31"/>
  <c r="C31" s="1"/>
  <c r="O30"/>
  <c r="C30" s="1"/>
  <c r="O29"/>
  <c r="C29" s="1"/>
  <c r="O28"/>
  <c r="C28" s="1"/>
  <c r="O27"/>
  <c r="C27" s="1"/>
  <c r="O26"/>
  <c r="C26" s="1"/>
  <c r="O25"/>
  <c r="C25" s="1"/>
  <c r="O24"/>
  <c r="C24" s="1"/>
  <c r="O23"/>
  <c r="C23" s="1"/>
  <c r="O22"/>
  <c r="C22" s="1"/>
  <c r="O21"/>
  <c r="C21" s="1"/>
  <c r="O19"/>
  <c r="C19" s="1"/>
  <c r="O20"/>
  <c r="C20" s="1"/>
  <c r="O57"/>
  <c r="C57" s="1"/>
  <c r="H27" i="22"/>
  <c r="M47" i="40"/>
  <c r="D47" s="1"/>
  <c r="M35"/>
  <c r="D35" s="1"/>
  <c r="M41"/>
  <c r="D41" s="1"/>
  <c r="H34" i="22"/>
  <c r="H31"/>
  <c r="H29"/>
  <c r="H37"/>
  <c r="H38"/>
  <c r="M180" i="40"/>
  <c r="D180" s="1"/>
  <c r="C24" i="54"/>
  <c r="H24" i="22"/>
  <c r="H57"/>
  <c r="O54" i="34"/>
  <c r="C54" s="1"/>
  <c r="O53"/>
  <c r="C53" s="1"/>
  <c r="O52"/>
  <c r="C52" s="1"/>
  <c r="O51"/>
  <c r="C51" s="1"/>
  <c r="O50"/>
  <c r="C50" s="1"/>
  <c r="O49"/>
  <c r="C49" s="1"/>
  <c r="O48"/>
  <c r="C48" s="1"/>
  <c r="O47"/>
  <c r="C47" s="1"/>
  <c r="O46"/>
  <c r="C46" s="1"/>
  <c r="M28" i="40"/>
  <c r="D28" s="1"/>
  <c r="O45" i="34"/>
  <c r="C45" s="1"/>
  <c r="H42" i="22"/>
  <c r="H44"/>
  <c r="H46"/>
  <c r="H48"/>
  <c r="H50"/>
  <c r="H51"/>
  <c r="O44" i="34"/>
  <c r="C44" s="1"/>
  <c r="O43"/>
  <c r="C43" s="1"/>
  <c r="M66" i="40"/>
  <c r="D66" s="1"/>
  <c r="M114"/>
  <c r="D114" s="1"/>
  <c r="O41" i="34"/>
  <c r="C41" s="1"/>
  <c r="M179" i="40"/>
  <c r="D179" s="1"/>
  <c r="O40" i="34"/>
  <c r="C40" s="1"/>
  <c r="M187" i="40"/>
  <c r="D187" s="1"/>
  <c r="O38" i="34"/>
  <c r="C38" s="1"/>
  <c r="O37"/>
  <c r="C37" s="1"/>
  <c r="M253" i="40"/>
  <c r="D253" s="1"/>
  <c r="M224"/>
  <c r="D224" s="1"/>
  <c r="O36" i="34"/>
  <c r="C36" s="1"/>
  <c r="M320" i="40"/>
  <c r="D320" s="1"/>
  <c r="M347"/>
  <c r="D347" s="1"/>
  <c r="O35" i="34"/>
  <c r="C35" s="1"/>
  <c r="O34"/>
  <c r="C34" s="1"/>
  <c r="M393" i="40"/>
  <c r="D393" s="1"/>
  <c r="M383"/>
  <c r="D383" s="1"/>
  <c r="H26" i="22"/>
  <c r="M53" i="40"/>
  <c r="D53" s="1"/>
  <c r="H28" i="22"/>
  <c r="M50" i="40"/>
  <c r="D50" s="1"/>
  <c r="H36" i="22"/>
  <c r="H32"/>
  <c r="H30"/>
  <c r="H25"/>
  <c r="H35"/>
  <c r="H33"/>
  <c r="H62"/>
  <c r="H60"/>
  <c r="H58"/>
  <c r="H56"/>
  <c r="H54"/>
  <c r="H59"/>
  <c r="H55"/>
  <c r="H45"/>
  <c r="H61"/>
  <c r="H53"/>
  <c r="O55" i="34"/>
  <c r="C55" s="1"/>
  <c r="O56"/>
  <c r="C56" s="1"/>
  <c r="H41" i="22"/>
  <c r="M233" i="40"/>
  <c r="D233" s="1"/>
  <c r="M188"/>
  <c r="D188" s="1"/>
  <c r="N391" i="45"/>
  <c r="C391" s="1"/>
  <c r="N387"/>
  <c r="C387" s="1"/>
  <c r="N383"/>
  <c r="C383" s="1"/>
  <c r="N379"/>
  <c r="C379" s="1"/>
  <c r="N392"/>
  <c r="C392" s="1"/>
  <c r="N388"/>
  <c r="C388" s="1"/>
  <c r="N384"/>
  <c r="C384" s="1"/>
  <c r="N380"/>
  <c r="C380" s="1"/>
  <c r="N41"/>
  <c r="N107"/>
  <c r="C107" s="1"/>
  <c r="N81"/>
  <c r="N77"/>
  <c r="N73"/>
  <c r="C73" s="1"/>
  <c r="N69"/>
  <c r="N65"/>
  <c r="N61"/>
  <c r="C61" s="1"/>
  <c r="N57"/>
  <c r="N53"/>
  <c r="N49"/>
  <c r="C49" s="1"/>
  <c r="M239" i="40"/>
  <c r="D239" s="1"/>
  <c r="M183"/>
  <c r="D183" s="1"/>
  <c r="M186"/>
  <c r="D186" s="1"/>
  <c r="M182"/>
  <c r="D182" s="1"/>
  <c r="M185"/>
  <c r="D185" s="1"/>
  <c r="H39" i="22"/>
  <c r="H40"/>
  <c r="M230" i="40"/>
  <c r="D230" s="1"/>
  <c r="M181"/>
  <c r="D181" s="1"/>
  <c r="H52" i="22"/>
  <c r="N393" i="45"/>
  <c r="C393" s="1"/>
  <c r="N389"/>
  <c r="C389" s="1"/>
  <c r="N385"/>
  <c r="C385" s="1"/>
  <c r="N381"/>
  <c r="C381" s="1"/>
  <c r="N390"/>
  <c r="C390" s="1"/>
  <c r="N386"/>
  <c r="C386" s="1"/>
  <c r="N382"/>
  <c r="C382" s="1"/>
  <c r="N109"/>
  <c r="N93"/>
  <c r="N79"/>
  <c r="C79" s="1"/>
  <c r="N75"/>
  <c r="N71"/>
  <c r="N67"/>
  <c r="C67" s="1"/>
  <c r="N63"/>
  <c r="N59"/>
  <c r="N55"/>
  <c r="C55" s="1"/>
  <c r="N51"/>
  <c r="N47"/>
  <c r="M184" i="40"/>
  <c r="D184" s="1"/>
  <c r="M242"/>
  <c r="D242" s="1"/>
  <c r="M227"/>
  <c r="D227" s="1"/>
  <c r="M189"/>
  <c r="D189" s="1"/>
  <c r="N43" i="45"/>
  <c r="C43" s="1"/>
  <c r="N44"/>
  <c r="N45"/>
  <c r="AA129" i="11" l="1"/>
  <c r="AC129" s="1"/>
  <c r="KO111" i="24"/>
  <c r="KO110"/>
  <c r="KT111"/>
  <c r="AC10" i="31"/>
  <c r="AA11"/>
  <c r="AC11" s="1"/>
  <c r="C82" i="24"/>
  <c r="CZ20" i="34"/>
  <c r="AW36" i="24" s="1"/>
  <c r="AZ36"/>
  <c r="CX20" i="34"/>
  <c r="DD20" s="1"/>
  <c r="CW20"/>
  <c r="DC20"/>
  <c r="CY20"/>
  <c r="DB20"/>
  <c r="CZ42"/>
  <c r="AW76" i="24" s="1"/>
  <c r="AZ76"/>
  <c r="CX42" i="34"/>
  <c r="DD42" s="1"/>
  <c r="DB42"/>
  <c r="CW42"/>
  <c r="CY42"/>
  <c r="CY57"/>
  <c r="CW57"/>
  <c r="CX57"/>
  <c r="DD57" s="1"/>
  <c r="CZ57"/>
  <c r="AW113" i="24" s="1"/>
  <c r="AZ113"/>
  <c r="DB57" i="34"/>
  <c r="CX51"/>
  <c r="DD51" s="1"/>
  <c r="CZ51"/>
  <c r="AW92" i="24" s="1"/>
  <c r="AZ92"/>
  <c r="CY51" i="34"/>
  <c r="DB51"/>
  <c r="CW51"/>
  <c r="CY50"/>
  <c r="CW50"/>
  <c r="CX50"/>
  <c r="DD50" s="1"/>
  <c r="CZ50"/>
  <c r="AW88" i="24" s="1"/>
  <c r="AZ88"/>
  <c r="DB50" i="34"/>
  <c r="CW54"/>
  <c r="CY54"/>
  <c r="CX54"/>
  <c r="DD54" s="1"/>
  <c r="CZ54"/>
  <c r="AW103" i="24" s="1"/>
  <c r="AZ103"/>
  <c r="DB54" i="34"/>
  <c r="CX52"/>
  <c r="DD52" s="1"/>
  <c r="CZ52"/>
  <c r="AW96" i="24" s="1"/>
  <c r="AZ96"/>
  <c r="DB52" i="34"/>
  <c r="CY52"/>
  <c r="CW52"/>
  <c r="AQ11" i="31"/>
  <c r="AS11" s="1"/>
  <c r="AS10"/>
  <c r="CX28" i="34"/>
  <c r="DD28" s="1"/>
  <c r="CZ28"/>
  <c r="AZ37" i="24"/>
  <c r="AZ44"/>
  <c r="DB28" i="34"/>
  <c r="CY28"/>
  <c r="CW28"/>
  <c r="DC28"/>
  <c r="CX29"/>
  <c r="DD29" s="1"/>
  <c r="CZ29"/>
  <c r="AW53" i="24" s="1"/>
  <c r="AZ53"/>
  <c r="DB29" i="34"/>
  <c r="CY29"/>
  <c r="CW29"/>
  <c r="CX49"/>
  <c r="DD49" s="1"/>
  <c r="CZ49"/>
  <c r="AW85" i="24" s="1"/>
  <c r="AZ85"/>
  <c r="CY49" i="34"/>
  <c r="CW49"/>
  <c r="DB49"/>
  <c r="CX53"/>
  <c r="DD53" s="1"/>
  <c r="CZ53"/>
  <c r="AW100" i="24" s="1"/>
  <c r="AZ100"/>
  <c r="DB53" i="34"/>
  <c r="CY53"/>
  <c r="CW53"/>
  <c r="CZ19"/>
  <c r="AW35" i="24" s="1"/>
  <c r="JV35" s="1"/>
  <c r="CX19" i="34"/>
  <c r="DD19" s="1"/>
  <c r="CW19"/>
  <c r="CY19"/>
  <c r="DB19"/>
  <c r="AZ35" i="24"/>
  <c r="T20" i="1"/>
  <c r="P51" i="11"/>
  <c r="T51" s="1"/>
  <c r="AW17" i="45"/>
  <c r="BW56" i="34"/>
  <c r="BW31"/>
  <c r="BW34"/>
  <c r="BW28"/>
  <c r="BW53"/>
  <c r="BW51"/>
  <c r="BW43"/>
  <c r="BW32"/>
  <c r="BW55"/>
  <c r="BW50"/>
  <c r="BW36"/>
  <c r="BW26"/>
  <c r="BW44"/>
  <c r="BW41"/>
  <c r="BW39"/>
  <c r="BW37"/>
  <c r="BW29"/>
  <c r="BW25"/>
  <c r="BW52"/>
  <c r="BW48"/>
  <c r="BW57"/>
  <c r="BW49"/>
  <c r="BW45"/>
  <c r="BW42"/>
  <c r="BW35"/>
  <c r="BW30"/>
  <c r="BW54"/>
  <c r="BW23"/>
  <c r="BW40"/>
  <c r="BW38"/>
  <c r="BW33"/>
  <c r="BW21"/>
  <c r="BW20"/>
  <c r="BW24"/>
  <c r="BW19"/>
  <c r="BW27"/>
  <c r="BW22"/>
  <c r="CX30"/>
  <c r="DD30" s="1"/>
  <c r="CZ30"/>
  <c r="AW61" i="24" s="1"/>
  <c r="AZ61"/>
  <c r="CY30" i="34"/>
  <c r="DB30"/>
  <c r="CW30"/>
  <c r="CX55"/>
  <c r="DD55" s="1"/>
  <c r="CZ55"/>
  <c r="AW106" i="24" s="1"/>
  <c r="AZ106"/>
  <c r="DB55" i="34"/>
  <c r="CW55"/>
  <c r="CY55"/>
  <c r="CX48"/>
  <c r="DD48" s="1"/>
  <c r="CZ48"/>
  <c r="AW82" i="24" s="1"/>
  <c r="AZ82"/>
  <c r="CY48" i="34"/>
  <c r="CW48"/>
  <c r="DC48"/>
  <c r="DB48"/>
  <c r="AA65" i="31"/>
  <c r="AC65" s="1"/>
  <c r="AC64"/>
  <c r="G249" i="45"/>
  <c r="DC29" i="34" l="1"/>
  <c r="DC30"/>
  <c r="DC19"/>
  <c r="DC53"/>
  <c r="DC54"/>
  <c r="DC49"/>
  <c r="DC52"/>
  <c r="DC51"/>
  <c r="CG94" i="24"/>
  <c r="DC42" i="34"/>
  <c r="DE48"/>
  <c r="AV82" i="24"/>
  <c r="JV107"/>
  <c r="JV106"/>
  <c r="AX106"/>
  <c r="AV61"/>
  <c r="DE30" i="34"/>
  <c r="BX31"/>
  <c r="BX56"/>
  <c r="BX49"/>
  <c r="BX32"/>
  <c r="BX25"/>
  <c r="BX44"/>
  <c r="BX29"/>
  <c r="BX53"/>
  <c r="BX38"/>
  <c r="BX45"/>
  <c r="BX36"/>
  <c r="BX33"/>
  <c r="BX27"/>
  <c r="BX41"/>
  <c r="BX23"/>
  <c r="BX20"/>
  <c r="BX24"/>
  <c r="BX39"/>
  <c r="BX30"/>
  <c r="BX26"/>
  <c r="BX21"/>
  <c r="BX50"/>
  <c r="BX28"/>
  <c r="BX22"/>
  <c r="BX52"/>
  <c r="BX19"/>
  <c r="BX40"/>
  <c r="BX48"/>
  <c r="BX42"/>
  <c r="BX34"/>
  <c r="BX54"/>
  <c r="BX51"/>
  <c r="BX43"/>
  <c r="BX35"/>
  <c r="BX57"/>
  <c r="BX55"/>
  <c r="BX37"/>
  <c r="U20" i="1"/>
  <c r="V35" i="24"/>
  <c r="V36"/>
  <c r="V37"/>
  <c r="V38"/>
  <c r="V41"/>
  <c r="V43"/>
  <c r="V39"/>
  <c r="V40"/>
  <c r="V42"/>
  <c r="V44"/>
  <c r="R24" i="54"/>
  <c r="R31"/>
  <c r="R33"/>
  <c r="R50"/>
  <c r="R54"/>
  <c r="R59"/>
  <c r="R63"/>
  <c r="R65"/>
  <c r="R69"/>
  <c r="R71"/>
  <c r="R77"/>
  <c r="R25"/>
  <c r="R27"/>
  <c r="R29"/>
  <c r="R42"/>
  <c r="R53"/>
  <c r="R57"/>
  <c r="R60"/>
  <c r="R61"/>
  <c r="R62"/>
  <c r="R66"/>
  <c r="R67"/>
  <c r="R68"/>
  <c r="R81"/>
  <c r="R92"/>
  <c r="V61" i="24"/>
  <c r="V64"/>
  <c r="V65"/>
  <c r="V67"/>
  <c r="V72"/>
  <c r="V74"/>
  <c r="V76"/>
  <c r="R74" i="54"/>
  <c r="R85"/>
  <c r="R89"/>
  <c r="R95"/>
  <c r="R98"/>
  <c r="R102"/>
  <c r="V53" i="24"/>
  <c r="V66"/>
  <c r="V68"/>
  <c r="V69"/>
  <c r="V70"/>
  <c r="V71"/>
  <c r="V73"/>
  <c r="V77"/>
  <c r="V78"/>
  <c r="V79"/>
  <c r="V81"/>
  <c r="V103"/>
  <c r="V106"/>
  <c r="V109"/>
  <c r="V113"/>
  <c r="V80"/>
  <c r="V82"/>
  <c r="V85"/>
  <c r="V88"/>
  <c r="V92"/>
  <c r="V96"/>
  <c r="V100"/>
  <c r="R19" i="34"/>
  <c r="R21"/>
  <c r="R26"/>
  <c r="R29"/>
  <c r="R24"/>
  <c r="R27"/>
  <c r="R31"/>
  <c r="R33"/>
  <c r="R39"/>
  <c r="R42"/>
  <c r="R44"/>
  <c r="R45"/>
  <c r="R47"/>
  <c r="R48"/>
  <c r="R53"/>
  <c r="R54"/>
  <c r="R55"/>
  <c r="R56"/>
  <c r="R20"/>
  <c r="R23"/>
  <c r="R28"/>
  <c r="R22"/>
  <c r="R25"/>
  <c r="R30"/>
  <c r="R32"/>
  <c r="R34"/>
  <c r="R35"/>
  <c r="R36"/>
  <c r="R37"/>
  <c r="R38"/>
  <c r="R40"/>
  <c r="R41"/>
  <c r="R43"/>
  <c r="R46"/>
  <c r="R49"/>
  <c r="R50"/>
  <c r="R51"/>
  <c r="R52"/>
  <c r="R57"/>
  <c r="AV35" i="24"/>
  <c r="JU35" s="1"/>
  <c r="DE19" i="34"/>
  <c r="AV100" i="24"/>
  <c r="DE53" i="34"/>
  <c r="AX85" i="24"/>
  <c r="JV86"/>
  <c r="JV85"/>
  <c r="AV53"/>
  <c r="DE29" i="34"/>
  <c r="AV37" i="24"/>
  <c r="AV44"/>
  <c r="JU44" s="1"/>
  <c r="JU45" s="1"/>
  <c r="JU46" s="1"/>
  <c r="JU47" s="1"/>
  <c r="JU48" s="1"/>
  <c r="JU49" s="1"/>
  <c r="JU50" s="1"/>
  <c r="JU51" s="1"/>
  <c r="DE28" i="34"/>
  <c r="JV97" i="24"/>
  <c r="JV96"/>
  <c r="JV98"/>
  <c r="AX96"/>
  <c r="AV103"/>
  <c r="DE54" i="34"/>
  <c r="AV88" i="24"/>
  <c r="DE50" i="34"/>
  <c r="DE51"/>
  <c r="AV92" i="24"/>
  <c r="AV113"/>
  <c r="JU113" s="1"/>
  <c r="DE57" i="34"/>
  <c r="AV76" i="24"/>
  <c r="DE42" i="34"/>
  <c r="AX76" i="24"/>
  <c r="G250" i="45"/>
  <c r="JV83" i="24"/>
  <c r="AX82"/>
  <c r="JV82"/>
  <c r="DC55" i="34"/>
  <c r="DE55"/>
  <c r="AV106" i="24"/>
  <c r="AX61"/>
  <c r="AX35"/>
  <c r="AX100"/>
  <c r="JV100"/>
  <c r="JV101"/>
  <c r="AV85"/>
  <c r="DE49" i="34"/>
  <c r="AX53" i="24"/>
  <c r="AW37"/>
  <c r="AX37" s="1"/>
  <c r="AW44"/>
  <c r="JV44" s="1"/>
  <c r="JV45" s="1"/>
  <c r="JV46" s="1"/>
  <c r="JV47" s="1"/>
  <c r="JV48" s="1"/>
  <c r="JV49" s="1"/>
  <c r="JV50" s="1"/>
  <c r="JV51" s="1"/>
  <c r="AV96"/>
  <c r="DE52" i="34"/>
  <c r="JV103" i="24"/>
  <c r="JV104"/>
  <c r="AX103"/>
  <c r="JV88"/>
  <c r="JV90"/>
  <c r="JV89"/>
  <c r="AX88"/>
  <c r="DC50" i="34"/>
  <c r="JV92" i="24"/>
  <c r="AX92"/>
  <c r="JV93"/>
  <c r="JV94"/>
  <c r="JV113"/>
  <c r="AX113"/>
  <c r="DC57" i="34"/>
  <c r="AV36" i="24"/>
  <c r="JU36" s="1"/>
  <c r="JU37" s="1"/>
  <c r="JU38" s="1"/>
  <c r="DE20" i="34"/>
  <c r="JV36" i="24"/>
  <c r="JV37" s="1"/>
  <c r="JV38" s="1"/>
  <c r="AX36"/>
  <c r="KA94" l="1"/>
  <c r="KB94" s="1"/>
  <c r="KC94" s="1"/>
  <c r="KA89"/>
  <c r="KB89" s="1"/>
  <c r="KC89" s="1"/>
  <c r="KA88"/>
  <c r="KB88" s="1"/>
  <c r="KC88" s="1"/>
  <c r="KA104"/>
  <c r="KB104" s="1"/>
  <c r="KC104" s="1"/>
  <c r="KA96"/>
  <c r="KB96" s="1"/>
  <c r="KC96" s="1"/>
  <c r="KA86"/>
  <c r="KB86" s="1"/>
  <c r="KC86" s="1"/>
  <c r="KA113"/>
  <c r="KB113" s="1"/>
  <c r="KC113" s="1"/>
  <c r="KD113"/>
  <c r="KA93"/>
  <c r="KB93" s="1"/>
  <c r="KC93" s="1"/>
  <c r="KA92"/>
  <c r="KB92" s="1"/>
  <c r="KC92" s="1"/>
  <c r="KA90"/>
  <c r="KB90" s="1"/>
  <c r="KC90" s="1"/>
  <c r="KA103"/>
  <c r="KB103" s="1"/>
  <c r="KC103" s="1"/>
  <c r="KA101"/>
  <c r="KB101" s="1"/>
  <c r="KC101" s="1"/>
  <c r="KA82"/>
  <c r="KB82" s="1"/>
  <c r="KC82" s="1"/>
  <c r="KA83"/>
  <c r="KB83" s="1"/>
  <c r="KC83" s="1"/>
  <c r="KA98"/>
  <c r="KB98" s="1"/>
  <c r="KC98" s="1"/>
  <c r="KA97"/>
  <c r="KB97" s="1"/>
  <c r="KC97" s="1"/>
  <c r="KA85"/>
  <c r="KB85" s="1"/>
  <c r="KC85" s="1"/>
  <c r="KA107"/>
  <c r="KB107" s="1"/>
  <c r="KC107" s="1"/>
  <c r="KL113"/>
  <c r="KA100"/>
  <c r="KB100" s="1"/>
  <c r="KC100" s="1"/>
  <c r="KA106"/>
  <c r="KB106" s="1"/>
  <c r="KC106" s="1"/>
  <c r="KJ113"/>
  <c r="JX113"/>
  <c r="KN113" s="1"/>
  <c r="KK113"/>
  <c r="KQ93"/>
  <c r="KQ92"/>
  <c r="KQ90"/>
  <c r="KQ103"/>
  <c r="KQ101"/>
  <c r="KQ82"/>
  <c r="KQ83"/>
  <c r="KQ98"/>
  <c r="KQ97"/>
  <c r="KQ85"/>
  <c r="KQ107"/>
  <c r="KQ94"/>
  <c r="KQ89"/>
  <c r="KQ88"/>
  <c r="KQ104"/>
  <c r="KQ100"/>
  <c r="KQ96"/>
  <c r="KQ86"/>
  <c r="KQ106"/>
  <c r="JU96"/>
  <c r="KL96" s="1"/>
  <c r="JU98"/>
  <c r="JU97"/>
  <c r="KL97" s="1"/>
  <c r="JU86"/>
  <c r="JU85"/>
  <c r="KL85" s="1"/>
  <c r="JU89"/>
  <c r="KL89" s="1"/>
  <c r="JU88"/>
  <c r="KL88" s="1"/>
  <c r="JU90"/>
  <c r="JU103"/>
  <c r="KL103" s="1"/>
  <c r="JU104"/>
  <c r="JU100"/>
  <c r="KL100" s="1"/>
  <c r="JU101"/>
  <c r="GA96"/>
  <c r="GD97"/>
  <c r="IV97"/>
  <c r="IV98"/>
  <c r="GA97"/>
  <c r="GD96"/>
  <c r="IV96"/>
  <c r="IV88"/>
  <c r="IV90"/>
  <c r="GD88"/>
  <c r="GD89"/>
  <c r="IV89"/>
  <c r="GA88"/>
  <c r="GA89"/>
  <c r="GD82"/>
  <c r="GD83"/>
  <c r="IV82"/>
  <c r="GA83"/>
  <c r="GA82"/>
  <c r="IV83"/>
  <c r="GD113"/>
  <c r="GA113"/>
  <c r="GA114"/>
  <c r="IV113"/>
  <c r="KV113" s="1"/>
  <c r="GD114"/>
  <c r="IV106"/>
  <c r="GD107"/>
  <c r="GA106"/>
  <c r="GD106"/>
  <c r="IV107"/>
  <c r="GA107"/>
  <c r="GA81"/>
  <c r="GD81"/>
  <c r="GA73"/>
  <c r="GD73"/>
  <c r="GA70"/>
  <c r="GD70"/>
  <c r="GA53"/>
  <c r="GA54"/>
  <c r="GD55"/>
  <c r="GD56"/>
  <c r="GD57"/>
  <c r="GA58"/>
  <c r="GA59"/>
  <c r="GD53"/>
  <c r="GD54"/>
  <c r="GA55"/>
  <c r="GA56"/>
  <c r="GA57"/>
  <c r="GD58"/>
  <c r="GD59"/>
  <c r="GD74"/>
  <c r="GD75"/>
  <c r="GA75"/>
  <c r="GA74"/>
  <c r="GA64"/>
  <c r="GD64"/>
  <c r="GA37"/>
  <c r="GD37"/>
  <c r="GA35"/>
  <c r="GD35"/>
  <c r="JU83"/>
  <c r="JU82"/>
  <c r="KL82" s="1"/>
  <c r="I2" i="68"/>
  <c r="AX44" i="24"/>
  <c r="JU107"/>
  <c r="KL107" s="1"/>
  <c r="JU106"/>
  <c r="KL106" s="1"/>
  <c r="G251" i="45"/>
  <c r="JU93" i="24"/>
  <c r="KL93" s="1"/>
  <c r="JU94"/>
  <c r="JU92"/>
  <c r="KL92" s="1"/>
  <c r="GA100"/>
  <c r="GD100"/>
  <c r="IV101"/>
  <c r="GD101"/>
  <c r="IV100"/>
  <c r="GA101"/>
  <c r="IV92"/>
  <c r="GA92"/>
  <c r="GD92"/>
  <c r="IV93"/>
  <c r="IV94"/>
  <c r="GA93"/>
  <c r="GD93"/>
  <c r="GD85"/>
  <c r="GD86"/>
  <c r="GA85"/>
  <c r="GA86"/>
  <c r="IV86"/>
  <c r="IV85"/>
  <c r="GD80"/>
  <c r="GA80"/>
  <c r="GA109"/>
  <c r="GD110"/>
  <c r="GD109"/>
  <c r="GA110"/>
  <c r="IV109"/>
  <c r="IV111"/>
  <c r="IV110"/>
  <c r="IV103"/>
  <c r="GD104"/>
  <c r="GA104"/>
  <c r="GD103"/>
  <c r="IV104"/>
  <c r="GA103"/>
  <c r="GA71"/>
  <c r="GD71"/>
  <c r="GA76"/>
  <c r="GD76"/>
  <c r="GA72"/>
  <c r="GD72"/>
  <c r="GA62"/>
  <c r="GD61"/>
  <c r="GA61"/>
  <c r="GD62"/>
  <c r="GA44"/>
  <c r="GA51"/>
  <c r="GD45"/>
  <c r="GD46"/>
  <c r="GA48"/>
  <c r="GD49"/>
  <c r="GA50"/>
  <c r="GD48"/>
  <c r="GD47"/>
  <c r="GA46"/>
  <c r="GD44"/>
  <c r="GD51"/>
  <c r="GD50"/>
  <c r="GA49"/>
  <c r="GA47"/>
  <c r="GA45"/>
  <c r="GD38"/>
  <c r="GA38"/>
  <c r="GD36"/>
  <c r="GA36"/>
  <c r="R36"/>
  <c r="R37"/>
  <c r="R53"/>
  <c r="R64"/>
  <c r="R70"/>
  <c r="R72"/>
  <c r="R74"/>
  <c r="R80"/>
  <c r="V20" i="1"/>
  <c r="R35" i="24"/>
  <c r="R38"/>
  <c r="R44"/>
  <c r="R61"/>
  <c r="R71"/>
  <c r="R73"/>
  <c r="R76"/>
  <c r="O19" i="21"/>
  <c r="R19" s="1"/>
  <c r="D19" s="1"/>
  <c r="O22"/>
  <c r="R39" i="24"/>
  <c r="FC39" s="1"/>
  <c r="FD39" s="1"/>
  <c r="R40"/>
  <c r="FC40" s="1"/>
  <c r="FD40" s="1"/>
  <c r="R42"/>
  <c r="FC42" s="1"/>
  <c r="FD42" s="1"/>
  <c r="G24" i="54"/>
  <c r="O20" i="21"/>
  <c r="R20" s="1"/>
  <c r="D20" s="1"/>
  <c r="O21"/>
  <c r="R41" i="24"/>
  <c r="FC41" s="1"/>
  <c r="FD41" s="1"/>
  <c r="R43"/>
  <c r="FC43" s="1"/>
  <c r="FD43" s="1"/>
  <c r="O23" i="21"/>
  <c r="O48"/>
  <c r="R48" s="1"/>
  <c r="D48" s="1"/>
  <c r="O55"/>
  <c r="R55" s="1"/>
  <c r="D55" s="1"/>
  <c r="O57"/>
  <c r="R57" s="1"/>
  <c r="D57" s="1"/>
  <c r="O60"/>
  <c r="R60" s="1"/>
  <c r="D60" s="1"/>
  <c r="O64"/>
  <c r="R64" s="1"/>
  <c r="D64" s="1"/>
  <c r="O24"/>
  <c r="O25"/>
  <c r="O26"/>
  <c r="O27"/>
  <c r="O49"/>
  <c r="O51"/>
  <c r="O52"/>
  <c r="O62"/>
  <c r="O63"/>
  <c r="O65"/>
  <c r="P24" i="54"/>
  <c r="P33"/>
  <c r="P50"/>
  <c r="P54"/>
  <c r="P56"/>
  <c r="P58"/>
  <c r="P59"/>
  <c r="P63"/>
  <c r="P65"/>
  <c r="P69"/>
  <c r="P71"/>
  <c r="P77"/>
  <c r="O28" i="21"/>
  <c r="R28" s="1"/>
  <c r="O37"/>
  <c r="R37" s="1"/>
  <c r="O45"/>
  <c r="R45" s="1"/>
  <c r="O54"/>
  <c r="R54" s="1"/>
  <c r="D54" s="1"/>
  <c r="O56"/>
  <c r="R56" s="1"/>
  <c r="D56" s="1"/>
  <c r="O58"/>
  <c r="R58" s="1"/>
  <c r="O50"/>
  <c r="O53"/>
  <c r="O61"/>
  <c r="P25" i="54"/>
  <c r="P42"/>
  <c r="P53"/>
  <c r="P55"/>
  <c r="P57"/>
  <c r="P60"/>
  <c r="P61"/>
  <c r="P62"/>
  <c r="P66"/>
  <c r="P67"/>
  <c r="P68"/>
  <c r="P74"/>
  <c r="P81"/>
  <c r="P92"/>
  <c r="R66" i="24"/>
  <c r="R68"/>
  <c r="R69"/>
  <c r="R77"/>
  <c r="R78"/>
  <c r="R79"/>
  <c r="P70" i="54"/>
  <c r="P85"/>
  <c r="P89"/>
  <c r="P95"/>
  <c r="P98"/>
  <c r="P102"/>
  <c r="R65" i="24"/>
  <c r="R67"/>
  <c r="R81"/>
  <c r="K49" i="22"/>
  <c r="K27"/>
  <c r="K34"/>
  <c r="K32"/>
  <c r="K30"/>
  <c r="K25"/>
  <c r="P57" i="11"/>
  <c r="K33" i="22"/>
  <c r="K38"/>
  <c r="K53"/>
  <c r="K57"/>
  <c r="K61"/>
  <c r="K42"/>
  <c r="K43"/>
  <c r="K44"/>
  <c r="K46"/>
  <c r="K47"/>
  <c r="K48"/>
  <c r="K50"/>
  <c r="K52"/>
  <c r="K26"/>
  <c r="K36"/>
  <c r="K35"/>
  <c r="K31"/>
  <c r="K29"/>
  <c r="K28"/>
  <c r="K24"/>
  <c r="K37"/>
  <c r="K59"/>
  <c r="K55"/>
  <c r="K62"/>
  <c r="K60"/>
  <c r="K58"/>
  <c r="K56"/>
  <c r="K54"/>
  <c r="K45"/>
  <c r="K51"/>
  <c r="K39"/>
  <c r="K41"/>
  <c r="K40"/>
  <c r="P62" i="11"/>
  <c r="B48"/>
  <c r="B44"/>
  <c r="B41"/>
  <c r="B37"/>
  <c r="B30"/>
  <c r="B27"/>
  <c r="B49"/>
  <c r="B45"/>
  <c r="B42"/>
  <c r="B40"/>
  <c r="B36"/>
  <c r="B33"/>
  <c r="B29"/>
  <c r="B25"/>
  <c r="B46"/>
  <c r="B43"/>
  <c r="K63"/>
  <c r="B39"/>
  <c r="B35"/>
  <c r="B32"/>
  <c r="B28"/>
  <c r="B47"/>
  <c r="B38"/>
  <c r="B34"/>
  <c r="B31"/>
  <c r="B26"/>
  <c r="KW113" i="24" l="1"/>
  <c r="KX113" s="1"/>
  <c r="KY113" s="1"/>
  <c r="LA113" s="1"/>
  <c r="KD106"/>
  <c r="KD107"/>
  <c r="KD85"/>
  <c r="KD97"/>
  <c r="KD98"/>
  <c r="KD83"/>
  <c r="KD82"/>
  <c r="KD103"/>
  <c r="KD92"/>
  <c r="KD86"/>
  <c r="KD96"/>
  <c r="KD89"/>
  <c r="KD94"/>
  <c r="KD100"/>
  <c r="KD101"/>
  <c r="KD90"/>
  <c r="KD93"/>
  <c r="KD104"/>
  <c r="KD88"/>
  <c r="KV104"/>
  <c r="KW104" s="1"/>
  <c r="IW104"/>
  <c r="KV103"/>
  <c r="KW103" s="1"/>
  <c r="IW103"/>
  <c r="KV111"/>
  <c r="IW111"/>
  <c r="IX111" s="1"/>
  <c r="KV85"/>
  <c r="KW85" s="1"/>
  <c r="IW85"/>
  <c r="KV94"/>
  <c r="IW94"/>
  <c r="KV92"/>
  <c r="KW92" s="1"/>
  <c r="IW92"/>
  <c r="KV100"/>
  <c r="KW100" s="1"/>
  <c r="IW100"/>
  <c r="KV101"/>
  <c r="KW101" s="1"/>
  <c r="IW101"/>
  <c r="KV107"/>
  <c r="KW107" s="1"/>
  <c r="IW107"/>
  <c r="IX107" s="1"/>
  <c r="KV106"/>
  <c r="KW106" s="1"/>
  <c r="IW106"/>
  <c r="IX106" s="1"/>
  <c r="KV83"/>
  <c r="IW83"/>
  <c r="KV89"/>
  <c r="KW89" s="1"/>
  <c r="IW89"/>
  <c r="KV88"/>
  <c r="KW88" s="1"/>
  <c r="IW88"/>
  <c r="KV98"/>
  <c r="KW98" s="1"/>
  <c r="IW98"/>
  <c r="KV110"/>
  <c r="IW110"/>
  <c r="IX110" s="1"/>
  <c r="KV109"/>
  <c r="KW109" s="1"/>
  <c r="IW109"/>
  <c r="IX109" s="1"/>
  <c r="KV86"/>
  <c r="KW86" s="1"/>
  <c r="IW86"/>
  <c r="KV93"/>
  <c r="KW93" s="1"/>
  <c r="IW93"/>
  <c r="KV82"/>
  <c r="KW82" s="1"/>
  <c r="IW82"/>
  <c r="KV90"/>
  <c r="KW90" s="1"/>
  <c r="IW90"/>
  <c r="IX90" s="1"/>
  <c r="KV96"/>
  <c r="KW96" s="1"/>
  <c r="IW96"/>
  <c r="KV97"/>
  <c r="KW97" s="1"/>
  <c r="IW97"/>
  <c r="KM113"/>
  <c r="KO113" s="1"/>
  <c r="KP113" s="1"/>
  <c r="KK94"/>
  <c r="JX94"/>
  <c r="JY94" s="1"/>
  <c r="KK107"/>
  <c r="JZ107"/>
  <c r="KH107"/>
  <c r="JX107"/>
  <c r="JY107" s="1"/>
  <c r="KI107"/>
  <c r="KK83"/>
  <c r="JX83"/>
  <c r="JY83" s="1"/>
  <c r="KK101"/>
  <c r="JX101"/>
  <c r="JY101" s="1"/>
  <c r="KK104"/>
  <c r="JX104"/>
  <c r="JY104" s="1"/>
  <c r="KK90"/>
  <c r="JX90"/>
  <c r="JY90" s="1"/>
  <c r="KK89"/>
  <c r="JX89"/>
  <c r="JY89" s="1"/>
  <c r="KK86"/>
  <c r="JX86"/>
  <c r="JY86" s="1"/>
  <c r="KK98"/>
  <c r="JX98"/>
  <c r="JY98" s="1"/>
  <c r="JX92"/>
  <c r="JY92" s="1"/>
  <c r="KK92"/>
  <c r="KK93"/>
  <c r="JX93"/>
  <c r="JY93" s="1"/>
  <c r="KK106"/>
  <c r="KI106"/>
  <c r="JX106"/>
  <c r="JY106" s="1"/>
  <c r="KH106"/>
  <c r="JZ106"/>
  <c r="KG106" s="1"/>
  <c r="KK82"/>
  <c r="JX82"/>
  <c r="JY82" s="1"/>
  <c r="KK100"/>
  <c r="JX100"/>
  <c r="JY100" s="1"/>
  <c r="KK103"/>
  <c r="JX103"/>
  <c r="JY103" s="1"/>
  <c r="KK88"/>
  <c r="JX88"/>
  <c r="JY88" s="1"/>
  <c r="JX85"/>
  <c r="JY85" s="1"/>
  <c r="KK85"/>
  <c r="KK97"/>
  <c r="JX97"/>
  <c r="JY97" s="1"/>
  <c r="KK96"/>
  <c r="JX96"/>
  <c r="JY96" s="1"/>
  <c r="KR94"/>
  <c r="KS94" s="1"/>
  <c r="KR107"/>
  <c r="KR82"/>
  <c r="KS82" s="1"/>
  <c r="KR100"/>
  <c r="KS100" s="1"/>
  <c r="KR103"/>
  <c r="KR88"/>
  <c r="KR85"/>
  <c r="KR97"/>
  <c r="KR96"/>
  <c r="KR92"/>
  <c r="KS92" s="1"/>
  <c r="KR93"/>
  <c r="KR106"/>
  <c r="KR83"/>
  <c r="KR101"/>
  <c r="KR104"/>
  <c r="KR90"/>
  <c r="KS90" s="1"/>
  <c r="KR89"/>
  <c r="KR86"/>
  <c r="KR98"/>
  <c r="R21" i="21"/>
  <c r="D21" s="1"/>
  <c r="P63" i="11"/>
  <c r="KS107" i="24"/>
  <c r="GY67"/>
  <c r="GW67"/>
  <c r="FC67"/>
  <c r="HA67"/>
  <c r="FF67"/>
  <c r="GV67"/>
  <c r="GZ67"/>
  <c r="HC67"/>
  <c r="HG67" s="1"/>
  <c r="FD67"/>
  <c r="FE67" s="1"/>
  <c r="FS67"/>
  <c r="FT67" s="1"/>
  <c r="GX67"/>
  <c r="FD79"/>
  <c r="FS79"/>
  <c r="FT79" s="1"/>
  <c r="GW79"/>
  <c r="GY79"/>
  <c r="HA79"/>
  <c r="FC79"/>
  <c r="FF79"/>
  <c r="FG79" s="1"/>
  <c r="GV79"/>
  <c r="GX79"/>
  <c r="GZ79"/>
  <c r="HC79"/>
  <c r="HG79" s="1"/>
  <c r="GV77"/>
  <c r="GZ77"/>
  <c r="FC77"/>
  <c r="GX77"/>
  <c r="HA77"/>
  <c r="GW77"/>
  <c r="FS77"/>
  <c r="FT77" s="1"/>
  <c r="FD77"/>
  <c r="HC77"/>
  <c r="HG77" s="1"/>
  <c r="GY77"/>
  <c r="FF77"/>
  <c r="FC68"/>
  <c r="FS68"/>
  <c r="FT68" s="1"/>
  <c r="GW68"/>
  <c r="HA68"/>
  <c r="FD68"/>
  <c r="GY68"/>
  <c r="HC68"/>
  <c r="HG68" s="1"/>
  <c r="GX68"/>
  <c r="FF68"/>
  <c r="FG68" s="1"/>
  <c r="GZ68"/>
  <c r="GV68"/>
  <c r="R46" i="21"/>
  <c r="D46" s="1"/>
  <c r="D45"/>
  <c r="R29"/>
  <c r="D28"/>
  <c r="BB73" i="24"/>
  <c r="FC73"/>
  <c r="GB73"/>
  <c r="GW73"/>
  <c r="GY73"/>
  <c r="HA73"/>
  <c r="FS73"/>
  <c r="GV73"/>
  <c r="GX73"/>
  <c r="GZ73"/>
  <c r="HC73"/>
  <c r="BB61"/>
  <c r="FC61"/>
  <c r="FS61"/>
  <c r="GV61"/>
  <c r="GX61"/>
  <c r="HA61"/>
  <c r="FS62"/>
  <c r="GV62"/>
  <c r="GX62"/>
  <c r="HA62"/>
  <c r="FC63"/>
  <c r="FF63"/>
  <c r="FN63"/>
  <c r="FO63" s="1"/>
  <c r="FR63"/>
  <c r="FY63"/>
  <c r="FZ63" s="1"/>
  <c r="GE63"/>
  <c r="GW63"/>
  <c r="GY63"/>
  <c r="HA63"/>
  <c r="GW61"/>
  <c r="GY61"/>
  <c r="GW62"/>
  <c r="GY62"/>
  <c r="FD63"/>
  <c r="FH63"/>
  <c r="FL63"/>
  <c r="FP63"/>
  <c r="FS63"/>
  <c r="FT63" s="1"/>
  <c r="FW63"/>
  <c r="FX63" s="1"/>
  <c r="GB63"/>
  <c r="GG63"/>
  <c r="GV63"/>
  <c r="GX63"/>
  <c r="GZ63"/>
  <c r="FC62"/>
  <c r="HC63"/>
  <c r="HG63" s="1"/>
  <c r="FS38"/>
  <c r="GW38"/>
  <c r="GY38"/>
  <c r="GB38"/>
  <c r="FC38"/>
  <c r="GV38"/>
  <c r="GX38"/>
  <c r="GZ38"/>
  <c r="HA38"/>
  <c r="HC38"/>
  <c r="W20" i="1"/>
  <c r="X20" s="1"/>
  <c r="T57" i="11"/>
  <c r="BB74" i="24"/>
  <c r="GB74"/>
  <c r="GW74"/>
  <c r="GY74"/>
  <c r="HA74"/>
  <c r="FC75"/>
  <c r="GB75"/>
  <c r="GW75"/>
  <c r="GY75"/>
  <c r="HA75"/>
  <c r="FC74"/>
  <c r="FS74"/>
  <c r="GV74"/>
  <c r="GX74"/>
  <c r="GZ74"/>
  <c r="HC74"/>
  <c r="FS75"/>
  <c r="GV75"/>
  <c r="GX75"/>
  <c r="GZ75"/>
  <c r="HC75"/>
  <c r="BB70"/>
  <c r="FC70"/>
  <c r="FS70"/>
  <c r="GB70"/>
  <c r="GC70" s="1"/>
  <c r="GV70"/>
  <c r="GX70"/>
  <c r="GZ70"/>
  <c r="HC70"/>
  <c r="GW70"/>
  <c r="GY70"/>
  <c r="HA70"/>
  <c r="BB53"/>
  <c r="GV53"/>
  <c r="GX53"/>
  <c r="HA53"/>
  <c r="FS55"/>
  <c r="FS57"/>
  <c r="FC54"/>
  <c r="GV54"/>
  <c r="GX54"/>
  <c r="HA54"/>
  <c r="FC55"/>
  <c r="GW55"/>
  <c r="GY55"/>
  <c r="HZ55"/>
  <c r="FC56"/>
  <c r="GW56"/>
  <c r="GY56"/>
  <c r="HZ56"/>
  <c r="GW57"/>
  <c r="GY57"/>
  <c r="HZ57"/>
  <c r="GV58"/>
  <c r="GX58"/>
  <c r="HA58"/>
  <c r="HZ58"/>
  <c r="GV59"/>
  <c r="GX59"/>
  <c r="HA59"/>
  <c r="HZ59"/>
  <c r="FS60"/>
  <c r="FP60"/>
  <c r="FY60"/>
  <c r="FZ60" s="1"/>
  <c r="GW60"/>
  <c r="GY60"/>
  <c r="HA60"/>
  <c r="FC53"/>
  <c r="FS53"/>
  <c r="GW53"/>
  <c r="GY53"/>
  <c r="HZ53"/>
  <c r="FS56"/>
  <c r="FS54"/>
  <c r="GW54"/>
  <c r="GY54"/>
  <c r="HZ54"/>
  <c r="GV55"/>
  <c r="GX55"/>
  <c r="HA55"/>
  <c r="GV56"/>
  <c r="GX56"/>
  <c r="HA56"/>
  <c r="GV57"/>
  <c r="GX57"/>
  <c r="HA57"/>
  <c r="FS58"/>
  <c r="GW58"/>
  <c r="GY58"/>
  <c r="HY58"/>
  <c r="FS59"/>
  <c r="GW59"/>
  <c r="GY59"/>
  <c r="HY59"/>
  <c r="FN60"/>
  <c r="FO60" s="1"/>
  <c r="FR60"/>
  <c r="FW60"/>
  <c r="FX60" s="1"/>
  <c r="GG60"/>
  <c r="GV60"/>
  <c r="GX60"/>
  <c r="GZ60"/>
  <c r="HC60"/>
  <c r="HG60" s="1"/>
  <c r="FC58"/>
  <c r="FC59"/>
  <c r="FC57"/>
  <c r="BB36"/>
  <c r="CU36"/>
  <c r="CX36"/>
  <c r="DB36"/>
  <c r="EE36"/>
  <c r="ET36"/>
  <c r="GB36" s="1"/>
  <c r="FS36"/>
  <c r="GW36"/>
  <c r="GY36"/>
  <c r="CT36"/>
  <c r="CW36"/>
  <c r="CZ36"/>
  <c r="EN36"/>
  <c r="GV36"/>
  <c r="GX36"/>
  <c r="GZ36"/>
  <c r="HA36"/>
  <c r="HC36"/>
  <c r="IX104"/>
  <c r="IX103"/>
  <c r="IX85"/>
  <c r="IX94"/>
  <c r="IX92"/>
  <c r="IX100"/>
  <c r="IX101"/>
  <c r="IX83"/>
  <c r="IX89"/>
  <c r="IX88"/>
  <c r="IX98"/>
  <c r="KS103"/>
  <c r="FD81"/>
  <c r="FC81"/>
  <c r="FR81"/>
  <c r="GE81"/>
  <c r="GW81"/>
  <c r="HA81"/>
  <c r="FF81"/>
  <c r="FN81"/>
  <c r="FY81"/>
  <c r="GY81"/>
  <c r="HC81"/>
  <c r="HG81" s="1"/>
  <c r="GZ81"/>
  <c r="GV81"/>
  <c r="GB81"/>
  <c r="GC81" s="1"/>
  <c r="FS81"/>
  <c r="FT81" s="1"/>
  <c r="FL81"/>
  <c r="GX81"/>
  <c r="GG81"/>
  <c r="FW81"/>
  <c r="FP81"/>
  <c r="HJ81" s="1"/>
  <c r="FH81"/>
  <c r="FS65"/>
  <c r="FT65" s="1"/>
  <c r="GX65"/>
  <c r="FF65"/>
  <c r="GY65"/>
  <c r="HC65"/>
  <c r="HG65" s="1"/>
  <c r="GZ65"/>
  <c r="FC65"/>
  <c r="FD65"/>
  <c r="GW65"/>
  <c r="HA65"/>
  <c r="GV65"/>
  <c r="FD78"/>
  <c r="GV78"/>
  <c r="GZ78"/>
  <c r="FC78"/>
  <c r="GX78"/>
  <c r="HC78"/>
  <c r="HG78" s="1"/>
  <c r="GY78"/>
  <c r="FF78"/>
  <c r="HA78"/>
  <c r="HB78" s="1"/>
  <c r="GW78"/>
  <c r="FS78"/>
  <c r="FT78" s="1"/>
  <c r="FF69"/>
  <c r="HA69"/>
  <c r="GW69"/>
  <c r="FD69"/>
  <c r="HC69"/>
  <c r="HG69" s="1"/>
  <c r="FS69"/>
  <c r="FT69" s="1"/>
  <c r="GX69"/>
  <c r="GY69"/>
  <c r="FC69"/>
  <c r="GV69"/>
  <c r="GZ69"/>
  <c r="FD66"/>
  <c r="FC66"/>
  <c r="GY66"/>
  <c r="HC66"/>
  <c r="HG66" s="1"/>
  <c r="FF66"/>
  <c r="FG66" s="1"/>
  <c r="GW66"/>
  <c r="HA66"/>
  <c r="GZ66"/>
  <c r="GV66"/>
  <c r="GX66"/>
  <c r="FS66"/>
  <c r="FT66" s="1"/>
  <c r="R59" i="21"/>
  <c r="D59" s="1"/>
  <c r="D58"/>
  <c r="R38"/>
  <c r="D37"/>
  <c r="W24" i="54"/>
  <c r="G25"/>
  <c r="R22" i="21"/>
  <c r="D22" s="1"/>
  <c r="BB76" i="24"/>
  <c r="FC76"/>
  <c r="FS76"/>
  <c r="GB76"/>
  <c r="GC76" s="1"/>
  <c r="GV76"/>
  <c r="GX76"/>
  <c r="GZ76"/>
  <c r="HC76"/>
  <c r="GW76"/>
  <c r="GY76"/>
  <c r="HA76"/>
  <c r="BB71"/>
  <c r="FS71"/>
  <c r="GB71"/>
  <c r="GV71"/>
  <c r="GX71"/>
  <c r="GZ71"/>
  <c r="HC71"/>
  <c r="GW71"/>
  <c r="GY71"/>
  <c r="HA71"/>
  <c r="FC71"/>
  <c r="BB44"/>
  <c r="FC44"/>
  <c r="FS44"/>
  <c r="FW44"/>
  <c r="FX44" s="1"/>
  <c r="GB44"/>
  <c r="GW44"/>
  <c r="GY44"/>
  <c r="FS46"/>
  <c r="GB46"/>
  <c r="FW48"/>
  <c r="FS45"/>
  <c r="GB45"/>
  <c r="FW49"/>
  <c r="GV45"/>
  <c r="GX45"/>
  <c r="HA45"/>
  <c r="GV46"/>
  <c r="GX46"/>
  <c r="HA46"/>
  <c r="FS47"/>
  <c r="GB47"/>
  <c r="GW47"/>
  <c r="GY47"/>
  <c r="HZ47"/>
  <c r="FC48"/>
  <c r="GV48"/>
  <c r="GX48"/>
  <c r="HA48"/>
  <c r="GV49"/>
  <c r="GX49"/>
  <c r="HA49"/>
  <c r="FC50"/>
  <c r="FW50"/>
  <c r="GB50"/>
  <c r="GC50" s="1"/>
  <c r="GW50"/>
  <c r="GY50"/>
  <c r="HY50"/>
  <c r="FS51"/>
  <c r="GV51"/>
  <c r="GX51"/>
  <c r="HA51"/>
  <c r="HZ51"/>
  <c r="GV44"/>
  <c r="GX44"/>
  <c r="HA44"/>
  <c r="HZ44"/>
  <c r="FW46"/>
  <c r="FS48"/>
  <c r="GB48"/>
  <c r="GC48" s="1"/>
  <c r="FW45"/>
  <c r="FS49"/>
  <c r="GB49"/>
  <c r="GW45"/>
  <c r="GY45"/>
  <c r="HZ45"/>
  <c r="GW46"/>
  <c r="GY46"/>
  <c r="HZ46"/>
  <c r="FW47"/>
  <c r="GV47"/>
  <c r="GX47"/>
  <c r="HA47"/>
  <c r="GW48"/>
  <c r="GY48"/>
  <c r="HZ48"/>
  <c r="GW49"/>
  <c r="GY49"/>
  <c r="HZ49"/>
  <c r="FS50"/>
  <c r="GV50"/>
  <c r="GX50"/>
  <c r="HA50"/>
  <c r="HZ50"/>
  <c r="FW51"/>
  <c r="GB51"/>
  <c r="GW51"/>
  <c r="GY51"/>
  <c r="HY51"/>
  <c r="FC47"/>
  <c r="FC49"/>
  <c r="FC45"/>
  <c r="FC51"/>
  <c r="FC46"/>
  <c r="BB35"/>
  <c r="FS35"/>
  <c r="GV35"/>
  <c r="GX35"/>
  <c r="GZ35"/>
  <c r="GB35"/>
  <c r="GW35"/>
  <c r="HA35"/>
  <c r="FW35"/>
  <c r="GY35"/>
  <c r="FC35"/>
  <c r="FV35" s="1"/>
  <c r="FC80"/>
  <c r="GV80"/>
  <c r="GX80"/>
  <c r="GZ80"/>
  <c r="HC80"/>
  <c r="FS80"/>
  <c r="GB80"/>
  <c r="GC80" s="1"/>
  <c r="GW80"/>
  <c r="GY80"/>
  <c r="HA80"/>
  <c r="BB80"/>
  <c r="BB72"/>
  <c r="FC72"/>
  <c r="GB72"/>
  <c r="GW72"/>
  <c r="GY72"/>
  <c r="HA72"/>
  <c r="FS72"/>
  <c r="GV72"/>
  <c r="GX72"/>
  <c r="GZ72"/>
  <c r="HC72"/>
  <c r="BB64"/>
  <c r="GV64"/>
  <c r="GX64"/>
  <c r="GZ64"/>
  <c r="HC64"/>
  <c r="FS64"/>
  <c r="GB64"/>
  <c r="GW64"/>
  <c r="GY64"/>
  <c r="HA64"/>
  <c r="FC64"/>
  <c r="FS37"/>
  <c r="GB37"/>
  <c r="GW37"/>
  <c r="GY37"/>
  <c r="FC37"/>
  <c r="GV37"/>
  <c r="GX37"/>
  <c r="GZ37"/>
  <c r="BB37"/>
  <c r="HA37"/>
  <c r="HC37"/>
  <c r="IX86"/>
  <c r="IX93"/>
  <c r="G252" i="45"/>
  <c r="G253" s="1"/>
  <c r="G254" s="1"/>
  <c r="G255" s="1"/>
  <c r="G256" s="1"/>
  <c r="G257" s="1"/>
  <c r="G258" s="1"/>
  <c r="G259" s="1"/>
  <c r="G260" s="1"/>
  <c r="G261" s="1"/>
  <c r="G262" s="1"/>
  <c r="G263" s="1"/>
  <c r="G264" s="1"/>
  <c r="G265" s="1"/>
  <c r="G266" s="1"/>
  <c r="G267" s="1"/>
  <c r="G268" s="1"/>
  <c r="G269" s="1"/>
  <c r="G270" s="1"/>
  <c r="G271" s="1"/>
  <c r="G272" s="1"/>
  <c r="G273" s="1"/>
  <c r="G274" s="1"/>
  <c r="G275" s="1"/>
  <c r="G276" s="1"/>
  <c r="G277" s="1"/>
  <c r="G278" s="1"/>
  <c r="G279" s="1"/>
  <c r="G280" s="1"/>
  <c r="G281" s="1"/>
  <c r="G282" s="1"/>
  <c r="G283" s="1"/>
  <c r="G284" s="1"/>
  <c r="G285" s="1"/>
  <c r="G286" s="1"/>
  <c r="G287" s="1"/>
  <c r="G288" s="1"/>
  <c r="G289" s="1"/>
  <c r="G290" s="1"/>
  <c r="G291" s="1"/>
  <c r="G292" s="1"/>
  <c r="G293" s="1"/>
  <c r="G294" s="1"/>
  <c r="G295" s="1"/>
  <c r="G296" s="1"/>
  <c r="G297" s="1"/>
  <c r="G298" s="1"/>
  <c r="G299" s="1"/>
  <c r="G300" s="1"/>
  <c r="G301" s="1"/>
  <c r="G302" s="1"/>
  <c r="G303" s="1"/>
  <c r="G304" s="1"/>
  <c r="G305" s="1"/>
  <c r="G306" s="1"/>
  <c r="G307" s="1"/>
  <c r="G308" s="1"/>
  <c r="G309" s="1"/>
  <c r="G310" s="1"/>
  <c r="G311" s="1"/>
  <c r="G312" s="1"/>
  <c r="G313" s="1"/>
  <c r="G314" s="1"/>
  <c r="G315" s="1"/>
  <c r="G316" s="1"/>
  <c r="G317" s="1"/>
  <c r="G318" s="1"/>
  <c r="G319" s="1"/>
  <c r="G320" s="1"/>
  <c r="G321" s="1"/>
  <c r="G322" s="1"/>
  <c r="G323" s="1"/>
  <c r="G324" s="1"/>
  <c r="G325" s="1"/>
  <c r="G326" s="1"/>
  <c r="G327" s="1"/>
  <c r="G328" s="1"/>
  <c r="G329" s="1"/>
  <c r="G330" s="1"/>
  <c r="G331" s="1"/>
  <c r="G332" s="1"/>
  <c r="G333" s="1"/>
  <c r="G334" s="1"/>
  <c r="G335" s="1"/>
  <c r="G336" s="1"/>
  <c r="G337" s="1"/>
  <c r="G338" s="1"/>
  <c r="G339" s="1"/>
  <c r="G340" s="1"/>
  <c r="G341" s="1"/>
  <c r="G342" s="1"/>
  <c r="G343" s="1"/>
  <c r="G344" s="1"/>
  <c r="G345" s="1"/>
  <c r="G346" s="1"/>
  <c r="G347" s="1"/>
  <c r="G348" s="1"/>
  <c r="G349" s="1"/>
  <c r="G350" s="1"/>
  <c r="G351" s="1"/>
  <c r="G352" s="1"/>
  <c r="G353" s="1"/>
  <c r="G354" s="1"/>
  <c r="G355" s="1"/>
  <c r="G356" s="1"/>
  <c r="G357" s="1"/>
  <c r="G358" s="1"/>
  <c r="G359" s="1"/>
  <c r="G360" s="1"/>
  <c r="G361" s="1"/>
  <c r="G362" s="1"/>
  <c r="G363" s="1"/>
  <c r="G364" s="1"/>
  <c r="G365" s="1"/>
  <c r="G366" s="1"/>
  <c r="G367" s="1"/>
  <c r="G368" s="1"/>
  <c r="G369" s="1"/>
  <c r="G370" s="1"/>
  <c r="G371" s="1"/>
  <c r="G372" s="1"/>
  <c r="G373" s="1"/>
  <c r="G374" s="1"/>
  <c r="G375" s="1"/>
  <c r="G376" s="1"/>
  <c r="G377" s="1"/>
  <c r="G378" s="1"/>
  <c r="G379" s="1"/>
  <c r="G380" s="1"/>
  <c r="G381" s="1"/>
  <c r="G382" s="1"/>
  <c r="G383" s="1"/>
  <c r="G384" s="1"/>
  <c r="G385" s="1"/>
  <c r="G386" s="1"/>
  <c r="G387" s="1"/>
  <c r="G388" s="1"/>
  <c r="G389" s="1"/>
  <c r="G390" s="1"/>
  <c r="G391" s="1"/>
  <c r="G392" s="1"/>
  <c r="G393" s="1"/>
  <c r="G394" s="1"/>
  <c r="G395" s="1"/>
  <c r="G396" s="1"/>
  <c r="G397" s="1"/>
  <c r="G398" s="1"/>
  <c r="G399" s="1"/>
  <c r="G400" s="1"/>
  <c r="G401" s="1"/>
  <c r="G402" s="1"/>
  <c r="G403" s="1"/>
  <c r="G404" s="1"/>
  <c r="G405" s="1"/>
  <c r="G406" s="1"/>
  <c r="G407" s="1"/>
  <c r="G408" s="1"/>
  <c r="G409" s="1"/>
  <c r="G410" s="1"/>
  <c r="G411" s="1"/>
  <c r="G412" s="1"/>
  <c r="G413" s="1"/>
  <c r="G414" s="1"/>
  <c r="G415" s="1"/>
  <c r="G416" s="1"/>
  <c r="G417" s="1"/>
  <c r="G418" s="1"/>
  <c r="G419" s="1"/>
  <c r="FJ35" i="1"/>
  <c r="FF38"/>
  <c r="FO40"/>
  <c r="FJ43"/>
  <c r="FG46"/>
  <c r="GE46" s="1"/>
  <c r="FN50"/>
  <c r="GU50" s="1"/>
  <c r="FK53"/>
  <c r="FF56"/>
  <c r="GB56" s="1"/>
  <c r="FO58"/>
  <c r="FL34"/>
  <c r="FI37"/>
  <c r="FD40"/>
  <c r="FM42"/>
  <c r="GS42" s="1"/>
  <c r="FH45"/>
  <c r="GG45" s="1"/>
  <c r="FE50"/>
  <c r="FM52"/>
  <c r="GS52" s="1"/>
  <c r="FH55"/>
  <c r="GG55" s="1"/>
  <c r="FD58"/>
  <c r="FJ32"/>
  <c r="FH36"/>
  <c r="GG36" s="1"/>
  <c r="FD39"/>
  <c r="FL41"/>
  <c r="GP41" s="1"/>
  <c r="FI44"/>
  <c r="FE47"/>
  <c r="FM51"/>
  <c r="GS51" s="1"/>
  <c r="FH54"/>
  <c r="GG54" s="1"/>
  <c r="FE57"/>
  <c r="FM59"/>
  <c r="GS59" s="1"/>
  <c r="FK35"/>
  <c r="FG38"/>
  <c r="FN40"/>
  <c r="GU40" s="1"/>
  <c r="FK43"/>
  <c r="FF46"/>
  <c r="GB46" s="1"/>
  <c r="FO50"/>
  <c r="FJ53"/>
  <c r="FG56"/>
  <c r="GE56" s="1"/>
  <c r="FN58"/>
  <c r="GU58" s="1"/>
  <c r="FK34"/>
  <c r="FF37"/>
  <c r="FN39"/>
  <c r="GU39" s="1"/>
  <c r="FJ42"/>
  <c r="FG45"/>
  <c r="GE45" s="1"/>
  <c r="FO47"/>
  <c r="FJ52"/>
  <c r="FG55"/>
  <c r="GE55" s="1"/>
  <c r="FO57"/>
  <c r="FH32"/>
  <c r="GG32" s="1"/>
  <c r="FI36"/>
  <c r="FE39"/>
  <c r="FM41"/>
  <c r="GS41" s="1"/>
  <c r="FH44"/>
  <c r="GG44" s="1"/>
  <c r="FD47"/>
  <c r="FL51"/>
  <c r="GP51" s="1"/>
  <c r="FI54"/>
  <c r="FD57"/>
  <c r="FL59"/>
  <c r="GP59" s="1"/>
  <c r="FH35"/>
  <c r="GG35" s="1"/>
  <c r="FD38"/>
  <c r="FM40"/>
  <c r="GS40" s="1"/>
  <c r="FH43"/>
  <c r="GG43" s="1"/>
  <c r="FE46"/>
  <c r="FL50"/>
  <c r="GP50" s="1"/>
  <c r="FI53"/>
  <c r="FD56"/>
  <c r="FM58"/>
  <c r="GS58" s="1"/>
  <c r="FJ34"/>
  <c r="FG37"/>
  <c r="FO39"/>
  <c r="FK42"/>
  <c r="FF45"/>
  <c r="GB45" s="1"/>
  <c r="FN47"/>
  <c r="GU47" s="1"/>
  <c r="FK52"/>
  <c r="FF55"/>
  <c r="GB55" s="1"/>
  <c r="FN57"/>
  <c r="GU57" s="1"/>
  <c r="FF32"/>
  <c r="GB32" s="1"/>
  <c r="FF36"/>
  <c r="FN38"/>
  <c r="FJ41"/>
  <c r="FG44"/>
  <c r="GE44" s="1"/>
  <c r="FO46"/>
  <c r="FK51"/>
  <c r="FF54"/>
  <c r="GB54" s="1"/>
  <c r="FN56"/>
  <c r="GU56" s="1"/>
  <c r="FK59"/>
  <c r="FI35"/>
  <c r="FE38"/>
  <c r="FL40"/>
  <c r="GP40" s="1"/>
  <c r="FI43"/>
  <c r="FD46"/>
  <c r="FM50"/>
  <c r="GS50" s="1"/>
  <c r="FH53"/>
  <c r="GG53" s="1"/>
  <c r="FE56"/>
  <c r="FL58"/>
  <c r="GP58" s="1"/>
  <c r="FI34"/>
  <c r="FD37"/>
  <c r="FL39"/>
  <c r="GP39" s="1"/>
  <c r="FH42"/>
  <c r="GG42" s="1"/>
  <c r="FE45"/>
  <c r="FM47"/>
  <c r="GS47" s="1"/>
  <c r="FH52"/>
  <c r="GG52" s="1"/>
  <c r="FE55"/>
  <c r="FM57"/>
  <c r="GS57" s="1"/>
  <c r="FD32"/>
  <c r="FG36"/>
  <c r="FO38"/>
  <c r="FK41"/>
  <c r="FF44"/>
  <c r="GB44" s="1"/>
  <c r="FN46"/>
  <c r="GU46" s="1"/>
  <c r="FJ51"/>
  <c r="FG54"/>
  <c r="GE54" s="1"/>
  <c r="FO56"/>
  <c r="FJ59"/>
  <c r="FF35"/>
  <c r="FN37"/>
  <c r="FK40"/>
  <c r="FF43"/>
  <c r="GB43" s="1"/>
  <c r="FO45"/>
  <c r="FJ50"/>
  <c r="FG53"/>
  <c r="GE53" s="1"/>
  <c r="FO55"/>
  <c r="FK58"/>
  <c r="FH34"/>
  <c r="GG34" s="1"/>
  <c r="FE37"/>
  <c r="FM39"/>
  <c r="GS39" s="1"/>
  <c r="FI42"/>
  <c r="FD45"/>
  <c r="FL47"/>
  <c r="GP47" s="1"/>
  <c r="FI52"/>
  <c r="FD55"/>
  <c r="FL57"/>
  <c r="GP57" s="1"/>
  <c r="FN31"/>
  <c r="GU31" s="1"/>
  <c r="FD36"/>
  <c r="FL38"/>
  <c r="FH41"/>
  <c r="GG41" s="1"/>
  <c r="FE44"/>
  <c r="FM46"/>
  <c r="GS46" s="1"/>
  <c r="FI51"/>
  <c r="FD54"/>
  <c r="FL56"/>
  <c r="GP56" s="1"/>
  <c r="FI59"/>
  <c r="FG35"/>
  <c r="FO37"/>
  <c r="FJ40"/>
  <c r="FG43"/>
  <c r="GE43" s="1"/>
  <c r="FN45"/>
  <c r="GU45" s="1"/>
  <c r="FK50"/>
  <c r="FF53"/>
  <c r="GB53" s="1"/>
  <c r="FN55"/>
  <c r="GU55" s="1"/>
  <c r="FJ58"/>
  <c r="FG34"/>
  <c r="FN36"/>
  <c r="FJ39"/>
  <c r="FF42"/>
  <c r="GB42" s="1"/>
  <c r="FO44"/>
  <c r="FK47"/>
  <c r="FF52"/>
  <c r="GB52" s="1"/>
  <c r="FN54"/>
  <c r="GU54" s="1"/>
  <c r="FK57"/>
  <c r="FL31"/>
  <c r="FE36"/>
  <c r="FM38"/>
  <c r="FI41"/>
  <c r="FD44"/>
  <c r="FL46"/>
  <c r="GP46" s="1"/>
  <c r="FH51"/>
  <c r="GG51" s="1"/>
  <c r="FE54"/>
  <c r="FM56"/>
  <c r="GS56" s="1"/>
  <c r="FH59"/>
  <c r="GG59" s="1"/>
  <c r="FD35"/>
  <c r="FL37"/>
  <c r="FI40"/>
  <c r="FD43"/>
  <c r="FM45"/>
  <c r="GS45" s="1"/>
  <c r="FH50"/>
  <c r="GG50" s="1"/>
  <c r="FE53"/>
  <c r="FM55"/>
  <c r="GS55" s="1"/>
  <c r="FI58"/>
  <c r="FF34"/>
  <c r="FO36"/>
  <c r="FK39"/>
  <c r="FG42"/>
  <c r="GE42" s="1"/>
  <c r="FN44"/>
  <c r="GU44" s="1"/>
  <c r="FJ47"/>
  <c r="FG52"/>
  <c r="GE52" s="1"/>
  <c r="FO54"/>
  <c r="FJ57"/>
  <c r="FJ31"/>
  <c r="FN35"/>
  <c r="FJ38"/>
  <c r="FF41"/>
  <c r="GB41" s="1"/>
  <c r="FN43"/>
  <c r="GU43" s="1"/>
  <c r="FK46"/>
  <c r="FG51"/>
  <c r="GE51" s="1"/>
  <c r="FO53"/>
  <c r="FJ56"/>
  <c r="FG59"/>
  <c r="GE59" s="1"/>
  <c r="FE35"/>
  <c r="FM37"/>
  <c r="FH40"/>
  <c r="GG40" s="1"/>
  <c r="FE43"/>
  <c r="FL45"/>
  <c r="GP45" s="1"/>
  <c r="FI50"/>
  <c r="FD53"/>
  <c r="FL55"/>
  <c r="GP55" s="1"/>
  <c r="FH58"/>
  <c r="GG58" s="1"/>
  <c r="FE34"/>
  <c r="FL36"/>
  <c r="FH39"/>
  <c r="GG39" s="1"/>
  <c r="FD42"/>
  <c r="FM44"/>
  <c r="GS44" s="1"/>
  <c r="FI47"/>
  <c r="FD52"/>
  <c r="FL54"/>
  <c r="GP54" s="1"/>
  <c r="FI57"/>
  <c r="FH31"/>
  <c r="GG31" s="1"/>
  <c r="FO35"/>
  <c r="FK38"/>
  <c r="FG41"/>
  <c r="GE41" s="1"/>
  <c r="FO43"/>
  <c r="FJ46"/>
  <c r="FF51"/>
  <c r="GB51" s="1"/>
  <c r="FN53"/>
  <c r="GU53" s="1"/>
  <c r="FK56"/>
  <c r="FF59"/>
  <c r="GB59" s="1"/>
  <c r="FO34"/>
  <c r="FJ37"/>
  <c r="FG40"/>
  <c r="GE40" s="1"/>
  <c r="FN42"/>
  <c r="GU42" s="1"/>
  <c r="FK45"/>
  <c r="FF50"/>
  <c r="GB50" s="1"/>
  <c r="FN52"/>
  <c r="GU52" s="1"/>
  <c r="FK55"/>
  <c r="FG58"/>
  <c r="GE58" s="1"/>
  <c r="FD34"/>
  <c r="FM36"/>
  <c r="FI39"/>
  <c r="FE42"/>
  <c r="FL44"/>
  <c r="GP44" s="1"/>
  <c r="FH47"/>
  <c r="GG47" s="1"/>
  <c r="FE52"/>
  <c r="FM54"/>
  <c r="GS54" s="1"/>
  <c r="FH57"/>
  <c r="GG57" s="1"/>
  <c r="FF31"/>
  <c r="GB31" s="1"/>
  <c r="FL35"/>
  <c r="FH38"/>
  <c r="GG38" s="1"/>
  <c r="FD41"/>
  <c r="FL43"/>
  <c r="GP43" s="1"/>
  <c r="FI46"/>
  <c r="FE51"/>
  <c r="FM53"/>
  <c r="GS53" s="1"/>
  <c r="FH56"/>
  <c r="GG56" s="1"/>
  <c r="FE59"/>
  <c r="FN34"/>
  <c r="FK37"/>
  <c r="FF40"/>
  <c r="GB40" s="1"/>
  <c r="FO42"/>
  <c r="FJ45"/>
  <c r="FG50"/>
  <c r="GE50" s="1"/>
  <c r="FO52"/>
  <c r="FJ55"/>
  <c r="FF58"/>
  <c r="GB58" s="1"/>
  <c r="FN32"/>
  <c r="GU32" s="1"/>
  <c r="FJ36"/>
  <c r="FF39"/>
  <c r="GB39" s="1"/>
  <c r="FN41"/>
  <c r="GU41" s="1"/>
  <c r="FK44"/>
  <c r="FG47"/>
  <c r="GE47" s="1"/>
  <c r="FO51"/>
  <c r="FJ54"/>
  <c r="FG57"/>
  <c r="GE57" s="1"/>
  <c r="FO59"/>
  <c r="FM35"/>
  <c r="FI38"/>
  <c r="FE41"/>
  <c r="FM43"/>
  <c r="GS43" s="1"/>
  <c r="FH46"/>
  <c r="GG46" s="1"/>
  <c r="FD51"/>
  <c r="FL53"/>
  <c r="GP53" s="1"/>
  <c r="FI56"/>
  <c r="FD59"/>
  <c r="FM34"/>
  <c r="FH37"/>
  <c r="GG37" s="1"/>
  <c r="FE40"/>
  <c r="FL42"/>
  <c r="GP42" s="1"/>
  <c r="FI45"/>
  <c r="FD50"/>
  <c r="FL52"/>
  <c r="GP52" s="1"/>
  <c r="FI55"/>
  <c r="FE58"/>
  <c r="FL32"/>
  <c r="FK36"/>
  <c r="FG39"/>
  <c r="GE39" s="1"/>
  <c r="FO41"/>
  <c r="FJ44"/>
  <c r="FF47"/>
  <c r="GB47" s="1"/>
  <c r="FN51"/>
  <c r="GU51" s="1"/>
  <c r="FK54"/>
  <c r="FF57"/>
  <c r="GB57" s="1"/>
  <c r="FN59"/>
  <c r="GU59" s="1"/>
  <c r="IX82" i="24"/>
  <c r="IX96"/>
  <c r="IX97"/>
  <c r="KW110" l="1"/>
  <c r="KX110" s="1"/>
  <c r="KW111"/>
  <c r="KX111" s="1"/>
  <c r="KG107"/>
  <c r="JA90"/>
  <c r="IQ90"/>
  <c r="IU90"/>
  <c r="IZ90"/>
  <c r="IZ109"/>
  <c r="JD109"/>
  <c r="JA109"/>
  <c r="JA110"/>
  <c r="JD110"/>
  <c r="IZ110"/>
  <c r="JA106"/>
  <c r="IZ106"/>
  <c r="JD106"/>
  <c r="JA107"/>
  <c r="JD107"/>
  <c r="IZ107"/>
  <c r="IZ111"/>
  <c r="JA111"/>
  <c r="JD111"/>
  <c r="HB67"/>
  <c r="HD67" s="1"/>
  <c r="KM96"/>
  <c r="KT96" s="1"/>
  <c r="KX96" s="1"/>
  <c r="KN97"/>
  <c r="KM97"/>
  <c r="KN88"/>
  <c r="KM88"/>
  <c r="KM103"/>
  <c r="KT103" s="1"/>
  <c r="KX103" s="1"/>
  <c r="KM100"/>
  <c r="KT100" s="1"/>
  <c r="KX100" s="1"/>
  <c r="KM82"/>
  <c r="KT82" s="1"/>
  <c r="KX82" s="1"/>
  <c r="KN106"/>
  <c r="KM106"/>
  <c r="KM93"/>
  <c r="KT93" s="1"/>
  <c r="KX93" s="1"/>
  <c r="KN98"/>
  <c r="KN90"/>
  <c r="KN96"/>
  <c r="KM85"/>
  <c r="KT85" s="1"/>
  <c r="KX85" s="1"/>
  <c r="KM92"/>
  <c r="KT92" s="1"/>
  <c r="KX92" s="1"/>
  <c r="KN89"/>
  <c r="KM89"/>
  <c r="KN107"/>
  <c r="KM107"/>
  <c r="KS88"/>
  <c r="KS83"/>
  <c r="KS85"/>
  <c r="KS101"/>
  <c r="KS106"/>
  <c r="KS97"/>
  <c r="KS98"/>
  <c r="KS104"/>
  <c r="KS86"/>
  <c r="KS89"/>
  <c r="KS93"/>
  <c r="KS96"/>
  <c r="HB64"/>
  <c r="HD64" s="1"/>
  <c r="HB80"/>
  <c r="HB36"/>
  <c r="HD36" s="1"/>
  <c r="GC63"/>
  <c r="FG63"/>
  <c r="FG77"/>
  <c r="HB37"/>
  <c r="GC37"/>
  <c r="GC35"/>
  <c r="GC51"/>
  <c r="FX50"/>
  <c r="GC44"/>
  <c r="HB76"/>
  <c r="HD76" s="1"/>
  <c r="HD78"/>
  <c r="FI81"/>
  <c r="FX81"/>
  <c r="FZ81"/>
  <c r="FG81"/>
  <c r="FE77"/>
  <c r="FI31" i="1"/>
  <c r="FN30"/>
  <c r="GU30" s="1"/>
  <c r="FE22"/>
  <c r="FI23"/>
  <c r="FM24"/>
  <c r="GS24" s="1"/>
  <c r="FE26"/>
  <c r="FE24"/>
  <c r="FI25"/>
  <c r="FH21"/>
  <c r="GG21" s="1"/>
  <c r="FM26"/>
  <c r="GS26" s="1"/>
  <c r="FM22"/>
  <c r="GS22" s="1"/>
  <c r="FH29"/>
  <c r="GG29" s="1"/>
  <c r="FE28"/>
  <c r="FK30"/>
  <c r="FL27"/>
  <c r="FF30"/>
  <c r="GB30" s="1"/>
  <c r="FO28"/>
  <c r="FE30"/>
  <c r="FJ28"/>
  <c r="FG27"/>
  <c r="GE27" s="1"/>
  <c r="FL29"/>
  <c r="FI28"/>
  <c r="FO30"/>
  <c r="FD28"/>
  <c r="FJ30"/>
  <c r="FG29"/>
  <c r="GE29" s="1"/>
  <c r="FI30"/>
  <c r="FN28"/>
  <c r="GU28" s="1"/>
  <c r="FK27"/>
  <c r="FD30"/>
  <c r="FM28"/>
  <c r="GS28" s="1"/>
  <c r="FF27"/>
  <c r="GB27" s="1"/>
  <c r="FH28"/>
  <c r="GG28" s="1"/>
  <c r="FE27"/>
  <c r="FK29"/>
  <c r="FM30"/>
  <c r="GS30" s="1"/>
  <c r="FF29"/>
  <c r="GB29" s="1"/>
  <c r="FO27"/>
  <c r="FH30"/>
  <c r="GG30" s="1"/>
  <c r="FE29"/>
  <c r="FJ27"/>
  <c r="FL28"/>
  <c r="FI27"/>
  <c r="FO29"/>
  <c r="FD27"/>
  <c r="FJ29"/>
  <c r="FG28"/>
  <c r="GE28" s="1"/>
  <c r="FL30"/>
  <c r="FI29"/>
  <c r="FN27"/>
  <c r="GU27" s="1"/>
  <c r="FD29"/>
  <c r="FM27"/>
  <c r="GS27" s="1"/>
  <c r="FG30"/>
  <c r="GE30" s="1"/>
  <c r="FH27"/>
  <c r="GG27" s="1"/>
  <c r="FN29"/>
  <c r="GU29" s="1"/>
  <c r="FK28"/>
  <c r="FM29"/>
  <c r="GS29" s="1"/>
  <c r="FF28"/>
  <c r="GB28" s="1"/>
  <c r="FE25"/>
  <c r="FJ22"/>
  <c r="FN21"/>
  <c r="GU21" s="1"/>
  <c r="FG31"/>
  <c r="GE31" s="1"/>
  <c r="FH24"/>
  <c r="GG24" s="1"/>
  <c r="FN22"/>
  <c r="GU22" s="1"/>
  <c r="FG22"/>
  <c r="GE22" s="1"/>
  <c r="FK31"/>
  <c r="FL24"/>
  <c r="FL21"/>
  <c r="FE31"/>
  <c r="FJ24"/>
  <c r="FO23"/>
  <c r="FE21"/>
  <c r="FH26"/>
  <c r="GG26" s="1"/>
  <c r="FN24"/>
  <c r="GU24" s="1"/>
  <c r="FG24"/>
  <c r="GE24" s="1"/>
  <c r="FI21"/>
  <c r="FL26"/>
  <c r="FM23"/>
  <c r="GS23" s="1"/>
  <c r="FG21"/>
  <c r="GE21" s="1"/>
  <c r="FJ26"/>
  <c r="FO25"/>
  <c r="FD23"/>
  <c r="FK21"/>
  <c r="FN26"/>
  <c r="GU26" s="1"/>
  <c r="FG26"/>
  <c r="GE26" s="1"/>
  <c r="FH23"/>
  <c r="GG23" s="1"/>
  <c r="FE23"/>
  <c r="FI32"/>
  <c r="FN25"/>
  <c r="GU25" s="1"/>
  <c r="FG25"/>
  <c r="GE25" s="1"/>
  <c r="FH22"/>
  <c r="GG22" s="1"/>
  <c r="FM32"/>
  <c r="GS32" s="1"/>
  <c r="FF26"/>
  <c r="GB26" s="1"/>
  <c r="FK25"/>
  <c r="FL22"/>
  <c r="FI22"/>
  <c r="FM31"/>
  <c r="GS31" s="1"/>
  <c r="FF25"/>
  <c r="GB25" s="1"/>
  <c r="FK24"/>
  <c r="FM21"/>
  <c r="GS21" s="1"/>
  <c r="FE32"/>
  <c r="FJ25"/>
  <c r="FO24"/>
  <c r="FD22"/>
  <c r="FD31"/>
  <c r="FI24"/>
  <c r="FO21"/>
  <c r="FF21"/>
  <c r="GB21" s="1"/>
  <c r="FK26"/>
  <c r="FL23"/>
  <c r="FF22"/>
  <c r="GB22" s="1"/>
  <c r="FJ21"/>
  <c r="FO26"/>
  <c r="FD24"/>
  <c r="FD21"/>
  <c r="FI26"/>
  <c r="FN23"/>
  <c r="GU23" s="1"/>
  <c r="FG23"/>
  <c r="GE23" s="1"/>
  <c r="FK32"/>
  <c r="FL25"/>
  <c r="FF24"/>
  <c r="GB24" s="1"/>
  <c r="FK23"/>
  <c r="FO32"/>
  <c r="FD26"/>
  <c r="FM25"/>
  <c r="GS25" s="1"/>
  <c r="FF23"/>
  <c r="GB23" s="1"/>
  <c r="FK22"/>
  <c r="FO31"/>
  <c r="FD25"/>
  <c r="FJ23"/>
  <c r="FO22"/>
  <c r="FG32"/>
  <c r="GE32" s="1"/>
  <c r="FH25"/>
  <c r="GG25" s="1"/>
  <c r="HF37" i="24"/>
  <c r="CA37"/>
  <c r="FF37"/>
  <c r="FG37" s="1"/>
  <c r="FR37"/>
  <c r="EP37"/>
  <c r="FY37" s="1"/>
  <c r="FZ37" s="1"/>
  <c r="FH37"/>
  <c r="FI37" s="1"/>
  <c r="FP37"/>
  <c r="HJ37" s="1"/>
  <c r="IP37"/>
  <c r="D37"/>
  <c r="BQ37"/>
  <c r="BX37"/>
  <c r="CC37"/>
  <c r="EH37"/>
  <c r="FW37" s="1"/>
  <c r="FX37" s="1"/>
  <c r="FN37"/>
  <c r="HK37" s="1"/>
  <c r="BN37"/>
  <c r="BO37" s="1"/>
  <c r="BP37" s="1"/>
  <c r="FD37"/>
  <c r="FE37" s="1"/>
  <c r="FL37"/>
  <c r="FQ37" s="1"/>
  <c r="GC64"/>
  <c r="IY64"/>
  <c r="BQ64"/>
  <c r="EH64"/>
  <c r="FW64" s="1"/>
  <c r="FX64" s="1"/>
  <c r="FD64"/>
  <c r="FE64" s="1"/>
  <c r="FH64"/>
  <c r="FI64" s="1"/>
  <c r="FN64"/>
  <c r="HK64" s="1"/>
  <c r="FR64"/>
  <c r="BN64"/>
  <c r="BO64" s="1"/>
  <c r="BX64"/>
  <c r="EP64"/>
  <c r="FY64" s="1"/>
  <c r="FZ64" s="1"/>
  <c r="FF64"/>
  <c r="FL64"/>
  <c r="FM64" s="1"/>
  <c r="FP64"/>
  <c r="HJ64" s="1"/>
  <c r="HF64"/>
  <c r="D64"/>
  <c r="IP64"/>
  <c r="IY72"/>
  <c r="GC72"/>
  <c r="FF72"/>
  <c r="FG72" s="1"/>
  <c r="FP72"/>
  <c r="HJ72" s="1"/>
  <c r="BQ72"/>
  <c r="EH72"/>
  <c r="FW72" s="1"/>
  <c r="FX72" s="1"/>
  <c r="FH72"/>
  <c r="FI72" s="1"/>
  <c r="FR72"/>
  <c r="IP72"/>
  <c r="D72"/>
  <c r="BN72"/>
  <c r="BO72" s="1"/>
  <c r="BP72" s="1"/>
  <c r="BX72"/>
  <c r="EP72"/>
  <c r="FY72" s="1"/>
  <c r="FZ72" s="1"/>
  <c r="FL72"/>
  <c r="FM72" s="1"/>
  <c r="HF72"/>
  <c r="FD72"/>
  <c r="FE72" s="1"/>
  <c r="FN72"/>
  <c r="HK72" s="1"/>
  <c r="FQ72"/>
  <c r="EP80"/>
  <c r="FY80" s="1"/>
  <c r="FZ80" s="1"/>
  <c r="FF80"/>
  <c r="FG80" s="1"/>
  <c r="FP80"/>
  <c r="HJ80" s="1"/>
  <c r="BX80"/>
  <c r="IP80"/>
  <c r="D80"/>
  <c r="FD80"/>
  <c r="FE80" s="1"/>
  <c r="FH80"/>
  <c r="FI80" s="1"/>
  <c r="FN80"/>
  <c r="HK80" s="1"/>
  <c r="FR80"/>
  <c r="BQ80"/>
  <c r="EH80"/>
  <c r="FW80" s="1"/>
  <c r="FX80" s="1"/>
  <c r="BN80"/>
  <c r="BO80" s="1"/>
  <c r="BP80" s="1"/>
  <c r="FL80"/>
  <c r="FM80" s="1"/>
  <c r="HF80"/>
  <c r="IY80"/>
  <c r="FX35"/>
  <c r="BN35"/>
  <c r="CD35"/>
  <c r="EP35"/>
  <c r="FY35" s="1"/>
  <c r="FZ35" s="1"/>
  <c r="HF35"/>
  <c r="BX35"/>
  <c r="CB35" s="1"/>
  <c r="JD35" s="1"/>
  <c r="GK35"/>
  <c r="GU35" s="1"/>
  <c r="HC35" s="1"/>
  <c r="HG35" s="1"/>
  <c r="D35"/>
  <c r="BQ35"/>
  <c r="CC35"/>
  <c r="FB35"/>
  <c r="FF35"/>
  <c r="FG35" s="1"/>
  <c r="FJ35"/>
  <c r="FK35" s="1"/>
  <c r="FN35"/>
  <c r="FO35" s="1"/>
  <c r="FR35"/>
  <c r="FT35" s="1"/>
  <c r="BO35"/>
  <c r="BP35" s="1"/>
  <c r="BY35"/>
  <c r="FD35"/>
  <c r="FE35" s="1"/>
  <c r="FH35"/>
  <c r="FI35" s="1"/>
  <c r="FL35"/>
  <c r="FQ35" s="1"/>
  <c r="FP35"/>
  <c r="GL35"/>
  <c r="T41" i="40"/>
  <c r="Y41" s="1"/>
  <c r="AD41" s="1"/>
  <c r="T28"/>
  <c r="FX49" i="24"/>
  <c r="FX51"/>
  <c r="GC49"/>
  <c r="GC45"/>
  <c r="FX48"/>
  <c r="HB71"/>
  <c r="HD71" s="1"/>
  <c r="IY76"/>
  <c r="Y24" i="54"/>
  <c r="CP22" i="24"/>
  <c r="D24" i="54"/>
  <c r="R39" i="21"/>
  <c r="D38"/>
  <c r="HB66" i="24"/>
  <c r="HD66" s="1"/>
  <c r="FK66"/>
  <c r="FV66"/>
  <c r="FE66"/>
  <c r="FE69"/>
  <c r="FK69"/>
  <c r="FV69"/>
  <c r="HB69"/>
  <c r="HD69" s="1"/>
  <c r="FG69"/>
  <c r="FG78"/>
  <c r="FI78"/>
  <c r="FK78"/>
  <c r="FV78"/>
  <c r="FE78"/>
  <c r="FV65"/>
  <c r="FK65"/>
  <c r="FE65"/>
  <c r="FG65"/>
  <c r="FQ81"/>
  <c r="FM81"/>
  <c r="HK81"/>
  <c r="FO81"/>
  <c r="HB81"/>
  <c r="HD81" s="1"/>
  <c r="FV81"/>
  <c r="FK81"/>
  <c r="FE81"/>
  <c r="IY36"/>
  <c r="EB36"/>
  <c r="ED36" s="1"/>
  <c r="FC36" s="1"/>
  <c r="CV36"/>
  <c r="FF36" s="1"/>
  <c r="FU60"/>
  <c r="HN60"/>
  <c r="FD60"/>
  <c r="FT60"/>
  <c r="IY70"/>
  <c r="IY74"/>
  <c r="HB75"/>
  <c r="HD75" s="1"/>
  <c r="GC74"/>
  <c r="IY38"/>
  <c r="HB38"/>
  <c r="HD38" s="1"/>
  <c r="GC38"/>
  <c r="HB63"/>
  <c r="HD63" s="1"/>
  <c r="FK63"/>
  <c r="FV63"/>
  <c r="FI63"/>
  <c r="FE63"/>
  <c r="BN61"/>
  <c r="BO61" s="1"/>
  <c r="BP61" s="1"/>
  <c r="BX61"/>
  <c r="CB61" s="1"/>
  <c r="GK61" s="1"/>
  <c r="EP61"/>
  <c r="FY61" s="1"/>
  <c r="FZ61" s="1"/>
  <c r="FF61"/>
  <c r="FG61" s="1"/>
  <c r="FL61"/>
  <c r="FP61"/>
  <c r="HJ61" s="1"/>
  <c r="BQ61"/>
  <c r="EH61"/>
  <c r="FW61" s="1"/>
  <c r="FX61" s="1"/>
  <c r="ET61"/>
  <c r="GB61" s="1"/>
  <c r="GC61" s="1"/>
  <c r="FD61"/>
  <c r="FE61" s="1"/>
  <c r="FH61"/>
  <c r="FI61" s="1"/>
  <c r="FN61"/>
  <c r="HK61" s="1"/>
  <c r="FR61"/>
  <c r="FT61" s="1"/>
  <c r="GL61"/>
  <c r="HF61"/>
  <c r="IP61"/>
  <c r="IQ61" s="1"/>
  <c r="D61"/>
  <c r="BB62"/>
  <c r="IY73"/>
  <c r="GC73"/>
  <c r="BN73"/>
  <c r="BO73" s="1"/>
  <c r="BP73" s="1"/>
  <c r="BX73"/>
  <c r="EH73"/>
  <c r="FW73" s="1"/>
  <c r="FX73" s="1"/>
  <c r="FH73"/>
  <c r="FP73"/>
  <c r="HJ73" s="1"/>
  <c r="HF73"/>
  <c r="BQ73"/>
  <c r="EP73"/>
  <c r="FY73" s="1"/>
  <c r="FZ73" s="1"/>
  <c r="FD73"/>
  <c r="FN73"/>
  <c r="HK73" s="1"/>
  <c r="FL73"/>
  <c r="FQ73" s="1"/>
  <c r="D73"/>
  <c r="FF73"/>
  <c r="FG73" s="1"/>
  <c r="FO73"/>
  <c r="IP73"/>
  <c r="FR73"/>
  <c r="FV68"/>
  <c r="FK68"/>
  <c r="FE68"/>
  <c r="HB79"/>
  <c r="HD79" s="1"/>
  <c r="IQ97"/>
  <c r="IZ97"/>
  <c r="IU97"/>
  <c r="JA97"/>
  <c r="IQ96"/>
  <c r="IU96"/>
  <c r="IZ96"/>
  <c r="JA96"/>
  <c r="JA82"/>
  <c r="IZ82"/>
  <c r="IU82"/>
  <c r="IQ82"/>
  <c r="JA93"/>
  <c r="IQ93"/>
  <c r="IZ93"/>
  <c r="IU93"/>
  <c r="IQ86"/>
  <c r="IZ86"/>
  <c r="IU86"/>
  <c r="JA86"/>
  <c r="IY37"/>
  <c r="HD37"/>
  <c r="HB72"/>
  <c r="HD72" s="1"/>
  <c r="JB80"/>
  <c r="HD80"/>
  <c r="HB35"/>
  <c r="FX46"/>
  <c r="FX45"/>
  <c r="FX47"/>
  <c r="GC47"/>
  <c r="GC46"/>
  <c r="BN44"/>
  <c r="BO44" s="1"/>
  <c r="BP44" s="1"/>
  <c r="BQ44"/>
  <c r="FF44"/>
  <c r="FG44" s="1"/>
  <c r="FL44"/>
  <c r="FM44" s="1"/>
  <c r="FP44"/>
  <c r="HJ44" s="1"/>
  <c r="HF44"/>
  <c r="EP44"/>
  <c r="FY44" s="1"/>
  <c r="FZ44" s="1"/>
  <c r="FD44"/>
  <c r="FE44" s="1"/>
  <c r="FH44"/>
  <c r="FI44" s="1"/>
  <c r="FN44"/>
  <c r="HK44" s="1"/>
  <c r="FR44"/>
  <c r="BB45"/>
  <c r="IP44"/>
  <c r="IQ44" s="1"/>
  <c r="D44"/>
  <c r="IY71"/>
  <c r="GC71"/>
  <c r="BN71"/>
  <c r="BO71" s="1"/>
  <c r="BP71" s="1"/>
  <c r="BX71"/>
  <c r="EP71"/>
  <c r="FY71" s="1"/>
  <c r="FZ71" s="1"/>
  <c r="FH71"/>
  <c r="FI71" s="1"/>
  <c r="FN71"/>
  <c r="HK71" s="1"/>
  <c r="BQ71"/>
  <c r="EH71"/>
  <c r="FW71" s="1"/>
  <c r="FX71" s="1"/>
  <c r="FD71"/>
  <c r="FL71"/>
  <c r="FM71" s="1"/>
  <c r="FP71"/>
  <c r="HJ71" s="1"/>
  <c r="HF71"/>
  <c r="D71"/>
  <c r="FO71"/>
  <c r="FR71"/>
  <c r="IP71"/>
  <c r="FF71"/>
  <c r="FG71" s="1"/>
  <c r="BQ76"/>
  <c r="EH76"/>
  <c r="FW76" s="1"/>
  <c r="FX76" s="1"/>
  <c r="FF76"/>
  <c r="FG76" s="1"/>
  <c r="FL76"/>
  <c r="FM76" s="1"/>
  <c r="FP76"/>
  <c r="HJ76" s="1"/>
  <c r="BN76"/>
  <c r="BO76" s="1"/>
  <c r="BP76" s="1"/>
  <c r="BX76"/>
  <c r="EP76"/>
  <c r="FY76" s="1"/>
  <c r="FZ76" s="1"/>
  <c r="FD76"/>
  <c r="FH76"/>
  <c r="FI76" s="1"/>
  <c r="FN76"/>
  <c r="HK76" s="1"/>
  <c r="FR76"/>
  <c r="HF76"/>
  <c r="D76"/>
  <c r="FO76"/>
  <c r="IP76"/>
  <c r="W25" i="54"/>
  <c r="BU36" i="24" s="1"/>
  <c r="G26" i="54"/>
  <c r="HB65" i="24"/>
  <c r="HD65" s="1"/>
  <c r="HS81"/>
  <c r="HO81"/>
  <c r="HW81"/>
  <c r="HM81"/>
  <c r="HR81"/>
  <c r="HV81"/>
  <c r="HQ81"/>
  <c r="HI81"/>
  <c r="HP81"/>
  <c r="HT81"/>
  <c r="HU81"/>
  <c r="HL81"/>
  <c r="FU81"/>
  <c r="IZ98"/>
  <c r="IU98"/>
  <c r="JA98"/>
  <c r="IQ98"/>
  <c r="IQ88"/>
  <c r="IU88"/>
  <c r="JA88"/>
  <c r="IZ88"/>
  <c r="JA89"/>
  <c r="IQ89"/>
  <c r="IZ89"/>
  <c r="IU89"/>
  <c r="IQ83"/>
  <c r="IU83"/>
  <c r="JA83"/>
  <c r="IZ83"/>
  <c r="JA101"/>
  <c r="IQ101"/>
  <c r="IZ101"/>
  <c r="IU101"/>
  <c r="IQ100"/>
  <c r="IZ100"/>
  <c r="IU100"/>
  <c r="JA100"/>
  <c r="JA92"/>
  <c r="IQ92"/>
  <c r="IZ92"/>
  <c r="IU92"/>
  <c r="JA94"/>
  <c r="IU94"/>
  <c r="IZ94"/>
  <c r="IQ94"/>
  <c r="JA85"/>
  <c r="IU85"/>
  <c r="IQ85"/>
  <c r="IZ85"/>
  <c r="IU103"/>
  <c r="IQ103"/>
  <c r="JA103"/>
  <c r="IZ103"/>
  <c r="IQ104"/>
  <c r="IU104"/>
  <c r="IZ104"/>
  <c r="JA104"/>
  <c r="BN36"/>
  <c r="BO36" s="1"/>
  <c r="BP36" s="1"/>
  <c r="CC36"/>
  <c r="FN36"/>
  <c r="HK36" s="1"/>
  <c r="BQ36"/>
  <c r="BX36"/>
  <c r="CA36"/>
  <c r="FH36"/>
  <c r="FP36"/>
  <c r="HJ36" s="1"/>
  <c r="D36"/>
  <c r="FL36"/>
  <c r="IP36"/>
  <c r="FD36"/>
  <c r="HF36"/>
  <c r="HB60"/>
  <c r="HD60" s="1"/>
  <c r="BQ53"/>
  <c r="EH53"/>
  <c r="FW53" s="1"/>
  <c r="FX53" s="1"/>
  <c r="ER53"/>
  <c r="FD53"/>
  <c r="FE53" s="1"/>
  <c r="FH53"/>
  <c r="FN53"/>
  <c r="HK53" s="1"/>
  <c r="FR53"/>
  <c r="BN53"/>
  <c r="BO53" s="1"/>
  <c r="BP53" s="1"/>
  <c r="EP53"/>
  <c r="FY53" s="1"/>
  <c r="FZ53" s="1"/>
  <c r="FF53"/>
  <c r="FG53" s="1"/>
  <c r="FL53"/>
  <c r="FM53" s="1"/>
  <c r="FP53"/>
  <c r="HJ53" s="1"/>
  <c r="HF53"/>
  <c r="IP53"/>
  <c r="IQ53" s="1"/>
  <c r="BB54"/>
  <c r="D53"/>
  <c r="HB70"/>
  <c r="HD70" s="1"/>
  <c r="BN70"/>
  <c r="BO70" s="1"/>
  <c r="BP70" s="1"/>
  <c r="BX70"/>
  <c r="EH70"/>
  <c r="FW70" s="1"/>
  <c r="FX70" s="1"/>
  <c r="FF70"/>
  <c r="FG70" s="1"/>
  <c r="FL70"/>
  <c r="FM70" s="1"/>
  <c r="FP70"/>
  <c r="HJ70" s="1"/>
  <c r="BQ70"/>
  <c r="EP70"/>
  <c r="FY70" s="1"/>
  <c r="FZ70" s="1"/>
  <c r="FD70"/>
  <c r="FH70"/>
  <c r="FI70" s="1"/>
  <c r="FN70"/>
  <c r="HK70" s="1"/>
  <c r="FR70"/>
  <c r="FT70" s="1"/>
  <c r="HF70"/>
  <c r="D70"/>
  <c r="IP70"/>
  <c r="IY75"/>
  <c r="GC75"/>
  <c r="HB74"/>
  <c r="HD74" s="1"/>
  <c r="BQ74"/>
  <c r="EP74"/>
  <c r="FY74" s="1"/>
  <c r="FZ74" s="1"/>
  <c r="FD74"/>
  <c r="FE74" s="1"/>
  <c r="FH74"/>
  <c r="FI74" s="1"/>
  <c r="FN74"/>
  <c r="HK74" s="1"/>
  <c r="FR74"/>
  <c r="HF74"/>
  <c r="BN74"/>
  <c r="BO74" s="1"/>
  <c r="BP74" s="1"/>
  <c r="BX74"/>
  <c r="EH74"/>
  <c r="FW74" s="1"/>
  <c r="FX74" s="1"/>
  <c r="FF74"/>
  <c r="FG74" s="1"/>
  <c r="FL74"/>
  <c r="FM74" s="1"/>
  <c r="FP74"/>
  <c r="HJ74" s="1"/>
  <c r="IP74"/>
  <c r="FO74"/>
  <c r="D74"/>
  <c r="BB75"/>
  <c r="Y20" i="1"/>
  <c r="AA15" i="11"/>
  <c r="BB38" i="24"/>
  <c r="V52" i="40" s="1"/>
  <c r="FM63" i="24"/>
  <c r="FQ63"/>
  <c r="HV63"/>
  <c r="FU63"/>
  <c r="HW63"/>
  <c r="HB73"/>
  <c r="HD73" s="1"/>
  <c r="FE73"/>
  <c r="R23" i="21"/>
  <c r="D23" s="1"/>
  <c r="BD63" i="24" s="1"/>
  <c r="CQ63" s="1"/>
  <c r="R30" i="21"/>
  <c r="D29"/>
  <c r="HB68" i="24"/>
  <c r="HD68" s="1"/>
  <c r="HB77"/>
  <c r="HD77" s="1"/>
  <c r="FK77"/>
  <c r="FI77"/>
  <c r="FV77"/>
  <c r="FI79"/>
  <c r="FV79"/>
  <c r="FE79"/>
  <c r="FK79"/>
  <c r="FG67"/>
  <c r="FK67"/>
  <c r="FV67"/>
  <c r="V44" i="40"/>
  <c r="V36"/>
  <c r="FO70" i="24" l="1"/>
  <c r="KO89"/>
  <c r="KD44"/>
  <c r="KA44"/>
  <c r="KB44" s="1"/>
  <c r="KC44" s="1"/>
  <c r="KL35"/>
  <c r="KD35"/>
  <c r="KA35"/>
  <c r="KB35" s="1"/>
  <c r="KC35" s="1"/>
  <c r="KG35" s="1"/>
  <c r="JY72"/>
  <c r="KD36"/>
  <c r="KA36"/>
  <c r="KB36" s="1"/>
  <c r="KC36" s="1"/>
  <c r="JY73"/>
  <c r="KD37"/>
  <c r="KA37"/>
  <c r="KB37" s="1"/>
  <c r="KC37" s="1"/>
  <c r="KG37" s="1"/>
  <c r="JY37"/>
  <c r="KO97"/>
  <c r="V69" i="40"/>
  <c r="FO61" i="24"/>
  <c r="FQ61"/>
  <c r="KO88"/>
  <c r="KT97"/>
  <c r="KX97" s="1"/>
  <c r="KO107"/>
  <c r="KO106"/>
  <c r="KT107"/>
  <c r="KX107" s="1"/>
  <c r="KT89"/>
  <c r="KX89" s="1"/>
  <c r="KT106"/>
  <c r="KX106" s="1"/>
  <c r="KT88"/>
  <c r="KX88" s="1"/>
  <c r="KI71"/>
  <c r="KH71"/>
  <c r="JY71"/>
  <c r="JX44"/>
  <c r="JY44" s="1"/>
  <c r="KI64"/>
  <c r="KH64"/>
  <c r="JY64"/>
  <c r="KI37"/>
  <c r="KK37"/>
  <c r="KH37"/>
  <c r="JX37"/>
  <c r="KN37" s="1"/>
  <c r="KO96"/>
  <c r="KI70"/>
  <c r="KH70"/>
  <c r="JY70"/>
  <c r="KK36"/>
  <c r="KI73"/>
  <c r="KH73"/>
  <c r="KU35"/>
  <c r="KI35"/>
  <c r="KK35"/>
  <c r="KH35"/>
  <c r="JY35"/>
  <c r="JX35"/>
  <c r="KN35" s="1"/>
  <c r="JW35"/>
  <c r="KF35" s="1"/>
  <c r="KX35"/>
  <c r="KY35" s="1"/>
  <c r="KI72"/>
  <c r="KH72"/>
  <c r="JX36"/>
  <c r="JY36" s="1"/>
  <c r="FU74"/>
  <c r="EY71"/>
  <c r="FB71" s="1"/>
  <c r="FU44"/>
  <c r="FM61"/>
  <c r="FJ36"/>
  <c r="EY73"/>
  <c r="FB73" s="1"/>
  <c r="FJ73"/>
  <c r="FK73" s="1"/>
  <c r="DI36"/>
  <c r="FR36" s="1"/>
  <c r="FT36" s="1"/>
  <c r="FT74"/>
  <c r="FQ53"/>
  <c r="FO53"/>
  <c r="FJ53"/>
  <c r="FK53" s="1"/>
  <c r="EH36"/>
  <c r="FW36" s="1"/>
  <c r="FX36" s="1"/>
  <c r="FM36"/>
  <c r="BV36"/>
  <c r="FU76"/>
  <c r="FM35"/>
  <c r="FQ80"/>
  <c r="FO64"/>
  <c r="FJ64"/>
  <c r="FK64" s="1"/>
  <c r="FU37"/>
  <c r="CD36"/>
  <c r="BY36"/>
  <c r="FT76"/>
  <c r="FK36"/>
  <c r="FJ76"/>
  <c r="FK76" s="1"/>
  <c r="FO44"/>
  <c r="HD35"/>
  <c r="FG64"/>
  <c r="EY37"/>
  <c r="FB37" s="1"/>
  <c r="FU70"/>
  <c r="V75" i="40"/>
  <c r="FI73" i="24"/>
  <c r="JB73"/>
  <c r="EY74"/>
  <c r="FB74" s="1"/>
  <c r="GF74" s="1"/>
  <c r="EY70"/>
  <c r="FB70" s="1"/>
  <c r="GE70" s="1"/>
  <c r="FJ70"/>
  <c r="FK70" s="1"/>
  <c r="EQ53"/>
  <c r="ET53" s="1"/>
  <c r="GB53" s="1"/>
  <c r="GC53" s="1"/>
  <c r="EP36"/>
  <c r="FY36" s="1"/>
  <c r="FZ36" s="1"/>
  <c r="CB36"/>
  <c r="FQ76"/>
  <c r="FQ71"/>
  <c r="FJ44"/>
  <c r="FK44" s="1"/>
  <c r="FJ61"/>
  <c r="FK61" s="1"/>
  <c r="FJ80"/>
  <c r="FK80" s="1"/>
  <c r="FU80"/>
  <c r="FO72"/>
  <c r="FU72"/>
  <c r="EY64"/>
  <c r="FB64" s="1"/>
  <c r="GE64" s="1"/>
  <c r="FU64"/>
  <c r="FO37"/>
  <c r="FJ71"/>
  <c r="FK71" s="1"/>
  <c r="BD102"/>
  <c r="CQ102" s="1"/>
  <c r="P188" i="11"/>
  <c r="G188"/>
  <c r="P189" s="1"/>
  <c r="HT74" i="24"/>
  <c r="HV74"/>
  <c r="HI74"/>
  <c r="HL74" s="1"/>
  <c r="HU74"/>
  <c r="HQ74"/>
  <c r="HW74"/>
  <c r="HM74"/>
  <c r="GF70"/>
  <c r="IV53"/>
  <c r="KV53" s="1"/>
  <c r="JU53"/>
  <c r="JU54" s="1"/>
  <c r="JU55" s="1"/>
  <c r="JU56" s="1"/>
  <c r="JU57" s="1"/>
  <c r="JU58" s="1"/>
  <c r="JU59" s="1"/>
  <c r="JM53"/>
  <c r="JV53"/>
  <c r="JV54" s="1"/>
  <c r="JV55" s="1"/>
  <c r="JV56" s="1"/>
  <c r="JV57" s="1"/>
  <c r="JV58" s="1"/>
  <c r="JV59" s="1"/>
  <c r="JN53"/>
  <c r="KR53"/>
  <c r="HI53"/>
  <c r="HL53"/>
  <c r="HT53"/>
  <c r="HU53"/>
  <c r="HP53"/>
  <c r="HO53"/>
  <c r="HR53" s="1"/>
  <c r="W26" i="54"/>
  <c r="CO37" i="24" s="1"/>
  <c r="CI37" s="1"/>
  <c r="G27" i="54"/>
  <c r="GE71" i="24"/>
  <c r="GF71"/>
  <c r="HQ71"/>
  <c r="HU71"/>
  <c r="HT71"/>
  <c r="HI71"/>
  <c r="HW71"/>
  <c r="HL71"/>
  <c r="HM71" s="1"/>
  <c r="HV71"/>
  <c r="HO71"/>
  <c r="FT71"/>
  <c r="FU71"/>
  <c r="IV71"/>
  <c r="KV71" s="1"/>
  <c r="FE71"/>
  <c r="KR44"/>
  <c r="BD44"/>
  <c r="IV44"/>
  <c r="KV44" s="1"/>
  <c r="KQ44"/>
  <c r="JM44"/>
  <c r="JN44" s="1"/>
  <c r="HO44"/>
  <c r="HW44"/>
  <c r="HI44"/>
  <c r="HQ44"/>
  <c r="HU44"/>
  <c r="HV44"/>
  <c r="HR44"/>
  <c r="HL44"/>
  <c r="HT44"/>
  <c r="HP44"/>
  <c r="BD52"/>
  <c r="CQ52" s="1"/>
  <c r="BD99"/>
  <c r="CQ99" s="1"/>
  <c r="BD108"/>
  <c r="GE73"/>
  <c r="GF73"/>
  <c r="JU61"/>
  <c r="KR61" s="1"/>
  <c r="IH62"/>
  <c r="IJ62" s="1"/>
  <c r="IP62" s="1"/>
  <c r="IQ62" s="1"/>
  <c r="IV61"/>
  <c r="KV61" s="1"/>
  <c r="JV61"/>
  <c r="KQ61" s="1"/>
  <c r="HO61"/>
  <c r="HQ61"/>
  <c r="HV61"/>
  <c r="HR61"/>
  <c r="HS61" s="1"/>
  <c r="HL61"/>
  <c r="HU61"/>
  <c r="HI61"/>
  <c r="HW61"/>
  <c r="HT61"/>
  <c r="HP61"/>
  <c r="FE70"/>
  <c r="FI53"/>
  <c r="HT36"/>
  <c r="HW36"/>
  <c r="HL36"/>
  <c r="HR36"/>
  <c r="HV36"/>
  <c r="HO36"/>
  <c r="HU36"/>
  <c r="HP36"/>
  <c r="HI36"/>
  <c r="HQ36"/>
  <c r="HM36"/>
  <c r="HS36"/>
  <c r="FO36"/>
  <c r="FI36"/>
  <c r="FE36"/>
  <c r="R40" i="21"/>
  <c r="D39"/>
  <c r="FE76" i="24"/>
  <c r="U34" i="40"/>
  <c r="BD35" i="24"/>
  <c r="IV35"/>
  <c r="KV35" s="1"/>
  <c r="IV80"/>
  <c r="KV80" s="1"/>
  <c r="JU80"/>
  <c r="KR80" s="1"/>
  <c r="IV72"/>
  <c r="KV72" s="1"/>
  <c r="HT72"/>
  <c r="HV72"/>
  <c r="HU72"/>
  <c r="HQ72"/>
  <c r="HI72"/>
  <c r="HW72"/>
  <c r="HL72"/>
  <c r="HM72" s="1"/>
  <c r="GF64"/>
  <c r="BP64"/>
  <c r="HE64"/>
  <c r="HT64"/>
  <c r="HQ64"/>
  <c r="HW64"/>
  <c r="HI64"/>
  <c r="HL64" s="1"/>
  <c r="HM64" s="1"/>
  <c r="HU64"/>
  <c r="HV64"/>
  <c r="R31" i="21"/>
  <c r="D30"/>
  <c r="BD87" i="24"/>
  <c r="CQ87" s="1"/>
  <c r="D38"/>
  <c r="FN38"/>
  <c r="HK38" s="1"/>
  <c r="CC38"/>
  <c r="FH38"/>
  <c r="FI38" s="1"/>
  <c r="IP38"/>
  <c r="EH38"/>
  <c r="FW38" s="1"/>
  <c r="FX38" s="1"/>
  <c r="FP38"/>
  <c r="HJ38" s="1"/>
  <c r="EP38"/>
  <c r="FY38" s="1"/>
  <c r="FZ38" s="1"/>
  <c r="CA38"/>
  <c r="FF38"/>
  <c r="FG38" s="1"/>
  <c r="FL38"/>
  <c r="FM38" s="1"/>
  <c r="FR38"/>
  <c r="FT38" s="1"/>
  <c r="BQ38"/>
  <c r="BX38"/>
  <c r="FD38"/>
  <c r="FE38" s="1"/>
  <c r="HF38"/>
  <c r="T54" i="40" s="1"/>
  <c r="U54" s="1"/>
  <c r="BN38" i="24"/>
  <c r="BO38" s="1"/>
  <c r="BP38" s="1"/>
  <c r="EY38"/>
  <c r="FB38" s="1"/>
  <c r="Z20" i="1"/>
  <c r="P64" i="11"/>
  <c r="IP75" i="24"/>
  <c r="AP75"/>
  <c r="BQ75"/>
  <c r="EP75"/>
  <c r="FY75" s="1"/>
  <c r="FZ75" s="1"/>
  <c r="FF75"/>
  <c r="FG75" s="1"/>
  <c r="FR75"/>
  <c r="FT75" s="1"/>
  <c r="BX75"/>
  <c r="FH75"/>
  <c r="FI75" s="1"/>
  <c r="FP75"/>
  <c r="HJ75" s="1"/>
  <c r="D75"/>
  <c r="BN75"/>
  <c r="BO75" s="1"/>
  <c r="BP75" s="1"/>
  <c r="EH75"/>
  <c r="FW75" s="1"/>
  <c r="FX75" s="1"/>
  <c r="FN75"/>
  <c r="HK75" s="1"/>
  <c r="HF75"/>
  <c r="FD75"/>
  <c r="FE75" s="1"/>
  <c r="FL75"/>
  <c r="FM75" s="1"/>
  <c r="FQ74"/>
  <c r="IV74"/>
  <c r="KV74" s="1"/>
  <c r="FJ74"/>
  <c r="FK74" s="1"/>
  <c r="FQ70"/>
  <c r="IV70"/>
  <c r="KV70" s="1"/>
  <c r="HU70"/>
  <c r="HI70"/>
  <c r="HL70" s="1"/>
  <c r="HM70" s="1"/>
  <c r="HV70"/>
  <c r="HQ70"/>
  <c r="HW70"/>
  <c r="HT70"/>
  <c r="FU53"/>
  <c r="EX53"/>
  <c r="IP54"/>
  <c r="IQ54" s="1"/>
  <c r="BN54"/>
  <c r="BO54" s="1"/>
  <c r="BP54" s="1"/>
  <c r="FF54"/>
  <c r="FG54" s="1"/>
  <c r="FP54"/>
  <c r="HJ54" s="1"/>
  <c r="BB55"/>
  <c r="AP54"/>
  <c r="BQ54"/>
  <c r="FD54"/>
  <c r="FE54" s="1"/>
  <c r="FH54"/>
  <c r="FI54" s="1"/>
  <c r="FN54"/>
  <c r="HK54" s="1"/>
  <c r="FR54"/>
  <c r="D54"/>
  <c r="EP54"/>
  <c r="FY54" s="1"/>
  <c r="FZ54" s="1"/>
  <c r="EH54"/>
  <c r="FW54" s="1"/>
  <c r="FX54" s="1"/>
  <c r="FL54"/>
  <c r="FM54" s="1"/>
  <c r="HF54"/>
  <c r="EW53"/>
  <c r="FT53"/>
  <c r="FU36"/>
  <c r="FQ36"/>
  <c r="EY36"/>
  <c r="FB36" s="1"/>
  <c r="KR36"/>
  <c r="KQ36"/>
  <c r="BD36"/>
  <c r="IV36"/>
  <c r="KV36" s="1"/>
  <c r="HX81"/>
  <c r="IA81"/>
  <c r="Y25" i="54"/>
  <c r="D25"/>
  <c r="EY76" i="24"/>
  <c r="FB76" s="1"/>
  <c r="JV76"/>
  <c r="KQ76" s="1"/>
  <c r="JU76"/>
  <c r="KR76" s="1"/>
  <c r="IV76"/>
  <c r="KV76" s="1"/>
  <c r="HI76"/>
  <c r="HL76" s="1"/>
  <c r="HQ76"/>
  <c r="HT76"/>
  <c r="HU76"/>
  <c r="HW76"/>
  <c r="HV76"/>
  <c r="EY44"/>
  <c r="FB44" s="1"/>
  <c r="FQ44"/>
  <c r="FT44"/>
  <c r="IP45"/>
  <c r="IQ45" s="1"/>
  <c r="FP45"/>
  <c r="HJ45" s="1"/>
  <c r="AP45"/>
  <c r="FF45"/>
  <c r="FG45" s="1"/>
  <c r="FL45"/>
  <c r="FM45" s="1"/>
  <c r="EP45"/>
  <c r="FY45" s="1"/>
  <c r="FZ45" s="1"/>
  <c r="D45"/>
  <c r="FR45"/>
  <c r="FN45"/>
  <c r="HK45" s="1"/>
  <c r="BN45"/>
  <c r="BO45" s="1"/>
  <c r="BP45" s="1"/>
  <c r="FD45"/>
  <c r="FE45" s="1"/>
  <c r="FH45"/>
  <c r="FI45" s="1"/>
  <c r="FO45"/>
  <c r="BQ45"/>
  <c r="HF45"/>
  <c r="T77" i="40" s="1"/>
  <c r="U77" s="1"/>
  <c r="BB46" i="24"/>
  <c r="T79" i="40" s="1"/>
  <c r="Y79" s="1"/>
  <c r="AD79" s="1"/>
  <c r="BD81" i="24"/>
  <c r="CQ81" s="1"/>
  <c r="BD22"/>
  <c r="CQ22" s="1"/>
  <c r="HT73"/>
  <c r="HV73"/>
  <c r="HU73"/>
  <c r="HW73"/>
  <c r="HI73"/>
  <c r="HL73" s="1"/>
  <c r="HM73" s="1"/>
  <c r="HQ73"/>
  <c r="FT73"/>
  <c r="FM73"/>
  <c r="FU73"/>
  <c r="IV73"/>
  <c r="KV73" s="1"/>
  <c r="D62"/>
  <c r="BN62"/>
  <c r="BO62" s="1"/>
  <c r="BP62" s="1"/>
  <c r="BX62"/>
  <c r="CB62" s="1"/>
  <c r="GK62" s="1"/>
  <c r="FF62"/>
  <c r="FG62" s="1"/>
  <c r="FP62"/>
  <c r="HJ62" s="1"/>
  <c r="BQ62"/>
  <c r="AP62"/>
  <c r="EH62"/>
  <c r="FW62" s="1"/>
  <c r="FX62" s="1"/>
  <c r="FD62"/>
  <c r="FE62" s="1"/>
  <c r="FH62"/>
  <c r="FI62" s="1"/>
  <c r="FN62"/>
  <c r="HK62" s="1"/>
  <c r="FR62"/>
  <c r="HF62"/>
  <c r="EP62"/>
  <c r="FY62" s="1"/>
  <c r="FZ62" s="1"/>
  <c r="ET62"/>
  <c r="GB62" s="1"/>
  <c r="GC62" s="1"/>
  <c r="FL62"/>
  <c r="FM62" s="1"/>
  <c r="GL62"/>
  <c r="FU61"/>
  <c r="EY61"/>
  <c r="FB61" s="1"/>
  <c r="GC36"/>
  <c r="FG36"/>
  <c r="T73" i="40"/>
  <c r="Y73" s="1"/>
  <c r="AD73" s="1"/>
  <c r="T67"/>
  <c r="Y67" s="1"/>
  <c r="AD67" s="1"/>
  <c r="FU35" i="24"/>
  <c r="HQ35"/>
  <c r="HW35"/>
  <c r="HR35"/>
  <c r="HV35"/>
  <c r="HS35"/>
  <c r="GF35"/>
  <c r="GE35"/>
  <c r="FO80"/>
  <c r="EY80"/>
  <c r="FB80" s="1"/>
  <c r="FT80"/>
  <c r="HU80"/>
  <c r="HV80"/>
  <c r="HQ80"/>
  <c r="HW80"/>
  <c r="HT80"/>
  <c r="HI80"/>
  <c r="HL80" s="1"/>
  <c r="HM80" s="1"/>
  <c r="EY72"/>
  <c r="FB72" s="1"/>
  <c r="FT72"/>
  <c r="FJ72"/>
  <c r="FK72" s="1"/>
  <c r="FQ64"/>
  <c r="FT64"/>
  <c r="IV64"/>
  <c r="KV64" s="1"/>
  <c r="FM37"/>
  <c r="FJ37"/>
  <c r="FK37" s="1"/>
  <c r="GF37"/>
  <c r="GE37"/>
  <c r="CB37"/>
  <c r="IV37"/>
  <c r="KV37" s="1"/>
  <c r="JM37"/>
  <c r="JN37" s="1"/>
  <c r="BD37"/>
  <c r="FT37"/>
  <c r="HW37"/>
  <c r="HV37"/>
  <c r="HQ37"/>
  <c r="HI37"/>
  <c r="HU37"/>
  <c r="HR37"/>
  <c r="HL37"/>
  <c r="HO37"/>
  <c r="HT37"/>
  <c r="HP37"/>
  <c r="CE37"/>
  <c r="T38" i="40"/>
  <c r="U38" s="1"/>
  <c r="T46"/>
  <c r="U46" s="1"/>
  <c r="T71"/>
  <c r="U71" s="1"/>
  <c r="KD45" i="24" l="1"/>
  <c r="KA45"/>
  <c r="KB45" s="1"/>
  <c r="KC45" s="1"/>
  <c r="JY75"/>
  <c r="KD76"/>
  <c r="KA53"/>
  <c r="KB53" s="1"/>
  <c r="KC53" s="1"/>
  <c r="KD54"/>
  <c r="KA54"/>
  <c r="KB54" s="1"/>
  <c r="KC54" s="1"/>
  <c r="KD38"/>
  <c r="JY38"/>
  <c r="KA38"/>
  <c r="KB38" s="1"/>
  <c r="KC38" s="1"/>
  <c r="KG38" s="1"/>
  <c r="KE35"/>
  <c r="KA61"/>
  <c r="KB61" s="1"/>
  <c r="KC61" s="1"/>
  <c r="KD61"/>
  <c r="KA76"/>
  <c r="KB76" s="1"/>
  <c r="KC76" s="1"/>
  <c r="KD53"/>
  <c r="HR70"/>
  <c r="HO72"/>
  <c r="HO74"/>
  <c r="HP73"/>
  <c r="HR71"/>
  <c r="KM35"/>
  <c r="KT35" s="1"/>
  <c r="LA35"/>
  <c r="LB35"/>
  <c r="JX54"/>
  <c r="JY54" s="1"/>
  <c r="KI75"/>
  <c r="KH75"/>
  <c r="KK61"/>
  <c r="JX76"/>
  <c r="JY76" s="1"/>
  <c r="KK76"/>
  <c r="KI62"/>
  <c r="KH62"/>
  <c r="JY62"/>
  <c r="JX45"/>
  <c r="JY45" s="1"/>
  <c r="KI38"/>
  <c r="KK38"/>
  <c r="KH38"/>
  <c r="JX38"/>
  <c r="KN38" s="1"/>
  <c r="JX80"/>
  <c r="JY80" s="1"/>
  <c r="KJ35"/>
  <c r="KJ37"/>
  <c r="JX61"/>
  <c r="JY61" s="1"/>
  <c r="KN44"/>
  <c r="JX53"/>
  <c r="JY53" s="1"/>
  <c r="KN36"/>
  <c r="BU37"/>
  <c r="CD37" s="1"/>
  <c r="T42" i="40" s="1"/>
  <c r="FJ38" i="24"/>
  <c r="FK38" s="1"/>
  <c r="HM44"/>
  <c r="GE74"/>
  <c r="FU45"/>
  <c r="EY53"/>
  <c r="FB53" s="1"/>
  <c r="GF53" s="1"/>
  <c r="EY75"/>
  <c r="FB75" s="1"/>
  <c r="G189" i="11"/>
  <c r="G190" s="1"/>
  <c r="P191" s="1"/>
  <c r="FQ54" i="24"/>
  <c r="FO75"/>
  <c r="CB38"/>
  <c r="HP71"/>
  <c r="HQ53"/>
  <c r="HS53" s="1"/>
  <c r="HW53" s="1"/>
  <c r="HO73"/>
  <c r="HM37"/>
  <c r="FQ62"/>
  <c r="FO54"/>
  <c r="FU54"/>
  <c r="FQ75"/>
  <c r="FJ75"/>
  <c r="FK75" s="1"/>
  <c r="FO38"/>
  <c r="HS44"/>
  <c r="HX44" s="1"/>
  <c r="HS71"/>
  <c r="V34" i="40"/>
  <c r="GK36" i="24"/>
  <c r="GL36" s="1"/>
  <c r="KS76"/>
  <c r="HP64"/>
  <c r="HR64"/>
  <c r="HS64" s="1"/>
  <c r="HS70"/>
  <c r="HR72"/>
  <c r="HS72" s="1"/>
  <c r="KS36"/>
  <c r="HO70"/>
  <c r="KS61"/>
  <c r="KS44"/>
  <c r="HR74"/>
  <c r="HS74" s="1"/>
  <c r="HO80"/>
  <c r="HP80"/>
  <c r="HR80"/>
  <c r="HS80" s="1"/>
  <c r="BY37"/>
  <c r="U42" i="40"/>
  <c r="HS37" i="24"/>
  <c r="CQ37"/>
  <c r="E37"/>
  <c r="T40" i="40"/>
  <c r="Y40" s="1"/>
  <c r="AD40" s="1"/>
  <c r="GK37" i="24"/>
  <c r="GL37" s="1"/>
  <c r="V42" i="40"/>
  <c r="GG37" i="24"/>
  <c r="T44" i="40"/>
  <c r="GF80" i="24"/>
  <c r="GE80"/>
  <c r="GG35"/>
  <c r="IB35"/>
  <c r="FO62"/>
  <c r="FU62"/>
  <c r="FJ62"/>
  <c r="FK62" s="1"/>
  <c r="EY62"/>
  <c r="FB62" s="1"/>
  <c r="FT62"/>
  <c r="HU62"/>
  <c r="HL62"/>
  <c r="HI62"/>
  <c r="HQ62"/>
  <c r="HW62"/>
  <c r="HV62"/>
  <c r="HP62"/>
  <c r="HO62"/>
  <c r="HR62"/>
  <c r="HT62"/>
  <c r="HR73"/>
  <c r="HS73" s="1"/>
  <c r="FJ45"/>
  <c r="FK45" s="1"/>
  <c r="FQ45"/>
  <c r="EY45"/>
  <c r="FB45" s="1"/>
  <c r="KQ45"/>
  <c r="IV45"/>
  <c r="KV45" s="1"/>
  <c r="KR45"/>
  <c r="BD45"/>
  <c r="JM45"/>
  <c r="JN45" s="1"/>
  <c r="HM76"/>
  <c r="GE76"/>
  <c r="GF76"/>
  <c r="GF36"/>
  <c r="GE36"/>
  <c r="FJ54"/>
  <c r="FK54" s="1"/>
  <c r="KQ54"/>
  <c r="JM54"/>
  <c r="JN54" s="1"/>
  <c r="IV54"/>
  <c r="KV54" s="1"/>
  <c r="KR54"/>
  <c r="FU75"/>
  <c r="IV75"/>
  <c r="KV75" s="1"/>
  <c r="HI75"/>
  <c r="HL75" s="1"/>
  <c r="HQ75"/>
  <c r="HW75"/>
  <c r="HV75"/>
  <c r="HU75"/>
  <c r="HT75"/>
  <c r="FU38"/>
  <c r="FQ38"/>
  <c r="GF38"/>
  <c r="GE38"/>
  <c r="HQ38"/>
  <c r="HP38"/>
  <c r="HI38"/>
  <c r="HO38"/>
  <c r="HR38"/>
  <c r="HV38"/>
  <c r="HU38"/>
  <c r="HL38"/>
  <c r="HT38"/>
  <c r="HW38"/>
  <c r="HS38"/>
  <c r="BD38"/>
  <c r="IV38"/>
  <c r="KV38" s="1"/>
  <c r="R32" i="21"/>
  <c r="D31"/>
  <c r="CN37" i="24"/>
  <c r="CK37"/>
  <c r="CL37" s="1"/>
  <c r="JW37" s="1"/>
  <c r="Z42" i="40"/>
  <c r="AE42"/>
  <c r="HP72" i="24"/>
  <c r="HX72" s="1"/>
  <c r="JH72" s="1"/>
  <c r="JI72" s="1"/>
  <c r="CQ35"/>
  <c r="E35"/>
  <c r="R41" i="21"/>
  <c r="D40"/>
  <c r="CQ108" i="24"/>
  <c r="E108"/>
  <c r="GG71"/>
  <c r="Y26" i="54"/>
  <c r="D26"/>
  <c r="HM53" i="24"/>
  <c r="KQ53"/>
  <c r="GG70"/>
  <c r="HP74"/>
  <c r="BV37"/>
  <c r="GE72"/>
  <c r="GF72"/>
  <c r="GE61"/>
  <c r="GS61" s="1"/>
  <c r="GF61"/>
  <c r="IV62"/>
  <c r="KV62" s="1"/>
  <c r="JU62"/>
  <c r="JV62"/>
  <c r="IP46"/>
  <c r="IQ46" s="1"/>
  <c r="BQ46"/>
  <c r="HF46"/>
  <c r="T83" i="40" s="1"/>
  <c r="U83" s="1"/>
  <c r="BN46" i="24"/>
  <c r="BO46" s="1"/>
  <c r="BP46" s="1"/>
  <c r="FD46"/>
  <c r="FE46" s="1"/>
  <c r="FL46"/>
  <c r="FM46" s="1"/>
  <c r="FN46"/>
  <c r="HK46" s="1"/>
  <c r="FF46"/>
  <c r="FG46" s="1"/>
  <c r="D46"/>
  <c r="EP46"/>
  <c r="FY46" s="1"/>
  <c r="FZ46" s="1"/>
  <c r="FP46"/>
  <c r="HJ46" s="1"/>
  <c r="FH46"/>
  <c r="FI46" s="1"/>
  <c r="FR46"/>
  <c r="AP46"/>
  <c r="FO46"/>
  <c r="BB47"/>
  <c r="V87" i="40" s="1"/>
  <c r="FU46" i="24"/>
  <c r="V81" i="40"/>
  <c r="FT45" i="24"/>
  <c r="HO45"/>
  <c r="HV45"/>
  <c r="HP45"/>
  <c r="HQ45"/>
  <c r="HT45"/>
  <c r="HI45"/>
  <c r="HU45"/>
  <c r="HW45"/>
  <c r="HR45"/>
  <c r="HL45"/>
  <c r="HM45" s="1"/>
  <c r="GE44"/>
  <c r="GS44" s="1"/>
  <c r="GF44"/>
  <c r="T32" i="40"/>
  <c r="Y32" s="1"/>
  <c r="AD32" s="1"/>
  <c r="E36" i="24"/>
  <c r="CQ36"/>
  <c r="FT54"/>
  <c r="HL54"/>
  <c r="HT54"/>
  <c r="HO54"/>
  <c r="HR54" s="1"/>
  <c r="HP54"/>
  <c r="HI54"/>
  <c r="HU54"/>
  <c r="BB56"/>
  <c r="EH55"/>
  <c r="FW55" s="1"/>
  <c r="FX55" s="1"/>
  <c r="ER55"/>
  <c r="FD55"/>
  <c r="FE55" s="1"/>
  <c r="HF55"/>
  <c r="IP55"/>
  <c r="IQ55" s="1"/>
  <c r="D55"/>
  <c r="FR55"/>
  <c r="EP55"/>
  <c r="FY55" s="1"/>
  <c r="FZ55" s="1"/>
  <c r="AP55"/>
  <c r="BQ55"/>
  <c r="FF55"/>
  <c r="FG55" s="1"/>
  <c r="FL55"/>
  <c r="FN55"/>
  <c r="HK55" s="1"/>
  <c r="BN55"/>
  <c r="BO55" s="1"/>
  <c r="BP55" s="1"/>
  <c r="FP55"/>
  <c r="HJ55" s="1"/>
  <c r="FH55"/>
  <c r="FI55" s="1"/>
  <c r="FT55"/>
  <c r="FM55"/>
  <c r="HP70"/>
  <c r="GE75"/>
  <c r="GF75"/>
  <c r="AA20" i="1"/>
  <c r="P66" i="11"/>
  <c r="HO64" i="24"/>
  <c r="GG64"/>
  <c r="HX36"/>
  <c r="JH36" s="1"/>
  <c r="JI36" s="1"/>
  <c r="HM61"/>
  <c r="GG73"/>
  <c r="E44"/>
  <c r="CQ44"/>
  <c r="W27" i="54"/>
  <c r="G28"/>
  <c r="GG74" i="24"/>
  <c r="T66" i="40"/>
  <c r="Y66" s="1"/>
  <c r="AD66" s="1"/>
  <c r="KA62" i="24" l="1"/>
  <c r="KB62" s="1"/>
  <c r="KC62" s="1"/>
  <c r="KG62" s="1"/>
  <c r="GE53"/>
  <c r="GS53" s="1"/>
  <c r="KO35"/>
  <c r="KD62"/>
  <c r="KD55"/>
  <c r="KA55"/>
  <c r="KB55" s="1"/>
  <c r="KC55" s="1"/>
  <c r="KD46"/>
  <c r="KA46"/>
  <c r="KB46" s="1"/>
  <c r="KC46" s="1"/>
  <c r="KF37"/>
  <c r="KE37"/>
  <c r="KK62"/>
  <c r="P190" i="11"/>
  <c r="KP35" i="24"/>
  <c r="KJ38"/>
  <c r="KN53"/>
  <c r="KN80"/>
  <c r="KN45"/>
  <c r="JX62"/>
  <c r="KN62" s="1"/>
  <c r="KN54"/>
  <c r="KK55"/>
  <c r="JX55"/>
  <c r="JY55" s="1"/>
  <c r="KK46"/>
  <c r="JX46"/>
  <c r="JY46" s="1"/>
  <c r="KN61"/>
  <c r="KN76"/>
  <c r="KS53"/>
  <c r="HX74"/>
  <c r="JH74" s="1"/>
  <c r="JI74" s="1"/>
  <c r="HX70"/>
  <c r="JH70" s="1"/>
  <c r="JI70" s="1"/>
  <c r="EY46"/>
  <c r="FB46" s="1"/>
  <c r="HX37"/>
  <c r="JH37" s="1"/>
  <c r="HV53"/>
  <c r="HX53" s="1"/>
  <c r="HX71"/>
  <c r="JH71" s="1"/>
  <c r="JI71" s="1"/>
  <c r="FQ46"/>
  <c r="G191" i="11"/>
  <c r="HX64" i="24"/>
  <c r="JH64" s="1"/>
  <c r="JI64" s="1"/>
  <c r="HM54"/>
  <c r="FJ46"/>
  <c r="FK46" s="1"/>
  <c r="HX73"/>
  <c r="JH73" s="1"/>
  <c r="JI73" s="1"/>
  <c r="FU55"/>
  <c r="HM38"/>
  <c r="HM62"/>
  <c r="HX80"/>
  <c r="JH80" s="1"/>
  <c r="JI80" s="1"/>
  <c r="V50" i="40"/>
  <c r="GK38" i="24"/>
  <c r="GL38" s="1"/>
  <c r="IA37"/>
  <c r="IA36"/>
  <c r="IA72"/>
  <c r="FO55"/>
  <c r="EQ55"/>
  <c r="ET55" s="1"/>
  <c r="FJ55"/>
  <c r="FK55" s="1"/>
  <c r="HS45"/>
  <c r="FQ55"/>
  <c r="KS54"/>
  <c r="KS45"/>
  <c r="HS62"/>
  <c r="HQ54"/>
  <c r="HS54" s="1"/>
  <c r="HW54" s="1"/>
  <c r="IA70"/>
  <c r="IA80"/>
  <c r="IA74"/>
  <c r="Y27" i="54"/>
  <c r="D27"/>
  <c r="BU38" i="24"/>
  <c r="CE38"/>
  <c r="CO38"/>
  <c r="BV38"/>
  <c r="HX61"/>
  <c r="GG75"/>
  <c r="KQ55"/>
  <c r="IV55"/>
  <c r="KV55" s="1"/>
  <c r="KR55"/>
  <c r="IP56"/>
  <c r="IQ56" s="1"/>
  <c r="D56"/>
  <c r="FP56"/>
  <c r="HJ56" s="1"/>
  <c r="BN56"/>
  <c r="BO56" s="1"/>
  <c r="BP56" s="1"/>
  <c r="FN56"/>
  <c r="HK56" s="1"/>
  <c r="ER56"/>
  <c r="ER54" s="1"/>
  <c r="FF56"/>
  <c r="FG56" s="1"/>
  <c r="FL56"/>
  <c r="FM56" s="1"/>
  <c r="HF56"/>
  <c r="BB57"/>
  <c r="EH56"/>
  <c r="FW56" s="1"/>
  <c r="FX56" s="1"/>
  <c r="AP56"/>
  <c r="FR56"/>
  <c r="FT56" s="1"/>
  <c r="EP56"/>
  <c r="FY56" s="1"/>
  <c r="FZ56" s="1"/>
  <c r="BQ56"/>
  <c r="FD56"/>
  <c r="FE56" s="1"/>
  <c r="FH56"/>
  <c r="FI56" s="1"/>
  <c r="GZ53"/>
  <c r="HB53" s="1"/>
  <c r="GU53"/>
  <c r="HC53" s="1"/>
  <c r="GG44"/>
  <c r="T69" i="40"/>
  <c r="HX45" i="24"/>
  <c r="JH45" s="1"/>
  <c r="D47"/>
  <c r="AP47"/>
  <c r="FF47"/>
  <c r="FG47" s="1"/>
  <c r="FR47"/>
  <c r="FD47"/>
  <c r="FE47" s="1"/>
  <c r="FL47"/>
  <c r="FM47" s="1"/>
  <c r="HF47"/>
  <c r="IP47"/>
  <c r="IQ47" s="1"/>
  <c r="BB48"/>
  <c r="BN47"/>
  <c r="BO47" s="1"/>
  <c r="BP47" s="1"/>
  <c r="BQ47"/>
  <c r="EP47"/>
  <c r="FY47" s="1"/>
  <c r="FZ47" s="1"/>
  <c r="FN47"/>
  <c r="HK47" s="1"/>
  <c r="FH47"/>
  <c r="FI47" s="1"/>
  <c r="FP47"/>
  <c r="HJ47" s="1"/>
  <c r="EY47"/>
  <c r="FB47" s="1"/>
  <c r="T89" i="40"/>
  <c r="U89" s="1"/>
  <c r="T85"/>
  <c r="Y85" s="1"/>
  <c r="AD85" s="1"/>
  <c r="IA73" i="24"/>
  <c r="GU61"/>
  <c r="HC61" s="1"/>
  <c r="GZ61"/>
  <c r="HB61" s="1"/>
  <c r="R42" i="21"/>
  <c r="D41"/>
  <c r="CM37" i="24"/>
  <c r="AA42" i="40"/>
  <c r="AF42"/>
  <c r="HG37" i="24"/>
  <c r="HX38"/>
  <c r="JH38" s="1"/>
  <c r="GG76"/>
  <c r="HO76"/>
  <c r="HP76"/>
  <c r="HR76"/>
  <c r="HS76" s="1"/>
  <c r="E45"/>
  <c r="CQ45"/>
  <c r="T72" i="40"/>
  <c r="Y72" s="1"/>
  <c r="AD72" s="1"/>
  <c r="GE45" i="24"/>
  <c r="GS45" s="1"/>
  <c r="GF45"/>
  <c r="HX62"/>
  <c r="JH62" s="1"/>
  <c r="JI62" s="1"/>
  <c r="IB37"/>
  <c r="W28" i="54"/>
  <c r="G29"/>
  <c r="IA64" i="24"/>
  <c r="AB20" i="1"/>
  <c r="P67" i="11"/>
  <c r="EX55" i="24"/>
  <c r="HL55"/>
  <c r="HU55"/>
  <c r="HP55"/>
  <c r="HI55"/>
  <c r="HO55"/>
  <c r="HR55" s="1"/>
  <c r="HT55"/>
  <c r="GG53"/>
  <c r="GU44"/>
  <c r="HC44" s="1"/>
  <c r="GZ44"/>
  <c r="HB44" s="1"/>
  <c r="GF46"/>
  <c r="GE46"/>
  <c r="GS46" s="1"/>
  <c r="FT46"/>
  <c r="HI46"/>
  <c r="HP46"/>
  <c r="HW46"/>
  <c r="HO46"/>
  <c r="HR46"/>
  <c r="HL46"/>
  <c r="HU46"/>
  <c r="HT46"/>
  <c r="HQ46"/>
  <c r="HS46" s="1"/>
  <c r="HV46"/>
  <c r="KR46"/>
  <c r="IV46"/>
  <c r="KV46" s="1"/>
  <c r="KQ46"/>
  <c r="BD46"/>
  <c r="GG61"/>
  <c r="GG72"/>
  <c r="IB72"/>
  <c r="IA44"/>
  <c r="IW44" s="1"/>
  <c r="JH44"/>
  <c r="R33" i="21"/>
  <c r="D32"/>
  <c r="E38" i="24"/>
  <c r="CQ38"/>
  <c r="T48" i="40"/>
  <c r="Y48" s="1"/>
  <c r="AD48" s="1"/>
  <c r="GG38" i="24"/>
  <c r="T52" i="40"/>
  <c r="HM75" i="24"/>
  <c r="GN36"/>
  <c r="GG36"/>
  <c r="T36" i="40"/>
  <c r="IB36" i="24"/>
  <c r="GF62"/>
  <c r="GE62"/>
  <c r="GS62" s="1"/>
  <c r="GG80"/>
  <c r="IB80"/>
  <c r="U44" i="40"/>
  <c r="KD47" i="24" l="1"/>
  <c r="JY47"/>
  <c r="KA47"/>
  <c r="KB47" s="1"/>
  <c r="KC47" s="1"/>
  <c r="KG47" s="1"/>
  <c r="KD56"/>
  <c r="JY56"/>
  <c r="KA56"/>
  <c r="KB56" s="1"/>
  <c r="KC56" s="1"/>
  <c r="KG56" s="1"/>
  <c r="IW64"/>
  <c r="IM64"/>
  <c r="IW73"/>
  <c r="IM73"/>
  <c r="IW74"/>
  <c r="IM74"/>
  <c r="IW70"/>
  <c r="IM70"/>
  <c r="IW72"/>
  <c r="IM72"/>
  <c r="IN72" s="1"/>
  <c r="Y44" i="40"/>
  <c r="AA44" s="1"/>
  <c r="IW37" i="24"/>
  <c r="IM44"/>
  <c r="IW80"/>
  <c r="IM80"/>
  <c r="Y36" i="40"/>
  <c r="AA36" s="1"/>
  <c r="IW36" i="24"/>
  <c r="IM36"/>
  <c r="IN36" s="1"/>
  <c r="IM37"/>
  <c r="IN37" s="1"/>
  <c r="IA71"/>
  <c r="KJ62"/>
  <c r="KI47"/>
  <c r="KK47"/>
  <c r="KH47"/>
  <c r="JX47"/>
  <c r="KN47" s="1"/>
  <c r="KN55"/>
  <c r="KI56"/>
  <c r="KK56"/>
  <c r="KK54" s="1"/>
  <c r="KH56"/>
  <c r="JX56"/>
  <c r="KN56" s="1"/>
  <c r="KN46"/>
  <c r="JH53"/>
  <c r="IA53"/>
  <c r="HV54"/>
  <c r="HX54" s="1"/>
  <c r="FO56"/>
  <c r="HM46"/>
  <c r="HD44"/>
  <c r="FQ56"/>
  <c r="HQ55"/>
  <c r="HS55" s="1"/>
  <c r="HV55" s="1"/>
  <c r="HM55"/>
  <c r="IA62"/>
  <c r="IW62" s="1"/>
  <c r="FO47"/>
  <c r="FJ47"/>
  <c r="FK47" s="1"/>
  <c r="HD53"/>
  <c r="FJ56"/>
  <c r="FK56" s="1"/>
  <c r="GB55"/>
  <c r="GC55" s="1"/>
  <c r="EW55"/>
  <c r="EY55" s="1"/>
  <c r="FB55" s="1"/>
  <c r="KS46"/>
  <c r="KS55"/>
  <c r="HX76"/>
  <c r="IA38"/>
  <c r="IA45"/>
  <c r="HX46"/>
  <c r="JH46" s="1"/>
  <c r="JH76"/>
  <c r="JI76" s="1"/>
  <c r="IA76"/>
  <c r="GG62"/>
  <c r="IB62"/>
  <c r="U52" i="40"/>
  <c r="R34" i="21"/>
  <c r="D33"/>
  <c r="GU46" i="24"/>
  <c r="HC46" s="1"/>
  <c r="GZ46"/>
  <c r="HB46" s="1"/>
  <c r="IN64"/>
  <c r="IB64"/>
  <c r="W29" i="54"/>
  <c r="G30"/>
  <c r="GZ45" i="24"/>
  <c r="HB45" s="1"/>
  <c r="GU45"/>
  <c r="HC45" s="1"/>
  <c r="JI37"/>
  <c r="JJ37" s="1"/>
  <c r="JP37" s="1"/>
  <c r="JI38"/>
  <c r="IY61"/>
  <c r="GF47"/>
  <c r="GE47"/>
  <c r="GS47" s="1"/>
  <c r="U69" i="40"/>
  <c r="FR57" i="24"/>
  <c r="EH57"/>
  <c r="FW57" s="1"/>
  <c r="FX57" s="1"/>
  <c r="FL57"/>
  <c r="FM57" s="1"/>
  <c r="IP57"/>
  <c r="IQ57" s="1"/>
  <c r="D57"/>
  <c r="FP57"/>
  <c r="HJ57" s="1"/>
  <c r="EP57"/>
  <c r="FY57" s="1"/>
  <c r="FZ57" s="1"/>
  <c r="AP57"/>
  <c r="FD57"/>
  <c r="FE57" s="1"/>
  <c r="FH57"/>
  <c r="FI57" s="1"/>
  <c r="FT57"/>
  <c r="ER57"/>
  <c r="BB58"/>
  <c r="FN57"/>
  <c r="HK57" s="1"/>
  <c r="FF57"/>
  <c r="FG57" s="1"/>
  <c r="HF57"/>
  <c r="IA61"/>
  <c r="JH61"/>
  <c r="JI61" s="1"/>
  <c r="CI38"/>
  <c r="CD38"/>
  <c r="T50" i="40" s="1"/>
  <c r="U50"/>
  <c r="BY38" i="24"/>
  <c r="U36" i="40"/>
  <c r="GU62" i="24"/>
  <c r="HC62" s="1"/>
  <c r="GZ62"/>
  <c r="HB62" s="1"/>
  <c r="HO75"/>
  <c r="HP75"/>
  <c r="HR75"/>
  <c r="HS75" s="1"/>
  <c r="IN44"/>
  <c r="Y69" i="40"/>
  <c r="IO37" i="24"/>
  <c r="IT37" s="1"/>
  <c r="IR37"/>
  <c r="IS37" s="1"/>
  <c r="CQ46"/>
  <c r="E46"/>
  <c r="T78" i="40"/>
  <c r="Y78" s="1"/>
  <c r="AD78" s="1"/>
  <c r="GG46" i="24"/>
  <c r="T81" i="40"/>
  <c r="IY44" i="24"/>
  <c r="HW55"/>
  <c r="HX55" s="1"/>
  <c r="AC20" i="1"/>
  <c r="P68" i="11"/>
  <c r="IO36" i="24"/>
  <c r="IT36" s="1"/>
  <c r="IX36" s="1"/>
  <c r="IR36"/>
  <c r="IS36" s="1"/>
  <c r="Y28" i="54"/>
  <c r="D28"/>
  <c r="GG45" i="24"/>
  <c r="T75" i="40"/>
  <c r="IB45" i="24"/>
  <c r="AD42" i="40"/>
  <c r="Y42"/>
  <c r="R43" i="21"/>
  <c r="D43" s="1"/>
  <c r="D42"/>
  <c r="HD61" i="24"/>
  <c r="IN73"/>
  <c r="IB73"/>
  <c r="FQ47"/>
  <c r="FU47"/>
  <c r="IP48"/>
  <c r="IQ48" s="1"/>
  <c r="BB49"/>
  <c r="V97" i="40" s="1"/>
  <c r="D48" i="24"/>
  <c r="FR48"/>
  <c r="FN48"/>
  <c r="HK48" s="1"/>
  <c r="BN48"/>
  <c r="HF48"/>
  <c r="T94" i="40" s="1"/>
  <c r="U94" s="1"/>
  <c r="BO48" i="24"/>
  <c r="BP48" s="1"/>
  <c r="FH48"/>
  <c r="FI48" s="1"/>
  <c r="FT48"/>
  <c r="FO48"/>
  <c r="FP48"/>
  <c r="HJ48" s="1"/>
  <c r="AP48"/>
  <c r="EP48"/>
  <c r="FY48" s="1"/>
  <c r="FZ48" s="1"/>
  <c r="FD48"/>
  <c r="FE48" s="1"/>
  <c r="FL48"/>
  <c r="FM48" s="1"/>
  <c r="FF48"/>
  <c r="FG48" s="1"/>
  <c r="BQ48"/>
  <c r="FJ48"/>
  <c r="FK48" s="1"/>
  <c r="V92" i="40"/>
  <c r="FT47" i="24"/>
  <c r="HR47"/>
  <c r="HQ47"/>
  <c r="HP47"/>
  <c r="HT47"/>
  <c r="HI47"/>
  <c r="HU47"/>
  <c r="HW47"/>
  <c r="HL47"/>
  <c r="HV47"/>
  <c r="HO47"/>
  <c r="IV47"/>
  <c r="KV47" s="1"/>
  <c r="JM47"/>
  <c r="JN47" s="1"/>
  <c r="BD47"/>
  <c r="Y75" i="40"/>
  <c r="IB44" i="24"/>
  <c r="IY53"/>
  <c r="FU56"/>
  <c r="EQ56"/>
  <c r="HI56"/>
  <c r="HO56"/>
  <c r="HR56" s="1"/>
  <c r="HL56"/>
  <c r="HU56"/>
  <c r="HT56"/>
  <c r="HP56"/>
  <c r="HM56"/>
  <c r="IV56"/>
  <c r="KV56" s="1"/>
  <c r="IN74"/>
  <c r="IB74"/>
  <c r="IN80"/>
  <c r="IN70"/>
  <c r="IB70"/>
  <c r="Z44" i="40" l="1"/>
  <c r="KD57" i="24"/>
  <c r="KA57"/>
  <c r="KB57" s="1"/>
  <c r="KC57" s="1"/>
  <c r="KG57" s="1"/>
  <c r="JY57"/>
  <c r="KD48"/>
  <c r="KA48"/>
  <c r="KB48" s="1"/>
  <c r="KC48" s="1"/>
  <c r="KG48" s="1"/>
  <c r="JY48"/>
  <c r="IR72"/>
  <c r="IO72"/>
  <c r="IT72" s="1"/>
  <c r="IX72" s="1"/>
  <c r="IZ72" s="1"/>
  <c r="IW61"/>
  <c r="IM61"/>
  <c r="IW45"/>
  <c r="IM45"/>
  <c r="IN45" s="1"/>
  <c r="IB53"/>
  <c r="IW53"/>
  <c r="IM53"/>
  <c r="IN53" s="1"/>
  <c r="IW71"/>
  <c r="IM71"/>
  <c r="Z36" i="40"/>
  <c r="IW76" i="24"/>
  <c r="IM76"/>
  <c r="IB38"/>
  <c r="IW38"/>
  <c r="IM38"/>
  <c r="IN38" s="1"/>
  <c r="IM62"/>
  <c r="IN62" s="1"/>
  <c r="IR62" s="1"/>
  <c r="IS62" s="1"/>
  <c r="FU57"/>
  <c r="Y52" i="40"/>
  <c r="AA52" s="1"/>
  <c r="IB71" i="24"/>
  <c r="IN71"/>
  <c r="KK53"/>
  <c r="KI57"/>
  <c r="KK57"/>
  <c r="KH57"/>
  <c r="JX57"/>
  <c r="KN57" s="1"/>
  <c r="KJ47"/>
  <c r="KI48"/>
  <c r="KK48"/>
  <c r="KH48"/>
  <c r="JX48"/>
  <c r="KN48" s="1"/>
  <c r="KJ56"/>
  <c r="JH54"/>
  <c r="IA54"/>
  <c r="EQ57"/>
  <c r="ET57" s="1"/>
  <c r="GB57" s="1"/>
  <c r="GC57" s="1"/>
  <c r="FU48"/>
  <c r="EY48"/>
  <c r="FB48" s="1"/>
  <c r="GF48" s="1"/>
  <c r="FO57"/>
  <c r="FQ57"/>
  <c r="FJ57"/>
  <c r="FK57" s="1"/>
  <c r="GF55"/>
  <c r="GE55"/>
  <c r="GS55" s="1"/>
  <c r="HM47"/>
  <c r="HS47"/>
  <c r="FQ48"/>
  <c r="HX75"/>
  <c r="HD62"/>
  <c r="HD45"/>
  <c r="JH55"/>
  <c r="JI55" s="1"/>
  <c r="JI53" s="1"/>
  <c r="JI54" s="1"/>
  <c r="JJ54" s="1"/>
  <c r="IA55"/>
  <c r="IW55" s="1"/>
  <c r="EX57"/>
  <c r="EW57"/>
  <c r="EY57" s="1"/>
  <c r="FB57" s="1"/>
  <c r="JD36"/>
  <c r="JA36"/>
  <c r="IQ36"/>
  <c r="IZ36"/>
  <c r="JH75"/>
  <c r="JI75" s="1"/>
  <c r="IA75"/>
  <c r="IO70"/>
  <c r="IT70" s="1"/>
  <c r="IR70"/>
  <c r="IX70"/>
  <c r="HQ56"/>
  <c r="HS56" s="1"/>
  <c r="AA75" i="40"/>
  <c r="Z75"/>
  <c r="GE48" i="24"/>
  <c r="GS48" s="1"/>
  <c r="IV48"/>
  <c r="KV48" s="1"/>
  <c r="BD48"/>
  <c r="IO73"/>
  <c r="IT73" s="1"/>
  <c r="IR73"/>
  <c r="IX73"/>
  <c r="GG55"/>
  <c r="U81" i="40"/>
  <c r="IO44" i="24"/>
  <c r="IT44" s="1"/>
  <c r="IR44"/>
  <c r="IX44"/>
  <c r="Z50" i="40"/>
  <c r="CK38" i="24"/>
  <c r="CL38" s="1"/>
  <c r="JW38" s="1"/>
  <c r="CN38"/>
  <c r="AE50" i="40"/>
  <c r="JA72" i="24"/>
  <c r="IP58"/>
  <c r="IQ58" s="1"/>
  <c r="D58"/>
  <c r="BN58"/>
  <c r="BO58" s="1"/>
  <c r="BP58" s="1"/>
  <c r="FD58"/>
  <c r="FE58" s="1"/>
  <c r="FH58"/>
  <c r="FI58" s="1"/>
  <c r="FN58"/>
  <c r="HK58" s="1"/>
  <c r="FR58"/>
  <c r="BQ58"/>
  <c r="EP58"/>
  <c r="FY58" s="1"/>
  <c r="FZ58" s="1"/>
  <c r="BB59"/>
  <c r="AP58"/>
  <c r="EH58"/>
  <c r="FW58" s="1"/>
  <c r="FX58" s="1"/>
  <c r="FF58"/>
  <c r="FG58" s="1"/>
  <c r="FL58"/>
  <c r="FM58" s="1"/>
  <c r="FP58"/>
  <c r="HJ58" s="1"/>
  <c r="HF58"/>
  <c r="ER58"/>
  <c r="FO58"/>
  <c r="GG47"/>
  <c r="T87" i="40"/>
  <c r="Z52"/>
  <c r="IY45" i="24"/>
  <c r="W30" i="54"/>
  <c r="G31"/>
  <c r="HD46" i="24"/>
  <c r="IB76"/>
  <c r="IN76"/>
  <c r="IA46"/>
  <c r="IW46" s="1"/>
  <c r="IO80"/>
  <c r="IT80" s="1"/>
  <c r="IX80" s="1"/>
  <c r="IR80"/>
  <c r="IO74"/>
  <c r="IT74" s="1"/>
  <c r="IX74" s="1"/>
  <c r="IR74"/>
  <c r="EQ54"/>
  <c r="ET54" s="1"/>
  <c r="ET56"/>
  <c r="CQ47"/>
  <c r="E47"/>
  <c r="T84" i="40"/>
  <c r="Y84" s="1"/>
  <c r="AD84" s="1"/>
  <c r="HO48" i="24"/>
  <c r="HR48"/>
  <c r="HV48"/>
  <c r="HL48"/>
  <c r="HP48"/>
  <c r="HQ48"/>
  <c r="HS48" s="1"/>
  <c r="HT48"/>
  <c r="HI48"/>
  <c r="HM48" s="1"/>
  <c r="HU48"/>
  <c r="HW48"/>
  <c r="IP49"/>
  <c r="IQ49" s="1"/>
  <c r="BB50"/>
  <c r="AP49"/>
  <c r="FD49"/>
  <c r="FE49" s="1"/>
  <c r="FH49"/>
  <c r="FI49" s="1"/>
  <c r="FP49"/>
  <c r="HJ49" s="1"/>
  <c r="FN49"/>
  <c r="HK49" s="1"/>
  <c r="D49"/>
  <c r="EP49"/>
  <c r="FY49" s="1"/>
  <c r="FZ49" s="1"/>
  <c r="FF49"/>
  <c r="FG49" s="1"/>
  <c r="FL49"/>
  <c r="FM49" s="1"/>
  <c r="FR49"/>
  <c r="HF49"/>
  <c r="T99" i="40" s="1"/>
  <c r="U99" s="1"/>
  <c r="IO38" i="24"/>
  <c r="IT38" s="1"/>
  <c r="IR38"/>
  <c r="IS38" s="1"/>
  <c r="U75" i="40"/>
  <c r="IO62" i="24"/>
  <c r="IT62" s="1"/>
  <c r="IU62" s="1"/>
  <c r="IU36"/>
  <c r="AD20" i="1"/>
  <c r="AE20" s="1"/>
  <c r="AF20" s="1"/>
  <c r="AG20" s="1"/>
  <c r="AH20" s="1"/>
  <c r="AI20" s="1"/>
  <c r="P69" i="11"/>
  <c r="GZ55" i="24"/>
  <c r="HB55" s="1"/>
  <c r="GU55"/>
  <c r="HC55" s="1"/>
  <c r="AA69" i="40"/>
  <c r="Z69"/>
  <c r="IY62" i="24"/>
  <c r="IN61"/>
  <c r="IB61"/>
  <c r="IU72"/>
  <c r="JM57"/>
  <c r="JN57" s="1"/>
  <c r="IV57"/>
  <c r="KV57" s="1"/>
  <c r="HP57"/>
  <c r="HI57"/>
  <c r="HO57"/>
  <c r="HR57" s="1"/>
  <c r="HT57"/>
  <c r="HL57"/>
  <c r="HU57"/>
  <c r="GU47"/>
  <c r="HC47" s="1"/>
  <c r="GZ47"/>
  <c r="HB47" s="1"/>
  <c r="IX37"/>
  <c r="Y29" i="54"/>
  <c r="D29"/>
  <c r="IO64" i="24"/>
  <c r="IT64" s="1"/>
  <c r="IX64" s="1"/>
  <c r="IR64"/>
  <c r="IY46"/>
  <c r="R35" i="21"/>
  <c r="D35" s="1"/>
  <c r="D34"/>
  <c r="JI45" i="24"/>
  <c r="JI44"/>
  <c r="JI46"/>
  <c r="IQ72" l="1"/>
  <c r="KF38"/>
  <c r="KE38"/>
  <c r="KD49"/>
  <c r="KA49"/>
  <c r="KB49" s="1"/>
  <c r="KC49" s="1"/>
  <c r="KG49" s="1"/>
  <c r="JY49"/>
  <c r="KD58"/>
  <c r="KA58"/>
  <c r="KB58"/>
  <c r="KC58" s="1"/>
  <c r="IO45"/>
  <c r="IT45" s="1"/>
  <c r="IR45"/>
  <c r="IW75"/>
  <c r="IM75"/>
  <c r="HX47"/>
  <c r="JH47" s="1"/>
  <c r="IM55"/>
  <c r="IS72"/>
  <c r="IW54"/>
  <c r="IM54"/>
  <c r="IR53"/>
  <c r="IO53"/>
  <c r="IT53" s="1"/>
  <c r="IM46"/>
  <c r="IR71"/>
  <c r="IO71"/>
  <c r="IT71" s="1"/>
  <c r="KK45"/>
  <c r="KK44"/>
  <c r="KI49"/>
  <c r="KK49"/>
  <c r="KH49"/>
  <c r="JX49"/>
  <c r="KN49" s="1"/>
  <c r="KK58"/>
  <c r="JX58"/>
  <c r="KN58" s="1"/>
  <c r="KJ48"/>
  <c r="KJ57"/>
  <c r="IN54"/>
  <c r="FO49"/>
  <c r="HM57"/>
  <c r="FQ49"/>
  <c r="EY49"/>
  <c r="FB49" s="1"/>
  <c r="FU49"/>
  <c r="FQ58"/>
  <c r="FU58"/>
  <c r="IB55"/>
  <c r="IX62"/>
  <c r="HD47"/>
  <c r="FJ49"/>
  <c r="FK49" s="1"/>
  <c r="EQ58"/>
  <c r="ET58" s="1"/>
  <c r="EW58" s="1"/>
  <c r="IS74"/>
  <c r="IS64"/>
  <c r="HQ57"/>
  <c r="HS57" s="1"/>
  <c r="HV57" s="1"/>
  <c r="IS73"/>
  <c r="IS70"/>
  <c r="IA47"/>
  <c r="IW47" s="1"/>
  <c r="HX48"/>
  <c r="JH48" s="1"/>
  <c r="BD54"/>
  <c r="BD70"/>
  <c r="BD71"/>
  <c r="BD72"/>
  <c r="BD80"/>
  <c r="BD74"/>
  <c r="BD76"/>
  <c r="BD56"/>
  <c r="BD64"/>
  <c r="BD53"/>
  <c r="BD61"/>
  <c r="BD62"/>
  <c r="BD73"/>
  <c r="IQ64"/>
  <c r="IZ64"/>
  <c r="JA64"/>
  <c r="IU64"/>
  <c r="BD106"/>
  <c r="BD82"/>
  <c r="IY47"/>
  <c r="HW57"/>
  <c r="HX57" s="1"/>
  <c r="JH57" s="1"/>
  <c r="JI57" s="1"/>
  <c r="JO57" s="1"/>
  <c r="IZ62"/>
  <c r="BD96"/>
  <c r="T173" i="40"/>
  <c r="BD113" i="24"/>
  <c r="HD55"/>
  <c r="AJ20" i="1"/>
  <c r="P37" i="11"/>
  <c r="BD92" i="24"/>
  <c r="BB51"/>
  <c r="V311" i="40" s="1"/>
  <c r="FD50" i="24"/>
  <c r="FE50" s="1"/>
  <c r="FH50"/>
  <c r="FI50" s="1"/>
  <c r="FN50"/>
  <c r="HK50" s="1"/>
  <c r="FR50"/>
  <c r="FT50" s="1"/>
  <c r="AP50"/>
  <c r="IP50"/>
  <c r="IQ50" s="1"/>
  <c r="BQ50"/>
  <c r="EP50"/>
  <c r="FY50" s="1"/>
  <c r="FZ50" s="1"/>
  <c r="FL50"/>
  <c r="FM50" s="1"/>
  <c r="HF50"/>
  <c r="T104" i="40" s="1"/>
  <c r="U104" s="1"/>
  <c r="BN50" i="24"/>
  <c r="BO50" s="1"/>
  <c r="BP50" s="1"/>
  <c r="D50"/>
  <c r="FF50"/>
  <c r="FG50" s="1"/>
  <c r="FP50"/>
  <c r="HJ50" s="1"/>
  <c r="V305" i="40"/>
  <c r="V329"/>
  <c r="V280"/>
  <c r="V408"/>
  <c r="V145"/>
  <c r="T305"/>
  <c r="T286"/>
  <c r="T143"/>
  <c r="Y143" s="1"/>
  <c r="AD143" s="1"/>
  <c r="Y262"/>
  <c r="Y362"/>
  <c r="Y161"/>
  <c r="V127"/>
  <c r="V385"/>
  <c r="V116"/>
  <c r="V139"/>
  <c r="V274"/>
  <c r="T215"/>
  <c r="T229"/>
  <c r="T200"/>
  <c r="V393"/>
  <c r="Y356"/>
  <c r="Y280"/>
  <c r="Y368"/>
  <c r="Y350"/>
  <c r="Y335"/>
  <c r="Y167"/>
  <c r="V368"/>
  <c r="V121"/>
  <c r="V402"/>
  <c r="V102"/>
  <c r="V356"/>
  <c r="V187"/>
  <c r="V262"/>
  <c r="T311"/>
  <c r="T317"/>
  <c r="T239"/>
  <c r="Y292"/>
  <c r="Y127"/>
  <c r="Y193"/>
  <c r="Y396"/>
  <c r="V362"/>
  <c r="V151"/>
  <c r="V176"/>
  <c r="V161"/>
  <c r="V286"/>
  <c r="V292"/>
  <c r="T127"/>
  <c r="T350"/>
  <c r="T184"/>
  <c r="V384"/>
  <c r="U383"/>
  <c r="Y203"/>
  <c r="Y209"/>
  <c r="Y229"/>
  <c r="Y256"/>
  <c r="Y305"/>
  <c r="EW56" i="24"/>
  <c r="GB56"/>
  <c r="GC56" s="1"/>
  <c r="EX56"/>
  <c r="EY56" s="1"/>
  <c r="FB56" s="1"/>
  <c r="JA74"/>
  <c r="IQ74"/>
  <c r="IZ74"/>
  <c r="IU74"/>
  <c r="IS80"/>
  <c r="Y81" i="40"/>
  <c r="IN46" i="24"/>
  <c r="IB46"/>
  <c r="IO76"/>
  <c r="IT76" s="1"/>
  <c r="IX76" s="1"/>
  <c r="IR76"/>
  <c r="BD75"/>
  <c r="P192" i="11"/>
  <c r="Y30" i="54"/>
  <c r="D30"/>
  <c r="T181" i="40"/>
  <c r="Y181" s="1"/>
  <c r="AD181" s="1"/>
  <c r="EX58" i="24"/>
  <c r="GB58"/>
  <c r="GC58" s="1"/>
  <c r="FT58"/>
  <c r="HO58"/>
  <c r="HR58" s="1"/>
  <c r="HL58"/>
  <c r="HI58"/>
  <c r="HP58"/>
  <c r="HU58"/>
  <c r="HT58"/>
  <c r="HG38"/>
  <c r="AA50" i="40"/>
  <c r="CM38" i="24"/>
  <c r="AF50" i="40"/>
  <c r="BD111" i="24"/>
  <c r="BD85"/>
  <c r="BD110"/>
  <c r="IU44"/>
  <c r="JA44"/>
  <c r="BD98"/>
  <c r="BD109"/>
  <c r="BD107"/>
  <c r="E48"/>
  <c r="CQ48"/>
  <c r="T90" i="40"/>
  <c r="Y90" s="1"/>
  <c r="AD90" s="1"/>
  <c r="GZ48" i="24"/>
  <c r="HB48" s="1"/>
  <c r="GU48"/>
  <c r="HC48" s="1"/>
  <c r="HW56"/>
  <c r="HV56"/>
  <c r="JA70"/>
  <c r="IZ70"/>
  <c r="IQ70"/>
  <c r="IU70"/>
  <c r="Y87" i="40"/>
  <c r="GE57" i="24"/>
  <c r="GS57" s="1"/>
  <c r="GF57"/>
  <c r="IN55"/>
  <c r="JA62"/>
  <c r="JD62"/>
  <c r="BD90"/>
  <c r="JD37"/>
  <c r="JE37"/>
  <c r="JA37"/>
  <c r="IQ37"/>
  <c r="IZ37"/>
  <c r="IA57"/>
  <c r="BD57"/>
  <c r="IO61"/>
  <c r="IT61" s="1"/>
  <c r="IU61" s="1"/>
  <c r="IR61"/>
  <c r="IS61" s="1"/>
  <c r="IX61"/>
  <c r="T179" i="40"/>
  <c r="Y179" s="1"/>
  <c r="AD179" s="1"/>
  <c r="BD88" i="24"/>
  <c r="BD104"/>
  <c r="IY55"/>
  <c r="BD97"/>
  <c r="GF49"/>
  <c r="GE49"/>
  <c r="GS49" s="1"/>
  <c r="FT49"/>
  <c r="HL49"/>
  <c r="HU49"/>
  <c r="HT49"/>
  <c r="HQ49"/>
  <c r="HV49"/>
  <c r="HI49"/>
  <c r="HP49"/>
  <c r="HW49"/>
  <c r="HO49"/>
  <c r="HR49"/>
  <c r="IV49"/>
  <c r="KV49" s="1"/>
  <c r="BD49"/>
  <c r="JM49"/>
  <c r="JN49" s="1"/>
  <c r="GB54"/>
  <c r="GC54" s="1"/>
  <c r="EX54"/>
  <c r="EW54"/>
  <c r="JA80"/>
  <c r="IQ80"/>
  <c r="IZ80"/>
  <c r="IU80"/>
  <c r="BD55"/>
  <c r="G192" i="11"/>
  <c r="W31" i="54"/>
  <c r="G32"/>
  <c r="IX38" i="24"/>
  <c r="IU38" s="1"/>
  <c r="BD103"/>
  <c r="U87" i="40"/>
  <c r="FJ58" i="24"/>
  <c r="FK58" s="1"/>
  <c r="IP59"/>
  <c r="IQ59" s="1"/>
  <c r="D59"/>
  <c r="EP59"/>
  <c r="FY59" s="1"/>
  <c r="FZ59" s="1"/>
  <c r="AP59"/>
  <c r="EH59"/>
  <c r="FW59" s="1"/>
  <c r="FX59" s="1"/>
  <c r="FF59"/>
  <c r="FG59" s="1"/>
  <c r="FL59"/>
  <c r="FM59" s="1"/>
  <c r="FP59"/>
  <c r="HJ59" s="1"/>
  <c r="HF59"/>
  <c r="FH59"/>
  <c r="FI59" s="1"/>
  <c r="FR59"/>
  <c r="ER59"/>
  <c r="FD59"/>
  <c r="FE59" s="1"/>
  <c r="FN59"/>
  <c r="HK59" s="1"/>
  <c r="FT59"/>
  <c r="IV58"/>
  <c r="KV58" s="1"/>
  <c r="KQ58"/>
  <c r="BD58"/>
  <c r="KR58"/>
  <c r="JM58"/>
  <c r="JN58" s="1"/>
  <c r="BD89"/>
  <c r="BD94"/>
  <c r="BD101"/>
  <c r="IS44"/>
  <c r="IU37"/>
  <c r="IZ44"/>
  <c r="BD83"/>
  <c r="BD100"/>
  <c r="BD93"/>
  <c r="BD86"/>
  <c r="JA73"/>
  <c r="IZ73"/>
  <c r="IQ73"/>
  <c r="IU73"/>
  <c r="GG48"/>
  <c r="T92" i="40"/>
  <c r="IB75" i="24"/>
  <c r="IN75"/>
  <c r="KD50" l="1"/>
  <c r="KA50"/>
  <c r="KB50" s="1"/>
  <c r="KC50" s="1"/>
  <c r="JY58"/>
  <c r="KD59"/>
  <c r="KA59"/>
  <c r="KB59" s="1"/>
  <c r="KC59" s="1"/>
  <c r="IX53"/>
  <c r="IX45"/>
  <c r="IS45" s="1"/>
  <c r="IM57"/>
  <c r="IN57" s="1"/>
  <c r="IW57"/>
  <c r="IS53"/>
  <c r="IM47"/>
  <c r="T320" i="40"/>
  <c r="Y320" s="1"/>
  <c r="IX71" i="24"/>
  <c r="IU71" s="1"/>
  <c r="KK59"/>
  <c r="JX59"/>
  <c r="JY59" s="1"/>
  <c r="KK50"/>
  <c r="JX50"/>
  <c r="KN50" s="1"/>
  <c r="KJ49"/>
  <c r="IR54"/>
  <c r="IO54"/>
  <c r="IT54" s="1"/>
  <c r="IX54" s="1"/>
  <c r="HM58"/>
  <c r="Y286" i="40"/>
  <c r="Y287" s="1"/>
  <c r="Z287" s="1"/>
  <c r="Y390"/>
  <c r="AA390" s="1"/>
  <c r="Y116"/>
  <c r="AA116" s="1"/>
  <c r="Y311"/>
  <c r="Z311" s="1"/>
  <c r="Y121"/>
  <c r="Z121" s="1"/>
  <c r="AD268"/>
  <c r="AF268" s="1"/>
  <c r="T47"/>
  <c r="AD329"/>
  <c r="AF329" s="1"/>
  <c r="T402"/>
  <c r="U402" s="1"/>
  <c r="T187"/>
  <c r="U187" s="1"/>
  <c r="V167"/>
  <c r="V350"/>
  <c r="V107"/>
  <c r="V268"/>
  <c r="V256"/>
  <c r="V209"/>
  <c r="Y187"/>
  <c r="Z187" s="1"/>
  <c r="Y408"/>
  <c r="AA408" s="1"/>
  <c r="Y323"/>
  <c r="Z323" s="1"/>
  <c r="U394"/>
  <c r="AD286"/>
  <c r="AE286" s="1"/>
  <c r="AD385"/>
  <c r="AF385" s="1"/>
  <c r="T280"/>
  <c r="U280" s="1"/>
  <c r="T292"/>
  <c r="U292" s="1"/>
  <c r="V323"/>
  <c r="V390"/>
  <c r="V203"/>
  <c r="V193"/>
  <c r="Y242"/>
  <c r="AA242" s="1"/>
  <c r="Y385"/>
  <c r="Z385" s="1"/>
  <c r="Y268"/>
  <c r="Z268" s="1"/>
  <c r="Y176"/>
  <c r="Z176" s="1"/>
  <c r="Y274"/>
  <c r="Z274" s="1"/>
  <c r="Y317"/>
  <c r="Z317" s="1"/>
  <c r="V399"/>
  <c r="AD350"/>
  <c r="AE350" s="1"/>
  <c r="T329"/>
  <c r="U329" s="1"/>
  <c r="T203"/>
  <c r="U203" s="1"/>
  <c r="T193"/>
  <c r="U193" s="1"/>
  <c r="V215"/>
  <c r="V133"/>
  <c r="V221"/>
  <c r="V335"/>
  <c r="Y215"/>
  <c r="AA215" s="1"/>
  <c r="Y221"/>
  <c r="Z221" s="1"/>
  <c r="Y329"/>
  <c r="AA329" s="1"/>
  <c r="Y402"/>
  <c r="Z402" s="1"/>
  <c r="T385"/>
  <c r="U385" s="1"/>
  <c r="T356"/>
  <c r="U356" s="1"/>
  <c r="T221"/>
  <c r="U221" s="1"/>
  <c r="V396"/>
  <c r="V317"/>
  <c r="V229"/>
  <c r="V242"/>
  <c r="EY50" i="24"/>
  <c r="FB50" s="1"/>
  <c r="GF50" s="1"/>
  <c r="FU59"/>
  <c r="EY54"/>
  <c r="FB54" s="1"/>
  <c r="GE54" s="1"/>
  <c r="GS54" s="1"/>
  <c r="FQ59"/>
  <c r="HQ58"/>
  <c r="HS58" s="1"/>
  <c r="HV58" s="1"/>
  <c r="FO50"/>
  <c r="HS49"/>
  <c r="EY58"/>
  <c r="FB58" s="1"/>
  <c r="GE58" s="1"/>
  <c r="GS58" s="1"/>
  <c r="HM49"/>
  <c r="FU50"/>
  <c r="KS58"/>
  <c r="IA48"/>
  <c r="IN47"/>
  <c r="IB47"/>
  <c r="HX56"/>
  <c r="HD48"/>
  <c r="GF54"/>
  <c r="GF58"/>
  <c r="U92" i="40"/>
  <c r="CQ86" i="24"/>
  <c r="E86"/>
  <c r="CQ100"/>
  <c r="E100"/>
  <c r="CQ94"/>
  <c r="E94"/>
  <c r="EQ59"/>
  <c r="ET59" s="1"/>
  <c r="FO59"/>
  <c r="FJ59"/>
  <c r="FK59" s="1"/>
  <c r="HI59"/>
  <c r="HU59"/>
  <c r="HP59"/>
  <c r="HT59"/>
  <c r="HL59"/>
  <c r="HO59"/>
  <c r="HR59" s="1"/>
  <c r="CQ103"/>
  <c r="E103"/>
  <c r="W32" i="54"/>
  <c r="G33"/>
  <c r="G193" i="11"/>
  <c r="P193"/>
  <c r="CQ55" i="24"/>
  <c r="E55"/>
  <c r="CQ49"/>
  <c r="E49"/>
  <c r="T95" i="40"/>
  <c r="Y95" s="1"/>
  <c r="AD95" s="1"/>
  <c r="GG49" i="24"/>
  <c r="T97" i="40"/>
  <c r="CQ88" i="24"/>
  <c r="E88"/>
  <c r="JA61"/>
  <c r="JD61"/>
  <c r="IZ61"/>
  <c r="GG57"/>
  <c r="IB57"/>
  <c r="AA87" i="40"/>
  <c r="Z87"/>
  <c r="IY48" i="24"/>
  <c r="CQ107"/>
  <c r="E107"/>
  <c r="CQ98"/>
  <c r="E98"/>
  <c r="CQ85"/>
  <c r="E85"/>
  <c r="IS76"/>
  <c r="AA81" i="40"/>
  <c r="Z81"/>
  <c r="AA286"/>
  <c r="AA256"/>
  <c r="Z256"/>
  <c r="AA229"/>
  <c r="Z229"/>
  <c r="Z209"/>
  <c r="AA209"/>
  <c r="Z203"/>
  <c r="AA203"/>
  <c r="Y184"/>
  <c r="AD184"/>
  <c r="AA396"/>
  <c r="Z396"/>
  <c r="Z193"/>
  <c r="AA193"/>
  <c r="AA335"/>
  <c r="Z335"/>
  <c r="AA350"/>
  <c r="Z350"/>
  <c r="AA368"/>
  <c r="Z368"/>
  <c r="AA280"/>
  <c r="Z280"/>
  <c r="AA356"/>
  <c r="Z356"/>
  <c r="Y200"/>
  <c r="AD200"/>
  <c r="U229"/>
  <c r="U215"/>
  <c r="Z161"/>
  <c r="AA161"/>
  <c r="AA362"/>
  <c r="Z362"/>
  <c r="AA262"/>
  <c r="Z262"/>
  <c r="U286"/>
  <c r="T287"/>
  <c r="U287" s="1"/>
  <c r="U305"/>
  <c r="FJ50" i="24"/>
  <c r="FK50" s="1"/>
  <c r="FQ50"/>
  <c r="GE50"/>
  <c r="GS50" s="1"/>
  <c r="IV50"/>
  <c r="KV50" s="1"/>
  <c r="KQ50"/>
  <c r="BD50"/>
  <c r="JM50"/>
  <c r="JN50" s="1"/>
  <c r="KR50"/>
  <c r="HO50"/>
  <c r="HU50"/>
  <c r="HL50"/>
  <c r="HT50"/>
  <c r="HV50"/>
  <c r="HI50"/>
  <c r="HQ50"/>
  <c r="HW50"/>
  <c r="HP50"/>
  <c r="HR50"/>
  <c r="IP51"/>
  <c r="IQ51" s="1"/>
  <c r="BQ51"/>
  <c r="EP51"/>
  <c r="FY51" s="1"/>
  <c r="FZ51" s="1"/>
  <c r="FF51"/>
  <c r="FG51" s="1"/>
  <c r="FL51"/>
  <c r="FP51"/>
  <c r="HJ51" s="1"/>
  <c r="HF51"/>
  <c r="D51"/>
  <c r="FD51"/>
  <c r="FE51" s="1"/>
  <c r="FH51"/>
  <c r="FI51" s="1"/>
  <c r="FN51"/>
  <c r="HK51" s="1"/>
  <c r="FR51"/>
  <c r="AP51"/>
  <c r="BN51"/>
  <c r="BO51" s="1"/>
  <c r="BP51" s="1"/>
  <c r="FM51"/>
  <c r="V407" i="40"/>
  <c r="T365"/>
  <c r="AD292"/>
  <c r="V160"/>
  <c r="AD274"/>
  <c r="T405"/>
  <c r="T163"/>
  <c r="U163" s="1"/>
  <c r="T270"/>
  <c r="U270" s="1"/>
  <c r="T258"/>
  <c r="U258" s="1"/>
  <c r="T358"/>
  <c r="U358" s="1"/>
  <c r="T141"/>
  <c r="U141" s="1"/>
  <c r="T325"/>
  <c r="U325" s="1"/>
  <c r="T359"/>
  <c r="V394"/>
  <c r="AD362"/>
  <c r="U388"/>
  <c r="T114"/>
  <c r="Y114" s="1"/>
  <c r="AD114" s="1"/>
  <c r="T253"/>
  <c r="T136"/>
  <c r="Y136" s="1"/>
  <c r="AD136" s="1"/>
  <c r="AD396"/>
  <c r="T189"/>
  <c r="U189" s="1"/>
  <c r="T337"/>
  <c r="U337" s="1"/>
  <c r="T147"/>
  <c r="U147" s="1"/>
  <c r="T205"/>
  <c r="U205" s="1"/>
  <c r="T109"/>
  <c r="U109" s="1"/>
  <c r="U400"/>
  <c r="V388"/>
  <c r="T265"/>
  <c r="AD368"/>
  <c r="T167"/>
  <c r="T362"/>
  <c r="T388"/>
  <c r="T164"/>
  <c r="Y164" s="1"/>
  <c r="AD164" s="1"/>
  <c r="T335"/>
  <c r="T408"/>
  <c r="T274"/>
  <c r="T176"/>
  <c r="T332"/>
  <c r="T212"/>
  <c r="T190"/>
  <c r="T314"/>
  <c r="V166"/>
  <c r="T406"/>
  <c r="AD335"/>
  <c r="T398"/>
  <c r="U398" s="1"/>
  <c r="T223"/>
  <c r="U223" s="1"/>
  <c r="T233"/>
  <c r="U233" s="1"/>
  <c r="T153"/>
  <c r="U153" s="1"/>
  <c r="T142"/>
  <c r="Y142" s="1"/>
  <c r="AD142" s="1"/>
  <c r="T326"/>
  <c r="AD256"/>
  <c r="U405"/>
  <c r="T149"/>
  <c r="Y149" s="1"/>
  <c r="AD149" s="1"/>
  <c r="T394"/>
  <c r="T259"/>
  <c r="T33"/>
  <c r="T137"/>
  <c r="Y137" s="1"/>
  <c r="AD137" s="1"/>
  <c r="T353"/>
  <c r="T217"/>
  <c r="U217" s="1"/>
  <c r="T282"/>
  <c r="U282" s="1"/>
  <c r="T135"/>
  <c r="U135" s="1"/>
  <c r="T352"/>
  <c r="U352" s="1"/>
  <c r="T364"/>
  <c r="U364" s="1"/>
  <c r="T264"/>
  <c r="U264" s="1"/>
  <c r="T256"/>
  <c r="T323"/>
  <c r="T116"/>
  <c r="T158"/>
  <c r="Y158" s="1"/>
  <c r="AD158" s="1"/>
  <c r="T242"/>
  <c r="T224"/>
  <c r="Y39"/>
  <c r="U399"/>
  <c r="AD323"/>
  <c r="V383"/>
  <c r="AD55"/>
  <c r="AD402"/>
  <c r="T169"/>
  <c r="U169" s="1"/>
  <c r="T118"/>
  <c r="U118" s="1"/>
  <c r="T410"/>
  <c r="U410" s="1"/>
  <c r="T178"/>
  <c r="U178" s="1"/>
  <c r="T211"/>
  <c r="U211" s="1"/>
  <c r="T49"/>
  <c r="Y55"/>
  <c r="AD408"/>
  <c r="T277"/>
  <c r="AD311"/>
  <c r="T387"/>
  <c r="U387" s="1"/>
  <c r="T370"/>
  <c r="U370" s="1"/>
  <c r="T319"/>
  <c r="U319" s="1"/>
  <c r="T244"/>
  <c r="U244" s="1"/>
  <c r="T276"/>
  <c r="U276" s="1"/>
  <c r="T125"/>
  <c r="Y125" s="1"/>
  <c r="AD125" s="1"/>
  <c r="T399"/>
  <c r="AD280"/>
  <c r="T119"/>
  <c r="Y119" s="1"/>
  <c r="AD119" s="1"/>
  <c r="T396"/>
  <c r="T161"/>
  <c r="T139"/>
  <c r="V401"/>
  <c r="T308"/>
  <c r="T130"/>
  <c r="Y130" s="1"/>
  <c r="AD130" s="1"/>
  <c r="T400"/>
  <c r="U406"/>
  <c r="T383"/>
  <c r="T368"/>
  <c r="T268"/>
  <c r="T209"/>
  <c r="T206"/>
  <c r="V405"/>
  <c r="AD47"/>
  <c r="T271"/>
  <c r="T347"/>
  <c r="T131"/>
  <c r="Y131" s="1"/>
  <c r="AD131" s="1"/>
  <c r="AD356"/>
  <c r="T55"/>
  <c r="T392"/>
  <c r="U392" s="1"/>
  <c r="T129"/>
  <c r="U129" s="1"/>
  <c r="T404"/>
  <c r="U404" s="1"/>
  <c r="T195"/>
  <c r="U195" s="1"/>
  <c r="T307"/>
  <c r="U307" s="1"/>
  <c r="V395"/>
  <c r="V389"/>
  <c r="U393"/>
  <c r="T331"/>
  <c r="U331" s="1"/>
  <c r="T313"/>
  <c r="U313" s="1"/>
  <c r="T123"/>
  <c r="U123" s="1"/>
  <c r="T288"/>
  <c r="U288" s="1"/>
  <c r="T294"/>
  <c r="U294" s="1"/>
  <c r="AD305"/>
  <c r="AD390"/>
  <c r="T262"/>
  <c r="V406"/>
  <c r="T302"/>
  <c r="AD39"/>
  <c r="V400"/>
  <c r="T390"/>
  <c r="Y173"/>
  <c r="AD173"/>
  <c r="CQ82" i="24"/>
  <c r="E82"/>
  <c r="CQ73"/>
  <c r="E73"/>
  <c r="CQ61"/>
  <c r="E61"/>
  <c r="CQ64"/>
  <c r="E64"/>
  <c r="CQ76"/>
  <c r="E76"/>
  <c r="E80"/>
  <c r="CQ80"/>
  <c r="CQ71"/>
  <c r="E71"/>
  <c r="E54"/>
  <c r="CQ54"/>
  <c r="JI48"/>
  <c r="JI47"/>
  <c r="JJ47" s="1"/>
  <c r="JP47" s="1"/>
  <c r="IO75"/>
  <c r="IT75" s="1"/>
  <c r="IX75" s="1"/>
  <c r="IR75"/>
  <c r="CQ93"/>
  <c r="E93"/>
  <c r="CQ83"/>
  <c r="E83"/>
  <c r="CQ101"/>
  <c r="E101"/>
  <c r="CQ89"/>
  <c r="E89"/>
  <c r="E58"/>
  <c r="CQ58"/>
  <c r="IV59"/>
  <c r="KV59" s="1"/>
  <c r="KQ59"/>
  <c r="JM59"/>
  <c r="JN59" s="1"/>
  <c r="BD59"/>
  <c r="KR59"/>
  <c r="JD38"/>
  <c r="JE38"/>
  <c r="Y54" i="40" s="1"/>
  <c r="Z54" s="1"/>
  <c r="IZ38" i="24"/>
  <c r="JA38"/>
  <c r="IQ38"/>
  <c r="Y31" i="54"/>
  <c r="D31"/>
  <c r="JA76" i="24"/>
  <c r="IQ76"/>
  <c r="IZ76"/>
  <c r="HX49"/>
  <c r="JH49" s="1"/>
  <c r="JI49" s="1"/>
  <c r="JO49" s="1"/>
  <c r="GU49"/>
  <c r="HC49" s="1"/>
  <c r="IY49" s="1"/>
  <c r="GZ49"/>
  <c r="HB49" s="1"/>
  <c r="CQ97"/>
  <c r="E97"/>
  <c r="CQ104"/>
  <c r="E104"/>
  <c r="E57"/>
  <c r="CQ57"/>
  <c r="CQ90"/>
  <c r="E90"/>
  <c r="IO55"/>
  <c r="IT55" s="1"/>
  <c r="IX55" s="1"/>
  <c r="IZ55" s="1"/>
  <c r="IR55"/>
  <c r="GZ57"/>
  <c r="HB57" s="1"/>
  <c r="GU57"/>
  <c r="HC57" s="1"/>
  <c r="IY57" s="1"/>
  <c r="JH56"/>
  <c r="JI56" s="1"/>
  <c r="JJ53" s="1"/>
  <c r="JK53" s="1"/>
  <c r="IA56"/>
  <c r="CQ109"/>
  <c r="E109"/>
  <c r="CQ110"/>
  <c r="E110"/>
  <c r="CQ111"/>
  <c r="E111"/>
  <c r="Y50" i="40"/>
  <c r="AD50"/>
  <c r="E75" i="24"/>
  <c r="CQ75"/>
  <c r="IU76"/>
  <c r="IO46"/>
  <c r="IT46" s="1"/>
  <c r="IX46" s="1"/>
  <c r="IR46"/>
  <c r="GF56"/>
  <c r="GE56"/>
  <c r="GS56" s="1"/>
  <c r="AA305" i="40"/>
  <c r="Z305"/>
  <c r="Y139"/>
  <c r="U350"/>
  <c r="U127"/>
  <c r="Z127"/>
  <c r="AA127"/>
  <c r="AA292"/>
  <c r="Z292"/>
  <c r="AD239"/>
  <c r="Y239"/>
  <c r="U317"/>
  <c r="U311"/>
  <c r="Z167"/>
  <c r="AA167"/>
  <c r="AA402"/>
  <c r="CQ92" i="24"/>
  <c r="E92"/>
  <c r="AK20" i="1"/>
  <c r="P38" i="11"/>
  <c r="CQ113" i="24"/>
  <c r="E113"/>
  <c r="CQ96"/>
  <c r="E96"/>
  <c r="JQ53"/>
  <c r="JS57"/>
  <c r="CQ106"/>
  <c r="E106"/>
  <c r="E62"/>
  <c r="CQ62"/>
  <c r="E53"/>
  <c r="CQ53"/>
  <c r="CQ56"/>
  <c r="E56"/>
  <c r="CQ74"/>
  <c r="E74"/>
  <c r="CQ72"/>
  <c r="E72"/>
  <c r="CQ70"/>
  <c r="E70"/>
  <c r="Y92" i="40"/>
  <c r="Y46"/>
  <c r="Z46" s="1"/>
  <c r="KW57" i="24" l="1"/>
  <c r="KL57"/>
  <c r="KD51"/>
  <c r="KA51"/>
  <c r="KB51" s="1"/>
  <c r="KC51" s="1"/>
  <c r="JY50"/>
  <c r="IR57"/>
  <c r="IO57"/>
  <c r="IT57" s="1"/>
  <c r="IX57" s="1"/>
  <c r="IU57" s="1"/>
  <c r="IZ45"/>
  <c r="JA45"/>
  <c r="IZ53"/>
  <c r="JA53"/>
  <c r="IW56"/>
  <c r="IM56"/>
  <c r="IB48"/>
  <c r="IW48"/>
  <c r="IM48"/>
  <c r="IN48" s="1"/>
  <c r="IU45"/>
  <c r="IU53"/>
  <c r="AA187" i="40"/>
  <c r="AD320"/>
  <c r="Z390"/>
  <c r="JA71" i="24"/>
  <c r="IQ71"/>
  <c r="IZ71"/>
  <c r="IS71"/>
  <c r="AA221" i="40"/>
  <c r="AF286"/>
  <c r="Z242"/>
  <c r="AA176"/>
  <c r="Z329"/>
  <c r="Z215"/>
  <c r="AF350"/>
  <c r="AE268"/>
  <c r="AA317"/>
  <c r="AA385"/>
  <c r="Z408"/>
  <c r="AE329"/>
  <c r="AA311"/>
  <c r="AA274"/>
  <c r="AA268"/>
  <c r="AD287"/>
  <c r="AE287" s="1"/>
  <c r="AA121"/>
  <c r="Z116"/>
  <c r="AA323"/>
  <c r="AE385"/>
  <c r="KN59" i="24"/>
  <c r="KU57"/>
  <c r="KM57"/>
  <c r="KK51"/>
  <c r="JX51"/>
  <c r="JY51" s="1"/>
  <c r="Z286" i="40"/>
  <c r="IS54" i="24"/>
  <c r="IU54"/>
  <c r="HW58"/>
  <c r="HX58" s="1"/>
  <c r="EY51"/>
  <c r="FB51" s="1"/>
  <c r="FJ51"/>
  <c r="FK51" s="1"/>
  <c r="FO51"/>
  <c r="FU51"/>
  <c r="HS50"/>
  <c r="HM50"/>
  <c r="HD49"/>
  <c r="IA49"/>
  <c r="IM49" s="1"/>
  <c r="FQ51"/>
  <c r="IO47"/>
  <c r="IT47" s="1"/>
  <c r="IX47" s="1"/>
  <c r="JA47" s="1"/>
  <c r="IR47"/>
  <c r="HX50"/>
  <c r="JH50" s="1"/>
  <c r="JI50" s="1"/>
  <c r="JO50" s="1"/>
  <c r="JS50" s="1"/>
  <c r="IU46"/>
  <c r="IZ46"/>
  <c r="JA46"/>
  <c r="IU75"/>
  <c r="JA75"/>
  <c r="IZ75"/>
  <c r="IQ75"/>
  <c r="AA92" i="40"/>
  <c r="Z92"/>
  <c r="AD139"/>
  <c r="GG56" i="24"/>
  <c r="IB56"/>
  <c r="HD57"/>
  <c r="IS55"/>
  <c r="JR44"/>
  <c r="JS49"/>
  <c r="KS59"/>
  <c r="E59"/>
  <c r="CQ59"/>
  <c r="IS75"/>
  <c r="JJ45"/>
  <c r="JK45" s="1"/>
  <c r="JJ44"/>
  <c r="Y302" i="40"/>
  <c r="AD302"/>
  <c r="AF390"/>
  <c r="AE390"/>
  <c r="AF305"/>
  <c r="AE305"/>
  <c r="AD271"/>
  <c r="Y271"/>
  <c r="U268"/>
  <c r="Y308"/>
  <c r="AD308"/>
  <c r="U161"/>
  <c r="AF280"/>
  <c r="AE280"/>
  <c r="AF311"/>
  <c r="AE311"/>
  <c r="AD277"/>
  <c r="Y277"/>
  <c r="AF402"/>
  <c r="AE402"/>
  <c r="U323"/>
  <c r="Y353"/>
  <c r="AD353"/>
  <c r="AD259"/>
  <c r="Y259"/>
  <c r="AD190"/>
  <c r="Y190"/>
  <c r="Y332"/>
  <c r="AD332"/>
  <c r="U176"/>
  <c r="U335"/>
  <c r="Y388"/>
  <c r="AD388"/>
  <c r="U362"/>
  <c r="AF368"/>
  <c r="AE368"/>
  <c r="AF362"/>
  <c r="AE362"/>
  <c r="AD359"/>
  <c r="Y359"/>
  <c r="Y405"/>
  <c r="AD405"/>
  <c r="GE51" i="24"/>
  <c r="GS51" s="1"/>
  <c r="GF51"/>
  <c r="KS50"/>
  <c r="GG50"/>
  <c r="T102" i="40"/>
  <c r="G194" i="11"/>
  <c r="P194"/>
  <c r="Y32" i="54"/>
  <c r="D32"/>
  <c r="GB59" i="24"/>
  <c r="GC59" s="1"/>
  <c r="EX59"/>
  <c r="GG58"/>
  <c r="T145" i="40"/>
  <c r="GU54" i="24"/>
  <c r="HC54" s="1"/>
  <c r="GZ54"/>
  <c r="HB54" s="1"/>
  <c r="IO48"/>
  <c r="IT48" s="1"/>
  <c r="IR48"/>
  <c r="AL20" i="1"/>
  <c r="P39" i="11"/>
  <c r="Z139" i="40"/>
  <c r="AA139"/>
  <c r="GZ56" i="24"/>
  <c r="HB56" s="1"/>
  <c r="GU56"/>
  <c r="HC56" s="1"/>
  <c r="IS46"/>
  <c r="IN56"/>
  <c r="Y133" i="40"/>
  <c r="JA57" i="24"/>
  <c r="IU55"/>
  <c r="JA55"/>
  <c r="Y97" i="40"/>
  <c r="U390"/>
  <c r="U262"/>
  <c r="AF356"/>
  <c r="AE356"/>
  <c r="Y347"/>
  <c r="AD347"/>
  <c r="Y206"/>
  <c r="AD206"/>
  <c r="U209"/>
  <c r="U368"/>
  <c r="AD383"/>
  <c r="Y383"/>
  <c r="U139"/>
  <c r="U396"/>
  <c r="AD399"/>
  <c r="Y399"/>
  <c r="AF408"/>
  <c r="AE408"/>
  <c r="AF323"/>
  <c r="AE323"/>
  <c r="AD224"/>
  <c r="Y224"/>
  <c r="U242"/>
  <c r="U116"/>
  <c r="U256"/>
  <c r="AF256"/>
  <c r="AE256"/>
  <c r="Y326"/>
  <c r="AD326"/>
  <c r="AF335"/>
  <c r="AE335"/>
  <c r="AD314"/>
  <c r="Y314"/>
  <c r="AD212"/>
  <c r="Y212"/>
  <c r="U274"/>
  <c r="U408"/>
  <c r="U167"/>
  <c r="Y265"/>
  <c r="AD265"/>
  <c r="AF396"/>
  <c r="AE396"/>
  <c r="AD253"/>
  <c r="Y253"/>
  <c r="AF274"/>
  <c r="AE274"/>
  <c r="AE292"/>
  <c r="AF292"/>
  <c r="AD365"/>
  <c r="Y365"/>
  <c r="FT51" i="24"/>
  <c r="HO51"/>
  <c r="HU51"/>
  <c r="HL51"/>
  <c r="HT51"/>
  <c r="HV51"/>
  <c r="HI51"/>
  <c r="HQ51"/>
  <c r="HW51"/>
  <c r="HP51"/>
  <c r="HR51"/>
  <c r="KR51"/>
  <c r="JM51"/>
  <c r="JN51" s="1"/>
  <c r="IV51"/>
  <c r="KV51" s="1"/>
  <c r="KQ51"/>
  <c r="BD51"/>
  <c r="J28" i="68"/>
  <c r="J26"/>
  <c r="K29"/>
  <c r="CQ50" i="24"/>
  <c r="E50"/>
  <c r="GZ50"/>
  <c r="HB50" s="1"/>
  <c r="GU50"/>
  <c r="HC50" s="1"/>
  <c r="U97" i="40"/>
  <c r="W33" i="54"/>
  <c r="G34"/>
  <c r="HQ59" i="24"/>
  <c r="HS59" s="1"/>
  <c r="HM59"/>
  <c r="EW59"/>
  <c r="EY59" s="1"/>
  <c r="FB59" s="1"/>
  <c r="GU58"/>
  <c r="HC58" s="1"/>
  <c r="GZ58"/>
  <c r="HB58" s="1"/>
  <c r="GG54"/>
  <c r="IB54"/>
  <c r="T121" i="40"/>
  <c r="IS57" i="24"/>
  <c r="IZ57" l="1"/>
  <c r="KW49"/>
  <c r="KL49"/>
  <c r="AD102" i="40"/>
  <c r="KW50" i="24"/>
  <c r="KL50"/>
  <c r="KM50" s="1"/>
  <c r="IB49"/>
  <c r="IW49"/>
  <c r="KO57"/>
  <c r="KP57" s="1"/>
  <c r="KT57"/>
  <c r="KX57" s="1"/>
  <c r="KU49"/>
  <c r="KM49"/>
  <c r="KU50"/>
  <c r="KN51"/>
  <c r="JH58"/>
  <c r="JI58" s="1"/>
  <c r="JO58" s="1"/>
  <c r="JS58" s="1"/>
  <c r="IA58"/>
  <c r="HM51"/>
  <c r="IN49"/>
  <c r="HD58"/>
  <c r="HD56"/>
  <c r="HD54"/>
  <c r="KS51"/>
  <c r="HS51"/>
  <c r="IS47"/>
  <c r="IU47"/>
  <c r="IZ47"/>
  <c r="GE59"/>
  <c r="GS59" s="1"/>
  <c r="GF59"/>
  <c r="U121" i="40"/>
  <c r="IY58" i="24"/>
  <c r="W34" i="54"/>
  <c r="G35"/>
  <c r="HD50" i="24"/>
  <c r="HX51"/>
  <c r="JH51" s="1"/>
  <c r="JI51" s="1"/>
  <c r="JO51" s="1"/>
  <c r="JS51" s="1"/>
  <c r="Z97" i="40"/>
  <c r="AA97"/>
  <c r="AA133"/>
  <c r="Z133"/>
  <c r="IX48" i="24"/>
  <c r="IU48" s="1"/>
  <c r="IY54"/>
  <c r="U102" i="40"/>
  <c r="GG51" i="24"/>
  <c r="T107" i="40"/>
  <c r="JK44" i="24"/>
  <c r="JL44" s="1"/>
  <c r="JQ45"/>
  <c r="JQ44" s="1"/>
  <c r="AF139" i="40"/>
  <c r="AE139"/>
  <c r="IA50" i="24"/>
  <c r="IW50" s="1"/>
  <c r="HV59"/>
  <c r="HW59"/>
  <c r="Y33" i="54"/>
  <c r="D33"/>
  <c r="IY50" i="24"/>
  <c r="E51"/>
  <c r="CQ51"/>
  <c r="IO56"/>
  <c r="IT56" s="1"/>
  <c r="IR56"/>
  <c r="IY56"/>
  <c r="AM20" i="1"/>
  <c r="P30" i="11"/>
  <c r="U145" i="40"/>
  <c r="P195" i="11"/>
  <c r="G195"/>
  <c r="GZ51" i="24"/>
  <c r="HB51" s="1"/>
  <c r="GU51"/>
  <c r="HC51" s="1"/>
  <c r="AD97" i="40"/>
  <c r="KW58" i="24" l="1"/>
  <c r="KL58"/>
  <c r="KM58" s="1"/>
  <c r="KW51"/>
  <c r="KL51"/>
  <c r="IW58"/>
  <c r="IM58"/>
  <c r="IM50"/>
  <c r="KY57"/>
  <c r="KU58"/>
  <c r="KO50"/>
  <c r="KT50"/>
  <c r="KX50" s="1"/>
  <c r="KO49"/>
  <c r="KP49" s="1"/>
  <c r="KT49"/>
  <c r="KX49" s="1"/>
  <c r="KU51"/>
  <c r="KM51"/>
  <c r="AD145" i="40"/>
  <c r="IB58" i="24"/>
  <c r="IN58"/>
  <c r="Y145" i="40"/>
  <c r="IO49" i="24"/>
  <c r="IT49" s="1"/>
  <c r="IR49"/>
  <c r="HD51"/>
  <c r="HX59"/>
  <c r="JH59" s="1"/>
  <c r="JI59" s="1"/>
  <c r="JO59" s="1"/>
  <c r="JS59" s="1"/>
  <c r="Y102" i="40"/>
  <c r="IN50" i="24"/>
  <c r="IB50"/>
  <c r="U107" i="40"/>
  <c r="JA54" i="24"/>
  <c r="IZ54"/>
  <c r="AD107" i="40"/>
  <c r="W35" i="54"/>
  <c r="G36"/>
  <c r="GG59" i="24"/>
  <c r="T151" i="40"/>
  <c r="AF97"/>
  <c r="AE97"/>
  <c r="AE102"/>
  <c r="AF102"/>
  <c r="IY51" i="24"/>
  <c r="G196" i="11"/>
  <c r="P196"/>
  <c r="AN20" i="1"/>
  <c r="T30" i="11"/>
  <c r="IS48" i="24"/>
  <c r="JA48"/>
  <c r="IZ48"/>
  <c r="IX56"/>
  <c r="IS56" s="1"/>
  <c r="IA51"/>
  <c r="IW51" s="1"/>
  <c r="Y34" i="54"/>
  <c r="D34"/>
  <c r="GZ59" i="24"/>
  <c r="HB59" s="1"/>
  <c r="GU59"/>
  <c r="HC59" s="1"/>
  <c r="IY59" s="1"/>
  <c r="KW59" l="1"/>
  <c r="KL59"/>
  <c r="IM51"/>
  <c r="KY49"/>
  <c r="KU59"/>
  <c r="KM59"/>
  <c r="KO51"/>
  <c r="KT51"/>
  <c r="KX51" s="1"/>
  <c r="KO58"/>
  <c r="KT58"/>
  <c r="KX58" s="1"/>
  <c r="Z145" i="40"/>
  <c r="AA145"/>
  <c r="IR58" i="24"/>
  <c r="IO58"/>
  <c r="IT58" s="1"/>
  <c r="IX58" s="1"/>
  <c r="JA58" s="1"/>
  <c r="AE145" i="40"/>
  <c r="AF145"/>
  <c r="HD59" i="24"/>
  <c r="IX49"/>
  <c r="IA59"/>
  <c r="JA56"/>
  <c r="W36" i="54"/>
  <c r="G37"/>
  <c r="AF107" i="40"/>
  <c r="AE107"/>
  <c r="IO50" i="24"/>
  <c r="IT50" s="1"/>
  <c r="IR50"/>
  <c r="IU56"/>
  <c r="IZ56"/>
  <c r="Y151" i="40"/>
  <c r="Y107"/>
  <c r="IB51" i="24"/>
  <c r="IN51"/>
  <c r="AO20" i="1"/>
  <c r="P31" i="11"/>
  <c r="P197"/>
  <c r="G197"/>
  <c r="U151" i="40"/>
  <c r="Y35" i="54"/>
  <c r="D35"/>
  <c r="Z102" i="40"/>
  <c r="AA102"/>
  <c r="IX50" i="24"/>
  <c r="AD151" i="40"/>
  <c r="IB59" i="24" l="1"/>
  <c r="IW59"/>
  <c r="IM59"/>
  <c r="IN59" s="1"/>
  <c r="IS58"/>
  <c r="IZ58"/>
  <c r="IU58"/>
  <c r="KO59"/>
  <c r="KT59"/>
  <c r="KX59" s="1"/>
  <c r="IZ49"/>
  <c r="JA49"/>
  <c r="IU49"/>
  <c r="IS49"/>
  <c r="IZ50"/>
  <c r="JA50"/>
  <c r="IO51"/>
  <c r="IT51" s="1"/>
  <c r="IR51"/>
  <c r="AA107" i="40"/>
  <c r="Z107"/>
  <c r="IX51" i="24"/>
  <c r="Z151" i="40"/>
  <c r="AA151"/>
  <c r="IU50" i="24"/>
  <c r="W37" i="54"/>
  <c r="G38"/>
  <c r="AE151" i="40"/>
  <c r="AF151"/>
  <c r="AP20" i="1"/>
  <c r="AQ20" s="1"/>
  <c r="AR20" s="1"/>
  <c r="AS20" s="1"/>
  <c r="AT20" s="1"/>
  <c r="P32" i="11"/>
  <c r="P33" s="1"/>
  <c r="IO59" i="24"/>
  <c r="IT59" s="1"/>
  <c r="IR59"/>
  <c r="IS50"/>
  <c r="Y36" i="54"/>
  <c r="D36"/>
  <c r="IX59" i="24" l="1"/>
  <c r="IU59" s="1"/>
  <c r="JA59"/>
  <c r="IZ59"/>
  <c r="IS59"/>
  <c r="AU20" i="1"/>
  <c r="P34" i="11"/>
  <c r="Y37" i="54"/>
  <c r="D37"/>
  <c r="IZ51" i="24"/>
  <c r="JA51"/>
  <c r="IS51"/>
  <c r="W38" i="54"/>
  <c r="G39"/>
  <c r="IU51" i="24"/>
  <c r="W39" i="54" l="1"/>
  <c r="G40"/>
  <c r="Y38"/>
  <c r="D38"/>
  <c r="AV20" i="1"/>
  <c r="P35" i="11"/>
  <c r="AW20" i="1" l="1"/>
  <c r="T34" i="11"/>
  <c r="Y39" i="54"/>
  <c r="D39"/>
  <c r="W40"/>
  <c r="G41"/>
  <c r="Y40" l="1"/>
  <c r="D40"/>
  <c r="W41"/>
  <c r="G42"/>
  <c r="AX20" i="1"/>
  <c r="T35" i="11"/>
  <c r="Y41" i="54" l="1"/>
  <c r="D41"/>
  <c r="W42"/>
  <c r="G43"/>
  <c r="AY20" i="1"/>
  <c r="AA34" i="11"/>
  <c r="W43" i="54" l="1"/>
  <c r="G44"/>
  <c r="AZ20" i="1"/>
  <c r="BA20" s="1"/>
  <c r="BB20" s="1"/>
  <c r="BC20" s="1"/>
  <c r="AA35" i="11"/>
  <c r="Y42" i="54"/>
  <c r="D42"/>
  <c r="W44" l="1"/>
  <c r="G45"/>
  <c r="BD20" i="1"/>
  <c r="P40" i="11"/>
  <c r="Y43" i="54"/>
  <c r="D43"/>
  <c r="W45" l="1"/>
  <c r="G46"/>
  <c r="BE20" i="1"/>
  <c r="P52" i="11"/>
  <c r="Y44" i="54"/>
  <c r="D44"/>
  <c r="W46" l="1"/>
  <c r="G47"/>
  <c r="BF20" i="1"/>
  <c r="P53" i="11"/>
  <c r="Y45" i="54"/>
  <c r="D45"/>
  <c r="W47" l="1"/>
  <c r="G48"/>
  <c r="BG20" i="1"/>
  <c r="BH20" s="1"/>
  <c r="BI20" s="1"/>
  <c r="BJ20" s="1"/>
  <c r="P42" i="11"/>
  <c r="Y46" i="54"/>
  <c r="D46"/>
  <c r="W48" l="1"/>
  <c r="G49"/>
  <c r="BK20" i="1"/>
  <c r="BL20" s="1"/>
  <c r="P43" i="11"/>
  <c r="Y47" i="54"/>
  <c r="D47"/>
  <c r="W49" l="1"/>
  <c r="G50"/>
  <c r="BM20" i="1"/>
  <c r="P23" i="11"/>
  <c r="Y48" i="54"/>
  <c r="D48"/>
  <c r="W50" l="1"/>
  <c r="G51"/>
  <c r="BN20" i="1"/>
  <c r="P46" i="11"/>
  <c r="Y49" i="54"/>
  <c r="D49"/>
  <c r="W51" l="1"/>
  <c r="G52"/>
  <c r="BO20" i="1"/>
  <c r="P45" i="11"/>
  <c r="Z50" i="54"/>
  <c r="Z51"/>
  <c r="Y50"/>
  <c r="D50"/>
  <c r="W52" l="1"/>
  <c r="G53"/>
  <c r="BP20" i="1"/>
  <c r="BQ20" s="1"/>
  <c r="P44" i="11"/>
  <c r="Y51" i="54"/>
  <c r="D51"/>
  <c r="W53" l="1"/>
  <c r="G54"/>
  <c r="BR20" i="1"/>
  <c r="BS20" s="1"/>
  <c r="BT20" s="1"/>
  <c r="P47" i="11"/>
  <c r="Y52" i="54"/>
  <c r="D52"/>
  <c r="W54" l="1"/>
  <c r="G55"/>
  <c r="BU20" i="1"/>
  <c r="BV20" s="1"/>
  <c r="P48" i="11"/>
  <c r="Y53" i="54"/>
  <c r="D53"/>
  <c r="W55" l="1"/>
  <c r="G56"/>
  <c r="BW20" i="1"/>
  <c r="T48" i="11"/>
  <c r="Y54" i="54"/>
  <c r="D54"/>
  <c r="W56" l="1"/>
  <c r="G57"/>
  <c r="BX20" i="1"/>
  <c r="P139" i="11"/>
  <c r="Y55" i="54"/>
  <c r="D55"/>
  <c r="W57" l="1"/>
  <c r="G58"/>
  <c r="BY20" i="1"/>
  <c r="P140" i="11"/>
  <c r="Y56" i="54"/>
  <c r="D56"/>
  <c r="W58" l="1"/>
  <c r="G59"/>
  <c r="BZ20" i="1"/>
  <c r="P141" i="11"/>
  <c r="Y57" i="54"/>
  <c r="D57"/>
  <c r="W59" l="1"/>
  <c r="G60"/>
  <c r="CA20" i="1"/>
  <c r="T141" i="11"/>
  <c r="Y58" i="54"/>
  <c r="D58"/>
  <c r="W60" l="1"/>
  <c r="G61"/>
  <c r="CB20" i="1"/>
  <c r="P142" i="11"/>
  <c r="Y59" i="54"/>
  <c r="D59"/>
  <c r="W61" l="1"/>
  <c r="G62"/>
  <c r="CC20" i="1"/>
  <c r="P144" i="11"/>
  <c r="Y60" i="54"/>
  <c r="D60"/>
  <c r="W62" l="1"/>
  <c r="G63"/>
  <c r="CD20" i="1"/>
  <c r="P143" i="11"/>
  <c r="Y61" i="54"/>
  <c r="D61"/>
  <c r="W63" l="1"/>
  <c r="G64"/>
  <c r="CE20" i="1"/>
  <c r="AA142" i="11"/>
  <c r="Y142" s="1"/>
  <c r="Y62" i="54"/>
  <c r="D62"/>
  <c r="W64" l="1"/>
  <c r="G65"/>
  <c r="CF20" i="1"/>
  <c r="AA143" i="11"/>
  <c r="Y143" s="1"/>
  <c r="Y63" i="54"/>
  <c r="D63"/>
  <c r="W65" l="1"/>
  <c r="G66"/>
  <c r="CG20" i="1"/>
  <c r="CH20" s="1"/>
  <c r="CI20" s="1"/>
  <c r="P146" i="11"/>
  <c r="Y64" i="54"/>
  <c r="D64"/>
  <c r="W66" l="1"/>
  <c r="G67"/>
  <c r="CJ20" i="1"/>
  <c r="CK20" s="1"/>
  <c r="P80" i="11"/>
  <c r="Y65" i="54"/>
  <c r="D65"/>
  <c r="W67" l="1"/>
  <c r="G68"/>
  <c r="CL20" i="1"/>
  <c r="U80" i="11"/>
  <c r="T80" s="1"/>
  <c r="Y66" i="54"/>
  <c r="D66"/>
  <c r="W68" l="1"/>
  <c r="G69"/>
  <c r="CM20" i="1"/>
  <c r="P81" i="11"/>
  <c r="Y67" i="54"/>
  <c r="D67"/>
  <c r="W69" l="1"/>
  <c r="G70"/>
  <c r="CN20" i="1"/>
  <c r="P82" i="11"/>
  <c r="Y68" i="54"/>
  <c r="D68"/>
  <c r="W70" l="1"/>
  <c r="G71"/>
  <c r="CO20" i="1"/>
  <c r="P71" i="11"/>
  <c r="Y69" i="54"/>
  <c r="D69"/>
  <c r="W71" l="1"/>
  <c r="G72"/>
  <c r="CP20" i="1"/>
  <c r="W35" i="24"/>
  <c r="W36"/>
  <c r="W39"/>
  <c r="W40"/>
  <c r="W42"/>
  <c r="W44"/>
  <c r="W37"/>
  <c r="W38"/>
  <c r="W41"/>
  <c r="W43"/>
  <c r="S25" i="54"/>
  <c r="S27"/>
  <c r="S29"/>
  <c r="S42"/>
  <c r="S53"/>
  <c r="S57"/>
  <c r="S60"/>
  <c r="S61"/>
  <c r="S62"/>
  <c r="S66"/>
  <c r="S67"/>
  <c r="S68"/>
  <c r="S74"/>
  <c r="S24"/>
  <c r="S31"/>
  <c r="S33"/>
  <c r="S50"/>
  <c r="S54"/>
  <c r="S59"/>
  <c r="S63"/>
  <c r="S65"/>
  <c r="S69"/>
  <c r="S77"/>
  <c r="S85"/>
  <c r="S89"/>
  <c r="S95"/>
  <c r="S98"/>
  <c r="S102"/>
  <c r="W53" i="24"/>
  <c r="W66"/>
  <c r="W68"/>
  <c r="W69"/>
  <c r="W70"/>
  <c r="W71"/>
  <c r="W73"/>
  <c r="W77"/>
  <c r="W78"/>
  <c r="W79"/>
  <c r="S71" i="54"/>
  <c r="S81"/>
  <c r="S92"/>
  <c r="W61" i="24"/>
  <c r="W64"/>
  <c r="W65"/>
  <c r="W67"/>
  <c r="W72"/>
  <c r="W74"/>
  <c r="W76"/>
  <c r="W80"/>
  <c r="W82"/>
  <c r="W85"/>
  <c r="W88"/>
  <c r="W92"/>
  <c r="W96"/>
  <c r="W100"/>
  <c r="W81"/>
  <c r="W103"/>
  <c r="W106"/>
  <c r="W109"/>
  <c r="W113"/>
  <c r="P72" i="11"/>
  <c r="S20" i="34"/>
  <c r="S24"/>
  <c r="S27"/>
  <c r="S23"/>
  <c r="S28"/>
  <c r="S30"/>
  <c r="S32"/>
  <c r="S34"/>
  <c r="S37"/>
  <c r="S42"/>
  <c r="S44"/>
  <c r="S46"/>
  <c r="S47"/>
  <c r="S50"/>
  <c r="S55"/>
  <c r="S56"/>
  <c r="S19"/>
  <c r="S22"/>
  <c r="S25"/>
  <c r="S21"/>
  <c r="S26"/>
  <c r="S29"/>
  <c r="S31"/>
  <c r="S33"/>
  <c r="S35"/>
  <c r="S36"/>
  <c r="S38"/>
  <c r="S39"/>
  <c r="S40"/>
  <c r="S41"/>
  <c r="S43"/>
  <c r="S45"/>
  <c r="S48"/>
  <c r="S49"/>
  <c r="S51"/>
  <c r="S52"/>
  <c r="S53"/>
  <c r="S54"/>
  <c r="S57"/>
  <c r="Y70" i="54"/>
  <c r="D70"/>
  <c r="W72" l="1"/>
  <c r="G73"/>
  <c r="X35" i="24"/>
  <c r="CQ20" i="1"/>
  <c r="X37" i="24"/>
  <c r="X38"/>
  <c r="X41"/>
  <c r="X43"/>
  <c r="X36"/>
  <c r="X39"/>
  <c r="X40"/>
  <c r="X42"/>
  <c r="X44"/>
  <c r="T24" i="54"/>
  <c r="T31"/>
  <c r="T33"/>
  <c r="T50"/>
  <c r="T54"/>
  <c r="T59"/>
  <c r="T63"/>
  <c r="T65"/>
  <c r="T69"/>
  <c r="T71"/>
  <c r="T77"/>
  <c r="T25"/>
  <c r="T27"/>
  <c r="T29"/>
  <c r="T42"/>
  <c r="T53"/>
  <c r="T57"/>
  <c r="T60"/>
  <c r="T61"/>
  <c r="T62"/>
  <c r="T66"/>
  <c r="T67"/>
  <c r="T68"/>
  <c r="T74"/>
  <c r="T81"/>
  <c r="T92"/>
  <c r="X61" i="24"/>
  <c r="X64"/>
  <c r="X65"/>
  <c r="X67"/>
  <c r="X72"/>
  <c r="X74"/>
  <c r="X76"/>
  <c r="T85" i="54"/>
  <c r="T89"/>
  <c r="T95"/>
  <c r="T98"/>
  <c r="T102"/>
  <c r="X53" i="24"/>
  <c r="X66"/>
  <c r="X68"/>
  <c r="X69"/>
  <c r="X70"/>
  <c r="X71"/>
  <c r="X73"/>
  <c r="X77"/>
  <c r="X78"/>
  <c r="X79"/>
  <c r="X81"/>
  <c r="X103"/>
  <c r="X106"/>
  <c r="X109"/>
  <c r="X113"/>
  <c r="X80"/>
  <c r="X82"/>
  <c r="X85"/>
  <c r="X88"/>
  <c r="X92"/>
  <c r="X96"/>
  <c r="X100"/>
  <c r="T19" i="34"/>
  <c r="T21"/>
  <c r="T26"/>
  <c r="T29"/>
  <c r="T24"/>
  <c r="T27"/>
  <c r="T31"/>
  <c r="T33"/>
  <c r="T34"/>
  <c r="T35"/>
  <c r="T36"/>
  <c r="T37"/>
  <c r="T38"/>
  <c r="T40"/>
  <c r="T41"/>
  <c r="T43"/>
  <c r="T46"/>
  <c r="T49"/>
  <c r="T50"/>
  <c r="T51"/>
  <c r="T52"/>
  <c r="T54"/>
  <c r="T57"/>
  <c r="P73" i="11"/>
  <c r="T20" i="34"/>
  <c r="T23"/>
  <c r="T28"/>
  <c r="T22"/>
  <c r="T25"/>
  <c r="T30"/>
  <c r="T32"/>
  <c r="T39"/>
  <c r="T42"/>
  <c r="T44"/>
  <c r="T45"/>
  <c r="T47"/>
  <c r="T48"/>
  <c r="T53"/>
  <c r="T55"/>
  <c r="T56"/>
  <c r="Y71" i="54"/>
  <c r="D71"/>
  <c r="CR20" i="1" l="1"/>
  <c r="Y35" i="24"/>
  <c r="Y36"/>
  <c r="Y39"/>
  <c r="Y40"/>
  <c r="Y42"/>
  <c r="Y44"/>
  <c r="Y37"/>
  <c r="Y38"/>
  <c r="Y41"/>
  <c r="Y43"/>
  <c r="Y53"/>
  <c r="Y66"/>
  <c r="Y68"/>
  <c r="Y69"/>
  <c r="Y70"/>
  <c r="Y71"/>
  <c r="Y73"/>
  <c r="Y77"/>
  <c r="Y78"/>
  <c r="Y79"/>
  <c r="Y61"/>
  <c r="Y64"/>
  <c r="Y65"/>
  <c r="Y67"/>
  <c r="Y72"/>
  <c r="Y74"/>
  <c r="Y76"/>
  <c r="Y80"/>
  <c r="Y82"/>
  <c r="Y85"/>
  <c r="Y88"/>
  <c r="Y92"/>
  <c r="Y96"/>
  <c r="Y100"/>
  <c r="Y81"/>
  <c r="Y103"/>
  <c r="Y106"/>
  <c r="Y109"/>
  <c r="Y113"/>
  <c r="P89" i="11"/>
  <c r="W73" i="54"/>
  <c r="G74"/>
  <c r="Y72"/>
  <c r="D72"/>
  <c r="Y73" l="1"/>
  <c r="D73"/>
  <c r="W74"/>
  <c r="G75"/>
  <c r="CS20" i="1"/>
  <c r="P74" i="11"/>
  <c r="CT20" i="1" l="1"/>
  <c r="P59" i="11"/>
  <c r="W75" i="54"/>
  <c r="G76"/>
  <c r="Y74"/>
  <c r="D74"/>
  <c r="W76" l="1"/>
  <c r="G77"/>
  <c r="Y75"/>
  <c r="D75"/>
  <c r="CU20" i="1"/>
  <c r="T35" i="24"/>
  <c r="T37"/>
  <c r="T38"/>
  <c r="T41"/>
  <c r="FV41" s="1"/>
  <c r="T43"/>
  <c r="FV43" s="1"/>
  <c r="T36"/>
  <c r="T39"/>
  <c r="T40"/>
  <c r="FV40" s="1"/>
  <c r="T42"/>
  <c r="FV42" s="1"/>
  <c r="T44"/>
  <c r="Q25" i="54"/>
  <c r="Q27"/>
  <c r="Q29"/>
  <c r="Q42"/>
  <c r="Q53"/>
  <c r="Q57"/>
  <c r="Q60"/>
  <c r="Q61"/>
  <c r="Q62"/>
  <c r="Q66"/>
  <c r="Q67"/>
  <c r="Q68"/>
  <c r="Q74"/>
  <c r="Q24"/>
  <c r="Q31"/>
  <c r="Q33"/>
  <c r="Q50"/>
  <c r="Q54"/>
  <c r="Q59"/>
  <c r="Q63"/>
  <c r="Q65"/>
  <c r="Q69"/>
  <c r="Q71"/>
  <c r="Q85"/>
  <c r="Q89"/>
  <c r="Q95"/>
  <c r="Q98"/>
  <c r="Q102"/>
  <c r="T61" i="24"/>
  <c r="T64"/>
  <c r="T65"/>
  <c r="T67"/>
  <c r="T72"/>
  <c r="T74"/>
  <c r="T76"/>
  <c r="Q77" i="54"/>
  <c r="Q81"/>
  <c r="Q92"/>
  <c r="T53" i="24"/>
  <c r="T66"/>
  <c r="T68"/>
  <c r="T69"/>
  <c r="T70"/>
  <c r="T71"/>
  <c r="T73"/>
  <c r="T77"/>
  <c r="HN77" s="1"/>
  <c r="T78"/>
  <c r="HN78" s="1"/>
  <c r="T79"/>
  <c r="HN79" s="1"/>
  <c r="T81"/>
  <c r="T103"/>
  <c r="T106"/>
  <c r="T109"/>
  <c r="T113"/>
  <c r="N347" i="40"/>
  <c r="N320"/>
  <c r="N265"/>
  <c r="N393"/>
  <c r="N277"/>
  <c r="N158"/>
  <c r="N253"/>
  <c r="T80" i="24"/>
  <c r="T82"/>
  <c r="T85"/>
  <c r="T88"/>
  <c r="T92"/>
  <c r="T96"/>
  <c r="T100"/>
  <c r="N114" i="40"/>
  <c r="N66"/>
  <c r="N383"/>
  <c r="N359"/>
  <c r="N206"/>
  <c r="N173"/>
  <c r="N32"/>
  <c r="N302"/>
  <c r="J43" i="22"/>
  <c r="J44"/>
  <c r="J48"/>
  <c r="N242" i="40"/>
  <c r="P28" i="34"/>
  <c r="Q28" s="1"/>
  <c r="P30"/>
  <c r="Q30" s="1"/>
  <c r="P38"/>
  <c r="Q38" s="1"/>
  <c r="P52"/>
  <c r="P47"/>
  <c r="P56"/>
  <c r="Q56" s="1"/>
  <c r="P57"/>
  <c r="Q57" s="1"/>
  <c r="J26" i="22"/>
  <c r="J25"/>
  <c r="N44" i="40"/>
  <c r="N53"/>
  <c r="N35"/>
  <c r="J36" i="22"/>
  <c r="J31"/>
  <c r="J34"/>
  <c r="J38"/>
  <c r="J35"/>
  <c r="N28" i="40"/>
  <c r="N179"/>
  <c r="P20" i="34"/>
  <c r="P22"/>
  <c r="P24"/>
  <c r="P26"/>
  <c r="P33"/>
  <c r="P35"/>
  <c r="J56" i="22"/>
  <c r="J60"/>
  <c r="J55"/>
  <c r="J59"/>
  <c r="J45"/>
  <c r="J54"/>
  <c r="J57"/>
  <c r="J62"/>
  <c r="P40" i="34"/>
  <c r="P41"/>
  <c r="P43"/>
  <c r="P48"/>
  <c r="P49"/>
  <c r="P53"/>
  <c r="P55"/>
  <c r="P88" i="11"/>
  <c r="P87" s="1"/>
  <c r="J42" i="22"/>
  <c r="J46"/>
  <c r="J47"/>
  <c r="J49"/>
  <c r="J50"/>
  <c r="J51"/>
  <c r="N188" i="40"/>
  <c r="P29" i="34"/>
  <c r="Q29" s="1"/>
  <c r="P31"/>
  <c r="Q31" s="1"/>
  <c r="P37"/>
  <c r="Q37" s="1"/>
  <c r="P51"/>
  <c r="P46"/>
  <c r="J27" i="22"/>
  <c r="J30"/>
  <c r="N41" i="40"/>
  <c r="J28" i="22"/>
  <c r="N47" i="40"/>
  <c r="N50"/>
  <c r="J24" i="22"/>
  <c r="J29"/>
  <c r="J33"/>
  <c r="J37"/>
  <c r="J32"/>
  <c r="N38" i="40"/>
  <c r="N180"/>
  <c r="P19" i="34"/>
  <c r="P21"/>
  <c r="P23"/>
  <c r="P25"/>
  <c r="P27"/>
  <c r="P32"/>
  <c r="P34"/>
  <c r="P36"/>
  <c r="J53" i="22"/>
  <c r="J58"/>
  <c r="J61"/>
  <c r="N187" i="40"/>
  <c r="N411"/>
  <c r="P39" i="34"/>
  <c r="P42"/>
  <c r="P44"/>
  <c r="P45"/>
  <c r="P50"/>
  <c r="P54"/>
  <c r="J41" i="22"/>
  <c r="N189" i="40"/>
  <c r="N181"/>
  <c r="N183"/>
  <c r="N212"/>
  <c r="N233"/>
  <c r="N230"/>
  <c r="N184"/>
  <c r="J39" i="22"/>
  <c r="J40"/>
  <c r="N185" i="40"/>
  <c r="J52" i="22"/>
  <c r="N190" i="40"/>
  <c r="N239"/>
  <c r="N227"/>
  <c r="N224"/>
  <c r="N182"/>
  <c r="N186"/>
  <c r="N200"/>
  <c r="AD330" l="1"/>
  <c r="AE330" s="1"/>
  <c r="AD336"/>
  <c r="AE336" s="1"/>
  <c r="AD103"/>
  <c r="AE103" s="1"/>
  <c r="AD98"/>
  <c r="Y243"/>
  <c r="Z243" s="1"/>
  <c r="T243"/>
  <c r="U243" s="1"/>
  <c r="T204"/>
  <c r="U204" s="1"/>
  <c r="Y204"/>
  <c r="Z204" s="1"/>
  <c r="Y194"/>
  <c r="Z194" s="1"/>
  <c r="T194"/>
  <c r="U194" s="1"/>
  <c r="T222"/>
  <c r="U222" s="1"/>
  <c r="Y222"/>
  <c r="Z222" s="1"/>
  <c r="T216"/>
  <c r="U216" s="1"/>
  <c r="Y216"/>
  <c r="Z216" s="1"/>
  <c r="Q32" i="34"/>
  <c r="Q46"/>
  <c r="Q51"/>
  <c r="Q20"/>
  <c r="Y306" i="40"/>
  <c r="Z306" s="1"/>
  <c r="Y312"/>
  <c r="Z312" s="1"/>
  <c r="T318"/>
  <c r="U318" s="1"/>
  <c r="T312"/>
  <c r="U312" s="1"/>
  <c r="Y318"/>
  <c r="Z318" s="1"/>
  <c r="T306"/>
  <c r="U306" s="1"/>
  <c r="AD312"/>
  <c r="AE312" s="1"/>
  <c r="AD306"/>
  <c r="AE306" s="1"/>
  <c r="Y177"/>
  <c r="Z177" s="1"/>
  <c r="T177"/>
  <c r="U177" s="1"/>
  <c r="Y363"/>
  <c r="Z363" s="1"/>
  <c r="Y369"/>
  <c r="Z369" s="1"/>
  <c r="AD369"/>
  <c r="AE369" s="1"/>
  <c r="AD363"/>
  <c r="AE363" s="1"/>
  <c r="T369"/>
  <c r="U369" s="1"/>
  <c r="T363"/>
  <c r="U363" s="1"/>
  <c r="T70"/>
  <c r="U70" s="1"/>
  <c r="T82"/>
  <c r="U82" s="1"/>
  <c r="T76"/>
  <c r="U76" s="1"/>
  <c r="Y70"/>
  <c r="Z70" s="1"/>
  <c r="Y76"/>
  <c r="Z76" s="1"/>
  <c r="T88"/>
  <c r="U88" s="1"/>
  <c r="Y88"/>
  <c r="Z88" s="1"/>
  <c r="Y82"/>
  <c r="Z82" s="1"/>
  <c r="T93"/>
  <c r="U93" s="1"/>
  <c r="Y93"/>
  <c r="Z93" s="1"/>
  <c r="T98"/>
  <c r="U98" s="1"/>
  <c r="Y98"/>
  <c r="Z98" s="1"/>
  <c r="T103"/>
  <c r="U103" s="1"/>
  <c r="AE98"/>
  <c r="T108"/>
  <c r="U108" s="1"/>
  <c r="AD108"/>
  <c r="AE108" s="1"/>
  <c r="Y103"/>
  <c r="Z103" s="1"/>
  <c r="Y108"/>
  <c r="Z108" s="1"/>
  <c r="FV100" i="24"/>
  <c r="HN100"/>
  <c r="GH100"/>
  <c r="IC101"/>
  <c r="GH102"/>
  <c r="IC100"/>
  <c r="GH101"/>
  <c r="HN101"/>
  <c r="HN102"/>
  <c r="FV101"/>
  <c r="JF101"/>
  <c r="JF100"/>
  <c r="IC102"/>
  <c r="HN92"/>
  <c r="FV93"/>
  <c r="FV92"/>
  <c r="FV94"/>
  <c r="GH92"/>
  <c r="GH93"/>
  <c r="IC93"/>
  <c r="JF93"/>
  <c r="GH94"/>
  <c r="IC92"/>
  <c r="HN93"/>
  <c r="IC94"/>
  <c r="JF94"/>
  <c r="HN94"/>
  <c r="JF92"/>
  <c r="FV85"/>
  <c r="HN85"/>
  <c r="GH85"/>
  <c r="IC85"/>
  <c r="GH87"/>
  <c r="IC86"/>
  <c r="JF86"/>
  <c r="GH86"/>
  <c r="FV86"/>
  <c r="IC87"/>
  <c r="JF85"/>
  <c r="HN86"/>
  <c r="HN87"/>
  <c r="FV80"/>
  <c r="JF80"/>
  <c r="HN80"/>
  <c r="GH80"/>
  <c r="IC80"/>
  <c r="Y162" i="40"/>
  <c r="Z162" s="1"/>
  <c r="Y168"/>
  <c r="Z168" s="1"/>
  <c r="T168"/>
  <c r="U168" s="1"/>
  <c r="T162"/>
  <c r="U162" s="1"/>
  <c r="Y397"/>
  <c r="Z397" s="1"/>
  <c r="Y409"/>
  <c r="Z409" s="1"/>
  <c r="T403"/>
  <c r="U403" s="1"/>
  <c r="Y403"/>
  <c r="Z403" s="1"/>
  <c r="AD409"/>
  <c r="AE409" s="1"/>
  <c r="AD403"/>
  <c r="AE403" s="1"/>
  <c r="T397"/>
  <c r="U397" s="1"/>
  <c r="T409"/>
  <c r="U409" s="1"/>
  <c r="AD397"/>
  <c r="AE397" s="1"/>
  <c r="Y324"/>
  <c r="Z324" s="1"/>
  <c r="Y336"/>
  <c r="Z336" s="1"/>
  <c r="T330"/>
  <c r="U330" s="1"/>
  <c r="Y330"/>
  <c r="Z330" s="1"/>
  <c r="AD324"/>
  <c r="AE324" s="1"/>
  <c r="T324"/>
  <c r="U324" s="1"/>
  <c r="T336"/>
  <c r="U336" s="1"/>
  <c r="HN113" i="24"/>
  <c r="IC113"/>
  <c r="GH113"/>
  <c r="GH114"/>
  <c r="JF113"/>
  <c r="JZ113" s="1"/>
  <c r="KG113" s="1"/>
  <c r="HN11"/>
  <c r="FV106"/>
  <c r="FV116"/>
  <c r="GH16"/>
  <c r="HN108"/>
  <c r="GH108"/>
  <c r="IC108"/>
  <c r="GH106"/>
  <c r="GH107"/>
  <c r="HN106"/>
  <c r="FV107"/>
  <c r="HN107"/>
  <c r="IC106"/>
  <c r="IC107"/>
  <c r="GH81"/>
  <c r="HN81"/>
  <c r="IC81"/>
  <c r="FV73"/>
  <c r="JF73"/>
  <c r="JM73" s="1"/>
  <c r="JN73" s="1"/>
  <c r="JO73" s="1"/>
  <c r="JS73" s="1"/>
  <c r="KW73" s="1"/>
  <c r="HN73"/>
  <c r="GH73"/>
  <c r="IC73"/>
  <c r="FV70"/>
  <c r="JF70"/>
  <c r="JM70" s="1"/>
  <c r="JN70" s="1"/>
  <c r="JO70" s="1"/>
  <c r="JS70" s="1"/>
  <c r="KW70" s="1"/>
  <c r="HN70"/>
  <c r="GH70"/>
  <c r="IC70"/>
  <c r="HN68"/>
  <c r="GH68"/>
  <c r="IC68"/>
  <c r="GH60"/>
  <c r="GH53"/>
  <c r="GH56"/>
  <c r="GH54"/>
  <c r="GH55"/>
  <c r="GH57"/>
  <c r="GH58"/>
  <c r="FV53"/>
  <c r="FV58"/>
  <c r="FV56"/>
  <c r="FV54"/>
  <c r="FV59"/>
  <c r="FV57"/>
  <c r="FV55"/>
  <c r="JF53"/>
  <c r="GH59"/>
  <c r="JF54"/>
  <c r="JF55"/>
  <c r="HN54"/>
  <c r="HN53"/>
  <c r="IC53"/>
  <c r="IC54"/>
  <c r="HN56"/>
  <c r="HN55"/>
  <c r="HN57"/>
  <c r="IC55"/>
  <c r="HN58"/>
  <c r="IC57"/>
  <c r="IC56"/>
  <c r="IC58"/>
  <c r="HN59"/>
  <c r="IC59"/>
  <c r="FV76"/>
  <c r="JF76"/>
  <c r="JV80"/>
  <c r="GH76"/>
  <c r="HN76"/>
  <c r="IC76"/>
  <c r="FV72"/>
  <c r="JF72"/>
  <c r="JM72" s="1"/>
  <c r="JN72" s="1"/>
  <c r="JO72" s="1"/>
  <c r="JS72" s="1"/>
  <c r="KW72" s="1"/>
  <c r="HN72"/>
  <c r="IC72"/>
  <c r="GH72"/>
  <c r="HN65"/>
  <c r="GH65"/>
  <c r="IC65"/>
  <c r="GH63"/>
  <c r="HN63"/>
  <c r="FV61"/>
  <c r="FV62"/>
  <c r="JF61"/>
  <c r="JF62"/>
  <c r="JZ62" s="1"/>
  <c r="HN61"/>
  <c r="GH61"/>
  <c r="HN62"/>
  <c r="GH62"/>
  <c r="IC62"/>
  <c r="IC61"/>
  <c r="FV39"/>
  <c r="IC39"/>
  <c r="FV38"/>
  <c r="JF38"/>
  <c r="JZ38" s="1"/>
  <c r="HN38"/>
  <c r="GH38"/>
  <c r="IC38"/>
  <c r="IC35"/>
  <c r="HN35"/>
  <c r="JF35"/>
  <c r="JZ35" s="1"/>
  <c r="GH35"/>
  <c r="W77" i="54"/>
  <c r="G78"/>
  <c r="Y231" i="40"/>
  <c r="Z231" s="1"/>
  <c r="T231"/>
  <c r="U231" s="1"/>
  <c r="T188"/>
  <c r="U188" s="1"/>
  <c r="Y188"/>
  <c r="Z188" s="1"/>
  <c r="Q53" i="34"/>
  <c r="T45" i="40"/>
  <c r="U45" s="1"/>
  <c r="Y45"/>
  <c r="Z45" s="1"/>
  <c r="Y37"/>
  <c r="Z37" s="1"/>
  <c r="T53"/>
  <c r="U53" s="1"/>
  <c r="T37"/>
  <c r="U37" s="1"/>
  <c r="Y53"/>
  <c r="Z53" s="1"/>
  <c r="Y210"/>
  <c r="Z210" s="1"/>
  <c r="T210"/>
  <c r="U210" s="1"/>
  <c r="AD386"/>
  <c r="AE386" s="1"/>
  <c r="Y386"/>
  <c r="Z386" s="1"/>
  <c r="Y391"/>
  <c r="Z391" s="1"/>
  <c r="T386"/>
  <c r="U386" s="1"/>
  <c r="AD391"/>
  <c r="AE391" s="1"/>
  <c r="T391"/>
  <c r="U391" s="1"/>
  <c r="Y117"/>
  <c r="Z117" s="1"/>
  <c r="Y122"/>
  <c r="Z122" s="1"/>
  <c r="T128"/>
  <c r="U128" s="1"/>
  <c r="Y128"/>
  <c r="Z128" s="1"/>
  <c r="Y140"/>
  <c r="Z140" s="1"/>
  <c r="T140"/>
  <c r="U140" s="1"/>
  <c r="T117"/>
  <c r="U117" s="1"/>
  <c r="T122"/>
  <c r="U122" s="1"/>
  <c r="Y134"/>
  <c r="Z134" s="1"/>
  <c r="AD146"/>
  <c r="AE146" s="1"/>
  <c r="T146"/>
  <c r="U146" s="1"/>
  <c r="AD140"/>
  <c r="AE140" s="1"/>
  <c r="Y146"/>
  <c r="Z146" s="1"/>
  <c r="T152"/>
  <c r="U152" s="1"/>
  <c r="AD152"/>
  <c r="AE152" s="1"/>
  <c r="Y152"/>
  <c r="Z152" s="1"/>
  <c r="FV96" i="24"/>
  <c r="IC96"/>
  <c r="FV98"/>
  <c r="IC98"/>
  <c r="GH96"/>
  <c r="HN97"/>
  <c r="GH98"/>
  <c r="IC97"/>
  <c r="JF96"/>
  <c r="HN98"/>
  <c r="GH97"/>
  <c r="HN96"/>
  <c r="FV97"/>
  <c r="JF97"/>
  <c r="JF98"/>
  <c r="GH89"/>
  <c r="FV88"/>
  <c r="HN90"/>
  <c r="GH88"/>
  <c r="HN89"/>
  <c r="JF90"/>
  <c r="JF89"/>
  <c r="IC90"/>
  <c r="HN88"/>
  <c r="IC88"/>
  <c r="GH90"/>
  <c r="FV89"/>
  <c r="FV90"/>
  <c r="IC89"/>
  <c r="JF88"/>
  <c r="GH82"/>
  <c r="FV82"/>
  <c r="HN82"/>
  <c r="IC84"/>
  <c r="FV83"/>
  <c r="GH84"/>
  <c r="JF82"/>
  <c r="HN83"/>
  <c r="GH83"/>
  <c r="IC82"/>
  <c r="IC83"/>
  <c r="JF83"/>
  <c r="HN84"/>
  <c r="Y263" i="40"/>
  <c r="Z263" s="1"/>
  <c r="Y257"/>
  <c r="Z257" s="1"/>
  <c r="AD257"/>
  <c r="AE257" s="1"/>
  <c r="T263"/>
  <c r="U263" s="1"/>
  <c r="T257"/>
  <c r="U257" s="1"/>
  <c r="Y293"/>
  <c r="Z293" s="1"/>
  <c r="T281"/>
  <c r="U281" s="1"/>
  <c r="Y281"/>
  <c r="Z281" s="1"/>
  <c r="T293"/>
  <c r="U293" s="1"/>
  <c r="AD281"/>
  <c r="AE281" s="1"/>
  <c r="AD293"/>
  <c r="AE293" s="1"/>
  <c r="Y269"/>
  <c r="Z269" s="1"/>
  <c r="Y275"/>
  <c r="Z275" s="1"/>
  <c r="AD269"/>
  <c r="AE269" s="1"/>
  <c r="T269"/>
  <c r="U269" s="1"/>
  <c r="T275"/>
  <c r="U275" s="1"/>
  <c r="AD275"/>
  <c r="AE275" s="1"/>
  <c r="Y351"/>
  <c r="Z351" s="1"/>
  <c r="Y357"/>
  <c r="Z357" s="1"/>
  <c r="T357"/>
  <c r="U357" s="1"/>
  <c r="T351"/>
  <c r="U351" s="1"/>
  <c r="AD351"/>
  <c r="AE351" s="1"/>
  <c r="AD357"/>
  <c r="AE357" s="1"/>
  <c r="GH109" i="24"/>
  <c r="IC109"/>
  <c r="FV110"/>
  <c r="HN110"/>
  <c r="GH111"/>
  <c r="IC111"/>
  <c r="FV109"/>
  <c r="HN109"/>
  <c r="GH110"/>
  <c r="IC110"/>
  <c r="FV111"/>
  <c r="HN111"/>
  <c r="JF110"/>
  <c r="JF111"/>
  <c r="JF109"/>
  <c r="FV103"/>
  <c r="HN103"/>
  <c r="FV104"/>
  <c r="JF103"/>
  <c r="JF104"/>
  <c r="IC104"/>
  <c r="IC103"/>
  <c r="HN104"/>
  <c r="GH103"/>
  <c r="GH104"/>
  <c r="FV71"/>
  <c r="JF71"/>
  <c r="JM71" s="1"/>
  <c r="JN71" s="1"/>
  <c r="JO71" s="1"/>
  <c r="JS71" s="1"/>
  <c r="KW71" s="1"/>
  <c r="HN71"/>
  <c r="GH71"/>
  <c r="IC71"/>
  <c r="GH69"/>
  <c r="IC69"/>
  <c r="HN69"/>
  <c r="HN66"/>
  <c r="IC66"/>
  <c r="GH66"/>
  <c r="FV74"/>
  <c r="FV75"/>
  <c r="JF74"/>
  <c r="JF75"/>
  <c r="JM75" s="1"/>
  <c r="JN75" s="1"/>
  <c r="JO75" s="1"/>
  <c r="JS75" s="1"/>
  <c r="KW75" s="1"/>
  <c r="HN74"/>
  <c r="GH74"/>
  <c r="GH75"/>
  <c r="HN75"/>
  <c r="IC74"/>
  <c r="IC75"/>
  <c r="HN67"/>
  <c r="GH67"/>
  <c r="IC67"/>
  <c r="FV64"/>
  <c r="JF64"/>
  <c r="JM64" s="1"/>
  <c r="JN64" s="1"/>
  <c r="JO64" s="1"/>
  <c r="JS64" s="1"/>
  <c r="KW64" s="1"/>
  <c r="HN64"/>
  <c r="GH64"/>
  <c r="IC64"/>
  <c r="GH44"/>
  <c r="GH45"/>
  <c r="GH46"/>
  <c r="GH47"/>
  <c r="GH48"/>
  <c r="GH49"/>
  <c r="GH50"/>
  <c r="GH51"/>
  <c r="FV51"/>
  <c r="FV49"/>
  <c r="FV44"/>
  <c r="FV47"/>
  <c r="FV48"/>
  <c r="FV50"/>
  <c r="FV46"/>
  <c r="FV45"/>
  <c r="JF44"/>
  <c r="JF45"/>
  <c r="HN44"/>
  <c r="HN45"/>
  <c r="JF46"/>
  <c r="IC44"/>
  <c r="IC45"/>
  <c r="HN46"/>
  <c r="HN47"/>
  <c r="IC46"/>
  <c r="IC47"/>
  <c r="HN49"/>
  <c r="HN48"/>
  <c r="IC48"/>
  <c r="HN50"/>
  <c r="IC49"/>
  <c r="HN51"/>
  <c r="IC50"/>
  <c r="IC51"/>
  <c r="FV36"/>
  <c r="JF36"/>
  <c r="HN36"/>
  <c r="IC36"/>
  <c r="GH36"/>
  <c r="FV37"/>
  <c r="JF37"/>
  <c r="JZ37" s="1"/>
  <c r="GH37"/>
  <c r="HN37"/>
  <c r="IC37"/>
  <c r="CV20" i="1"/>
  <c r="U35" i="24"/>
  <c r="U36"/>
  <c r="U39"/>
  <c r="U40"/>
  <c r="U42"/>
  <c r="U44"/>
  <c r="U37"/>
  <c r="U38"/>
  <c r="U41"/>
  <c r="U43"/>
  <c r="U53"/>
  <c r="U66"/>
  <c r="U68"/>
  <c r="U69"/>
  <c r="U70"/>
  <c r="U71"/>
  <c r="U73"/>
  <c r="U77"/>
  <c r="U78"/>
  <c r="U79"/>
  <c r="U61"/>
  <c r="U64"/>
  <c r="U65"/>
  <c r="U67"/>
  <c r="U72"/>
  <c r="U74"/>
  <c r="U76"/>
  <c r="U80"/>
  <c r="U82"/>
  <c r="U85"/>
  <c r="U88"/>
  <c r="U92"/>
  <c r="U96"/>
  <c r="U100"/>
  <c r="U81"/>
  <c r="U103"/>
  <c r="U106"/>
  <c r="U109"/>
  <c r="U113"/>
  <c r="P90" i="11"/>
  <c r="G90" s="1"/>
  <c r="Y76" i="54"/>
  <c r="D76"/>
  <c r="KA80" i="24" l="1"/>
  <c r="KB80" s="1"/>
  <c r="KC80" s="1"/>
  <c r="KD80"/>
  <c r="KI45"/>
  <c r="KH45"/>
  <c r="JZ45"/>
  <c r="KG45" s="1"/>
  <c r="KU75"/>
  <c r="KI104"/>
  <c r="KH104"/>
  <c r="JZ104"/>
  <c r="KG104" s="1"/>
  <c r="KH111"/>
  <c r="KI111"/>
  <c r="JZ111"/>
  <c r="KG111" s="1"/>
  <c r="KI83"/>
  <c r="KH83"/>
  <c r="JZ83"/>
  <c r="KG83" s="1"/>
  <c r="KH88"/>
  <c r="KI88"/>
  <c r="JZ88"/>
  <c r="KG88" s="1"/>
  <c r="KH89"/>
  <c r="KI89"/>
  <c r="JZ89"/>
  <c r="KG89" s="1"/>
  <c r="KH97"/>
  <c r="KI97"/>
  <c r="JZ97"/>
  <c r="KG97" s="1"/>
  <c r="KU72"/>
  <c r="KI76"/>
  <c r="KH76"/>
  <c r="JZ76"/>
  <c r="KG76" s="1"/>
  <c r="KI55"/>
  <c r="KH55"/>
  <c r="JZ55"/>
  <c r="KG55" s="1"/>
  <c r="KU70"/>
  <c r="KH80"/>
  <c r="KI80"/>
  <c r="JZ80"/>
  <c r="KG80" s="1"/>
  <c r="KH85"/>
  <c r="KI85"/>
  <c r="JZ85"/>
  <c r="KG85" s="1"/>
  <c r="KH86"/>
  <c r="KI86"/>
  <c r="JZ86"/>
  <c r="KG86" s="1"/>
  <c r="KH93"/>
  <c r="KI93"/>
  <c r="JZ93"/>
  <c r="KG93" s="1"/>
  <c r="KH101"/>
  <c r="KI101"/>
  <c r="JZ101"/>
  <c r="KG101" s="1"/>
  <c r="KH36"/>
  <c r="KI36"/>
  <c r="KH46"/>
  <c r="KI46"/>
  <c r="JZ46"/>
  <c r="KG46" s="1"/>
  <c r="KH44"/>
  <c r="JZ44"/>
  <c r="KG44" s="1"/>
  <c r="KI44"/>
  <c r="KU64"/>
  <c r="JM74"/>
  <c r="JN74" s="1"/>
  <c r="JO74" s="1"/>
  <c r="JS74" s="1"/>
  <c r="KW74" s="1"/>
  <c r="KU71"/>
  <c r="KI103"/>
  <c r="KH103"/>
  <c r="JZ103"/>
  <c r="KG103" s="1"/>
  <c r="KH109"/>
  <c r="KI109"/>
  <c r="JZ109"/>
  <c r="KG109" s="1"/>
  <c r="KH110"/>
  <c r="KI110"/>
  <c r="JZ110"/>
  <c r="KG110" s="1"/>
  <c r="KI82"/>
  <c r="KH82"/>
  <c r="JZ82"/>
  <c r="KG82" s="1"/>
  <c r="KH90"/>
  <c r="KI90"/>
  <c r="JZ90"/>
  <c r="KG90" s="1"/>
  <c r="KI98"/>
  <c r="KH98"/>
  <c r="JZ98"/>
  <c r="KG98" s="1"/>
  <c r="KI96"/>
  <c r="KH96"/>
  <c r="JZ96"/>
  <c r="KG96" s="1"/>
  <c r="KH61"/>
  <c r="KI61"/>
  <c r="JZ61"/>
  <c r="KG61" s="1"/>
  <c r="KQ80"/>
  <c r="KS80" s="1"/>
  <c r="KK80"/>
  <c r="KI54"/>
  <c r="KH54"/>
  <c r="JZ54"/>
  <c r="KG54" s="1"/>
  <c r="KI53"/>
  <c r="KH53"/>
  <c r="JZ53"/>
  <c r="KG53" s="1"/>
  <c r="KU73"/>
  <c r="KH92"/>
  <c r="KI92"/>
  <c r="JZ92"/>
  <c r="KG92" s="1"/>
  <c r="KI94"/>
  <c r="KH94"/>
  <c r="JZ94"/>
  <c r="KG94" s="1"/>
  <c r="KH100"/>
  <c r="KI100"/>
  <c r="JZ100"/>
  <c r="KG100" s="1"/>
  <c r="JM104"/>
  <c r="JN104" s="1"/>
  <c r="KL104" s="1"/>
  <c r="JM83"/>
  <c r="JN83" s="1"/>
  <c r="JO83" s="1"/>
  <c r="JS83" s="1"/>
  <c r="JM62"/>
  <c r="JN62" s="1"/>
  <c r="JO62" s="1"/>
  <c r="JS62" s="1"/>
  <c r="AD167" i="40" s="1"/>
  <c r="JM76" i="24"/>
  <c r="JN76" s="1"/>
  <c r="JO76" s="1"/>
  <c r="JS76" s="1"/>
  <c r="JM80"/>
  <c r="JN80" s="1"/>
  <c r="JO80" s="1"/>
  <c r="JS80" s="1"/>
  <c r="KW80" s="1"/>
  <c r="JM86"/>
  <c r="JN86" s="1"/>
  <c r="KL86" s="1"/>
  <c r="JM101"/>
  <c r="JN101" s="1"/>
  <c r="KL101" s="1"/>
  <c r="JM109"/>
  <c r="JN109" s="1"/>
  <c r="KL109" s="1"/>
  <c r="JM90"/>
  <c r="JN90" s="1"/>
  <c r="KL90" s="1"/>
  <c r="JM98"/>
  <c r="JN98" s="1"/>
  <c r="KL98" s="1"/>
  <c r="JM61"/>
  <c r="JN61" s="1"/>
  <c r="JO61" s="1"/>
  <c r="JS61" s="1"/>
  <c r="AD161" i="40" s="1"/>
  <c r="JM94" i="24"/>
  <c r="JN94" s="1"/>
  <c r="JO94" s="1"/>
  <c r="JS94" s="1"/>
  <c r="JM38"/>
  <c r="JN38" s="1"/>
  <c r="JO38" s="1"/>
  <c r="JO37" s="1"/>
  <c r="JS37" s="1"/>
  <c r="JM36"/>
  <c r="JN36" s="1"/>
  <c r="JZ36"/>
  <c r="KG36" s="1"/>
  <c r="JF47"/>
  <c r="JZ47" s="1"/>
  <c r="JM46"/>
  <c r="JN46" s="1"/>
  <c r="JO46" s="1"/>
  <c r="AD193" i="40"/>
  <c r="W78" i="54"/>
  <c r="G79"/>
  <c r="AD209" i="40"/>
  <c r="T100"/>
  <c r="Y100" s="1"/>
  <c r="AD100" s="1"/>
  <c r="T218"/>
  <c r="T283"/>
  <c r="T393"/>
  <c r="AD242"/>
  <c r="T124"/>
  <c r="Y124" s="1"/>
  <c r="AD124" s="1"/>
  <c r="T289"/>
  <c r="T148"/>
  <c r="Y148" s="1"/>
  <c r="AD148" s="1"/>
  <c r="AD176"/>
  <c r="AD221"/>
  <c r="T133"/>
  <c r="AD317"/>
  <c r="AD203"/>
  <c r="T105"/>
  <c r="Y105" s="1"/>
  <c r="AD105" s="1"/>
  <c r="CW20" i="1"/>
  <c r="P92" i="11"/>
  <c r="AD262" i="40"/>
  <c r="Y77" i="54"/>
  <c r="D77"/>
  <c r="JS38" i="24"/>
  <c r="AD229" i="40"/>
  <c r="JF56" i="24"/>
  <c r="JZ56" s="1"/>
  <c r="JM55"/>
  <c r="JN55" s="1"/>
  <c r="JO55" s="1"/>
  <c r="AD187" i="40"/>
  <c r="AD215" l="1"/>
  <c r="AD216" s="1"/>
  <c r="AE216" s="1"/>
  <c r="KW94" i="24"/>
  <c r="KL94"/>
  <c r="KW76"/>
  <c r="KL76"/>
  <c r="KW83"/>
  <c r="KL83"/>
  <c r="KL80"/>
  <c r="KW37"/>
  <c r="KL37"/>
  <c r="KW38"/>
  <c r="KL38"/>
  <c r="KW61"/>
  <c r="KL61"/>
  <c r="KW62"/>
  <c r="KL62"/>
  <c r="KM62" s="1"/>
  <c r="KU37"/>
  <c r="KM37"/>
  <c r="KU61"/>
  <c r="KM61"/>
  <c r="KU90"/>
  <c r="KM90"/>
  <c r="KU101"/>
  <c r="KM101"/>
  <c r="KU80"/>
  <c r="KU62"/>
  <c r="KU104"/>
  <c r="KM104"/>
  <c r="KN100"/>
  <c r="KO100" s="1"/>
  <c r="KN92"/>
  <c r="KO92" s="1"/>
  <c r="KN82"/>
  <c r="KO82" s="1"/>
  <c r="KU74"/>
  <c r="KN93"/>
  <c r="KO93" s="1"/>
  <c r="KN85"/>
  <c r="KO85" s="1"/>
  <c r="KM80"/>
  <c r="KO80" s="1"/>
  <c r="KU38"/>
  <c r="KM38"/>
  <c r="JO36"/>
  <c r="JS36" s="1"/>
  <c r="KU94"/>
  <c r="KM94"/>
  <c r="KU98"/>
  <c r="KM98"/>
  <c r="KU109"/>
  <c r="KM109"/>
  <c r="KU86"/>
  <c r="KM86"/>
  <c r="KU76"/>
  <c r="KM76"/>
  <c r="KU83"/>
  <c r="KM83"/>
  <c r="KN94"/>
  <c r="KN103"/>
  <c r="KO103" s="1"/>
  <c r="KN101"/>
  <c r="KN86"/>
  <c r="KN83"/>
  <c r="KN104"/>
  <c r="JF48"/>
  <c r="JZ48" s="1"/>
  <c r="JO53"/>
  <c r="JO54"/>
  <c r="JS55"/>
  <c r="AE229" i="40"/>
  <c r="AD231"/>
  <c r="AE231" s="1"/>
  <c r="AF229"/>
  <c r="AD44"/>
  <c r="AF187"/>
  <c r="AE187"/>
  <c r="AD188"/>
  <c r="AE188" s="1"/>
  <c r="JF57" i="24"/>
  <c r="JZ57" s="1"/>
  <c r="JM56"/>
  <c r="JN56" s="1"/>
  <c r="JO56" s="1"/>
  <c r="AD52" i="40"/>
  <c r="AF262"/>
  <c r="AE262"/>
  <c r="AD263"/>
  <c r="AE263" s="1"/>
  <c r="CX20" i="1"/>
  <c r="P85" i="11"/>
  <c r="T134" i="40"/>
  <c r="U134" s="1"/>
  <c r="U133"/>
  <c r="AE176"/>
  <c r="AF176"/>
  <c r="AD177"/>
  <c r="AE177" s="1"/>
  <c r="Y283"/>
  <c r="AD283"/>
  <c r="W79" i="54"/>
  <c r="G80"/>
  <c r="AD194" i="40"/>
  <c r="AE194" s="1"/>
  <c r="AE193"/>
  <c r="AF193"/>
  <c r="JM48" i="24"/>
  <c r="JN48" s="1"/>
  <c r="JO48" s="1"/>
  <c r="AF203" i="40"/>
  <c r="AE203"/>
  <c r="AD204"/>
  <c r="AE204" s="1"/>
  <c r="AF317"/>
  <c r="AD318"/>
  <c r="AE318" s="1"/>
  <c r="AE317"/>
  <c r="AE215"/>
  <c r="AF221"/>
  <c r="AE221"/>
  <c r="AD222"/>
  <c r="AE222" s="1"/>
  <c r="AE161"/>
  <c r="AF161"/>
  <c r="AD162"/>
  <c r="AE162" s="1"/>
  <c r="AD289"/>
  <c r="Y289"/>
  <c r="AE242"/>
  <c r="AF242"/>
  <c r="AD243"/>
  <c r="AE243" s="1"/>
  <c r="Y393"/>
  <c r="AD393"/>
  <c r="AF167"/>
  <c r="AD168"/>
  <c r="AE168" s="1"/>
  <c r="AE167"/>
  <c r="AD218"/>
  <c r="Y218"/>
  <c r="AD210"/>
  <c r="AE210" s="1"/>
  <c r="AF209"/>
  <c r="AE209"/>
  <c r="Y78" i="54"/>
  <c r="D78"/>
  <c r="JO44" i="24"/>
  <c r="JO45"/>
  <c r="JS46"/>
  <c r="AF215" i="40" l="1"/>
  <c r="KW46" i="24"/>
  <c r="KL46"/>
  <c r="KW55"/>
  <c r="KL55"/>
  <c r="KW36"/>
  <c r="KL36"/>
  <c r="JF49"/>
  <c r="JZ49" s="1"/>
  <c r="KT80"/>
  <c r="KX80" s="1"/>
  <c r="KU46"/>
  <c r="KM46"/>
  <c r="KU55"/>
  <c r="KM55"/>
  <c r="KO76"/>
  <c r="KT76"/>
  <c r="KX76" s="1"/>
  <c r="KO86"/>
  <c r="KT86"/>
  <c r="KX86" s="1"/>
  <c r="KO109"/>
  <c r="KT109"/>
  <c r="KX109" s="1"/>
  <c r="KO98"/>
  <c r="KT98"/>
  <c r="KX98" s="1"/>
  <c r="KO94"/>
  <c r="KT94"/>
  <c r="KX94" s="1"/>
  <c r="KU36"/>
  <c r="KM36"/>
  <c r="AD36" i="40"/>
  <c r="KO38" i="24"/>
  <c r="KP38" s="1"/>
  <c r="KT38"/>
  <c r="KX38" s="1"/>
  <c r="KO104"/>
  <c r="KT104"/>
  <c r="KX104" s="1"/>
  <c r="KO62"/>
  <c r="KP62" s="1"/>
  <c r="KT62"/>
  <c r="KX62" s="1"/>
  <c r="KO83"/>
  <c r="KT83"/>
  <c r="KX83" s="1"/>
  <c r="KO101"/>
  <c r="KT101"/>
  <c r="KX101" s="1"/>
  <c r="KO90"/>
  <c r="KT90"/>
  <c r="KX90" s="1"/>
  <c r="KO61"/>
  <c r="KT61"/>
  <c r="KX61" s="1"/>
  <c r="KO37"/>
  <c r="KP37" s="1"/>
  <c r="KT37"/>
  <c r="KX37" s="1"/>
  <c r="JF50"/>
  <c r="JF58"/>
  <c r="JP45"/>
  <c r="JP44" s="1"/>
  <c r="JS44" s="1"/>
  <c r="JO47"/>
  <c r="JS47" s="1"/>
  <c r="JS48"/>
  <c r="Y79" i="54"/>
  <c r="D79"/>
  <c r="AD53" i="40"/>
  <c r="AE53" s="1"/>
  <c r="AF52"/>
  <c r="AE52"/>
  <c r="AF44"/>
  <c r="AD45"/>
  <c r="AE45" s="1"/>
  <c r="AE44"/>
  <c r="AD127"/>
  <c r="AD81"/>
  <c r="W80" i="54"/>
  <c r="G81"/>
  <c r="CY20" i="1"/>
  <c r="CZ20" s="1"/>
  <c r="T88" i="11"/>
  <c r="JS56" i="24"/>
  <c r="JP54"/>
  <c r="JS54" s="1"/>
  <c r="JP53"/>
  <c r="JS53" s="1"/>
  <c r="KW47" l="1"/>
  <c r="KL47"/>
  <c r="KW53"/>
  <c r="KL53"/>
  <c r="KW56"/>
  <c r="KL56"/>
  <c r="KW54"/>
  <c r="KL54"/>
  <c r="KM54" s="1"/>
  <c r="KW48"/>
  <c r="KL48"/>
  <c r="KM48" s="1"/>
  <c r="KW44"/>
  <c r="KL44"/>
  <c r="KM44" s="1"/>
  <c r="KY62"/>
  <c r="LA62" s="1"/>
  <c r="KY37"/>
  <c r="LB37" s="1"/>
  <c r="KY38"/>
  <c r="LB38" s="1"/>
  <c r="LA37"/>
  <c r="KU53"/>
  <c r="KM53"/>
  <c r="KU56"/>
  <c r="KM56"/>
  <c r="KU47"/>
  <c r="KM47"/>
  <c r="KI58"/>
  <c r="KH58"/>
  <c r="JZ58"/>
  <c r="KG58" s="1"/>
  <c r="KO55"/>
  <c r="KT55"/>
  <c r="KX55" s="1"/>
  <c r="KU54"/>
  <c r="KU48"/>
  <c r="KU44"/>
  <c r="KI50"/>
  <c r="JZ50"/>
  <c r="KG50" s="1"/>
  <c r="KH50"/>
  <c r="LA38"/>
  <c r="AD37" i="40"/>
  <c r="AE37" s="1"/>
  <c r="AE36"/>
  <c r="AF36"/>
  <c r="KT36" i="24"/>
  <c r="KX36" s="1"/>
  <c r="KO36"/>
  <c r="KO46"/>
  <c r="KT46"/>
  <c r="KX46" s="1"/>
  <c r="JF59"/>
  <c r="JF51"/>
  <c r="AD116" i="40"/>
  <c r="Y80" i="54"/>
  <c r="D80"/>
  <c r="AD133" i="40"/>
  <c r="T87" i="11"/>
  <c r="W81" i="54"/>
  <c r="G82"/>
  <c r="AD69" i="40"/>
  <c r="AE81"/>
  <c r="AF81"/>
  <c r="AD82"/>
  <c r="AE82" s="1"/>
  <c r="AD92"/>
  <c r="AD121"/>
  <c r="DA20" i="1"/>
  <c r="DB20" s="1"/>
  <c r="AA88" i="11"/>
  <c r="AA87" s="1"/>
  <c r="AD128" i="40"/>
  <c r="AE128" s="1"/>
  <c r="AE127"/>
  <c r="AF127"/>
  <c r="AD87"/>
  <c r="JS45" i="24"/>
  <c r="KW45" l="1"/>
  <c r="KL45"/>
  <c r="KU45"/>
  <c r="KM45"/>
  <c r="KH51"/>
  <c r="JZ51"/>
  <c r="KG51" s="1"/>
  <c r="KI51"/>
  <c r="KO44"/>
  <c r="KT44"/>
  <c r="KO54"/>
  <c r="KT54"/>
  <c r="KX54" s="1"/>
  <c r="KO47"/>
  <c r="KP47" s="1"/>
  <c r="KT47"/>
  <c r="KX47" s="1"/>
  <c r="KI59"/>
  <c r="KH59"/>
  <c r="JZ59"/>
  <c r="KG59" s="1"/>
  <c r="KO48"/>
  <c r="KP48" s="1"/>
  <c r="KT48"/>
  <c r="KX48" s="1"/>
  <c r="KO56"/>
  <c r="KP56" s="1"/>
  <c r="KT56"/>
  <c r="KX56" s="1"/>
  <c r="KO53"/>
  <c r="KT53"/>
  <c r="KX53" s="1"/>
  <c r="KX44"/>
  <c r="AE121" i="40"/>
  <c r="AF121"/>
  <c r="AD122"/>
  <c r="AE122" s="1"/>
  <c r="AF92"/>
  <c r="AD93"/>
  <c r="AE93" s="1"/>
  <c r="AE92"/>
  <c r="W82" i="54"/>
  <c r="G83"/>
  <c r="AF87" i="40"/>
  <c r="AD88"/>
  <c r="AE88" s="1"/>
  <c r="AE87"/>
  <c r="AD75"/>
  <c r="DC20" i="1"/>
  <c r="Z35" i="24" s="1"/>
  <c r="Z36"/>
  <c r="Z37"/>
  <c r="Z41"/>
  <c r="Z43"/>
  <c r="Z38"/>
  <c r="Z39"/>
  <c r="Z40"/>
  <c r="Z42"/>
  <c r="Z44"/>
  <c r="Z61"/>
  <c r="Z64"/>
  <c r="Z65"/>
  <c r="Z67"/>
  <c r="Z72"/>
  <c r="Z74"/>
  <c r="Z76"/>
  <c r="Z53"/>
  <c r="Z66"/>
  <c r="Z68"/>
  <c r="Z69"/>
  <c r="Z70"/>
  <c r="Z71"/>
  <c r="Z73"/>
  <c r="Z77"/>
  <c r="Z78"/>
  <c r="Z79"/>
  <c r="Z81"/>
  <c r="Z103"/>
  <c r="Z106"/>
  <c r="Z109"/>
  <c r="Z113"/>
  <c r="Z80"/>
  <c r="Z82"/>
  <c r="Z85"/>
  <c r="Z88"/>
  <c r="Z92"/>
  <c r="Z96"/>
  <c r="Z100"/>
  <c r="AD70" i="40"/>
  <c r="AE70" s="1"/>
  <c r="AF69"/>
  <c r="AE69"/>
  <c r="Y81" i="54"/>
  <c r="D81"/>
  <c r="AE133" i="40"/>
  <c r="AD134"/>
  <c r="AE134" s="1"/>
  <c r="AF133"/>
  <c r="AD117"/>
  <c r="AE117" s="1"/>
  <c r="AE116"/>
  <c r="AF116"/>
  <c r="KY47" i="24" l="1"/>
  <c r="KY56"/>
  <c r="KY48"/>
  <c r="KO45"/>
  <c r="KT45"/>
  <c r="KX45" s="1"/>
  <c r="AF75" i="40"/>
  <c r="AD76"/>
  <c r="AE76" s="1"/>
  <c r="AE75"/>
  <c r="Y82" i="54"/>
  <c r="D82"/>
  <c r="DD20" i="1"/>
  <c r="U20" i="34"/>
  <c r="U24"/>
  <c r="U27"/>
  <c r="U23"/>
  <c r="U28"/>
  <c r="U30"/>
  <c r="U32"/>
  <c r="U35"/>
  <c r="U36"/>
  <c r="U38"/>
  <c r="U39"/>
  <c r="U40"/>
  <c r="U41"/>
  <c r="U43"/>
  <c r="U45"/>
  <c r="U48"/>
  <c r="U49"/>
  <c r="U51"/>
  <c r="U52"/>
  <c r="U53"/>
  <c r="U54"/>
  <c r="U57"/>
  <c r="U19"/>
  <c r="U22"/>
  <c r="U25"/>
  <c r="U21"/>
  <c r="U26"/>
  <c r="U29"/>
  <c r="U31"/>
  <c r="U33"/>
  <c r="U34"/>
  <c r="U37"/>
  <c r="U42"/>
  <c r="U44"/>
  <c r="U46"/>
  <c r="U47"/>
  <c r="U50"/>
  <c r="U56"/>
  <c r="U55"/>
  <c r="W83" i="54"/>
  <c r="G84"/>
  <c r="Y83" l="1"/>
  <c r="D83"/>
  <c r="DE20" i="1"/>
  <c r="P77" i="11"/>
  <c r="W84" i="54"/>
  <c r="G85"/>
  <c r="Y84" l="1"/>
  <c r="D84"/>
  <c r="DF20" i="1"/>
  <c r="AA35" i="24"/>
  <c r="AA36"/>
  <c r="AA38"/>
  <c r="AA39"/>
  <c r="AA40"/>
  <c r="AA42"/>
  <c r="AA44"/>
  <c r="AA37"/>
  <c r="AA41"/>
  <c r="AA43"/>
  <c r="AA53"/>
  <c r="AA66"/>
  <c r="AA68"/>
  <c r="AA69"/>
  <c r="AA70"/>
  <c r="AA71"/>
  <c r="AA73"/>
  <c r="AA77"/>
  <c r="AA78"/>
  <c r="AA79"/>
  <c r="AA61"/>
  <c r="AA64"/>
  <c r="AA65"/>
  <c r="AA67"/>
  <c r="AA72"/>
  <c r="AA74"/>
  <c r="AA76"/>
  <c r="AA80"/>
  <c r="AA82"/>
  <c r="AA85"/>
  <c r="AA88"/>
  <c r="AA92"/>
  <c r="AA96"/>
  <c r="AA100"/>
  <c r="AA81"/>
  <c r="AA103"/>
  <c r="AA106"/>
  <c r="AA109"/>
  <c r="AA113"/>
  <c r="L49" i="22"/>
  <c r="L50"/>
  <c r="O200" i="40"/>
  <c r="O184"/>
  <c r="L26" i="22"/>
  <c r="L28"/>
  <c r="O41" i="40"/>
  <c r="O53"/>
  <c r="O35"/>
  <c r="P78" i="11"/>
  <c r="L25" i="22"/>
  <c r="L29"/>
  <c r="L35"/>
  <c r="L24"/>
  <c r="L37"/>
  <c r="L31"/>
  <c r="O38" i="40"/>
  <c r="O158"/>
  <c r="O114"/>
  <c r="O180"/>
  <c r="V20" i="34"/>
  <c r="V23"/>
  <c r="V28"/>
  <c r="V22"/>
  <c r="V25"/>
  <c r="V30"/>
  <c r="V32"/>
  <c r="L54" i="22"/>
  <c r="L58"/>
  <c r="L55"/>
  <c r="L62"/>
  <c r="L53"/>
  <c r="L61"/>
  <c r="O206" i="40"/>
  <c r="O265"/>
  <c r="O320"/>
  <c r="O302"/>
  <c r="O347"/>
  <c r="O359"/>
  <c r="O393"/>
  <c r="O383"/>
  <c r="V39" i="34"/>
  <c r="V42"/>
  <c r="V44"/>
  <c r="V45"/>
  <c r="V47"/>
  <c r="V48"/>
  <c r="V53"/>
  <c r="V55"/>
  <c r="V56"/>
  <c r="L42" i="22"/>
  <c r="L43"/>
  <c r="L44"/>
  <c r="L46"/>
  <c r="L47"/>
  <c r="L48"/>
  <c r="L51"/>
  <c r="L52"/>
  <c r="O212" i="40"/>
  <c r="O224"/>
  <c r="O230"/>
  <c r="L27" i="22"/>
  <c r="L30"/>
  <c r="O44" i="40"/>
  <c r="O47"/>
  <c r="O50"/>
  <c r="L32" i="22"/>
  <c r="L36"/>
  <c r="L34"/>
  <c r="O32" i="40"/>
  <c r="L33" i="22"/>
  <c r="L38"/>
  <c r="O28" i="40"/>
  <c r="O66"/>
  <c r="O173"/>
  <c r="O179"/>
  <c r="V19" i="34"/>
  <c r="V21"/>
  <c r="V26"/>
  <c r="V29"/>
  <c r="V24"/>
  <c r="V27"/>
  <c r="V31"/>
  <c r="V33"/>
  <c r="L60" i="22"/>
  <c r="L56"/>
  <c r="L59"/>
  <c r="L45"/>
  <c r="L57"/>
  <c r="O187" i="40"/>
  <c r="O253"/>
  <c r="O277"/>
  <c r="O411"/>
  <c r="V34" i="34"/>
  <c r="V35"/>
  <c r="V36"/>
  <c r="V37"/>
  <c r="V38"/>
  <c r="V40"/>
  <c r="V41"/>
  <c r="V43"/>
  <c r="V46"/>
  <c r="V49"/>
  <c r="V50"/>
  <c r="V51"/>
  <c r="V52"/>
  <c r="V54"/>
  <c r="V57"/>
  <c r="L39" i="22"/>
  <c r="L40"/>
  <c r="O186" i="40"/>
  <c r="O227"/>
  <c r="O182"/>
  <c r="O189"/>
  <c r="L41" i="22"/>
  <c r="O188" i="40"/>
  <c r="O239"/>
  <c r="O181"/>
  <c r="O190"/>
  <c r="O242"/>
  <c r="O183"/>
  <c r="O233"/>
  <c r="O185"/>
  <c r="W85" i="54"/>
  <c r="G86"/>
  <c r="Y85" l="1"/>
  <c r="D85"/>
  <c r="W86"/>
  <c r="G87"/>
  <c r="DG20" i="1"/>
  <c r="DH20" s="1"/>
  <c r="U78" i="11"/>
  <c r="T78" s="1"/>
  <c r="DI20" i="1" l="1"/>
  <c r="P94" i="11"/>
  <c r="Y86" i="54"/>
  <c r="D86"/>
  <c r="W87"/>
  <c r="G88"/>
  <c r="Y87" l="1"/>
  <c r="D87"/>
  <c r="W88"/>
  <c r="G89"/>
  <c r="AB35" i="24"/>
  <c r="DJ20" i="1"/>
  <c r="AB37" i="24"/>
  <c r="AB41"/>
  <c r="AB43"/>
  <c r="AB36"/>
  <c r="AB38"/>
  <c r="AB39"/>
  <c r="AB40"/>
  <c r="AB42"/>
  <c r="AB44"/>
  <c r="AB61"/>
  <c r="AB64"/>
  <c r="AB65"/>
  <c r="AB67"/>
  <c r="AB72"/>
  <c r="AB74"/>
  <c r="AB76"/>
  <c r="AB53"/>
  <c r="AB66"/>
  <c r="AB68"/>
  <c r="AB69"/>
  <c r="AB70"/>
  <c r="AB71"/>
  <c r="AB73"/>
  <c r="AB77"/>
  <c r="AB78"/>
  <c r="AB79"/>
  <c r="AB81"/>
  <c r="AB103"/>
  <c r="AB106"/>
  <c r="AB109"/>
  <c r="AB113"/>
  <c r="AB80"/>
  <c r="AB82"/>
  <c r="AB85"/>
  <c r="AB88"/>
  <c r="AB92"/>
  <c r="AB96"/>
  <c r="AB100"/>
  <c r="X20" i="34"/>
  <c r="X23"/>
  <c r="X28"/>
  <c r="X22"/>
  <c r="X25"/>
  <c r="X30"/>
  <c r="X32"/>
  <c r="X34"/>
  <c r="X35"/>
  <c r="X36"/>
  <c r="X37"/>
  <c r="X38"/>
  <c r="X40"/>
  <c r="X41"/>
  <c r="X49"/>
  <c r="X50"/>
  <c r="X51"/>
  <c r="X52"/>
  <c r="P96" i="11"/>
  <c r="X19" i="34"/>
  <c r="X21"/>
  <c r="X26"/>
  <c r="X29"/>
  <c r="X24"/>
  <c r="X27"/>
  <c r="X31"/>
  <c r="X33"/>
  <c r="X39"/>
  <c r="X46"/>
  <c r="X47"/>
  <c r="X48"/>
  <c r="X53"/>
  <c r="X55"/>
  <c r="X56"/>
  <c r="X54"/>
  <c r="X57"/>
  <c r="DK20" i="1" l="1"/>
  <c r="T96" i="11"/>
  <c r="W89" i="54"/>
  <c r="G90"/>
  <c r="Y88"/>
  <c r="D88"/>
  <c r="W90" l="1"/>
  <c r="G91"/>
  <c r="Y89"/>
  <c r="D89"/>
  <c r="DL20" i="1"/>
  <c r="DM20" s="1"/>
  <c r="P97" i="11"/>
  <c r="Q97"/>
  <c r="DN20" i="1" l="1"/>
  <c r="T97" i="11"/>
  <c r="W91" i="54"/>
  <c r="G92"/>
  <c r="Y90"/>
  <c r="D90"/>
  <c r="W92" l="1"/>
  <c r="G93"/>
  <c r="Y91"/>
  <c r="D91"/>
  <c r="DO20" i="1"/>
  <c r="P98" i="11"/>
  <c r="Q98" s="1"/>
  <c r="W93" i="54" l="1"/>
  <c r="G94"/>
  <c r="DP20" i="1"/>
  <c r="DQ20" s="1"/>
  <c r="T98" i="11"/>
  <c r="Y92" i="54"/>
  <c r="D92"/>
  <c r="W94" l="1"/>
  <c r="G95"/>
  <c r="DR20" i="1"/>
  <c r="AC35" i="24"/>
  <c r="AC36"/>
  <c r="AC38"/>
  <c r="AC39"/>
  <c r="AC40"/>
  <c r="AC42"/>
  <c r="AC44"/>
  <c r="AC37"/>
  <c r="AC41"/>
  <c r="AC43"/>
  <c r="AC53"/>
  <c r="AC66"/>
  <c r="AC68"/>
  <c r="AC69"/>
  <c r="AC70"/>
  <c r="AC71"/>
  <c r="AC73"/>
  <c r="AC77"/>
  <c r="AC78"/>
  <c r="AC79"/>
  <c r="AC61"/>
  <c r="AC64"/>
  <c r="AC65"/>
  <c r="AC67"/>
  <c r="AC72"/>
  <c r="AC74"/>
  <c r="AC76"/>
  <c r="AC80"/>
  <c r="AC82"/>
  <c r="AC85"/>
  <c r="AC88"/>
  <c r="AC92"/>
  <c r="AC96"/>
  <c r="AC100"/>
  <c r="AC81"/>
  <c r="AC103"/>
  <c r="AC106"/>
  <c r="AC109"/>
  <c r="AC113"/>
  <c r="Y19" i="34"/>
  <c r="Y22"/>
  <c r="Y25"/>
  <c r="Y21"/>
  <c r="Y26"/>
  <c r="Y29"/>
  <c r="Y31"/>
  <c r="Y33"/>
  <c r="Y34"/>
  <c r="Y37"/>
  <c r="Y46"/>
  <c r="Y47"/>
  <c r="Y50"/>
  <c r="Y56"/>
  <c r="Y55"/>
  <c r="Y57"/>
  <c r="P100" i="11"/>
  <c r="Y20" i="34"/>
  <c r="Y24"/>
  <c r="Y27"/>
  <c r="Y23"/>
  <c r="Y28"/>
  <c r="Y30"/>
  <c r="Y32"/>
  <c r="Y35"/>
  <c r="Y36"/>
  <c r="Y38"/>
  <c r="Y39"/>
  <c r="Y40"/>
  <c r="Y41"/>
  <c r="Y48"/>
  <c r="Y49"/>
  <c r="Y51"/>
  <c r="Y52"/>
  <c r="Y53"/>
  <c r="Y54"/>
  <c r="M42" i="22"/>
  <c r="M44"/>
  <c r="M47"/>
  <c r="M50"/>
  <c r="M27"/>
  <c r="Q53" i="40"/>
  <c r="Q50"/>
  <c r="M36" i="22"/>
  <c r="M35"/>
  <c r="Q32" i="40"/>
  <c r="Q66"/>
  <c r="Q179"/>
  <c r="M59" i="22"/>
  <c r="M61"/>
  <c r="Q253" i="40"/>
  <c r="Q359"/>
  <c r="Q383"/>
  <c r="M49" i="22"/>
  <c r="Q224" i="40"/>
  <c r="Q47"/>
  <c r="Q41"/>
  <c r="M31" i="22"/>
  <c r="M24"/>
  <c r="Q28" i="40"/>
  <c r="Q173"/>
  <c r="M62" i="22"/>
  <c r="M54"/>
  <c r="M60"/>
  <c r="M57"/>
  <c r="Q187" i="40"/>
  <c r="Q302"/>
  <c r="Q347"/>
  <c r="M40" i="22"/>
  <c r="M52"/>
  <c r="Q239" i="40"/>
  <c r="Q227"/>
  <c r="M39" i="22"/>
  <c r="Q230" i="40"/>
  <c r="M43" i="22"/>
  <c r="M46"/>
  <c r="M48"/>
  <c r="Q212" i="40"/>
  <c r="M30" i="22"/>
  <c r="M28"/>
  <c r="Q44" i="40"/>
  <c r="M29" i="22"/>
  <c r="M33"/>
  <c r="Q38" i="40"/>
  <c r="Q158"/>
  <c r="M45" i="22"/>
  <c r="M53"/>
  <c r="Q320" i="40"/>
  <c r="Q411"/>
  <c r="Q200"/>
  <c r="M26" i="22"/>
  <c r="M34"/>
  <c r="Q35" i="40"/>
  <c r="M25" i="22"/>
  <c r="M32"/>
  <c r="M37"/>
  <c r="M38"/>
  <c r="Q114" i="40"/>
  <c r="M58" i="22"/>
  <c r="M56"/>
  <c r="M55"/>
  <c r="Q206" i="40"/>
  <c r="Q277"/>
  <c r="Q265"/>
  <c r="Q393"/>
  <c r="M41" i="22"/>
  <c r="Q188" i="40"/>
  <c r="M51" i="22"/>
  <c r="Q184" i="40"/>
  <c r="Q189"/>
  <c r="Q233"/>
  <c r="Q190"/>
  <c r="Q186"/>
  <c r="Q182"/>
  <c r="Q185"/>
  <c r="Y93" i="54"/>
  <c r="D93"/>
  <c r="W95" l="1"/>
  <c r="G96"/>
  <c r="DS20" i="1"/>
  <c r="T100" i="11"/>
  <c r="Y94" i="54"/>
  <c r="D94"/>
  <c r="W96" l="1"/>
  <c r="G97"/>
  <c r="DT20" i="1"/>
  <c r="DU20" s="1"/>
  <c r="Q101" i="11"/>
  <c r="P101"/>
  <c r="Y95" i="54"/>
  <c r="D95"/>
  <c r="W97" l="1"/>
  <c r="G98"/>
  <c r="DV20" i="1"/>
  <c r="T101" i="11"/>
  <c r="Y96" i="54"/>
  <c r="D96"/>
  <c r="W98" l="1"/>
  <c r="G99"/>
  <c r="DW20" i="1"/>
  <c r="P102" i="11"/>
  <c r="Q102" s="1"/>
  <c r="Y97" i="54"/>
  <c r="D97"/>
  <c r="W99" l="1"/>
  <c r="G100"/>
  <c r="DX20" i="1"/>
  <c r="DY20" s="1"/>
  <c r="T102" i="11"/>
  <c r="Y98" i="54"/>
  <c r="D98"/>
  <c r="W100" l="1"/>
  <c r="G101"/>
  <c r="DZ20" i="1"/>
  <c r="P104" i="11"/>
  <c r="Y99" i="54"/>
  <c r="D99"/>
  <c r="W101" l="1"/>
  <c r="G102"/>
  <c r="EA20" i="1"/>
  <c r="T104" i="11"/>
  <c r="Y100" i="54"/>
  <c r="D100"/>
  <c r="W102" l="1"/>
  <c r="G103"/>
  <c r="W103" s="1"/>
  <c r="EB20" i="1"/>
  <c r="EC20" s="1"/>
  <c r="P105" i="11"/>
  <c r="Q105"/>
  <c r="Y101" i="54"/>
  <c r="D101"/>
  <c r="D103" l="1"/>
  <c r="BV71" i="24"/>
  <c r="BU76"/>
  <c r="CE80"/>
  <c r="BU98"/>
  <c r="BU103"/>
  <c r="BU71"/>
  <c r="BV72"/>
  <c r="BU96"/>
  <c r="CO82"/>
  <c r="CI82" s="1"/>
  <c r="BV100"/>
  <c r="BU73"/>
  <c r="CP80"/>
  <c r="BV97"/>
  <c r="CP83"/>
  <c r="BV101"/>
  <c r="CP92"/>
  <c r="CE111"/>
  <c r="BU97"/>
  <c r="CP61"/>
  <c r="BU70"/>
  <c r="BV88"/>
  <c r="CO106"/>
  <c r="CI106" s="1"/>
  <c r="BV92"/>
  <c r="BU109"/>
  <c r="BV44"/>
  <c r="U68" i="40" s="1"/>
  <c r="CO97" i="24"/>
  <c r="CI97" s="1"/>
  <c r="BV85"/>
  <c r="CO101"/>
  <c r="CI101" s="1"/>
  <c r="BV73"/>
  <c r="BU82"/>
  <c r="BU100"/>
  <c r="BV86"/>
  <c r="CP103"/>
  <c r="BU86"/>
  <c r="BU104"/>
  <c r="BU90"/>
  <c r="BV107"/>
  <c r="CO74"/>
  <c r="BU94"/>
  <c r="CE113"/>
  <c r="BV98"/>
  <c r="BU61"/>
  <c r="BU92"/>
  <c r="CO110"/>
  <c r="CI110" s="1"/>
  <c r="BV96"/>
  <c r="BU113"/>
  <c r="BU93"/>
  <c r="CP111"/>
  <c r="CE97"/>
  <c r="CO61"/>
  <c r="CI61" s="1"/>
  <c r="CP76"/>
  <c r="BU80"/>
  <c r="CP96"/>
  <c r="CE83"/>
  <c r="CP100"/>
  <c r="CP73"/>
  <c r="CE74"/>
  <c r="BV111"/>
  <c r="CO113"/>
  <c r="CI113" s="1"/>
  <c r="BU85"/>
  <c r="BV103"/>
  <c r="CE89"/>
  <c r="CE106"/>
  <c r="CP71"/>
  <c r="CE86"/>
  <c r="CO104"/>
  <c r="CI104" s="1"/>
  <c r="CE90"/>
  <c r="CE107"/>
  <c r="BV90"/>
  <c r="CP109"/>
  <c r="BV94"/>
  <c r="BU111"/>
  <c r="BV70"/>
  <c r="CP64"/>
  <c r="CO89"/>
  <c r="CI89" s="1"/>
  <c r="CE109"/>
  <c r="CP93"/>
  <c r="CP110"/>
  <c r="CP44"/>
  <c r="CP86"/>
  <c r="BU106"/>
  <c r="CP90"/>
  <c r="CP107"/>
  <c r="BV64"/>
  <c r="CP88"/>
  <c r="CO107"/>
  <c r="CI107" s="1"/>
  <c r="BV93"/>
  <c r="BV110"/>
  <c r="BV83"/>
  <c r="CE101"/>
  <c r="CP104"/>
  <c r="CP74"/>
  <c r="CO80"/>
  <c r="BU83"/>
  <c r="CE61"/>
  <c r="BV89"/>
  <c r="BV109"/>
  <c r="CE110"/>
  <c r="BU64"/>
  <c r="CO90"/>
  <c r="CI90" s="1"/>
  <c r="BU110"/>
  <c r="CO94"/>
  <c r="CI94" s="1"/>
  <c r="CO111"/>
  <c r="CI111" s="1"/>
  <c r="BU72"/>
  <c r="CE94"/>
  <c r="CP113"/>
  <c r="CE98"/>
  <c r="CO103"/>
  <c r="CI103" s="1"/>
  <c r="CP89"/>
  <c r="CP106"/>
  <c r="BV76"/>
  <c r="CE82"/>
  <c r="CO86"/>
  <c r="CI86" s="1"/>
  <c r="BV104"/>
  <c r="CO83"/>
  <c r="CI83" s="1"/>
  <c r="CP101"/>
  <c r="BU89"/>
  <c r="BV106"/>
  <c r="BU107"/>
  <c r="CO109"/>
  <c r="CI109" s="1"/>
  <c r="BV53"/>
  <c r="CP82"/>
  <c r="BU101"/>
  <c r="BU88"/>
  <c r="CE104"/>
  <c r="BV113"/>
  <c r="CP97"/>
  <c r="BV61"/>
  <c r="CP72"/>
  <c r="CP94"/>
  <c r="BV82"/>
  <c r="CP98"/>
  <c r="BV80"/>
  <c r="CO98"/>
  <c r="CI98" s="1"/>
  <c r="CP85"/>
  <c r="CE103"/>
  <c r="CP54"/>
  <c r="CP62"/>
  <c r="BV62"/>
  <c r="CP45"/>
  <c r="BU74"/>
  <c r="CP53"/>
  <c r="CE76"/>
  <c r="CP70"/>
  <c r="CP75"/>
  <c r="BV75"/>
  <c r="BV55"/>
  <c r="CO62"/>
  <c r="CE55"/>
  <c r="CE62"/>
  <c r="CP55"/>
  <c r="BU75"/>
  <c r="BV74"/>
  <c r="CO76"/>
  <c r="CI76" s="1"/>
  <c r="BV45"/>
  <c r="U74" i="40" s="1"/>
  <c r="BV54" i="24"/>
  <c r="BU62"/>
  <c r="BV56"/>
  <c r="BV46"/>
  <c r="U80" i="40" s="1"/>
  <c r="CP56" i="24"/>
  <c r="CP47"/>
  <c r="CP46"/>
  <c r="CO55"/>
  <c r="BV47"/>
  <c r="U86" i="40" s="1"/>
  <c r="CP59" i="24"/>
  <c r="BV59"/>
  <c r="BV58"/>
  <c r="CP58"/>
  <c r="BV57"/>
  <c r="BV48"/>
  <c r="U91" i="40" s="1"/>
  <c r="CP48" i="24"/>
  <c r="CP57"/>
  <c r="CP50"/>
  <c r="BV50"/>
  <c r="U101" i="40" s="1"/>
  <c r="CP49" i="24"/>
  <c r="BV49"/>
  <c r="U96" i="40" s="1"/>
  <c r="BV51" i="24"/>
  <c r="U106" i="40" s="1"/>
  <c r="CP51" i="24"/>
  <c r="ED20" i="1"/>
  <c r="T105" i="11"/>
  <c r="Y102" i="54"/>
  <c r="D102"/>
  <c r="CD62" i="24" l="1"/>
  <c r="CC62" s="1"/>
  <c r="T166" i="40" s="1"/>
  <c r="BY62" i="24"/>
  <c r="U166" i="40"/>
  <c r="CK76" i="24"/>
  <c r="CL76" s="1"/>
  <c r="JW76" s="1"/>
  <c r="CN76"/>
  <c r="Z227" i="40"/>
  <c r="AE227"/>
  <c r="U220"/>
  <c r="CK98" i="24"/>
  <c r="CL98" s="1"/>
  <c r="JW98" s="1"/>
  <c r="CN98"/>
  <c r="Z334" i="40"/>
  <c r="AE334"/>
  <c r="U355"/>
  <c r="CN86" i="24"/>
  <c r="CK86"/>
  <c r="CL86" s="1"/>
  <c r="JW86" s="1"/>
  <c r="Z273" i="40"/>
  <c r="AE273"/>
  <c r="CK103" i="24"/>
  <c r="CL103" s="1"/>
  <c r="JW103" s="1"/>
  <c r="CN103"/>
  <c r="Z361" i="40"/>
  <c r="AE361"/>
  <c r="CN94" i="24"/>
  <c r="CK94"/>
  <c r="CL94" s="1"/>
  <c r="JW94" s="1"/>
  <c r="Z316" i="40"/>
  <c r="AE316"/>
  <c r="CK90" i="24"/>
  <c r="CL90" s="1"/>
  <c r="JW90" s="1"/>
  <c r="CN90"/>
  <c r="AE291" i="40"/>
  <c r="Z291"/>
  <c r="U261"/>
  <c r="CK107" i="24"/>
  <c r="CL107" s="1"/>
  <c r="JW107" s="1"/>
  <c r="CN107"/>
  <c r="AE389" i="40"/>
  <c r="Z389"/>
  <c r="CD111" i="24"/>
  <c r="T407" i="40" s="1"/>
  <c r="BY111" i="24"/>
  <c r="U407" i="40"/>
  <c r="CN104" i="24"/>
  <c r="CK104"/>
  <c r="CL104" s="1"/>
  <c r="JW104" s="1"/>
  <c r="AE367" i="40"/>
  <c r="Z367"/>
  <c r="U267"/>
  <c r="U310"/>
  <c r="CD113" i="24"/>
  <c r="BY113"/>
  <c r="CK110"/>
  <c r="CL110" s="1"/>
  <c r="JW110" s="1"/>
  <c r="CN110"/>
  <c r="AE401" i="40"/>
  <c r="Z401"/>
  <c r="BY61" i="24"/>
  <c r="CD61"/>
  <c r="CC61" s="1"/>
  <c r="T160" i="40" s="1"/>
  <c r="U160"/>
  <c r="U291"/>
  <c r="U273"/>
  <c r="U349"/>
  <c r="CD109" i="24"/>
  <c r="T395" i="40" s="1"/>
  <c r="BY109" i="24"/>
  <c r="U395" i="40"/>
  <c r="CK106" i="24"/>
  <c r="CL106" s="1"/>
  <c r="JW106" s="1"/>
  <c r="CN106"/>
  <c r="AE384" i="40"/>
  <c r="Z384"/>
  <c r="U186"/>
  <c r="U328"/>
  <c r="U322"/>
  <c r="U192"/>
  <c r="EE20" i="1"/>
  <c r="P106" i="11"/>
  <c r="Q106" s="1"/>
  <c r="CI55" i="24"/>
  <c r="CI62"/>
  <c r="U214" i="40"/>
  <c r="U279"/>
  <c r="CN109" i="24"/>
  <c r="CK109"/>
  <c r="CL109" s="1"/>
  <c r="JW109" s="1"/>
  <c r="Z395" i="40"/>
  <c r="AE395"/>
  <c r="CD107" i="24"/>
  <c r="T389" i="40" s="1"/>
  <c r="BY107" i="24"/>
  <c r="U389" i="40"/>
  <c r="U285"/>
  <c r="CN83" i="24"/>
  <c r="CK83"/>
  <c r="CL83" s="1"/>
  <c r="JW83" s="1"/>
  <c r="AE261" i="40"/>
  <c r="Z261"/>
  <c r="U202"/>
  <c r="CK111" i="24"/>
  <c r="CL111" s="1"/>
  <c r="JW111" s="1"/>
  <c r="CN111"/>
  <c r="AE407" i="40"/>
  <c r="Z407"/>
  <c r="CD110" i="24"/>
  <c r="T401" i="40" s="1"/>
  <c r="BY110" i="24"/>
  <c r="U401" i="40"/>
  <c r="U175"/>
  <c r="CD106" i="24"/>
  <c r="T384" i="40" s="1"/>
  <c r="BY106" i="24"/>
  <c r="U384" i="40"/>
  <c r="CK89" i="24"/>
  <c r="CL89" s="1"/>
  <c r="JW89" s="1"/>
  <c r="CN89"/>
  <c r="AE285" i="40"/>
  <c r="Z285"/>
  <c r="CN113" i="24"/>
  <c r="CK113"/>
  <c r="CL113" s="1"/>
  <c r="JW113" s="1"/>
  <c r="U241" i="40"/>
  <c r="CN61" i="24"/>
  <c r="CK61"/>
  <c r="CL61" s="1"/>
  <c r="JW61" s="1"/>
  <c r="Z160" i="40"/>
  <c r="AE160"/>
  <c r="U304"/>
  <c r="U316"/>
  <c r="U367"/>
  <c r="U255"/>
  <c r="CN101" i="24"/>
  <c r="CK101"/>
  <c r="CL101" s="1"/>
  <c r="JW101" s="1"/>
  <c r="AE355" i="40"/>
  <c r="Z355"/>
  <c r="CN97" i="24"/>
  <c r="CK97"/>
  <c r="CL97" s="1"/>
  <c r="JW97" s="1"/>
  <c r="Z328" i="40"/>
  <c r="AE328"/>
  <c r="U208"/>
  <c r="CN82" i="24"/>
  <c r="CK82"/>
  <c r="CL82" s="1"/>
  <c r="AE255" i="40"/>
  <c r="Z255"/>
  <c r="U361"/>
  <c r="U334"/>
  <c r="U227"/>
  <c r="JW82" i="24" l="1"/>
  <c r="JE82"/>
  <c r="KE97"/>
  <c r="KF97"/>
  <c r="KF101"/>
  <c r="KE101"/>
  <c r="KF61"/>
  <c r="KE61"/>
  <c r="KF89"/>
  <c r="KE89"/>
  <c r="KF106"/>
  <c r="KE106"/>
  <c r="KF104"/>
  <c r="KE104"/>
  <c r="KF107"/>
  <c r="KE107"/>
  <c r="KE94"/>
  <c r="KF94"/>
  <c r="KE86"/>
  <c r="KF86"/>
  <c r="KE98"/>
  <c r="KF98"/>
  <c r="KF82"/>
  <c r="KE82"/>
  <c r="KF113"/>
  <c r="KE113"/>
  <c r="KF111"/>
  <c r="KE111"/>
  <c r="KE83"/>
  <c r="KF83"/>
  <c r="KF109"/>
  <c r="KE109"/>
  <c r="KF110"/>
  <c r="KE110"/>
  <c r="KF90"/>
  <c r="KE90"/>
  <c r="KF103"/>
  <c r="KE103"/>
  <c r="KF76"/>
  <c r="KE76"/>
  <c r="KJ98"/>
  <c r="KP98" s="1"/>
  <c r="KY98" s="1"/>
  <c r="JE107"/>
  <c r="Y392" i="40" s="1"/>
  <c r="Z392" s="1"/>
  <c r="CM107" i="24"/>
  <c r="AA389" i="40"/>
  <c r="AF389"/>
  <c r="CM82" i="24"/>
  <c r="HG82"/>
  <c r="Y258" i="40"/>
  <c r="Z258" s="1"/>
  <c r="AA255"/>
  <c r="AF255"/>
  <c r="CM113" i="24"/>
  <c r="LB113"/>
  <c r="CM111"/>
  <c r="JE111"/>
  <c r="Y410" i="40" s="1"/>
  <c r="Z410" s="1"/>
  <c r="AA407"/>
  <c r="AF407"/>
  <c r="HG83" i="24"/>
  <c r="CM83"/>
  <c r="JE83"/>
  <c r="Y264" i="40" s="1"/>
  <c r="Z264" s="1"/>
  <c r="AA261"/>
  <c r="AF261"/>
  <c r="CM109" i="24"/>
  <c r="JE109"/>
  <c r="Y398" i="40" s="1"/>
  <c r="Z398" s="1"/>
  <c r="AA395"/>
  <c r="AF395"/>
  <c r="CN62" i="24"/>
  <c r="CK62"/>
  <c r="CL62" s="1"/>
  <c r="Z166" i="40"/>
  <c r="AE166"/>
  <c r="CN55" i="24"/>
  <c r="CK55"/>
  <c r="CL55" s="1"/>
  <c r="JW55" s="1"/>
  <c r="AE126" i="40"/>
  <c r="Z126"/>
  <c r="JE110" i="24"/>
  <c r="Y404" i="40" s="1"/>
  <c r="Z404" s="1"/>
  <c r="CM110" i="24"/>
  <c r="AF401" i="40"/>
  <c r="AA401"/>
  <c r="HG90" i="24"/>
  <c r="CM90"/>
  <c r="JE90"/>
  <c r="Y294" i="40" s="1"/>
  <c r="Z294" s="1"/>
  <c r="AA291"/>
  <c r="AF291"/>
  <c r="HG103" i="24"/>
  <c r="CM103"/>
  <c r="JE103"/>
  <c r="Y364" i="40" s="1"/>
  <c r="Z364" s="1"/>
  <c r="AF361"/>
  <c r="AA361"/>
  <c r="CM76" i="24"/>
  <c r="HG76"/>
  <c r="JE76"/>
  <c r="Y233" i="40" s="1"/>
  <c r="Z233" s="1"/>
  <c r="AA227"/>
  <c r="AF227"/>
  <c r="CM97" i="24"/>
  <c r="HG97"/>
  <c r="JE97"/>
  <c r="Y331" i="40" s="1"/>
  <c r="Z331" s="1"/>
  <c r="AF328"/>
  <c r="AA328"/>
  <c r="CM101" i="24"/>
  <c r="HG101"/>
  <c r="JE101"/>
  <c r="Y358" i="40" s="1"/>
  <c r="Z358" s="1"/>
  <c r="AF355"/>
  <c r="AA355"/>
  <c r="CM61" i="24"/>
  <c r="HG61"/>
  <c r="JE61"/>
  <c r="Y163" i="40" s="1"/>
  <c r="Z163" s="1"/>
  <c r="AF160"/>
  <c r="AA160"/>
  <c r="CM89" i="24"/>
  <c r="HG89"/>
  <c r="JE89"/>
  <c r="Y288" i="40" s="1"/>
  <c r="Z288" s="1"/>
  <c r="AF285"/>
  <c r="AA285"/>
  <c r="EF20" i="1"/>
  <c r="EG20" s="1"/>
  <c r="T106" i="11"/>
  <c r="JE106" i="24"/>
  <c r="Y387" i="40" s="1"/>
  <c r="Z387" s="1"/>
  <c r="CM106" i="24"/>
  <c r="AF384" i="40"/>
  <c r="AA384"/>
  <c r="HG104" i="24"/>
  <c r="CM104"/>
  <c r="JE104"/>
  <c r="Y370" i="40" s="1"/>
  <c r="Z370" s="1"/>
  <c r="AF367"/>
  <c r="AA367"/>
  <c r="CM94" i="24"/>
  <c r="HG94"/>
  <c r="JE94"/>
  <c r="Y319" i="40" s="1"/>
  <c r="Z319" s="1"/>
  <c r="AA316"/>
  <c r="AF316"/>
  <c r="HG86" i="24"/>
  <c r="CM86"/>
  <c r="JE86"/>
  <c r="Y276" i="40" s="1"/>
  <c r="Z276" s="1"/>
  <c r="AF273"/>
  <c r="AA273"/>
  <c r="HG98" i="24"/>
  <c r="CM98"/>
  <c r="JE98"/>
  <c r="Y337" i="40" s="1"/>
  <c r="Z337" s="1"/>
  <c r="AA334"/>
  <c r="AF334"/>
  <c r="KF55" i="24" l="1"/>
  <c r="KE55"/>
  <c r="KJ86"/>
  <c r="KP86" s="1"/>
  <c r="KY86" s="1"/>
  <c r="KJ94"/>
  <c r="KP94" s="1"/>
  <c r="KY94" s="1"/>
  <c r="KJ107"/>
  <c r="KP107" s="1"/>
  <c r="KY107" s="1"/>
  <c r="LA107" s="1"/>
  <c r="KJ104"/>
  <c r="KP104" s="1"/>
  <c r="KY104" s="1"/>
  <c r="KJ106"/>
  <c r="KP106" s="1"/>
  <c r="KY106" s="1"/>
  <c r="LB106" s="1"/>
  <c r="AD387" i="40" s="1"/>
  <c r="AE387" s="1"/>
  <c r="KJ89" i="24"/>
  <c r="KP89" s="1"/>
  <c r="KY89" s="1"/>
  <c r="KJ61"/>
  <c r="KP61" s="1"/>
  <c r="KY61" s="1"/>
  <c r="LA61" s="1"/>
  <c r="KJ101"/>
  <c r="KP101" s="1"/>
  <c r="KY101" s="1"/>
  <c r="KJ97"/>
  <c r="KP97" s="1"/>
  <c r="KY97" s="1"/>
  <c r="LB97" s="1"/>
  <c r="KJ76"/>
  <c r="KP76" s="1"/>
  <c r="KY76" s="1"/>
  <c r="KJ103"/>
  <c r="KP103" s="1"/>
  <c r="KY103" s="1"/>
  <c r="KJ90"/>
  <c r="KP90" s="1"/>
  <c r="KY90" s="1"/>
  <c r="KJ110"/>
  <c r="KP110" s="1"/>
  <c r="KY110" s="1"/>
  <c r="LA110" s="1"/>
  <c r="KJ83"/>
  <c r="KP83" s="1"/>
  <c r="KY83" s="1"/>
  <c r="KJ111"/>
  <c r="KP111" s="1"/>
  <c r="KY111" s="1"/>
  <c r="LB111" s="1"/>
  <c r="AD410" i="40" s="1"/>
  <c r="AE410" s="1"/>
  <c r="JW62" i="24"/>
  <c r="LB62"/>
  <c r="LB76"/>
  <c r="LB103"/>
  <c r="LB90"/>
  <c r="LB110"/>
  <c r="AD404" i="40" s="1"/>
  <c r="AE404" s="1"/>
  <c r="LB83" i="24"/>
  <c r="LA111"/>
  <c r="LB98"/>
  <c r="LB86"/>
  <c r="LB94"/>
  <c r="LB107"/>
  <c r="AD392" i="40" s="1"/>
  <c r="AE392" s="1"/>
  <c r="LB104" i="24"/>
  <c r="LA106"/>
  <c r="LB89"/>
  <c r="LB61"/>
  <c r="AD163" i="40" s="1"/>
  <c r="AE163" s="1"/>
  <c r="LB101" i="24"/>
  <c r="KJ109"/>
  <c r="KP109" s="1"/>
  <c r="KY109" s="1"/>
  <c r="KJ82"/>
  <c r="KP82" s="1"/>
  <c r="KY82" s="1"/>
  <c r="AD316" i="40"/>
  <c r="Y316"/>
  <c r="Y384"/>
  <c r="AD384"/>
  <c r="Y361"/>
  <c r="AD361"/>
  <c r="Y291"/>
  <c r="AD291"/>
  <c r="AD261"/>
  <c r="Y261"/>
  <c r="AD407"/>
  <c r="Y407"/>
  <c r="AD255"/>
  <c r="Y255"/>
  <c r="AD389"/>
  <c r="Y389"/>
  <c r="Y334"/>
  <c r="AD334"/>
  <c r="Y273"/>
  <c r="AD273"/>
  <c r="Y367"/>
  <c r="AD367"/>
  <c r="EH20" i="1"/>
  <c r="P108" i="11"/>
  <c r="Y285" i="40"/>
  <c r="AD285"/>
  <c r="Y160"/>
  <c r="AD160"/>
  <c r="AD355"/>
  <c r="Y355"/>
  <c r="AD328"/>
  <c r="Y328"/>
  <c r="AD227"/>
  <c r="Y227"/>
  <c r="AD401"/>
  <c r="Y401"/>
  <c r="CM55" i="24"/>
  <c r="HG55"/>
  <c r="JE55"/>
  <c r="Y129" i="40" s="1"/>
  <c r="Z129" s="1"/>
  <c r="AA126"/>
  <c r="AF126"/>
  <c r="CM62" i="24"/>
  <c r="HG62"/>
  <c r="JE62"/>
  <c r="Y169" i="40" s="1"/>
  <c r="Z169" s="1"/>
  <c r="AF166"/>
  <c r="AA166"/>
  <c r="AD395"/>
  <c r="Y395"/>
  <c r="KF62" i="24" l="1"/>
  <c r="KE62"/>
  <c r="KJ55"/>
  <c r="KP55" s="1"/>
  <c r="KY55" s="1"/>
  <c r="LB109"/>
  <c r="AD398" i="40" s="1"/>
  <c r="AE398" s="1"/>
  <c r="LA109" i="24"/>
  <c r="LB82"/>
  <c r="LB55"/>
  <c r="AD166" i="40"/>
  <c r="Y166"/>
  <c r="Y126"/>
  <c r="AD126"/>
  <c r="EI20" i="1"/>
  <c r="Z46" i="34"/>
  <c r="AJ35" i="33" s="1"/>
  <c r="Z47" i="34"/>
  <c r="AJ53" i="33" s="1"/>
  <c r="Z20" i="34"/>
  <c r="Z23"/>
  <c r="Z28"/>
  <c r="Z22"/>
  <c r="Z25"/>
  <c r="Z30"/>
  <c r="Z32"/>
  <c r="Z39"/>
  <c r="Z43"/>
  <c r="Z48"/>
  <c r="Z53"/>
  <c r="Z54"/>
  <c r="Z55"/>
  <c r="Z56"/>
  <c r="Z19"/>
  <c r="Z21"/>
  <c r="Z26"/>
  <c r="Z29"/>
  <c r="Z24"/>
  <c r="Z27"/>
  <c r="Z31"/>
  <c r="Z33"/>
  <c r="Z34"/>
  <c r="Z35"/>
  <c r="Z36"/>
  <c r="Z37"/>
  <c r="Z38"/>
  <c r="Z40"/>
  <c r="Z41"/>
  <c r="Z42"/>
  <c r="Z44"/>
  <c r="Z45"/>
  <c r="Z49"/>
  <c r="Z50"/>
  <c r="Z51"/>
  <c r="Z52"/>
  <c r="Z57"/>
  <c r="AD35" i="24" l="1"/>
  <c r="EJ20" i="1"/>
  <c r="AD36" i="24"/>
  <c r="AD37"/>
  <c r="AD41"/>
  <c r="AD43"/>
  <c r="AD38"/>
  <c r="AD39"/>
  <c r="AD40"/>
  <c r="AD42"/>
  <c r="AD44"/>
  <c r="AD61"/>
  <c r="AD64"/>
  <c r="AD65"/>
  <c r="AA32" i="34"/>
  <c r="AA34"/>
  <c r="AD67" i="24"/>
  <c r="AA35" i="34"/>
  <c r="AA36"/>
  <c r="AA37"/>
  <c r="AA38"/>
  <c r="AD72" i="24"/>
  <c r="AA39" i="34"/>
  <c r="AA40"/>
  <c r="AD74" i="24"/>
  <c r="AD76"/>
  <c r="AD53"/>
  <c r="AA31" i="34"/>
  <c r="AA33"/>
  <c r="AD66" i="24"/>
  <c r="AD68"/>
  <c r="AD69"/>
  <c r="AD70"/>
  <c r="AD71"/>
  <c r="AD73"/>
  <c r="AA41" i="34"/>
  <c r="AD77" i="24"/>
  <c r="AD78"/>
  <c r="AD79"/>
  <c r="AD81"/>
  <c r="AD103"/>
  <c r="AD106"/>
  <c r="AD109"/>
  <c r="AD113"/>
  <c r="AD80"/>
  <c r="AA46" i="34"/>
  <c r="AJ36" i="33" s="1"/>
  <c r="AJ37" s="1"/>
  <c r="AA47" i="34"/>
  <c r="AJ54" i="33" s="1"/>
  <c r="AJ55" s="1"/>
  <c r="AD82" i="24"/>
  <c r="AD85"/>
  <c r="AD88"/>
  <c r="AD92"/>
  <c r="AD96"/>
  <c r="AD100"/>
  <c r="AA25" i="34"/>
  <c r="AE25" s="1"/>
  <c r="AA24"/>
  <c r="AE24" s="1"/>
  <c r="AA19"/>
  <c r="AE19" s="1"/>
  <c r="AA20"/>
  <c r="AE20" s="1"/>
  <c r="AA22"/>
  <c r="AE22" s="1"/>
  <c r="AA27"/>
  <c r="AE27" s="1"/>
  <c r="AA21"/>
  <c r="AE21" s="1"/>
  <c r="AA23"/>
  <c r="AE23" s="1"/>
  <c r="AA26"/>
  <c r="AE26" s="1"/>
  <c r="AA28"/>
  <c r="AE28" s="1"/>
  <c r="AA29"/>
  <c r="AE29" s="1"/>
  <c r="AA30"/>
  <c r="AE30" s="1"/>
  <c r="AA42"/>
  <c r="AE42" s="1"/>
  <c r="AA44"/>
  <c r="AE44" s="1"/>
  <c r="AA48"/>
  <c r="AA49"/>
  <c r="AA51"/>
  <c r="AA52"/>
  <c r="AA53"/>
  <c r="AA54"/>
  <c r="P109" i="11"/>
  <c r="Q109" s="1"/>
  <c r="AA43" i="34"/>
  <c r="AE43" s="1"/>
  <c r="AA45"/>
  <c r="AE45" s="1"/>
  <c r="AA50"/>
  <c r="AA55"/>
  <c r="AA56"/>
  <c r="AA57"/>
  <c r="AJ60" i="33" l="1"/>
  <c r="AI60"/>
  <c r="AH42"/>
  <c r="AH60"/>
  <c r="AJ42"/>
  <c r="AI42"/>
  <c r="AO46" i="34"/>
  <c r="CG46" s="1"/>
  <c r="BA46"/>
  <c r="CN46" s="1"/>
  <c r="BM46"/>
  <c r="CU46" s="1"/>
  <c r="AE46"/>
  <c r="AE41"/>
  <c r="BM41"/>
  <c r="AO41"/>
  <c r="BA41"/>
  <c r="AO31"/>
  <c r="BM31"/>
  <c r="AE31"/>
  <c r="BA31"/>
  <c r="AE40"/>
  <c r="BA40"/>
  <c r="AO40"/>
  <c r="BM40"/>
  <c r="AE37"/>
  <c r="AO37"/>
  <c r="BA37"/>
  <c r="BM37"/>
  <c r="AE35"/>
  <c r="BA35"/>
  <c r="BB35" s="1"/>
  <c r="BM35"/>
  <c r="BN35" s="1"/>
  <c r="AO35"/>
  <c r="AE34"/>
  <c r="AO34"/>
  <c r="BA34"/>
  <c r="BB34" s="1"/>
  <c r="BC34" s="1"/>
  <c r="BM34"/>
  <c r="BN34" s="1"/>
  <c r="BO34" s="1"/>
  <c r="AE35" i="24"/>
  <c r="EK20" i="1"/>
  <c r="EL20" s="1"/>
  <c r="AE36" i="24"/>
  <c r="AE38"/>
  <c r="AE39"/>
  <c r="AE40"/>
  <c r="AE42"/>
  <c r="AE44"/>
  <c r="AE37"/>
  <c r="AE41"/>
  <c r="AE43"/>
  <c r="AE53"/>
  <c r="AE66"/>
  <c r="AE68"/>
  <c r="AE69"/>
  <c r="AE70"/>
  <c r="AE71"/>
  <c r="AE73"/>
  <c r="AE77"/>
  <c r="AE78"/>
  <c r="AE61"/>
  <c r="AE64"/>
  <c r="AE65"/>
  <c r="AE67"/>
  <c r="AE72"/>
  <c r="AE74"/>
  <c r="AE76"/>
  <c r="AE80"/>
  <c r="AE82"/>
  <c r="AE85"/>
  <c r="AE88"/>
  <c r="AE92"/>
  <c r="AE96"/>
  <c r="AE100"/>
  <c r="AE79"/>
  <c r="AE81"/>
  <c r="AE103"/>
  <c r="AE106"/>
  <c r="AE109"/>
  <c r="AE113"/>
  <c r="AB28" i="34"/>
  <c r="AB29"/>
  <c r="AB20"/>
  <c r="AF20" s="1"/>
  <c r="AB19"/>
  <c r="AF19" s="1"/>
  <c r="AB25"/>
  <c r="AF25" s="1"/>
  <c r="AB22"/>
  <c r="AF22" s="1"/>
  <c r="AB27"/>
  <c r="AF27" s="1"/>
  <c r="AB24"/>
  <c r="AF24" s="1"/>
  <c r="AB30"/>
  <c r="AF30" s="1"/>
  <c r="AB31"/>
  <c r="AF31" s="1"/>
  <c r="AB36"/>
  <c r="AF36" s="1"/>
  <c r="AB35"/>
  <c r="AF35" s="1"/>
  <c r="AB38"/>
  <c r="AF38" s="1"/>
  <c r="AB39"/>
  <c r="AF39" s="1"/>
  <c r="AB40"/>
  <c r="AF40" s="1"/>
  <c r="Q110" i="11"/>
  <c r="AB49" i="34"/>
  <c r="AB50"/>
  <c r="AB51"/>
  <c r="AB52"/>
  <c r="AB54"/>
  <c r="AB57"/>
  <c r="AB23"/>
  <c r="AF23" s="1"/>
  <c r="AB26"/>
  <c r="AF26" s="1"/>
  <c r="AB21"/>
  <c r="AF21" s="1"/>
  <c r="AB32"/>
  <c r="AF32" s="1"/>
  <c r="AB33"/>
  <c r="AF33" s="1"/>
  <c r="AB34"/>
  <c r="AF34" s="1"/>
  <c r="AB37"/>
  <c r="AF37" s="1"/>
  <c r="AB41"/>
  <c r="AF41" s="1"/>
  <c r="AB42"/>
  <c r="AF42" s="1"/>
  <c r="AB43"/>
  <c r="AF43" s="1"/>
  <c r="AB44"/>
  <c r="AF44" s="1"/>
  <c r="AB45"/>
  <c r="AF45" s="1"/>
  <c r="P110" i="11"/>
  <c r="AB48" i="34"/>
  <c r="AB53"/>
  <c r="AB55"/>
  <c r="AB56"/>
  <c r="AO47"/>
  <c r="CG47" s="1"/>
  <c r="BA47"/>
  <c r="CN47" s="1"/>
  <c r="BM47"/>
  <c r="CU47" s="1"/>
  <c r="AE47"/>
  <c r="AE33"/>
  <c r="AO33"/>
  <c r="AP33" s="1"/>
  <c r="AQ33" s="1"/>
  <c r="BA33"/>
  <c r="BB33" s="1"/>
  <c r="BC33" s="1"/>
  <c r="BM33"/>
  <c r="BN33" s="1"/>
  <c r="BO33" s="1"/>
  <c r="AE39"/>
  <c r="AO39"/>
  <c r="BA39"/>
  <c r="BM39"/>
  <c r="AE38"/>
  <c r="BA38"/>
  <c r="AO38"/>
  <c r="BM38"/>
  <c r="AE36"/>
  <c r="BA36"/>
  <c r="AO36"/>
  <c r="AP36" s="1"/>
  <c r="AQ36" s="1"/>
  <c r="BM36"/>
  <c r="BN36" s="1"/>
  <c r="BO36" s="1"/>
  <c r="AE32"/>
  <c r="BM32"/>
  <c r="AO32"/>
  <c r="AP32" s="1"/>
  <c r="BA32"/>
  <c r="CF38" l="1"/>
  <c r="AP38"/>
  <c r="CM39"/>
  <c r="BB39"/>
  <c r="AF28"/>
  <c r="S11" i="33"/>
  <c r="CS35" i="34"/>
  <c r="CU35" s="1"/>
  <c r="CV35" s="1"/>
  <c r="BO35"/>
  <c r="BB37"/>
  <c r="CM37"/>
  <c r="CF40"/>
  <c r="AP40"/>
  <c r="AP31"/>
  <c r="CF31"/>
  <c r="AP41"/>
  <c r="CF41"/>
  <c r="AQ32"/>
  <c r="BB32"/>
  <c r="CM32"/>
  <c r="CT32"/>
  <c r="BN32"/>
  <c r="BB36"/>
  <c r="BC36" s="1"/>
  <c r="BZ36" s="1"/>
  <c r="CM35"/>
  <c r="CT38"/>
  <c r="BN38"/>
  <c r="CM38"/>
  <c r="BB38"/>
  <c r="CT39"/>
  <c r="BN39"/>
  <c r="AP39"/>
  <c r="CF39"/>
  <c r="BZ33"/>
  <c r="CL47"/>
  <c r="CO47" s="1"/>
  <c r="CE47"/>
  <c r="CH47" s="1"/>
  <c r="S56" i="33"/>
  <c r="AF29" i="34"/>
  <c r="AF35" i="24"/>
  <c r="EM20" i="1"/>
  <c r="AF37" i="24"/>
  <c r="AF41"/>
  <c r="AF43"/>
  <c r="AF36"/>
  <c r="AF38"/>
  <c r="AF39"/>
  <c r="AF40"/>
  <c r="AF42"/>
  <c r="AF44"/>
  <c r="AF61"/>
  <c r="AF64"/>
  <c r="AF65"/>
  <c r="AF67"/>
  <c r="AF72"/>
  <c r="AF74"/>
  <c r="AF76"/>
  <c r="AF53"/>
  <c r="AF66"/>
  <c r="AF68"/>
  <c r="AF69"/>
  <c r="AF70"/>
  <c r="AF71"/>
  <c r="AF73"/>
  <c r="AF77"/>
  <c r="AF78"/>
  <c r="AF79"/>
  <c r="AF81"/>
  <c r="AF103"/>
  <c r="AF106"/>
  <c r="AF109"/>
  <c r="AF113"/>
  <c r="AF80"/>
  <c r="AF82"/>
  <c r="AF85"/>
  <c r="AF88"/>
  <c r="AF92"/>
  <c r="AF96"/>
  <c r="AF100"/>
  <c r="AC49" i="34"/>
  <c r="AE49" s="1"/>
  <c r="AC50"/>
  <c r="AE50" s="1"/>
  <c r="AC52"/>
  <c r="AE52" s="1"/>
  <c r="AC53"/>
  <c r="AE53" s="1"/>
  <c r="AC19"/>
  <c r="AC22"/>
  <c r="AC25"/>
  <c r="AC21"/>
  <c r="AC26"/>
  <c r="AC29"/>
  <c r="AC31"/>
  <c r="AC33"/>
  <c r="AC34"/>
  <c r="AC37"/>
  <c r="AC42"/>
  <c r="AC44"/>
  <c r="AC46"/>
  <c r="AC47"/>
  <c r="AC55"/>
  <c r="AC56"/>
  <c r="AC57"/>
  <c r="P112" i="11"/>
  <c r="AC54" i="34"/>
  <c r="AE54" s="1"/>
  <c r="AC20"/>
  <c r="AC24"/>
  <c r="AC27"/>
  <c r="AC23"/>
  <c r="AC28"/>
  <c r="AC30"/>
  <c r="AC32"/>
  <c r="AC35"/>
  <c r="AC36"/>
  <c r="AC38"/>
  <c r="AC39"/>
  <c r="AC40"/>
  <c r="AC41"/>
  <c r="AC43"/>
  <c r="AC45"/>
  <c r="AC48"/>
  <c r="AE48" s="1"/>
  <c r="AC51"/>
  <c r="AE51" s="1"/>
  <c r="AP34"/>
  <c r="AQ34" s="1"/>
  <c r="BZ34" s="1"/>
  <c r="CF32"/>
  <c r="CF35"/>
  <c r="AP35"/>
  <c r="CL35"/>
  <c r="CN35" s="1"/>
  <c r="CO35" s="1"/>
  <c r="BC35"/>
  <c r="BN37"/>
  <c r="CT37"/>
  <c r="AP37"/>
  <c r="CF37"/>
  <c r="CT40"/>
  <c r="BN40"/>
  <c r="CM40"/>
  <c r="BB40"/>
  <c r="CM31"/>
  <c r="BB31"/>
  <c r="BN31"/>
  <c r="CT31"/>
  <c r="BB41"/>
  <c r="CM41"/>
  <c r="CT41"/>
  <c r="BN41"/>
  <c r="CE46"/>
  <c r="CH46" s="1"/>
  <c r="CL46"/>
  <c r="CO46" s="1"/>
  <c r="CS31" l="1"/>
  <c r="CU31" s="1"/>
  <c r="CV31" s="1"/>
  <c r="BO31"/>
  <c r="BN61"/>
  <c r="CE37"/>
  <c r="AQ37"/>
  <c r="DA46"/>
  <c r="DD46" s="1"/>
  <c r="CS41"/>
  <c r="CU41" s="1"/>
  <c r="CV41" s="1"/>
  <c r="BO41"/>
  <c r="CL31"/>
  <c r="CN31" s="1"/>
  <c r="CO31" s="1"/>
  <c r="BC31"/>
  <c r="BB61"/>
  <c r="CL40"/>
  <c r="CN40" s="1"/>
  <c r="CO40" s="1"/>
  <c r="BC40"/>
  <c r="CS40"/>
  <c r="CU40" s="1"/>
  <c r="CV40" s="1"/>
  <c r="BO40"/>
  <c r="CE35"/>
  <c r="AQ35"/>
  <c r="BZ35" s="1"/>
  <c r="T112" i="11"/>
  <c r="Q112"/>
  <c r="AG35" i="24"/>
  <c r="EN20" i="1"/>
  <c r="EO20" s="1"/>
  <c r="EP20" s="1"/>
  <c r="EQ20" s="1"/>
  <c r="AG36" i="24"/>
  <c r="AG38"/>
  <c r="AG39"/>
  <c r="AG40"/>
  <c r="AG42"/>
  <c r="AG44"/>
  <c r="AG37"/>
  <c r="AG41"/>
  <c r="AG43"/>
  <c r="AG53"/>
  <c r="AG66"/>
  <c r="AG68"/>
  <c r="AG69"/>
  <c r="AG70"/>
  <c r="AG71"/>
  <c r="AG73"/>
  <c r="AG77"/>
  <c r="AG78"/>
  <c r="AG61"/>
  <c r="AG64"/>
  <c r="AG65"/>
  <c r="AG67"/>
  <c r="AG72"/>
  <c r="AG74"/>
  <c r="AG76"/>
  <c r="AG79"/>
  <c r="AG80"/>
  <c r="AG82"/>
  <c r="AG85"/>
  <c r="AG88"/>
  <c r="AG92"/>
  <c r="AG96"/>
  <c r="AG100"/>
  <c r="AG81"/>
  <c r="AG103"/>
  <c r="AG106"/>
  <c r="AG109"/>
  <c r="AG113"/>
  <c r="CE39" i="34"/>
  <c r="AQ39"/>
  <c r="CL32"/>
  <c r="CN32" s="1"/>
  <c r="CO32" s="1"/>
  <c r="BC32"/>
  <c r="CE32"/>
  <c r="CE41"/>
  <c r="AQ41"/>
  <c r="CE31"/>
  <c r="AQ31"/>
  <c r="BZ31" s="1"/>
  <c r="AP61"/>
  <c r="CL37"/>
  <c r="CN37" s="1"/>
  <c r="CO37" s="1"/>
  <c r="BC37"/>
  <c r="CL41"/>
  <c r="CN41" s="1"/>
  <c r="CO41" s="1"/>
  <c r="BC41"/>
  <c r="CS37"/>
  <c r="CU37" s="1"/>
  <c r="CV37" s="1"/>
  <c r="BO37"/>
  <c r="S83" i="33"/>
  <c r="T83" s="1"/>
  <c r="S71"/>
  <c r="T71" s="1"/>
  <c r="S65"/>
  <c r="T65" s="1"/>
  <c r="S77"/>
  <c r="T77" s="1"/>
  <c r="S60"/>
  <c r="T60" s="1"/>
  <c r="DA47" i="34"/>
  <c r="CS39"/>
  <c r="CU39" s="1"/>
  <c r="CV39" s="1"/>
  <c r="BO39"/>
  <c r="CL38"/>
  <c r="CN38" s="1"/>
  <c r="CO38" s="1"/>
  <c r="BC38"/>
  <c r="CS38"/>
  <c r="CU38" s="1"/>
  <c r="CV38" s="1"/>
  <c r="BO38"/>
  <c r="CS32"/>
  <c r="CU32" s="1"/>
  <c r="CV32" s="1"/>
  <c r="BO32"/>
  <c r="BZ32" s="1"/>
  <c r="CE40"/>
  <c r="AQ40"/>
  <c r="BZ40" s="1"/>
  <c r="S47" i="33"/>
  <c r="T47" s="1"/>
  <c r="S35"/>
  <c r="T35" s="1"/>
  <c r="S53"/>
  <c r="T53" s="1"/>
  <c r="S41"/>
  <c r="T41" s="1"/>
  <c r="S17"/>
  <c r="T17" s="1"/>
  <c r="S29"/>
  <c r="T29" s="1"/>
  <c r="S23"/>
  <c r="T23" s="1"/>
  <c r="CL39" i="34"/>
  <c r="CN39" s="1"/>
  <c r="CO39" s="1"/>
  <c r="BC39"/>
  <c r="CE38"/>
  <c r="AQ38"/>
  <c r="DD47" l="1"/>
  <c r="DE47" s="1"/>
  <c r="BZ41"/>
  <c r="BZ38"/>
  <c r="DA38"/>
  <c r="CG38"/>
  <c r="CH38" s="1"/>
  <c r="DA31"/>
  <c r="CG31"/>
  <c r="CH31" s="1"/>
  <c r="DA41"/>
  <c r="CG41"/>
  <c r="CH41" s="1"/>
  <c r="BZ39"/>
  <c r="ER20" i="1"/>
  <c r="P114" i="11"/>
  <c r="Q114"/>
  <c r="AZ80" i="24"/>
  <c r="DE46" i="34"/>
  <c r="DA37"/>
  <c r="CG37"/>
  <c r="CH37" s="1"/>
  <c r="DA40"/>
  <c r="CG40"/>
  <c r="CH40" s="1"/>
  <c r="DA32"/>
  <c r="CG32"/>
  <c r="CH32" s="1"/>
  <c r="DA39"/>
  <c r="CG39"/>
  <c r="CH39" s="1"/>
  <c r="DA35"/>
  <c r="CG35"/>
  <c r="CH35" s="1"/>
  <c r="BZ37"/>
  <c r="ES20" i="1" l="1"/>
  <c r="Q115" i="11"/>
  <c r="P115"/>
  <c r="CZ35" i="34"/>
  <c r="AW68" i="24" s="1"/>
  <c r="AZ68"/>
  <c r="CX35" i="34"/>
  <c r="DD35" s="1"/>
  <c r="DB35"/>
  <c r="CW35"/>
  <c r="CY35"/>
  <c r="DC35"/>
  <c r="CX39"/>
  <c r="DD39" s="1"/>
  <c r="DE39" s="1"/>
  <c r="CZ39"/>
  <c r="AW72" i="24" s="1"/>
  <c r="AZ72"/>
  <c r="CY39" i="34"/>
  <c r="DB39"/>
  <c r="CW39"/>
  <c r="DC39"/>
  <c r="CX32"/>
  <c r="DD32" s="1"/>
  <c r="CZ32"/>
  <c r="AW65" i="24" s="1"/>
  <c r="AZ65"/>
  <c r="DC32" i="34"/>
  <c r="CY32"/>
  <c r="CW32"/>
  <c r="DB32"/>
  <c r="CX40"/>
  <c r="DD40" s="1"/>
  <c r="CZ40"/>
  <c r="AW73" i="24" s="1"/>
  <c r="AZ73"/>
  <c r="DB40" i="34"/>
  <c r="CY40"/>
  <c r="CW40"/>
  <c r="DC40"/>
  <c r="CX37"/>
  <c r="DD37" s="1"/>
  <c r="CZ37"/>
  <c r="AW70" i="24" s="1"/>
  <c r="AZ70"/>
  <c r="CY37" i="34"/>
  <c r="CW37"/>
  <c r="DC37"/>
  <c r="DB37"/>
  <c r="AX80" i="24"/>
  <c r="CL80"/>
  <c r="JW80" s="1"/>
  <c r="CK80"/>
  <c r="CZ41" i="34"/>
  <c r="AW74" i="24" s="1"/>
  <c r="AZ74"/>
  <c r="CX41" i="34"/>
  <c r="DD41" s="1"/>
  <c r="CY41"/>
  <c r="CW41"/>
  <c r="DC41"/>
  <c r="DB41"/>
  <c r="CZ31"/>
  <c r="AW64" i="24" s="1"/>
  <c r="AZ64"/>
  <c r="CX31" i="34"/>
  <c r="DD31" s="1"/>
  <c r="DB31"/>
  <c r="CY31"/>
  <c r="CW31"/>
  <c r="DC31"/>
  <c r="CX38"/>
  <c r="DD38" s="1"/>
  <c r="CZ38"/>
  <c r="AW71" i="24" s="1"/>
  <c r="AZ71"/>
  <c r="CY38" i="34"/>
  <c r="CW38"/>
  <c r="DC38"/>
  <c r="DB38"/>
  <c r="KF80" i="24" l="1"/>
  <c r="KE80"/>
  <c r="CI74"/>
  <c r="AX65"/>
  <c r="AX68"/>
  <c r="AX71"/>
  <c r="JV71"/>
  <c r="AV64"/>
  <c r="JU64" s="1"/>
  <c r="DE31" i="34"/>
  <c r="AV71" i="24"/>
  <c r="JU71" s="1"/>
  <c r="KL71" s="1"/>
  <c r="DE38" i="34"/>
  <c r="AV74" i="24"/>
  <c r="DE41" i="34"/>
  <c r="AX74" i="24"/>
  <c r="CN74" s="1"/>
  <c r="JV74"/>
  <c r="JV75"/>
  <c r="CM80"/>
  <c r="HG80"/>
  <c r="JE80"/>
  <c r="Y244" i="40" s="1"/>
  <c r="Z244" s="1"/>
  <c r="AF241"/>
  <c r="AA241"/>
  <c r="AV70" i="24"/>
  <c r="JU70" s="1"/>
  <c r="DE37" i="34"/>
  <c r="AX73" i="24"/>
  <c r="JV73"/>
  <c r="AV65"/>
  <c r="DE32" i="34"/>
  <c r="AX72" i="24"/>
  <c r="JV72"/>
  <c r="AV68"/>
  <c r="DE35" i="34"/>
  <c r="AX64" i="24"/>
  <c r="JV64"/>
  <c r="CK74"/>
  <c r="CL74" s="1"/>
  <c r="JW74" s="1"/>
  <c r="Z214" i="40"/>
  <c r="AE214"/>
  <c r="AX70" i="24"/>
  <c r="JV70"/>
  <c r="AV73"/>
  <c r="JU73" s="1"/>
  <c r="KL73" s="1"/>
  <c r="DE40" i="34"/>
  <c r="AV72" i="24"/>
  <c r="JU72" s="1"/>
  <c r="KL72" s="1"/>
  <c r="ET20" i="1"/>
  <c r="T114" i="11"/>
  <c r="KD70" i="24" l="1"/>
  <c r="KA70"/>
  <c r="KB70" s="1"/>
  <c r="KC70" s="1"/>
  <c r="KG70" s="1"/>
  <c r="KA64"/>
  <c r="KB64" s="1"/>
  <c r="KC64" s="1"/>
  <c r="KG64" s="1"/>
  <c r="KD64"/>
  <c r="KA72"/>
  <c r="KB72" s="1"/>
  <c r="KC72" s="1"/>
  <c r="KG72" s="1"/>
  <c r="KD72"/>
  <c r="KD73"/>
  <c r="KA73"/>
  <c r="KB73" s="1"/>
  <c r="KC73" s="1"/>
  <c r="KG73" s="1"/>
  <c r="KA74"/>
  <c r="KB74" s="1"/>
  <c r="KC74" s="1"/>
  <c r="KA71"/>
  <c r="KB71" s="1"/>
  <c r="KC71" s="1"/>
  <c r="KG71" s="1"/>
  <c r="KD71"/>
  <c r="KF74"/>
  <c r="KE74"/>
  <c r="KL70"/>
  <c r="KL64"/>
  <c r="KK72"/>
  <c r="JZ72"/>
  <c r="JX72"/>
  <c r="KN72" s="1"/>
  <c r="KK73"/>
  <c r="JX73"/>
  <c r="KN73" s="1"/>
  <c r="JZ73"/>
  <c r="KK70"/>
  <c r="JX70"/>
  <c r="KN70" s="1"/>
  <c r="JZ70"/>
  <c r="KK71"/>
  <c r="JX71"/>
  <c r="KN71" s="1"/>
  <c r="JZ71"/>
  <c r="JZ64"/>
  <c r="KK64"/>
  <c r="JX64"/>
  <c r="KN64" s="1"/>
  <c r="KJ80"/>
  <c r="KP80" s="1"/>
  <c r="KY80" s="1"/>
  <c r="KQ74"/>
  <c r="CM74"/>
  <c r="HG74"/>
  <c r="JE74"/>
  <c r="Y217" i="40" s="1"/>
  <c r="Z217" s="1"/>
  <c r="AF214"/>
  <c r="AA214"/>
  <c r="Y241"/>
  <c r="AD241"/>
  <c r="EU20" i="1"/>
  <c r="P120" i="11"/>
  <c r="Q120" s="1"/>
  <c r="JU74" i="24"/>
  <c r="KL74" s="1"/>
  <c r="JU75"/>
  <c r="KL75" s="1"/>
  <c r="KA75" l="1"/>
  <c r="KB75" s="1"/>
  <c r="KC75" s="1"/>
  <c r="KG75" s="1"/>
  <c r="KD75"/>
  <c r="KD74"/>
  <c r="KJ71"/>
  <c r="KJ72"/>
  <c r="KJ70"/>
  <c r="LB80"/>
  <c r="KM64"/>
  <c r="KO64" s="1"/>
  <c r="KM71"/>
  <c r="KO71" s="1"/>
  <c r="KM70"/>
  <c r="KO70" s="1"/>
  <c r="KM73"/>
  <c r="KO73" s="1"/>
  <c r="KM72"/>
  <c r="KO72" s="1"/>
  <c r="KJ73"/>
  <c r="KJ64"/>
  <c r="KP64" s="1"/>
  <c r="JX75"/>
  <c r="KN75" s="1"/>
  <c r="KK75"/>
  <c r="JZ75"/>
  <c r="KK74"/>
  <c r="JZ74"/>
  <c r="JX74"/>
  <c r="JY74" s="1"/>
  <c r="KI74"/>
  <c r="KH74"/>
  <c r="KJ75"/>
  <c r="KR74"/>
  <c r="EV20" i="1"/>
  <c r="EW20" s="1"/>
  <c r="T120" i="11"/>
  <c r="Y214" i="40"/>
  <c r="AD214"/>
  <c r="KG74" i="24" l="1"/>
  <c r="KP72"/>
  <c r="KP73"/>
  <c r="KP71"/>
  <c r="KP70"/>
  <c r="KN74"/>
  <c r="KM75"/>
  <c r="KO75" s="1"/>
  <c r="KP75" s="1"/>
  <c r="KT72"/>
  <c r="KX72" s="1"/>
  <c r="KT73"/>
  <c r="KX73" s="1"/>
  <c r="KT70"/>
  <c r="KX70" s="1"/>
  <c r="KY70" s="1"/>
  <c r="KT71"/>
  <c r="KX71" s="1"/>
  <c r="KY71" s="1"/>
  <c r="KT64"/>
  <c r="KX64" s="1"/>
  <c r="KY64" s="1"/>
  <c r="KM74"/>
  <c r="KO74" s="1"/>
  <c r="KJ74"/>
  <c r="KS74"/>
  <c r="V120" i="11"/>
  <c r="R120"/>
  <c r="EX20" i="1"/>
  <c r="P117" i="11"/>
  <c r="Q117" s="1"/>
  <c r="KY72" i="24" l="1"/>
  <c r="KY73"/>
  <c r="KP74"/>
  <c r="KT74"/>
  <c r="KX74" s="1"/>
  <c r="KT75"/>
  <c r="KX75" s="1"/>
  <c r="KY75" s="1"/>
  <c r="EY20" i="1"/>
  <c r="P118" i="11"/>
  <c r="Q118" s="1"/>
  <c r="KY74" i="24" l="1"/>
  <c r="LB74" s="1"/>
  <c r="EZ20" i="1"/>
  <c r="T117" i="11"/>
  <c r="FA20" i="1" l="1"/>
  <c r="AA108" i="11"/>
  <c r="T108" s="1"/>
  <c r="FB20" i="1" l="1"/>
  <c r="AA109" i="11"/>
  <c r="T109" s="1"/>
  <c r="FC20" i="1" l="1"/>
  <c r="FD20" s="1"/>
  <c r="FE20" s="1"/>
  <c r="FF20" s="1"/>
  <c r="FG20" s="1"/>
  <c r="FH20" s="1"/>
  <c r="FI20" s="1"/>
  <c r="FJ20" s="1"/>
  <c r="FK20" s="1"/>
  <c r="FL20" s="1"/>
  <c r="FM20" s="1"/>
  <c r="FN20" s="1"/>
  <c r="FO20" s="1"/>
  <c r="FP20" s="1"/>
  <c r="AA110" i="11"/>
  <c r="T110" s="1"/>
  <c r="FQ20" i="1" l="1"/>
  <c r="P149" i="11"/>
  <c r="FR20" i="1" l="1"/>
  <c r="P153" i="11"/>
  <c r="FS20" i="1" l="1"/>
  <c r="FT20" s="1"/>
  <c r="FU20" s="1"/>
  <c r="FV20" s="1"/>
  <c r="P181" i="40"/>
  <c r="P224"/>
  <c r="P239"/>
  <c r="W54" i="34"/>
  <c r="W52"/>
  <c r="W50"/>
  <c r="W48"/>
  <c r="W46"/>
  <c r="P47" i="40"/>
  <c r="P50"/>
  <c r="P44"/>
  <c r="P32"/>
  <c r="W45" i="34"/>
  <c r="W44"/>
  <c r="P66" i="40"/>
  <c r="W41" i="34"/>
  <c r="P158" i="40"/>
  <c r="W40" i="34"/>
  <c r="P180" i="40"/>
  <c r="W38" i="34"/>
  <c r="W36"/>
  <c r="W34"/>
  <c r="W32"/>
  <c r="W30"/>
  <c r="W28"/>
  <c r="W26"/>
  <c r="W24"/>
  <c r="W22"/>
  <c r="W20"/>
  <c r="W55"/>
  <c r="P253" i="40"/>
  <c r="P347"/>
  <c r="P411"/>
  <c r="W57" i="34"/>
  <c r="P200" i="40"/>
  <c r="P188"/>
  <c r="P212"/>
  <c r="W53" i="34"/>
  <c r="W51"/>
  <c r="W49"/>
  <c r="W47"/>
  <c r="P53" i="40"/>
  <c r="P35"/>
  <c r="P41"/>
  <c r="P157" i="11"/>
  <c r="P38" i="40"/>
  <c r="P28"/>
  <c r="W43" i="34"/>
  <c r="W42"/>
  <c r="P173" i="40"/>
  <c r="P114"/>
  <c r="W39" i="34"/>
  <c r="P179" i="40"/>
  <c r="W37" i="34"/>
  <c r="W35"/>
  <c r="W33"/>
  <c r="W31"/>
  <c r="W29"/>
  <c r="W27"/>
  <c r="W25"/>
  <c r="W23"/>
  <c r="W21"/>
  <c r="W19"/>
  <c r="W56"/>
  <c r="P187" i="40"/>
  <c r="P206"/>
  <c r="P302"/>
  <c r="P265"/>
  <c r="P320"/>
  <c r="P277"/>
  <c r="P359"/>
  <c r="P393"/>
  <c r="P383"/>
  <c r="P190"/>
  <c r="P242"/>
  <c r="P227"/>
  <c r="P233"/>
  <c r="P184"/>
  <c r="P183"/>
  <c r="P185"/>
  <c r="P186"/>
  <c r="P230"/>
  <c r="P182"/>
  <c r="P189"/>
  <c r="FW20" i="1" l="1"/>
  <c r="P159" i="11"/>
  <c r="FX20" i="1" l="1"/>
  <c r="P162" i="11"/>
  <c r="FY20" i="1" l="1"/>
  <c r="P163" i="11"/>
  <c r="Q163" s="1"/>
  <c r="FZ20" i="1" l="1"/>
  <c r="P164" i="11"/>
  <c r="Q164" s="1"/>
  <c r="GA20" i="1" l="1"/>
  <c r="GB20" s="1"/>
  <c r="GC20" s="1"/>
  <c r="GD20" s="1"/>
  <c r="P165" i="11"/>
  <c r="Q165" s="1"/>
  <c r="GE20" i="1" l="1"/>
  <c r="GF20" s="1"/>
  <c r="P166" i="11"/>
  <c r="Q166" s="1"/>
  <c r="GG20" i="1" l="1"/>
  <c r="GH20" s="1"/>
  <c r="P167" i="11"/>
  <c r="Q167" s="1"/>
  <c r="GI20" i="1" l="1"/>
  <c r="GJ20" s="1"/>
  <c r="GK20" s="1"/>
  <c r="P168" i="11"/>
  <c r="GL20" i="1" l="1"/>
  <c r="T162" i="11"/>
  <c r="AA162" s="1"/>
  <c r="GM20" i="1" l="1"/>
  <c r="T163" i="11"/>
  <c r="V163" s="1"/>
  <c r="GN20" i="1" l="1"/>
  <c r="T164" i="11"/>
  <c r="V164" s="1"/>
  <c r="GO20" i="1" l="1"/>
  <c r="GP20" s="1"/>
  <c r="GQ20" s="1"/>
  <c r="GR20" s="1"/>
  <c r="T165" i="11"/>
  <c r="V165" s="1"/>
  <c r="GS20" i="1" l="1"/>
  <c r="GT20" s="1"/>
  <c r="T166" i="11"/>
  <c r="V166" s="1"/>
  <c r="GU20" i="1" l="1"/>
  <c r="GV20" s="1"/>
  <c r="T167" i="11"/>
  <c r="V167" s="1"/>
  <c r="GW20" i="1" l="1"/>
  <c r="GX20" s="1"/>
  <c r="GY20" s="1"/>
  <c r="T168" i="11"/>
  <c r="V168" s="1"/>
  <c r="GZ20" i="1" l="1"/>
  <c r="HA20" s="1"/>
  <c r="AO35" i="24"/>
  <c r="AO36"/>
  <c r="AO37"/>
  <c r="AO41"/>
  <c r="AO43"/>
  <c r="AO38"/>
  <c r="AO39"/>
  <c r="AO40"/>
  <c r="AO42"/>
  <c r="AO44"/>
  <c r="AO61"/>
  <c r="AO64"/>
  <c r="AO65"/>
  <c r="AO67"/>
  <c r="AO72"/>
  <c r="AO74"/>
  <c r="AO76"/>
  <c r="F28" i="68" s="1"/>
  <c r="AO53" i="24"/>
  <c r="AO66"/>
  <c r="AO68"/>
  <c r="AO69"/>
  <c r="AO70"/>
  <c r="AO71"/>
  <c r="AO73"/>
  <c r="AO77"/>
  <c r="AO78"/>
  <c r="AO79"/>
  <c r="AO81"/>
  <c r="AO88"/>
  <c r="AO103"/>
  <c r="AO106"/>
  <c r="AO109"/>
  <c r="AO113"/>
  <c r="AO80"/>
  <c r="AO82"/>
  <c r="AO85"/>
  <c r="AO92"/>
  <c r="AO96"/>
  <c r="AO100"/>
  <c r="AA163" i="11"/>
  <c r="AC163" s="1"/>
  <c r="AG20" i="34"/>
  <c r="AG23"/>
  <c r="AG26"/>
  <c r="AG29"/>
  <c r="AG25"/>
  <c r="AG30"/>
  <c r="AG32"/>
  <c r="AG34"/>
  <c r="AG35"/>
  <c r="AG36"/>
  <c r="AG37"/>
  <c r="AG38"/>
  <c r="AG40"/>
  <c r="AG41"/>
  <c r="AG44"/>
  <c r="AG45"/>
  <c r="AG48"/>
  <c r="AG53"/>
  <c r="AG55"/>
  <c r="AG56"/>
  <c r="P173" i="11"/>
  <c r="Q173" s="1"/>
  <c r="AG19" i="34"/>
  <c r="AG21"/>
  <c r="AG24"/>
  <c r="AG28"/>
  <c r="AG22"/>
  <c r="AG27"/>
  <c r="AG31"/>
  <c r="AG33"/>
  <c r="AG39"/>
  <c r="AG42"/>
  <c r="AG43"/>
  <c r="AG46"/>
  <c r="AG47"/>
  <c r="AG49"/>
  <c r="AG50"/>
  <c r="AG51"/>
  <c r="AG52"/>
  <c r="AG54"/>
  <c r="AG57"/>
  <c r="IG100" i="24" l="1"/>
  <c r="J43" i="68" s="1"/>
  <c r="IG101" i="24"/>
  <c r="J44" i="68" s="1"/>
  <c r="F43"/>
  <c r="IG92" i="24"/>
  <c r="J37" i="68" s="1"/>
  <c r="IG93" i="24"/>
  <c r="J38" i="68" s="1"/>
  <c r="IG94" i="24"/>
  <c r="J39" i="68" s="1"/>
  <c r="F37"/>
  <c r="IG82" i="24"/>
  <c r="J30" i="68" s="1"/>
  <c r="IG83" i="24"/>
  <c r="J31" i="68" s="1"/>
  <c r="F30"/>
  <c r="IG88" i="24"/>
  <c r="J34" i="68" s="1"/>
  <c r="IG90" i="24"/>
  <c r="J36" i="68" s="1"/>
  <c r="IG89" i="24"/>
  <c r="J35" i="68" s="1"/>
  <c r="F34"/>
  <c r="IG71" i="24"/>
  <c r="H23" i="68" s="1"/>
  <c r="F23"/>
  <c r="IG72" i="24"/>
  <c r="H24" i="68" s="1"/>
  <c r="F24"/>
  <c r="IG96" i="24"/>
  <c r="J40" i="68" s="1"/>
  <c r="IG97" i="24"/>
  <c r="J41" i="68" s="1"/>
  <c r="IG98" i="24"/>
  <c r="J42" i="68" s="1"/>
  <c r="F40"/>
  <c r="IG85" i="24"/>
  <c r="J32" i="68" s="1"/>
  <c r="IG86" i="24"/>
  <c r="J33" i="68" s="1"/>
  <c r="F32"/>
  <c r="IG80" i="24"/>
  <c r="J29" i="68" s="1"/>
  <c r="F29"/>
  <c r="L29" s="1"/>
  <c r="IG103" i="24"/>
  <c r="J45" i="68" s="1"/>
  <c r="IG104" i="24"/>
  <c r="J46" i="68" s="1"/>
  <c r="F45"/>
  <c r="IG73" i="24"/>
  <c r="H25" i="68" s="1"/>
  <c r="F25"/>
  <c r="IG70" i="24"/>
  <c r="H22" i="68" s="1"/>
  <c r="F22"/>
  <c r="IG75" i="24"/>
  <c r="H27" i="68" s="1"/>
  <c r="F26"/>
  <c r="F27" s="1"/>
  <c r="IG64" i="24"/>
  <c r="H21" i="68" s="1"/>
  <c r="F21"/>
  <c r="HB20" i="1"/>
  <c r="AA164" i="11"/>
  <c r="AC164" s="1"/>
  <c r="HC20" i="1" l="1"/>
  <c r="HD20" s="1"/>
  <c r="HE20" s="1"/>
  <c r="AA165" i="11"/>
  <c r="AC165" s="1"/>
  <c r="H47" i="68"/>
  <c r="H9" s="1"/>
  <c r="KR64" i="24" s="1"/>
  <c r="H48" i="68"/>
  <c r="F33"/>
  <c r="L33" s="1"/>
  <c r="L32"/>
  <c r="L45"/>
  <c r="F46"/>
  <c r="L46" s="1"/>
  <c r="F41"/>
  <c r="L40"/>
  <c r="L34"/>
  <c r="F35"/>
  <c r="F31"/>
  <c r="L30"/>
  <c r="F38"/>
  <c r="L37"/>
  <c r="F44"/>
  <c r="L44" s="1"/>
  <c r="L43"/>
  <c r="KR48" i="24" l="1"/>
  <c r="F36" i="68"/>
  <c r="L36" s="1"/>
  <c r="L35"/>
  <c r="F39"/>
  <c r="L39" s="1"/>
  <c r="L38"/>
  <c r="L31"/>
  <c r="N32"/>
  <c r="N33" s="1"/>
  <c r="F42"/>
  <c r="L42" s="1"/>
  <c r="L41"/>
  <c r="KR72" i="24"/>
  <c r="KR75"/>
  <c r="KR62"/>
  <c r="KR37"/>
  <c r="KR70"/>
  <c r="KR73"/>
  <c r="KR56"/>
  <c r="KR47"/>
  <c r="KR38"/>
  <c r="H10" i="68"/>
  <c r="H11" s="1"/>
  <c r="KR71" i="24"/>
  <c r="HF20" i="1"/>
  <c r="AP82" i="24"/>
  <c r="AP85"/>
  <c r="AP92"/>
  <c r="AP96"/>
  <c r="AP100"/>
  <c r="AP88"/>
  <c r="AP103"/>
  <c r="AP106"/>
  <c r="AP109"/>
  <c r="AP113"/>
  <c r="AP64"/>
  <c r="AP72"/>
  <c r="AP80"/>
  <c r="AP35"/>
  <c r="AP71"/>
  <c r="AP36"/>
  <c r="AP37"/>
  <c r="AP61"/>
  <c r="AP73"/>
  <c r="AP44"/>
  <c r="AP76"/>
  <c r="AP53"/>
  <c r="AP70"/>
  <c r="AP74"/>
  <c r="AP38"/>
  <c r="HG20" i="1" l="1"/>
  <c r="AQ35" i="24"/>
  <c r="AQ38"/>
  <c r="AQ39"/>
  <c r="AQ40"/>
  <c r="AQ42"/>
  <c r="AQ36"/>
  <c r="AQ37"/>
  <c r="AQ41"/>
  <c r="AQ43"/>
  <c r="AQ44"/>
  <c r="AQ61"/>
  <c r="AQ64"/>
  <c r="AQ66"/>
  <c r="AQ68"/>
  <c r="AQ69"/>
  <c r="AQ74"/>
  <c r="AQ76"/>
  <c r="AQ77"/>
  <c r="AQ78"/>
  <c r="AQ53"/>
  <c r="AQ65"/>
  <c r="AQ67"/>
  <c r="AQ70"/>
  <c r="AQ71"/>
  <c r="AQ72"/>
  <c r="AQ73"/>
  <c r="AQ80"/>
  <c r="AQ88"/>
  <c r="AQ103"/>
  <c r="AQ106"/>
  <c r="AQ109"/>
  <c r="AQ113"/>
  <c r="AQ79"/>
  <c r="AQ81"/>
  <c r="AQ82"/>
  <c r="AQ85"/>
  <c r="AQ92"/>
  <c r="AQ96"/>
  <c r="AQ100"/>
  <c r="AA166" i="11"/>
  <c r="AC166" s="1"/>
  <c r="KR57" i="24"/>
  <c r="KR49"/>
  <c r="KR35"/>
  <c r="II100" l="1"/>
  <c r="K43" i="68" s="1"/>
  <c r="II101" i="24"/>
  <c r="K44" i="68" s="1"/>
  <c r="G43"/>
  <c r="G44" s="1"/>
  <c r="BY101" i="24"/>
  <c r="BY100"/>
  <c r="II93"/>
  <c r="K38" i="68" s="1"/>
  <c r="II94" i="24"/>
  <c r="K39" i="68" s="1"/>
  <c r="II92" i="24"/>
  <c r="K37" i="68" s="1"/>
  <c r="G37"/>
  <c r="G38" s="1"/>
  <c r="G39" s="1"/>
  <c r="BY93" i="24"/>
  <c r="BY92"/>
  <c r="BY94"/>
  <c r="II83"/>
  <c r="K31" i="68" s="1"/>
  <c r="II82" i="24"/>
  <c r="K30" i="68" s="1"/>
  <c r="G30"/>
  <c r="G31" s="1"/>
  <c r="BY83" i="24"/>
  <c r="BY82"/>
  <c r="II103"/>
  <c r="K45" i="68" s="1"/>
  <c r="II104" i="24"/>
  <c r="K46" i="68" s="1"/>
  <c r="G45"/>
  <c r="G46" s="1"/>
  <c r="BY104" i="24"/>
  <c r="BY103"/>
  <c r="G29" i="68"/>
  <c r="BY80" i="24"/>
  <c r="II72"/>
  <c r="I24" i="68" s="1"/>
  <c r="G24"/>
  <c r="BY72" i="24"/>
  <c r="II70"/>
  <c r="I22" i="68" s="1"/>
  <c r="G22"/>
  <c r="BY70" i="24"/>
  <c r="II76"/>
  <c r="K28" i="68" s="1"/>
  <c r="G28"/>
  <c r="BY76" i="24"/>
  <c r="II96"/>
  <c r="K40" i="68" s="1"/>
  <c r="II97" i="24"/>
  <c r="K41" i="68" s="1"/>
  <c r="II98" i="24"/>
  <c r="K42" i="68" s="1"/>
  <c r="G40"/>
  <c r="G41" s="1"/>
  <c r="G42" s="1"/>
  <c r="BY97" i="24"/>
  <c r="BY96"/>
  <c r="BY98"/>
  <c r="II85"/>
  <c r="K32" i="68" s="1"/>
  <c r="II86" i="24"/>
  <c r="K33" i="68" s="1"/>
  <c r="G32"/>
  <c r="G33" s="1"/>
  <c r="BY85" i="24"/>
  <c r="BY86"/>
  <c r="II88"/>
  <c r="K34" i="68" s="1"/>
  <c r="II89" i="24"/>
  <c r="K35" i="68" s="1"/>
  <c r="II90" i="24"/>
  <c r="K36" i="68" s="1"/>
  <c r="G34"/>
  <c r="G35" s="1"/>
  <c r="G36" s="1"/>
  <c r="BY90" i="24"/>
  <c r="BY88"/>
  <c r="BY89"/>
  <c r="II73"/>
  <c r="I25" i="68" s="1"/>
  <c r="G25"/>
  <c r="BY73" i="24"/>
  <c r="II71"/>
  <c r="I23" i="68" s="1"/>
  <c r="G23"/>
  <c r="BY71" i="24"/>
  <c r="II74"/>
  <c r="K26" i="68" s="1"/>
  <c r="II75" i="24"/>
  <c r="I27" i="68" s="1"/>
  <c r="G26"/>
  <c r="G27" s="1"/>
  <c r="BY74" i="24"/>
  <c r="BY75"/>
  <c r="II64"/>
  <c r="I21" i="68" s="1"/>
  <c r="G21"/>
  <c r="BY64" i="24"/>
  <c r="HH20" i="1"/>
  <c r="HI20" s="1"/>
  <c r="AA167" i="11"/>
  <c r="AC167" s="1"/>
  <c r="HJ20" i="1" l="1"/>
  <c r="U57" i="54"/>
  <c r="U58"/>
  <c r="I47" i="68"/>
  <c r="F9" s="1"/>
  <c r="KQ64" i="24" s="1"/>
  <c r="KS64" s="1"/>
  <c r="I48" i="68"/>
  <c r="KQ48" i="24" l="1"/>
  <c r="KS48" s="1"/>
  <c r="KQ72"/>
  <c r="KQ70"/>
  <c r="KQ47"/>
  <c r="KQ73"/>
  <c r="KQ71"/>
  <c r="KQ56"/>
  <c r="KQ38"/>
  <c r="F10" i="68"/>
  <c r="F11" s="1"/>
  <c r="KQ35" i="24" s="1"/>
  <c r="KQ75"/>
  <c r="KQ62"/>
  <c r="KQ37"/>
  <c r="AR35"/>
  <c r="HK20" i="1"/>
  <c r="AR36" i="24"/>
  <c r="AR37"/>
  <c r="AR41"/>
  <c r="AR43"/>
  <c r="AR38"/>
  <c r="AR39"/>
  <c r="AR40"/>
  <c r="AR42"/>
  <c r="AR44"/>
  <c r="U25" i="54"/>
  <c r="U42"/>
  <c r="U53"/>
  <c r="AB53" s="1"/>
  <c r="AE53" s="1"/>
  <c r="U55"/>
  <c r="U60"/>
  <c r="AB60" s="1"/>
  <c r="AE60" s="1"/>
  <c r="U61"/>
  <c r="AB61" s="1"/>
  <c r="AE61" s="1"/>
  <c r="U62"/>
  <c r="AB62" s="1"/>
  <c r="AE62" s="1"/>
  <c r="U70"/>
  <c r="U74"/>
  <c r="U33"/>
  <c r="U50"/>
  <c r="U54"/>
  <c r="U56"/>
  <c r="U59"/>
  <c r="AB59" s="1"/>
  <c r="AE59" s="1"/>
  <c r="U63"/>
  <c r="U65"/>
  <c r="U71"/>
  <c r="U85"/>
  <c r="U89"/>
  <c r="U95"/>
  <c r="U98"/>
  <c r="U102"/>
  <c r="AR53" i="24"/>
  <c r="AR65"/>
  <c r="AR67"/>
  <c r="AR70"/>
  <c r="CD70" s="1"/>
  <c r="AR71"/>
  <c r="CD71" s="1"/>
  <c r="AR72"/>
  <c r="CD72" s="1"/>
  <c r="AR73"/>
  <c r="CD73" s="1"/>
  <c r="U69" i="54"/>
  <c r="U77"/>
  <c r="U81"/>
  <c r="U92"/>
  <c r="AR61" i="24"/>
  <c r="AR64"/>
  <c r="CD64" s="1"/>
  <c r="AR66"/>
  <c r="AR68"/>
  <c r="AR69"/>
  <c r="AR74"/>
  <c r="AR76"/>
  <c r="CD76" s="1"/>
  <c r="AR77"/>
  <c r="AR78"/>
  <c r="AR79"/>
  <c r="AR80"/>
  <c r="AR81"/>
  <c r="AR82"/>
  <c r="AR85"/>
  <c r="AR92"/>
  <c r="AR96"/>
  <c r="AR100"/>
  <c r="AR88"/>
  <c r="AR103"/>
  <c r="AR106"/>
  <c r="AR109"/>
  <c r="AR113"/>
  <c r="P171" i="11"/>
  <c r="Q171" s="1"/>
  <c r="CD103" i="24" l="1"/>
  <c r="CD104"/>
  <c r="CD101"/>
  <c r="CD100"/>
  <c r="CD93"/>
  <c r="CD92"/>
  <c r="CD94"/>
  <c r="CD82"/>
  <c r="CD83"/>
  <c r="CD80"/>
  <c r="BU79" s="1"/>
  <c r="CI80"/>
  <c r="AC83" i="54"/>
  <c r="AB81"/>
  <c r="AE81" s="1"/>
  <c r="AB82"/>
  <c r="AE82" s="1"/>
  <c r="AB83"/>
  <c r="AB69"/>
  <c r="AC69"/>
  <c r="AB102"/>
  <c r="AC102"/>
  <c r="AB95"/>
  <c r="AB96"/>
  <c r="AC95"/>
  <c r="AC96"/>
  <c r="AB85"/>
  <c r="AE85" s="1"/>
  <c r="AB86"/>
  <c r="AB87"/>
  <c r="AC86"/>
  <c r="AC87"/>
  <c r="AB65"/>
  <c r="AC65"/>
  <c r="CO70" i="24"/>
  <c r="CI70" s="1"/>
  <c r="CE70"/>
  <c r="F17" i="33"/>
  <c r="CO72" i="24"/>
  <c r="CI72" s="1"/>
  <c r="CE72"/>
  <c r="AC44" i="54"/>
  <c r="F62" i="33"/>
  <c r="KS62" i="24"/>
  <c r="KQ49"/>
  <c r="KS35"/>
  <c r="KQ57"/>
  <c r="KS71"/>
  <c r="KS70"/>
  <c r="CD89"/>
  <c r="CD90"/>
  <c r="CD88"/>
  <c r="CD97"/>
  <c r="CD96"/>
  <c r="CD98"/>
  <c r="CD85"/>
  <c r="CD86"/>
  <c r="CD75"/>
  <c r="CD74"/>
  <c r="AC92" i="54"/>
  <c r="AC93"/>
  <c r="AB92"/>
  <c r="AB93"/>
  <c r="AB77"/>
  <c r="AE77" s="1"/>
  <c r="AC78"/>
  <c r="AC79"/>
  <c r="AB78"/>
  <c r="AB79"/>
  <c r="AB98"/>
  <c r="AB99"/>
  <c r="AC100"/>
  <c r="AC98"/>
  <c r="AC99"/>
  <c r="AB100"/>
  <c r="AB89"/>
  <c r="AE89" s="1"/>
  <c r="AB90"/>
  <c r="AC90"/>
  <c r="AC71"/>
  <c r="AC72"/>
  <c r="AB71"/>
  <c r="AB72"/>
  <c r="AB63"/>
  <c r="AB64"/>
  <c r="AE64" s="1"/>
  <c r="AC63"/>
  <c r="AC50"/>
  <c r="AC51"/>
  <c r="AB50"/>
  <c r="AB51"/>
  <c r="AB74"/>
  <c r="AE74" s="1"/>
  <c r="AB75"/>
  <c r="AC75"/>
  <c r="CE73" i="24"/>
  <c r="CO73"/>
  <c r="CI73" s="1"/>
  <c r="CE71"/>
  <c r="CO71"/>
  <c r="CI71" s="1"/>
  <c r="CO64"/>
  <c r="CI64" s="1"/>
  <c r="CE64"/>
  <c r="AB25" i="54"/>
  <c r="AC26"/>
  <c r="AC25"/>
  <c r="AE25" s="1"/>
  <c r="AC27"/>
  <c r="AS35" i="24"/>
  <c r="HL20" i="1"/>
  <c r="AS36" i="24"/>
  <c r="AY36" s="1"/>
  <c r="AS38"/>
  <c r="AS39"/>
  <c r="AS40"/>
  <c r="AS42"/>
  <c r="AS37"/>
  <c r="AS41"/>
  <c r="AS43"/>
  <c r="V33" i="54"/>
  <c r="V50"/>
  <c r="V59"/>
  <c r="V63"/>
  <c r="AD63" s="1"/>
  <c r="V65"/>
  <c r="AD65" s="1"/>
  <c r="V69"/>
  <c r="AD69" s="1"/>
  <c r="AS44" i="24"/>
  <c r="AY44" s="1"/>
  <c r="V25" i="54"/>
  <c r="V42"/>
  <c r="V53"/>
  <c r="V60"/>
  <c r="V61"/>
  <c r="V62"/>
  <c r="V70"/>
  <c r="AS61" i="24"/>
  <c r="AY61" s="1"/>
  <c r="AS64"/>
  <c r="AS66"/>
  <c r="AS68"/>
  <c r="AS69"/>
  <c r="AS74"/>
  <c r="AS76"/>
  <c r="AS77"/>
  <c r="AS78"/>
  <c r="AS53"/>
  <c r="AY53" s="1"/>
  <c r="AS65"/>
  <c r="AS67"/>
  <c r="AS70"/>
  <c r="AS71"/>
  <c r="AS72"/>
  <c r="AS73"/>
  <c r="AS88"/>
  <c r="AS103"/>
  <c r="AS106"/>
  <c r="AS109"/>
  <c r="AS113"/>
  <c r="AS79"/>
  <c r="AS80"/>
  <c r="AS81"/>
  <c r="AS82"/>
  <c r="AS85"/>
  <c r="AS92"/>
  <c r="AS96"/>
  <c r="AS100"/>
  <c r="P172" i="11"/>
  <c r="Q172" s="1"/>
  <c r="KS37" i="24"/>
  <c r="KS75"/>
  <c r="KS38"/>
  <c r="KS56"/>
  <c r="KS73"/>
  <c r="KS47"/>
  <c r="KS72"/>
  <c r="CE36" l="1"/>
  <c r="T34" i="40" s="1"/>
  <c r="CO36" i="24"/>
  <c r="CI36" s="1"/>
  <c r="CJ61"/>
  <c r="CJ62"/>
  <c r="AD44" i="54"/>
  <c r="Z43"/>
  <c r="Z46"/>
  <c r="Z44"/>
  <c r="Z48"/>
  <c r="Z45"/>
  <c r="Z42"/>
  <c r="Z47"/>
  <c r="F18" i="33"/>
  <c r="Z33" i="54"/>
  <c r="Z35"/>
  <c r="Z37"/>
  <c r="Z38"/>
  <c r="Z40"/>
  <c r="Z34"/>
  <c r="Z36"/>
  <c r="Z39"/>
  <c r="CJ36" i="24"/>
  <c r="CJ37"/>
  <c r="CJ38"/>
  <c r="CK64"/>
  <c r="CN64"/>
  <c r="CL64"/>
  <c r="AE175" i="40"/>
  <c r="Z175"/>
  <c r="CO88" i="24"/>
  <c r="CI88" s="1"/>
  <c r="CE88"/>
  <c r="AD169" i="40"/>
  <c r="AE169" s="1"/>
  <c r="F64" i="33"/>
  <c r="H70"/>
  <c r="H72"/>
  <c r="H74"/>
  <c r="H73"/>
  <c r="H69"/>
  <c r="H75"/>
  <c r="H71"/>
  <c r="CK72" i="24"/>
  <c r="CL72" s="1"/>
  <c r="Z202" i="40"/>
  <c r="AE202"/>
  <c r="CN72" i="24"/>
  <c r="CE96"/>
  <c r="CO96"/>
  <c r="CI96" s="1"/>
  <c r="CE93"/>
  <c r="CO93"/>
  <c r="CI93" s="1"/>
  <c r="AD46" i="40"/>
  <c r="AE46" s="1"/>
  <c r="CJ55" i="24"/>
  <c r="AD25" i="54"/>
  <c r="AD27"/>
  <c r="AD26"/>
  <c r="AD50"/>
  <c r="AD51"/>
  <c r="HM20" i="1"/>
  <c r="AH19" i="34"/>
  <c r="AH22"/>
  <c r="AH27"/>
  <c r="AH23"/>
  <c r="AH26"/>
  <c r="AH29"/>
  <c r="AH31"/>
  <c r="AH33"/>
  <c r="AH35"/>
  <c r="AH36"/>
  <c r="AH38"/>
  <c r="AH39"/>
  <c r="AH40"/>
  <c r="AH41"/>
  <c r="AH43"/>
  <c r="AH45"/>
  <c r="AH46"/>
  <c r="AH48"/>
  <c r="AH50"/>
  <c r="AH51"/>
  <c r="AH57"/>
  <c r="AH20"/>
  <c r="AH25"/>
  <c r="AH21"/>
  <c r="AH24"/>
  <c r="AH28"/>
  <c r="AH30"/>
  <c r="AH32"/>
  <c r="AH34"/>
  <c r="AH37"/>
  <c r="AH42"/>
  <c r="AH44"/>
  <c r="AH47"/>
  <c r="AH49"/>
  <c r="AH52"/>
  <c r="AH53"/>
  <c r="AH55"/>
  <c r="AH54"/>
  <c r="AH56"/>
  <c r="CK71" i="24"/>
  <c r="CL71" s="1"/>
  <c r="LB71" s="1"/>
  <c r="CN71"/>
  <c r="Z192" i="40"/>
  <c r="AE192"/>
  <c r="CK73" i="24"/>
  <c r="CL73" s="1"/>
  <c r="AE208" i="40"/>
  <c r="Z208"/>
  <c r="CN73" i="24"/>
  <c r="CO85"/>
  <c r="CI85" s="1"/>
  <c r="CE85"/>
  <c r="CE75"/>
  <c r="CO75"/>
  <c r="CI75" s="1"/>
  <c r="CE100"/>
  <c r="CO100"/>
  <c r="CI100" s="1"/>
  <c r="KS57"/>
  <c r="KS49"/>
  <c r="F19" i="33"/>
  <c r="I61"/>
  <c r="CK70" i="24"/>
  <c r="CL70" s="1"/>
  <c r="CN70"/>
  <c r="AE186" i="40"/>
  <c r="Z186"/>
  <c r="CE92" i="24"/>
  <c r="CO92"/>
  <c r="CI92" s="1"/>
  <c r="Z241" i="40"/>
  <c r="AE241"/>
  <c r="JW72" i="24" l="1"/>
  <c r="LB72"/>
  <c r="JW64"/>
  <c r="LB64"/>
  <c r="JW70"/>
  <c r="LB70"/>
  <c r="JW73"/>
  <c r="LB73"/>
  <c r="JW71"/>
  <c r="AD54" i="40"/>
  <c r="AE54" s="1"/>
  <c r="CN36" i="24"/>
  <c r="CK36"/>
  <c r="CL36" s="1"/>
  <c r="JW36" s="1"/>
  <c r="AE34" i="40"/>
  <c r="Z34"/>
  <c r="HG70" i="24"/>
  <c r="CM70"/>
  <c r="JE70"/>
  <c r="Y189" i="40" s="1"/>
  <c r="Z189" s="1"/>
  <c r="AA186"/>
  <c r="AF186"/>
  <c r="CK92" i="24"/>
  <c r="CL92" s="1"/>
  <c r="JW92" s="1"/>
  <c r="CN92"/>
  <c r="Z304" i="40"/>
  <c r="AE304"/>
  <c r="CN85" i="24"/>
  <c r="CK85"/>
  <c r="CL85" s="1"/>
  <c r="JW85" s="1"/>
  <c r="Z267" i="40"/>
  <c r="AE267"/>
  <c r="HG73" i="24"/>
  <c r="CM73"/>
  <c r="JE73"/>
  <c r="Y211" i="40" s="1"/>
  <c r="Z211" s="1"/>
  <c r="AF208"/>
  <c r="AA208"/>
  <c r="HG71" i="24"/>
  <c r="CM71"/>
  <c r="JE71"/>
  <c r="Y195" i="40" s="1"/>
  <c r="Z195" s="1"/>
  <c r="AF192"/>
  <c r="AA192"/>
  <c r="AT35" i="24"/>
  <c r="AT36"/>
  <c r="AT37"/>
  <c r="AT41"/>
  <c r="AT43"/>
  <c r="AT38"/>
  <c r="AT39"/>
  <c r="AT40"/>
  <c r="AT42"/>
  <c r="AT44"/>
  <c r="AT53"/>
  <c r="AT65"/>
  <c r="AT67"/>
  <c r="AT70"/>
  <c r="CB70" s="1"/>
  <c r="LA70" s="1"/>
  <c r="AT71"/>
  <c r="CB71" s="1"/>
  <c r="LA71" s="1"/>
  <c r="AT72"/>
  <c r="CB72" s="1"/>
  <c r="LA72" s="1"/>
  <c r="AT73"/>
  <c r="CB73" s="1"/>
  <c r="LA73" s="1"/>
  <c r="AT61"/>
  <c r="AT64"/>
  <c r="CB64" s="1"/>
  <c r="LA64" s="1"/>
  <c r="AT66"/>
  <c r="AT68"/>
  <c r="AT69"/>
  <c r="AT74"/>
  <c r="AT76"/>
  <c r="CB76" s="1"/>
  <c r="LA76" s="1"/>
  <c r="AT77"/>
  <c r="AT78"/>
  <c r="AT79"/>
  <c r="AT80"/>
  <c r="CB80" s="1"/>
  <c r="LA80" s="1"/>
  <c r="AT81"/>
  <c r="AT82"/>
  <c r="AT85"/>
  <c r="AT92"/>
  <c r="AT96"/>
  <c r="AT100"/>
  <c r="AT88"/>
  <c r="AT103"/>
  <c r="AT106"/>
  <c r="AT109"/>
  <c r="AT113"/>
  <c r="AA168" i="11"/>
  <c r="AC168" s="1"/>
  <c r="P174"/>
  <c r="Q174" s="1"/>
  <c r="HN20" i="1"/>
  <c r="CN93" i="24"/>
  <c r="CK93"/>
  <c r="CL93" s="1"/>
  <c r="JW93" s="1"/>
  <c r="Z310" i="40"/>
  <c r="AE310"/>
  <c r="CK96" i="24"/>
  <c r="CL96" s="1"/>
  <c r="JW96" s="1"/>
  <c r="CN96"/>
  <c r="Z322" i="40"/>
  <c r="AE322"/>
  <c r="HG64" i="24"/>
  <c r="CM64"/>
  <c r="JE64"/>
  <c r="Y178" i="40" s="1"/>
  <c r="Z178" s="1"/>
  <c r="AA175"/>
  <c r="AF175"/>
  <c r="AC39" i="54"/>
  <c r="BU50" i="24"/>
  <c r="AB39" i="54"/>
  <c r="AE39" s="1"/>
  <c r="AC34"/>
  <c r="BU45" i="24"/>
  <c r="AB34" i="54"/>
  <c r="AE34" s="1"/>
  <c r="AC38"/>
  <c r="BU49" i="24"/>
  <c r="AB38" i="54"/>
  <c r="AE38" s="1"/>
  <c r="AC35"/>
  <c r="BU46" i="24"/>
  <c r="AB35" i="54"/>
  <c r="AE35" s="1"/>
  <c r="G24" i="33"/>
  <c r="G27"/>
  <c r="G30"/>
  <c r="G31"/>
  <c r="G25"/>
  <c r="G26"/>
  <c r="G28"/>
  <c r="G29"/>
  <c r="I17"/>
  <c r="AC47" i="54"/>
  <c r="BU58" i="24"/>
  <c r="AB47" i="54"/>
  <c r="AE47" s="1"/>
  <c r="AC45"/>
  <c r="BU56" i="24"/>
  <c r="AB45" i="54"/>
  <c r="AE45" s="1"/>
  <c r="BU55" i="24"/>
  <c r="AB44" i="54"/>
  <c r="AC43"/>
  <c r="BU54" i="24"/>
  <c r="AB43" i="54"/>
  <c r="AE43" s="1"/>
  <c r="CN100" i="24"/>
  <c r="CK100"/>
  <c r="CL100" s="1"/>
  <c r="JW100" s="1"/>
  <c r="Z349" i="40"/>
  <c r="AE349"/>
  <c r="CK75" i="24"/>
  <c r="CL75" s="1"/>
  <c r="CN75"/>
  <c r="Z220" i="40"/>
  <c r="AE220"/>
  <c r="HG72" i="24"/>
  <c r="CM72"/>
  <c r="JE72"/>
  <c r="Y205" i="40" s="1"/>
  <c r="Z205" s="1"/>
  <c r="AF202"/>
  <c r="AA202"/>
  <c r="I70" i="33"/>
  <c r="BW54" i="24" s="1"/>
  <c r="BX54" s="1"/>
  <c r="I71" i="33"/>
  <c r="BW55" i="24" s="1"/>
  <c r="BX55" s="1"/>
  <c r="CB55" s="1"/>
  <c r="LA55" s="1"/>
  <c r="I72" i="33"/>
  <c r="BW56" i="24" s="1"/>
  <c r="BX56" s="1"/>
  <c r="I73" i="33"/>
  <c r="BW57" i="24" s="1"/>
  <c r="BX57" s="1"/>
  <c r="CB57" s="1"/>
  <c r="LA57" s="1"/>
  <c r="I74" i="33"/>
  <c r="BW58" i="24" s="1"/>
  <c r="BX58" s="1"/>
  <c r="I75" i="33"/>
  <c r="BW59" i="24" s="1"/>
  <c r="BX59" s="1"/>
  <c r="CB59" s="1"/>
  <c r="I69" i="33"/>
  <c r="BW53" i="24" s="1"/>
  <c r="BX53" s="1"/>
  <c r="J71" i="33"/>
  <c r="J69"/>
  <c r="J73"/>
  <c r="J74"/>
  <c r="CN88" i="24"/>
  <c r="CK88"/>
  <c r="CL88" s="1"/>
  <c r="JW88" s="1"/>
  <c r="AE279" i="40"/>
  <c r="Z279"/>
  <c r="AC36" i="54"/>
  <c r="BU47" i="24"/>
  <c r="AB36" i="54"/>
  <c r="AE36" s="1"/>
  <c r="AC40"/>
  <c r="BU51" i="24"/>
  <c r="AB40" i="54"/>
  <c r="AE40" s="1"/>
  <c r="AC37"/>
  <c r="BU48" i="24"/>
  <c r="AB37" i="54"/>
  <c r="AE37" s="1"/>
  <c r="AC33"/>
  <c r="BU44" i="24"/>
  <c r="AB33" i="54"/>
  <c r="AE33" s="1"/>
  <c r="AC42"/>
  <c r="BU53" i="24"/>
  <c r="AB42" i="54"/>
  <c r="AE42" s="1"/>
  <c r="AC48"/>
  <c r="BU59" i="24"/>
  <c r="AB48" i="54"/>
  <c r="AE48" s="1"/>
  <c r="AC46"/>
  <c r="BU57" i="24"/>
  <c r="AB46" i="54"/>
  <c r="AE46" s="1"/>
  <c r="KF93" i="24" l="1"/>
  <c r="KE93"/>
  <c r="KF85"/>
  <c r="KE85"/>
  <c r="KF71"/>
  <c r="KE71"/>
  <c r="KF73"/>
  <c r="KE73"/>
  <c r="KE70"/>
  <c r="KF70"/>
  <c r="KF64"/>
  <c r="KE64"/>
  <c r="KF72"/>
  <c r="KE72"/>
  <c r="KF88"/>
  <c r="KE88"/>
  <c r="KE100"/>
  <c r="KF100"/>
  <c r="KF96"/>
  <c r="KE96"/>
  <c r="KF92"/>
  <c r="KE92"/>
  <c r="KF36"/>
  <c r="KE36"/>
  <c r="JW75"/>
  <c r="LB75"/>
  <c r="CB53"/>
  <c r="CC53" s="1"/>
  <c r="T115" i="40" s="1"/>
  <c r="CB58" i="24"/>
  <c r="GK58" s="1"/>
  <c r="GL58" s="1"/>
  <c r="CB56"/>
  <c r="LA56" s="1"/>
  <c r="CB54"/>
  <c r="CC54" s="1"/>
  <c r="T120" i="40" s="1"/>
  <c r="AA34"/>
  <c r="AF34"/>
  <c r="HG36" i="24"/>
  <c r="CM36"/>
  <c r="JE36"/>
  <c r="Y38" i="40" s="1"/>
  <c r="Z38" s="1"/>
  <c r="J72" i="33"/>
  <c r="J70"/>
  <c r="BY53" i="24"/>
  <c r="CD53"/>
  <c r="U115" i="40"/>
  <c r="CE44" i="24"/>
  <c r="CO44"/>
  <c r="CE57"/>
  <c r="CO57"/>
  <c r="BY59"/>
  <c r="CD59"/>
  <c r="U150" i="40"/>
  <c r="CE53" i="24"/>
  <c r="CO53"/>
  <c r="BY44"/>
  <c r="CD44"/>
  <c r="CE48"/>
  <c r="CO48"/>
  <c r="CD51"/>
  <c r="BY51"/>
  <c r="CO47"/>
  <c r="CE47"/>
  <c r="J75" i="33"/>
  <c r="GK53" i="24"/>
  <c r="GL53" s="1"/>
  <c r="JD53"/>
  <c r="CC58"/>
  <c r="T144" i="40" s="1"/>
  <c r="JD58" i="24"/>
  <c r="GK56"/>
  <c r="GL56" s="1"/>
  <c r="JD56"/>
  <c r="GK54"/>
  <c r="GL54" s="1"/>
  <c r="V120" i="40"/>
  <c r="Y202"/>
  <c r="AD202"/>
  <c r="CM100" i="24"/>
  <c r="HG100"/>
  <c r="JE100"/>
  <c r="Y352" i="40" s="1"/>
  <c r="Z352" s="1"/>
  <c r="AF349"/>
  <c r="AA349"/>
  <c r="CO54" i="24"/>
  <c r="CE54"/>
  <c r="BY55"/>
  <c r="CD55"/>
  <c r="U126" i="40"/>
  <c r="CD56" i="24"/>
  <c r="BY56"/>
  <c r="U132" i="40"/>
  <c r="CO58" i="24"/>
  <c r="CE58"/>
  <c r="I29" i="33"/>
  <c r="H29"/>
  <c r="I26"/>
  <c r="H26"/>
  <c r="I31"/>
  <c r="H31"/>
  <c r="I27"/>
  <c r="H27"/>
  <c r="CO46" i="24"/>
  <c r="CE46"/>
  <c r="BY49"/>
  <c r="CD49"/>
  <c r="CO45"/>
  <c r="CE45"/>
  <c r="CD50"/>
  <c r="BY50"/>
  <c r="HG96"/>
  <c r="CM96"/>
  <c r="JE96"/>
  <c r="Y325" i="40" s="1"/>
  <c r="Z325" s="1"/>
  <c r="AF322"/>
  <c r="AA322"/>
  <c r="CB103" i="24"/>
  <c r="LA103" s="1"/>
  <c r="CB104"/>
  <c r="LA104" s="1"/>
  <c r="CB100"/>
  <c r="CB101"/>
  <c r="LA101" s="1"/>
  <c r="CB92"/>
  <c r="CB93"/>
  <c r="CB94"/>
  <c r="LA94" s="1"/>
  <c r="CB83"/>
  <c r="LA83" s="1"/>
  <c r="CB82"/>
  <c r="LA82" s="1"/>
  <c r="CC80"/>
  <c r="T241" i="40" s="1"/>
  <c r="GK80" i="24"/>
  <c r="GL80" s="1"/>
  <c r="JD80"/>
  <c r="V241" i="40"/>
  <c r="AD244"/>
  <c r="AE244" s="1"/>
  <c r="GK76" i="24"/>
  <c r="GL76" s="1"/>
  <c r="CC76"/>
  <c r="T227" i="40" s="1"/>
  <c r="JD76" i="24"/>
  <c r="V227" i="40"/>
  <c r="AD233"/>
  <c r="AE233" s="1"/>
  <c r="GK72" i="24"/>
  <c r="GL72" s="1"/>
  <c r="CC72"/>
  <c r="T202" i="40" s="1"/>
  <c r="JD72" i="24"/>
  <c r="V202" i="40"/>
  <c r="AD205"/>
  <c r="AE205" s="1"/>
  <c r="GK70" i="24"/>
  <c r="GL70" s="1"/>
  <c r="CC70"/>
  <c r="T186" i="40" s="1"/>
  <c r="JD70" i="24"/>
  <c r="V186" i="40"/>
  <c r="AD189"/>
  <c r="AE189" s="1"/>
  <c r="AD208"/>
  <c r="Y208"/>
  <c r="CM85" i="24"/>
  <c r="HG85"/>
  <c r="JE85"/>
  <c r="Y270" i="40" s="1"/>
  <c r="Z270" s="1"/>
  <c r="AF267"/>
  <c r="AA267"/>
  <c r="Y186"/>
  <c r="AD186"/>
  <c r="BY57" i="24"/>
  <c r="CD57"/>
  <c r="U138" i="40"/>
  <c r="CO59" i="24"/>
  <c r="CE59"/>
  <c r="BY48"/>
  <c r="CD48"/>
  <c r="CE51"/>
  <c r="CO51"/>
  <c r="BY47"/>
  <c r="CD47"/>
  <c r="HG88"/>
  <c r="CM88"/>
  <c r="JE88"/>
  <c r="Y282" i="40" s="1"/>
  <c r="Z282" s="1"/>
  <c r="AF279"/>
  <c r="AA279"/>
  <c r="CC59" i="24"/>
  <c r="T150" i="40" s="1"/>
  <c r="GK59" i="24"/>
  <c r="GL59" s="1"/>
  <c r="V150" i="40"/>
  <c r="JD59" i="24"/>
  <c r="GK57"/>
  <c r="GL57" s="1"/>
  <c r="CC57"/>
  <c r="T138" i="40" s="1"/>
  <c r="JD57" i="24"/>
  <c r="V138" i="40"/>
  <c r="GK55" i="24"/>
  <c r="GL55" s="1"/>
  <c r="CC55"/>
  <c r="T126" i="40" s="1"/>
  <c r="JD55" i="24"/>
  <c r="V126" i="40"/>
  <c r="AD129"/>
  <c r="AE129" s="1"/>
  <c r="HG75" i="24"/>
  <c r="CM75"/>
  <c r="AA220" i="40"/>
  <c r="JE75" i="24"/>
  <c r="Y223" i="40" s="1"/>
  <c r="Z223" s="1"/>
  <c r="AF220"/>
  <c r="BY54" i="24"/>
  <c r="CD54"/>
  <c r="U120" i="40"/>
  <c r="CO56" i="24"/>
  <c r="CE56"/>
  <c r="BY58"/>
  <c r="CD58"/>
  <c r="U144" i="40"/>
  <c r="I28" i="33"/>
  <c r="H28"/>
  <c r="I25"/>
  <c r="H25"/>
  <c r="I30"/>
  <c r="H30"/>
  <c r="I24"/>
  <c r="H24"/>
  <c r="CD46" i="24"/>
  <c r="BY46"/>
  <c r="CO49"/>
  <c r="CE49"/>
  <c r="BY45"/>
  <c r="CD45"/>
  <c r="CO50"/>
  <c r="CE50"/>
  <c r="AD175" i="40"/>
  <c r="Y175"/>
  <c r="CM93" i="24"/>
  <c r="HG93"/>
  <c r="JE93"/>
  <c r="Y313" i="40" s="1"/>
  <c r="Z313" s="1"/>
  <c r="AF310"/>
  <c r="AA310"/>
  <c r="CB88" i="24"/>
  <c r="CB90"/>
  <c r="LA90" s="1"/>
  <c r="CB89"/>
  <c r="LA89" s="1"/>
  <c r="CB96"/>
  <c r="CB98"/>
  <c r="LA98" s="1"/>
  <c r="CB97"/>
  <c r="LA97" s="1"/>
  <c r="CB86"/>
  <c r="LA86" s="1"/>
  <c r="CB85"/>
  <c r="CB74"/>
  <c r="LA74" s="1"/>
  <c r="CB75"/>
  <c r="LA75" s="1"/>
  <c r="GK64"/>
  <c r="GL64" s="1"/>
  <c r="CC64"/>
  <c r="T175" i="40" s="1"/>
  <c r="JD64" i="24"/>
  <c r="V175" i="40"/>
  <c r="AD178"/>
  <c r="AE178" s="1"/>
  <c r="CC73" i="24"/>
  <c r="T208" i="40" s="1"/>
  <c r="GK73" i="24"/>
  <c r="GL73" s="1"/>
  <c r="JD73"/>
  <c r="V208" i="40"/>
  <c r="AD211"/>
  <c r="AE211" s="1"/>
  <c r="CC71" i="24"/>
  <c r="T192" i="40" s="1"/>
  <c r="GK71" i="24"/>
  <c r="GL71" s="1"/>
  <c r="JD71"/>
  <c r="V192" i="40"/>
  <c r="AD195"/>
  <c r="AE195" s="1"/>
  <c r="AD192"/>
  <c r="Y192"/>
  <c r="CM92" i="24"/>
  <c r="HG92"/>
  <c r="JE92"/>
  <c r="Y307" i="40" s="1"/>
  <c r="Z307" s="1"/>
  <c r="AF304"/>
  <c r="AA304"/>
  <c r="KF75" i="24" l="1"/>
  <c r="KE75"/>
  <c r="KJ36"/>
  <c r="KP36" s="1"/>
  <c r="KY36" s="1"/>
  <c r="LA36" s="1"/>
  <c r="KJ92"/>
  <c r="KP92" s="1"/>
  <c r="KY92" s="1"/>
  <c r="LB92" s="1"/>
  <c r="AD307" i="40" s="1"/>
  <c r="AE307" s="1"/>
  <c r="KJ96" i="24"/>
  <c r="KP96" s="1"/>
  <c r="KY96" s="1"/>
  <c r="LB96" s="1"/>
  <c r="AD325" i="40" s="1"/>
  <c r="AE325" s="1"/>
  <c r="KJ100" i="24"/>
  <c r="KP100" s="1"/>
  <c r="KY100" s="1"/>
  <c r="LA100" s="1"/>
  <c r="KJ88"/>
  <c r="KP88" s="1"/>
  <c r="KY88" s="1"/>
  <c r="LB88" s="1"/>
  <c r="AD282" i="40" s="1"/>
  <c r="AE282" s="1"/>
  <c r="V132"/>
  <c r="CC56" i="24"/>
  <c r="T132" i="40" s="1"/>
  <c r="V115"/>
  <c r="KJ85" i="24"/>
  <c r="KP85" s="1"/>
  <c r="KY85" s="1"/>
  <c r="LB85" s="1"/>
  <c r="AD270" i="40" s="1"/>
  <c r="AE270" s="1"/>
  <c r="LB36" i="24"/>
  <c r="AD38" i="40" s="1"/>
  <c r="AE38" s="1"/>
  <c r="LA92" i="24"/>
  <c r="LA96"/>
  <c r="KJ93"/>
  <c r="KP93" s="1"/>
  <c r="KY93" s="1"/>
  <c r="JD54"/>
  <c r="V144" i="40"/>
  <c r="Y34"/>
  <c r="AD34"/>
  <c r="CC75" i="24"/>
  <c r="T220" i="40" s="1"/>
  <c r="GK75" i="24"/>
  <c r="GL75" s="1"/>
  <c r="V220" i="40"/>
  <c r="JD75" i="24"/>
  <c r="AD223" i="40"/>
  <c r="AE223" s="1"/>
  <c r="GK85" i="24"/>
  <c r="GL85" s="1"/>
  <c r="CC85"/>
  <c r="T267" i="40" s="1"/>
  <c r="JD85" i="24"/>
  <c r="V267" i="40"/>
  <c r="GK97" i="24"/>
  <c r="GL97" s="1"/>
  <c r="CC97"/>
  <c r="T328" i="40" s="1"/>
  <c r="AD331"/>
  <c r="AE331" s="1"/>
  <c r="JD97" i="24"/>
  <c r="V328" i="40"/>
  <c r="GK96" i="24"/>
  <c r="GL96" s="1"/>
  <c r="CC96"/>
  <c r="T322" i="40" s="1"/>
  <c r="JD96" i="24"/>
  <c r="V322" i="40"/>
  <c r="GK90" i="24"/>
  <c r="GL90" s="1"/>
  <c r="JD90"/>
  <c r="CC90"/>
  <c r="T291" i="40" s="1"/>
  <c r="AD294"/>
  <c r="AE294" s="1"/>
  <c r="V291"/>
  <c r="CJ56" i="24"/>
  <c r="CI56"/>
  <c r="Y220" i="40"/>
  <c r="AD220"/>
  <c r="Y279"/>
  <c r="AD279"/>
  <c r="CJ51" i="24"/>
  <c r="CI51"/>
  <c r="Y267" i="40"/>
  <c r="AD267"/>
  <c r="CC83" i="24"/>
  <c r="T261" i="40" s="1"/>
  <c r="GK83" i="24"/>
  <c r="GL83" s="1"/>
  <c r="JD83"/>
  <c r="V261" i="40"/>
  <c r="AD264"/>
  <c r="AE264" s="1"/>
  <c r="CC93" i="24"/>
  <c r="T310" i="40" s="1"/>
  <c r="GK93" i="24"/>
  <c r="GL93" s="1"/>
  <c r="JD93"/>
  <c r="V310" i="40"/>
  <c r="GK101" i="24"/>
  <c r="GL101" s="1"/>
  <c r="CC101"/>
  <c r="T355" i="40" s="1"/>
  <c r="AD358"/>
  <c r="AE358" s="1"/>
  <c r="JD101" i="24"/>
  <c r="V355" i="40"/>
  <c r="CC104" i="24"/>
  <c r="T367" i="40" s="1"/>
  <c r="GK104" i="24"/>
  <c r="GL104" s="1"/>
  <c r="AD370" i="40"/>
  <c r="AE370" s="1"/>
  <c r="JD104" i="24"/>
  <c r="V367" i="40"/>
  <c r="Y322"/>
  <c r="AD322"/>
  <c r="CJ47" i="24"/>
  <c r="CI47"/>
  <c r="CJ57"/>
  <c r="CI57"/>
  <c r="CI44"/>
  <c r="CJ44"/>
  <c r="AD304" i="40"/>
  <c r="Y304"/>
  <c r="GK74" i="24"/>
  <c r="GL74" s="1"/>
  <c r="CC74"/>
  <c r="T214" i="40" s="1"/>
  <c r="JD74" i="24"/>
  <c r="V214" i="40"/>
  <c r="AD217"/>
  <c r="AE217" s="1"/>
  <c r="CC86" i="24"/>
  <c r="T273" i="40" s="1"/>
  <c r="GK86" i="24"/>
  <c r="GL86" s="1"/>
  <c r="JD86"/>
  <c r="AD276" i="40"/>
  <c r="AE276" s="1"/>
  <c r="V273"/>
  <c r="CC98" i="24"/>
  <c r="T334" i="40" s="1"/>
  <c r="GK98" i="24"/>
  <c r="GL98" s="1"/>
  <c r="JD98"/>
  <c r="AD337" i="40"/>
  <c r="AE337" s="1"/>
  <c r="V334"/>
  <c r="CC89" i="24"/>
  <c r="T285" i="40" s="1"/>
  <c r="GK89" i="24"/>
  <c r="GL89" s="1"/>
  <c r="AD288" i="40"/>
  <c r="AE288" s="1"/>
  <c r="JD89" i="24"/>
  <c r="V285" i="40"/>
  <c r="CC88" i="24"/>
  <c r="T279" i="40" s="1"/>
  <c r="GK88" i="24"/>
  <c r="GL88" s="1"/>
  <c r="JD88"/>
  <c r="V279" i="40"/>
  <c r="Y310"/>
  <c r="AD310"/>
  <c r="CJ50" i="24"/>
  <c r="CI50"/>
  <c r="CJ49"/>
  <c r="CI49"/>
  <c r="BW44"/>
  <c r="BX44" s="1"/>
  <c r="CB44" s="1"/>
  <c r="J24" i="33"/>
  <c r="BW50" i="24"/>
  <c r="BX50" s="1"/>
  <c r="CB50" s="1"/>
  <c r="J30" i="33"/>
  <c r="BW45" i="24"/>
  <c r="BX45" s="1"/>
  <c r="CB45" s="1"/>
  <c r="J25" i="33"/>
  <c r="BW48" i="24"/>
  <c r="BX48" s="1"/>
  <c r="CB48" s="1"/>
  <c r="LA48" s="1"/>
  <c r="J28" i="33"/>
  <c r="CJ59" i="24"/>
  <c r="CI59"/>
  <c r="CC82"/>
  <c r="T255" i="40" s="1"/>
  <c r="GK82" i="24"/>
  <c r="GL82" s="1"/>
  <c r="JD82"/>
  <c r="AD258" i="40"/>
  <c r="AE258" s="1"/>
  <c r="V255"/>
  <c r="CC94" i="24"/>
  <c r="T316" i="40" s="1"/>
  <c r="GK94" i="24"/>
  <c r="GL94" s="1"/>
  <c r="JD94"/>
  <c r="V316" i="40"/>
  <c r="AD319"/>
  <c r="AE319" s="1"/>
  <c r="GK92" i="24"/>
  <c r="GL92" s="1"/>
  <c r="CC92"/>
  <c r="T304" i="40" s="1"/>
  <c r="JD92" i="24"/>
  <c r="V304" i="40"/>
  <c r="CC100" i="24"/>
  <c r="T349" i="40" s="1"/>
  <c r="GK100" i="24"/>
  <c r="GL100" s="1"/>
  <c r="JD100"/>
  <c r="V349" i="40"/>
  <c r="CC103" i="24"/>
  <c r="T361" i="40" s="1"/>
  <c r="GK103" i="24"/>
  <c r="GL103" s="1"/>
  <c r="AD364" i="40"/>
  <c r="AE364" s="1"/>
  <c r="JD103" i="24"/>
  <c r="V361" i="40"/>
  <c r="CJ45" i="24"/>
  <c r="CI45"/>
  <c r="CJ46"/>
  <c r="CI46"/>
  <c r="BW47"/>
  <c r="BX47" s="1"/>
  <c r="CB47" s="1"/>
  <c r="LA47" s="1"/>
  <c r="J27" i="33"/>
  <c r="BW51" i="24"/>
  <c r="BX51" s="1"/>
  <c r="CB51" s="1"/>
  <c r="J31" i="33"/>
  <c r="BW46" i="24"/>
  <c r="BX46" s="1"/>
  <c r="CB46" s="1"/>
  <c r="J26" i="33"/>
  <c r="BW49" i="24"/>
  <c r="BX49" s="1"/>
  <c r="CB49" s="1"/>
  <c r="LA49" s="1"/>
  <c r="J29" i="33"/>
  <c r="CJ58" i="24"/>
  <c r="CI58"/>
  <c r="CJ54"/>
  <c r="CI54"/>
  <c r="Y349" i="40"/>
  <c r="AD349"/>
  <c r="CJ48" i="24"/>
  <c r="CI48"/>
  <c r="CI53"/>
  <c r="CJ53"/>
  <c r="LB100" l="1"/>
  <c r="AD352" i="40" s="1"/>
  <c r="AE352" s="1"/>
  <c r="LA88" i="24"/>
  <c r="LA85"/>
  <c r="LB93"/>
  <c r="AD313" i="40" s="1"/>
  <c r="AE313" s="1"/>
  <c r="LA93" i="24"/>
  <c r="AE91" i="40"/>
  <c r="Z91"/>
  <c r="CK48" i="24"/>
  <c r="CL48" s="1"/>
  <c r="CN48"/>
  <c r="CN54"/>
  <c r="CK54"/>
  <c r="CL54" s="1"/>
  <c r="JW54" s="1"/>
  <c r="AE120" i="40"/>
  <c r="Z120"/>
  <c r="AE80"/>
  <c r="Z80"/>
  <c r="CK46" i="24"/>
  <c r="CN46"/>
  <c r="CL46"/>
  <c r="JW46" s="1"/>
  <c r="CN45"/>
  <c r="Z74" i="40"/>
  <c r="AE74"/>
  <c r="CK45" i="24"/>
  <c r="CL45" s="1"/>
  <c r="JW45" s="1"/>
  <c r="V91" i="40"/>
  <c r="CC48" i="24"/>
  <c r="T91" i="40" s="1"/>
  <c r="GK48" i="24"/>
  <c r="GL48" s="1"/>
  <c r="JD48"/>
  <c r="CC45"/>
  <c r="T74" i="40" s="1"/>
  <c r="V74"/>
  <c r="GK45" i="24"/>
  <c r="GL45" s="1"/>
  <c r="JD45"/>
  <c r="V101" i="40"/>
  <c r="GK50" i="24"/>
  <c r="GL50" s="1"/>
  <c r="CC50"/>
  <c r="T101" i="40" s="1"/>
  <c r="JD50" i="24"/>
  <c r="GK44"/>
  <c r="GL44" s="1"/>
  <c r="CC44"/>
  <c r="T68" i="40" s="1"/>
  <c r="V68"/>
  <c r="JD44" i="24"/>
  <c r="CN53"/>
  <c r="CK53"/>
  <c r="CL53" s="1"/>
  <c r="JW53" s="1"/>
  <c r="Z115" i="40"/>
  <c r="AE115"/>
  <c r="CC49" i="24"/>
  <c r="T96" i="40" s="1"/>
  <c r="V96"/>
  <c r="GK49" i="24"/>
  <c r="GL49" s="1"/>
  <c r="JD49"/>
  <c r="CC46"/>
  <c r="T80" i="40" s="1"/>
  <c r="GK46" i="24"/>
  <c r="GL46" s="1"/>
  <c r="V80" i="40"/>
  <c r="JD46" i="24"/>
  <c r="GK51"/>
  <c r="GL51" s="1"/>
  <c r="CC51"/>
  <c r="T106" i="40" s="1"/>
  <c r="JD51" i="24"/>
  <c r="V106" i="40"/>
  <c r="CC47" i="24"/>
  <c r="T86" i="40" s="1"/>
  <c r="GK47" i="24"/>
  <c r="GL47" s="1"/>
  <c r="V86" i="40"/>
  <c r="JD47" i="24"/>
  <c r="CK59"/>
  <c r="CL59" s="1"/>
  <c r="JW59" s="1"/>
  <c r="CN59"/>
  <c r="Z150" i="40"/>
  <c r="AE150"/>
  <c r="Z96"/>
  <c r="AE96"/>
  <c r="CK49" i="24"/>
  <c r="CL49" s="1"/>
  <c r="CN49"/>
  <c r="AE101" i="40"/>
  <c r="CK50" i="24"/>
  <c r="CL50" s="1"/>
  <c r="JW50" s="1"/>
  <c r="CN50"/>
  <c r="Z101" i="40"/>
  <c r="CK44" i="24"/>
  <c r="CN44"/>
  <c r="CL44"/>
  <c r="JW44" s="1"/>
  <c r="AE68" i="40"/>
  <c r="Z68"/>
  <c r="CN58" i="24"/>
  <c r="CK58"/>
  <c r="CL58" s="1"/>
  <c r="JW58" s="1"/>
  <c r="AE144" i="40"/>
  <c r="Z144"/>
  <c r="CN57" i="24"/>
  <c r="CK57"/>
  <c r="CL57" s="1"/>
  <c r="Z138" i="40"/>
  <c r="AE138"/>
  <c r="AE86"/>
  <c r="CK47" i="24"/>
  <c r="CL47" s="1"/>
  <c r="Z86" i="40"/>
  <c r="CN47" i="24"/>
  <c r="Z106" i="40"/>
  <c r="CN51" i="24"/>
  <c r="CK51"/>
  <c r="CL51" s="1"/>
  <c r="JW51" s="1"/>
  <c r="AE106" i="40"/>
  <c r="CN56" i="24"/>
  <c r="CK56"/>
  <c r="CL56" s="1"/>
  <c r="AE132" i="40"/>
  <c r="Z132"/>
  <c r="KF58" i="24" l="1"/>
  <c r="KE58"/>
  <c r="KF44"/>
  <c r="KE44"/>
  <c r="KF59"/>
  <c r="KE59"/>
  <c r="KE54"/>
  <c r="KF54"/>
  <c r="KE51"/>
  <c r="KF51"/>
  <c r="KF50"/>
  <c r="KE50"/>
  <c r="KF53"/>
  <c r="KE53"/>
  <c r="KE45"/>
  <c r="KF45"/>
  <c r="KF46"/>
  <c r="KE46"/>
  <c r="KJ46"/>
  <c r="KP46" s="1"/>
  <c r="KY46" s="1"/>
  <c r="JW48"/>
  <c r="LB48"/>
  <c r="AD94" i="40" s="1"/>
  <c r="AE94" s="1"/>
  <c r="JW56" i="24"/>
  <c r="LB56"/>
  <c r="AD135" i="40" s="1"/>
  <c r="AE135" s="1"/>
  <c r="JW47" i="24"/>
  <c r="LB47"/>
  <c r="AD89" i="40" s="1"/>
  <c r="AE89" s="1"/>
  <c r="JW57" i="24"/>
  <c r="LB57"/>
  <c r="JW49"/>
  <c r="LB49"/>
  <c r="AD99" i="40" s="1"/>
  <c r="AE99" s="1"/>
  <c r="CM49" i="24"/>
  <c r="AF96" i="40"/>
  <c r="AA96"/>
  <c r="JE49" i="24"/>
  <c r="Y99" i="40" s="1"/>
  <c r="Z99" s="1"/>
  <c r="AA91"/>
  <c r="AF91"/>
  <c r="CM48" i="24"/>
  <c r="HG48"/>
  <c r="JE48"/>
  <c r="Y94" i="40" s="1"/>
  <c r="Z94" s="1"/>
  <c r="CM56" i="24"/>
  <c r="AA132" i="40"/>
  <c r="HG56" i="24"/>
  <c r="JE56"/>
  <c r="Y135" i="40" s="1"/>
  <c r="Z135" s="1"/>
  <c r="AF132"/>
  <c r="AF86"/>
  <c r="CM47" i="24"/>
  <c r="AA86" i="40"/>
  <c r="HG47" i="24"/>
  <c r="JE47"/>
  <c r="Y89" i="40" s="1"/>
  <c r="Z89" s="1"/>
  <c r="CM57" i="24"/>
  <c r="JE57"/>
  <c r="Y141" i="40" s="1"/>
  <c r="Z141" s="1"/>
  <c r="AF138"/>
  <c r="AA138"/>
  <c r="AD141"/>
  <c r="AE141" s="1"/>
  <c r="CM58" i="24"/>
  <c r="AF144" i="40"/>
  <c r="HG58" i="24"/>
  <c r="JE58"/>
  <c r="Y147" i="40" s="1"/>
  <c r="Z147" s="1"/>
  <c r="AA144"/>
  <c r="CM44" i="24"/>
  <c r="AF68" i="40"/>
  <c r="AA68"/>
  <c r="HG44" i="24"/>
  <c r="JE44"/>
  <c r="Y71" i="40" s="1"/>
  <c r="Z71" s="1"/>
  <c r="CM53" i="24"/>
  <c r="HG53"/>
  <c r="JE53"/>
  <c r="Y118" i="40" s="1"/>
  <c r="Z118" s="1"/>
  <c r="AF115"/>
  <c r="AA115"/>
  <c r="CM45" i="24"/>
  <c r="AA74" i="40"/>
  <c r="AF74"/>
  <c r="HG45" i="24"/>
  <c r="JE45"/>
  <c r="Y77" i="40" s="1"/>
  <c r="Z77" s="1"/>
  <c r="AF80"/>
  <c r="AA80"/>
  <c r="CM46" i="24"/>
  <c r="HG46"/>
  <c r="JE46"/>
  <c r="Y83" i="40" s="1"/>
  <c r="Z83" s="1"/>
  <c r="AA106"/>
  <c r="AF106"/>
  <c r="CM51" i="24"/>
  <c r="HG51"/>
  <c r="JE51"/>
  <c r="Y109" i="40" s="1"/>
  <c r="Z109" s="1"/>
  <c r="AF101"/>
  <c r="AA101"/>
  <c r="CM50" i="24"/>
  <c r="HG50"/>
  <c r="JE50"/>
  <c r="Y104" i="40" s="1"/>
  <c r="Z104" s="1"/>
  <c r="CM59" i="24"/>
  <c r="JE59"/>
  <c r="Y153" i="40" s="1"/>
  <c r="Z153" s="1"/>
  <c r="AF150"/>
  <c r="AA150"/>
  <c r="CM54" i="24"/>
  <c r="JE54"/>
  <c r="Y123" i="40" s="1"/>
  <c r="Z123" s="1"/>
  <c r="AF120"/>
  <c r="HG54" i="24"/>
  <c r="AA120" i="40"/>
  <c r="KF49" i="24" l="1"/>
  <c r="KE49"/>
  <c r="KF57"/>
  <c r="KE57"/>
  <c r="KE47"/>
  <c r="KF47"/>
  <c r="KF56"/>
  <c r="KE56"/>
  <c r="KF48"/>
  <c r="KE48"/>
  <c r="KJ53"/>
  <c r="KP53" s="1"/>
  <c r="KY53" s="1"/>
  <c r="LB53" s="1"/>
  <c r="AD118" i="40" s="1"/>
  <c r="AE118" s="1"/>
  <c r="KJ51" i="24"/>
  <c r="KP51" s="1"/>
  <c r="KY51" s="1"/>
  <c r="LA51" s="1"/>
  <c r="KJ54"/>
  <c r="KP54" s="1"/>
  <c r="KY54" s="1"/>
  <c r="LA54" s="1"/>
  <c r="KJ59"/>
  <c r="KP59" s="1"/>
  <c r="KY59" s="1"/>
  <c r="LB59" s="1"/>
  <c r="AD153" i="40" s="1"/>
  <c r="AE153" s="1"/>
  <c r="KJ44" i="24"/>
  <c r="KP44" s="1"/>
  <c r="KY44" s="1"/>
  <c r="LA44" s="1"/>
  <c r="KJ58"/>
  <c r="KP58" s="1"/>
  <c r="KY58" s="1"/>
  <c r="LA58" s="1"/>
  <c r="LB54"/>
  <c r="AD123" i="40" s="1"/>
  <c r="AE123" s="1"/>
  <c r="LB44" i="24"/>
  <c r="AD71" i="40" s="1"/>
  <c r="AE71" s="1"/>
  <c r="LB46" i="24"/>
  <c r="AD83" i="40" s="1"/>
  <c r="AE83" s="1"/>
  <c r="LA46" i="24"/>
  <c r="LA53"/>
  <c r="LB51"/>
  <c r="AD109" i="40" s="1"/>
  <c r="AE109" s="1"/>
  <c r="KJ45" i="24"/>
  <c r="KP45" s="1"/>
  <c r="KY45" s="1"/>
  <c r="KJ50"/>
  <c r="KP50" s="1"/>
  <c r="KY50" s="1"/>
  <c r="AD138" i="40"/>
  <c r="Y138"/>
  <c r="AD132"/>
  <c r="Y132"/>
  <c r="Y91"/>
  <c r="AD91"/>
  <c r="AD120"/>
  <c r="Y120"/>
  <c r="Y150"/>
  <c r="AD150"/>
  <c r="Y101"/>
  <c r="AD101"/>
  <c r="AD106"/>
  <c r="Y106"/>
  <c r="Y80"/>
  <c r="AD80"/>
  <c r="Y74"/>
  <c r="AD74"/>
  <c r="Y115"/>
  <c r="AD115"/>
  <c r="Y68"/>
  <c r="AD68"/>
  <c r="AD144"/>
  <c r="Y144"/>
  <c r="AD86"/>
  <c r="Y86"/>
  <c r="Y96"/>
  <c r="AD96"/>
  <c r="LB58" i="24" l="1"/>
  <c r="AD147" i="40" s="1"/>
  <c r="AE147" s="1"/>
  <c r="LA59" i="24"/>
  <c r="LB45"/>
  <c r="AD77" i="40" s="1"/>
  <c r="AE77" s="1"/>
  <c r="LA45" i="24"/>
  <c r="LB50"/>
  <c r="AD104" i="40" s="1"/>
  <c r="AE104" s="1"/>
  <c r="LA50" i="24"/>
</calcChain>
</file>

<file path=xl/sharedStrings.xml><?xml version="1.0" encoding="utf-8"?>
<sst xmlns="http://schemas.openxmlformats.org/spreadsheetml/2006/main" count="13013" uniqueCount="2909">
  <si>
    <t>AEL of 0.15 non-ozone season average regardless of fuels burned</t>
  </si>
  <si>
    <t>Primary fuel (No. 6 residual oil) only. If other oil-fired is used a 0.200 lbs/MMBtu should be considered.</t>
  </si>
  <si>
    <t>Nat. Gas</t>
  </si>
  <si>
    <t>Primary fuel (No. 6 residual oil) only. If gas-fired is used a 0.200 lbs/MMBtu should be considered.</t>
  </si>
  <si>
    <t>FLER Primary Fuel</t>
  </si>
  <si>
    <t>FLER - Gas</t>
  </si>
  <si>
    <t>Front fired</t>
  </si>
  <si>
    <t>Cyclone boiler</t>
  </si>
  <si>
    <t>Tangential fired</t>
  </si>
  <si>
    <t>Carpenter, David M (603378) (Started Nov 17, 2008) </t>
  </si>
  <si>
    <t>McFalls, Lee E (1678) (Started Nov 17, 2008) </t>
  </si>
  <si>
    <t>Ross, Leslie E (1680) (Started Dec 28, 2009) </t>
  </si>
  <si>
    <t>FirstLight Power Resources (Operator)</t>
  </si>
  <si>
    <t>FirstLight Power Resources (Owner/Operator) </t>
  </si>
  <si>
    <t>Campbell, John P (603412) </t>
  </si>
  <si>
    <t>Donohue, James P (603193) </t>
  </si>
  <si>
    <t>3 </t>
  </si>
  <si>
    <t>Donohue, James P (603193) (Started Mar 12, 2009) </t>
  </si>
  <si>
    <t>Vodopivec, Cynthia (603383) (Started Mar 12, 2009) </t>
  </si>
  <si>
    <t>FirstLight Hydro Generating Company (Owner) (Started Oct 19, 2010) </t>
  </si>
  <si>
    <t>Padberg, Thomas (602103) (Started Oct 19, 2010) </t>
  </si>
  <si>
    <t>PPL Wallingford Energy, LLC (Owner/Operator) </t>
  </si>
  <si>
    <t>Murphy, Dennis J (1700) (Started Feb 20, 2008) </t>
  </si>
  <si>
    <t>Murphy, Dennis J (1700) </t>
  </si>
  <si>
    <t>Boyer, Linda A (500568) (Started Apr 09, 2009) </t>
  </si>
  <si>
    <t>Boyer, Linda A (500568) </t>
  </si>
  <si>
    <t>CT03 </t>
  </si>
  <si>
    <t>CT04 </t>
  </si>
  <si>
    <t>CT05 </t>
  </si>
  <si>
    <t>Waterbury Generation, LLC (Owner/Operator) </t>
  </si>
  <si>
    <t>McCandless, Timothy (605320) (Started May 21, 2009) </t>
  </si>
  <si>
    <t>Operating (Started 05/15/2009) </t>
  </si>
  <si>
    <t>Combustion turbine (Started May 15, 2009) </t>
  </si>
  <si>
    <t>McCandless, Timothy (605320) </t>
  </si>
  <si>
    <t>Donohue, James P (603193) (Started Oct 28, 2010) </t>
  </si>
  <si>
    <t>Waterside Power, LLC (Owner/Operator) </t>
  </si>
  <si>
    <t>DiCristofaro, Don C (602207) </t>
  </si>
  <si>
    <t>Roberts, Ken (3113) </t>
  </si>
  <si>
    <t>Water Injection </t>
  </si>
  <si>
    <t>Rodriguez, Raymond G (605453) (Started Nov 12, 2009) </t>
  </si>
  <si>
    <t>Dearing, David (605897) (Started Jul 26, 2010) </t>
  </si>
  <si>
    <t>Lydon, Matthew (500625) (Started Jul 26, 2010) </t>
  </si>
  <si>
    <t>16 </t>
  </si>
  <si>
    <t>Jul</t>
  </si>
  <si>
    <t>Operator's Capacity Factor</t>
  </si>
  <si>
    <t>Ozone Season Time</t>
  </si>
  <si>
    <t>Non-Ozone Season Time</t>
  </si>
  <si>
    <t>Fuel per Report</t>
  </si>
  <si>
    <t>Ultra low sulfur kerosene  oil (ULSD)</t>
  </si>
  <si>
    <t>FD10</t>
  </si>
  <si>
    <t>Unmanned unit, operated remotely</t>
  </si>
  <si>
    <t>CC10</t>
  </si>
  <si>
    <t>CC11</t>
  </si>
  <si>
    <t>CC12</t>
  </si>
  <si>
    <t>CC13</t>
  </si>
  <si>
    <t>CC14</t>
  </si>
  <si>
    <t>FT4-A9</t>
  </si>
  <si>
    <t>Jun</t>
  </si>
  <si>
    <t>Pratt &amp; Whitney FT4 Vintage A9</t>
  </si>
  <si>
    <t>PF Notes</t>
  </si>
  <si>
    <t>PFR Notes</t>
  </si>
  <si>
    <t>TT10</t>
  </si>
  <si>
    <t>Report Discrepency - Stack test rate of 0.68 MM/Btu and date Jun 17, 2010</t>
  </si>
  <si>
    <t>Report Discrepency - Stack test rate of 0.71 MM/Btu and date Jun 17, 2010</t>
  </si>
  <si>
    <t>DV10</t>
  </si>
  <si>
    <t>MD10</t>
  </si>
  <si>
    <t>Total Os+NOS</t>
  </si>
  <si>
    <t>$</t>
  </si>
  <si>
    <t>NH10</t>
  </si>
  <si>
    <t>Westinghouse</t>
  </si>
  <si>
    <t>W191</t>
  </si>
  <si>
    <t>Gas turbine</t>
  </si>
  <si>
    <t>Oct</t>
  </si>
  <si>
    <t>No.2 Oil</t>
  </si>
  <si>
    <t>Generator Name Plate Specifications</t>
  </si>
  <si>
    <t>14 MW</t>
  </si>
  <si>
    <t>17 MW</t>
  </si>
  <si>
    <t>Mar</t>
  </si>
  <si>
    <t>Changed ST rate to last test as of Feb 28, 2011</t>
  </si>
  <si>
    <t>General Electric 60 MVA Air Cooled Generator</t>
  </si>
  <si>
    <t>at 90ºF</t>
  </si>
  <si>
    <t>at 20ºF</t>
  </si>
  <si>
    <t>DV11</t>
  </si>
  <si>
    <t>DV12</t>
  </si>
  <si>
    <t>DV13</t>
  </si>
  <si>
    <t>DV14</t>
  </si>
  <si>
    <t>LM6000PA</t>
  </si>
  <si>
    <t>General Electric LM 6000 PA Dual Fuel</t>
  </si>
  <si>
    <t>Natural Gas and Ultra low sulfur kerosene  oil (ULSD)</t>
  </si>
  <si>
    <t>Primary Fuel</t>
  </si>
  <si>
    <t>Natural Gas</t>
  </si>
  <si>
    <t>0.130 to 0.171 lbs/MMBtu</t>
  </si>
  <si>
    <t>0.052 to 0.090 lbs/MMBtu</t>
  </si>
  <si>
    <t>HPWI</t>
  </si>
  <si>
    <t>PEMS</t>
  </si>
  <si>
    <t>0.7 to 1.4%</t>
  </si>
  <si>
    <t>General Motors EMD 3440 KVA</t>
  </si>
  <si>
    <t>MV10</t>
  </si>
  <si>
    <t>MV11</t>
  </si>
  <si>
    <t>Diesel Engine</t>
  </si>
  <si>
    <t>General Motors EMD 20-645-E4 Diesel Engine</t>
  </si>
  <si>
    <t>General Motors</t>
  </si>
  <si>
    <t>EMD 20-645-E4</t>
  </si>
  <si>
    <t>0.05% sulfur distillate oil</t>
  </si>
  <si>
    <t>Report Year</t>
  </si>
  <si>
    <t>Ozone-Season Operating Time</t>
  </si>
  <si>
    <t>Non-Ozone-Season Operating Time</t>
  </si>
  <si>
    <t xml:space="preserve">Heat Input </t>
  </si>
  <si>
    <t>Equipment Existing NOx Controls</t>
  </si>
  <si>
    <t>Devon Station</t>
  </si>
  <si>
    <t>Evaluate control technology options to reduce the current NOx level to 42 ppmvd at 15% oxygen (0.15 lbs/MMBtu)</t>
  </si>
  <si>
    <t>Used during peak energy demand periods</t>
  </si>
  <si>
    <t>Unit projected scheduled operation is for ISO-NE required DR</t>
  </si>
  <si>
    <t>No identical Units</t>
  </si>
  <si>
    <t>5 units on site for ISO-NE required DR</t>
  </si>
  <si>
    <t>Unit projected / scheduled operation is for ISO-NE required DR</t>
  </si>
  <si>
    <t>Four identical GE units and one P&amp;W (DV10) on site for ISO-NE required DR</t>
  </si>
  <si>
    <t>hrs</t>
  </si>
  <si>
    <t>tons/yr</t>
  </si>
  <si>
    <t>7 </t>
  </si>
  <si>
    <r>
      <t>SO</t>
    </r>
    <r>
      <rPr>
        <b/>
        <vertAlign val="subscript"/>
        <sz val="8"/>
        <color indexed="8"/>
        <rFont val="Arial"/>
        <family val="2"/>
      </rPr>
      <t>2</t>
    </r>
    <r>
      <rPr>
        <b/>
        <sz val="8"/>
        <color indexed="8"/>
        <rFont val="Arial"/>
        <family val="2"/>
      </rPr>
      <t xml:space="preserve"> Control(s)</t>
    </r>
  </si>
  <si>
    <t>PM Control(s)</t>
  </si>
  <si>
    <t>Electrostatic Precipitator </t>
  </si>
  <si>
    <t>Operator Name (Type)</t>
  </si>
  <si>
    <t>UNITA </t>
  </si>
  <si>
    <t>CS01 </t>
  </si>
  <si>
    <t>Steam Supply </t>
  </si>
  <si>
    <t>AES Corporation (Owner/Operator) </t>
  </si>
  <si>
    <t>Circulating fluidized bed boiler </t>
  </si>
  <si>
    <t>Coal </t>
  </si>
  <si>
    <t>Fluidized Bed Limestone Injection </t>
  </si>
  <si>
    <t>Other </t>
  </si>
  <si>
    <t>Baghouse </t>
  </si>
  <si>
    <t>UNITB </t>
  </si>
  <si>
    <t>AP-1 </t>
  </si>
  <si>
    <t>Connecticut Municipal Electric Energy Coop (Owner/Operator) </t>
  </si>
  <si>
    <t>Dry Low NOx Burners</t>
  </si>
  <si>
    <t>GT1 </t>
  </si>
  <si>
    <t>Algonquin Power Windsor Locks, LLC (Owner/Operator) </t>
  </si>
  <si>
    <t>Steam Injection </t>
  </si>
  <si>
    <t>Water Injection (Began Jun 01, 2008) </t>
  </si>
  <si>
    <t>BE1 </t>
  </si>
  <si>
    <t>Bridgeport Energy, LLC (Owner/Operator) </t>
  </si>
  <si>
    <t>BE2 </t>
  </si>
  <si>
    <t>BHB1 </t>
  </si>
  <si>
    <t>PSEG (Owner/Operator) (Started Jul 28, 2008) </t>
  </si>
  <si>
    <t>Cyclone boiler </t>
  </si>
  <si>
    <t>BHB2 </t>
  </si>
  <si>
    <t>PSEG Power Connecticut, LLC (Owner/Operator) (Started Oct 14, 2009) </t>
  </si>
  <si>
    <t>PSEG Power Connecticut, LLC (Owner/Operator) </t>
  </si>
  <si>
    <t>BHB3 </t>
  </si>
  <si>
    <t>Early Election </t>
  </si>
  <si>
    <t>Diesel Oil, Residual Oil </t>
  </si>
  <si>
    <t>Low NOx Burner Technology w/ Separated OFA </t>
  </si>
  <si>
    <t>BHB4 </t>
  </si>
  <si>
    <t>GT </t>
  </si>
  <si>
    <t>Capitol District Energy Center Cogeneration Assoc. (Owner)</t>
  </si>
  <si>
    <t>PurEnergy, LLC (Operator)</t>
  </si>
  <si>
    <t>PurEnergy, LLC (Operator) </t>
  </si>
  <si>
    <t>NON EGU </t>
  </si>
  <si>
    <t>Corrugated and Solid Fiber Box </t>
  </si>
  <si>
    <t>Cascades Boxboard Group - Connecticut LLC (Owner/Operator) </t>
  </si>
  <si>
    <t>Low NOx Burner Technology (Dry Bottom only) </t>
  </si>
  <si>
    <t>Water Injection (Began Jul 01, 2008) </t>
  </si>
  <si>
    <t>Operating (Started 06/16/2008) </t>
  </si>
  <si>
    <t>Combustion turbine (Started Jun 01, 2008) </t>
  </si>
  <si>
    <t>Water Injection (Began Jun 16, 2008) </t>
  </si>
  <si>
    <t>14 </t>
  </si>
  <si>
    <t>Operating (Started 06/19/2008) </t>
  </si>
  <si>
    <t>Water Injection (Began Jun 19, 2008) </t>
  </si>
  <si>
    <t>Devon Power, LLC (Owner/Operator) </t>
  </si>
  <si>
    <t>GenConn Devon LLC (Owner)</t>
  </si>
  <si>
    <t>Devon Power, LLC (Operator) </t>
  </si>
  <si>
    <t>Operating (Started 07/10/2010) </t>
  </si>
  <si>
    <t>Combustion turbine (Started Jul 10, 2010) </t>
  </si>
  <si>
    <t>Operating (Started 06/25/2010) </t>
  </si>
  <si>
    <t>Combustion turbine (Started Jun 25, 2010) </t>
  </si>
  <si>
    <t>17 </t>
  </si>
  <si>
    <t>Operating (Started 06/10/2010) </t>
  </si>
  <si>
    <t>Combustion turbine (Started Jun 10, 2010) </t>
  </si>
  <si>
    <t>18 </t>
  </si>
  <si>
    <t>Operating (Started 06/01/2010) </t>
  </si>
  <si>
    <t>Combustion turbine (Started Jun 01, 2010) </t>
  </si>
  <si>
    <t>B1 </t>
  </si>
  <si>
    <t>CS1 </t>
  </si>
  <si>
    <t>Stack Test</t>
  </si>
  <si>
    <t>CEM</t>
  </si>
  <si>
    <t>AEL per fuel</t>
  </si>
  <si>
    <t>Pratt &amp; Whitney FT4 Aeroderivative Gas Turbine</t>
  </si>
  <si>
    <t>POW Notes</t>
  </si>
  <si>
    <t>POS Notes</t>
  </si>
  <si>
    <t>Electric Machinery  21,875 MVA Generator (104ºF Rating)</t>
  </si>
  <si>
    <t>17-18 MW</t>
  </si>
  <si>
    <t>Exeter Energy Limited Partnership (Owner/Operator) (Started Feb 19, 2008) </t>
  </si>
  <si>
    <t>Other boiler </t>
  </si>
  <si>
    <t>Tire Derived Fuel </t>
  </si>
  <si>
    <t>Liquified Petroleum Gas </t>
  </si>
  <si>
    <t>Exeter Energy Limited Partnership (Owner/Operator) </t>
  </si>
  <si>
    <t>Stoker (Started Jan 07, 2009), Other boiler (Ended Jan 07, 2009) </t>
  </si>
  <si>
    <t>Stoker </t>
  </si>
  <si>
    <t>B2 </t>
  </si>
  <si>
    <t>LRG1 </t>
  </si>
  <si>
    <t>Lake Road Generating Company, LP (Owner/Operator) </t>
  </si>
  <si>
    <t>LRG2 </t>
  </si>
  <si>
    <t>LRG3 </t>
  </si>
  <si>
    <t>Middletown Power, LLC (Owner/Operator) (Started Apr 08, 2009) </t>
  </si>
  <si>
    <t>Middletown Power, LLC (Owner/Operator) </t>
  </si>
  <si>
    <t>Overfire Air </t>
  </si>
  <si>
    <t>Middletown Power, LLC (Owner/Operator) (Started Apr 07, 2009) </t>
  </si>
  <si>
    <t>Boucher, Mark (1767) (Started Dec 01, 2008) </t>
  </si>
  <si>
    <t>Walz, J Andrew (601597) (Started Dec 01, 2008) </t>
  </si>
  <si>
    <t>Boucher, Mark (1767) </t>
  </si>
  <si>
    <t>Walz, J Andrew (601597) </t>
  </si>
  <si>
    <t>Walz, J Andrew (601597) (Ended Nov 23, 2010) </t>
  </si>
  <si>
    <t>Scully, Maurice (603713) (Started Jan 30, 2009) </t>
  </si>
  <si>
    <t>Stern, Gabriel B (603714) (Started Jan 30, 2009) </t>
  </si>
  <si>
    <t>Scully, Maurice (603713) </t>
  </si>
  <si>
    <t>Stern, Gabriel B (603714) </t>
  </si>
  <si>
    <t>White, James A (1975) </t>
  </si>
  <si>
    <t>Klopp, John A (601697) </t>
  </si>
  <si>
    <t>Dodge, Vincent (2927) </t>
  </si>
  <si>
    <t>Callaghan, Daniel J (602048) (Started Dec 10, 2009) </t>
  </si>
  <si>
    <t>French, Kathy (605624) (Started Dec 10, 2009) </t>
  </si>
  <si>
    <t>Callaghan, Daniel J (602048) </t>
  </si>
  <si>
    <t>French, Kathy (605624) </t>
  </si>
  <si>
    <t>Parnell, Robert T (1436) (Started Mar 03, 2008) (Ended Jul 28, 2008)</t>
  </si>
  <si>
    <t>Wintermeyer, Karl (604377) (Started Jul 28, 2008) </t>
  </si>
  <si>
    <t>Stagliola, Michael (604005) (Started Oct 14, 2009) </t>
  </si>
  <si>
    <t>Bobenic, John (603678) </t>
  </si>
  <si>
    <t>Wilton, Heather (604203) (Started Jun 18, 2008) </t>
  </si>
  <si>
    <t>Wilton, Heather (604203) </t>
  </si>
  <si>
    <t>LaPorte, Michael (1354) </t>
  </si>
  <si>
    <t>Dickerson, James (603934) </t>
  </si>
  <si>
    <t>Levesque, Ghislain (605616) (Started Dec 01, 2009) </t>
  </si>
  <si>
    <t>Boudreault, Firmin (605617) (Started Dec 01, 2009) </t>
  </si>
  <si>
    <t>Levesque, Ghislain (605616) </t>
  </si>
  <si>
    <t>Boudreault, Firmin (605617) </t>
  </si>
  <si>
    <t>Ross, Leslie E (1680) (Started Nov 17, 2008) </t>
  </si>
  <si>
    <t>McFalls, Lee E (1678) </t>
  </si>
  <si>
    <t>Sound Shore Drive, Cos Cob</t>
  </si>
  <si>
    <t>River Road, Middletown</t>
  </si>
  <si>
    <t>Manresa island Avenue, South Norwalk</t>
  </si>
  <si>
    <t>Devon-11</t>
  </si>
  <si>
    <t>Naugatuck Avenue, Devon</t>
  </si>
  <si>
    <t>Lathrop Road, Uncasville</t>
  </si>
  <si>
    <t>Wycherley, Kenneth (604041) (Started Feb 19, 2008) </t>
  </si>
  <si>
    <t>Martin, Marsal (604847) (Started Dec 30, 2009) </t>
  </si>
  <si>
    <t>Harnsberger, Thomas M (605646) (Started Dec 30, 2009) </t>
  </si>
  <si>
    <t>Martin, Marsal (604847) </t>
  </si>
  <si>
    <t>Harnsberger, Thomas M (605646) </t>
  </si>
  <si>
    <t>Haley, Robert B (603503) </t>
  </si>
  <si>
    <t>Neil, John S (604756) (Started Dec 04, 2008) </t>
  </si>
  <si>
    <t>Neil, John S (604756) (Started Apr 01, 2009) </t>
  </si>
  <si>
    <t>Curtis, Christopher J (602681) (Started Sep 01, 2009) </t>
  </si>
  <si>
    <t>TA&amp;O</t>
  </si>
  <si>
    <t>Owner/Operator</t>
  </si>
  <si>
    <t>8298</t>
  </si>
  <si>
    <t>8298-01</t>
  </si>
  <si>
    <t>8300</t>
  </si>
  <si>
    <t>8300-01</t>
  </si>
  <si>
    <t>8300-02</t>
  </si>
  <si>
    <t>8300-03</t>
  </si>
  <si>
    <t>8300-04</t>
  </si>
  <si>
    <t>8300-05</t>
  </si>
  <si>
    <t>8300-06</t>
  </si>
  <si>
    <t>8300-07</t>
  </si>
  <si>
    <t>8300-08</t>
  </si>
  <si>
    <t>8300-09</t>
  </si>
  <si>
    <t>8300-10</t>
  </si>
  <si>
    <t>8300-11</t>
  </si>
  <si>
    <t>8300-12</t>
  </si>
  <si>
    <t>8300-13</t>
  </si>
  <si>
    <t>8300-14</t>
  </si>
  <si>
    <t>8300-15</t>
  </si>
  <si>
    <t>8300-16</t>
  </si>
  <si>
    <t>8300-17</t>
  </si>
  <si>
    <t>8301-01</t>
  </si>
  <si>
    <t>8302</t>
  </si>
  <si>
    <t>8302-01</t>
  </si>
  <si>
    <t>8302-02</t>
  </si>
  <si>
    <t>8302-03</t>
  </si>
  <si>
    <t>8302-04</t>
  </si>
  <si>
    <t>8302-05</t>
  </si>
  <si>
    <t>8302-06</t>
  </si>
  <si>
    <t>8302-07</t>
  </si>
  <si>
    <t>8302-08</t>
  </si>
  <si>
    <t>8303</t>
  </si>
  <si>
    <t>8303-01</t>
  </si>
  <si>
    <t>8304</t>
  </si>
  <si>
    <t>8304-01</t>
  </si>
  <si>
    <t>8305-01</t>
  </si>
  <si>
    <t>8305-02</t>
  </si>
  <si>
    <t>8305-03</t>
  </si>
  <si>
    <t>8306-01</t>
  </si>
  <si>
    <t>8306-02</t>
  </si>
  <si>
    <t>8306-03</t>
  </si>
  <si>
    <t>8306-04</t>
  </si>
  <si>
    <t>8306-05</t>
  </si>
  <si>
    <t>8306-06</t>
  </si>
  <si>
    <t>8306-07</t>
  </si>
  <si>
    <t>DEP Registration</t>
  </si>
  <si>
    <t>Nom. Power Capacity</t>
  </si>
  <si>
    <t>Unit ID per Operator</t>
  </si>
  <si>
    <t>BR10</t>
  </si>
  <si>
    <t>FT4-A8</t>
  </si>
  <si>
    <t>FT</t>
  </si>
  <si>
    <t>Remarks</t>
  </si>
  <si>
    <t>wrong Registration # on page 5</t>
  </si>
  <si>
    <t>ST Freq</t>
  </si>
  <si>
    <t>AEL non-ozone season</t>
  </si>
  <si>
    <t>NOx Controls 02</t>
  </si>
  <si>
    <t>Equipment Existing NOx Controls 02</t>
  </si>
  <si>
    <t>ISO-NE DR &amp; quick start testing - 3 hrs per season</t>
  </si>
  <si>
    <t>Curtis, Christopher J (602681) (Started Jun 21, 2010) </t>
  </si>
  <si>
    <t>Neil, John S (604756) (Started Jun 21, 2010) </t>
  </si>
  <si>
    <t>Carpenter, David M (603378) </t>
  </si>
  <si>
    <t>DesRoberts, David J (604509) (Started Apr 07, 2009) </t>
  </si>
  <si>
    <t>Owner Name (Type)</t>
  </si>
  <si>
    <t>TA&amp;O #</t>
  </si>
  <si>
    <t>Permit #</t>
  </si>
  <si>
    <t>Seq.</t>
  </si>
  <si>
    <t>Unit #</t>
  </si>
  <si>
    <t>NOx Controls 01</t>
  </si>
  <si>
    <t>PM Controls</t>
  </si>
  <si>
    <t>Seq</t>
  </si>
  <si>
    <t>South Meadow Station</t>
  </si>
  <si>
    <t>AES Thames</t>
  </si>
  <si>
    <t>Alfred L Pierce Generating Station</t>
  </si>
  <si>
    <t>Algonquin Power Windsor Locks, LLC</t>
  </si>
  <si>
    <t>Bridgeport Energy</t>
  </si>
  <si>
    <t>Bridgeport Harbor Station</t>
  </si>
  <si>
    <t>FirstLight</t>
  </si>
  <si>
    <t xml:space="preserve">Capitol District Energy </t>
  </si>
  <si>
    <t>Client/Seq/Town/Premises</t>
  </si>
  <si>
    <t>Owner per EPA Report</t>
  </si>
  <si>
    <t>Boston Post Road Branford</t>
  </si>
  <si>
    <t>Sound Shore Drive Greenwich</t>
  </si>
  <si>
    <t>Franklin Drive Torrington</t>
  </si>
  <si>
    <t>South Main Street Torrington</t>
  </si>
  <si>
    <t>Norwalk Harbor</t>
  </si>
  <si>
    <t>Capitol District Energy Center Cogeneration Assoc.</t>
  </si>
  <si>
    <t>Nominal BTU Capacity</t>
  </si>
  <si>
    <t>Capitol District Energy Center</t>
  </si>
  <si>
    <t>Cascades Boxboard Group-Connecticut LLC</t>
  </si>
  <si>
    <t>Cos Cob</t>
  </si>
  <si>
    <t>Devon</t>
  </si>
  <si>
    <t>Exeter Energy Limited Partnership</t>
  </si>
  <si>
    <t>Franklin Drive</t>
  </si>
  <si>
    <t>Lake Road Generating Company</t>
  </si>
  <si>
    <t>Milford Power Company LLC</t>
  </si>
  <si>
    <t>New Haven Harbor</t>
  </si>
  <si>
    <t>Norwalk Harbor Station</t>
  </si>
  <si>
    <t>Pfizer</t>
  </si>
  <si>
    <t>Pratt &amp; Whitney, East Hartford</t>
  </si>
  <si>
    <t>Torrington Terminal</t>
  </si>
  <si>
    <t>Tunnel</t>
  </si>
  <si>
    <t>Wallingford Energy, LLC</t>
  </si>
  <si>
    <t>Waterbury Generation</t>
  </si>
  <si>
    <t>Waterside Power, LLC</t>
  </si>
  <si>
    <t>Application EPA Designation</t>
  </si>
  <si>
    <t>CHP</t>
  </si>
  <si>
    <t>P-075-0064</t>
  </si>
  <si>
    <t>Owners Group</t>
  </si>
  <si>
    <t>Cogeneration Turbine</t>
  </si>
  <si>
    <t>Middletown-2</t>
  </si>
  <si>
    <t>Middletown-3</t>
  </si>
  <si>
    <t>Middletown-4</t>
  </si>
  <si>
    <t>Montville-5</t>
  </si>
  <si>
    <t>Montville-6</t>
  </si>
  <si>
    <t>Norwalk Harbor-1</t>
  </si>
  <si>
    <t>Norwalk Harbor-2</t>
  </si>
  <si>
    <t>R-104-0098</t>
  </si>
  <si>
    <t>R-104-0100</t>
  </si>
  <si>
    <t>P-104-0003</t>
  </si>
  <si>
    <t>R-107-0017</t>
  </si>
  <si>
    <t>R-107-0020</t>
  </si>
  <si>
    <t>R-137-0028</t>
  </si>
  <si>
    <t>R-137-0030</t>
  </si>
  <si>
    <t>Middletown Station</t>
  </si>
  <si>
    <t>Montville Station</t>
  </si>
  <si>
    <t>Unit ID per EPA</t>
  </si>
  <si>
    <t>TA&amp;O ID</t>
  </si>
  <si>
    <t>No.</t>
  </si>
  <si>
    <t>TAO #</t>
  </si>
  <si>
    <t>Model</t>
  </si>
  <si>
    <t>Pratt &amp; Whitney</t>
  </si>
  <si>
    <t>FT4-8</t>
  </si>
  <si>
    <t>Date of Mfg or Installation</t>
  </si>
  <si>
    <t>MW</t>
  </si>
  <si>
    <t>year</t>
  </si>
  <si>
    <t>month</t>
  </si>
  <si>
    <t>Jan</t>
  </si>
  <si>
    <t>Rev Date</t>
  </si>
  <si>
    <t>NOx</t>
  </si>
  <si>
    <t>CO</t>
  </si>
  <si>
    <t>Facility Location</t>
  </si>
  <si>
    <t>County</t>
  </si>
  <si>
    <t>Town</t>
  </si>
  <si>
    <t>Owner</t>
  </si>
  <si>
    <t>Contact Information</t>
  </si>
  <si>
    <t>Title</t>
  </si>
  <si>
    <t>Address</t>
  </si>
  <si>
    <t>Fax</t>
  </si>
  <si>
    <t>email</t>
  </si>
  <si>
    <t xml:space="preserve">Assessment Report </t>
  </si>
  <si>
    <t>Company Issuing Report</t>
  </si>
  <si>
    <t>Site</t>
  </si>
  <si>
    <t>First Light Power Resources</t>
  </si>
  <si>
    <t>TRC</t>
  </si>
  <si>
    <t>Date Prepared</t>
  </si>
  <si>
    <t>Revision No.</t>
  </si>
  <si>
    <t>Unit ID</t>
  </si>
  <si>
    <t>Notes</t>
  </si>
  <si>
    <t>Year</t>
  </si>
  <si>
    <t>MWe</t>
  </si>
  <si>
    <t>30% at peak load</t>
  </si>
  <si>
    <t>Efficiency</t>
  </si>
  <si>
    <t>%</t>
  </si>
  <si>
    <t>Operating Time</t>
  </si>
  <si>
    <t>Heat Input</t>
  </si>
  <si>
    <t>AEL</t>
  </si>
  <si>
    <t>015-0217-TV</t>
  </si>
  <si>
    <t>Bridgeport Harbor Station (BHS) Unit No. 4</t>
  </si>
  <si>
    <t>New Haven</t>
  </si>
  <si>
    <t>Bridgeport</t>
  </si>
  <si>
    <t>Bridgeport Harbor Station (BHS)</t>
  </si>
  <si>
    <t>1 Atlantic Street, 
Bridgeport, CT 06604</t>
  </si>
  <si>
    <t>PSEG Fossil LLC</t>
  </si>
  <si>
    <t>PSEG Power LLC</t>
  </si>
  <si>
    <t>Robert Silvestri</t>
  </si>
  <si>
    <t>(203) 551-6032</t>
  </si>
  <si>
    <t>Kerosene K1 (aviation fuel)
low sulfur max. 0.3% wdb</t>
  </si>
  <si>
    <t>EGU Manufacturer</t>
  </si>
  <si>
    <t>FT-4A-8LI</t>
  </si>
  <si>
    <t>Model Description</t>
  </si>
  <si>
    <t>Turbo-Jet combustion turbine</t>
  </si>
  <si>
    <t>Date Received By DEP</t>
  </si>
  <si>
    <t>Date Issued By DEP</t>
  </si>
  <si>
    <t>Hartford</t>
  </si>
  <si>
    <t>Capital District Energy Center - Cogeneration Plant</t>
  </si>
  <si>
    <t>Town Code</t>
  </si>
  <si>
    <t>490 Capitol Avenue, Hartford, CT 06106</t>
  </si>
  <si>
    <t>General Electric</t>
  </si>
  <si>
    <t>PG 6531</t>
  </si>
  <si>
    <t>Maxim Power (USA) Inc.</t>
  </si>
  <si>
    <t>Yr</t>
  </si>
  <si>
    <t>Ownership Starting Date</t>
  </si>
  <si>
    <t>Jamie Urquhart</t>
  </si>
  <si>
    <t>VP Operations</t>
  </si>
  <si>
    <t>year-round</t>
  </si>
  <si>
    <t>Boston Post Road Branford -10</t>
  </si>
  <si>
    <t>other oil</t>
  </si>
  <si>
    <t>Sound Shore Drive Greenwich-10</t>
  </si>
  <si>
    <t>R-067-0052</t>
  </si>
  <si>
    <t>R-067-0053</t>
  </si>
  <si>
    <t>R-067-0054</t>
  </si>
  <si>
    <t>Sound Shore Drive Greenwich-13</t>
  </si>
  <si>
    <t>Franklin Drive Torrington-10</t>
  </si>
  <si>
    <t>R-183-0049</t>
  </si>
  <si>
    <t>South Main Street Torrington-10</t>
  </si>
  <si>
    <t>R-183-0059</t>
  </si>
  <si>
    <t>Middletown-10</t>
  </si>
  <si>
    <t>R-105-0102</t>
  </si>
  <si>
    <t>Norwalk-10</t>
  </si>
  <si>
    <t>R-137-0032</t>
  </si>
  <si>
    <t>Devon-10</t>
  </si>
  <si>
    <t>R-105-0026</t>
  </si>
  <si>
    <t>P-105-0040</t>
  </si>
  <si>
    <t>P-105-0041</t>
  </si>
  <si>
    <t>P-105-0042</t>
  </si>
  <si>
    <t>P-105-0043</t>
  </si>
  <si>
    <t>Montville-10</t>
  </si>
  <si>
    <t>Montville-11</t>
  </si>
  <si>
    <t>NRG Energy, Inc</t>
  </si>
  <si>
    <t>other oil 
Natural Gas</t>
  </si>
  <si>
    <t>Branford</t>
  </si>
  <si>
    <t>Greenwich</t>
  </si>
  <si>
    <t>Torrington</t>
  </si>
  <si>
    <t>Montville</t>
  </si>
  <si>
    <t>8116B</t>
  </si>
  <si>
    <t>ppmvd</t>
  </si>
  <si>
    <t>lbs/MMBtu</t>
  </si>
  <si>
    <t>12A</t>
  </si>
  <si>
    <t>13A</t>
  </si>
  <si>
    <t>Stack Test Rate</t>
  </si>
  <si>
    <t>FLER</t>
  </si>
  <si>
    <t>lb/MMBtu</t>
  </si>
  <si>
    <t>11A</t>
  </si>
  <si>
    <t>11B</t>
  </si>
  <si>
    <t>12B</t>
  </si>
  <si>
    <t>13B</t>
  </si>
  <si>
    <t>14A</t>
  </si>
  <si>
    <t>14B</t>
  </si>
  <si>
    <t>One Corporate Center
20 Church St, Hartford CT 06103</t>
  </si>
  <si>
    <t>-</t>
  </si>
  <si>
    <t>Rolls Royce Turbine</t>
  </si>
  <si>
    <t>Norwich</t>
  </si>
  <si>
    <t>16 South Golden Street
Norwich, CT 06360</t>
  </si>
  <si>
    <t>General Manager</t>
  </si>
  <si>
    <t>Nat Gas</t>
  </si>
  <si>
    <t>Middletown</t>
  </si>
  <si>
    <t>Fairfield</t>
  </si>
  <si>
    <t>Litchfield</t>
  </si>
  <si>
    <t>Middlesex</t>
  </si>
  <si>
    <t>Milford</t>
  </si>
  <si>
    <t>New London</t>
  </si>
  <si>
    <t>South Meadows Jets</t>
  </si>
  <si>
    <t>Connecticut Resources Recovery Authority</t>
  </si>
  <si>
    <t>20 Reserve Rd Hartford, CT 06114</t>
  </si>
  <si>
    <t>Air Compliance Manager</t>
  </si>
  <si>
    <t>Contact Name</t>
  </si>
  <si>
    <t>Peter W. Egan</t>
  </si>
  <si>
    <t>Director of Environmental Affairs and Development</t>
  </si>
  <si>
    <t>(860) 757-7725</t>
  </si>
  <si>
    <t>Contact Phone</t>
  </si>
  <si>
    <t>Contact Title</t>
  </si>
  <si>
    <t>Project No.</t>
  </si>
  <si>
    <t>NU-SMEADOW-10-1</t>
  </si>
  <si>
    <t>Prepared By</t>
  </si>
  <si>
    <t>Combustion Components Associates, Inc. (CCA)</t>
  </si>
  <si>
    <t>TP4-2(A9) LF</t>
  </si>
  <si>
    <t>General Electric gas turbine, model PG 6531, with an in-line duct burner</t>
  </si>
  <si>
    <t>NRG Energy, Inc.</t>
  </si>
  <si>
    <t>Cynthia L. Karlic</t>
  </si>
  <si>
    <t>Regional Environmental Manager</t>
  </si>
  <si>
    <t>P.O. Box 1001
1866 River Rd, Middletown CT 06547</t>
  </si>
  <si>
    <t>Michael Stagliola</t>
  </si>
  <si>
    <t>Plant Manager, New England Stations</t>
  </si>
  <si>
    <t>Preston</t>
  </si>
  <si>
    <t>Preston, CT 06365</t>
  </si>
  <si>
    <t>Company's Official</t>
  </si>
  <si>
    <t>James A. Ginnetti</t>
  </si>
  <si>
    <t>VP Hydro &amp; Wind</t>
  </si>
  <si>
    <t>TRC staff</t>
  </si>
  <si>
    <t>Tunnel Road Preston 10</t>
  </si>
  <si>
    <t>CL&amp;P Tunnel Preston Substation</t>
  </si>
  <si>
    <t>Monitoring 
Controls</t>
  </si>
  <si>
    <t>8119A</t>
  </si>
  <si>
    <t>City of Norwich</t>
  </si>
  <si>
    <t>Norwich Public Untilities</t>
  </si>
  <si>
    <t>Page</t>
  </si>
  <si>
    <t>117-0265-TV</t>
  </si>
  <si>
    <t>New Haven Harbor Station (NHHS) - Auxiliary Boiler</t>
  </si>
  <si>
    <t>New Haven Harbor Station (NHHS)</t>
  </si>
  <si>
    <t>Utility Boiler</t>
  </si>
  <si>
    <t>MMBtu/hr</t>
  </si>
  <si>
    <t>1 Waterfront Street
New Haven, CT 06512</t>
  </si>
  <si>
    <t>year-round (providing aux. steam to NHHS)</t>
  </si>
  <si>
    <t>Bridgeport Harbor Station (BHS) Unit No. 2</t>
  </si>
  <si>
    <t>Bridgeport Harbor Station (BHS) Unit No. 3</t>
  </si>
  <si>
    <t>Aug</t>
  </si>
  <si>
    <t>Babcock and Wilcox</t>
  </si>
  <si>
    <t># 2 or #6 at startup
coal (in boiler) and coal &amp; #6 (in in-line heater)</t>
  </si>
  <si>
    <t>Other in-line unit</t>
  </si>
  <si>
    <t>Duct Burner</t>
  </si>
  <si>
    <t>NG</t>
  </si>
  <si>
    <t>I</t>
  </si>
  <si>
    <t>V</t>
  </si>
  <si>
    <t>2009 Operating Schedule</t>
  </si>
  <si>
    <t>2010-2009 average</t>
  </si>
  <si>
    <t>tons/unit</t>
  </si>
  <si>
    <t>48 hrs/year operation</t>
  </si>
  <si>
    <t xml:space="preserve"> </t>
  </si>
  <si>
    <t>South Meadows - Cost Analysis</t>
  </si>
  <si>
    <t>Project Management
PM (% TCC add)</t>
  </si>
  <si>
    <t>Project Management
PM (add to TCC)</t>
  </si>
  <si>
    <t>Cost Analysis not provided</t>
  </si>
  <si>
    <t>$$/MW Nom</t>
  </si>
  <si>
    <t>$/MW</t>
  </si>
  <si>
    <t>propane (NG) at startup
# 6 oil, max Sulfur 0.3% wdb (yielded NOx in excess)
# 2 oil, max Sulfur 0.3% wdb</t>
  </si>
  <si>
    <t>Stack Tests</t>
  </si>
  <si>
    <t>ESP for PM</t>
  </si>
  <si>
    <t>fuel flow</t>
  </si>
  <si>
    <t>residual oil-fired cyclone unit</t>
  </si>
  <si>
    <t>Unit Output</t>
  </si>
  <si>
    <t>CEMS for NOx, SO2 &amp; CO2
COMS for opacity</t>
  </si>
  <si>
    <t>tangentially fired dual-fuel boiler with in-line heater and dense pack turbine</t>
  </si>
  <si>
    <t>App. Remarks</t>
  </si>
  <si>
    <t>installed in 1968, reconverted to coal in 1984, currently configured to coal and # 6 oil</t>
  </si>
  <si>
    <t>in-line heater removes excess moisture from coal prior to combustion</t>
  </si>
  <si>
    <t>TV Permit No.</t>
  </si>
  <si>
    <t>TIV Permit No.</t>
  </si>
  <si>
    <t>CP/OP No. 117-0031</t>
  </si>
  <si>
    <t>117-001-TIV</t>
  </si>
  <si>
    <t>unit is not used to produce power for sale, ratherto provide auxiliarey steam for station use</t>
  </si>
  <si>
    <t>burning residual fuel and/or No. 2 oil and uses propane ignitors</t>
  </si>
  <si>
    <t>R-0162</t>
  </si>
  <si>
    <t>15-TIV-001</t>
  </si>
  <si>
    <t>8242
8253</t>
  </si>
  <si>
    <t># 2 at startup
residual oil</t>
  </si>
  <si>
    <t>burning residual oil and using #2 oil at startup</t>
  </si>
  <si>
    <t>TAO# 8242 - for CERC
TAO# 8253 - for DERC</t>
  </si>
  <si>
    <t>Combustion Engineering</t>
  </si>
  <si>
    <t>CP/OP No. 015-0089</t>
  </si>
  <si>
    <t>ESP &amp; Pulse-jet fabric filer bagouse (coal only) for PM
Activated Carbon Injection (coal only) - for Hg, 
LNB for NOx</t>
  </si>
  <si>
    <t>P-067-0098</t>
  </si>
  <si>
    <t>P-067-0097</t>
  </si>
  <si>
    <t>R-014-0008</t>
  </si>
  <si>
    <t>R-075-0264</t>
  </si>
  <si>
    <t>R-075-0265</t>
  </si>
  <si>
    <t>R-075-0266</t>
  </si>
  <si>
    <t>R-075-0267</t>
  </si>
  <si>
    <t>R-075-0260</t>
  </si>
  <si>
    <t>R-075-0261</t>
  </si>
  <si>
    <t>R-075-0262</t>
  </si>
  <si>
    <t>R-075-0263</t>
  </si>
  <si>
    <t>R-0166</t>
  </si>
  <si>
    <t>Kerosene K1 (aviation fuel Jet "A")
low sulfur max. 0.3% wdb</t>
  </si>
  <si>
    <t>burning waste aviation fuel</t>
  </si>
  <si>
    <t>TAO</t>
  </si>
  <si>
    <t>PSEG</t>
  </si>
  <si>
    <t>NRG</t>
  </si>
  <si>
    <t>Title V</t>
  </si>
  <si>
    <t>TRADING AGREEMENT and ORDER</t>
  </si>
  <si>
    <t>Trading Agreement &amp; Order No.</t>
  </si>
  <si>
    <t>Expiration Date</t>
  </si>
  <si>
    <t>Report Issued Y/N</t>
  </si>
  <si>
    <t>Prior TAO</t>
  </si>
  <si>
    <t>Prior TAO Issue Date</t>
  </si>
  <si>
    <t>Connecticut Town Numbers</t>
  </si>
  <si>
    <t>Town Name</t>
  </si>
  <si>
    <t>Air Bureau Town No.</t>
  </si>
  <si>
    <t>Andover</t>
  </si>
  <si>
    <t>Tolland</t>
  </si>
  <si>
    <t>Ansonia</t>
  </si>
  <si>
    <t>Ashford</t>
  </si>
  <si>
    <t>Windham</t>
  </si>
  <si>
    <t>Avon</t>
  </si>
  <si>
    <t>Barkhampsted</t>
  </si>
  <si>
    <t>Beacon Falls</t>
  </si>
  <si>
    <t>Berlin</t>
  </si>
  <si>
    <t>Bethany</t>
  </si>
  <si>
    <t>Bethel</t>
  </si>
  <si>
    <t>Bethlehem</t>
  </si>
  <si>
    <t>Bloomfield</t>
  </si>
  <si>
    <t>Bolton</t>
  </si>
  <si>
    <t>Bozrah</t>
  </si>
  <si>
    <t>Bridgewater</t>
  </si>
  <si>
    <t>Bristol</t>
  </si>
  <si>
    <t>Brookfield</t>
  </si>
  <si>
    <t>Brooklyn</t>
  </si>
  <si>
    <t>Burlington</t>
  </si>
  <si>
    <t>Canaan</t>
  </si>
  <si>
    <t>Canterbury</t>
  </si>
  <si>
    <t>Canton</t>
  </si>
  <si>
    <t>Chaplin</t>
  </si>
  <si>
    <t>Cheshire</t>
  </si>
  <si>
    <t>Chester</t>
  </si>
  <si>
    <t>Clinton</t>
  </si>
  <si>
    <t>Colchester</t>
  </si>
  <si>
    <t>Colebrook</t>
  </si>
  <si>
    <t>Columbia</t>
  </si>
  <si>
    <t>Cornwall</t>
  </si>
  <si>
    <t>Coventry</t>
  </si>
  <si>
    <t>Cromwell</t>
  </si>
  <si>
    <t>Danbury</t>
  </si>
  <si>
    <t>Darien</t>
  </si>
  <si>
    <t>Deep River</t>
  </si>
  <si>
    <t>Derby</t>
  </si>
  <si>
    <t>Durham</t>
  </si>
  <si>
    <t>Eastford</t>
  </si>
  <si>
    <t>East Granby</t>
  </si>
  <si>
    <t>East Haddam</t>
  </si>
  <si>
    <t>East Hampton</t>
  </si>
  <si>
    <t>East Hartford</t>
  </si>
  <si>
    <t>East Haven</t>
  </si>
  <si>
    <t>East Lyme</t>
  </si>
  <si>
    <t>Easton</t>
  </si>
  <si>
    <t>East Windsor</t>
  </si>
  <si>
    <t>Ellington</t>
  </si>
  <si>
    <t xml:space="preserve">Enfield </t>
  </si>
  <si>
    <t>Essex</t>
  </si>
  <si>
    <t>Farmington</t>
  </si>
  <si>
    <t>Franklin</t>
  </si>
  <si>
    <t>Glastonbury</t>
  </si>
  <si>
    <t>Goshen</t>
  </si>
  <si>
    <t>Granby</t>
  </si>
  <si>
    <t xml:space="preserve">Griswold </t>
  </si>
  <si>
    <t>Groton</t>
  </si>
  <si>
    <t>Guilford</t>
  </si>
  <si>
    <t>Haddam</t>
  </si>
  <si>
    <t>Hamden</t>
  </si>
  <si>
    <t>Hampton</t>
  </si>
  <si>
    <t>Hartland</t>
  </si>
  <si>
    <t>Harwinton</t>
  </si>
  <si>
    <t>Hebron</t>
  </si>
  <si>
    <t>Kent</t>
  </si>
  <si>
    <t>Killingly</t>
  </si>
  <si>
    <t>Killingworth</t>
  </si>
  <si>
    <t>Lebanon</t>
  </si>
  <si>
    <t>Ledyard</t>
  </si>
  <si>
    <t>Lisbon</t>
  </si>
  <si>
    <t>Lyme</t>
  </si>
  <si>
    <t>Madison</t>
  </si>
  <si>
    <t>Manchester</t>
  </si>
  <si>
    <t>Mansfield</t>
  </si>
  <si>
    <t>Marlborough</t>
  </si>
  <si>
    <t>Meriden</t>
  </si>
  <si>
    <t>Middlebury</t>
  </si>
  <si>
    <t>Middlefield</t>
  </si>
  <si>
    <t>Monroe</t>
  </si>
  <si>
    <t>Morris</t>
  </si>
  <si>
    <t>Naugatuck</t>
  </si>
  <si>
    <t>New Britain</t>
  </si>
  <si>
    <t>New Canaan</t>
  </si>
  <si>
    <t>New Fairfield</t>
  </si>
  <si>
    <t>New Hartford</t>
  </si>
  <si>
    <t>Newington</t>
  </si>
  <si>
    <t>New Milford</t>
  </si>
  <si>
    <t>Newtown</t>
  </si>
  <si>
    <t>Norfolk</t>
  </si>
  <si>
    <t>North Branford</t>
  </si>
  <si>
    <t>North Canaan</t>
  </si>
  <si>
    <t>North Haven</t>
  </si>
  <si>
    <t>North Stonington</t>
  </si>
  <si>
    <t>Norwalk</t>
  </si>
  <si>
    <t>Old Lyme</t>
  </si>
  <si>
    <t>Old Saybrook</t>
  </si>
  <si>
    <t>Orange</t>
  </si>
  <si>
    <t>Oxford</t>
  </si>
  <si>
    <t>Plainfield</t>
  </si>
  <si>
    <t>Plainville</t>
  </si>
  <si>
    <t>Plymouth</t>
  </si>
  <si>
    <t>Pomfret</t>
  </si>
  <si>
    <t>Portland</t>
  </si>
  <si>
    <t>Prospect</t>
  </si>
  <si>
    <t>Putnam</t>
  </si>
  <si>
    <t>Redding</t>
  </si>
  <si>
    <t>Ridgefield</t>
  </si>
  <si>
    <t>Rocky Hill</t>
  </si>
  <si>
    <t>Roxbury</t>
  </si>
  <si>
    <t>Salem</t>
  </si>
  <si>
    <t>Salisbury</t>
  </si>
  <si>
    <t>Scotland</t>
  </si>
  <si>
    <t>Seymour</t>
  </si>
  <si>
    <t>Sharon</t>
  </si>
  <si>
    <t>Shelton</t>
  </si>
  <si>
    <t>Sherman</t>
  </si>
  <si>
    <t>Simsbury</t>
  </si>
  <si>
    <t>Somers</t>
  </si>
  <si>
    <t>Southbury</t>
  </si>
  <si>
    <t>Southington</t>
  </si>
  <si>
    <t>South Windsor</t>
  </si>
  <si>
    <t>Sprague</t>
  </si>
  <si>
    <t>Stafford</t>
  </si>
  <si>
    <t>Stamford</t>
  </si>
  <si>
    <t>Sterling</t>
  </si>
  <si>
    <t>Stonington</t>
  </si>
  <si>
    <t>Stratford</t>
  </si>
  <si>
    <t>Suffield</t>
  </si>
  <si>
    <t>Thomaston</t>
  </si>
  <si>
    <t>Thompson</t>
  </si>
  <si>
    <t>Trumbull</t>
  </si>
  <si>
    <t>Union</t>
  </si>
  <si>
    <t>Vernon</t>
  </si>
  <si>
    <t>Voluntown</t>
  </si>
  <si>
    <t>Wallingford</t>
  </si>
  <si>
    <t>Warren</t>
  </si>
  <si>
    <t>Washington</t>
  </si>
  <si>
    <t>Waterbury</t>
  </si>
  <si>
    <t>Waterford</t>
  </si>
  <si>
    <t>Watertown</t>
  </si>
  <si>
    <t>Westbrook</t>
  </si>
  <si>
    <t>West Hartford</t>
  </si>
  <si>
    <t>West Haven</t>
  </si>
  <si>
    <t>Weston</t>
  </si>
  <si>
    <t>Westport</t>
  </si>
  <si>
    <t>Wethersfield</t>
  </si>
  <si>
    <t>Willington</t>
  </si>
  <si>
    <t>Wilton</t>
  </si>
  <si>
    <t>Winchester</t>
  </si>
  <si>
    <t>Windsor</t>
  </si>
  <si>
    <t>Windsor Locks</t>
  </si>
  <si>
    <t>Wolcott</t>
  </si>
  <si>
    <t>Woodbridge</t>
  </si>
  <si>
    <t>Woodbury</t>
  </si>
  <si>
    <t>Woodstock</t>
  </si>
  <si>
    <t>List No.</t>
  </si>
  <si>
    <t>Time to Expiration:</t>
  </si>
  <si>
    <t>Operator Name (Company)
TAO Respondent</t>
  </si>
  <si>
    <t>Ownership Starting Date (Year)</t>
  </si>
  <si>
    <t>Company Initials</t>
  </si>
  <si>
    <t>CDECCA</t>
  </si>
  <si>
    <t>Approving TAO Official and Title</t>
  </si>
  <si>
    <t>Name of Responsible Official and Title</t>
  </si>
  <si>
    <t>Telephone /Email</t>
  </si>
  <si>
    <t>Address:</t>
  </si>
  <si>
    <t>Premisses No.</t>
  </si>
  <si>
    <t>Title V Permit No.:</t>
  </si>
  <si>
    <t>Expiration:</t>
  </si>
  <si>
    <t>Yes</t>
  </si>
  <si>
    <t>Report Date:</t>
  </si>
  <si>
    <t>Unit No.</t>
  </si>
  <si>
    <t>Equipmet Type/Make</t>
  </si>
  <si>
    <t>Combustion Turbine</t>
  </si>
  <si>
    <t>Manufacturer:</t>
  </si>
  <si>
    <t>Model:</t>
  </si>
  <si>
    <t>075-0064</t>
  </si>
  <si>
    <t>Date of Installation:</t>
  </si>
  <si>
    <t>Estm Date of Installation</t>
  </si>
  <si>
    <t>Equipment Age:</t>
  </si>
  <si>
    <t>1 Atlantic Street, Bridgeport, CT 06604</t>
  </si>
  <si>
    <t>No</t>
  </si>
  <si>
    <t>Stakeholder Response Date</t>
  </si>
  <si>
    <t>Stakeholder Response Revised Date</t>
  </si>
  <si>
    <t>Date Received Rev By DEP</t>
  </si>
  <si>
    <t>NOx RACT Compliance</t>
  </si>
  <si>
    <t>Prior TA&amp;O No.</t>
  </si>
  <si>
    <t>Prior TA&amp;O Issue Date:</t>
  </si>
  <si>
    <t>Date Issued</t>
  </si>
  <si>
    <t>075-0252-TV</t>
  </si>
  <si>
    <t>Registration</t>
  </si>
  <si>
    <t>Title IV</t>
  </si>
  <si>
    <t>Client</t>
  </si>
  <si>
    <t>Sequence</t>
  </si>
  <si>
    <t>Operator (Company Name &amp; Initials)</t>
  </si>
  <si>
    <t>Reserve - Maxim Roads, Hartford</t>
  </si>
  <si>
    <t>Physical Address</t>
  </si>
  <si>
    <t>GEU-1</t>
  </si>
  <si>
    <t>CRRA</t>
  </si>
  <si>
    <t>100 Constitution Plaza, 6th Floor, Hartford, CT 06103</t>
  </si>
  <si>
    <t>Steven E. Yates</t>
  </si>
  <si>
    <t>Telephone/Fax</t>
  </si>
  <si>
    <t>Telephone</t>
  </si>
  <si>
    <t>(203) 268-3139</t>
  </si>
  <si>
    <t>(203) 261-7697</t>
  </si>
  <si>
    <t>Howard A.S. Brooks and Edmund Schindler</t>
  </si>
  <si>
    <t xml:space="preserve">Model Type </t>
  </si>
  <si>
    <t>TP</t>
  </si>
  <si>
    <t>RCSA</t>
  </si>
  <si>
    <t>22a-174-22c (CAIR)</t>
  </si>
  <si>
    <t>No (Identical) Emission Units</t>
  </si>
  <si>
    <t>Heat Input (MMBtu)</t>
  </si>
  <si>
    <t>Reported Annual Operating Time per unit</t>
  </si>
  <si>
    <t>NOx Emission</t>
  </si>
  <si>
    <t>NOx Emission Note</t>
  </si>
  <si>
    <t>Uncontrolled NOx rate</t>
  </si>
  <si>
    <t>Hours of Operation</t>
  </si>
  <si>
    <t>Very compact, congested if adding new NOx reducing technology. Additional real estate and extensive civil engineering work to re-arrange the site will be needed. Existence of high-voltage power lines limit the available space for new equipment.</t>
  </si>
  <si>
    <t>N/A</t>
  </si>
  <si>
    <t>Demineralized water is mixed with the fuel upstream of the combustor and the mixture is injected into the primary combustion zone. The peak flame temperature is lowered and as a result decreases the production of fuel bound NOx. Power output increases by 5%-7% with a decrease in efficiency of approximately 2%. A concern is the incresed emissions of CO and VOC. Additional controls (hence cost) may be needed to limit these emissions, if required.</t>
  </si>
  <si>
    <t>approx. 60%</t>
  </si>
  <si>
    <t>Required NOx reduction could be achieved</t>
  </si>
  <si>
    <t>Proved to be efficient</t>
  </si>
  <si>
    <t>would result a 52 ppm NOx</t>
  </si>
  <si>
    <t>May be considered</t>
  </si>
  <si>
    <t>Pending the economic and cost factors</t>
  </si>
  <si>
    <t>Equip. Life</t>
  </si>
  <si>
    <t>References</t>
  </si>
  <si>
    <t>Eng. Cosultant</t>
  </si>
  <si>
    <t>EGU Type</t>
  </si>
  <si>
    <t>Qty.</t>
  </si>
  <si>
    <t>EPA Ref</t>
  </si>
  <si>
    <t>Cost Analysis Factors</t>
  </si>
  <si>
    <t>Total Capital Cost Factors</t>
  </si>
  <si>
    <t>Capital Recovery Specifications</t>
  </si>
  <si>
    <t>Interest Rate</t>
  </si>
  <si>
    <t>NRG Report indicates 20%, but 33% was actually applied</t>
  </si>
  <si>
    <t>Unit Operation Time Applied</t>
  </si>
  <si>
    <t>Avg. 2009/2010</t>
  </si>
  <si>
    <t>Avg. 2009/2010 actual operation time</t>
  </si>
  <si>
    <t>NOx/MWh</t>
  </si>
  <si>
    <t>EPA - Alternatve Control Techniques Document - NOx Emissions from Stationary Gas Turbines, January 1993</t>
  </si>
  <si>
    <t>Contingency 10%</t>
  </si>
  <si>
    <t>Catalyst</t>
  </si>
  <si>
    <t>Cat Box Steel</t>
  </si>
  <si>
    <t>Cat Box Enclosure</t>
  </si>
  <si>
    <t>Fan Base Steel</t>
  </si>
  <si>
    <t>Duct supports</t>
  </si>
  <si>
    <t>Ductwork</t>
  </si>
  <si>
    <t>Insul and Cladding</t>
  </si>
  <si>
    <t>Fans</t>
  </si>
  <si>
    <t>Tank</t>
  </si>
  <si>
    <t>Dist Module</t>
  </si>
  <si>
    <t>Metering Skid</t>
  </si>
  <si>
    <t>Injectors</t>
  </si>
  <si>
    <t>Injector Retract</t>
  </si>
  <si>
    <t>Retract Panel</t>
  </si>
  <si>
    <t>Building</t>
  </si>
  <si>
    <t>Engineering</t>
  </si>
  <si>
    <t>Cont Panel</t>
  </si>
  <si>
    <t>HPWI System</t>
  </si>
  <si>
    <t>Engine Mods</t>
  </si>
  <si>
    <t>Controls Add</t>
  </si>
  <si>
    <t>Bldg x 4</t>
  </si>
  <si>
    <t>Demineralizer</t>
  </si>
  <si>
    <t>Coordination Eng 5%</t>
  </si>
  <si>
    <t>ProiectTotal</t>
  </si>
  <si>
    <t>Installation (Budget Quote)</t>
  </si>
  <si>
    <t>Installation (est)</t>
  </si>
  <si>
    <t>Project Total</t>
  </si>
  <si>
    <t>Total 1 Twin Pack</t>
  </si>
  <si>
    <t>Total 4 Twin Pack</t>
  </si>
  <si>
    <t>Contingency 
% vs Equip Cost</t>
  </si>
  <si>
    <t>[1]</t>
  </si>
  <si>
    <t>[2]</t>
  </si>
  <si>
    <t>[3]</t>
  </si>
  <si>
    <t>cummulative (direct+indirect) costs 
165% (HPWI) and 199% (SCR)</t>
  </si>
  <si>
    <t>CCA</t>
  </si>
  <si>
    <t>Inflation</t>
  </si>
  <si>
    <t>Description:</t>
  </si>
  <si>
    <t>Eight (four twin-packs) identical simple cycle gas turbine engine; two turbines per generator operating simultaneously, each turbine has its own stack</t>
  </si>
  <si>
    <t>Application</t>
  </si>
  <si>
    <t>46,000 kVA, 0.9 PF, 13,800 V, 3 Phase, 60 Hz</t>
  </si>
  <si>
    <t>Refer to:</t>
  </si>
  <si>
    <t>Single turbine within a twin pack module</t>
  </si>
  <si>
    <t>App. Notes</t>
  </si>
  <si>
    <t>Twin pack with two simple cycle turbines (A &amp; B) running simultaneously</t>
  </si>
  <si>
    <t>Secodary Fuel</t>
  </si>
  <si>
    <t>AFNotes</t>
  </si>
  <si>
    <t>Fuel Rate</t>
  </si>
  <si>
    <t>per TitleV Permit &amp; Operator's Report</t>
  </si>
  <si>
    <t>Note:</t>
  </si>
  <si>
    <t>units</t>
  </si>
  <si>
    <t>gal/hr</t>
  </si>
  <si>
    <t>Remark</t>
  </si>
  <si>
    <t>limited aftermarket suppliers of parts</t>
  </si>
  <si>
    <t>Emission Units Group ID</t>
  </si>
  <si>
    <t xml:space="preserve">per TitleV Permit </t>
  </si>
  <si>
    <t>PFHINotes</t>
  </si>
  <si>
    <t>per TA&amp;O</t>
  </si>
  <si>
    <t>SFuel Rate</t>
  </si>
  <si>
    <t>SFNotes</t>
  </si>
  <si>
    <t>SFHeat Input</t>
  </si>
  <si>
    <t>SFHI Notes</t>
  </si>
  <si>
    <t>other distillate oil</t>
  </si>
  <si>
    <t>Alternate Fuel</t>
  </si>
  <si>
    <t>AFuel Rate</t>
  </si>
  <si>
    <t>AFRNotes</t>
  </si>
  <si>
    <t>SFRNotes</t>
  </si>
  <si>
    <t>AFHeat Input</t>
  </si>
  <si>
    <t>AFHI Notes</t>
  </si>
  <si>
    <t>Stack Test Y/N</t>
  </si>
  <si>
    <t>Stack Test  Rate</t>
  </si>
  <si>
    <t>Date Last ST</t>
  </si>
  <si>
    <t>Date Next ST</t>
  </si>
  <si>
    <t>Full Load Emission Rate (FLER)</t>
  </si>
  <si>
    <t>Allowable Emission Limit (AEL)</t>
  </si>
  <si>
    <t>Re-sent modified</t>
  </si>
  <si>
    <t/>
  </si>
  <si>
    <t>Premises/Facility Name</t>
  </si>
  <si>
    <t>Client/Sequence/Town/Premises No's:</t>
  </si>
  <si>
    <t>Facility ID (ORISPL)</t>
  </si>
  <si>
    <t>Lowest target NOx AEL</t>
  </si>
  <si>
    <t>EGU</t>
  </si>
  <si>
    <t>No. of Months Reported</t>
  </si>
  <si>
    <t>NOx Tons</t>
  </si>
  <si>
    <t>CAIROS Max. Heat Input Capacity</t>
  </si>
  <si>
    <t>Unit CAIROS Emissions Report</t>
  </si>
  <si>
    <t>Facility Name</t>
  </si>
  <si>
    <t>Associated Stacks</t>
  </si>
  <si>
    <t># of Months Reported</t>
  </si>
  <si>
    <t>Gross Load (MWh)</t>
  </si>
  <si>
    <t>Heat Input (mmBtu)</t>
  </si>
  <si>
    <t>EGU/Non EGU</t>
  </si>
  <si>
    <t>Fuel Type(s) (Primary)</t>
  </si>
  <si>
    <t>Fuel Type(s) (Secondary)</t>
  </si>
  <si>
    <t>Maximum Heat Input Capacity</t>
  </si>
  <si>
    <t>11A </t>
  </si>
  <si>
    <t>12 </t>
  </si>
  <si>
    <t>6 </t>
  </si>
  <si>
    <t>EGU </t>
  </si>
  <si>
    <t>Diesel Oil </t>
  </si>
  <si>
    <t>11B </t>
  </si>
  <si>
    <t>12A </t>
  </si>
  <si>
    <t>11 </t>
  </si>
  <si>
    <t>12B </t>
  </si>
  <si>
    <t>13A </t>
  </si>
  <si>
    <t>13B </t>
  </si>
  <si>
    <t>14A </t>
  </si>
  <si>
    <t>14B </t>
  </si>
  <si>
    <t>Avg. NOx Rate (lb/mmBtu)</t>
  </si>
  <si>
    <t>EPA Reported Operating Time</t>
  </si>
  <si>
    <t>Report Objective:</t>
  </si>
  <si>
    <t>Evaluate control technology options to reduce the current NOx level from 130 ppm to between 25 and 50 ppmvd at 15% oxygen</t>
  </si>
  <si>
    <t>Equipment Use</t>
  </si>
  <si>
    <t>Modbus Modicon TSX Quantum per each EGU - for operation control</t>
  </si>
  <si>
    <t>Monitoring Controls</t>
  </si>
  <si>
    <t>Emergency and DR with black start capability, running at full load of 160 MW (40MW/EGU) for 48 hrs, plus any additional time required by ISO-NE</t>
  </si>
  <si>
    <t>None</t>
  </si>
  <si>
    <t>Site Utilities</t>
  </si>
  <si>
    <t>Dry Low NOx Combustor - DLNC</t>
  </si>
  <si>
    <t>Mfg</t>
  </si>
  <si>
    <t>Kerosene A, #2 and other oils</t>
  </si>
  <si>
    <t>Age</t>
  </si>
  <si>
    <t>MMBtu</t>
  </si>
  <si>
    <t>hrs/yr</t>
  </si>
  <si>
    <t>yrs</t>
  </si>
  <si>
    <t>Lost Revenue</t>
  </si>
  <si>
    <t>Arrangement</t>
  </si>
  <si>
    <t>Limited aftermarket suppliers of parts</t>
  </si>
  <si>
    <t>Notes:</t>
  </si>
  <si>
    <t>Fuel(s) 
per TA&amp;O and Permit</t>
  </si>
  <si>
    <t>Power Capacity</t>
  </si>
  <si>
    <t>Emissions Tests</t>
  </si>
  <si>
    <t>During ozone season only</t>
  </si>
  <si>
    <t>Availability</t>
  </si>
  <si>
    <t>Your query will return data for 27 facilities and 68 units.</t>
  </si>
  <si>
    <r>
      <t xml:space="preserve">You specified: </t>
    </r>
    <r>
      <rPr>
        <b/>
        <sz val="8"/>
        <color indexed="8"/>
        <rFont val="Arial"/>
        <family val="2"/>
      </rPr>
      <t>Year(s):</t>
    </r>
    <r>
      <rPr>
        <sz val="8"/>
        <color indexed="8"/>
        <rFont val="Arial"/>
        <family val="2"/>
      </rPr>
      <t xml:space="preserve"> 2010,2009,2008 </t>
    </r>
    <r>
      <rPr>
        <b/>
        <sz val="8"/>
        <color indexed="8"/>
        <rFont val="Arial"/>
        <family val="2"/>
      </rPr>
      <t>Program:</t>
    </r>
    <r>
      <rPr>
        <sz val="8"/>
        <color indexed="8"/>
        <rFont val="Arial"/>
        <family val="2"/>
      </rPr>
      <t xml:space="preserve"> CAIROS </t>
    </r>
    <r>
      <rPr>
        <b/>
        <sz val="8"/>
        <color indexed="8"/>
        <rFont val="Arial"/>
        <family val="2"/>
      </rPr>
      <t>State(s):</t>
    </r>
    <r>
      <rPr>
        <sz val="8"/>
        <color indexed="8"/>
        <rFont val="Arial"/>
        <family val="2"/>
      </rPr>
      <t xml:space="preserve"> CT</t>
    </r>
  </si>
  <si>
    <t>Steam Load (1000 lb)</t>
  </si>
  <si>
    <t>SIC Code</t>
  </si>
  <si>
    <t>SIC Code Description</t>
  </si>
  <si>
    <t>Representative (Primary)</t>
  </si>
  <si>
    <t>Representative (Alternate)</t>
  </si>
  <si>
    <r>
      <t>NO</t>
    </r>
    <r>
      <rPr>
        <b/>
        <vertAlign val="subscript"/>
        <sz val="8"/>
        <color indexed="8"/>
        <rFont val="Arial"/>
        <family val="2"/>
      </rPr>
      <t>x</t>
    </r>
    <r>
      <rPr>
        <b/>
        <sz val="8"/>
        <color indexed="8"/>
        <rFont val="Arial"/>
        <family val="2"/>
      </rPr>
      <t xml:space="preserve"> Phase</t>
    </r>
  </si>
  <si>
    <t>Operating Status</t>
  </si>
  <si>
    <t>Unit Type</t>
  </si>
  <si>
    <t>4 </t>
  </si>
  <si>
    <t>Electric Services </t>
  </si>
  <si>
    <t>NRG Energy, Inc (Operator)</t>
  </si>
  <si>
    <t>Middletown Power, LLC (Owner) </t>
  </si>
  <si>
    <t>DesRoberts, David J (604509) </t>
  </si>
  <si>
    <t>McFalls, Lee E (1678) (Started Feb 26, 2010) </t>
  </si>
  <si>
    <t>Operating </t>
  </si>
  <si>
    <t>Tangentially-fired </t>
  </si>
  <si>
    <t>Residual Oil </t>
  </si>
  <si>
    <t>CT01 </t>
  </si>
  <si>
    <t>Milford Power Company, LLC (Owner/Operator) </t>
  </si>
  <si>
    <t>Cartney, Michael E (1384) </t>
  </si>
  <si>
    <t>Favinger, Thomas G (603710) </t>
  </si>
  <si>
    <t>Combined cycle </t>
  </si>
  <si>
    <t>Pipeline Natural Gas </t>
  </si>
  <si>
    <t>Water Injection</t>
  </si>
  <si>
    <t>Selective Catalytic Reduction </t>
  </si>
  <si>
    <t>CT02 </t>
  </si>
  <si>
    <t>5 </t>
  </si>
  <si>
    <t>Montville Power, LLC (Owner/Operator) </t>
  </si>
  <si>
    <t>DesRoberts, David J (604509) (Started Sep 23, 2008) </t>
  </si>
  <si>
    <t>McFalls, Lee E (1678) (Started Sep 23, 2008) </t>
  </si>
  <si>
    <t>Ariagno, Leonard J (646) (Started Nov 20, 2009) </t>
  </si>
  <si>
    <t>NHB1 </t>
  </si>
  <si>
    <t>PSEG (Owner/Operator) </t>
  </si>
  <si>
    <t>Packer, Larry (603648) </t>
  </si>
  <si>
    <t>Strickland, Mark F (603622) </t>
  </si>
  <si>
    <t>Diesel Oil, Pipeline Natural Gas </t>
  </si>
  <si>
    <t>Stagliola, Michael (604005) (Started Oct 09, 2009) </t>
  </si>
  <si>
    <t>Stagliola, Michael (604005) </t>
  </si>
  <si>
    <t>1 </t>
  </si>
  <si>
    <t>CS0001 </t>
  </si>
  <si>
    <t>Norwalk Power, LLC (Owner/Operator) </t>
  </si>
  <si>
    <t>Ross, Leslie E (1680) </t>
  </si>
  <si>
    <t>McFalls, Lee E (1678) (Started May 06, 2008) </t>
  </si>
  <si>
    <t>Selective Non-catalytic Reduction </t>
  </si>
  <si>
    <t>DesRoberts, David J (604509) (Started Dec 28, 2009) </t>
  </si>
  <si>
    <t>10 </t>
  </si>
  <si>
    <t>8 </t>
  </si>
  <si>
    <t>Other turbine </t>
  </si>
  <si>
    <t>Other Oil </t>
  </si>
  <si>
    <t>13 </t>
  </si>
  <si>
    <t>2 </t>
  </si>
  <si>
    <t>TRBINE </t>
  </si>
  <si>
    <t>Norwich Public Utilities (Owner/Operator) </t>
  </si>
  <si>
    <t>LaRose, Christopher (2835) (Started Oct 24, 2008) </t>
  </si>
  <si>
    <t>Greene, Mark (601662) (Started Oct 24, 2008) </t>
  </si>
  <si>
    <t>Combustion turbine </t>
  </si>
  <si>
    <t>15 </t>
  </si>
  <si>
    <t>LaRose, Christopher (2835) </t>
  </si>
  <si>
    <t>Greene, Mark (601662) </t>
  </si>
  <si>
    <t>Pharmaceutical Preparations </t>
  </si>
  <si>
    <t>Pfizer, Inc. (Owner/Operator) </t>
  </si>
  <si>
    <t>Smith, Scott W (602520) </t>
  </si>
  <si>
    <t>O'Connor, Steven J (603966) (Started Feb 11, 2008) </t>
  </si>
  <si>
    <t>Dry bottom wall-fired boiler </t>
  </si>
  <si>
    <t>O'Connor, Steven J (603966) </t>
  </si>
  <si>
    <t>Operating (Retired 09/30/2008) </t>
  </si>
  <si>
    <t>001 </t>
  </si>
  <si>
    <t>Turbines and Turbine Generator </t>
  </si>
  <si>
    <t>P&amp;W, Division of United Technologies (Owner/Operator) </t>
  </si>
  <si>
    <t>Russell, David M (602966) </t>
  </si>
  <si>
    <t>Quattrocchi, Louis (604242) (Started Jul 23, 2008) </t>
  </si>
  <si>
    <t>Wyman, Kip (601544) (Started May 28, 2009) </t>
  </si>
  <si>
    <t>Wyman, Kip (601544) </t>
  </si>
  <si>
    <t>Connecticut Resources Recovery (Owner/Operator) </t>
  </si>
  <si>
    <t>Egan, Peter (2263) </t>
  </si>
  <si>
    <t>Yates, Steven (2264) </t>
  </si>
  <si>
    <t>Connecticut Jet Power, LLC (Owner/Operator) </t>
  </si>
  <si>
    <t>Date of Mfg</t>
  </si>
  <si>
    <t>Secondary Fuel</t>
  </si>
  <si>
    <t># 2 Fuel Oil, low Sulfur</t>
  </si>
  <si>
    <t>Existing NOx Controls</t>
  </si>
  <si>
    <t>ton/yr</t>
  </si>
  <si>
    <t>Controlled NOx Rate</t>
  </si>
  <si>
    <t>Direct Inst. Cost</t>
  </si>
  <si>
    <t>Indirect Cost</t>
  </si>
  <si>
    <t>Contingency</t>
  </si>
  <si>
    <t>Avg Op. Time/yr</t>
  </si>
  <si>
    <t>ID</t>
  </si>
  <si>
    <t>MD3 </t>
  </si>
  <si>
    <t>MD4 </t>
  </si>
  <si>
    <t>MV5 </t>
  </si>
  <si>
    <t>MV6 </t>
  </si>
  <si>
    <t>NH1 </t>
  </si>
  <si>
    <t>NH2 </t>
  </si>
  <si>
    <t>SCR</t>
  </si>
  <si>
    <t>CRF</t>
  </si>
  <si>
    <t>Site Name</t>
  </si>
  <si>
    <t>Total Capital Cost (TCC)</t>
  </si>
  <si>
    <t>Tons/Yr
Calculated</t>
  </si>
  <si>
    <t>G&amp;A Taxes</t>
  </si>
  <si>
    <t>TCC</t>
  </si>
  <si>
    <t>Facility Total Power Installed</t>
  </si>
  <si>
    <t xml:space="preserve">No. 6
No. 2 </t>
  </si>
  <si>
    <t>No. 6 oil</t>
  </si>
  <si>
    <t>for ignition only (per operator)</t>
  </si>
  <si>
    <t>AEL Notes</t>
  </si>
  <si>
    <t>AEL non-ozone season - Notes</t>
  </si>
  <si>
    <t>regardless of fuels burned</t>
  </si>
  <si>
    <t>OP Hours vs EPA</t>
  </si>
  <si>
    <t>Heat Input Notes</t>
  </si>
  <si>
    <t>MWH Generated</t>
  </si>
  <si>
    <t>MWH Generated Notes</t>
  </si>
  <si>
    <t>General Electric Steam Turbine</t>
  </si>
  <si>
    <t>Combustion Engineering Tangential Fired No. 6 Oil</t>
  </si>
  <si>
    <t>Riley</t>
  </si>
  <si>
    <t>Front Fired Riley boiler</t>
  </si>
  <si>
    <t>B&amp;W Cyclone Boiler</t>
  </si>
  <si>
    <t xml:space="preserve">Combustion Engineering Tangential Fired </t>
  </si>
  <si>
    <t>No. 6
No. 2</t>
  </si>
  <si>
    <t>No. 6
Nat Gas</t>
  </si>
  <si>
    <t>No. 6, No. 2, 
Nat Gas</t>
  </si>
  <si>
    <t>No. 6             
No. 2</t>
  </si>
  <si>
    <t>50 hrs/yr operation</t>
  </si>
  <si>
    <t>50 hrs/year operation</t>
  </si>
  <si>
    <t>Nom BTU/hr Capacity</t>
  </si>
  <si>
    <t>No. 2 oil</t>
  </si>
  <si>
    <t>not provided</t>
  </si>
  <si>
    <t>Selective Catalytic Reduction (SCR)</t>
  </si>
  <si>
    <t>High Pressure Water Injection (HPWI)</t>
  </si>
  <si>
    <t>HPWI + Ultra Low Sulfur Fuel</t>
  </si>
  <si>
    <t>Fuel (s)</t>
  </si>
  <si>
    <t>SCR + HPWI + CO Catalyst + Dual Fuel</t>
  </si>
  <si>
    <t>5 ppmvd - 4.46 ton/yr NOx reduction</t>
  </si>
  <si>
    <t>(Natural Gas with Oil backup)</t>
  </si>
  <si>
    <t>SCR + HPWI + CO Catalyst</t>
  </si>
  <si>
    <t>(Primary fuel Oil - Kerosene K1)</t>
  </si>
  <si>
    <t>10 ppmvd - 4.33 ton/yr NOx reduction</t>
  </si>
  <si>
    <t>25 ppmvd - 3.96 ton/yr NOx reduction</t>
  </si>
  <si>
    <t>LM2500 - new oil fired GE turbine</t>
  </si>
  <si>
    <t>LM2500 DLE - new gas fired GE turbine</t>
  </si>
  <si>
    <t>25 ppmvd - 3.97 ton/yr NOx reduction</t>
  </si>
  <si>
    <t>42 ppmvd - 3.55 ton/yr NOx reduction</t>
  </si>
  <si>
    <t>HPWI with Cookie Cutter Air Deflectors</t>
  </si>
  <si>
    <t>SCR + HPWI + Dual Fuel</t>
  </si>
  <si>
    <t>(Primary fuel No. 2 oil)</t>
  </si>
  <si>
    <t>SCR + Water Injection (HPWI)</t>
  </si>
  <si>
    <t>6 ppmvd - 2.62 ton/yr NOx reduction</t>
  </si>
  <si>
    <t>9 ppmvd - 2.56 ton/yr NOx reduction</t>
  </si>
  <si>
    <t>15 ppmvd - 2.45 ton/yr NOx reduction</t>
  </si>
  <si>
    <t>25 ppmvd - 2.24 ton/yr NOx reduction</t>
  </si>
  <si>
    <t>47 ppmvd - 1.81 ton/yr NOx reduction</t>
  </si>
  <si>
    <t>Solar Tital 130 - new dual fuel w/ SoLoNOx</t>
  </si>
  <si>
    <t>Jet Fuel A (Kerosene K1)</t>
  </si>
  <si>
    <t>η ≈ 40% to 70% - 75 ppmvd NOx rate</t>
  </si>
  <si>
    <t>η ≈ 90% - 25 ppmvd NOx rate</t>
  </si>
  <si>
    <t>NOx Control Technology Option Name</t>
  </si>
  <si>
    <t>Rotating Opposed Fire Air (ROFA)</t>
  </si>
  <si>
    <t>Separated Overfired Air / High Energy Reagent Technology (SOFA/HERT)</t>
  </si>
  <si>
    <t>TURBINES</t>
  </si>
  <si>
    <t>DIESEL ENGINES</t>
  </si>
  <si>
    <t>UTILITY BOLIERS</t>
  </si>
  <si>
    <t>Close Coupled Over Fire Air (CCOFA)</t>
  </si>
  <si>
    <t>Flue Gas Recirculation (FGR)</t>
  </si>
  <si>
    <t>Low NOx Burners (LNB)</t>
  </si>
  <si>
    <t>[4]</t>
  </si>
  <si>
    <t>50 hrs</t>
  </si>
  <si>
    <t>not included</t>
  </si>
  <si>
    <t>report not provided</t>
  </si>
  <si>
    <t>included</t>
  </si>
  <si>
    <t>Contingncy</t>
  </si>
  <si>
    <t>No longer available from the OEM due to frequent failures, equipment reliability being an issue.</t>
  </si>
  <si>
    <t>NOx tons/os = Heat Input x NOx Rate/2000</t>
  </si>
  <si>
    <t>CAIROS - OZONE SEASON 2010</t>
  </si>
  <si>
    <t>CAIROS - OZONE SEASON 2009</t>
  </si>
  <si>
    <t>CAIROS - OZONE SEASON 2008</t>
  </si>
  <si>
    <t>NOx emissions rate (3-year average)</t>
  </si>
  <si>
    <t>Operating Time
(Ozone season)</t>
  </si>
  <si>
    <t>NOx Rate (hourly)</t>
  </si>
  <si>
    <t>50 hrs max NOx tons estim</t>
  </si>
  <si>
    <t>MAX over 3 yrs period</t>
  </si>
  <si>
    <t>Stack Test Notes</t>
  </si>
  <si>
    <t>as presently controlled</t>
  </si>
  <si>
    <t>n</t>
  </si>
  <si>
    <t>i%</t>
  </si>
  <si>
    <t>Plant Overhead</t>
  </si>
  <si>
    <t>Data not provided - per NRG no additional NOx controls are feasible.</t>
  </si>
  <si>
    <t>Option No.</t>
  </si>
  <si>
    <t>NOx(R)</t>
  </si>
  <si>
    <t>(HERT) High Energy Reagent Technology SNCR</t>
  </si>
  <si>
    <t>I %</t>
  </si>
  <si>
    <t>Cost Effectiveness - $/ton NOx reduced - based on Annual Operation Costs and Capital Recovery</t>
  </si>
  <si>
    <t>Nom. Power</t>
  </si>
  <si>
    <t>Unit is a steam boiler, only</t>
  </si>
  <si>
    <t>Heat Input
(per TA&amp;O)</t>
  </si>
  <si>
    <t>NA</t>
  </si>
  <si>
    <t>test rate (max) for ULSD per NRG report</t>
  </si>
  <si>
    <t>MD2</t>
  </si>
  <si>
    <t>FLER Notes</t>
  </si>
  <si>
    <t>FLER (max) per NRG report</t>
  </si>
  <si>
    <r>
      <t xml:space="preserve">You specified: </t>
    </r>
    <r>
      <rPr>
        <b/>
        <sz val="8"/>
        <color rgb="FF000000"/>
        <rFont val="Arial"/>
        <family val="2"/>
      </rPr>
      <t>Ozone Season(s):</t>
    </r>
    <r>
      <rPr>
        <sz val="8"/>
        <color rgb="FF000000"/>
        <rFont val="Arial"/>
        <family val="2"/>
      </rPr>
      <t xml:space="preserve"> 2010,2009,2008 </t>
    </r>
    <r>
      <rPr>
        <b/>
        <sz val="8"/>
        <color rgb="FF000000"/>
        <rFont val="Arial"/>
        <family val="2"/>
      </rPr>
      <t>Program:</t>
    </r>
    <r>
      <rPr>
        <sz val="8"/>
        <color rgb="FF000000"/>
        <rFont val="Arial"/>
        <family val="2"/>
      </rPr>
      <t xml:space="preserve"> CAIROS </t>
    </r>
    <r>
      <rPr>
        <b/>
        <sz val="8"/>
        <color rgb="FF000000"/>
        <rFont val="Arial"/>
        <family val="2"/>
      </rPr>
      <t>State(s):</t>
    </r>
    <r>
      <rPr>
        <sz val="8"/>
        <color rgb="FF000000"/>
        <rFont val="Arial"/>
        <family val="2"/>
      </rPr>
      <t xml:space="preserve"> CT</t>
    </r>
  </si>
  <si>
    <t>State</t>
  </si>
  <si>
    <t>Program(s)</t>
  </si>
  <si>
    <r>
      <t>Avg. NO</t>
    </r>
    <r>
      <rPr>
        <b/>
        <vertAlign val="subscript"/>
        <sz val="8"/>
        <color rgb="FF000000"/>
        <rFont val="Arial"/>
        <family val="2"/>
      </rPr>
      <t>x</t>
    </r>
    <r>
      <rPr>
        <b/>
        <sz val="8"/>
        <color rgb="FF000000"/>
        <rFont val="Arial"/>
        <family val="2"/>
      </rPr>
      <t xml:space="preserve"> Rate (lb/mmBtu)</t>
    </r>
  </si>
  <si>
    <r>
      <t>NO</t>
    </r>
    <r>
      <rPr>
        <b/>
        <vertAlign val="subscript"/>
        <sz val="8"/>
        <color rgb="FF000000"/>
        <rFont val="Arial"/>
        <family val="2"/>
      </rPr>
      <t>x</t>
    </r>
    <r>
      <rPr>
        <b/>
        <sz val="8"/>
        <color rgb="FF000000"/>
        <rFont val="Arial"/>
        <family val="2"/>
      </rPr>
      <t xml:space="preserve"> Tons</t>
    </r>
  </si>
  <si>
    <t>Source Category</t>
  </si>
  <si>
    <t>Owner/Operator Name (Type)</t>
  </si>
  <si>
    <r>
      <t>SO</t>
    </r>
    <r>
      <rPr>
        <b/>
        <vertAlign val="subscript"/>
        <sz val="8"/>
        <color rgb="FF000000"/>
        <rFont val="Arial"/>
        <family val="2"/>
      </rPr>
      <t>2</t>
    </r>
    <r>
      <rPr>
        <b/>
        <sz val="8"/>
        <color rgb="FF000000"/>
        <rFont val="Arial"/>
        <family val="2"/>
      </rPr>
      <t xml:space="preserve"> Phase</t>
    </r>
  </si>
  <si>
    <r>
      <t>NO</t>
    </r>
    <r>
      <rPr>
        <b/>
        <vertAlign val="subscript"/>
        <sz val="8"/>
        <color rgb="FF000000"/>
        <rFont val="Arial"/>
        <family val="2"/>
      </rPr>
      <t>x</t>
    </r>
    <r>
      <rPr>
        <b/>
        <sz val="8"/>
        <color rgb="FF000000"/>
        <rFont val="Arial"/>
        <family val="2"/>
      </rPr>
      <t xml:space="preserve"> Phase</t>
    </r>
  </si>
  <si>
    <r>
      <t>SO</t>
    </r>
    <r>
      <rPr>
        <b/>
        <vertAlign val="subscript"/>
        <sz val="8"/>
        <color rgb="FF000000"/>
        <rFont val="Arial"/>
        <family val="2"/>
      </rPr>
      <t>2</t>
    </r>
    <r>
      <rPr>
        <b/>
        <sz val="8"/>
        <color rgb="FF000000"/>
        <rFont val="Arial"/>
        <family val="2"/>
      </rPr>
      <t xml:space="preserve"> Control(s)</t>
    </r>
  </si>
  <si>
    <t>CT </t>
  </si>
  <si>
    <t>CAIROS </t>
  </si>
  <si>
    <t>Fusion Paperboard Connecticut LLC</t>
  </si>
  <si>
    <t>UNITA</t>
  </si>
  <si>
    <t>UNITB</t>
  </si>
  <si>
    <t>AP-1</t>
  </si>
  <si>
    <t>GT1</t>
  </si>
  <si>
    <t>10</t>
  </si>
  <si>
    <t>BE1</t>
  </si>
  <si>
    <t>BE2</t>
  </si>
  <si>
    <t>BHB1</t>
  </si>
  <si>
    <t>BHB2</t>
  </si>
  <si>
    <t>BHB3</t>
  </si>
  <si>
    <t>BHB4</t>
  </si>
  <si>
    <t>GT</t>
  </si>
  <si>
    <t>11</t>
  </si>
  <si>
    <t>12</t>
  </si>
  <si>
    <t>13</t>
  </si>
  <si>
    <t>14</t>
  </si>
  <si>
    <t>15</t>
  </si>
  <si>
    <t>16</t>
  </si>
  <si>
    <t>17</t>
  </si>
  <si>
    <t>18</t>
  </si>
  <si>
    <t>B1</t>
  </si>
  <si>
    <t>B2</t>
  </si>
  <si>
    <t>1</t>
  </si>
  <si>
    <t>LRG1</t>
  </si>
  <si>
    <t>LRG2</t>
  </si>
  <si>
    <t>LRG3</t>
  </si>
  <si>
    <t>2</t>
  </si>
  <si>
    <t>3</t>
  </si>
  <si>
    <t>4</t>
  </si>
  <si>
    <t>CT01</t>
  </si>
  <si>
    <t>CT02</t>
  </si>
  <si>
    <t>5</t>
  </si>
  <si>
    <t>6</t>
  </si>
  <si>
    <t>NHB1</t>
  </si>
  <si>
    <t>TRBINE</t>
  </si>
  <si>
    <t>8</t>
  </si>
  <si>
    <t>001</t>
  </si>
  <si>
    <t>CT03</t>
  </si>
  <si>
    <t>CT04</t>
  </si>
  <si>
    <t>CT05</t>
  </si>
  <si>
    <t>7</t>
  </si>
  <si>
    <t>CS01</t>
  </si>
  <si>
    <t>CS1</t>
  </si>
  <si>
    <t>CS0001</t>
  </si>
  <si>
    <t>Cogeneration</t>
  </si>
  <si>
    <t>4961</t>
  </si>
  <si>
    <t>Steam Supply</t>
  </si>
  <si>
    <t>AES Corporation (Owner/Operator)</t>
  </si>
  <si>
    <t>Electric Utility</t>
  </si>
  <si>
    <t>Connecticut Municipal Electric Energy Coop (Owner/Operator)</t>
  </si>
  <si>
    <t>4911</t>
  </si>
  <si>
    <t>Electric Services</t>
  </si>
  <si>
    <t>Algonquin Power Windsor Locks, LLC (Owner/Operator)</t>
  </si>
  <si>
    <t>Connecticut Jet Power, LLC (Owner/Operator)</t>
  </si>
  <si>
    <t>Bridgeport Energy, LLC (Owner/Operator)</t>
  </si>
  <si>
    <t>PSEG (Owner/Operator) (Started Jul 28, 2008)</t>
  </si>
  <si>
    <t>PSEG Power Connecticut, LLC (Owner/Operator) (Started Oct 14, 2009)</t>
  </si>
  <si>
    <t>PSEG Power Connecticut, LLC (Owner/Operator)</t>
  </si>
  <si>
    <t>Connecticut Jet Power, LLC (Owner/Operator) (Started May 05, 2008)</t>
  </si>
  <si>
    <t>Devon Power, LLC (Owner/Operator)</t>
  </si>
  <si>
    <t>Exeter Energy Limited Partnership (Owner/Operator) (Started Feb 19, 2008)</t>
  </si>
  <si>
    <t>Exeter Energy Limited Partnership (Owner/Operator)</t>
  </si>
  <si>
    <t>NON EGU</t>
  </si>
  <si>
    <t>Pulp &amp; Paper Mill</t>
  </si>
  <si>
    <t>2653</t>
  </si>
  <si>
    <t>Corrugated and Solid Fiber Box</t>
  </si>
  <si>
    <t>Fusion Paperboard Connecticut LLC (Owner/Operator)</t>
  </si>
  <si>
    <t>Lake Road Generating Company, LP (Owner/Operator)</t>
  </si>
  <si>
    <t>Middletown Power, LLC (Owner/Operator) (Started Apr 08, 2009)</t>
  </si>
  <si>
    <t>Middletown Power, LLC (Owner/Operator)</t>
  </si>
  <si>
    <t>Middletown Power, LLC (Owner/Operator) (Started Apr 07, 2009)</t>
  </si>
  <si>
    <t>Milford Power Company, LLC (Owner/Operator)</t>
  </si>
  <si>
    <t>Montville Power, LLC (Owner/Operator)</t>
  </si>
  <si>
    <t>PSEG (Owner/Operator)</t>
  </si>
  <si>
    <t>Norwalk Power, LLC (Owner/Operator)</t>
  </si>
  <si>
    <t>Norwich Public Utilities (Owner/Operator)</t>
  </si>
  <si>
    <t>Industrial Boiler</t>
  </si>
  <si>
    <t>2834</t>
  </si>
  <si>
    <t>Pharmaceutical Preparations</t>
  </si>
  <si>
    <t>Pfizer, Inc. (Owner/Operator)</t>
  </si>
  <si>
    <t>3511</t>
  </si>
  <si>
    <t>Turbines and Turbine Generator</t>
  </si>
  <si>
    <t>P&amp;W, Division of United Technologies (Owner/Operator)</t>
  </si>
  <si>
    <t>Connecticut Resources Recovery Authority (Owner/Operator)</t>
  </si>
  <si>
    <t>FirstLight Power Resources (Owner/Operator)</t>
  </si>
  <si>
    <t>FirstLight Hydro Generating Company (Owner) (Started Oct 19, 2010)</t>
  </si>
  <si>
    <t>PPL Wallingford Energy, LLC (Owner/Operator)</t>
  </si>
  <si>
    <t>Waterbury Generation, LLC (Owner/Operator)</t>
  </si>
  <si>
    <t>Waterside Power, LLC (Owner/Operator)</t>
  </si>
  <si>
    <t>Operating</t>
  </si>
  <si>
    <t>Circulating fluidized bed boiler</t>
  </si>
  <si>
    <t>Coal</t>
  </si>
  <si>
    <t>Phase 2</t>
  </si>
  <si>
    <t>Combustion turbine</t>
  </si>
  <si>
    <t>Pipeline Natural Gas</t>
  </si>
  <si>
    <t>Diesel Oil</t>
  </si>
  <si>
    <t>Combined cycle</t>
  </si>
  <si>
    <t>Residual Oil</t>
  </si>
  <si>
    <t>Other Oil</t>
  </si>
  <si>
    <t>Early Election</t>
  </si>
  <si>
    <t>Tangentially-fired</t>
  </si>
  <si>
    <t>Diesel Oil, Residual Oil</t>
  </si>
  <si>
    <t>Operating (Started 06/16/2008)</t>
  </si>
  <si>
    <t>Combustion turbine (Started Jun 01, 2008)</t>
  </si>
  <si>
    <t>Operating (Started 06/19/2008)</t>
  </si>
  <si>
    <t>Operating (Started 07/10/2010)</t>
  </si>
  <si>
    <t>Combustion turbine (Started Jul 10, 2010)</t>
  </si>
  <si>
    <t>Operating (Started 06/25/2010)</t>
  </si>
  <si>
    <t>Combustion turbine (Started Jun 25, 2010)</t>
  </si>
  <si>
    <t>Operating (Started 06/10/2010)</t>
  </si>
  <si>
    <t>Combustion turbine (Started Jun 10, 2010)</t>
  </si>
  <si>
    <t>Operating (Started 06/01/2010)</t>
  </si>
  <si>
    <t>Combustion turbine (Started Jun 01, 2010)</t>
  </si>
  <si>
    <t>Stoker</t>
  </si>
  <si>
    <t>Tire Derived Fuel</t>
  </si>
  <si>
    <t>Liquified Petroleum Gas</t>
  </si>
  <si>
    <t>Dry bottom wall-fired boiler</t>
  </si>
  <si>
    <t>Diesel Oil, Pipeline Natural Gas</t>
  </si>
  <si>
    <t>Operating (Retired 09/30/2008)</t>
  </si>
  <si>
    <t>Operating (Started 05/15/2009)</t>
  </si>
  <si>
    <t>Combustion turbine (Started May 15, 2009)</t>
  </si>
  <si>
    <t>Fluidized Bed Limestone Injection</t>
  </si>
  <si>
    <t>Other</t>
  </si>
  <si>
    <t>Baghouse</t>
  </si>
  <si>
    <t>Dry Low NOx Burner</t>
  </si>
  <si>
    <t>Steam Injection</t>
  </si>
  <si>
    <t>Water Injection (Began Jun 01, 2008)</t>
  </si>
  <si>
    <t>Selective Catalytic Reduction</t>
  </si>
  <si>
    <t>Electrostatic Precipitator</t>
  </si>
  <si>
    <t>Low NOx Burner Technology w/ Separated OFA</t>
  </si>
  <si>
    <t>Water Injection (Began Jul 01, 2008)</t>
  </si>
  <si>
    <t>Water Injection (Began Jun 16, 2008)</t>
  </si>
  <si>
    <t>Water Injection (Began Jun 19, 2008)</t>
  </si>
  <si>
    <t>Water Injectio</t>
  </si>
  <si>
    <t>Low NOx Burner Technology (Dry Bottom only)</t>
  </si>
  <si>
    <t>Overfire Air</t>
  </si>
  <si>
    <t>Selective Non-catalytic Reduction</t>
  </si>
  <si>
    <t>Capitol District Energy Center Cogeneration Assoc. (Owner) / PurEnergy, LLC (Operator)</t>
  </si>
  <si>
    <t>Capitol District Energy Center Cogeneration Assoc. (Owner / PurEnergy, LLC (Operator)</t>
  </si>
  <si>
    <t>GenConn Devon LLC (Owner / Devon Power, LLC (Operator)</t>
  </si>
  <si>
    <t>Middletown Power, LLC (Owner) / NRG Energy, Inc (Operator)</t>
  </si>
  <si>
    <t>Middletown Power, LLC (Owner) / NRG Energy, Inc (Operator</t>
  </si>
  <si>
    <r>
      <t>NO</t>
    </r>
    <r>
      <rPr>
        <b/>
        <vertAlign val="subscript"/>
        <sz val="8"/>
        <color rgb="FF000000"/>
        <rFont val="Arial"/>
        <family val="2"/>
      </rPr>
      <t>x</t>
    </r>
    <r>
      <rPr>
        <b/>
        <sz val="8"/>
        <color rgb="FF000000"/>
        <rFont val="Arial"/>
        <family val="2"/>
      </rPr>
      <t xml:space="preserve"> Control(s) (1)</t>
    </r>
  </si>
  <si>
    <r>
      <t>NO</t>
    </r>
    <r>
      <rPr>
        <b/>
        <vertAlign val="subscript"/>
        <sz val="8"/>
        <color rgb="FF000000"/>
        <rFont val="Arial"/>
        <family val="2"/>
      </rPr>
      <t>x</t>
    </r>
    <r>
      <rPr>
        <b/>
        <sz val="8"/>
        <color rgb="FF000000"/>
        <rFont val="Arial"/>
        <family val="2"/>
      </rPr>
      <t xml:space="preserve"> Control(s) (2)</t>
    </r>
  </si>
  <si>
    <r>
      <t>NO</t>
    </r>
    <r>
      <rPr>
        <b/>
        <vertAlign val="subscript"/>
        <sz val="8"/>
        <color rgb="FF000000"/>
        <rFont val="Arial"/>
        <family val="2"/>
      </rPr>
      <t>x</t>
    </r>
    <r>
      <rPr>
        <b/>
        <sz val="8"/>
        <color rgb="FF000000"/>
        <rFont val="Arial"/>
        <family val="2"/>
      </rPr>
      <t xml:space="preserve"> Control(s) (3)</t>
    </r>
  </si>
  <si>
    <t>TA&amp;O Objective</t>
  </si>
  <si>
    <t>REFERENCE ID</t>
  </si>
  <si>
    <t>Rnk</t>
  </si>
  <si>
    <t>TA&amp;O  #adj</t>
  </si>
  <si>
    <t>NOx Controls 03</t>
  </si>
  <si>
    <t>EPA</t>
  </si>
  <si>
    <t>Adjusted</t>
  </si>
  <si>
    <t>Operating Hours</t>
  </si>
  <si>
    <t>OS Hrs</t>
  </si>
  <si>
    <t>Non OS Hrs</t>
  </si>
  <si>
    <t>Check</t>
  </si>
  <si>
    <t>Heat Input/yr</t>
  </si>
  <si>
    <t>Heat Input/OS</t>
  </si>
  <si>
    <t>NOx Rate</t>
  </si>
  <si>
    <t>Heat Input/yr-hr</t>
  </si>
  <si>
    <t>Gross Load</t>
  </si>
  <si>
    <t>AVG</t>
  </si>
  <si>
    <t>NOx (reported)</t>
  </si>
  <si>
    <t>MV10 resulted (hourly) NOx rate</t>
  </si>
  <si>
    <t>OS hrs</t>
  </si>
  <si>
    <t>NOx (tons)</t>
  </si>
  <si>
    <t>Heat Input (MMBtu/hr)</t>
  </si>
  <si>
    <t>Stack Test Rate (lb/MMBtu)</t>
  </si>
  <si>
    <t>NOx (tons) AVG /yr</t>
  </si>
  <si>
    <t>CAIR-OS (max last 3 yrs)</t>
  </si>
  <si>
    <t>Item</t>
  </si>
  <si>
    <t>50 ppmvd - 3.33 ton/yr NOx reduction</t>
  </si>
  <si>
    <t>75 ppmvd - 2.70 ton/yr NOx reduction</t>
  </si>
  <si>
    <t>Typical speeds are 330 m/s in air, 1450 m/s in water and about 5000 m/s in granite.</t>
  </si>
  <si>
    <t>Labor</t>
  </si>
  <si>
    <t>Start-up</t>
  </si>
  <si>
    <t>Painting</t>
  </si>
  <si>
    <t>Taxes &amp; Freight</t>
  </si>
  <si>
    <t>Taxes &amp; Freight %</t>
  </si>
  <si>
    <t>Easement Modif.</t>
  </si>
  <si>
    <t>Rolls Royce</t>
  </si>
  <si>
    <t>Olympus B</t>
  </si>
  <si>
    <t>Cost</t>
  </si>
  <si>
    <t>x 2 (twin pack)</t>
  </si>
  <si>
    <t>Item Total</t>
  </si>
  <si>
    <t>Total Cumulative</t>
  </si>
  <si>
    <t>Contingency (10% Total Cost)</t>
  </si>
  <si>
    <t>Re calculation without cost multiplier</t>
  </si>
  <si>
    <t xml:space="preserve">Total Capital Cost per CRRA Report </t>
  </si>
  <si>
    <t>Twin Pack Item Total</t>
  </si>
  <si>
    <t>Equipmet Life</t>
  </si>
  <si>
    <t>Interest</t>
  </si>
  <si>
    <t>CRF selected</t>
  </si>
  <si>
    <t>Capital Recovery Factor (CRF)</t>
  </si>
  <si>
    <t>TCC + 5% PM</t>
  </si>
  <si>
    <t>Annualized Cost</t>
  </si>
  <si>
    <t>Per Engineering Economic Analysis tables Schaum's Outline Series, McGraw-Hill</t>
  </si>
  <si>
    <t>CRRA used CRF=0.2354 instead of 0.2374 for annualized cost</t>
  </si>
  <si>
    <t>For 2009 Operation Annualized Cost, CRRA used TCC x CRF, instead of (TCC +5%PM) x CRF as stated in report</t>
  </si>
  <si>
    <t>Cost Per Year</t>
  </si>
  <si>
    <t>Annual O&amp;M breakdown</t>
  </si>
  <si>
    <t>Electrical load</t>
  </si>
  <si>
    <t>Urea</t>
  </si>
  <si>
    <t>Labor (Ops, Maint, Admin)</t>
  </si>
  <si>
    <t>Annual O&amp;M Cost</t>
  </si>
  <si>
    <t>Catalyst Replacement</t>
  </si>
  <si>
    <t>(first year only)</t>
  </si>
  <si>
    <t>Total (first year only)</t>
  </si>
  <si>
    <t>Maint Materials</t>
  </si>
  <si>
    <t>O&amp;M Cost was increased with 3% beyond 2011, for each year</t>
  </si>
  <si>
    <r>
      <t xml:space="preserve">O&amp;M Cost </t>
    </r>
    <r>
      <rPr>
        <vertAlign val="superscript"/>
        <sz val="10"/>
        <color theme="1"/>
        <rFont val="Arial"/>
        <family val="2"/>
      </rPr>
      <t>[4]</t>
    </r>
  </si>
  <si>
    <t>Annualized Cost - 2009 Operation Estimate - 8 units</t>
  </si>
  <si>
    <t>Annualized Cost- 2009 Op - per unit</t>
  </si>
  <si>
    <t>NOx tons Reduced</t>
  </si>
  <si>
    <t>Cost Effectiveness - All 8 units</t>
  </si>
  <si>
    <t>Cost Effectiveness - per unit</t>
  </si>
  <si>
    <t>Project Management @ 5% TCC</t>
  </si>
  <si>
    <t>SCR Cost Effectiveness Assessment - CRRA Report</t>
  </si>
  <si>
    <t>HPWI Cost Effectiveness Assessment - CRRA Report</t>
  </si>
  <si>
    <t>Resin</t>
  </si>
  <si>
    <t>Water</t>
  </si>
  <si>
    <t>SCR Cost Effectiveness Assessment - CAIROS data, 15 yrs 9%</t>
  </si>
  <si>
    <t>HPWI Cost Effectiveness Assessment - CAIROS data, 15 yrs 9%</t>
  </si>
  <si>
    <t>Annualized Cost - Operation Estimate - 8 units</t>
  </si>
  <si>
    <t>NOx tons Reduced [5]</t>
  </si>
  <si>
    <t>Annualized Cost-per unit</t>
  </si>
  <si>
    <t>lb/hr</t>
  </si>
  <si>
    <t>Direct Cost % vs Equip Cost</t>
  </si>
  <si>
    <t>Indirect Cost % vs Equip Cost</t>
  </si>
  <si>
    <t>% Cost</t>
  </si>
  <si>
    <t>TCC per unit per MW Nominal</t>
  </si>
  <si>
    <t>16 South Golden Street, Norwich, CT 06360</t>
  </si>
  <si>
    <t>John F. Bilda</t>
  </si>
  <si>
    <t>NPU</t>
  </si>
  <si>
    <t>Mark Greene</t>
  </si>
  <si>
    <t>(860) 823-4119</t>
  </si>
  <si>
    <t>(860) 823-4172</t>
  </si>
  <si>
    <t>per TRC Report</t>
  </si>
  <si>
    <r>
      <t xml:space="preserve">Owner </t>
    </r>
    <r>
      <rPr>
        <sz val="10"/>
        <color indexed="8"/>
        <rFont val="Arial"/>
        <family val="2"/>
      </rPr>
      <t>/</t>
    </r>
    <r>
      <rPr>
        <b/>
        <sz val="10"/>
        <color indexed="8"/>
        <rFont val="Arial"/>
        <family val="2"/>
      </rPr>
      <t xml:space="preserve"> Operator</t>
    </r>
  </si>
  <si>
    <r>
      <t>Premises</t>
    </r>
    <r>
      <rPr>
        <sz val="10"/>
        <color indexed="8"/>
        <rFont val="Arial"/>
        <family val="2"/>
      </rPr>
      <t xml:space="preserve"> / </t>
    </r>
    <r>
      <rPr>
        <b/>
        <sz val="10"/>
        <color indexed="8"/>
        <rFont val="Arial"/>
        <family val="2"/>
      </rPr>
      <t>Facility Name</t>
    </r>
  </si>
  <si>
    <t>Trade Agreement &amp; Order Data</t>
  </si>
  <si>
    <t>Table 1</t>
  </si>
  <si>
    <t>Table No.</t>
  </si>
  <si>
    <t>Fuels</t>
  </si>
  <si>
    <t>ASTM Class</t>
  </si>
  <si>
    <t>Acronym</t>
  </si>
  <si>
    <t>coal oil, stove oil, range oil</t>
  </si>
  <si>
    <t>Bunker B</t>
  </si>
  <si>
    <t>Bunker A, heating oil</t>
  </si>
  <si>
    <r>
      <t>Temp (</t>
    </r>
    <r>
      <rPr>
        <b/>
        <u/>
        <sz val="8"/>
        <color indexed="58"/>
        <rFont val="Calibri"/>
        <family val="2"/>
      </rPr>
      <t>⁰</t>
    </r>
    <r>
      <rPr>
        <b/>
        <u/>
        <sz val="8"/>
        <color indexed="58"/>
        <rFont val="Arial"/>
        <family val="2"/>
      </rPr>
      <t>F)</t>
    </r>
  </si>
  <si>
    <t>170⁰F - 220⁰F</t>
  </si>
  <si>
    <t>220⁰F - 260⁰F</t>
  </si>
  <si>
    <t>Bunker C, RFO, PS-400</t>
  </si>
  <si>
    <t>Bunker B, navy special, FFO</t>
  </si>
  <si>
    <t>FFO - furnace fuel oil</t>
  </si>
  <si>
    <t>RFO - residual fuel oil</t>
  </si>
  <si>
    <t>Class</t>
  </si>
  <si>
    <t>Maritime Class</t>
  </si>
  <si>
    <t>Marine gas oil</t>
  </si>
  <si>
    <t>MGO</t>
  </si>
  <si>
    <t>roughly No. 2</t>
  </si>
  <si>
    <t>Marine Diesel oil</t>
  </si>
  <si>
    <t>MDO</t>
  </si>
  <si>
    <t>IFO</t>
  </si>
  <si>
    <t>blend of heavy gasoil</t>
  </si>
  <si>
    <t>blend of gasoil and heavy fuel oil</t>
  </si>
  <si>
    <t>Intermediate fuel oil</t>
  </si>
  <si>
    <t>Marine fule oil</t>
  </si>
  <si>
    <t>Heavy fuel oil</t>
  </si>
  <si>
    <t>MFO</t>
  </si>
  <si>
    <t>same as HFO</t>
  </si>
  <si>
    <t>HFO</t>
  </si>
  <si>
    <t>roughly No. 6</t>
  </si>
  <si>
    <t>Remarks / Other Names</t>
  </si>
  <si>
    <t># 2 per ASTM</t>
  </si>
  <si>
    <t>PSEG Power LLC, PSEG Fossil LLC, PSEG Power Connecticut</t>
  </si>
  <si>
    <t>Capitol District Energy Center Cogeneration Associates</t>
  </si>
  <si>
    <t>Facility Name
(per EPA CAIR Report)</t>
  </si>
  <si>
    <t>FirstLight Hydro Generating Company</t>
  </si>
  <si>
    <t>No, Identical Units</t>
  </si>
  <si>
    <t>Permit / Registration</t>
  </si>
  <si>
    <t>DEEP REGISTRATION</t>
  </si>
  <si>
    <t>NOx Emission Unit</t>
  </si>
  <si>
    <r>
      <rPr>
        <sz val="10"/>
        <color indexed="8"/>
        <rFont val="Arial"/>
        <family val="2"/>
      </rPr>
      <t>Unit Tag</t>
    </r>
    <r>
      <rPr>
        <sz val="9"/>
        <color indexed="8"/>
        <rFont val="Arial"/>
        <family val="2"/>
      </rPr>
      <t xml:space="preserve">
(per Operator and/or EPA CAIR Report)</t>
    </r>
  </si>
  <si>
    <r>
      <t>NO</t>
    </r>
    <r>
      <rPr>
        <b/>
        <vertAlign val="subscript"/>
        <sz val="8"/>
        <color indexed="8"/>
        <rFont val="Arial"/>
        <family val="2"/>
      </rPr>
      <t>x</t>
    </r>
    <r>
      <rPr>
        <b/>
        <sz val="8"/>
        <color indexed="8"/>
        <rFont val="Arial"/>
        <family val="2"/>
      </rPr>
      <t xml:space="preserve"> Control(s) (1)</t>
    </r>
  </si>
  <si>
    <r>
      <t>NO</t>
    </r>
    <r>
      <rPr>
        <b/>
        <vertAlign val="subscript"/>
        <sz val="8"/>
        <color indexed="8"/>
        <rFont val="Arial"/>
        <family val="2"/>
      </rPr>
      <t>x</t>
    </r>
    <r>
      <rPr>
        <b/>
        <sz val="8"/>
        <color indexed="8"/>
        <rFont val="Arial"/>
        <family val="2"/>
      </rPr>
      <t xml:space="preserve"> Control(s) (2)</t>
    </r>
  </si>
  <si>
    <r>
      <t>NO</t>
    </r>
    <r>
      <rPr>
        <b/>
        <vertAlign val="subscript"/>
        <sz val="8"/>
        <color indexed="8"/>
        <rFont val="Arial"/>
        <family val="2"/>
      </rPr>
      <t>x</t>
    </r>
    <r>
      <rPr>
        <b/>
        <sz val="8"/>
        <color indexed="8"/>
        <rFont val="Arial"/>
        <family val="2"/>
      </rPr>
      <t xml:space="preserve"> Control(s) (3)</t>
    </r>
  </si>
  <si>
    <t>To see "Unit CAIROS Emissions Report - whole year" go to row 220 below</t>
  </si>
  <si>
    <t>Unit CAIROS Emissions Report - Ozone Season</t>
  </si>
  <si>
    <t>MWh</t>
  </si>
  <si>
    <t xml:space="preserve">NOx </t>
  </si>
  <si>
    <t>hr</t>
  </si>
  <si>
    <t>Group Name (per owner)</t>
  </si>
  <si>
    <t>TA&amp;O Unit Registration Tag</t>
  </si>
  <si>
    <t>Operator's Tag</t>
  </si>
  <si>
    <t>,</t>
  </si>
  <si>
    <t>Sound Shore Drive Greenwich-11</t>
  </si>
  <si>
    <t>Sound Shore Drive Greenwich-12</t>
  </si>
  <si>
    <t>Sound Shore Drive Greenwich-14</t>
  </si>
  <si>
    <t>Single turbine</t>
  </si>
  <si>
    <t>Single Diesel engine</t>
  </si>
  <si>
    <t>Single utility boiler</t>
  </si>
  <si>
    <t>NSR Permit</t>
  </si>
  <si>
    <t>Devon-12</t>
  </si>
  <si>
    <t>Devon-13</t>
  </si>
  <si>
    <t>Devon-14</t>
  </si>
  <si>
    <t>P.O. Box 1001, 1866 River Rd, Middletown CT 06547</t>
  </si>
  <si>
    <t>Owner / Operator Initials</t>
  </si>
  <si>
    <t>Operator per DEEP</t>
  </si>
  <si>
    <t>Power Output</t>
  </si>
  <si>
    <t>Unit Mfg Specifications</t>
  </si>
  <si>
    <t>Summer Output</t>
  </si>
  <si>
    <t>Winter Output</t>
  </si>
  <si>
    <t>Unit Age</t>
  </si>
  <si>
    <t>Emission Rates</t>
  </si>
  <si>
    <t>Report vs. TA&amp;O Document Discrepancies</t>
  </si>
  <si>
    <t>Heat Input 
(per TA&amp;O)</t>
  </si>
  <si>
    <t>Referenced Emission Rate by Stakeholder</t>
  </si>
  <si>
    <t>Selected Uncontrolled NOx</t>
  </si>
  <si>
    <t>Stack Test NOx Rate</t>
  </si>
  <si>
    <r>
      <t>SO</t>
    </r>
    <r>
      <rPr>
        <sz val="10"/>
        <color indexed="8"/>
        <rFont val="Calibri"/>
        <family val="2"/>
      </rPr>
      <t>₂</t>
    </r>
    <r>
      <rPr>
        <sz val="10"/>
        <color indexed="8"/>
        <rFont val="Arial"/>
        <family val="2"/>
      </rPr>
      <t xml:space="preserve"> Controls</t>
    </r>
  </si>
  <si>
    <t>Equipment Use and Installed Controls</t>
  </si>
  <si>
    <t>Equipment Existing Operating Controls</t>
  </si>
  <si>
    <t>Operator Reported Time</t>
  </si>
  <si>
    <t>MMBtu/yr</t>
  </si>
  <si>
    <t>1st Year Data</t>
  </si>
  <si>
    <t>2nd Year Data</t>
  </si>
  <si>
    <t>OPERATOR REPORTED DATA</t>
  </si>
  <si>
    <t>Data Averaging</t>
  </si>
  <si>
    <t>Total Site Installed</t>
  </si>
  <si>
    <t>Date Issued
(per Stk Report)</t>
  </si>
  <si>
    <t>R-141-000-401</t>
  </si>
  <si>
    <t>R-108-100-2401</t>
  </si>
  <si>
    <t>R-183-100-4301</t>
  </si>
  <si>
    <t>R-104-0102</t>
  </si>
  <si>
    <t>P-105-0026</t>
  </si>
  <si>
    <t>R-104-040</t>
  </si>
  <si>
    <t>R-104-041</t>
  </si>
  <si>
    <t>R-104-042</t>
  </si>
  <si>
    <t>R-104-043</t>
  </si>
  <si>
    <t>R-107-0021</t>
  </si>
  <si>
    <t>R-107-0022</t>
  </si>
  <si>
    <t>22a-174-22(e) &amp; (f) (CAIR)</t>
  </si>
  <si>
    <t>22a-174-22(f) (CAIR)</t>
  </si>
  <si>
    <t>22a-174-22(f) (CAIR) on oil only</t>
  </si>
  <si>
    <t>22a-174-22(e) (CAIR)</t>
  </si>
  <si>
    <t>(0.3%) No. 6 oil; No. 2 for ignition only; Nat Gas</t>
  </si>
  <si>
    <t>(0.3%) No. 6 oil; No. 2 for ignition only;</t>
  </si>
  <si>
    <t xml:space="preserve">Primary fuel (No. 6 residual oil) only. </t>
  </si>
  <si>
    <t>Avg OS hrs/2 yrs</t>
  </si>
  <si>
    <t>Avg non-OS hrs/2 yrs</t>
  </si>
  <si>
    <t>Avg hrs/2 yrs (clc)</t>
  </si>
  <si>
    <t>Stk No.</t>
  </si>
  <si>
    <t>Application
Emmision Unit Type</t>
  </si>
  <si>
    <t>NOx Estim 
Tons/yr
(clc)</t>
  </si>
  <si>
    <t>(M) Added Maintenance
(included in OP)</t>
  </si>
  <si>
    <t>Annual Costs (COL II)</t>
  </si>
  <si>
    <t>Annual Costs (COL III)</t>
  </si>
  <si>
    <t>Tax Factor x PrC</t>
  </si>
  <si>
    <t>(TCC) Total Capital Cost per Unit</t>
  </si>
  <si>
    <t>UNCONTROLLED NOx ASSESSMENT</t>
  </si>
  <si>
    <t>GENERAL SPECIFICATIONS</t>
  </si>
  <si>
    <t>REGISTRATION &amp; ID</t>
  </si>
  <si>
    <t>NOx EMISSION RATES</t>
  </si>
  <si>
    <t>CONTROLLED NOx ASSESSMENT</t>
  </si>
  <si>
    <r>
      <t xml:space="preserve">Operation Time Reference No. 2
</t>
    </r>
    <r>
      <rPr>
        <b/>
        <sz val="10"/>
        <color rgb="FFFF0000"/>
        <rFont val="Arial"/>
        <family val="2"/>
      </rPr>
      <t>(Stk Report)</t>
    </r>
  </si>
  <si>
    <r>
      <t xml:space="preserve">Operation Time Reference No. 1
</t>
    </r>
    <r>
      <rPr>
        <b/>
        <sz val="10"/>
        <color rgb="FFFF0000"/>
        <rFont val="Arial"/>
        <family val="2"/>
      </rPr>
      <t>(Stk Report)</t>
    </r>
  </si>
  <si>
    <r>
      <t xml:space="preserve">Operation Time Reference No. 3
</t>
    </r>
    <r>
      <rPr>
        <b/>
        <sz val="10"/>
        <color rgb="FF0000FF"/>
        <rFont val="Arial"/>
        <family val="2"/>
      </rPr>
      <t>(CAIR OS - max within last 3 yrs)</t>
    </r>
  </si>
  <si>
    <t>NOx (R) Reduced</t>
  </si>
  <si>
    <t>NOx (UC) - Uncontrolled NOx - Ref 2</t>
  </si>
  <si>
    <t>NOx (UC) - Uncontrolled NOx - Ref 1</t>
  </si>
  <si>
    <t>NOx (UC) - Uncontrolled NOx - Ref 3</t>
  </si>
  <si>
    <t>NOx (C) - Controlled NOx - Ref 1</t>
  </si>
  <si>
    <t>NOx (C) - Controlled NOx - Ref 2</t>
  </si>
  <si>
    <t>$/ton NOx(R)</t>
  </si>
  <si>
    <r>
      <t xml:space="preserve">(CE) Ref 3
</t>
    </r>
    <r>
      <rPr>
        <b/>
        <sz val="10"/>
        <color rgb="FF0000FF"/>
        <rFont val="Arial"/>
        <family val="2"/>
      </rPr>
      <t>(CAIR OS - max within last 3 yrs)</t>
    </r>
  </si>
  <si>
    <r>
      <t xml:space="preserve">(CE) Ref 2
</t>
    </r>
    <r>
      <rPr>
        <b/>
        <sz val="10"/>
        <color rgb="FFFF0000"/>
        <rFont val="Arial"/>
        <family val="2"/>
      </rPr>
      <t>(Stk Report adj)</t>
    </r>
  </si>
  <si>
    <r>
      <t xml:space="preserve">(CE) Ref 1
</t>
    </r>
    <r>
      <rPr>
        <b/>
        <sz val="10"/>
        <color rgb="FFFF0000"/>
        <rFont val="Arial"/>
        <family val="2"/>
      </rPr>
      <t xml:space="preserve">(Stk Report) </t>
    </r>
  </si>
  <si>
    <t>COL I</t>
  </si>
  <si>
    <t>(CE) NOx CONTROL COST EFFECTIVENESS at CORRECTED STK REPORT DATA</t>
  </si>
  <si>
    <t>COL II</t>
  </si>
  <si>
    <t>(CE) NOx CONTROL COST EFFECTIVENESS at EPA ACT DATA</t>
  </si>
  <si>
    <t>NOx (C) - Controlled NOx - Ref 3</t>
  </si>
  <si>
    <t>NOx (UC)
avg per unit</t>
  </si>
  <si>
    <r>
      <rPr>
        <b/>
        <sz val="10"/>
        <rFont val="Arial"/>
        <family val="2"/>
      </rPr>
      <t>NOx</t>
    </r>
    <r>
      <rPr>
        <b/>
        <sz val="10"/>
        <color rgb="FFFF0000"/>
        <rFont val="Arial"/>
        <family val="2"/>
      </rPr>
      <t xml:space="preserve">
Tons/Yr 
(per unit)</t>
    </r>
  </si>
  <si>
    <r>
      <t xml:space="preserve">(CE) Ref 2
</t>
    </r>
    <r>
      <rPr>
        <b/>
        <sz val="10"/>
        <color rgb="FFFF0000"/>
        <rFont val="Arial"/>
        <family val="2"/>
      </rPr>
      <t>(Stk Report)</t>
    </r>
  </si>
  <si>
    <r>
      <t xml:space="preserve">NOx Tons </t>
    </r>
    <r>
      <rPr>
        <b/>
        <sz val="10"/>
        <color indexed="10"/>
        <rFont val="Arial"/>
        <family val="2"/>
      </rPr>
      <t>Estim</t>
    </r>
  </si>
  <si>
    <t>lbm/MMBtu</t>
  </si>
  <si>
    <t>NOx Rate
clc=ton/HI</t>
  </si>
  <si>
    <t>NOx Rate
(re-clc as
2000 NOx/HI)</t>
  </si>
  <si>
    <t>CAIR OS - max within last 3 yrs</t>
  </si>
  <si>
    <t>Controlled NOx stk's rate is COS-COB units FLER</t>
  </si>
  <si>
    <t>Controlled NOx selected rate is COS-COB units max. last 3-yr stack rate</t>
  </si>
  <si>
    <r>
      <t xml:space="preserve">(CE) Ref 2
</t>
    </r>
    <r>
      <rPr>
        <b/>
        <sz val="10"/>
        <color rgb="FFFF0000"/>
        <rFont val="Arial"/>
        <family val="2"/>
      </rPr>
      <t>(Stk Report adj/clc)</t>
    </r>
  </si>
  <si>
    <t>Solar Titan 130 - new dual fuel w/ SoLoNOx</t>
  </si>
  <si>
    <t>NOx Control Option Seq.</t>
  </si>
  <si>
    <t>NOx Control Type</t>
  </si>
  <si>
    <t>Unit Tag</t>
  </si>
  <si>
    <t>No identical Units
w/ same controls</t>
  </si>
  <si>
    <t>High Pressure Water Injection (HPWI) - Oil Kerosene K1</t>
  </si>
  <si>
    <t>SCR + HPWI + Dual Fuel (Nat Gas - oil backup)</t>
  </si>
  <si>
    <t>SCR + Water Injection (HPWI) - oil # 2</t>
  </si>
  <si>
    <t>Natural Gas with Oil backup</t>
  </si>
  <si>
    <t>Primary fuel Oil - Kerosene K1</t>
  </si>
  <si>
    <t>Primary fuel No. 2 oil</t>
  </si>
  <si>
    <t>AM</t>
  </si>
  <si>
    <t>8 CHKS</t>
  </si>
  <si>
    <t>10 CHKS</t>
  </si>
  <si>
    <t>Avg Op. Time/yr-unit</t>
  </si>
  <si>
    <t>Avg Heat Total Combined per group</t>
  </si>
  <si>
    <t>Avg Heat per unit</t>
  </si>
  <si>
    <t>Heat Input per group</t>
  </si>
  <si>
    <t>Heat Input Avg per Unit</t>
  </si>
  <si>
    <t>Heat Input
per unit (max within a group)</t>
  </si>
  <si>
    <t>NOx (UC) per unit (max within a group)</t>
  </si>
  <si>
    <t>NOx Estim per unit
Tons/yr
(clc)</t>
  </si>
  <si>
    <t>ULSF</t>
  </si>
  <si>
    <t>NOx Control Basic /Generic Type</t>
  </si>
  <si>
    <t>New Eqp</t>
  </si>
  <si>
    <t>Detail</t>
  </si>
  <si>
    <t>Stakholder reported a lower Capital Recovery than 9%/15 yrs</t>
  </si>
  <si>
    <r>
      <rPr>
        <b/>
        <sz val="10"/>
        <rFont val="Arial"/>
        <family val="2"/>
      </rPr>
      <t>NOx - Total per group</t>
    </r>
    <r>
      <rPr>
        <b/>
        <sz val="10"/>
        <color rgb="FFFF0000"/>
        <rFont val="Arial"/>
        <family val="2"/>
      </rPr>
      <t xml:space="preserve">
(per Stk)</t>
    </r>
  </si>
  <si>
    <t>Controlled NOx rate was calculated assuming 90% efficiency</t>
  </si>
  <si>
    <t>Controlled NOx (R) was calculated assuming 90% efficiency</t>
  </si>
  <si>
    <t>CRRA 1st row only</t>
  </si>
  <si>
    <t>Heat Input per unit</t>
  </si>
  <si>
    <t>AP</t>
  </si>
  <si>
    <t>AN</t>
  </si>
  <si>
    <t>NOx (UC) per unit</t>
  </si>
  <si>
    <t>Formulas to be used for verification only</t>
  </si>
  <si>
    <t>AS</t>
  </si>
  <si>
    <t>AV</t>
  </si>
  <si>
    <t>AT</t>
  </si>
  <si>
    <t>Ref for PSEG 8305 is J95</t>
  </si>
  <si>
    <t>▲</t>
  </si>
  <si>
    <t>Not Known</t>
  </si>
  <si>
    <t>Unit</t>
  </si>
  <si>
    <t>NOx CONTROL EQUIPMENT</t>
  </si>
  <si>
    <t>Type</t>
  </si>
  <si>
    <t>Stk provided separate costs for each of the systems - SOFA (Eqp # 1) and HERT (Eqp # 2)</t>
  </si>
  <si>
    <t>Equipment Capital Costs Reported - per group of identical units</t>
  </si>
  <si>
    <t xml:space="preserve">Permitting </t>
  </si>
  <si>
    <t>Pre-production Cost</t>
  </si>
  <si>
    <t>Cumulative Equipment Cost</t>
  </si>
  <si>
    <t>Eqp Cost Assessed</t>
  </si>
  <si>
    <r>
      <t xml:space="preserve">Estm Multiplier </t>
    </r>
    <r>
      <rPr>
        <sz val="10"/>
        <color indexed="8"/>
        <rFont val="Arial"/>
        <family val="2"/>
      </rPr>
      <t xml:space="preserve">(per EPA Act </t>
    </r>
    <r>
      <rPr>
        <sz val="12"/>
        <color indexed="8"/>
        <rFont val="Arial"/>
        <family val="2"/>
      </rPr>
      <t>± 30%</t>
    </r>
    <r>
      <rPr>
        <sz val="7"/>
        <color indexed="8"/>
        <rFont val="Arial"/>
        <family val="2"/>
      </rPr>
      <t>)</t>
    </r>
  </si>
  <si>
    <t>Eng</t>
  </si>
  <si>
    <t>Process Contingcy</t>
  </si>
  <si>
    <t>Total Indirect Cost</t>
  </si>
  <si>
    <t>Pre_prod</t>
  </si>
  <si>
    <t>Inventory Capital</t>
  </si>
  <si>
    <t>PrC % Eqp Cst</t>
  </si>
  <si>
    <t>Aux Eqpt+Acc El + Control Syst Mod</t>
  </si>
  <si>
    <t>Aux Eqp % Pr C</t>
  </si>
  <si>
    <t>Eqp DC % Eqp C</t>
  </si>
  <si>
    <t>Summary of Results</t>
  </si>
  <si>
    <t>Equipment Cost (equipment + auxiliary accesories)</t>
  </si>
  <si>
    <t>Construction / Building</t>
  </si>
  <si>
    <t>1 Twin Pack</t>
  </si>
  <si>
    <t>Total 4 Twin Packs</t>
  </si>
  <si>
    <t>Installation (direct + indirect)</t>
  </si>
  <si>
    <t>Total Ditect + Indirect Costs</t>
  </si>
  <si>
    <t>Total Contingency</t>
  </si>
  <si>
    <t>Contingency %</t>
  </si>
  <si>
    <t>Primary Control Device</t>
  </si>
  <si>
    <t>Licenses Fees</t>
  </si>
  <si>
    <t>Piping, Ftgs, Insulation</t>
  </si>
  <si>
    <t>Other Permits</t>
  </si>
  <si>
    <t>Other Construction Costs</t>
  </si>
  <si>
    <t>Pre-prod</t>
  </si>
  <si>
    <t>Legal Fees</t>
  </si>
  <si>
    <t>CONTROL EQUIPMENT # 1</t>
  </si>
  <si>
    <t>Auxiliary Equipment</t>
  </si>
  <si>
    <t>Primary Control System Cost
or Retrofit Cost</t>
  </si>
  <si>
    <t>Control System Accesories
(PLC, DSC)</t>
  </si>
  <si>
    <t>Control Software  + License fees</t>
  </si>
  <si>
    <t>Aux. Electrical
Instrumentation</t>
  </si>
  <si>
    <t>EQUIPMENT PROCUREMENT COSTS</t>
  </si>
  <si>
    <t>INDIRECT COSTS INCLUDED IN EQP COST</t>
  </si>
  <si>
    <t>Service, Testing, Modelling Contracts</t>
  </si>
  <si>
    <t>CUMULATIVE EQUIPMENT COST</t>
  </si>
  <si>
    <t>DIRECT COST</t>
  </si>
  <si>
    <t>Total Direct Cost</t>
  </si>
  <si>
    <t>INDIRECT COST</t>
  </si>
  <si>
    <t>Indirect Cost - Gen Facilities</t>
  </si>
  <si>
    <t>Indirect Cost - Eng &amp; Office</t>
  </si>
  <si>
    <t>Indirect Cost - Process Contingency</t>
  </si>
  <si>
    <t>Indirect Costs Estm</t>
  </si>
  <si>
    <t>Services &amp; Testing Contracts</t>
  </si>
  <si>
    <t>(may be included in Owner's Cost)</t>
  </si>
  <si>
    <t>SET-UP COSTS</t>
  </si>
  <si>
    <t>Total Eqp Cost subject to 
Taxes &amp; Freight</t>
  </si>
  <si>
    <t>Equipment #2 Cost
reported by stk</t>
  </si>
  <si>
    <t>Equipment #1 Cost
reported by stk</t>
  </si>
  <si>
    <t>Piping, Ftgs, Ductwork, Insulation</t>
  </si>
  <si>
    <t>Selective Catalytic Reduction (SCR) with ID fans</t>
  </si>
  <si>
    <t>Equipment Cost Reported per Unit</t>
  </si>
  <si>
    <r>
      <t xml:space="preserve">Primary Control(s) </t>
    </r>
    <r>
      <rPr>
        <sz val="10"/>
        <color indexed="8"/>
        <rFont val="Arial"/>
        <family val="2"/>
      </rPr>
      <t xml:space="preserve">(Cumulative Cost)
</t>
    </r>
    <r>
      <rPr>
        <b/>
        <sz val="10"/>
        <color indexed="8"/>
        <rFont val="Arial"/>
        <family val="2"/>
      </rPr>
      <t>per unit</t>
    </r>
  </si>
  <si>
    <t>(Eqp # 1 + Eqp #2)</t>
  </si>
  <si>
    <t>Primary Control Cost</t>
  </si>
  <si>
    <r>
      <rPr>
        <b/>
        <sz val="10"/>
        <color rgb="FF0000FF"/>
        <rFont val="Arial"/>
        <family val="2"/>
      </rPr>
      <t xml:space="preserve">(Factored) </t>
    </r>
    <r>
      <rPr>
        <b/>
        <sz val="10"/>
        <color indexed="8"/>
        <rFont val="Arial"/>
        <family val="2"/>
      </rPr>
      <t>Indirect Installation Cost</t>
    </r>
  </si>
  <si>
    <r>
      <rPr>
        <b/>
        <sz val="10"/>
        <color rgb="FF0000FF"/>
        <rFont val="Arial"/>
        <family val="2"/>
      </rPr>
      <t>(Factored)</t>
    </r>
    <r>
      <rPr>
        <b/>
        <sz val="10"/>
        <color indexed="8"/>
        <rFont val="Arial"/>
        <family val="2"/>
      </rPr>
      <t xml:space="preserve"> Direct Installation Cost</t>
    </r>
  </si>
  <si>
    <r>
      <t xml:space="preserve">Indirect Cost % vs Composite Cost </t>
    </r>
    <r>
      <rPr>
        <sz val="10"/>
        <color indexed="8"/>
        <rFont val="Arial"/>
        <family val="2"/>
      </rPr>
      <t>(EqC+DC)</t>
    </r>
  </si>
  <si>
    <r>
      <t xml:space="preserve">Contingency 
% vs Composite Cost
</t>
    </r>
    <r>
      <rPr>
        <sz val="10"/>
        <color indexed="8"/>
        <rFont val="Arial"/>
        <family val="2"/>
      </rPr>
      <t>(EqC+DC+IC)</t>
    </r>
  </si>
  <si>
    <t>(Aux Eqpt, El, Control Acc, Piping)</t>
  </si>
  <si>
    <t>Btu/hr</t>
  </si>
  <si>
    <t>Manufacturer</t>
  </si>
  <si>
    <t>OPERATION REFERENCE # 1</t>
  </si>
  <si>
    <t>OPERATION REFERENCE # 2</t>
  </si>
  <si>
    <t>OPERATION REFERENCE # 3</t>
  </si>
  <si>
    <t>Operation Time Period Reference No. 1</t>
  </si>
  <si>
    <r>
      <t xml:space="preserve">Operation Time Period Reference No. 2
</t>
    </r>
    <r>
      <rPr>
        <b/>
        <sz val="10"/>
        <color rgb="FFFF0000"/>
        <rFont val="Arial"/>
        <family val="2"/>
      </rPr>
      <t>(Stk Report)</t>
    </r>
  </si>
  <si>
    <r>
      <t xml:space="preserve">Operation Time Period Reference No. 3
</t>
    </r>
    <r>
      <rPr>
        <b/>
        <sz val="10"/>
        <color rgb="FF0000FF"/>
        <rFont val="Arial"/>
        <family val="2"/>
      </rPr>
      <t>(CAIR OS - max within last 3 yrs)</t>
    </r>
  </si>
  <si>
    <t>CUMMULATIVE EQUIPMENT CAPITAL COSTS PER UNIT</t>
  </si>
  <si>
    <t>PRIMARY CONTROLS COSTS</t>
  </si>
  <si>
    <t>AUXILIARY EQUIPMENT</t>
  </si>
  <si>
    <t>EQUIPMENT COST PER MW NOM</t>
  </si>
  <si>
    <r>
      <t>Total Capital Cost per Unit</t>
    </r>
    <r>
      <rPr>
        <sz val="10"/>
        <color indexed="8"/>
        <rFont val="Arial"/>
        <family val="2"/>
      </rPr>
      <t xml:space="preserve"> (clc chck)</t>
    </r>
  </si>
  <si>
    <t>DIRECT + INDIRECT + CONTINGENCY + CAPITAL COSTS PER UNIT</t>
  </si>
  <si>
    <t>DIRECT + INDIRECT COSTS</t>
  </si>
  <si>
    <t>CONTINGENCY</t>
  </si>
  <si>
    <t>TOTAL CAPITAL COST PER UNIT</t>
  </si>
  <si>
    <t>ANNUAL COSTS - TOTALS PER GROUP</t>
  </si>
  <si>
    <t>ANNUAL COSTS - TOTALS PER UNIT</t>
  </si>
  <si>
    <t>NOx CONTROL -  (CE) COST EFFECTIVENESS per STK REPORT DATA</t>
  </si>
  <si>
    <r>
      <rPr>
        <sz val="10"/>
        <color indexed="8"/>
        <rFont val="Arial"/>
        <family val="2"/>
      </rPr>
      <t xml:space="preserve">(Added) </t>
    </r>
    <r>
      <rPr>
        <b/>
        <sz val="10"/>
        <color indexed="8"/>
        <rFont val="Arial"/>
        <family val="2"/>
      </rPr>
      <t>Maintenance Cost</t>
    </r>
  </si>
  <si>
    <r>
      <t>ANNUAL VARIABLE COST -</t>
    </r>
    <r>
      <rPr>
        <sz val="10"/>
        <color indexed="8"/>
        <rFont val="Arial"/>
        <family val="2"/>
      </rPr>
      <t xml:space="preserve"> per group</t>
    </r>
  </si>
  <si>
    <t>TOTAL ANNUAL COST
(per report)</t>
  </si>
  <si>
    <r>
      <t xml:space="preserve">TOTAL ANNUAL COST
</t>
    </r>
    <r>
      <rPr>
        <sz val="10"/>
        <color indexed="8"/>
        <rFont val="Arial"/>
        <family val="2"/>
      </rPr>
      <t>(per report)</t>
    </r>
  </si>
  <si>
    <r>
      <t xml:space="preserve">CAPITAL RECOVERY
</t>
    </r>
    <r>
      <rPr>
        <sz val="10"/>
        <color indexed="8"/>
        <rFont val="Arial"/>
        <family val="2"/>
      </rPr>
      <t>(as shown in stk report)</t>
    </r>
  </si>
  <si>
    <r>
      <t xml:space="preserve">PLANT OVERHEAD
</t>
    </r>
    <r>
      <rPr>
        <sz val="10"/>
        <color indexed="8"/>
        <rFont val="Arial"/>
        <family val="2"/>
      </rPr>
      <t>30% (M)</t>
    </r>
  </si>
  <si>
    <r>
      <t xml:space="preserve">G&amp;A TAX, INSURANCE
</t>
    </r>
    <r>
      <rPr>
        <sz val="10"/>
        <color indexed="8"/>
        <rFont val="Arial"/>
        <family val="2"/>
      </rPr>
      <t>(4% Eqp C)</t>
    </r>
  </si>
  <si>
    <t>(M)</t>
  </si>
  <si>
    <r>
      <t>ANNUAL VARIABLE COST -</t>
    </r>
    <r>
      <rPr>
        <sz val="10"/>
        <color indexed="8"/>
        <rFont val="Arial"/>
        <family val="2"/>
      </rPr>
      <t xml:space="preserve"> per unit</t>
    </r>
  </si>
  <si>
    <r>
      <t xml:space="preserve">TOTAL ANNUAL COST
</t>
    </r>
    <r>
      <rPr>
        <sz val="10"/>
        <color indexed="8"/>
        <rFont val="Arial"/>
        <family val="2"/>
      </rPr>
      <t>(clc)</t>
    </r>
  </si>
  <si>
    <t>Total Annual Cost Verification</t>
  </si>
  <si>
    <t>Total Annual Cost Deviation
%</t>
  </si>
  <si>
    <t>TOTAL DIRECT ANNUAL COST</t>
  </si>
  <si>
    <t>Total Variable Costs</t>
  </si>
  <si>
    <t>for Turbines, Diesel Eng</t>
  </si>
  <si>
    <t>for Utility Boilers</t>
  </si>
  <si>
    <t>for SCR only, if η is given</t>
  </si>
  <si>
    <t>For Utility Boilers Controlled NOx (R) was assumed 0.150 lbs/MMBtu</t>
  </si>
  <si>
    <t>Controlled NOx rate was assessed by stakeholder</t>
  </si>
  <si>
    <t>Reduction Efficiency</t>
  </si>
  <si>
    <t>NOx CONTROL TECHNOLOGY</t>
  </si>
  <si>
    <t>ACHIEVABLE (TARGET) NOx REDUCTION SPECIFICATIONS</t>
  </si>
  <si>
    <t>NOx Rate Min Achievable Level</t>
  </si>
  <si>
    <t>Control Option ID</t>
  </si>
  <si>
    <t>Cost allocation</t>
  </si>
  <si>
    <t>(col #)</t>
  </si>
  <si>
    <t>Construction Contracts
Installation Cost</t>
  </si>
  <si>
    <t>Structural Mat'ls &amp; Modifications
Foundations &amp; Support</t>
  </si>
  <si>
    <t>CONTROL EQUIPMENT # 2 AND OTHER COMBINATION OF TECHNOLOGIES CUMMULATIVE COSTS</t>
  </si>
  <si>
    <t>Building(s)
Furnish and Erect Contracts</t>
  </si>
  <si>
    <t>Engineering
Contractor Direct Costs
Contractor Agreements</t>
  </si>
  <si>
    <r>
      <t xml:space="preserve">TCC Reported 
</t>
    </r>
    <r>
      <rPr>
        <sz val="10"/>
        <rFont val="Arial"/>
        <family val="2"/>
      </rPr>
      <t>Total per whole group of identical units</t>
    </r>
  </si>
  <si>
    <t>EQUIPMENT RETROFIT MODIFICATIONS</t>
  </si>
  <si>
    <t>(Existing Units Retrofit Costs)</t>
  </si>
  <si>
    <r>
      <t xml:space="preserve">Primary Units Retrofit (RC) </t>
    </r>
    <r>
      <rPr>
        <sz val="10"/>
        <color indexed="8"/>
        <rFont val="Arial"/>
        <family val="2"/>
      </rPr>
      <t xml:space="preserve">Cumulative Cost
</t>
    </r>
    <r>
      <rPr>
        <b/>
        <sz val="10"/>
        <color indexed="8"/>
        <rFont val="Arial"/>
        <family val="2"/>
      </rPr>
      <t>per unit</t>
    </r>
  </si>
  <si>
    <t>RC % Eqp Cst</t>
  </si>
  <si>
    <t>Existing Equipment Modifications</t>
  </si>
  <si>
    <t>ADJUSTMENTS TO TOTAL CAPITAL COST</t>
  </si>
  <si>
    <t>LOST REVENUES</t>
  </si>
  <si>
    <t>EXISTING EQUIPMENT SALVAGE VALUE</t>
  </si>
  <si>
    <t>Description NOX COntrol System</t>
  </si>
  <si>
    <t>Tag</t>
  </si>
  <si>
    <t xml:space="preserve">(High Pressure) Water Injection </t>
  </si>
  <si>
    <t>(New turbine) Solar Titan 130 - liquid fuel only</t>
  </si>
  <si>
    <t>NEqp(Lq)</t>
  </si>
  <si>
    <t xml:space="preserve">(New turbine) Solar Titan 130 - dual fuel </t>
  </si>
  <si>
    <t>Option</t>
  </si>
  <si>
    <t>2+3+4</t>
  </si>
  <si>
    <t>NG + SCR + HPWI</t>
  </si>
  <si>
    <t>SCR + HPWI</t>
  </si>
  <si>
    <t xml:space="preserve">NEqp (Dual fuel) </t>
  </si>
  <si>
    <t>Lost Rev</t>
  </si>
  <si>
    <t>3+4</t>
  </si>
  <si>
    <t>Convert To Dual Fuel (Natural Gas + Oil backup)</t>
  </si>
  <si>
    <t>stk</t>
  </si>
  <si>
    <t xml:space="preserve">Option </t>
  </si>
  <si>
    <t>Sel</t>
  </si>
  <si>
    <t>Salv Value</t>
  </si>
  <si>
    <t xml:space="preserve">Convert To Natural Gas </t>
  </si>
  <si>
    <t>CO Catalyst</t>
  </si>
  <si>
    <t>HPWI + well</t>
  </si>
  <si>
    <t>NEqp NG</t>
  </si>
  <si>
    <t>Turbine Modifications</t>
  </si>
  <si>
    <t>Mod</t>
  </si>
  <si>
    <t>Cookie Cutter Air delection</t>
  </si>
  <si>
    <t>CC-AD</t>
  </si>
  <si>
    <t>Dual Fule + HPWI+SCR+CO</t>
  </si>
  <si>
    <t>1+2+3+4+5</t>
  </si>
  <si>
    <t>HPWI+SCR+CO</t>
  </si>
  <si>
    <t>3+4+5</t>
  </si>
  <si>
    <t>1+6</t>
  </si>
  <si>
    <t xml:space="preserve">New Eqp - GE </t>
  </si>
  <si>
    <t>New Eqp - GE  on Nat Gas</t>
  </si>
  <si>
    <t>CC-AD + HPWI</t>
  </si>
  <si>
    <t>5+7</t>
  </si>
  <si>
    <t>Dual Fuiel NatGas + Oil</t>
  </si>
  <si>
    <t>Solar Titan 130 - new oil fired turbine</t>
  </si>
  <si>
    <t>Owner's Costs
Start-up
Permits</t>
  </si>
  <si>
    <t>Estm Contingency
Ec, Site, Project</t>
  </si>
  <si>
    <t>Constr. Contingency</t>
  </si>
  <si>
    <r>
      <t>CONT. fac</t>
    </r>
    <r>
      <rPr>
        <sz val="10"/>
        <rFont val="Arial"/>
        <family val="2"/>
      </rPr>
      <t>tored if reported)</t>
    </r>
  </si>
  <si>
    <t>TOTAL CONTINGENCY</t>
  </si>
  <si>
    <t>OVERHEAD &amp; PROFIT</t>
  </si>
  <si>
    <t>OVERHEAD</t>
  </si>
  <si>
    <t>PROFIT</t>
  </si>
  <si>
    <t>Dual Fuel (Natural Gas with Liquid Backup)</t>
  </si>
  <si>
    <t>TOTAL CAPITAL COST (per whole group)</t>
  </si>
  <si>
    <t>TOTAL CAPITAL COST BEFORE ADJ</t>
  </si>
  <si>
    <t>TOTAL CAPITAL COST REPORTED BY STK</t>
  </si>
  <si>
    <r>
      <t xml:space="preserve">Diff TCC % </t>
    </r>
    <r>
      <rPr>
        <sz val="10"/>
        <color indexed="8"/>
        <rFont val="Arial"/>
        <family val="2"/>
      </rPr>
      <t>calculated vs. reported</t>
    </r>
  </si>
  <si>
    <t>TCC - per unit</t>
  </si>
  <si>
    <t xml:space="preserve">If not reported Eqp Cost  = TCC </t>
  </si>
  <si>
    <t>If not reported Primary Control Cost = Eqp Cost</t>
  </si>
  <si>
    <t>PERMITTING</t>
  </si>
  <si>
    <t>ESTM CHECK</t>
  </si>
  <si>
    <t>Cummulative Sructural Mod costs per unit</t>
  </si>
  <si>
    <t>Cum Permitting Costs per unit</t>
  </si>
  <si>
    <t>PROCUREMENT COST</t>
  </si>
  <si>
    <r>
      <t xml:space="preserve">Total Eqp Cost subject to 
Taxes &amp; Freight
</t>
    </r>
    <r>
      <rPr>
        <sz val="10"/>
        <color indexed="8"/>
        <rFont val="Arial"/>
        <family val="2"/>
      </rPr>
      <t>(no Easement Mod &amp; Permits</t>
    </r>
  </si>
  <si>
    <t>PRIMARY CONTROLS TOTAL COST</t>
  </si>
  <si>
    <t>(aux eqp + eqp retrofit cost, included)</t>
  </si>
  <si>
    <t>STRUCTURAL MAT"LS &amp; MODIFICATION</t>
  </si>
  <si>
    <t>EASEMENT MODFICATION</t>
  </si>
  <si>
    <t>(included in Eqp cost,
but usually is in Direct Cost)</t>
  </si>
  <si>
    <t>(air permits  + other included in Eqp cost, usually in  Owner Costs)</t>
  </si>
  <si>
    <t>(no Easement Mod &amp; Permits)</t>
  </si>
  <si>
    <t>DIRECT COSTS INCLUDED IN EQP COST</t>
  </si>
  <si>
    <t>Foundations, Support Mat's &amp; other Costr Contracts included in Eqp Cost</t>
  </si>
  <si>
    <t>Easement Modification Cost</t>
  </si>
  <si>
    <t>EASEMENT MODIF.</t>
  </si>
  <si>
    <t>TAXES &amp; FREIGHT</t>
  </si>
  <si>
    <t>DIRECT COST 
(re-clc)</t>
  </si>
  <si>
    <t>INDIRECT COST
(re-clc)</t>
  </si>
  <si>
    <t>CONTINGENCY COST
(re-clc)</t>
  </si>
  <si>
    <t>DIRECT, INDIRECT &amp; CONTINGENCY COSTS</t>
  </si>
  <si>
    <t>EQIPMENT COST CORRECTED</t>
  </si>
  <si>
    <t>TCC CORRECTED</t>
  </si>
  <si>
    <t>DC Fctr</t>
  </si>
  <si>
    <t>IC Fctr</t>
  </si>
  <si>
    <t>Pre-Prod Fctr</t>
  </si>
  <si>
    <t>Inv Fctr</t>
  </si>
  <si>
    <t>EQUIP COST 
(re-clc)</t>
  </si>
  <si>
    <t>CLC IDX</t>
  </si>
  <si>
    <t>Cost Analysis Method:
1 - Std
2 - Prog
3 - Custom</t>
  </si>
  <si>
    <t>1 - Std</t>
  </si>
  <si>
    <t>2 - Prog</t>
  </si>
  <si>
    <t>4 - Custom</t>
  </si>
  <si>
    <t>3- Alternate</t>
  </si>
  <si>
    <t>Std - 1</t>
  </si>
  <si>
    <t>Prog - 2</t>
  </si>
  <si>
    <t>Alt - 3</t>
  </si>
  <si>
    <t>CONSTR. 
CONT</t>
  </si>
  <si>
    <t>TAXES &amp; CONT FACTORS</t>
  </si>
  <si>
    <t>Contingency Fctrs</t>
  </si>
  <si>
    <t>Overhead</t>
  </si>
  <si>
    <t>Profit</t>
  </si>
  <si>
    <t>Owner/Operator
Name /Initials</t>
  </si>
  <si>
    <t>Fuel</t>
  </si>
  <si>
    <t>Seq
No.</t>
  </si>
  <si>
    <t>NOx CONTROL SYSTEM(S)</t>
  </si>
  <si>
    <t>NOx UNCONTROLLED REFERENCE RATE</t>
  </si>
  <si>
    <t>STAKEHOLDER'S PROPOSED NOx REDUCTION SPECIFICATIONS</t>
  </si>
  <si>
    <t>EMISSION UNIT TAG SPECIFICATIONS</t>
  </si>
  <si>
    <t>Nom.Reduction Efficiency</t>
  </si>
  <si>
    <t>Avg hrs
(per Stk)</t>
  </si>
  <si>
    <t>Avg Heat Input</t>
  </si>
  <si>
    <t>Avg Heat Input Rate</t>
  </si>
  <si>
    <t>Heat Input Rate</t>
  </si>
  <si>
    <t>Stakeholder's Selected Uncontrolled NOx Rate</t>
  </si>
  <si>
    <t>ppm</t>
  </si>
  <si>
    <t>COST EFF
(per report)</t>
  </si>
  <si>
    <t>COST EFF Chck
(per report)</t>
  </si>
  <si>
    <t>STK REPORTED ANNUAL COSTS</t>
  </si>
  <si>
    <r>
      <t xml:space="preserve">NOx (R) - </t>
    </r>
    <r>
      <rPr>
        <sz val="10"/>
        <color indexed="8"/>
        <rFont val="Arial"/>
        <family val="2"/>
      </rPr>
      <t xml:space="preserve">per group </t>
    </r>
    <r>
      <rPr>
        <b/>
        <sz val="10"/>
        <color indexed="8"/>
        <rFont val="Arial"/>
        <family val="2"/>
      </rPr>
      <t xml:space="preserve">
</t>
    </r>
    <r>
      <rPr>
        <sz val="10"/>
        <color indexed="8"/>
        <rFont val="Arial"/>
        <family val="2"/>
      </rPr>
      <t>(if none enter 1 ton)</t>
    </r>
  </si>
  <si>
    <t>Combination of Control Technologies
LNB + OFA + SNCR</t>
  </si>
  <si>
    <t>Combination of Control Technologies
LNB + OFA + FGR</t>
  </si>
  <si>
    <t>2009 operation</t>
  </si>
  <si>
    <t>NOx (R) Reduced per Group Combined
(provided by stk)</t>
  </si>
  <si>
    <t>NOx (R) Reduced avg per unit
(provided by stk)</t>
  </si>
  <si>
    <t>NOx (R) Reduced
per unit</t>
  </si>
  <si>
    <t xml:space="preserve">Unit NOx Rate - </t>
  </si>
  <si>
    <r>
      <rPr>
        <i/>
        <u/>
        <sz val="10"/>
        <color theme="1"/>
        <rFont val="Arial"/>
        <family val="2"/>
      </rPr>
      <t>Note</t>
    </r>
    <r>
      <rPr>
        <sz val="10"/>
        <color theme="1"/>
        <rFont val="Arial"/>
        <family val="2"/>
      </rPr>
      <t>:</t>
    </r>
  </si>
  <si>
    <r>
      <t xml:space="preserve">SCR Efficiency, </t>
    </r>
    <r>
      <rPr>
        <sz val="10"/>
        <color theme="1"/>
        <rFont val="Calibri"/>
        <family val="2"/>
      </rPr>
      <t>η</t>
    </r>
    <r>
      <rPr>
        <sz val="10"/>
        <color theme="1"/>
        <rFont val="Arial"/>
        <family val="2"/>
      </rPr>
      <t xml:space="preserve"> = 70% - per NRG</t>
    </r>
  </si>
  <si>
    <t>NEqp(dual fuel)</t>
  </si>
  <si>
    <t>Average Fuel Use Rate</t>
  </si>
  <si>
    <t>Annual Total Hours of Operation</t>
  </si>
  <si>
    <t>(Uncontrolled) NOx Emission Rate</t>
  </si>
  <si>
    <t>(Uncontrolled) NOx Emission (tons/yr)</t>
  </si>
  <si>
    <t>Dual Fuel + HPWI+SCR+CO</t>
  </si>
  <si>
    <t>Dual Fuel NatGas + Oil</t>
  </si>
  <si>
    <t>η %</t>
  </si>
  <si>
    <t xml:space="preserve">Controlled NOx </t>
  </si>
  <si>
    <t>Removed NOx</t>
  </si>
  <si>
    <t>NOx Emission Rates / or Control Efficiency - Override Value Selection</t>
  </si>
  <si>
    <r>
      <t xml:space="preserve">Per NRG - NOx RACT tests performed in 2008 on Cos Cob Units 10 - 14 (equipped w/ HPWI), 2008 indicate a NOx emission rate in the range of 0.171 to 0.194 lb/MMBtu
Hence for all NRG units a </t>
    </r>
    <r>
      <rPr>
        <b/>
        <sz val="10"/>
        <color theme="1"/>
        <rFont val="Arial"/>
        <family val="2"/>
      </rPr>
      <t>0.194 lb/MMBtu</t>
    </r>
    <r>
      <rPr>
        <sz val="10"/>
        <color theme="1"/>
        <rFont val="Arial"/>
        <family val="2"/>
      </rPr>
      <t xml:space="preserve"> rate was selected </t>
    </r>
  </si>
  <si>
    <t>a 90% SCR effciency is considered achievable</t>
  </si>
  <si>
    <t>same rate as CCOFA</t>
  </si>
  <si>
    <t>as above for the same control type</t>
  </si>
  <si>
    <t>REMARKS</t>
  </si>
  <si>
    <t>0.194 lb/MMBtu is an achievable emission rate confirmed by NRG for facilities with HPWI controls systems (Cos Cob units)</t>
  </si>
  <si>
    <t>It is assumed that (in general) NOx Controls maintain the same efficiency within the nominal operational range of Heat Input</t>
  </si>
  <si>
    <t>Consequently NOx Controlled Rate varies with Heat Input, higher MMBtu means higher lb/MMBtu NOx rates</t>
  </si>
  <si>
    <t>The above is valid, only if the controls have same (assumed) efficiency at higher Heat Input</t>
  </si>
  <si>
    <t>Resulted for CAIR OS recorded Heat Input, the Controlled NOx Rate may be different from the above, if control's efficiency is assumed constant</t>
  </si>
  <si>
    <t>HI is not known</t>
  </si>
  <si>
    <t>PLANT OVERHEAD
30% (M)</t>
  </si>
  <si>
    <t>G&amp;A TAX, INSURANCE
(4% Eqp C)</t>
  </si>
  <si>
    <t>INDIRECT ANNUAL COSTS</t>
  </si>
  <si>
    <t>ANL IC Fctr</t>
  </si>
  <si>
    <t>Annual Indirect Cost Fctr</t>
  </si>
  <si>
    <t>ANNUAL VARIABLE COSTS - TOTALS PER GROUP</t>
  </si>
  <si>
    <r>
      <t>DIRECT ANNUAL COST -</t>
    </r>
    <r>
      <rPr>
        <sz val="10"/>
        <color indexed="8"/>
        <rFont val="Arial"/>
        <family val="2"/>
      </rPr>
      <t xml:space="preserve"> per group</t>
    </r>
  </si>
  <si>
    <t>TOTAL INDIRECT ANNUAL COST</t>
  </si>
  <si>
    <t>TOTAL 
DIRECT 
INDIRECT 
COST</t>
  </si>
  <si>
    <t xml:space="preserve">CAPITAL RECOVERY
</t>
  </si>
  <si>
    <t xml:space="preserve">TOTAL ANNUAL COST
</t>
  </si>
  <si>
    <t>BOILERS</t>
  </si>
  <si>
    <t>Emission Unit Type</t>
  </si>
  <si>
    <t>Revsion</t>
  </si>
  <si>
    <t>Rev. Date</t>
  </si>
  <si>
    <t>Today's Date:</t>
  </si>
  <si>
    <t>Facility:</t>
  </si>
  <si>
    <t>ID:</t>
  </si>
  <si>
    <t>Fuel(s) per TA&amp;O and Permit</t>
  </si>
  <si>
    <t>Lowest target AEL</t>
  </si>
  <si>
    <t>Lowest target AEL - Notes</t>
  </si>
  <si>
    <t>UNCONTROLLED NOx - MAX PER YEAR AND PER IDENTICAL UNITS (COMBINED)</t>
  </si>
  <si>
    <t xml:space="preserve">NOx Tons </t>
  </si>
  <si>
    <t>Avg. NOx Rate Clc</t>
  </si>
  <si>
    <r>
      <t xml:space="preserve">Avg. NOx Rate </t>
    </r>
    <r>
      <rPr>
        <b/>
        <sz val="10"/>
        <color indexed="10"/>
        <rFont val="Arial"/>
        <family val="2"/>
      </rPr>
      <t>Selected</t>
    </r>
  </si>
  <si>
    <t>based on NRG Heat Input for 2010,209 and 2008</t>
  </si>
  <si>
    <t>EPA CAIR OS Data not Available - Results are based on NRG data.</t>
  </si>
  <si>
    <t>EPA's CAIROS REPORT SUMMARY</t>
  </si>
  <si>
    <t>EPA OS Reported Operating Time</t>
  </si>
  <si>
    <t>Avg. NOx Rate (reported)</t>
  </si>
  <si>
    <t>Avg. NOx Rate (calculated)</t>
  </si>
  <si>
    <t>Fuel Type(s) (Primary)/per EPA report</t>
  </si>
  <si>
    <t xml:space="preserve">OPERATOR ASSESSMENT REPORT </t>
  </si>
  <si>
    <t>Report Issued  (Y/N)</t>
  </si>
  <si>
    <t>Data above is per emission unit</t>
  </si>
  <si>
    <t>Installed NOx Controls</t>
  </si>
  <si>
    <t>(per EPA CAIROS Report)</t>
  </si>
  <si>
    <t>Data Considered for Assessment</t>
  </si>
  <si>
    <t>Site Condition</t>
  </si>
  <si>
    <t>Feasible. A station of water demineralization treatment as well as additional pumps filters and transport accessories are needed. Both are added costs. Rental is not an option due to ISO reliability.</t>
  </si>
  <si>
    <t>Stakholder Assessment</t>
  </si>
  <si>
    <t>Stakeholder Notes</t>
  </si>
  <si>
    <t>Addition of a drop-in replacement burners cans kit developed by Wood Group and Pratt &amp; Whitney. Engine re-work was limited to addition of fuel feed - the existing controls were re-used. The solution proved to have a reduced reliability due to early failures of the hot sections of the device. Most of the machines equipped with such kits are being re-converted.</t>
  </si>
  <si>
    <t>Rejected</t>
  </si>
  <si>
    <t>Not reliable; not cost effective</t>
  </si>
  <si>
    <t>NOx Control 
Description</t>
  </si>
  <si>
    <t>NOx Control Technology  or 
Combination of Technologies
Proposed</t>
  </si>
  <si>
    <t xml:space="preserve">REFERENCE ID </t>
  </si>
  <si>
    <t>TABLE OF CONTENTS</t>
  </si>
  <si>
    <t>List
No.</t>
  </si>
  <si>
    <t>Facility Tag</t>
  </si>
  <si>
    <t>Owner
Operator</t>
  </si>
  <si>
    <t>REFERENCE LIST NO's</t>
  </si>
  <si>
    <t>Lst No.</t>
  </si>
  <si>
    <t>Site Utilities Assesment</t>
  </si>
  <si>
    <t>Existing fuel tank must be replaced by new smaller tanks. 
City water is available to supply 200-250 gpm for a new low NOx reduction equipment.</t>
  </si>
  <si>
    <t>NOx Reduction Technologies Proposed by Stakeholder</t>
  </si>
  <si>
    <t>FACILITY &amp; EMISSION UNIT SPECIFICATIONS</t>
  </si>
  <si>
    <t>1 - 53</t>
  </si>
  <si>
    <t xml:space="preserve">   Enter here Emission</t>
  </si>
  <si>
    <t>Natural Gas, No.2 oil</t>
  </si>
  <si>
    <t>EPA DATA - Yr around</t>
  </si>
  <si>
    <t>No Months Reported</t>
  </si>
  <si>
    <t>─</t>
  </si>
  <si>
    <t>Instrumentation</t>
  </si>
  <si>
    <t>Sales Tax</t>
  </si>
  <si>
    <t>Freight</t>
  </si>
  <si>
    <t>Direct Installation Costs</t>
  </si>
  <si>
    <t>Indirect Installation Costs</t>
  </si>
  <si>
    <t>Construction Expenses</t>
  </si>
  <si>
    <t>Field Expenses</t>
  </si>
  <si>
    <t>Contractor Fees</t>
  </si>
  <si>
    <t>TOTAL INDIRECT COST</t>
  </si>
  <si>
    <t>TOTAL DIRECT COST</t>
  </si>
  <si>
    <t>BUILDING</t>
  </si>
  <si>
    <t>SITE PREPARATION</t>
  </si>
  <si>
    <t>Handling and Erection</t>
  </si>
  <si>
    <t>Preproduction Costs</t>
  </si>
  <si>
    <t>•</t>
  </si>
  <si>
    <t>Process Contingency</t>
  </si>
  <si>
    <t>Project Contingency</t>
  </si>
  <si>
    <t>General Facilities Costs</t>
  </si>
  <si>
    <t>Engineering and Home Office</t>
  </si>
  <si>
    <t>Engineering Contracts</t>
  </si>
  <si>
    <t>Office Fees</t>
  </si>
  <si>
    <t>B</t>
  </si>
  <si>
    <t>TOTAL INDIRECT INSTALLATION COST = B</t>
  </si>
  <si>
    <t>TOTAL CONTINGENCY = C</t>
  </si>
  <si>
    <t>Allowance for Funds during Construction</t>
  </si>
  <si>
    <t>E</t>
  </si>
  <si>
    <t>Royalty Allowance</t>
  </si>
  <si>
    <t>F</t>
  </si>
  <si>
    <t>TOTAL CAPITAL COST = D + E + F + G + H + I</t>
  </si>
  <si>
    <t>G</t>
  </si>
  <si>
    <t>2% (D+E)</t>
  </si>
  <si>
    <t>Initial Accessories Cost</t>
  </si>
  <si>
    <t>Initial Chemicals Cost</t>
  </si>
  <si>
    <t>H</t>
  </si>
  <si>
    <t>C</t>
  </si>
  <si>
    <t>15% (A+B)</t>
  </si>
  <si>
    <t>–</t>
  </si>
  <si>
    <r>
      <rPr>
        <sz val="10"/>
        <color theme="1"/>
        <rFont val="Arial"/>
        <family val="2"/>
      </rPr>
      <t>●</t>
    </r>
    <r>
      <rPr>
        <sz val="10"/>
        <color theme="1"/>
        <rFont val="Arial"/>
        <family val="2"/>
      </rPr>
      <t xml:space="preserve"> Diesel Engines - List No 15, including (2) two identical emission units</t>
    </r>
  </si>
  <si>
    <t>Summary:</t>
  </si>
  <si>
    <t>XXXX-YY-ZZ</t>
  </si>
  <si>
    <t>XXXX</t>
  </si>
  <si>
    <t>XXXX-YY</t>
  </si>
  <si>
    <t>TA&amp;O ID, a 4 digit registration number assigned by DEEP</t>
  </si>
  <si>
    <t>Emission Unit ID, a composite number derived from TA&amp;O ID followed by a dash separator and a two digit sequencial number of all units listed withn a TA&amp;O</t>
  </si>
  <si>
    <t>NOx Control ID within for a designated emission unit, a composite number derived from unit ID, by adding a dash separator followed by a two digit sequencial number , uniques for each control analyzed.</t>
  </si>
  <si>
    <r>
      <rPr>
        <sz val="10"/>
        <color theme="1"/>
        <rFont val="Arial"/>
        <family val="2"/>
      </rPr>
      <t>●</t>
    </r>
    <r>
      <rPr>
        <sz val="10"/>
        <color theme="1"/>
        <rFont val="Arial"/>
        <family val="2"/>
      </rPr>
      <t xml:space="preserve"> Combustion Turbines - List No's 1 through 14, including 27 emission units</t>
    </r>
  </si>
  <si>
    <r>
      <rPr>
        <sz val="10"/>
        <color theme="1"/>
        <rFont val="Arial"/>
        <family val="2"/>
      </rPr>
      <t>●</t>
    </r>
    <r>
      <rPr>
        <sz val="10"/>
        <color theme="1"/>
        <rFont val="Arial"/>
        <family val="2"/>
      </rPr>
      <t xml:space="preserve"> Utility Boilers  - List No's 16 through 25, including 10 emission units</t>
    </r>
  </si>
  <si>
    <t>TURBINES &amp; DIESEL ENG. - CRF</t>
  </si>
  <si>
    <t>UTILITY BOILERS - CRF</t>
  </si>
  <si>
    <t>None, per NRG report; 
Water Injection since Jun 2008 per EPA.</t>
  </si>
  <si>
    <t>The record data include:</t>
  </si>
  <si>
    <t>●</t>
  </si>
  <si>
    <t>Emission unit DEEP registration records</t>
  </si>
  <si>
    <t>Unit ID, Site location, Equipment Specification (Model, Manufacturer, Size, Fuel, Nominal Capacity, Age)</t>
  </si>
  <si>
    <t>Unit's EPA CAIROS data for the last three years, 2010, 2009 and 2008</t>
  </si>
  <si>
    <t xml:space="preserve">Unit emission rates, stack test, FLER and AEL </t>
  </si>
  <si>
    <t xml:space="preserve">Stakeholder report NOx emission rates and annual NOx discharge considered for cost analysis </t>
  </si>
  <si>
    <t>Stakeholder site condition assessment and proposed NOx control technology</t>
  </si>
  <si>
    <t xml:space="preserve">   Unit's List No.       ▬►</t>
  </si>
  <si>
    <t>Regulatory Fees and Permits</t>
  </si>
  <si>
    <t>Control System Accesories
(PLC, DCS)</t>
  </si>
  <si>
    <t>Piping, Valves and Fittings</t>
  </si>
  <si>
    <t>Fuel Manifold &amp; Controller</t>
  </si>
  <si>
    <t>Existing Equipment Relocation</t>
  </si>
  <si>
    <t>Tanks</t>
  </si>
  <si>
    <t>Stack Equipment</t>
  </si>
  <si>
    <t>Stack Foundations</t>
  </si>
  <si>
    <t>Demolition and Clean up</t>
  </si>
  <si>
    <t>Control Operation Panel/Display</t>
  </si>
  <si>
    <t>Power Control Modules (PCM)</t>
  </si>
  <si>
    <t>Structural Steel Materials</t>
  </si>
  <si>
    <t>Platforms / Misc. Metals</t>
  </si>
  <si>
    <t xml:space="preserve">Expansion Joints </t>
  </si>
  <si>
    <t>Construction  Power</t>
  </si>
  <si>
    <t>Construction Contracts</t>
  </si>
  <si>
    <t>Equipment Insulation &amp; Lagging</t>
  </si>
  <si>
    <t>Equipment Procurement Cost  =</t>
  </si>
  <si>
    <t>Emission Compliance Testing</t>
  </si>
  <si>
    <t>Noise Testing</t>
  </si>
  <si>
    <t>Site Survey</t>
  </si>
  <si>
    <t>Civil/Structural Testing</t>
  </si>
  <si>
    <t>TOTAL PLANT COST = A + B + C = D</t>
  </si>
  <si>
    <t>Other Indirect Costs / Miscellaneous</t>
  </si>
  <si>
    <t>Project Management</t>
  </si>
  <si>
    <t>DEEP Emission Unit Registration  Records - Col. 3 - 44</t>
  </si>
  <si>
    <t>Facility Location, Owner / Operator Contact Information - Col. 45 - 67</t>
  </si>
  <si>
    <t>NOx Control Cost Analysis Report Reference Information in Col. 68 - 78</t>
  </si>
  <si>
    <t>Emission Unit General Specification (Model, Manufacturer, Size, Fuel, Nominal Capacity, Age) in Col. 79 - 129</t>
  </si>
  <si>
    <t>Emission Rates, Stack Tests Data, FLER, AEL, in Col. 130 - 151</t>
  </si>
  <si>
    <t>Operator Reported Emission Data and Installed Controls, in Col. 130 - 214</t>
  </si>
  <si>
    <t>EMISSION UNITS ID AND RECORD DATA</t>
  </si>
  <si>
    <t>LIST OF 2010 ACTIVE TRADING AGREMENTS &amp; ORDERS</t>
  </si>
  <si>
    <t xml:space="preserve">In order to see an emission unit record data, type the unit's listed number in the designated box below (cell C20) </t>
  </si>
  <si>
    <t>City of Norwich - Dept. of Public Untilities</t>
  </si>
  <si>
    <t>Bridgeport Harbor Station 4</t>
  </si>
  <si>
    <t>Cos Cob 10-12</t>
  </si>
  <si>
    <t>Cos Cob 13-14</t>
  </si>
  <si>
    <t>Torrington Terminal 10</t>
  </si>
  <si>
    <t>Middletown 10</t>
  </si>
  <si>
    <t>Norwalk Harbor Station 10</t>
  </si>
  <si>
    <t>Devon 10</t>
  </si>
  <si>
    <t>Devon 11-14</t>
  </si>
  <si>
    <t>Montville 10 -11</t>
  </si>
  <si>
    <t>Middletown 2</t>
  </si>
  <si>
    <t>Middletown 3</t>
  </si>
  <si>
    <t>Middletown 4</t>
  </si>
  <si>
    <t>Montville 5</t>
  </si>
  <si>
    <t>Montville 6</t>
  </si>
  <si>
    <t>Norwalk Harbor Station 2</t>
  </si>
  <si>
    <t>New Haven Harbor 1</t>
  </si>
  <si>
    <t>Bridgeport Harbor Station 2</t>
  </si>
  <si>
    <t>Bridgeport Harbor Station 3</t>
  </si>
  <si>
    <t>EMISSION UNIT SPECIFICATIONS AND RECORD DATA</t>
  </si>
  <si>
    <t>List No's are hyperlinked to Emission Unit Record page. To see a unit record data, click on the unit's list number in the colum 1 below</t>
  </si>
  <si>
    <t>– An ID number was assisgned to each emission unit - see nomenclature below</t>
  </si>
  <si>
    <t>Group Name</t>
  </si>
  <si>
    <t>Norwalk Harbor Station 1</t>
  </si>
  <si>
    <t>Facility Name
per EPA CAIROS</t>
  </si>
  <si>
    <t>Emission Rate Notes</t>
  </si>
  <si>
    <t>grams/MWh</t>
  </si>
  <si>
    <t>Avg. NOx Rate</t>
  </si>
  <si>
    <t>mths</t>
  </si>
  <si>
    <r>
      <t>*</t>
    </r>
    <r>
      <rPr>
        <sz val="10"/>
        <color rgb="FFFF0000"/>
        <rFont val="Arial"/>
        <family val="2"/>
      </rPr>
      <t xml:space="preserve"> Estimated based on NRG Data</t>
    </r>
  </si>
  <si>
    <t>Totals</t>
  </si>
  <si>
    <r>
      <t>*</t>
    </r>
    <r>
      <rPr>
        <sz val="10"/>
        <color rgb="FF0066FF"/>
        <rFont val="Arial"/>
        <family val="2"/>
      </rPr>
      <t xml:space="preserve"> Estimated based on NRG Data</t>
    </r>
  </si>
  <si>
    <t>lb/MMBtu/hr</t>
  </si>
  <si>
    <t>Number of Operating Hours During Ozone Season for TA&amp;O Turbines</t>
  </si>
  <si>
    <t>Number of Operating Hours During Ozone Season for TA&amp;O Boilers</t>
  </si>
  <si>
    <t>Electric Generation During Ozone Season for TA&amp;O Turbines</t>
  </si>
  <si>
    <t>Electric Generation During Ozone Season for TA&amp;O Boilers</t>
  </si>
  <si>
    <t>Ozone Season 2010, 2009 and 2008 NOx Emissions Rates for TA&amp;O Turbines</t>
  </si>
  <si>
    <t>Ozone  Season NOx Emissions &amp; Emission Rate (3-year Average) for TA&amp;O Turbines</t>
  </si>
  <si>
    <t xml:space="preserve">TA&amp;O EMISSION UNITS NOx GRAPHS </t>
  </si>
  <si>
    <t>NOx CONTROL OPTIONS COST ANALYSIS</t>
  </si>
  <si>
    <t>ANNEX</t>
  </si>
  <si>
    <t>SECTION</t>
  </si>
  <si>
    <t>A1</t>
  </si>
  <si>
    <t>A2</t>
  </si>
  <si>
    <t>A3</t>
  </si>
  <si>
    <t>A4</t>
  </si>
  <si>
    <t>TRADE AGREEMENT AND ORDERS  COST ANALYSIS</t>
  </si>
  <si>
    <t>Prepared Date:</t>
  </si>
  <si>
    <t>NOx(C) Assessed Per Unit</t>
  </si>
  <si>
    <t>NOx(C) Assessed per Group Combined
(per stk report)</t>
  </si>
  <si>
    <t>NOx(C) Assessed per Group Combined</t>
  </si>
  <si>
    <t>Cost factor 
Col (4)/(2)</t>
  </si>
  <si>
    <t>Work in progress, PSEG asks for more time to develop a solution, due to limited information on the NOx control technologies feasibility on coal boliers</t>
  </si>
  <si>
    <t>Table 5</t>
  </si>
  <si>
    <t>Data below provided by Stakeholder, is used to assess NOx reduced and Control Effectivess in Section 1 of General Table</t>
  </si>
  <si>
    <t>Data below is used to assess NOx reduced and Control Effectivess in Sections 2 and 3 of General Table</t>
  </si>
  <si>
    <t xml:space="preserve">Capital District Energy </t>
  </si>
  <si>
    <t>DEEP Registration type</t>
  </si>
  <si>
    <t>DEEP Registration No.</t>
  </si>
  <si>
    <t>DEEP Reg. No.
(per Stk Report)</t>
  </si>
  <si>
    <t xml:space="preserve">FirstLight Hydro Generating Company (Owner) </t>
  </si>
  <si>
    <r>
      <rPr>
        <i/>
        <u/>
        <sz val="10"/>
        <color indexed="8"/>
        <rFont val="Arial"/>
        <family val="2"/>
      </rPr>
      <t>Note</t>
    </r>
    <r>
      <rPr>
        <sz val="10"/>
        <color indexed="8"/>
        <rFont val="Arial"/>
        <family val="2"/>
      </rPr>
      <t>: Facility Name above is used to retrieve data from EPA CAIROS</t>
    </r>
  </si>
  <si>
    <t>Water Injection w/ Low Sulfur Fuel Combination</t>
  </si>
  <si>
    <t xml:space="preserve">Existing Water Injection </t>
  </si>
  <si>
    <t>These units Stack Test data (FLER= 0.22 lb/MMBtu) is taken as reference for other facilities as Controlled NOx Rate estimate if HPWI technology is applied.</t>
  </si>
  <si>
    <t>8300-02-01</t>
  </si>
  <si>
    <t>Control option data not provided - No additional NOx controls are feasible, per NRG.</t>
  </si>
  <si>
    <t>8300-03-0</t>
  </si>
  <si>
    <t>8300-04-0</t>
  </si>
  <si>
    <t>8300-05-01</t>
  </si>
  <si>
    <t>Gen Facility</t>
  </si>
  <si>
    <t>Primary Control Device Enclosure</t>
  </si>
  <si>
    <t>Catalyst Box Steel (SCR only)</t>
  </si>
  <si>
    <t>Duct Supports</t>
  </si>
  <si>
    <t>Insulation and Cladding</t>
  </si>
  <si>
    <t>Injectors and Injectors Retract</t>
  </si>
  <si>
    <t>Distributor Module</t>
  </si>
  <si>
    <t>Control Accessories</t>
  </si>
  <si>
    <t>Coordination Engineering</t>
  </si>
  <si>
    <t>Supervisory Personnel</t>
  </si>
  <si>
    <t>Office Personnel</t>
  </si>
  <si>
    <t>Temporary Offices</t>
  </si>
  <si>
    <t xml:space="preserve">Installation Labor and Materials </t>
  </si>
  <si>
    <t>Structural Requirements and Materials</t>
  </si>
  <si>
    <t>Building Construction</t>
  </si>
  <si>
    <t>Foundations, Structures and Supports</t>
  </si>
  <si>
    <t>Furnish and Erect Contracts</t>
  </si>
  <si>
    <t>Fire Protection System</t>
  </si>
  <si>
    <t>Control System Field Assembly</t>
  </si>
  <si>
    <t>Linear Valves and Filters (HPWI )</t>
  </si>
  <si>
    <t>Other Operation and Control Accessories</t>
  </si>
  <si>
    <t xml:space="preserve">Induced Draft Fans </t>
  </si>
  <si>
    <t>Description/Size</t>
  </si>
  <si>
    <t>SCR reactors (1 to 2)</t>
  </si>
  <si>
    <t>Vertical flow type, 805,000 acfm capacity, 44 ft.× 44 ft.× 31 ft. high
(excluding outlet duct and hoppers), equipped with 9,604 ft3 of
ceramic honeycomb catalyst, insulated casing, sootblowers, hoppers,
and hoisting mechanism for catalyst replacement</t>
  </si>
  <si>
    <t>Horizontal tank, 250 psig design pressure, storage tanks 15,000 gal, 34-ton storage capacity</t>
  </si>
  <si>
    <t>Anhydrous ammonia tank (1 or more)</t>
  </si>
  <si>
    <t>Air compressor (2)</t>
  </si>
  <si>
    <t>Centrifugal type, rated at 3,200 acfm and 30 hp motor</t>
  </si>
  <si>
    <t>Vaporizers (2)</t>
  </si>
  <si>
    <t>Mixing chamber</t>
  </si>
  <si>
    <t>Carbon steel vessel for mixing or air and ammonia</t>
  </si>
  <si>
    <t>Ammonia injection grid</t>
  </si>
  <si>
    <t>Stainless steel construction, piping, valves and nozzles</t>
  </si>
  <si>
    <t>Electrical type, rated at 80 kW</t>
  </si>
  <si>
    <t>Sootblowing steam</t>
  </si>
  <si>
    <t>Steam supply piping for the reactor soot-piping blowers, 2" diameter pipe with an on-off control valve and drain and vent valved connections</t>
  </si>
  <si>
    <t>Air ductwork</t>
  </si>
  <si>
    <t>Ductwork between air blowers, mixing chamber, and ammonia injection grid, carbon steel, 14 in. dia., with two isolation butterfly dampers and expansion joints</t>
  </si>
  <si>
    <t>Flue gas ductwork</t>
  </si>
  <si>
    <t>Ductwork modifications to install the SCR modifications reactors, consisting of insulated duct, static mixers, turning vanes, and expansion joints</t>
  </si>
  <si>
    <t>Ash handling</t>
  </si>
  <si>
    <t>Extension of the existing fly ash handling modifications system:  modifications consisting of twelve slide gate valves, twelve material, handling valves, one segregating valve, and ash conveyor piping</t>
  </si>
  <si>
    <t>Induced draft fans</t>
  </si>
  <si>
    <t>Centrifugal type, 650,000 acfm at 34" wg and 4,000 hp motor</t>
  </si>
  <si>
    <t xml:space="preserve">Controls and instrumentation </t>
  </si>
  <si>
    <t>Stand-alone, microprocessor-based controls for the SCR system with feedback from the plant controls for the unit load, NOx emissions, etc., including NOx analyzers, air and ammonia flow monitoring devices, ammonia sensing and alarming devices at the tank area, and other miscellaneous instrumentation</t>
  </si>
  <si>
    <t>Electrical supply</t>
  </si>
  <si>
    <t>Electrical wiring, raceway, and conduit to connect the new equipment and controls to the existing plant supply systems</t>
  </si>
  <si>
    <t>Electrical equipment</t>
  </si>
  <si>
    <t>System service transformer OA/FA/-60 Hz, 1,000/1,250 kVA (65 _x0001_C)</t>
  </si>
  <si>
    <t>Foundations</t>
  </si>
  <si>
    <t>Structural steel</t>
  </si>
  <si>
    <t>Steel for access to and support of the SCR reactors and other equipment, ductwork, and piping</t>
  </si>
  <si>
    <t>Ammonia supply piping diameter, with valves and fittings</t>
  </si>
  <si>
    <t>Piping for ammonia unloading and supply, carbon steel pipe: 1.0"</t>
  </si>
  <si>
    <t xml:space="preserve">Economizer bypass </t>
  </si>
  <si>
    <t>Ductwork addition to increase flue gas temperature during low loads consisting of insulated duct, flow control dampers, static mixers, turning vanes, expansion joints, and an opening in the boiler casing</t>
  </si>
  <si>
    <t>Foundations for the equipment and ductwork/piping, as required</t>
  </si>
  <si>
    <t>Major Equipment List for an SCR Application</t>
  </si>
  <si>
    <t>EPA AIR POLLUTION CONTROL COST MANUAL, 6th Ed - EPA/452/B-02-001, Jan 2002 - Table 2.2 Page 466</t>
  </si>
  <si>
    <t>Source:</t>
  </si>
  <si>
    <t>Power Supply</t>
  </si>
  <si>
    <t>Major Electrical Equipment</t>
  </si>
  <si>
    <t>System Program Control (PLC, DSC)</t>
  </si>
  <si>
    <t>Electrical Equipment</t>
  </si>
  <si>
    <t xml:space="preserve">Misc. Pumps </t>
  </si>
  <si>
    <t>Operation and Control</t>
  </si>
  <si>
    <t>Other Required Equipment</t>
  </si>
  <si>
    <t>Recommended by Manufacturer</t>
  </si>
  <si>
    <t>Recommended by EPA (see Annex 2)</t>
  </si>
  <si>
    <t>Acoustical and Vibration Treatment</t>
  </si>
  <si>
    <t>Construction  Services</t>
  </si>
  <si>
    <t>Modification and Alteration Costs</t>
  </si>
  <si>
    <t>Existing Equipment Repair</t>
  </si>
  <si>
    <t>Construction Incentives</t>
  </si>
  <si>
    <t>Stack Priming / Repair</t>
  </si>
  <si>
    <t>Stack Inspect / Testing</t>
  </si>
  <si>
    <t>Initial Testing Fuel</t>
  </si>
  <si>
    <t>Sales Tax (usually included in costs above)</t>
  </si>
  <si>
    <t>Freight (usually included in costs above)</t>
  </si>
  <si>
    <t>Construction Contingency</t>
  </si>
  <si>
    <t>Project Contingency Factors</t>
  </si>
  <si>
    <t>Economic Conditions</t>
  </si>
  <si>
    <t>Site Factor</t>
  </si>
  <si>
    <t>Other Factors (escalation)</t>
  </si>
  <si>
    <t xml:space="preserve">Total Indirect Installation Cost  </t>
  </si>
  <si>
    <t>Total Contingency  =</t>
  </si>
  <si>
    <t>Buildings Cost (A3)</t>
  </si>
  <si>
    <t>Site Preparation Cost</t>
  </si>
  <si>
    <t>TOTAL DIRECT COST  = A1 + A2 + A3 + A4= A</t>
  </si>
  <si>
    <t>5% (A+B+C)</t>
  </si>
  <si>
    <t>Catalyst Cost (for SCR)</t>
  </si>
  <si>
    <t>OWNING COST</t>
  </si>
  <si>
    <t>Total Owning Cost  = E + F + G + H + I</t>
  </si>
  <si>
    <t>NOTES:</t>
  </si>
  <si>
    <t>In general, installing a NOx control system does not require construction of a new building or major alteration of the existing buildings:</t>
  </si>
  <si>
    <t>45%(A1)</t>
  </si>
  <si>
    <t>Waldon Engineering &amp; Construction</t>
  </si>
  <si>
    <t>Table 3 - NPU - Cost to Implement SCR</t>
  </si>
  <si>
    <t>A.</t>
  </si>
  <si>
    <t>Engineering, Procurement, Construction &amp; Start-up</t>
  </si>
  <si>
    <t>Procurement</t>
  </si>
  <si>
    <t>Construction Directs</t>
  </si>
  <si>
    <t>Construction Indirects</t>
  </si>
  <si>
    <t>Commisioning &amp; Startup</t>
  </si>
  <si>
    <t>Construction Management</t>
  </si>
  <si>
    <t>Subtotal A</t>
  </si>
  <si>
    <t>B.</t>
  </si>
  <si>
    <t>Economic Cobditions factor</t>
  </si>
  <si>
    <t>Labor availability Factor</t>
  </si>
  <si>
    <t>Site Indirect</t>
  </si>
  <si>
    <t>Project factor</t>
  </si>
  <si>
    <t>Escalation</t>
  </si>
  <si>
    <t>Subtotal B</t>
  </si>
  <si>
    <t>Sales Tax &amp; Contingency factors</t>
  </si>
  <si>
    <t>D.</t>
  </si>
  <si>
    <t>Estimating Contingency - 8% A</t>
  </si>
  <si>
    <t>Subtotal C</t>
  </si>
  <si>
    <t>10% A3</t>
  </si>
  <si>
    <t>5% (A)</t>
  </si>
  <si>
    <t>10% (A)</t>
  </si>
  <si>
    <t>A</t>
  </si>
  <si>
    <t>Total B - CI</t>
  </si>
  <si>
    <t>C - Contingency</t>
  </si>
  <si>
    <t>Total A+B</t>
  </si>
  <si>
    <t xml:space="preserve">D </t>
  </si>
  <si>
    <t>Home Office</t>
  </si>
  <si>
    <t>Engineering and Testing Contracts</t>
  </si>
  <si>
    <t>only required at grass roots installation</t>
  </si>
  <si>
    <t>Performance Testing</t>
  </si>
  <si>
    <t>Modeling</t>
  </si>
  <si>
    <t>Peripheral Transducers</t>
  </si>
  <si>
    <t>Electrical Panels</t>
  </si>
  <si>
    <t>Reagent Storage System</t>
  </si>
  <si>
    <t>Water Supply and Treatment System</t>
  </si>
  <si>
    <t>Primary Control Accessories / Parts</t>
  </si>
  <si>
    <t>Existing Equipment</t>
  </si>
  <si>
    <t>Equipment Modifications</t>
  </si>
  <si>
    <t>Relocation</t>
  </si>
  <si>
    <t>Piping and Electrical</t>
  </si>
  <si>
    <t>Modification</t>
  </si>
  <si>
    <t>Direct / Indirect Cost Sale Tax Estimate (if not else included)</t>
  </si>
  <si>
    <t>20% (A)</t>
  </si>
  <si>
    <t>Total Direct Installation Cost  =</t>
  </si>
  <si>
    <t>TOTAL OWNING COST = E + F + G + H + I</t>
  </si>
  <si>
    <t>Other Testing Contracts</t>
  </si>
  <si>
    <t>Site Specific Costs</t>
  </si>
  <si>
    <t>VARIABLE COST</t>
  </si>
  <si>
    <t>SEMIVARIABLE COST</t>
  </si>
  <si>
    <t>Raw Material</t>
  </si>
  <si>
    <t>Utilities</t>
  </si>
  <si>
    <t>Electricity</t>
  </si>
  <si>
    <t>Steam</t>
  </si>
  <si>
    <t>Compressed Air</t>
  </si>
  <si>
    <t>Supervisory</t>
  </si>
  <si>
    <t>Maintenanace</t>
  </si>
  <si>
    <t>Replacement Parts</t>
  </si>
  <si>
    <t>DIRECT COSTS</t>
  </si>
  <si>
    <t>INDIRECT COSTS</t>
  </si>
  <si>
    <t>Property Taxes</t>
  </si>
  <si>
    <t>Insurance</t>
  </si>
  <si>
    <t>Administrative Charges</t>
  </si>
  <si>
    <t>Capital Recovery</t>
  </si>
  <si>
    <t>TOTAL ANNUAL COST</t>
  </si>
  <si>
    <t>RECOVERY CREDITS</t>
  </si>
  <si>
    <t>Purchased Equipment / Procurement Cost</t>
  </si>
  <si>
    <t>Commissioning</t>
  </si>
  <si>
    <t>Structural Steel Modifications</t>
  </si>
  <si>
    <t>Heaters and Accessories</t>
  </si>
  <si>
    <t>Electrical Accessories</t>
  </si>
  <si>
    <t>Water System Interconnect</t>
  </si>
  <si>
    <t>Special Modeling (CFD)</t>
  </si>
  <si>
    <t>Building Alteration</t>
  </si>
  <si>
    <t>Easement and Building Modification</t>
  </si>
  <si>
    <t>▪</t>
  </si>
  <si>
    <t xml:space="preserve">PROCUREMENT </t>
  </si>
  <si>
    <t>DIRECT INSTALLATION</t>
  </si>
  <si>
    <t>INDIRECT INSTALLATION</t>
  </si>
  <si>
    <t>(cost for reagent stored at site, i.e. the first fill of the reagent tanks)</t>
  </si>
  <si>
    <t>Graphical representation below, indicates the Total Capital Cost elements relationship per EPA Air Pollution Control Cost Manual - EPA/452B-02-001, 6th Ed. Jan 2002</t>
  </si>
  <si>
    <t>ADJUSTED TOTAL CAPITAL COST = TOTAL CAPITAL COST   ─   EXISTING EQUIPMENT SALVAGE VALUE   +   COST OF LOST REVENUES</t>
  </si>
  <si>
    <t>Builders Risk Insurance</t>
  </si>
  <si>
    <t>TOTAL CAPITAL COST ELEMENTS DEFINITION</t>
  </si>
  <si>
    <t>D = Total Plant Cost</t>
  </si>
  <si>
    <t>D = A + B + C as defined below</t>
  </si>
  <si>
    <t>TOTAL ANNUAL COST ELEMENTS DEFINITION</t>
  </si>
  <si>
    <t>2% TCC</t>
  </si>
  <si>
    <t>1% TCC</t>
  </si>
  <si>
    <t>CRF x TCC</t>
  </si>
  <si>
    <t>$/hr</t>
  </si>
  <si>
    <t>Total Variable Costs (TVC)</t>
  </si>
  <si>
    <t>TVC / MMBtu Heat Input</t>
  </si>
  <si>
    <t>(M) per hrs of Operation</t>
  </si>
  <si>
    <t>8300-01-01</t>
  </si>
  <si>
    <t>8300-07-01</t>
  </si>
  <si>
    <t>8300-08-01</t>
  </si>
  <si>
    <t>8300-09-01</t>
  </si>
  <si>
    <t>8300-10-01</t>
  </si>
  <si>
    <t>8300-11-01</t>
  </si>
  <si>
    <t>8300-11-02</t>
  </si>
  <si>
    <t>8300-12-01</t>
  </si>
  <si>
    <t>8300-16-01</t>
  </si>
  <si>
    <t>8306-01-01</t>
  </si>
  <si>
    <t>8306-01-02</t>
  </si>
  <si>
    <t>8306-02-01</t>
  </si>
  <si>
    <t>8306-02-02</t>
  </si>
  <si>
    <t>8306-03-01</t>
  </si>
  <si>
    <t>8306-03-02</t>
  </si>
  <si>
    <t>8306-03-03</t>
  </si>
  <si>
    <t>8306-04-01</t>
  </si>
  <si>
    <t>8306-04-02</t>
  </si>
  <si>
    <t>8306-04-03</t>
  </si>
  <si>
    <t>8306-05-01</t>
  </si>
  <si>
    <t>8306-05-02</t>
  </si>
  <si>
    <t>8306-05-03</t>
  </si>
  <si>
    <t>8306-06-01</t>
  </si>
  <si>
    <t>8306-06-02</t>
  </si>
  <si>
    <t>8306-07-01</t>
  </si>
  <si>
    <t>8306-07-02</t>
  </si>
  <si>
    <t>(M)/hrs operation</t>
  </si>
  <si>
    <t>TVC/MMBtu HI</t>
  </si>
  <si>
    <t>Mscr</t>
  </si>
  <si>
    <t>Total Dirct/Indirect vs. Total Annual</t>
  </si>
  <si>
    <t>M/hr</t>
  </si>
  <si>
    <t>Per Stakeholder Report</t>
  </si>
  <si>
    <t>Per EPA CAIROS Report</t>
  </si>
  <si>
    <t>Existing NOx Controls per Stakeholder</t>
  </si>
  <si>
    <t>EXISTING CONTROLS PER EPA CAIROS REPORT</t>
  </si>
  <si>
    <t>$/MMBtu</t>
  </si>
  <si>
    <t>Total Variable Cost/MMBtu</t>
  </si>
  <si>
    <t>Control Type</t>
  </si>
  <si>
    <t>Exp</t>
  </si>
  <si>
    <t>TVC./HI</t>
  </si>
  <si>
    <t>based on NRG data plot</t>
  </si>
  <si>
    <t>considered same as above</t>
  </si>
  <si>
    <t>based on most likely value of NRG - HPWI data</t>
  </si>
  <si>
    <t>Annual Direct Costs Factors</t>
  </si>
  <si>
    <t>based on max. value of the average group of NRG data</t>
  </si>
  <si>
    <t>Nom Capacity</t>
  </si>
  <si>
    <t>Base Year</t>
  </si>
  <si>
    <t>CFI</t>
  </si>
  <si>
    <t>Equipment Procurement Cost lists the Primary NOx Control Device (or System) plus Auxiliary Equipment and Operation Controls (such as water supply and water treatment, instrumentation and major electrical distribution equipment) necessary for operation of the system or to compensate for loss of performance due to NOx control installation.</t>
  </si>
  <si>
    <t>8% EC</t>
  </si>
  <si>
    <t>DC</t>
  </si>
  <si>
    <t>Indirect Installation Cost (Total of the above) - IC</t>
  </si>
  <si>
    <t>Direct Installation Cost (Total of the above) - DC</t>
  </si>
  <si>
    <t>Equipment Cost (Total of the above) - EC</t>
  </si>
  <si>
    <t>Taxes and Freight Cost covers applicable sales taxes and shipment to the site of the primary control and its auxiliary equipment. 8% figure suggested by EPA is considered appropriate for this cost analysis, since may equal the 6.35% - CT sales tax plus a freight allocation for items that are not free of shipping.</t>
  </si>
  <si>
    <t>For small (less that 10MW) and medium size (10-200MW) facilities, buildings alterations and civil work may be included as Construction Contracts or Alteration Costs in section (A2) - Direct Installation Cost, and</t>
  </si>
  <si>
    <t>For large facilities (such as utility boilers over 200 MW) buildings expenditures would be either listed in section A2 or separately in A3 if the cost is significant.</t>
  </si>
  <si>
    <t>Per EPA, Site Preparation Costs are only required for grass roots installation. Retrofitting an existing facility, depending on the size and site congestion these costs may be significant for large facilities and therefore would be listed separately in section A4; Otherwise items referring to site should be listed within section A2 - Direct Installation Costs (such as site modification, demolition and clean-up and site finishing) or section B - Indirect installation costs (site survey).</t>
  </si>
  <si>
    <t>Direct Installation costs include, the labor and materials associated with installing and assembling the primary control and its components. Within this section are listed all construction, mounting, equipment retrofit, relocation and modification work, including cost of bulk parts and accessories (fittings, wiring, pipes, valves, etc.).</t>
  </si>
  <si>
    <t>Sale Tax and Freight Costs of the direct installation items are in general estimated for each case and included within the cost of the items. The amounts are variable and therefore should not be factored, but rather considered when required and included on a case-by-case basis.</t>
  </si>
  <si>
    <t xml:space="preserve">           TOTAL CAPITAL COST</t>
  </si>
  <si>
    <t>Per EPA-453/R-93-007 - ACT document a 45% of the Equipment Procurement Cost (A1) is typical. However there are specific situations (large facilities or facilities within congested sites) where the retrofit cost (Direct Installation Cost) may exceed the Primary Control Procurement Cost, and therefore should be itemized.</t>
  </si>
  <si>
    <t>Indirect Installation includes indirect  costs associated with installing, startup and initial performance tests of the equipment, as well as contractor and engineering fees (for construction and engineering firms involved in the project). An additional 5% Process Contingency is recommended by EPA for unexpected costs.</t>
  </si>
  <si>
    <t>Per EPA Air Pollution Control Cost Manual - EPA/452/B-02-001, Indirect Costs can be estimated as factors (multipliers) of Total Direct Cost, especially for cost analysis and budget planning purposes. Typical factors listed above for various subgroups are making up an overall Indirect Installation Cost factor of 20% of Total Direct Cost (A).</t>
  </si>
  <si>
    <t xml:space="preserve">Contingencies is a catch-all category that covers unforeseen costs that may arise, possible redesign and modification of equipment, escalation increases in purchase cost, field labor costs and delays encountered in start-up. Sale taxes may be added here if an estimate is not made elsewhere. </t>
  </si>
  <si>
    <t>Contingency elements may be assessed separately, various engineering firms having different approaches. For instance Norwich Public Utility reported a typical 10% of Procurement Cost (A1) in addition to 8% Total Direct and Indirect Installation Costs (A+B). For uniformity EPA's bulk 15% (A+B) was selected for this assessment (EPA/452/B-02-001).</t>
  </si>
  <si>
    <t xml:space="preserve">Other Indirect / Miscellaneous Costs include owning (or owner's) costs. These costs are variable being site specific and also depending of the type of control, facility location, etc. </t>
  </si>
  <si>
    <t>▪   EPA/452/B-02-001 recommends for Preproduction Costs an overall 2% of Total Direct / Indirect Installation and Contingency  (A+B+C).</t>
  </si>
  <si>
    <t>▪   All other owner costs may be assessed for each facility. However for a direct comparison of various facilities control cost effectiveness a zero dollar value should be assessed.</t>
  </si>
  <si>
    <t>If the Cost of Loss Revenues is considered for adjusting the Total Capital Cost, then the Existing Equipment Salvage Value should also be included.</t>
  </si>
  <si>
    <t>The percentage factors recommended by EPA/452/B-02-001 and shown in the above graphical representation of the Total Capital Cost are taken as base factors to perform a leveled cost analysis for the 2010 active Trading Agreements and Orders.</t>
  </si>
  <si>
    <t>1 - Single Pack Unit</t>
  </si>
  <si>
    <t>2 - Twin Pack Unit</t>
  </si>
  <si>
    <t>Twin Pack/
Single Pack</t>
  </si>
  <si>
    <t>Seq. No.</t>
  </si>
  <si>
    <t>Constant</t>
  </si>
  <si>
    <t>Variable</t>
  </si>
  <si>
    <t>Table below includes entries (input data) from DEEP and stakeholders records, re: Emissions Units ID records and specifications</t>
  </si>
  <si>
    <t>Some records may be not displayed entirely - to view data click on cell or go to Page 4(rd) and select the unit to view all its data.</t>
  </si>
  <si>
    <t>NOx CONTROL OPTION PROPOSED</t>
  </si>
  <si>
    <t xml:space="preserve">  </t>
  </si>
  <si>
    <t>1st Control TCC</t>
  </si>
  <si>
    <t>2nd Control TCC</t>
  </si>
  <si>
    <t>3rd Control TCC</t>
  </si>
  <si>
    <t>4th Control TCC</t>
  </si>
  <si>
    <t>Composite Controls TCC per stakeholder</t>
  </si>
  <si>
    <t>SCR - EPA 1993</t>
  </si>
  <si>
    <t>x</t>
  </si>
  <si>
    <t>y</t>
  </si>
  <si>
    <t>Y</t>
  </si>
  <si>
    <t>Horizontal units</t>
  </si>
  <si>
    <t>Vertical Units</t>
  </si>
  <si>
    <t>HPWI - EPA 1993</t>
  </si>
  <si>
    <t>Units Specs</t>
  </si>
  <si>
    <t>Combined</t>
  </si>
  <si>
    <t>EPA ACT Cost (1990)</t>
  </si>
  <si>
    <t>EPA ACT Cost (2011)</t>
  </si>
  <si>
    <t>EPA ACT TCC</t>
  </si>
  <si>
    <t>Controls Selected TCC</t>
  </si>
  <si>
    <t>TCC ASSESSED (BASED ON EPA ACT &amp; SELECTION)</t>
  </si>
  <si>
    <t>TCC Combined</t>
  </si>
  <si>
    <t>CORRECTED TCC PER STAKEHOLDER'S REPORTS - NO LOSS OF REVENUE ADJ</t>
  </si>
  <si>
    <t>NOx CONTROLS TCC</t>
  </si>
  <si>
    <t>http://www.bls.gov/data/inflation_calculator.htm</t>
  </si>
  <si>
    <t>Total Capital Cost layout is based on the EPA Air Pollution Control Cost Manual - EPA/452B-02-001, 6th Ed. Jan 2002, page 2-6 (pdf file page#20); Tables above include additional cost items found in the stakeholder's cost analysis reports and classified into the appropriate cost elements;</t>
  </si>
  <si>
    <t>Materials</t>
  </si>
  <si>
    <t>Energy</t>
  </si>
  <si>
    <t>General and Administrative</t>
  </si>
  <si>
    <t>a</t>
  </si>
  <si>
    <t>b</t>
  </si>
  <si>
    <t>y = a(MW) + b $millions</t>
  </si>
  <si>
    <t>Per EPA</t>
  </si>
  <si>
    <t>EPA's</t>
  </si>
  <si>
    <t>=</t>
  </si>
  <si>
    <t>[MW]</t>
  </si>
  <si>
    <t>[hrs]</t>
  </si>
  <si>
    <t>Symbol</t>
  </si>
  <si>
    <t>[$/yr]</t>
  </si>
  <si>
    <t>Catalyst disposal</t>
  </si>
  <si>
    <t>Catalyst Volume</t>
  </si>
  <si>
    <t>[ft³]</t>
  </si>
  <si>
    <t>ft³</t>
  </si>
  <si>
    <t>Blower (if needed)</t>
  </si>
  <si>
    <t>Anhydrous ammonia</t>
  </si>
  <si>
    <t>Dilution steam</t>
  </si>
  <si>
    <t>Performance loss</t>
  </si>
  <si>
    <t>Production loss</t>
  </si>
  <si>
    <t>NOx Removed</t>
  </si>
  <si>
    <t>[ton/yr]</t>
  </si>
  <si>
    <t>N</t>
  </si>
  <si>
    <t>Water Molecular Weight</t>
  </si>
  <si>
    <t>Variable Cost</t>
  </si>
  <si>
    <t>Code</t>
  </si>
  <si>
    <t>Annual Direct Cost Code</t>
  </si>
  <si>
    <t>HPWI, ULSF, Nat Gas</t>
  </si>
  <si>
    <t>SCR, New Equipment</t>
  </si>
  <si>
    <t>Reference Data</t>
  </si>
  <si>
    <t>Control Code</t>
  </si>
  <si>
    <t>Avg op Time</t>
  </si>
  <si>
    <t>Total Variable Cost</t>
  </si>
  <si>
    <t>Total Semi-Variable Cost</t>
  </si>
  <si>
    <t>60%(B1+B2)</t>
  </si>
  <si>
    <t>Total Recovery Credits</t>
  </si>
  <si>
    <t>Annual Indirect Cost</t>
  </si>
  <si>
    <t>Semi-Variable 
Maintenance</t>
  </si>
  <si>
    <t>G&amp;A</t>
  </si>
  <si>
    <t>B = B1+B2</t>
  </si>
  <si>
    <t>B3 = $0</t>
  </si>
  <si>
    <t>TOTAL DIRECT COST PER UNIT</t>
  </si>
  <si>
    <t>Total Direct % Total Annual</t>
  </si>
  <si>
    <t>Total Indirect % Total Annual</t>
  </si>
  <si>
    <t>TOTAL INDIRECT PER UNIT</t>
  </si>
  <si>
    <t>CR Code</t>
  </si>
  <si>
    <t>TOTAL DIRECT &amp; INDIRECT 
COST
(per unit)</t>
  </si>
  <si>
    <t>Capital Recovery (CR) Code</t>
  </si>
  <si>
    <t>Utility Boilers</t>
  </si>
  <si>
    <t>Combustion Turbines &amp; Diesel Engines</t>
  </si>
  <si>
    <t>(see note below)</t>
  </si>
  <si>
    <t>Total Annual Direct Cost</t>
  </si>
  <si>
    <t>Total Annual Indirect Cost</t>
  </si>
  <si>
    <t>MW10-11 Heat Input is estimate from DV11-14</t>
  </si>
  <si>
    <t>Since no Annual Cost breakdown was provided, PSEG units Cost Effectiveness is based on the stakeholder Annual Cost data, only - changes in CR cannot be included in Cost Effectiveness calculation.</t>
  </si>
  <si>
    <t>All Cost Effectiveness data, shown in Section I are per stakeholder report. Some stakeholders did not provide the yearly quantity of NOx(R) removed</t>
  </si>
  <si>
    <t>SECTION I</t>
  </si>
  <si>
    <t>SECTION II</t>
  </si>
  <si>
    <t>SECTION III</t>
  </si>
  <si>
    <t>Total Capital Cost of NOx Control Technology - $TCC/unit</t>
  </si>
  <si>
    <t>Capital Recovery (CR) - $/yr</t>
  </si>
  <si>
    <t>Total Capital Cost (TCC) / MW nominal capacity - Ratio</t>
  </si>
  <si>
    <t>NOx Control Efficiency , η %</t>
  </si>
  <si>
    <t xml:space="preserve">NOx (R) reduction, in ton/yr </t>
  </si>
  <si>
    <t>Controlled NOx Rate, in lb/MMBtu / ppmvd</t>
  </si>
  <si>
    <t>SECTION III - CAPITAL RECOVERY FACTOR</t>
  </si>
  <si>
    <t>SECTION II- CAPITAL RECOVERY FACTOR</t>
  </si>
  <si>
    <t>DATA ARRANGEMENT AND RECORD DESCRIPTION</t>
  </si>
  <si>
    <t>Option 
No.</t>
  </si>
  <si>
    <t>NOx CONTROL TECHNOLOGY ECONOMIC ANALYSIS</t>
  </si>
  <si>
    <t>NOx Control Technology - Economic Analysis 
based on CAIROS Data and Stakeholders' Costs</t>
  </si>
  <si>
    <t>NOx Control Technology - Economic Analysis 
based on CAIROS Data and EPA's Approach</t>
  </si>
  <si>
    <t>ULSD oil</t>
  </si>
  <si>
    <t>- Capital Recovery Factor input data ( Equipment Life &amp; Interest)</t>
  </si>
  <si>
    <t>- NOx Rate units may be selected either lb/MMBtu or ppmvd. Due to missing conversion factor, ppmvd fields may be blank.</t>
  </si>
  <si>
    <t xml:space="preserve">Cost Analysis based on EPA CAIROS NOx Data and Reports Costs following EPA's guidelines. Some controls costs assessed per EPA formulas, if available (HPWI and SCR for turbines, only) </t>
  </si>
  <si>
    <t>Section III, Turbines' HPWI and SCR - TCC based on EPA1993 ACT re: 2011</t>
  </si>
  <si>
    <t>Some Section III, Cost Effectiveness Indicators may be higher vs. Section II, due using a leveled Total Annual Direct Costs for all TA&amp;O units based on reports available data (esp. NRG)</t>
  </si>
  <si>
    <t>Section III, Diesel Engine SCR - TCC based on EPA1993 ACT re: 2011</t>
  </si>
  <si>
    <t>Since MD2 is an 120MW boiler (&lt; 160MW), Section III, MD2 SCR Total Capital Cost assessd per EPA1993 ACT re: 2011</t>
  </si>
  <si>
    <t>Since MV5 is an 81 MW bolier (&lt; 160MW), Section III, MV5 SCR Total Capital Cost assessed per EPA1993 ACT re: 2011</t>
  </si>
  <si>
    <t>Since some CAIROS records indicated a default NOx rate of 1.20 lb/MMBtu (or &gt; 1.00 lb/MMBtu) these records were replaced by Stack Test Data (see columns highlighted in light yellow)</t>
  </si>
  <si>
    <t>Each annual section includes also a column with NOx tons estimated based on Heat Input formula</t>
  </si>
  <si>
    <t>Table represents the data source for the plots on Page  6 (gph)</t>
  </si>
  <si>
    <t>Table 2</t>
  </si>
  <si>
    <t>NOx CONTROL TECHNOLOGY OPTIONS AND COST OVERVIEW OF ACTIVE TA&amp;O UNITS</t>
  </si>
  <si>
    <t>TA&amp;O UNITS EPA CAIROS NOx EMISSIONS DATA (OZONE SEASON)</t>
  </si>
  <si>
    <t>Table 3</t>
  </si>
  <si>
    <t>– Table 2 has three separate (horizontal) sections, respectively for:</t>
  </si>
  <si>
    <t>– Table 1 includes the 2010 Active Trade Agreements &amp; Orders (TA&amp;O) Cost Analysis three approaches results shown in Section I, II and III, respectively.</t>
  </si>
  <si>
    <t>– Assessment criteria of each method is listed beneath the appropriate section title.</t>
  </si>
  <si>
    <t>– Fields marked in light green allow data entry (click on the cell drop down right arrow to select a new value):</t>
  </si>
  <si>
    <r>
      <t>Year</t>
    </r>
    <r>
      <rPr>
        <sz val="9"/>
        <color indexed="8"/>
        <rFont val="Arial"/>
        <family val="2"/>
      </rPr>
      <t xml:space="preserve"> Recorded</t>
    </r>
  </si>
  <si>
    <t>To print - select the chart and click on print icon</t>
  </si>
  <si>
    <t>Ozone Season 2010, 2009 and 2008 NOx Emissions Rate for TA&amp;O Boilers</t>
  </si>
  <si>
    <t>Table 4</t>
  </si>
  <si>
    <t>NOx Control Technology 
Emmission Units Owners' Economic Analysis</t>
  </si>
  <si>
    <t>- CAIROS Data (ozone season) max of 2010, 2009, 2008
- Leveled Capital Recovery Factor
- Unit Owners' Total Capital &amp; Annual Costs (corrected)</t>
  </si>
  <si>
    <t>- Units Owners' Reports NOx Assessment Data
- Capital Recovery Factor, as selected in reports
- Unit Owners' Total Capital and Annual Cost Estimates</t>
  </si>
  <si>
    <t>Summary of Unit Owners's Assessment Data as reported</t>
  </si>
  <si>
    <t>Cost Analysis based on EPA CAIROS NOx Data and Unit Owners' costs, corrected following reports' methodology and applying a uniform Capital Recovery Factor (CRF)</t>
  </si>
  <si>
    <t>not assessed - missing unit owner report</t>
  </si>
  <si>
    <t>not assessed - unit owner report and data not provided</t>
  </si>
  <si>
    <t>Unit Owner report not provided</t>
  </si>
  <si>
    <t>Table 4 lists unit owners' proposed NOx Control Technologies for facilities subject to 2010 Trading Agreements and Orders</t>
  </si>
  <si>
    <t>Also table includes a summary of unit owners' assessment regarding site condition and effectiveness of the proposed NOx control technology</t>
  </si>
  <si>
    <t>LIST OF NOx CONTROL TECHNOLOGIES / OPTIONS ASSESSSED BY EMMISSION UNIT OWNERS</t>
  </si>
  <si>
    <t>Efficiency Remarks</t>
  </si>
  <si>
    <t>Table 3 includes EPA CAIROS Ozone Season Data for TA&amp;O units recorded during 2010, 2009 and 2008. See Col. 29-40 (2010), Col. 41-52 (2009) and Col. 53-64 (2008) respectively</t>
  </si>
  <si>
    <t xml:space="preserve">For each emission unit NOx data had been sorted and selected only the maximum yearly values among identical units and during the 3-years period (2010-2008) - Col. 74-102 </t>
  </si>
  <si>
    <t>Direct Installation</t>
  </si>
  <si>
    <t>Indirect Installation</t>
  </si>
  <si>
    <r>
      <t xml:space="preserve">11% (HPWI) </t>
    </r>
    <r>
      <rPr>
        <vertAlign val="superscript"/>
        <sz val="10"/>
        <color theme="1"/>
        <rFont val="Arial"/>
        <family val="2"/>
      </rPr>
      <t>[3]</t>
    </r>
    <r>
      <rPr>
        <sz val="10"/>
        <color theme="1"/>
        <rFont val="Arial"/>
        <family val="2"/>
      </rPr>
      <t xml:space="preserve">
35% (SCR)</t>
    </r>
  </si>
  <si>
    <t>3% per year over 5 yrs</t>
  </si>
  <si>
    <t>48 hrs and 
2009 op. time</t>
  </si>
  <si>
    <r>
      <t xml:space="preserve">33% </t>
    </r>
    <r>
      <rPr>
        <vertAlign val="superscript"/>
        <sz val="10"/>
        <color theme="1"/>
        <rFont val="Arial"/>
        <family val="2"/>
      </rPr>
      <t>[4]</t>
    </r>
  </si>
  <si>
    <r>
      <t>33%</t>
    </r>
    <r>
      <rPr>
        <vertAlign val="superscript"/>
        <sz val="10"/>
        <color theme="1"/>
        <rFont val="Arial"/>
        <family val="2"/>
      </rPr>
      <t xml:space="preserve"> [4]</t>
    </r>
  </si>
  <si>
    <r>
      <t>2</t>
    </r>
    <r>
      <rPr>
        <vertAlign val="superscript"/>
        <sz val="10"/>
        <color theme="1"/>
        <rFont val="Arial"/>
        <family val="2"/>
      </rPr>
      <t xml:space="preserve"> [1]</t>
    </r>
  </si>
  <si>
    <r>
      <t xml:space="preserve">22% </t>
    </r>
    <r>
      <rPr>
        <vertAlign val="superscript"/>
        <sz val="10"/>
        <color theme="1"/>
        <rFont val="Arial"/>
        <family val="2"/>
      </rPr>
      <t>[2]</t>
    </r>
  </si>
  <si>
    <t>Owner / Operator</t>
  </si>
  <si>
    <t>EPA OAQPS Control Cost Manual, Sixth Edition EPA-452-02-001, January 2002</t>
  </si>
  <si>
    <t>Capital and Annual Costs modified (increased) factors (percentages) considered</t>
  </si>
  <si>
    <t>Includes 2% preproduction costs</t>
  </si>
  <si>
    <t>CRRA/CCA indicates 10% contingency, however an additional 60% on the top of 10% amount is considered for SCR capital cost assessment</t>
  </si>
  <si>
    <t>Differences may be due to using various references, different consultants and lack of an uniform guidelines to develop the cost estimates</t>
  </si>
  <si>
    <t>Achievable efficiencies, published and confirmed by various sources (EPA and NOx Control Technologies Manufacturers) can be selected to override stakeholders data in Col. 25</t>
  </si>
  <si>
    <t>Newly selected efficiency data can be entered as either percentage efficiency (η%), or as Controlled NOx Rate in (lbm/MMBtu) or (ppmvd)</t>
  </si>
  <si>
    <t xml:space="preserve">Depending of the type of data entry, the other efficiency data are immediately calculated and projected in the appropriate cells in Col. 21-23. </t>
  </si>
  <si>
    <t>TA&amp;O UNITS - PROPOSED NOx CONTROL TECHNOLOGIES EFFICENCY ASSESSMENT</t>
  </si>
  <si>
    <t>Table 6</t>
  </si>
  <si>
    <t>Table 6 includes Efficiencies of NOx Control Technologies assessed within stakeholders reports and listed in Col. 18-20. These are the values also listed in Section I of Table 1 (General Table) - Page 2 (gnl).</t>
  </si>
  <si>
    <t>Some fields are blank since owners' reports did not provide NOx rate, yearly amount and efficiencies used.</t>
  </si>
  <si>
    <t>These values are farther used for cost analysis using EPA CAIROS records. Results are shown in Section II and III of Table 1 (General Table) - Page 2(gnl)</t>
  </si>
  <si>
    <t>Also included the EPA recommended typical values of various cost elements factors (or multipliers)</t>
  </si>
  <si>
    <t>Figure 9</t>
  </si>
  <si>
    <t>Figure 10</t>
  </si>
  <si>
    <t>Graphical representation in Figure 10, below, indicates the Total Annual Cost elements interrelationship per EPA Air Pollution Control Cost Manual - EPA/452B-02-001, 6th Ed. Jan 2002</t>
  </si>
  <si>
    <t>In addition are shown the EPA recommended typical values of various cost elements factors (or multipliers)</t>
  </si>
  <si>
    <t>TOTAL ANNUAL DIRECT COST ASSESSMENT</t>
  </si>
  <si>
    <t>Item Description</t>
  </si>
  <si>
    <t>Data Required</t>
  </si>
  <si>
    <t>EGU Output, in MW (Nominal or Actual)</t>
  </si>
  <si>
    <t>EMW</t>
  </si>
  <si>
    <t>Ammonia Molecular Weight</t>
  </si>
  <si>
    <t>W</t>
  </si>
  <si>
    <t>[lbm/mol]</t>
  </si>
  <si>
    <t>18 lbm/mol</t>
  </si>
  <si>
    <t>17 lbm/mol</t>
  </si>
  <si>
    <t>Raw Material / Reagent</t>
  </si>
  <si>
    <t>Performance Loss / Production Loss</t>
  </si>
  <si>
    <t>Assumptions</t>
  </si>
  <si>
    <t>I.</t>
  </si>
  <si>
    <t>II.</t>
  </si>
  <si>
    <t xml:space="preserve">Anhydrous Ammonia </t>
  </si>
  <si>
    <t xml:space="preserve">Water Treatment </t>
  </si>
  <si>
    <t>HI</t>
  </si>
  <si>
    <t>LHV</t>
  </si>
  <si>
    <t xml:space="preserve">EGU Heat Input </t>
  </si>
  <si>
    <t>[MMBtu/yr]</t>
  </si>
  <si>
    <t>HIGH PRESSURE WATER INJECTION</t>
  </si>
  <si>
    <t>Equation / or Assumed Value</t>
  </si>
  <si>
    <t>Fuel Type</t>
  </si>
  <si>
    <t>Diesel oil</t>
  </si>
  <si>
    <t>Lower Heating Value</t>
  </si>
  <si>
    <t>[Btu/lb]</t>
  </si>
  <si>
    <t>Liquid Fuel referenced in EPA-ACT, page 6-213 (#304)</t>
  </si>
  <si>
    <t>Per Table 6-3, EPA-ACT, page 6-213</t>
  </si>
  <si>
    <t>WFR</t>
  </si>
  <si>
    <t>[lb water/lb fuel]</t>
  </si>
  <si>
    <t>Per NRG Report (~ 0.66 rounded to 0.70)</t>
  </si>
  <si>
    <t>Fuel Density</t>
  </si>
  <si>
    <t>[lb/gal]</t>
  </si>
  <si>
    <t>ƍ</t>
  </si>
  <si>
    <t>[lb/hr]</t>
  </si>
  <si>
    <t>(HI x 10^6 /LHV) (Btu/yr x lb/Btu) / H (hr/yr)</t>
  </si>
  <si>
    <t>Water Rate</t>
  </si>
  <si>
    <t>Fuel consumption</t>
  </si>
  <si>
    <t>(F lb/hr) x WFR (lb water / lb fuel)</t>
  </si>
  <si>
    <t xml:space="preserve">Per NRG Report </t>
  </si>
  <si>
    <t>Water (GPM)</t>
  </si>
  <si>
    <t>GPM</t>
  </si>
  <si>
    <t>[gal/min]</t>
  </si>
  <si>
    <t>gpm</t>
  </si>
  <si>
    <t>Cost of 1 kWh</t>
  </si>
  <si>
    <t>[kWh/hr]</t>
  </si>
  <si>
    <t>kW/H</t>
  </si>
  <si>
    <t>Per NRG (based on Peaking Cost)</t>
  </si>
  <si>
    <t>[$/MWh]</t>
  </si>
  <si>
    <t>[$ 2011 / $ 1990]</t>
  </si>
  <si>
    <t>Raw Water Cost</t>
  </si>
  <si>
    <t>Water Treatment Cost</t>
  </si>
  <si>
    <t>Waste Disposal</t>
  </si>
  <si>
    <t>Water Cost</t>
  </si>
  <si>
    <t>[$/1,000 gal]</t>
  </si>
  <si>
    <t>Water (Total) Cost</t>
  </si>
  <si>
    <t>Water (Supply, Treatment Disposal)</t>
  </si>
  <si>
    <t>WTC</t>
  </si>
  <si>
    <t>Multiplier</t>
  </si>
  <si>
    <t>M</t>
  </si>
  <si>
    <t>Recommended, per Table 6-5, EPA-ACT, page 6-222</t>
  </si>
  <si>
    <t>(6.174 $/1000 gal) x GPM/1000 x 60 min/hr x (H hr/yr) x 1.73 (CFI) x M</t>
  </si>
  <si>
    <t>Labor Rate</t>
  </si>
  <si>
    <t xml:space="preserve">Maintenance </t>
  </si>
  <si>
    <t>[$ 1990/hr]</t>
  </si>
  <si>
    <t>Labor Rate (Total)</t>
  </si>
  <si>
    <t>Labor (Operating, Supervisory, Maintenance)</t>
  </si>
  <si>
    <t>SELECTIVE CATALYTIC REDUCTION  - SCR</t>
  </si>
  <si>
    <t>0.15 x 25.60 $1990/hr</t>
  </si>
  <si>
    <t>$60.64 x 1.73 (CFI) x H (hr/yr)</t>
  </si>
  <si>
    <t>Catalyst Operating Life</t>
  </si>
  <si>
    <t>[hr]</t>
  </si>
  <si>
    <t>[%]</t>
  </si>
  <si>
    <t>Cost year</t>
  </si>
  <si>
    <t>[$/$]</t>
  </si>
  <si>
    <t xml:space="preserve">Catalyst Volume </t>
  </si>
  <si>
    <t>References:</t>
  </si>
  <si>
    <t>EPA Air Pollution Control Cost Manual - EPA/452B-02-001, 6th Ed. Jan 2002</t>
  </si>
  <si>
    <t>Alternative Control Techniques Document - EPA ACT Document No.:  EPA-453/R-93-007</t>
  </si>
  <si>
    <t>Catalyst Replacement Cycle</t>
  </si>
  <si>
    <t>[yrs]</t>
  </si>
  <si>
    <t>24,000 / H</t>
  </si>
  <si>
    <t>Per NRG Report</t>
  </si>
  <si>
    <t>Electricity (for boilers)</t>
  </si>
  <si>
    <t>Per NRG (based on Fuel Cost)</t>
  </si>
  <si>
    <t>(1.5% TCC) x H/4000</t>
  </si>
  <si>
    <t>Labor (Operating, Supervisory)</t>
  </si>
  <si>
    <t>Maintenance Labor  (included in Maintenance Materials)</t>
  </si>
  <si>
    <t>Per EPA/452B-02-001, 6th Ed. Jan 2002 Page 2-45</t>
  </si>
  <si>
    <t xml:space="preserve">FUEL </t>
  </si>
  <si>
    <t>WATER RATE</t>
  </si>
  <si>
    <t>WATER GPM</t>
  </si>
  <si>
    <t>Annual Direct per EPA Method</t>
  </si>
  <si>
    <t>B3</t>
  </si>
  <si>
    <t>Total Semi-Variable</t>
  </si>
  <si>
    <t>Total Variable</t>
  </si>
  <si>
    <t>CT-kW/H</t>
  </si>
  <si>
    <t>CT-kWh Cost</t>
  </si>
  <si>
    <t>UB-kW/H</t>
  </si>
  <si>
    <t>CFI 1990</t>
  </si>
  <si>
    <t>CFI 1993</t>
  </si>
  <si>
    <t>LR</t>
  </si>
  <si>
    <t>WI</t>
  </si>
  <si>
    <t>Annual Direct Cost 
per Stk Data - REFERENCE ONLY</t>
  </si>
  <si>
    <t>(EMW) x (6,180 ft³ / 83 MW)</t>
  </si>
  <si>
    <t>WATER INPUT DATA</t>
  </si>
  <si>
    <t>SCR INPUT DATA</t>
  </si>
  <si>
    <t>A3.1</t>
  </si>
  <si>
    <t>A2.1</t>
  </si>
  <si>
    <t>A2.2</t>
  </si>
  <si>
    <t>A2.3</t>
  </si>
  <si>
    <t>Ammonia</t>
  </si>
  <si>
    <t>A4.1</t>
  </si>
  <si>
    <t>Performance Loss</t>
  </si>
  <si>
    <t>Blower</t>
  </si>
  <si>
    <t>A4.2</t>
  </si>
  <si>
    <t>Water Supply
Treatment
(Catalyst) Disposal</t>
  </si>
  <si>
    <t>Catalyst CRF</t>
  </si>
  <si>
    <t>Maintenance Parts</t>
  </si>
  <si>
    <t>M=B1+B2</t>
  </si>
  <si>
    <t>TCC of New Equipment (option 7 and 8) has lower values in Section I &amp; II since the capital cost was adjusted with salvage value and loss revenue. Section III shows TCC before adjustment</t>
  </si>
  <si>
    <r>
      <t>W x (7.48 gal/ft</t>
    </r>
    <r>
      <rPr>
        <sz val="10"/>
        <rFont val="Calibri"/>
        <family val="2"/>
      </rPr>
      <t xml:space="preserve">³) </t>
    </r>
    <r>
      <rPr>
        <sz val="10"/>
        <rFont val="Arial"/>
        <family val="2"/>
      </rPr>
      <t>/62.4 (lb/ft</t>
    </r>
    <r>
      <rPr>
        <sz val="10"/>
        <rFont val="Calibri"/>
        <family val="2"/>
      </rPr>
      <t>³</t>
    </r>
    <r>
      <rPr>
        <sz val="8"/>
        <rFont val="Arial"/>
        <family val="2"/>
      </rPr>
      <t xml:space="preserve">) </t>
    </r>
    <r>
      <rPr>
        <sz val="10"/>
        <rFont val="Arial"/>
        <family val="2"/>
      </rPr>
      <t>x 1/(60 min/hr)</t>
    </r>
  </si>
  <si>
    <r>
      <t>NOx(R) - Molar Ratio NH</t>
    </r>
    <r>
      <rPr>
        <sz val="10"/>
        <rFont val="Calibri"/>
        <family val="2"/>
      </rPr>
      <t>₃</t>
    </r>
    <r>
      <rPr>
        <sz val="10"/>
        <rFont val="Arial"/>
        <family val="2"/>
      </rPr>
      <t>-to-NO₃ = 1.0</t>
    </r>
  </si>
  <si>
    <r>
      <t>MW H</t>
    </r>
    <r>
      <rPr>
        <sz val="10"/>
        <rFont val="Calibri"/>
        <family val="2"/>
      </rPr>
      <t>₂</t>
    </r>
    <r>
      <rPr>
        <sz val="10"/>
        <rFont val="Arial"/>
        <family val="2"/>
      </rPr>
      <t>O</t>
    </r>
  </si>
  <si>
    <r>
      <t>MW NH</t>
    </r>
    <r>
      <rPr>
        <sz val="10"/>
        <rFont val="Calibri"/>
        <family val="2"/>
      </rPr>
      <t>₃</t>
    </r>
  </si>
  <si>
    <t>Total Annual Cost layout, cost items definitions and estimates are based on two EPA documents:</t>
  </si>
  <si>
    <r>
      <rPr>
        <u/>
        <sz val="10"/>
        <rFont val="Arial"/>
        <family val="2"/>
      </rPr>
      <t>Alternative Control Techniques Document - NOx Emissions from Stationary Gas Turbines - EPA ACT Document No.: EPA-453/R-93-007, Jan 1993</t>
    </r>
    <r>
      <rPr>
        <sz val="10"/>
        <rFont val="Arial"/>
        <family val="2"/>
      </rPr>
      <t>, providing a straightforward method and cost factors for estimating annual cost if Water Injection controls as well as guidelines for SCR applied to combustion turbines.</t>
    </r>
  </si>
  <si>
    <t>Water Treatment / Waste Disposal</t>
  </si>
  <si>
    <t>Electricity (for turbines)</t>
  </si>
  <si>
    <t>Function of (Y, n%)</t>
  </si>
  <si>
    <t>None ( $ amount too small)</t>
  </si>
  <si>
    <t>Reference:</t>
  </si>
  <si>
    <t>Catalyst Cost, Replacement</t>
  </si>
  <si>
    <t>Capital Recovery Factor</t>
  </si>
  <si>
    <t>Catalyst Cost, Initial</t>
  </si>
  <si>
    <t>CCI</t>
  </si>
  <si>
    <t>CCR</t>
  </si>
  <si>
    <t xml:space="preserve">Annual Interest Rate </t>
  </si>
  <si>
    <t>From Economic Tables</t>
  </si>
  <si>
    <t xml:space="preserve">U.S Department of Labor - </t>
  </si>
  <si>
    <t>CPI</t>
  </si>
  <si>
    <t>Ref. 1 - EPA/452B-02-001. page 2-47</t>
  </si>
  <si>
    <t>Ref. 1 - EPA/452B-02-001. page 2-50</t>
  </si>
  <si>
    <t>Ref. 2 - EPA-453/R-93-007, page 6-238</t>
  </si>
  <si>
    <t>Performance Data</t>
  </si>
  <si>
    <t>LRO</t>
  </si>
  <si>
    <t>LRS</t>
  </si>
  <si>
    <t>Ammonia Cost</t>
  </si>
  <si>
    <t>[$ 1990/ton]</t>
  </si>
  <si>
    <t>Dilution Steam</t>
  </si>
  <si>
    <t>Steam Cost</t>
  </si>
  <si>
    <t>Dilution Factor (Steam/Ammonia)</t>
  </si>
  <si>
    <t>0.95/0.05</t>
  </si>
  <si>
    <t>Water amount too small</t>
  </si>
  <si>
    <r>
      <t>[$1998/ft</t>
    </r>
    <r>
      <rPr>
        <sz val="10"/>
        <rFont val="Calibri"/>
        <family val="2"/>
      </rPr>
      <t>³</t>
    </r>
    <r>
      <rPr>
        <sz val="10"/>
        <rFont val="Arial"/>
        <family val="2"/>
      </rPr>
      <t>]</t>
    </r>
  </si>
  <si>
    <t>Ref. 3 - Bureau of Statistics  CPI Inflation Calculator</t>
  </si>
  <si>
    <t>Catalyst Disposal</t>
  </si>
  <si>
    <r>
      <t>[$1990/ft</t>
    </r>
    <r>
      <rPr>
        <sz val="10"/>
        <rFont val="Calibri"/>
        <family val="2"/>
      </rPr>
      <t>³</t>
    </r>
    <r>
      <rPr>
        <sz val="10"/>
        <rFont val="Arial"/>
        <family val="2"/>
      </rPr>
      <t>]</t>
    </r>
  </si>
  <si>
    <t>0.15 x 25.60 ($1990/hr)</t>
  </si>
  <si>
    <t>10% x (Performance Loss)</t>
  </si>
  <si>
    <t>Production Loss</t>
  </si>
  <si>
    <t>Control Total Capital Cost</t>
  </si>
  <si>
    <t>[$/unit]</t>
  </si>
  <si>
    <t>Control Equipment Life</t>
  </si>
  <si>
    <t>CRF(c)</t>
  </si>
  <si>
    <t>Function of (Yc, n%)</t>
  </si>
  <si>
    <t>Yc</t>
  </si>
  <si>
    <t>60% (B1 + B2)</t>
  </si>
  <si>
    <t>Ref 1, Page 2-34 &amp; Ref 2 Page 6-238</t>
  </si>
  <si>
    <t>Ref 1, Page 2-57 &amp; Ref 2 Page 6-238</t>
  </si>
  <si>
    <t>Total Annual Cost</t>
  </si>
  <si>
    <t>Direct Variable</t>
  </si>
  <si>
    <t>Direct Semi-Variable</t>
  </si>
  <si>
    <t>Recovery Credits</t>
  </si>
  <si>
    <t>Ref 1, Page 2-57 &amp; Ref 2 Page 6-238 - Not included</t>
  </si>
  <si>
    <t>Ref 1, Page 2-57 &amp; Ref 2 Page 6-238 - Not Included</t>
  </si>
  <si>
    <t>Consumer Price Index  (1998)</t>
  </si>
  <si>
    <t>Consumer Price Index (1990)</t>
  </si>
  <si>
    <t>Estimated Water Flow Rate Factor</t>
  </si>
  <si>
    <t xml:space="preserve">TOTAL ANNUAL COST ASSESSMENT </t>
  </si>
  <si>
    <t>Control Equipment Life &amp; Interest</t>
  </si>
  <si>
    <t>Y, n</t>
  </si>
  <si>
    <t>[yrs], [%]</t>
  </si>
  <si>
    <t>30% M</t>
  </si>
  <si>
    <t>4%EC</t>
  </si>
  <si>
    <r>
      <t xml:space="preserve">The above graphical representation and EPA's assessment factors of various cost items (detailed below) could be used to perform a leveled cost analysis for 2010 active Trading, Agreements and Order units; The resulted costs ought to be corrected for 2011 using Consumer Price Index (CPI) published by the U.S. Department of Labor, </t>
    </r>
    <r>
      <rPr>
        <u/>
        <sz val="10"/>
        <color rgb="FF0000FF"/>
        <rFont val="Arial"/>
        <family val="2"/>
      </rPr>
      <t>http://www.bls.gov/data/inflation_calculator.htm</t>
    </r>
  </si>
  <si>
    <t>Variable direct annual cost account for purchase of reagent (A1); Water (for HPWI systems) cost is small , therefore is not considered; However ammonia cost should be included. Proposed cost estimate is per Ref. 2 - EPA-453/R-93-007, page 6-238</t>
  </si>
  <si>
    <t>none</t>
  </si>
  <si>
    <t>Indirect Overhead cost factor is proposed to 60% labor and maintenance materials without including replacement parts cost, per EPA Ref 1 &amp; 2</t>
  </si>
  <si>
    <t>Capital recovery accounts for more than 70% of the total annual costs and is a fraction of the TCC adjusted by the CRF. For Capital Recovery assessment, TCC should include the retrofitting and other additional costs</t>
  </si>
  <si>
    <t>For TA&amp;O units recovery credits are considered negligible</t>
  </si>
  <si>
    <t>Maintenance</t>
  </si>
  <si>
    <t>Maintenance Materials</t>
  </si>
  <si>
    <r>
      <rPr>
        <u/>
        <sz val="10"/>
        <rFont val="Arial"/>
        <family val="2"/>
      </rPr>
      <t>EPA Air Pollution Control Cost Manual - Document No.: EPA/452B-02-001, 6th Ed. Jan 2002</t>
    </r>
    <r>
      <rPr>
        <sz val="10"/>
        <rFont val="Arial"/>
        <family val="2"/>
      </rPr>
      <t xml:space="preserve">. This including the above graphical representation on page  2-6 (pdf file page #20), lays out a laborious method for SCR cost assessment. </t>
    </r>
  </si>
  <si>
    <t>Water treatment for HPWI is considered negligible - units (combustion turbines_ are generally operating up to only 50 hrs per year. Catalyst disposal cost may be assessed using EPA proposed factor per Ref. 2 - EPA-453/R-93-007, page 6-238</t>
  </si>
  <si>
    <t>Performance loss is calculated for utility boilers per Ref. 2 - EPA-453/R-93-007, page 6-238. Turbines are operating less than 50 hrs, hence performance loss is negligible</t>
  </si>
  <si>
    <t>Labor cost is determined per Ref. 2 - EPA-453/R-93-007, page 6-238. Supervisory costs accounts for 15% of operating hours. Since per Ref. 2 - EPA-453/R-93-007 proposed a Maintenance factor based on a small turbines, the cost factor is assumed to be included in the maintenance materials.</t>
  </si>
  <si>
    <t>Maintenance materials cost and maintenance labor can be determined using factor proposed per EPA/452B-02-001. page 2-45 as a fraction (1.5%) of TCC and adjusted to actual operating hours vs. 4000 hrs per document example.</t>
  </si>
  <si>
    <t>General and Administrative, property, insurance and other administrative charges) may be calculated together as 4% of TCC. Note the TCC should not include retrofit and other higher costs due to congested sites, EPA estimates did not included these conditions;</t>
  </si>
  <si>
    <t>50 KWh/hr operating time  x H x (388.16/1000 $/MWh)</t>
  </si>
  <si>
    <t>Per EPA/452B-02-001. page 2-45 adjusted to actual operating hours vs. 4000 hrs per document example</t>
  </si>
  <si>
    <t>TCC assuming no retrofit cost or (excessive) additional cost due to congested site, cranes etc)</t>
  </si>
  <si>
    <t>Table of Elements - Chemistry</t>
  </si>
  <si>
    <t>Maintenance (Labor and Materials)</t>
  </si>
  <si>
    <t>Replacement parts may be significant for SCR's only . It can be assessed per Ref. 1 - EPA/452B-02-001. page 2-50, considering a 1998 cost factor (adjusted with Inflation factor (CPI) and a Capital Recovery Factor (CRF) calculated based on replacement cycle Y = (24,000 / Yearly Operating Hours). The cost is negligible if Y resulted more than 40 years</t>
  </si>
  <si>
    <t>Utilities also account; EPA proposed values (based on either 1990 or 1998 prices) are provided for equipment operating half-time (4,000 hours) to full year; Since TA&amp;O units are either peaking units (turbines) or demand response generators (utility boilers) the price selected is based on actual costs reported by NRG. Even though the NRG prices are higher than published on the market, the resulted costs are small and may not be taken into account;</t>
  </si>
  <si>
    <t>Table 7</t>
  </si>
  <si>
    <t>Table 8</t>
  </si>
  <si>
    <t>To see "Unit CAIROS Emissions Report - ozone season" go to row 7 or click on # 1 on the left</t>
  </si>
  <si>
    <t>– Table 2 lists all 2010 active Trade Agreements &amp; Orders (TA&amp;O); There are 8 orders including 39 emission units</t>
  </si>
  <si>
    <t>Form below allows to see the record data of any emission unit listed within the 2010 active TA&amp;O(s)</t>
  </si>
  <si>
    <t>Ozone Season NOx Emissions &amp; Emissions Rate (3-year Average) for TA&amp;O Boilers</t>
  </si>
  <si>
    <t>Eight TA&amp;Os have been issued to six EGU owners:</t>
  </si>
  <si>
    <t>Combustion Turbines</t>
  </si>
  <si>
    <t>combustion-cycle</t>
  </si>
  <si>
    <t>simple-cycle</t>
  </si>
  <si>
    <t xml:space="preserve">Reciprocating Engines </t>
  </si>
  <si>
    <t xml:space="preserve">Utility Boilers </t>
  </si>
  <si>
    <t xml:space="preserve">load following boilers (LFBs)   </t>
  </si>
  <si>
    <t>facility auxiliary boiler</t>
  </si>
  <si>
    <t>coal-fired boiler</t>
  </si>
  <si>
    <t>EPA's CAIROS Ozone Season Data, NOx records max. of (2010, 2009, 2008)</t>
  </si>
  <si>
    <t>Leveled Capital Recovery Factor</t>
  </si>
  <si>
    <t xml:space="preserve">Unit Owners' Total capital Cost and  Annual </t>
  </si>
  <si>
    <t>Controls Cost following EPA's guidelines. Some controls cost assessed per EPA's formulas, if available (HPWI and SCR for turbines, only) and per EGU's owner data. All costs' base year is 2011</t>
  </si>
  <si>
    <t>(Note: Click on any list no's located on Table 3 left side to open record' form and select from the drop down list the unit list no. to display the record)</t>
  </si>
  <si>
    <t>Emissions</t>
  </si>
  <si>
    <t>The total ozone season NOx emissions from the 39 units were about 1,271 tons in 2008, 309 tons in 2009 and 1,167 tons in 2010.  For comparison, the entire state anthropogenic ozone season NOx emissions were 51,102 tons (2002 base year), of which 17% or 8,690 tons were emitted by stationary sources.</t>
  </si>
  <si>
    <t>TA&amp;O Emission Units NOx Graphs, on page 6, are based on Table 3 CAIROS data:</t>
  </si>
  <si>
    <t>Figure 1 - "Ozone Season NOx Emissions &amp; Emission Rate (3-year Average) for TA&amp;O Turbines"</t>
  </si>
  <si>
    <t>Figure 2 - "Ozone Season 2010, 2009 and 2008 NOx Emissions Rates for TA&amp;O Turbines"</t>
  </si>
  <si>
    <t>Figure 3 - "Number of Operating Hours During Ozone Season for TA&amp;O Turbines"</t>
  </si>
  <si>
    <t>Figure 4 - "Electric Generation during Ozone Season for TA&amp;O Turbines"</t>
  </si>
  <si>
    <t>Figure 5 - "Ozone Season NOx Emissions &amp; Emissions Rate (3-year Average) for TA&amp;O Boilers"</t>
  </si>
  <si>
    <t>Figure 6 - "Ozone Season 2010, 2009 and 2008 NOx Emissions Rate for TA&amp;O Boilers"</t>
  </si>
  <si>
    <t>Figure 7 - "Number of Operating Hours During Ozone Season for TA&amp;O Boilers"</t>
  </si>
  <si>
    <t>Figure 8 - "Electric Generation During Ozone Season for TA&amp;O Boilers"</t>
  </si>
  <si>
    <t>Figures 1 (turbines) and 5 (boilers) provide for each of the 39 units the 2008-2010 ozone season NOx emissions in tons and emissions rate (gm/MWh).  Despite relatively high emissions rates, the seasonal NOx emissions are low because most of the units operate for very few hours during the season (Figures 3 and 4).  The only exceptions to the low seasonal operating hours are Capital District and Bridgeport Harbor 3.</t>
  </si>
  <si>
    <t>Other high cost items had been added such as construction contracts and contractor's fees, foundations, repairing the existing stacks, testing costs and numerous additional owners' costs.</t>
  </si>
  <si>
    <t xml:space="preserve">(Note: Not all data provided have been included. Additional information should be found in the reports submitted by the EGU owners. Also, due to the tabular format some fields may not display the entire content. However the complete information is shown in the facility record in the form on page 3.) </t>
  </si>
  <si>
    <t>For example, NRG reported for all utility boilers:</t>
  </si>
  <si>
    <t>TA&amp;O UNITS OWNERS' COST ANALYSIS REPORTS SPECIFICATIONS</t>
  </si>
  <si>
    <t>Table 5 summarizes owners reports different cost items variation</t>
  </si>
  <si>
    <t>Results below indicate that a leveled cost analysis (adoption of uniform cost items factors) is required in order to perform a comparison and assess TA&amp;O units cost factors.</t>
  </si>
  <si>
    <t>EPA - Alternative Control Techniques Document - NOx Emissions from Stationary Gas Turbines, January 1993</t>
  </si>
  <si>
    <t>Document is not completed yet. "Section 4 - NOx Controls, Chapter 3- Steam /Water Injection" is a "Planned Chapter".</t>
  </si>
  <si>
    <t>All costs base year is 1998</t>
  </si>
  <si>
    <t>Refer to NOx controls applied to combustion turbines only</t>
  </si>
  <si>
    <t>All costs base year is 1993</t>
  </si>
  <si>
    <t>Document defines thoroughly cost items elements of TCC for Water Injection and SCR controls of several existing facilities allowing a capital cost bulk estimate, considered acceptable.</t>
  </si>
  <si>
    <t xml:space="preserve">Form on page 4 - "Emission Unit Specifications and Record Data", allows seeing the record data, as provided by EGU's owners, of every unit listed within 2010 active TA&amp;Os. </t>
  </si>
  <si>
    <t>Table 5 - "TA&amp;O Units Owners' Cost Analysis Reports Specifications", on page 8, summarizes differences among the owners' reports.</t>
  </si>
  <si>
    <t>Figure 9 - "Total Capital Cost Elements Definition", on page 9, shows EPA's graphical representation from ref. # 1, EPA-452-02-001. Cost items terms found in TA&amp;O owners reports were added under the appropriate EPA class. TCC schematic and percentage factors, recommended by EPA/452/B-02-001 were used to perform a leveled cost analysis for the 2010 active Trading Agreements and Orders, results shown in Section III of Table 1.</t>
  </si>
  <si>
    <t>Also below are provided in detail two TAC assessesment approach methods (for Water Injection and SCR), based on EPA recommendations. Some cost values (such as actual kWh) are based on TA&amp;O owners reports.</t>
  </si>
  <si>
    <t>Figure 10 - "Total Annual Cost Elements Definition" on page 10, is the EPA's graphical representation from ref. # 1, EPA-452-02-001. TAC schematic and the methods detailed in page 10 for Water Injection and SCR were used to perform a leveled cost analysis for the 2010 active Trading Agreements and Orders, results shown in Section III of Table 1.</t>
  </si>
  <si>
    <t>The items listed are examples of entries, additional items may be added. For example, Annex 2 published by EPA lists the "Major Equipment for an SCR Application".</t>
  </si>
  <si>
    <r>
      <rPr>
        <b/>
        <sz val="10"/>
        <color theme="1"/>
        <rFont val="Arial"/>
        <family val="2"/>
      </rPr>
      <t>Data below can be changed</t>
    </r>
    <r>
      <rPr>
        <sz val="10"/>
        <color theme="1"/>
        <rFont val="Arial"/>
        <family val="2"/>
      </rPr>
      <t xml:space="preserve"> -
New selection will overide data in Col(s) 21, 22 &amp; 23 and change the Cost Analysis results in Section II and III of Table 1, page 2(gnl)</t>
    </r>
  </si>
  <si>
    <t>TA&amp;O units models are either not listed or listed with a different make</t>
  </si>
  <si>
    <t>Table 7 - "Emission Units ID and Record Data", on page 12, is the data entry table for emission units ID records and specifications (input data) from DEEP documents and unit owners' reports.</t>
  </si>
  <si>
    <t>SECTION II - TOTAL CAPITAL COST ANALYSIS CORRECTED  (based on reported eq_cost and assigned multipliers for direct, indirect &amp; contingency costs)</t>
  </si>
  <si>
    <t>SECTION III - TCC &amp; ANNUAL COSTS ASSESSED BASED ON EPA ACT - LEVELED COST ANALYSIS</t>
  </si>
  <si>
    <t>Emission units general specifications - in Col. 1 through 24</t>
  </si>
  <si>
    <t>Uncontrolled NOx assessment - Col. 25 - 43; NOx Controls Proposed - Col 44-50, and Controlled NOx Assessment - Col. 51-87</t>
  </si>
  <si>
    <t xml:space="preserve">SECTION I - TOTAL CAPITAL COST PER OWNERS' REPORT </t>
  </si>
  <si>
    <t>Section I - Total Capital Cost Per Stakeholder's Report - Col 88-206</t>
  </si>
  <si>
    <t>Section II - Total Capital Cost Analysis Corrected  (Based On Reported Eq_Cost And Assigned Multipliers For Direct, Indirect &amp; Contingency Costs) - Col. 207-256</t>
  </si>
  <si>
    <t>Section III- TCC &amp; Annual Costs Assessed Based On EPA Documents - Leveled Cost Analysis, Col 257-305</t>
  </si>
  <si>
    <t>Table below includes cost analysis data entries and controls cost effectiveness assessment</t>
  </si>
  <si>
    <t xml:space="preserve">Section I </t>
  </si>
  <si>
    <t>Section III</t>
  </si>
  <si>
    <t>Re-calculation of the same data based on EPA CAIROS Ozone Season NOx records, also fixing reports calculation errors</t>
  </si>
  <si>
    <t>Using the leveled cost analysis approach based  on EPA guidelines and data recalculated with comparable assumptions, the result was the same:  the cost of control for the TA&amp;O units is far higher than control costs for NOx considered reasonable to date.</t>
  </si>
  <si>
    <t>*</t>
  </si>
  <si>
    <t>X</t>
  </si>
  <si>
    <t>Catalyst Disposal Fee</t>
  </si>
  <si>
    <t>50% Full Time</t>
  </si>
  <si>
    <t>Norwich Public Utilities</t>
  </si>
  <si>
    <t>TCC cost shown is per unit. Since each of the South Meadows units is a twin pack, the actual TCC of a twin pack control is double the value indicated in the table.</t>
  </si>
  <si>
    <t>Section II</t>
  </si>
  <si>
    <t>Owners' cost analysis data and controls cost effectiveness, as reported</t>
  </si>
  <si>
    <t>A leveled cost analysis of all controls based on EPA CAIROS Ozone Season NOx records, an uniform CRF and EPA's recommended cost assessment.</t>
  </si>
  <si>
    <t>Time period of NOx Trading Agreements &amp; Orders: May 1, 2010 through May 31, 2014.</t>
  </si>
  <si>
    <t>The eight TA&amp;Os apply to 39 emission units</t>
  </si>
  <si>
    <t>Cost Analysis of Proposed NOx Control Technologies: Overview and Notes</t>
  </si>
  <si>
    <t>SUMMARY</t>
  </si>
  <si>
    <t>To assist in the determination of how DEEP will proceed upon expiration on May 31, 2014 of the NOx Trading Agreement and Orders (TA&amp;Os) issued to the owners of 39 electric generating units (EGUs), DEEP has reviewed the control costs and emissions data submitted by the unit owners.</t>
  </si>
  <si>
    <t>TAO OVERVIEW</t>
  </si>
  <si>
    <t>NOx Controls Total Capital Cost (TCC) and Total Annual Cost (TAC) are well defined, however method indicated is laborious.</t>
  </si>
  <si>
    <t>Findings</t>
  </si>
  <si>
    <t>The total ozone season NOx emissions from the 39 units were about 1,271 tons in 2008, 309 tons in 2009 and 1,167 tons in 2010.  Despite relatively high emission rates, the total seasonal NOx emissions for the 39 units are low because most of the units operate for very few hours during the season.  The exceptions to the low seasonal operating hours are Capital District and Bridgeport Harbor 3.</t>
  </si>
  <si>
    <t xml:space="preserve">Submitted cost and emissions data resulted in control cost estimates that ranged from a low of 2,797 $/ton NOx reduced (flue gas recirculation at New Haven Harbor auxiliary boiler) to a high of 1,294,738 $/ton of NOx reduced (SCR and ID fans at Norwalk Harbor Station unit 1). </t>
  </si>
  <si>
    <t>Based on both the owner submitted control costs and emissions and DEEP’s leveled cost analysis using EPA data and comparable assumptions, the costs of controlling NOx emissions from the TA&amp;O units is higher than control costs for NOx considered reasonable in permitting and attainment planning.  The one exception is the auxiliary boiler at New Haven Harbor at which the installation of NOx controls and a change in fuel appear to be cost effective.</t>
  </si>
  <si>
    <t>DEEP indicated to EGU owners that the use of trading as a compliance option would likely terminate with this set of TA&amp;Os.  The EGU owners would need to install controls, replace the existing units or shut down.  This statement assumed that a number of federal rules impacting EGU's would have been published during term of TA&amp;Os.</t>
  </si>
  <si>
    <t>For each identified control technology, the owner provided the cost of installing and operating the control; a schedule for installation and operation; feasibility, control performance assessment and any collateral environmental impacts that will result from the installation of additional controls.</t>
  </si>
  <si>
    <t xml:space="preserve">Owners used several different approaches in calculating the cost effectiveness, so those values submitted are not directly comparable.  The differences are caused largely by the choice of capital recovery interest rates and asset lifetime.  </t>
  </si>
  <si>
    <t>For each of the 39 units, three approaches were used to calculate the control cost, as follows:</t>
  </si>
  <si>
    <t>The values calculated using all three approaches are set out in Table 1.</t>
  </si>
  <si>
    <t>In general, all unit owners indicate that the emission units' sites are congested.  The cost of installing NOx controls may increase due to site preparation, interference with the existing (high voltage) power lines and other existing utilities (water lines, tanks, etc.) that have to be removed or relocated.  Some reports included (high) costs for equipment erection, construction contracts, testing and start-up and permitting.</t>
  </si>
  <si>
    <t xml:space="preserve">A ratio SCR vs. Equipment Erection Cost of 1: 1.3 to 1.8 times; the highest costs assigned for two of NRG facilities (Middletown 4 and Montville 5) are $38 mil for equipment erection vs. $28 mil for SCR procurement, with a total capital cost reported for each of these facilities of $145 mil; NOx removal cost effectiveness resulted $984,549. </t>
  </si>
  <si>
    <t xml:space="preserve">Per EPA, an existing equipment retrofitting may significantly increase the costs (60 % or more) depending on the site specifics.  Also the recommended costs do not include construction of a new building or site preparation costs.  </t>
  </si>
  <si>
    <t>(Note: Table 1 provides the option to select the NOx rate either in "lb/MMBtu" or in "ppmvd". Due to missing conversion factor, ppmvd fields may be blank. Also in Section II and III the Capital Recovery Factor (CRF) may be changed by selecting new values of the asset life and annual interest for each group emission units (turbines/diesel engines and/or utility boilers).</t>
  </si>
  <si>
    <t>Table 1 - "NOx Control Technology Options and Cost Overview of 2010 Active TA&amp;O Units", on page 2, summarizes the cost analysis results.  Table 1 provides each control option proposed for every emission unit and three cost metrics for each option: the capital cost, the capital cost adjusted for unit capacity ($/MW) and the control cost effectiveness ($/tons of NOx reduced.  Table 1 also includes for each option per unit the NOx control efficiency, NOx rate estimate and estimated tons/year NOx reduction.</t>
  </si>
  <si>
    <t>Table 2 - "List of 2010 Active Trading Agreements &amp; Orders", on page 3, includes the emission units. specifications (tag ID, nominal capacity, equipment age and primary and secondary fuel) subject to 2010 active TA&amp;Os.</t>
  </si>
  <si>
    <r>
      <t>Table 3 - "TA&amp;O Units EPA CAIROS NOx Emission Data (Ozone Season)", on page 5, indicates the 2010, 2009 and 2008 NOx data, including the reported operating time, gross load, average NOx rate and tons/year, heat input, and the primary and secondary fuels.  Original record data, imported from EPA CAIROS is included in Annex 1.  Table 3 indicates the maximum of the 2010, 2009 and 2008 NOx emissions in tons per year, data that served for the cost analysis summarized in Sections II and III of Table1. (</t>
    </r>
    <r>
      <rPr>
        <i/>
        <sz val="10"/>
        <color theme="1"/>
        <rFont val="Arial"/>
        <family val="2"/>
      </rPr>
      <t>Note: See Table 3, Columns 95 through 102</t>
    </r>
    <r>
      <rPr>
        <sz val="10"/>
        <color theme="1"/>
        <rFont val="Arial"/>
        <family val="2"/>
      </rPr>
      <t>).</t>
    </r>
  </si>
  <si>
    <t>Table 4 - "List of NOx Control Technologies / Options Assessed by Emission Units Owners", on page 7, includes all the NOx control options considered and analyzed in the reports submitted by the EGU's owners for the facilities subject to the 2010 Trading Agreements and Orders.  Table 4 data is as provided by the owners' reports.  Table 4 includes a short description of the listed NOx Control Technologies, owners' reports efficiency assessment, equipment availability, and owners' remarks on site condition and existing utilities.</t>
  </si>
  <si>
    <t>Table 6 - "TA&amp;O Units - Proposed NOx Control Technologies Efficiency Assessment", on page 11, included proposed controls efficiencies. Also allows efficiency re-calculation and assessment if a change is required. For instance, for a legitimate cost effectiveness comparison all SCR controls should have assigned same efficiency (of 90%) or all water injection should have 60%.  Last columns of Table 6 show both owners report proposed controls efficiencies as well as the assigned efficiencies to perform a leveled cost analysis.</t>
  </si>
  <si>
    <t xml:space="preserve">Table 8 - "NOx Control Options Cost Analysis", on page 13, includes: </t>
  </si>
  <si>
    <t>For some controls such an SCR, EPA published detailed lists of that control required components, see Annex 2. For other components such information may be found within manufacturers' product description.</t>
  </si>
  <si>
    <t>The owners submitted data and control cost estimates varied significantly in the assumptions and methods.  We do not necessarily dispute the choice of methods or escalation of standard costs based on site-specific concerns.  However, the variations limit the use of the submitted information.  DEEP performed its own leveled cost analysis for the units to see if the result differed.  The result of the evaluation – that controls are not cost effective –  was unchanged.</t>
  </si>
  <si>
    <t>The TA&amp;Os required EGU owners to submit in Spring 2011 an evaluation for every subject unit.  Owners were instructed to include costs for all potential NOx control technologies available to limit emission below the limitations set by RCSA Section 22a-174-22 without the use of NOx allowances or DERCs.</t>
  </si>
  <si>
    <t>Approach 1 – NOx Control Technologies, as provided by EGU owners</t>
  </si>
  <si>
    <t>Approach 2 - NOx Control Technologies, based on:</t>
  </si>
  <si>
    <t>Approach 3 - NOx Control Technologies , based on:</t>
  </si>
  <si>
    <t xml:space="preserve">In developing the cost analysis reports, units’ owners referred to two EPA's cost guidance documents but changed the cost items' factors, added new costs, and used higher multipliers than recommended by EPA.  Among the reasons cited for the diversion from EPA's guidance were the site specifics and historic data (similar projects from the past). </t>
  </si>
  <si>
    <t>EPA documents quoted as references are as follows:</t>
  </si>
  <si>
    <t>Also the NRG report considered only 5 years and a higher annual interest 9% for estimating the Capital Recovery factor, and that along with a higher capital cost leading to a very high NOx control cost effectiveness.</t>
  </si>
  <si>
    <t>GUIDE TO THE TABLES, FORMS AND FIGURES</t>
  </si>
  <si>
    <t>Nom. Eff.</t>
  </si>
  <si>
    <t>Nom. Eff.Override</t>
  </si>
  <si>
    <t>- CAIROS Data (ozone season) max of 2010, 2009, 2008
- Leveled Capital Recovery Factor
- Total Capital per EPA Approach and Unit Owners' Reports
  Annual Costs per EPA Approach - all costs' base year 2011</t>
  </si>
</sst>
</file>

<file path=xl/styles.xml><?xml version="1.0" encoding="utf-8"?>
<styleSheet xmlns="http://schemas.openxmlformats.org/spreadsheetml/2006/main">
  <numFmts count="98">
    <numFmt numFmtId="6" formatCode="&quot;$&quot;#,##0_);[Red]\(&quot;$&quot;#,##0\)"/>
    <numFmt numFmtId="8" formatCode="&quot;$&quot;#,##0.00_);[Red]\(&quot;$&quot;#,##0.00\)"/>
    <numFmt numFmtId="41" formatCode="_(* #,##0_);_(* \(#,##0\);_(* &quot;-&quot;_);_(@_)"/>
    <numFmt numFmtId="43" formatCode="_(* #,##0.00_);_(* \(#,##0.00\);_(* &quot;-&quot;??_);_(@_)"/>
    <numFmt numFmtId="164" formatCode="mm/dd/yyyy;@"/>
    <numFmt numFmtId="165" formatCode="&quot;Rev 0&quot;#"/>
    <numFmt numFmtId="166" formatCode="0.000"/>
    <numFmt numFmtId="167" formatCode="[$-409]mmmm\ d\,\ yyyy;@"/>
    <numFmt numFmtId="168" formatCode="[$-409]mmm\-d\,\ yyyy;@"/>
    <numFmt numFmtId="169" formatCode="[$-2409]mmmm\ dd\,\ yyyy;@"/>
    <numFmt numFmtId="170" formatCode="mm/dd/yy;@"/>
    <numFmt numFmtId="171" formatCode="0.0"/>
    <numFmt numFmtId="172" formatCode="#&quot; MW&quot;"/>
    <numFmt numFmtId="173" formatCode="0.0%"/>
    <numFmt numFmtId="174" formatCode="#,###&quot; MMBtu/hr&quot;"/>
    <numFmt numFmtId="175" formatCode="#,###&quot; MW&quot;"/>
    <numFmt numFmtId="176" formatCode="#&quot; yrs&quot;"/>
    <numFmt numFmtId="177" formatCode="#,###.#&quot; ppmvd&quot;"/>
    <numFmt numFmtId="178" formatCode="#,###.0&quot; ppmvd&quot;"/>
    <numFmt numFmtId="179" formatCode="0.000&quot; lbs/MMBtu&quot;"/>
    <numFmt numFmtId="180" formatCode="0.00&quot; lbs/MMBtu&quot;"/>
    <numFmt numFmtId="181" formatCode="#,##0.0"/>
    <numFmt numFmtId="182" formatCode="&quot;&lt; &quot;0.00%"/>
    <numFmt numFmtId="183" formatCode="&quot;$&quot;#,##0"/>
    <numFmt numFmtId="184" formatCode="#,###.0&quot; MW&quot;"/>
    <numFmt numFmtId="185" formatCode="#.00&quot; MW&quot;"/>
    <numFmt numFmtId="186" formatCode="0&quot; years&quot;"/>
    <numFmt numFmtId="187" formatCode="General&quot; MW&quot;"/>
    <numFmt numFmtId="188" formatCode="&quot;$&quot;#,##0.00"/>
    <numFmt numFmtId="189" formatCode="0.0000"/>
    <numFmt numFmtId="190" formatCode="#,##0.000"/>
    <numFmt numFmtId="191" formatCode="#,##0&quot; MWh&quot;"/>
    <numFmt numFmtId="192" formatCode="0&quot; yrs&quot;"/>
    <numFmt numFmtId="193" formatCode="0.0&quot; hrs&quot;"/>
    <numFmt numFmtId="194" formatCode="0.00000"/>
    <numFmt numFmtId="195" formatCode="0&quot; hrs&quot;"/>
    <numFmt numFmtId="196" formatCode="#,##0&quot; $/MW&quot;"/>
    <numFmt numFmtId="197" formatCode="#,##0&quot; $/ton NOx&quot;"/>
    <numFmt numFmtId="198" formatCode="&quot;Option &quot;#"/>
    <numFmt numFmtId="199" formatCode="&quot;Option &quot;0"/>
    <numFmt numFmtId="200" formatCode="#.0&quot; MW&quot;"/>
    <numFmt numFmtId="201" formatCode="&quot;NOx(R)= &quot;#.0&quot; ton/yr&quot;"/>
    <numFmt numFmtId="202" formatCode="&quot;CR =&quot;\ &quot;$&quot;#,##0&quot; /yr&quot;"/>
    <numFmt numFmtId="203" formatCode="&quot;NOx(R)= &quot;0.0&quot; ton/yr&quot;"/>
    <numFmt numFmtId="204" formatCode="&quot;NOx(R)= &quot;0.00#&quot; ton/yr&quot;"/>
    <numFmt numFmtId="205" formatCode="#&quot; ppmvd&quot;"/>
    <numFmt numFmtId="206" formatCode="&quot;&lt; &quot;0.000&quot; lbs/MMBtu&quot;"/>
    <numFmt numFmtId="207" formatCode="#.00&quot; ppmvd&quot;"/>
    <numFmt numFmtId="208" formatCode="\η\ \≈\ 0.0%"/>
    <numFmt numFmtId="209" formatCode="&quot;NOx(UC)= &quot;0.0#&quot; ton/yr&quot;"/>
    <numFmt numFmtId="210" formatCode="#&quot; years&quot;"/>
    <numFmt numFmtId="211" formatCode="#,##0&quot; ppmvd&quot;"/>
    <numFmt numFmtId="212" formatCode="#,##0&quot; Btu/lb&quot;"/>
    <numFmt numFmtId="213" formatCode="&quot;row &quot;#"/>
    <numFmt numFmtId="214" formatCode="&quot;col width &quot;#"/>
    <numFmt numFmtId="215" formatCode="#.#&quot; MW&quot;"/>
    <numFmt numFmtId="216" formatCode="0.000&quot; lb/MMBtu&quot;"/>
    <numFmt numFmtId="217" formatCode="#,###.###"/>
    <numFmt numFmtId="218" formatCode="h:mm;@"/>
    <numFmt numFmtId="219" formatCode="0%&quot; (M)&quot;"/>
    <numFmt numFmtId="220" formatCode="0%&quot; (EqpC)&quot;"/>
    <numFmt numFmtId="221" formatCode="#.##&quot; MW&quot;"/>
    <numFmt numFmtId="222" formatCode="General&quot; years&quot;"/>
    <numFmt numFmtId="223" formatCode="&quot;0&quot;#"/>
    <numFmt numFmtId="224" formatCode="#,###.#&quot; MMBtu/hr&quot;"/>
    <numFmt numFmtId="225" formatCode="&quot;Total Count - &quot;#"/>
    <numFmt numFmtId="226" formatCode="#,##0&quot; *&quot;"/>
    <numFmt numFmtId="227" formatCode="#,###.00&quot; *&quot;"/>
    <numFmt numFmtId="228" formatCode="#&quot;.–&quot;"/>
    <numFmt numFmtId="229" formatCode="#&quot;.&quot;"/>
    <numFmt numFmtId="230" formatCode="&quot;[&quot;#&quot;]&quot;"/>
    <numFmt numFmtId="231" formatCode="0.00&quot; MW&quot;"/>
    <numFmt numFmtId="232" formatCode="&quot;C&quot;#"/>
    <numFmt numFmtId="233" formatCode="0%&quot;(B)&quot;"/>
    <numFmt numFmtId="234" formatCode="0%&quot;(TCC)&quot;"/>
    <numFmt numFmtId="235" formatCode="0.00&quot; lb water / lb fuel&quot;"/>
    <numFmt numFmtId="236" formatCode="0.00&quot; lb/gal&quot;"/>
    <numFmt numFmtId="237" formatCode="0.00&quot; $/MWh&quot;"/>
    <numFmt numFmtId="238" formatCode="0.00&quot; $/$&quot;"/>
    <numFmt numFmtId="239" formatCode="0.000&quot; $/1,000 gal&quot;"/>
    <numFmt numFmtId="240" formatCode="0&quot;  kWh/hr of operating time&quot;"/>
    <numFmt numFmtId="241" formatCode="0.00&quot; $1990/hr&quot;"/>
    <numFmt numFmtId="242" formatCode="#,##0&quot; hrs&quot;"/>
    <numFmt numFmtId="243" formatCode="0&quot;  kWh/hr&quot;"/>
    <numFmt numFmtId="244" formatCode="0.00&quot; $/1,000gal&quot;"/>
    <numFmt numFmtId="245" formatCode="0&quot; $1990/ft³&quot;"/>
    <numFmt numFmtId="246" formatCode="&quot;$&quot;#,##0&quot;/1,000 lb stream&quot;"/>
    <numFmt numFmtId="247" formatCode="#,##0&quot; ($1990/ton)&quot;"/>
    <numFmt numFmtId="248" formatCode="0&quot; ($1998/ft³)&quot;"/>
    <numFmt numFmtId="249" formatCode="0.00&quot; ($1990/hr)&quot;"/>
    <numFmt numFmtId="250" formatCode="0&quot; ($1990/ft³)&quot;"/>
    <numFmt numFmtId="251" formatCode="&quot;A&quot;#"/>
    <numFmt numFmtId="252" formatCode="&quot;TA&amp;O Total Count - &quot;#"/>
    <numFmt numFmtId="253" formatCode="&quot;TA&amp;O # &quot;#"/>
    <numFmt numFmtId="254" formatCode="#,##0.00&quot; Btu/lb&quot;"/>
    <numFmt numFmtId="255" formatCode="0&quot; $1990/ton&quot;"/>
    <numFmt numFmtId="256" formatCode="0.00%&quot;TCC&quot;"/>
    <numFmt numFmtId="257" formatCode="0%&quot;(M)&quot;"/>
  </numFmts>
  <fonts count="96">
    <font>
      <sz val="10"/>
      <color theme="1"/>
      <name val="Arial"/>
      <family val="2"/>
    </font>
    <font>
      <sz val="10"/>
      <color indexed="8"/>
      <name val="Arial"/>
      <family val="2"/>
    </font>
    <font>
      <u/>
      <sz val="10"/>
      <color indexed="12"/>
      <name val="Arial"/>
      <family val="2"/>
    </font>
    <font>
      <sz val="10"/>
      <color indexed="8"/>
      <name val="Arial"/>
      <family val="2"/>
    </font>
    <font>
      <b/>
      <sz val="10"/>
      <color indexed="8"/>
      <name val="Arial"/>
      <family val="2"/>
    </font>
    <font>
      <sz val="8"/>
      <color indexed="8"/>
      <name val="Arial"/>
      <family val="2"/>
    </font>
    <font>
      <sz val="9"/>
      <color indexed="8"/>
      <name val="Arial"/>
      <family val="2"/>
    </font>
    <font>
      <b/>
      <sz val="10"/>
      <color indexed="12"/>
      <name val="Arial"/>
      <family val="2"/>
    </font>
    <font>
      <sz val="8"/>
      <name val="Arial"/>
      <family val="2"/>
    </font>
    <font>
      <b/>
      <sz val="10"/>
      <name val="Arial"/>
      <family val="2"/>
    </font>
    <font>
      <b/>
      <sz val="12"/>
      <name val="Arial"/>
      <family val="2"/>
    </font>
    <font>
      <b/>
      <u/>
      <sz val="8"/>
      <color indexed="58"/>
      <name val="Arial"/>
      <family val="2"/>
    </font>
    <font>
      <sz val="8"/>
      <color indexed="58"/>
      <name val="Arial"/>
      <family val="2"/>
    </font>
    <font>
      <sz val="10"/>
      <name val="Arial"/>
      <family val="2"/>
    </font>
    <font>
      <b/>
      <sz val="10"/>
      <color indexed="8"/>
      <name val="Arial"/>
      <family val="2"/>
    </font>
    <font>
      <b/>
      <sz val="10"/>
      <color indexed="30"/>
      <name val="Arial"/>
      <family val="2"/>
    </font>
    <font>
      <u/>
      <sz val="10"/>
      <color indexed="12"/>
      <name val="Arial"/>
      <family val="2"/>
    </font>
    <font>
      <b/>
      <sz val="10"/>
      <color indexed="8"/>
      <name val="Arial"/>
      <family val="2"/>
    </font>
    <font>
      <b/>
      <u/>
      <sz val="10"/>
      <color indexed="8"/>
      <name val="Arial"/>
      <family val="2"/>
    </font>
    <font>
      <b/>
      <sz val="8"/>
      <color indexed="8"/>
      <name val="Arial"/>
      <family val="2"/>
    </font>
    <font>
      <b/>
      <vertAlign val="subscript"/>
      <sz val="8"/>
      <color indexed="8"/>
      <name val="Arial"/>
      <family val="2"/>
    </font>
    <font>
      <sz val="10"/>
      <color indexed="9"/>
      <name val="Arial"/>
      <family val="2"/>
    </font>
    <font>
      <sz val="8"/>
      <color indexed="8"/>
      <name val="Arial"/>
      <family val="2"/>
    </font>
    <font>
      <b/>
      <sz val="12"/>
      <color indexed="8"/>
      <name val="Arial"/>
      <family val="2"/>
    </font>
    <font>
      <b/>
      <sz val="8"/>
      <color indexed="8"/>
      <name val="Arial"/>
      <family val="2"/>
    </font>
    <font>
      <b/>
      <sz val="9"/>
      <color indexed="8"/>
      <name val="Arial"/>
      <family val="2"/>
    </font>
    <font>
      <b/>
      <sz val="10"/>
      <color indexed="10"/>
      <name val="Arial"/>
      <family val="2"/>
    </font>
    <font>
      <sz val="9"/>
      <color indexed="8"/>
      <name val="Arial"/>
      <family val="2"/>
    </font>
    <font>
      <b/>
      <sz val="10"/>
      <color indexed="8"/>
      <name val="Arial"/>
      <family val="2"/>
    </font>
    <font>
      <b/>
      <sz val="8"/>
      <color indexed="8"/>
      <name val="Arial"/>
      <family val="2"/>
    </font>
    <font>
      <u/>
      <sz val="10"/>
      <color indexed="8"/>
      <name val="Arial"/>
      <family val="2"/>
    </font>
    <font>
      <b/>
      <sz val="10"/>
      <color indexed="8"/>
      <name val="Arial"/>
      <family val="2"/>
    </font>
    <font>
      <b/>
      <sz val="10"/>
      <color indexed="8"/>
      <name val="Arial"/>
      <family val="2"/>
    </font>
    <font>
      <sz val="10"/>
      <color indexed="8"/>
      <name val="Arial"/>
      <family val="2"/>
    </font>
    <font>
      <b/>
      <sz val="10"/>
      <color indexed="8"/>
      <name val="Arial"/>
      <family val="2"/>
    </font>
    <font>
      <b/>
      <sz val="12"/>
      <color indexed="8"/>
      <name val="Arial"/>
      <family val="2"/>
    </font>
    <font>
      <b/>
      <u/>
      <sz val="10"/>
      <color indexed="8"/>
      <name val="Arial"/>
      <family val="2"/>
    </font>
    <font>
      <b/>
      <sz val="10"/>
      <color theme="1"/>
      <name val="Arial"/>
      <family val="2"/>
    </font>
    <font>
      <sz val="10"/>
      <color theme="1"/>
      <name val="Calibri"/>
      <family val="2"/>
    </font>
    <font>
      <i/>
      <u/>
      <sz val="10"/>
      <color theme="1"/>
      <name val="Arial"/>
      <family val="2"/>
    </font>
    <font>
      <b/>
      <sz val="7.5"/>
      <color indexed="8"/>
      <name val="Arial"/>
      <family val="2"/>
    </font>
    <font>
      <sz val="9"/>
      <color theme="1"/>
      <name val="Arial"/>
      <family val="2"/>
    </font>
    <font>
      <sz val="8"/>
      <color rgb="FF000000"/>
      <name val="Arial"/>
      <family val="2"/>
    </font>
    <font>
      <b/>
      <sz val="8"/>
      <color rgb="FF000000"/>
      <name val="Arial"/>
      <family val="2"/>
    </font>
    <font>
      <b/>
      <vertAlign val="subscript"/>
      <sz val="8"/>
      <color rgb="FF000000"/>
      <name val="Arial"/>
      <family val="2"/>
    </font>
    <font>
      <sz val="8"/>
      <color theme="1"/>
      <name val="Arial"/>
      <family val="2"/>
    </font>
    <font>
      <sz val="10"/>
      <color theme="0"/>
      <name val="Arial"/>
      <family val="2"/>
    </font>
    <font>
      <sz val="10"/>
      <color rgb="FFFF0000"/>
      <name val="Arial"/>
      <family val="2"/>
    </font>
    <font>
      <b/>
      <sz val="10"/>
      <color rgb="FFFF0000"/>
      <name val="Arial"/>
      <family val="2"/>
    </font>
    <font>
      <sz val="10"/>
      <color rgb="FF3333FF"/>
      <name val="Arial"/>
      <family val="2"/>
    </font>
    <font>
      <b/>
      <sz val="10"/>
      <color rgb="FF3333FF"/>
      <name val="Arial"/>
      <family val="2"/>
    </font>
    <font>
      <u/>
      <sz val="10"/>
      <color theme="1"/>
      <name val="Arial"/>
      <family val="2"/>
    </font>
    <font>
      <vertAlign val="superscript"/>
      <sz val="10"/>
      <color theme="1"/>
      <name val="Arial"/>
      <family val="2"/>
    </font>
    <font>
      <b/>
      <u/>
      <sz val="8"/>
      <color indexed="58"/>
      <name val="Calibri"/>
      <family val="2"/>
    </font>
    <font>
      <b/>
      <u/>
      <sz val="8"/>
      <color theme="1"/>
      <name val="Arial"/>
      <family val="2"/>
    </font>
    <font>
      <b/>
      <sz val="8"/>
      <color theme="1"/>
      <name val="Arial"/>
      <family val="2"/>
    </font>
    <font>
      <sz val="10"/>
      <color rgb="FF0000FF"/>
      <name val="Arial"/>
      <family val="2"/>
    </font>
    <font>
      <b/>
      <sz val="10"/>
      <color rgb="FF0000FF"/>
      <name val="Arial"/>
      <family val="2"/>
    </font>
    <font>
      <sz val="10"/>
      <color indexed="8"/>
      <name val="Calibri"/>
      <family val="2"/>
    </font>
    <font>
      <b/>
      <sz val="9"/>
      <name val="Arial"/>
      <family val="2"/>
    </font>
    <font>
      <sz val="10"/>
      <color indexed="10"/>
      <name val="Arial"/>
      <family val="2"/>
    </font>
    <font>
      <b/>
      <sz val="9"/>
      <color rgb="FF0066FF"/>
      <name val="Arial"/>
      <family val="2"/>
    </font>
    <font>
      <b/>
      <sz val="10"/>
      <color rgb="FFE60000"/>
      <name val="Arial"/>
      <family val="2"/>
    </font>
    <font>
      <sz val="7"/>
      <color indexed="8"/>
      <name val="Arial"/>
      <family val="2"/>
    </font>
    <font>
      <sz val="12"/>
      <color indexed="8"/>
      <name val="Arial"/>
      <family val="2"/>
    </font>
    <font>
      <sz val="10"/>
      <color rgb="FFE60000"/>
      <name val="Arial"/>
      <family val="2"/>
    </font>
    <font>
      <sz val="10"/>
      <color rgb="FF002DBC"/>
      <name val="Arial"/>
      <family val="2"/>
    </font>
    <font>
      <sz val="9"/>
      <color rgb="FF0066FF"/>
      <name val="Arial"/>
      <family val="2"/>
    </font>
    <font>
      <b/>
      <sz val="14"/>
      <color rgb="FF0000FF"/>
      <name val="Arial"/>
      <family val="2"/>
    </font>
    <font>
      <b/>
      <sz val="9"/>
      <color rgb="FF0000FF"/>
      <name val="Arial"/>
      <family val="2"/>
    </font>
    <font>
      <b/>
      <u/>
      <sz val="10"/>
      <color theme="1"/>
      <name val="Arial"/>
      <family val="2"/>
    </font>
    <font>
      <sz val="10"/>
      <color theme="8" tint="-0.499984740745262"/>
      <name val="Arial"/>
      <family val="2"/>
    </font>
    <font>
      <b/>
      <sz val="14"/>
      <name val="Arial"/>
      <family val="2"/>
    </font>
    <font>
      <b/>
      <sz val="10"/>
      <color rgb="FF6F6F6F"/>
      <name val="Arial"/>
      <family val="2"/>
    </font>
    <font>
      <b/>
      <sz val="14"/>
      <color theme="1"/>
      <name val="Arial"/>
      <family val="2"/>
    </font>
    <font>
      <b/>
      <sz val="10"/>
      <color rgb="FF0033CC"/>
      <name val="Arial"/>
      <family val="2"/>
    </font>
    <font>
      <b/>
      <sz val="9"/>
      <color theme="1"/>
      <name val="Arial"/>
      <family val="2"/>
    </font>
    <font>
      <b/>
      <sz val="14"/>
      <color indexed="8"/>
      <name val="Arial"/>
      <family val="2"/>
    </font>
    <font>
      <b/>
      <sz val="10"/>
      <color rgb="FF0066FF"/>
      <name val="Arial"/>
      <family val="2"/>
    </font>
    <font>
      <sz val="10"/>
      <color rgb="FF0066FF"/>
      <name val="Arial"/>
      <family val="2"/>
    </font>
    <font>
      <b/>
      <sz val="16"/>
      <color theme="1"/>
      <name val="Arial"/>
      <family val="2"/>
    </font>
    <font>
      <i/>
      <u/>
      <sz val="10"/>
      <color indexed="8"/>
      <name val="Arial"/>
      <family val="2"/>
    </font>
    <font>
      <b/>
      <sz val="14"/>
      <color rgb="FF000000"/>
      <name val="Arial"/>
      <family val="2"/>
    </font>
    <font>
      <b/>
      <sz val="10"/>
      <color rgb="FF000000"/>
      <name val="Arial"/>
      <family val="2"/>
    </font>
    <font>
      <sz val="14"/>
      <color theme="1"/>
      <name val="Arial"/>
      <family val="2"/>
    </font>
    <font>
      <b/>
      <sz val="12"/>
      <color theme="1"/>
      <name val="Arial"/>
      <family val="2"/>
    </font>
    <font>
      <sz val="12"/>
      <color theme="1"/>
      <name val="Arial"/>
      <family val="2"/>
    </font>
    <font>
      <i/>
      <sz val="10"/>
      <color theme="1"/>
      <name val="Arial"/>
      <family val="2"/>
    </font>
    <font>
      <u/>
      <sz val="10"/>
      <name val="Arial"/>
      <family val="2"/>
    </font>
    <font>
      <i/>
      <u/>
      <sz val="10"/>
      <name val="Arial"/>
      <family val="2"/>
    </font>
    <font>
      <b/>
      <u/>
      <sz val="10"/>
      <name val="Arial"/>
      <family val="2"/>
    </font>
    <font>
      <sz val="10"/>
      <name val="Calibri"/>
      <family val="2"/>
    </font>
    <font>
      <i/>
      <sz val="10"/>
      <name val="Arial"/>
      <family val="2"/>
    </font>
    <font>
      <u/>
      <sz val="10"/>
      <color rgb="FF0000FF"/>
      <name val="Arial"/>
      <family val="2"/>
    </font>
    <font>
      <b/>
      <u/>
      <sz val="10"/>
      <color theme="0"/>
      <name val="Arial"/>
      <family val="2"/>
    </font>
    <font>
      <u/>
      <sz val="10"/>
      <color theme="0"/>
      <name val="Arial"/>
      <family val="2"/>
    </font>
  </fonts>
  <fills count="53">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27"/>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rgb="FFFFFF00"/>
        <bgColor indexed="64"/>
      </patternFill>
    </fill>
    <fill>
      <patternFill patternType="solid">
        <fgColor theme="6" tint="0.79998168889431442"/>
        <bgColor indexed="64"/>
      </patternFill>
    </fill>
    <fill>
      <patternFill patternType="solid">
        <fgColor rgb="FFE1EBF4"/>
        <bgColor indexed="64"/>
      </patternFill>
    </fill>
    <fill>
      <patternFill patternType="solid">
        <fgColor rgb="FF99FF66"/>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CCFFCC"/>
        <bgColor indexed="64"/>
      </patternFill>
    </fill>
    <fill>
      <patternFill patternType="solid">
        <fgColor rgb="FFCCECFF"/>
        <bgColor indexed="64"/>
      </patternFill>
    </fill>
    <fill>
      <patternFill patternType="solid">
        <fgColor rgb="FFDDFFFF"/>
        <bgColor indexed="64"/>
      </patternFill>
    </fill>
    <fill>
      <patternFill patternType="solid">
        <fgColor rgb="FFE7FFE7"/>
        <bgColor indexed="64"/>
      </patternFill>
    </fill>
    <fill>
      <patternFill patternType="solid">
        <fgColor rgb="FFE5FEFF"/>
        <bgColor indexed="64"/>
      </patternFill>
    </fill>
    <fill>
      <patternFill patternType="solid">
        <fgColor rgb="FFD5ECFF"/>
        <bgColor indexed="64"/>
      </patternFill>
    </fill>
    <fill>
      <patternFill patternType="solid">
        <fgColor rgb="FFCDFFDC"/>
        <bgColor indexed="64"/>
      </patternFill>
    </fill>
    <fill>
      <patternFill patternType="solid">
        <fgColor rgb="FF00B0F0"/>
        <bgColor indexed="64"/>
      </patternFill>
    </fill>
    <fill>
      <patternFill patternType="solid">
        <fgColor rgb="FFFFC000"/>
        <bgColor indexed="64"/>
      </patternFill>
    </fill>
    <fill>
      <patternFill patternType="solid">
        <fgColor rgb="FF99CCFF"/>
        <bgColor indexed="64"/>
      </patternFill>
    </fill>
    <fill>
      <patternFill patternType="solid">
        <fgColor rgb="FFFDE9D9"/>
        <bgColor indexed="64"/>
      </patternFill>
    </fill>
    <fill>
      <patternFill patternType="solid">
        <fgColor rgb="FFEAF1DD"/>
        <bgColor indexed="64"/>
      </patternFill>
    </fill>
    <fill>
      <patternFill patternType="solid">
        <fgColor rgb="FFD8D8D8"/>
        <bgColor indexed="64"/>
      </patternFill>
    </fill>
    <fill>
      <patternFill patternType="solid">
        <fgColor rgb="FF00FF00"/>
        <bgColor indexed="64"/>
      </patternFill>
    </fill>
    <fill>
      <patternFill patternType="solid">
        <fgColor rgb="FFE5F3FF"/>
        <bgColor indexed="64"/>
      </patternFill>
    </fill>
    <fill>
      <patternFill patternType="solid">
        <fgColor rgb="FF9BECFF"/>
        <bgColor indexed="64"/>
      </patternFill>
    </fill>
    <fill>
      <patternFill patternType="solid">
        <fgColor rgb="FFBDFCFF"/>
        <bgColor indexed="64"/>
      </patternFill>
    </fill>
    <fill>
      <patternFill patternType="solid">
        <fgColor rgb="FFE6FFAF"/>
        <bgColor indexed="64"/>
      </patternFill>
    </fill>
    <fill>
      <patternFill patternType="solid">
        <fgColor rgb="FF9CE4FE"/>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CEFEE0"/>
        <bgColor indexed="64"/>
      </patternFill>
    </fill>
    <fill>
      <patternFill patternType="solid">
        <fgColor theme="0" tint="-4.9989318521683403E-2"/>
        <bgColor indexed="64"/>
      </patternFill>
    </fill>
    <fill>
      <patternFill patternType="solid">
        <fgColor rgb="FF9FFF9F"/>
        <bgColor indexed="64"/>
      </patternFill>
    </fill>
    <fill>
      <patternFill patternType="solid">
        <fgColor rgb="FFFFFFC1"/>
        <bgColor indexed="64"/>
      </patternFill>
    </fill>
    <fill>
      <patternFill patternType="solid">
        <fgColor rgb="FFFFFFEB"/>
        <bgColor indexed="64"/>
      </patternFill>
    </fill>
    <fill>
      <patternFill patternType="solid">
        <fgColor rgb="FFF3FFF3"/>
        <bgColor indexed="64"/>
      </patternFill>
    </fill>
    <fill>
      <patternFill patternType="solid">
        <fgColor rgb="FFEBF5FF"/>
        <bgColor indexed="64"/>
      </patternFill>
    </fill>
    <fill>
      <patternFill patternType="solid">
        <fgColor rgb="FF82AAE6"/>
        <bgColor indexed="64"/>
      </patternFill>
    </fill>
    <fill>
      <patternFill patternType="solid">
        <fgColor rgb="FFFEF4EC"/>
        <bgColor indexed="64"/>
      </patternFill>
    </fill>
    <fill>
      <patternFill patternType="solid">
        <fgColor rgb="FFE1F0FF"/>
        <bgColor indexed="64"/>
      </patternFill>
    </fill>
    <fill>
      <patternFill patternType="solid">
        <fgColor rgb="FFE5FFFF"/>
        <bgColor indexed="64"/>
      </patternFill>
    </fill>
    <fill>
      <patternFill patternType="solid">
        <fgColor rgb="FFEFFFEF"/>
        <bgColor indexed="64"/>
      </patternFill>
    </fill>
    <fill>
      <patternFill patternType="solid">
        <fgColor rgb="FFFFFFD5"/>
        <bgColor indexed="64"/>
      </patternFill>
    </fill>
    <fill>
      <patternFill patternType="solid">
        <fgColor rgb="FF89FF89"/>
        <bgColor indexed="64"/>
      </patternFill>
    </fill>
    <fill>
      <patternFill patternType="solid">
        <fgColor rgb="FFFEF2E8"/>
        <bgColor indexed="64"/>
      </patternFill>
    </fill>
    <fill>
      <patternFill patternType="solid">
        <fgColor rgb="FFE1FFE1"/>
        <bgColor indexed="64"/>
      </patternFill>
    </fill>
    <fill>
      <patternFill patternType="solid">
        <fgColor rgb="FFFFFFFF"/>
        <bgColor indexed="64"/>
      </patternFill>
    </fill>
  </fills>
  <borders count="613">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top style="double">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diagonal/>
    </border>
    <border>
      <left style="medium">
        <color indexed="64"/>
      </left>
      <right style="double">
        <color indexed="64"/>
      </right>
      <top style="double">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top style="thin">
        <color indexed="64"/>
      </top>
      <bottom/>
      <diagonal/>
    </border>
    <border>
      <left/>
      <right/>
      <top style="thin">
        <color auto="1"/>
      </top>
      <bottom/>
      <diagonal/>
    </border>
    <border>
      <left style="thin">
        <color indexed="64"/>
      </left>
      <right style="thin">
        <color indexed="64"/>
      </right>
      <top style="thin">
        <color indexed="64"/>
      </top>
      <bottom/>
      <diagonal/>
    </border>
    <border>
      <left style="medium">
        <color rgb="FFC0C0C0"/>
      </left>
      <right style="thin">
        <color auto="1"/>
      </right>
      <top style="double">
        <color auto="1"/>
      </top>
      <bottom style="thin">
        <color auto="1"/>
      </bottom>
      <diagonal/>
    </border>
    <border>
      <left style="medium">
        <color rgb="FFC0C0C0"/>
      </left>
      <right style="thin">
        <color auto="1"/>
      </right>
      <top style="thin">
        <color auto="1"/>
      </top>
      <bottom style="double">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theme="0" tint="-0.24994659260841701"/>
      </top>
      <bottom style="thin">
        <color indexed="64"/>
      </bottom>
      <diagonal/>
    </border>
    <border>
      <left style="medium">
        <color indexed="64"/>
      </left>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style="medium">
        <color indexed="64"/>
      </right>
      <top/>
      <bottom style="thin">
        <color theme="0" tint="-0.14996795556505021"/>
      </bottom>
      <diagonal/>
    </border>
    <border>
      <left/>
      <right style="thin">
        <color indexed="64"/>
      </right>
      <top style="thin">
        <color indexed="64"/>
      </top>
      <bottom style="thin">
        <color theme="0" tint="-0.24994659260841701"/>
      </bottom>
      <diagonal/>
    </border>
    <border>
      <left style="medium">
        <color indexed="64"/>
      </left>
      <right style="thin">
        <color indexed="64"/>
      </right>
      <top style="thin">
        <color indexed="64"/>
      </top>
      <bottom style="thin">
        <color theme="0" tint="-0.24994659260841701"/>
      </bottom>
      <diagonal/>
    </border>
    <border>
      <left style="thin">
        <color auto="1"/>
      </left>
      <right/>
      <top style="thin">
        <color auto="1"/>
      </top>
      <bottom/>
      <diagonal/>
    </border>
    <border>
      <left/>
      <right/>
      <top style="thin">
        <color auto="1"/>
      </top>
      <bottom/>
      <diagonal/>
    </border>
    <border>
      <left style="thin">
        <color indexed="64"/>
      </left>
      <right style="thin">
        <color indexed="64"/>
      </right>
      <top style="medium">
        <color indexed="64"/>
      </top>
      <bottom style="thin">
        <color theme="0" tint="-0.24994659260841701"/>
      </bottom>
      <diagonal/>
    </border>
    <border>
      <left style="double">
        <color indexed="64"/>
      </left>
      <right/>
      <top style="double">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auto="1"/>
      </right>
      <top style="thin">
        <color auto="1"/>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double">
        <color indexed="64"/>
      </left>
      <right style="thin">
        <color indexed="64"/>
      </right>
      <top style="thin">
        <color auto="1"/>
      </top>
      <bottom/>
      <diagonal/>
    </border>
    <border>
      <left style="double">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theme="0" tint="-0.14996795556505021"/>
      </right>
      <top/>
      <bottom/>
      <diagonal/>
    </border>
    <border>
      <left style="double">
        <color indexed="64"/>
      </left>
      <right style="thin">
        <color indexed="64"/>
      </right>
      <top style="medium">
        <color indexed="64"/>
      </top>
      <bottom/>
      <diagonal/>
    </border>
    <border>
      <left style="thin">
        <color indexed="64"/>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medium">
        <color indexed="64"/>
      </left>
      <right style="thin">
        <color indexed="64"/>
      </right>
      <top style="medium">
        <color indexed="64"/>
      </top>
      <bottom style="thin">
        <color theme="0" tint="-0.24994659260841701"/>
      </bottom>
      <diagonal/>
    </border>
    <border>
      <left style="medium">
        <color indexed="64"/>
      </left>
      <right style="thin">
        <color indexed="64"/>
      </right>
      <top style="thin">
        <color theme="0" tint="-0.24994659260841701"/>
      </top>
      <bottom style="thin">
        <color theme="0" tint="-0.24994659260841701"/>
      </bottom>
      <diagonal/>
    </border>
    <border>
      <left style="medium">
        <color indexed="64"/>
      </left>
      <right style="thin">
        <color indexed="64"/>
      </right>
      <top style="thin">
        <color theme="0" tint="-0.24994659260841701"/>
      </top>
      <bottom style="medium">
        <color indexed="64"/>
      </bottom>
      <diagonal/>
    </border>
    <border>
      <left style="medium">
        <color indexed="64"/>
      </left>
      <right style="thin">
        <color indexed="64"/>
      </right>
      <top style="medium">
        <color indexed="64"/>
      </top>
      <bottom style="thin">
        <color theme="0" tint="-0.14996795556505021"/>
      </bottom>
      <diagonal/>
    </border>
    <border>
      <left/>
      <right style="thin">
        <color indexed="64"/>
      </right>
      <top style="medium">
        <color indexed="64"/>
      </top>
      <bottom style="thin">
        <color theme="0" tint="-0.14996795556505021"/>
      </bottom>
      <diagonal/>
    </border>
    <border>
      <left style="thin">
        <color indexed="64"/>
      </left>
      <right style="thin">
        <color indexed="64"/>
      </right>
      <top style="medium">
        <color indexed="64"/>
      </top>
      <bottom style="thin">
        <color theme="0" tint="-0.14996795556505021"/>
      </bottom>
      <diagonal/>
    </border>
    <border>
      <left style="thin">
        <color indexed="64"/>
      </left>
      <right style="medium">
        <color indexed="64"/>
      </right>
      <top style="medium">
        <color indexed="64"/>
      </top>
      <bottom style="thin">
        <color theme="0" tint="-0.14996795556505021"/>
      </bottom>
      <diagonal/>
    </border>
    <border>
      <left style="medium">
        <color indexed="64"/>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medium">
        <color indexed="64"/>
      </bottom>
      <diagonal/>
    </border>
    <border>
      <left/>
      <right style="thin">
        <color indexed="64"/>
      </right>
      <top style="thin">
        <color theme="0" tint="-0.14996795556505021"/>
      </top>
      <bottom style="medium">
        <color indexed="64"/>
      </bottom>
      <diagonal/>
    </border>
    <border>
      <left style="thin">
        <color indexed="64"/>
      </left>
      <right style="thin">
        <color indexed="64"/>
      </right>
      <top style="thin">
        <color theme="0" tint="-0.14996795556505021"/>
      </top>
      <bottom style="medium">
        <color indexed="64"/>
      </bottom>
      <diagonal/>
    </border>
    <border>
      <left style="thin">
        <color indexed="64"/>
      </left>
      <right style="medium">
        <color indexed="64"/>
      </right>
      <top style="thin">
        <color theme="0" tint="-0.14996795556505021"/>
      </top>
      <bottom style="medium">
        <color indexed="64"/>
      </bottom>
      <diagonal/>
    </border>
    <border>
      <left/>
      <right style="medium">
        <color indexed="64"/>
      </right>
      <top style="medium">
        <color indexed="64"/>
      </top>
      <bottom style="thin">
        <color theme="0" tint="-0.14996795556505021"/>
      </bottom>
      <diagonal/>
    </border>
    <border>
      <left style="medium">
        <color indexed="64"/>
      </left>
      <right style="medium">
        <color indexed="64"/>
      </right>
      <top style="medium">
        <color indexed="64"/>
      </top>
      <bottom style="thin">
        <color theme="0" tint="-0.14996795556505021"/>
      </bottom>
      <diagonal/>
    </border>
    <border>
      <left style="thin">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style="medium">
        <color indexed="64"/>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thin">
        <color theme="0" tint="-0.14996795556505021"/>
      </top>
      <bottom style="medium">
        <color indexed="64"/>
      </bottom>
      <diagonal/>
    </border>
    <border>
      <left style="thin">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style="medium">
        <color indexed="64"/>
      </left>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style="medium">
        <color indexed="64"/>
      </left>
      <right style="thin">
        <color indexed="64"/>
      </right>
      <top style="thin">
        <color indexed="64"/>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right/>
      <top style="thin">
        <color indexed="64"/>
      </top>
      <bottom style="thin">
        <color theme="0" tint="-0.1499679555650502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right style="medium">
        <color indexed="64"/>
      </right>
      <top style="thin">
        <color indexed="64"/>
      </top>
      <bottom style="thin">
        <color theme="0" tint="-0.24994659260841701"/>
      </bottom>
      <diagonal/>
    </border>
    <border>
      <left style="medium">
        <color indexed="64"/>
      </left>
      <right style="medium">
        <color indexed="64"/>
      </right>
      <top style="thin">
        <color indexed="64"/>
      </top>
      <bottom style="thin">
        <color theme="0" tint="-0.24994659260841701"/>
      </bottom>
      <diagonal/>
    </border>
    <border>
      <left/>
      <right/>
      <top style="thin">
        <color indexed="64"/>
      </top>
      <bottom style="thin">
        <color theme="0" tint="-0.24994659260841701"/>
      </bottom>
      <diagonal/>
    </border>
    <border>
      <left style="medium">
        <color indexed="64"/>
      </left>
      <right style="thin">
        <color indexed="64"/>
      </right>
      <top style="thin">
        <color theme="0" tint="-0.24994659260841701"/>
      </top>
      <bottom style="thin">
        <color indexed="64"/>
      </bottom>
      <diagonal/>
    </border>
    <border>
      <left style="thin">
        <color auto="1"/>
      </left>
      <right/>
      <top style="thin">
        <color theme="0" tint="-0.24994659260841701"/>
      </top>
      <bottom style="thin">
        <color indexed="64"/>
      </bottom>
      <diagonal/>
    </border>
    <border>
      <left style="thin">
        <color indexed="64"/>
      </left>
      <right style="medium">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style="medium">
        <color indexed="64"/>
      </right>
      <top style="thin">
        <color theme="0" tint="-0.24994659260841701"/>
      </top>
      <bottom style="thin">
        <color indexed="64"/>
      </bottom>
      <diagonal/>
    </border>
    <border>
      <left style="medium">
        <color indexed="64"/>
      </left>
      <right style="medium">
        <color indexed="64"/>
      </right>
      <top style="thin">
        <color theme="0" tint="-0.24994659260841701"/>
      </top>
      <bottom style="thin">
        <color indexed="64"/>
      </bottom>
      <diagonal/>
    </border>
    <border>
      <left/>
      <right/>
      <top style="thin">
        <color theme="0" tint="-0.24994659260841701"/>
      </top>
      <bottom style="thin">
        <color indexed="64"/>
      </bottom>
      <diagonal/>
    </border>
    <border>
      <left style="thin">
        <color theme="0" tint="-0.14996795556505021"/>
      </left>
      <right/>
      <top/>
      <bottom/>
      <diagonal/>
    </border>
    <border>
      <left/>
      <right/>
      <top style="thin">
        <color theme="0" tint="-0.24994659260841701"/>
      </top>
      <bottom style="thin">
        <color theme="0" tint="-0.24994659260841701"/>
      </bottom>
      <diagonal/>
    </border>
    <border>
      <left style="thin">
        <color auto="1"/>
      </left>
      <right style="thin">
        <color theme="0" tint="-0.14993743705557422"/>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style="medium">
        <color indexed="64"/>
      </right>
      <top style="medium">
        <color indexed="64"/>
      </top>
      <bottom style="thin">
        <color theme="0" tint="-0.24994659260841701"/>
      </bottom>
      <diagonal/>
    </border>
    <border>
      <left/>
      <right style="thin">
        <color indexed="64"/>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medium">
        <color indexed="64"/>
      </left>
      <right style="medium">
        <color indexed="64"/>
      </right>
      <top style="medium">
        <color indexed="64"/>
      </top>
      <bottom style="thin">
        <color theme="0" tint="-0.24994659260841701"/>
      </bottom>
      <diagonal/>
    </border>
    <border>
      <left style="thin">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style="medium">
        <color indexed="64"/>
      </right>
      <top style="thin">
        <color theme="0" tint="-0.24994659260841701"/>
      </top>
      <bottom style="medium">
        <color indexed="64"/>
      </bottom>
      <diagonal/>
    </border>
    <border>
      <left/>
      <right style="thin">
        <color indexed="64"/>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medium">
        <color indexed="64"/>
      </left>
      <right style="medium">
        <color indexed="64"/>
      </right>
      <top style="thin">
        <color theme="0" tint="-0.24994659260841701"/>
      </top>
      <bottom style="medium">
        <color indexed="64"/>
      </bottom>
      <diagonal/>
    </border>
    <border>
      <left style="thin">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medium">
        <color indexed="64"/>
      </right>
      <top style="thin">
        <color theme="0" tint="-0.24994659260841701"/>
      </top>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style="thin">
        <color theme="0" tint="-0.24994659260841701"/>
      </top>
      <bottom/>
      <diagonal/>
    </border>
    <border>
      <left style="thin">
        <color theme="0" tint="-0.14996795556505021"/>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style="thin">
        <color theme="0" tint="-0.14996795556505021"/>
      </right>
      <top style="thin">
        <color theme="0" tint="-0.14996795556505021"/>
      </top>
      <bottom style="thin">
        <color auto="1"/>
      </bottom>
      <diagonal/>
    </border>
    <border>
      <left/>
      <right style="medium">
        <color indexed="64"/>
      </right>
      <top style="thin">
        <color theme="0" tint="-0.14996795556505021"/>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24994659260841701"/>
      </left>
      <right/>
      <top style="thin">
        <color theme="0" tint="-0.2499465926084170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style="thin">
        <color auto="1"/>
      </top>
      <bottom/>
      <diagonal/>
    </border>
    <border>
      <left/>
      <right style="medium">
        <color indexed="64"/>
      </right>
      <top style="thin">
        <color auto="1"/>
      </top>
      <bottom/>
      <diagonal/>
    </border>
    <border>
      <left style="medium">
        <color indexed="64"/>
      </left>
      <right style="medium">
        <color indexed="64"/>
      </right>
      <top/>
      <bottom style="thin">
        <color theme="0" tint="-0.14996795556505021"/>
      </bottom>
      <diagonal/>
    </border>
    <border>
      <left/>
      <right style="thin">
        <color indexed="64"/>
      </right>
      <top/>
      <bottom style="thin">
        <color theme="0" tint="-0.14996795556505021"/>
      </bottom>
      <diagonal/>
    </border>
    <border>
      <left style="thin">
        <color indexed="64"/>
      </left>
      <right/>
      <top/>
      <bottom style="thin">
        <color theme="0" tint="-0.14996795556505021"/>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indexed="64"/>
      </right>
      <top style="thin">
        <color theme="0" tint="-0.24994659260841701"/>
      </top>
      <bottom/>
      <diagonal/>
    </border>
    <border>
      <left/>
      <right/>
      <top style="thin">
        <color auto="1"/>
      </top>
      <bottom/>
      <diagonal/>
    </border>
    <border>
      <left style="medium">
        <color rgb="FF0000FF"/>
      </left>
      <right/>
      <top/>
      <bottom/>
      <diagonal/>
    </border>
    <border>
      <left style="medium">
        <color rgb="FF0000FF"/>
      </left>
      <right/>
      <top/>
      <bottom style="medium">
        <color rgb="FF0000FF"/>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right style="medium">
        <color rgb="FF0000FF"/>
      </right>
      <top/>
      <bottom/>
      <diagonal/>
    </border>
    <border>
      <left style="thin">
        <color indexed="64"/>
      </left>
      <right style="thin">
        <color indexed="64"/>
      </right>
      <top style="thin">
        <color indexed="64"/>
      </top>
      <bottom style="medium">
        <color rgb="FF0000FF"/>
      </bottom>
      <diagonal/>
    </border>
    <border>
      <left/>
      <right style="medium">
        <color rgb="FF0000FF"/>
      </right>
      <top/>
      <bottom style="medium">
        <color rgb="FF0000FF"/>
      </bottom>
      <diagonal/>
    </border>
    <border>
      <left style="thin">
        <color rgb="FF0000FF"/>
      </left>
      <right style="thin">
        <color rgb="FF0000FF"/>
      </right>
      <top style="thin">
        <color rgb="FF0000FF"/>
      </top>
      <bottom style="thin">
        <color rgb="FF0000FF"/>
      </bottom>
      <diagonal/>
    </border>
    <border>
      <left/>
      <right style="thin">
        <color rgb="FF0000FF"/>
      </right>
      <top/>
      <bottom/>
      <diagonal/>
    </border>
    <border>
      <left style="thin">
        <color rgb="FF0000FF"/>
      </left>
      <right/>
      <top style="thin">
        <color rgb="FF0000FF"/>
      </top>
      <bottom/>
      <diagonal/>
    </border>
    <border>
      <left/>
      <right/>
      <top style="thin">
        <color rgb="FF0000FF"/>
      </top>
      <bottom/>
      <diagonal/>
    </border>
    <border>
      <left/>
      <right style="thin">
        <color rgb="FF0000FF"/>
      </right>
      <top style="thin">
        <color rgb="FF0000FF"/>
      </top>
      <bottom/>
      <diagonal/>
    </border>
    <border>
      <left style="thin">
        <color rgb="FF0000FF"/>
      </left>
      <right/>
      <top/>
      <bottom/>
      <diagonal/>
    </border>
    <border>
      <left style="thin">
        <color rgb="FF0000FF"/>
      </left>
      <right/>
      <top/>
      <bottom style="thin">
        <color indexed="64"/>
      </bottom>
      <diagonal/>
    </border>
    <border>
      <left style="thin">
        <color rgb="FF0000FF"/>
      </left>
      <right/>
      <top/>
      <bottom style="thin">
        <color rgb="FF0000FF"/>
      </bottom>
      <diagonal/>
    </border>
    <border>
      <left/>
      <right/>
      <top/>
      <bottom style="thin">
        <color rgb="FF0000FF"/>
      </bottom>
      <diagonal/>
    </border>
    <border>
      <left/>
      <right style="thin">
        <color rgb="FF0000FF"/>
      </right>
      <top/>
      <bottom style="thin">
        <color rgb="FF0000FF"/>
      </bottom>
      <diagonal/>
    </border>
    <border>
      <left/>
      <right/>
      <top style="thin">
        <color auto="1"/>
      </top>
      <bottom style="thin">
        <color auto="1"/>
      </bottom>
      <diagonal/>
    </border>
    <border>
      <left style="medium">
        <color indexed="64"/>
      </left>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style="medium">
        <color indexed="64"/>
      </left>
      <right/>
      <top style="medium">
        <color indexed="64"/>
      </top>
      <bottom style="thin">
        <color theme="0" tint="-0.14996795556505021"/>
      </bottom>
      <diagonal/>
    </border>
    <border>
      <left style="medium">
        <color indexed="64"/>
      </left>
      <right/>
      <top style="thin">
        <color indexed="64"/>
      </top>
      <bottom style="thin">
        <color theme="0" tint="-0.24994659260841701"/>
      </bottom>
      <diagonal/>
    </border>
    <border>
      <left style="medium">
        <color indexed="64"/>
      </left>
      <right/>
      <top style="thin">
        <color theme="0" tint="-0.24994659260841701"/>
      </top>
      <bottom style="thin">
        <color indexed="64"/>
      </bottom>
      <diagonal/>
    </border>
    <border>
      <left style="thin">
        <color indexed="64"/>
      </left>
      <right/>
      <top style="thin">
        <color theme="0" tint="-0.24994659260841701"/>
      </top>
      <bottom/>
      <diagonal/>
    </border>
    <border>
      <left/>
      <right style="thin">
        <color auto="1"/>
      </right>
      <top style="thin">
        <color auto="1"/>
      </top>
      <bottom/>
      <diagonal/>
    </border>
    <border>
      <left style="medium">
        <color indexed="64"/>
      </left>
      <right style="medium">
        <color auto="1"/>
      </right>
      <top style="thin">
        <color auto="1"/>
      </top>
      <bottom style="thin">
        <color indexed="64"/>
      </bottom>
      <diagonal/>
    </border>
    <border>
      <left/>
      <right/>
      <top style="thin">
        <color auto="1"/>
      </top>
      <bottom style="thin">
        <color indexed="64"/>
      </bottom>
      <diagonal/>
    </border>
    <border>
      <left/>
      <right style="medium">
        <color auto="1"/>
      </right>
      <top style="thin">
        <color auto="1"/>
      </top>
      <bottom style="thin">
        <color indexed="64"/>
      </bottom>
      <diagonal/>
    </border>
    <border>
      <left style="medium">
        <color indexed="64"/>
      </left>
      <right style="medium">
        <color indexed="64"/>
      </right>
      <top style="thin">
        <color theme="0" tint="-0.24994659260841701"/>
      </top>
      <bottom/>
      <diagonal/>
    </border>
    <border>
      <left/>
      <right style="thin">
        <color indexed="64"/>
      </right>
      <top style="thin">
        <color indexed="64"/>
      </top>
      <bottom style="thin">
        <color indexed="64"/>
      </bottom>
      <diagonal/>
    </border>
    <border>
      <left/>
      <right/>
      <top/>
      <bottom style="medium">
        <color rgb="FF0000FF"/>
      </bottom>
      <diagonal/>
    </border>
    <border>
      <left style="thin">
        <color rgb="FF0000FF"/>
      </left>
      <right style="thin">
        <color rgb="FF0000FF"/>
      </right>
      <top/>
      <bottom style="thin">
        <color rgb="FF0000FF"/>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indexed="64"/>
      </right>
      <top style="thin">
        <color auto="1"/>
      </top>
      <bottom style="medium">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top style="thin">
        <color indexed="64"/>
      </top>
      <bottom/>
      <diagonal/>
    </border>
    <border>
      <left/>
      <right style="thin">
        <color indexed="64"/>
      </right>
      <top style="thin">
        <color indexed="64"/>
      </top>
      <bottom style="thin">
        <color theme="0" tint="-0.24994659260841701"/>
      </bottom>
      <diagonal/>
    </border>
    <border>
      <left style="medium">
        <color indexed="64"/>
      </left>
      <right/>
      <top style="thin">
        <color auto="1"/>
      </top>
      <bottom style="thin">
        <color indexed="64"/>
      </bottom>
      <diagonal/>
    </border>
    <border>
      <left/>
      <right/>
      <top style="thin">
        <color auto="1"/>
      </top>
      <bottom style="thin">
        <color indexed="64"/>
      </bottom>
      <diagonal/>
    </border>
    <border>
      <left/>
      <right style="medium">
        <color auto="1"/>
      </right>
      <top style="thin">
        <color auto="1"/>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theme="0" tint="-0.14996795556505021"/>
      </top>
      <bottom/>
      <diagonal/>
    </border>
    <border>
      <left style="medium">
        <color indexed="64"/>
      </left>
      <right style="thin">
        <color indexed="64"/>
      </right>
      <top style="thin">
        <color theme="0" tint="-0.14996795556505021"/>
      </top>
      <bottom/>
      <diagonal/>
    </border>
    <border>
      <left style="thin">
        <color indexed="64"/>
      </left>
      <right style="medium">
        <color indexed="64"/>
      </right>
      <top style="thin">
        <color theme="0" tint="-0.14996795556505021"/>
      </top>
      <bottom/>
      <diagonal/>
    </border>
    <border>
      <left style="medium">
        <color indexed="64"/>
      </left>
      <right/>
      <top style="thin">
        <color theme="0" tint="-0.14996795556505021"/>
      </top>
      <bottom/>
      <diagonal/>
    </border>
    <border>
      <left/>
      <right/>
      <top style="thin">
        <color theme="0" tint="-0.14996795556505021"/>
      </top>
      <bottom/>
      <diagonal/>
    </border>
    <border>
      <left style="medium">
        <color indexed="64"/>
      </left>
      <right style="medium">
        <color indexed="64"/>
      </right>
      <top style="thin">
        <color theme="0" tint="-0.14996795556505021"/>
      </top>
      <bottom/>
      <diagonal/>
    </border>
    <border>
      <left style="thin">
        <color indexed="64"/>
      </left>
      <right/>
      <top style="thin">
        <color theme="0" tint="-0.14996795556505021"/>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auto="1"/>
      </top>
      <bottom style="medium">
        <color auto="1"/>
      </bottom>
      <diagonal/>
    </border>
    <border>
      <left/>
      <right style="thin">
        <color indexed="64"/>
      </right>
      <top style="thin">
        <color indexed="64"/>
      </top>
      <bottom style="thin">
        <color theme="0" tint="-0.24994659260841701"/>
      </bottom>
      <diagonal/>
    </border>
    <border>
      <left/>
      <right style="thin">
        <color indexed="64"/>
      </right>
      <top style="thin">
        <color indexed="64"/>
      </top>
      <bottom style="thin">
        <color theme="0" tint="-0.149967955565050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14996795556505021"/>
      </bottom>
      <diagonal/>
    </border>
    <border>
      <left style="thin">
        <color indexed="64"/>
      </left>
      <right/>
      <top style="thin">
        <color indexed="64"/>
      </top>
      <bottom style="thin">
        <color theme="0" tint="-0.24994659260841701"/>
      </bottom>
      <diagonal/>
    </border>
    <border>
      <left style="thin">
        <color indexed="64"/>
      </left>
      <right/>
      <top style="thin">
        <color indexed="64"/>
      </top>
      <bottom style="thin">
        <color theme="0" tint="-0.14996795556505021"/>
      </bottom>
      <diagonal/>
    </border>
    <border>
      <left style="medium">
        <color indexed="64"/>
      </left>
      <right style="thin">
        <color indexed="64"/>
      </right>
      <top style="thin">
        <color indexed="64"/>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style="medium">
        <color indexed="64"/>
      </left>
      <right style="thin">
        <color indexed="64"/>
      </right>
      <top style="thin">
        <color indexed="64"/>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diagonal/>
    </border>
    <border>
      <left/>
      <right style="medium">
        <color rgb="FF0000FF"/>
      </right>
      <top/>
      <bottom style="medium">
        <color indexed="64"/>
      </bottom>
      <diagonal/>
    </border>
    <border>
      <left/>
      <right/>
      <top style="medium">
        <color rgb="FF0000FF"/>
      </top>
      <bottom style="thin">
        <color rgb="FF0000FF"/>
      </bottom>
      <diagonal/>
    </border>
    <border>
      <left/>
      <right/>
      <top style="thin">
        <color auto="1"/>
      </top>
      <bottom/>
      <diagonal/>
    </border>
    <border>
      <left/>
      <right style="thin">
        <color indexed="64"/>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rgb="FF0000FF"/>
      </left>
      <right style="thin">
        <color rgb="FF0000FF"/>
      </right>
      <top style="medium">
        <color indexed="64"/>
      </top>
      <bottom style="thin">
        <color indexed="64"/>
      </bottom>
      <diagonal/>
    </border>
    <border>
      <left style="thin">
        <color rgb="FF0000FF"/>
      </left>
      <right style="thin">
        <color rgb="FF0000FF"/>
      </right>
      <top style="thin">
        <color auto="1"/>
      </top>
      <bottom style="medium">
        <color auto="1"/>
      </bottom>
      <diagonal/>
    </border>
    <border>
      <left/>
      <right/>
      <top style="thin">
        <color theme="0" tint="-0.24994659260841701"/>
      </top>
      <bottom/>
      <diagonal/>
    </border>
    <border>
      <left/>
      <right/>
      <top style="thin">
        <color auto="1"/>
      </top>
      <bottom/>
      <diagonal/>
    </border>
    <border>
      <left/>
      <right style="medium">
        <color indexed="64"/>
      </right>
      <top style="thin">
        <color indexed="64"/>
      </top>
      <bottom/>
      <diagonal/>
    </border>
    <border>
      <left style="medium">
        <color indexed="64"/>
      </left>
      <right/>
      <top/>
      <bottom style="thin">
        <color theme="0" tint="-0.14996795556505021"/>
      </bottom>
      <diagonal/>
    </border>
    <border>
      <left/>
      <right style="thin">
        <color theme="0" tint="-0.24994659260841701"/>
      </right>
      <top style="thin">
        <color theme="0" tint="-0.24994659260841701"/>
      </top>
      <bottom style="thin">
        <color theme="0" tint="-0.24994659260841701"/>
      </bottom>
      <diagonal/>
    </border>
    <border>
      <left/>
      <right style="thin">
        <color theme="0" tint="-0.14996795556505021"/>
      </right>
      <top style="thin">
        <color theme="0" tint="-0.14996795556505021"/>
      </top>
      <bottom style="thin">
        <color theme="0" tint="-0.14996795556505021"/>
      </bottom>
      <diagonal/>
    </border>
    <border>
      <left/>
      <right/>
      <top/>
      <bottom style="thin">
        <color theme="0" tint="-0.24994659260841701"/>
      </bottom>
      <diagonal/>
    </border>
    <border>
      <left/>
      <right style="thin">
        <color theme="0" tint="-0.24994659260841701"/>
      </right>
      <top/>
      <bottom/>
      <diagonal/>
    </border>
    <border>
      <left/>
      <right style="thin">
        <color theme="0" tint="-0.14996795556505021"/>
      </right>
      <top style="thin">
        <color theme="0" tint="-0.14996795556505021"/>
      </top>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bottom style="thin">
        <color theme="0" tint="-0.14993743705557422"/>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right style="thin">
        <color theme="0" tint="-0.14996795556505021"/>
      </right>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auto="1"/>
      </top>
      <bottom style="thin">
        <color auto="1"/>
      </bottom>
      <diagonal/>
    </border>
    <border>
      <left/>
      <right/>
      <top style="thin">
        <color indexed="64"/>
      </top>
      <bottom style="medium">
        <color indexed="64"/>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indexed="64"/>
      </right>
      <top style="thin">
        <color indexed="64"/>
      </top>
      <bottom/>
      <diagonal/>
    </border>
    <border>
      <left style="double">
        <color indexed="64"/>
      </left>
      <right style="thin">
        <color indexed="64"/>
      </right>
      <top style="thin">
        <color auto="1"/>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auto="1"/>
      </top>
      <bottom/>
      <diagonal/>
    </border>
    <border>
      <left style="thin">
        <color indexed="64"/>
      </left>
      <right style="thin">
        <color indexed="64"/>
      </right>
      <top style="thin">
        <color indexed="64"/>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style="medium">
        <color indexed="64"/>
      </left>
      <right style="thin">
        <color indexed="64"/>
      </right>
      <top style="thin">
        <color indexed="64"/>
      </top>
      <bottom style="thin">
        <color theme="0" tint="-0.14996795556505021"/>
      </bottom>
      <diagonal/>
    </border>
    <border>
      <left style="thin">
        <color auto="1"/>
      </left>
      <right style="thin">
        <color auto="1"/>
      </right>
      <top style="thin">
        <color auto="1"/>
      </top>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thin">
        <color auto="1"/>
      </right>
      <top style="thin">
        <color auto="1"/>
      </top>
      <bottom/>
      <diagonal/>
    </border>
    <border>
      <left/>
      <right/>
      <top style="thin">
        <color auto="1"/>
      </top>
      <bottom/>
      <diagonal/>
    </border>
    <border>
      <left/>
      <right style="medium">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auto="1"/>
      </right>
      <top style="thin">
        <color indexed="64"/>
      </top>
      <bottom style="thin">
        <color theme="0" tint="-0.24994659260841701"/>
      </bottom>
      <diagonal/>
    </border>
    <border>
      <left/>
      <right style="thin">
        <color theme="0" tint="-0.14996795556505021"/>
      </right>
      <top style="thin">
        <color auto="1"/>
      </top>
      <bottom/>
      <diagonal/>
    </border>
    <border>
      <left style="thin">
        <color theme="0" tint="-0.14996795556505021"/>
      </left>
      <right style="thin">
        <color theme="0" tint="-0.14996795556505021"/>
      </right>
      <top style="thin">
        <color auto="1"/>
      </top>
      <bottom/>
      <diagonal/>
    </border>
    <border>
      <left style="thin">
        <color theme="0" tint="-0.14996795556505021"/>
      </left>
      <right style="thin">
        <color indexed="64"/>
      </right>
      <top style="thin">
        <color auto="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auto="1"/>
      </right>
      <top/>
      <bottom style="thin">
        <color theme="0" tint="-0.24994659260841701"/>
      </bottom>
      <diagonal/>
    </border>
    <border>
      <left/>
      <right style="thin">
        <color theme="0" tint="-0.14996795556505021"/>
      </right>
      <top/>
      <bottom style="medium">
        <color indexed="64"/>
      </bottom>
      <diagonal/>
    </border>
    <border>
      <left style="thin">
        <color theme="0" tint="-0.14996795556505021"/>
      </left>
      <right style="thin">
        <color theme="0" tint="-0.14996795556505021"/>
      </right>
      <top/>
      <bottom style="medium">
        <color indexed="64"/>
      </bottom>
      <diagonal/>
    </border>
    <border>
      <left style="thin">
        <color theme="0" tint="-0.14996795556505021"/>
      </left>
      <right style="thin">
        <color indexed="64"/>
      </right>
      <top/>
      <bottom style="medium">
        <color indexed="64"/>
      </bottom>
      <diagonal/>
    </border>
    <border>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auto="1"/>
      </right>
      <top style="medium">
        <color indexed="64"/>
      </top>
      <bottom style="thin">
        <color indexed="64"/>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theme="0" tint="-0.24994659260841701"/>
      </right>
      <top style="thin">
        <color indexed="64"/>
      </top>
      <bottom/>
      <diagonal/>
    </border>
    <border>
      <left/>
      <right style="thin">
        <color theme="0" tint="-0.24994659260841701"/>
      </right>
      <top/>
      <bottom style="thin">
        <color auto="1"/>
      </bottom>
      <diagonal/>
    </border>
    <border>
      <left/>
      <right style="thin">
        <color theme="0" tint="-0.24994659260841701"/>
      </right>
      <top/>
      <bottom style="medium">
        <color indexed="64"/>
      </bottom>
      <diagonal/>
    </border>
    <border>
      <left style="thin">
        <color theme="0" tint="-0.24994659260841701"/>
      </left>
      <right style="thin">
        <color indexed="64"/>
      </right>
      <top style="thin">
        <color theme="0" tint="-0.24994659260841701"/>
      </top>
      <bottom style="medium">
        <color indexed="64"/>
      </bottom>
      <diagonal/>
    </border>
    <border>
      <left/>
      <right/>
      <top/>
      <bottom style="thin">
        <color theme="0"/>
      </bottom>
      <diagonal/>
    </border>
    <border>
      <left/>
      <right/>
      <top style="thin">
        <color theme="0"/>
      </top>
      <bottom/>
      <diagonal/>
    </border>
    <border>
      <left/>
      <right style="thin">
        <color indexed="64"/>
      </right>
      <top style="thin">
        <color theme="0"/>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thin">
        <color indexed="64"/>
      </top>
      <bottom style="medium">
        <color auto="1"/>
      </bottom>
      <diagonal/>
    </border>
    <border>
      <left/>
      <right/>
      <top/>
      <bottom style="medium">
        <color theme="0" tint="-0.34998626667073579"/>
      </bottom>
      <diagonal/>
    </border>
    <border>
      <left/>
      <right/>
      <top style="medium">
        <color theme="0" tint="-0.34998626667073579"/>
      </top>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dotted">
        <color auto="1"/>
      </left>
      <right/>
      <top style="dotted">
        <color auto="1"/>
      </top>
      <bottom/>
      <diagonal/>
    </border>
    <border>
      <left/>
      <right/>
      <top style="dotted">
        <color auto="1"/>
      </top>
      <bottom style="thin">
        <color indexed="64"/>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style="thin">
        <color auto="1"/>
      </top>
      <bottom style="dotted">
        <color auto="1"/>
      </bottom>
      <diagonal/>
    </border>
    <border>
      <left/>
      <right style="dotted">
        <color auto="1"/>
      </right>
      <top/>
      <bottom style="dotted">
        <color auto="1"/>
      </bottom>
      <diagonal/>
    </border>
    <border>
      <left/>
      <right/>
      <top/>
      <bottom style="dotted">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64"/>
      </left>
      <right/>
      <top style="thin">
        <color indexed="64"/>
      </top>
      <bottom style="thin">
        <color indexed="64"/>
      </bottom>
      <diagonal/>
    </border>
    <border>
      <left/>
      <right/>
      <top style="thin">
        <color auto="1"/>
      </top>
      <bottom/>
      <diagonal/>
    </border>
    <border>
      <left/>
      <right style="thin">
        <color auto="1"/>
      </right>
      <top style="thin">
        <color auto="1"/>
      </top>
      <bottom/>
      <diagonal/>
    </border>
    <border>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theme="0" tint="-0.14996795556505021"/>
      </left>
      <right style="thin">
        <color theme="0" tint="-0.14996795556505021"/>
      </right>
      <top style="thin">
        <color theme="0" tint="-0.14993743705557422"/>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theme="0" tint="-0.14993743705557422"/>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theme="0" tint="-0.14996795556505021"/>
      </bottom>
      <diagonal/>
    </border>
    <border>
      <left style="thin">
        <color indexed="64"/>
      </left>
      <right/>
      <top style="thin">
        <color auto="1"/>
      </top>
      <bottom style="thin">
        <color theme="0" tint="-0.14996795556505021"/>
      </bottom>
      <diagonal/>
    </border>
    <border>
      <left style="thin">
        <color auto="1"/>
      </left>
      <right style="medium">
        <color indexed="64"/>
      </right>
      <top style="thin">
        <color auto="1"/>
      </top>
      <bottom style="thin">
        <color theme="0" tint="-0.14996795556505021"/>
      </bottom>
      <diagonal/>
    </border>
    <border>
      <left style="medium">
        <color indexed="64"/>
      </left>
      <right style="thin">
        <color indexed="64"/>
      </right>
      <top style="thin">
        <color auto="1"/>
      </top>
      <bottom style="thin">
        <color theme="0" tint="-0.14996795556505021"/>
      </bottom>
      <diagonal/>
    </border>
    <border>
      <left/>
      <right style="thin">
        <color auto="1"/>
      </right>
      <top style="thin">
        <color auto="1"/>
      </top>
      <bottom style="thin">
        <color theme="0" tint="-0.14996795556505021"/>
      </bottom>
      <diagonal/>
    </border>
    <border>
      <left style="medium">
        <color indexed="64"/>
      </left>
      <right style="medium">
        <color indexed="64"/>
      </right>
      <top style="thin">
        <color auto="1"/>
      </top>
      <bottom style="thin">
        <color theme="0" tint="-0.14996795556505021"/>
      </bottom>
      <diagonal/>
    </border>
    <border>
      <left style="thin">
        <color auto="1"/>
      </left>
      <right style="thin">
        <color indexed="64"/>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style="thin">
        <color indexed="64"/>
      </left>
      <right style="medium">
        <color indexed="64"/>
      </right>
      <top style="thin">
        <color theme="0" tint="-0.14996795556505021"/>
      </top>
      <bottom style="thin">
        <color indexed="64"/>
      </bottom>
      <diagonal/>
    </border>
    <border>
      <left style="medium">
        <color indexed="64"/>
      </left>
      <right style="thin">
        <color indexed="64"/>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style="medium">
        <color indexed="64"/>
      </right>
      <top style="thin">
        <color theme="0" tint="-0.14996795556505021"/>
      </top>
      <bottom style="thin">
        <color indexed="64"/>
      </bottom>
      <diagonal/>
    </border>
    <border>
      <left style="medium">
        <color indexed="64"/>
      </left>
      <right style="thin">
        <color indexed="64"/>
      </right>
      <top style="thin">
        <color indexed="64"/>
      </top>
      <bottom style="medium">
        <color theme="0" tint="-0.14996795556505021"/>
      </bottom>
      <diagonal/>
    </border>
    <border>
      <left style="medium">
        <color indexed="64"/>
      </left>
      <right style="thin">
        <color indexed="64"/>
      </right>
      <top style="medium">
        <color theme="0" tint="-0.14996795556505021"/>
      </top>
      <bottom style="medium">
        <color theme="0" tint="-0.14996795556505021"/>
      </bottom>
      <diagonal/>
    </border>
    <border>
      <left style="medium">
        <color indexed="64"/>
      </left>
      <right style="thin">
        <color indexed="64"/>
      </right>
      <top style="medium">
        <color theme="0" tint="-0.14996795556505021"/>
      </top>
      <bottom style="medium">
        <color indexed="64"/>
      </bottom>
      <diagonal/>
    </border>
    <border>
      <left style="medium">
        <color indexed="64"/>
      </left>
      <right style="medium">
        <color indexed="64"/>
      </right>
      <top style="thin">
        <color indexed="64"/>
      </top>
      <bottom style="thin">
        <color theme="0" tint="-0.14996795556505021"/>
      </bottom>
      <diagonal/>
    </border>
    <border>
      <left style="thin">
        <color auto="1"/>
      </left>
      <right style="thin">
        <color indexed="64"/>
      </right>
      <top style="thin">
        <color auto="1"/>
      </top>
      <bottom/>
      <diagonal/>
    </border>
    <border>
      <left/>
      <right/>
      <top style="thin">
        <color indexed="64"/>
      </top>
      <bottom/>
      <diagonal/>
    </border>
    <border>
      <left/>
      <right style="thin">
        <color theme="0" tint="-0.14996795556505021"/>
      </right>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right style="medium">
        <color indexed="64"/>
      </right>
      <top style="thin">
        <color theme="0" tint="-0.14996795556505021"/>
      </top>
      <bottom style="thin">
        <color indexed="64"/>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diagonal/>
    </border>
    <border>
      <left/>
      <right style="thin">
        <color theme="0" tint="-0.14993743705557422"/>
      </right>
      <top/>
      <bottom/>
      <diagonal/>
    </border>
    <border>
      <left/>
      <right style="thin">
        <color theme="0" tint="-0.14993743705557422"/>
      </right>
      <top/>
      <bottom style="thin">
        <color theme="0" tint="-0.14993743705557422"/>
      </bottom>
      <diagonal/>
    </border>
    <border>
      <left style="thin">
        <color theme="0" tint="-0.14990691854609822"/>
      </left>
      <right/>
      <top style="thin">
        <color theme="0" tint="-0.14993743705557422"/>
      </top>
      <bottom/>
      <diagonal/>
    </border>
    <border>
      <left style="thin">
        <color theme="0" tint="-0.14990691854609822"/>
      </left>
      <right/>
      <top/>
      <bottom/>
      <diagonal/>
    </border>
    <border>
      <left style="thin">
        <color theme="0" tint="-0.14990691854609822"/>
      </left>
      <right/>
      <top/>
      <bottom style="thin">
        <color theme="0" tint="-0.14993743705557422"/>
      </bottom>
      <diagonal/>
    </border>
    <border>
      <left style="thin">
        <color auto="1"/>
      </left>
      <right style="thin">
        <color auto="1"/>
      </right>
      <top style="thin">
        <color auto="1"/>
      </top>
      <bottom/>
      <diagonal/>
    </border>
    <border>
      <left/>
      <right style="thin">
        <color indexed="64"/>
      </right>
      <top style="thin">
        <color auto="1"/>
      </top>
      <bottom/>
      <diagonal/>
    </border>
    <border>
      <left/>
      <right style="thin">
        <color indexed="64"/>
      </right>
      <top style="thin">
        <color auto="1"/>
      </top>
      <bottom style="thin">
        <color indexed="64"/>
      </bottom>
      <diagonal/>
    </border>
    <border>
      <left style="thin">
        <color rgb="FF0066FF"/>
      </left>
      <right style="thin">
        <color rgb="FF0066FF"/>
      </right>
      <top style="thin">
        <color rgb="FF0066FF"/>
      </top>
      <bottom style="thin">
        <color rgb="FF0066FF"/>
      </bottom>
      <diagonal/>
    </border>
    <border>
      <left style="thin">
        <color theme="0" tint="-0.14996795556505021"/>
      </left>
      <right/>
      <top/>
      <bottom style="thin">
        <color theme="0" tint="-0.14993743705557422"/>
      </bottom>
      <diagonal/>
    </border>
    <border>
      <left style="thin">
        <color rgb="FF0066FF"/>
      </left>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medium">
        <color indexed="64"/>
      </left>
      <right style="thin">
        <color indexed="64"/>
      </right>
      <top style="thin">
        <color auto="1"/>
      </top>
      <bottom/>
      <diagonal/>
    </border>
    <border>
      <left style="thin">
        <color indexed="64"/>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medium">
        <color theme="0" tint="-0.34998626667073579"/>
      </left>
      <right/>
      <top/>
      <bottom/>
      <diagonal/>
    </border>
    <border>
      <left/>
      <right/>
      <top style="thin">
        <color auto="1"/>
      </top>
      <bottom/>
      <diagonal/>
    </border>
    <border>
      <left/>
      <right/>
      <top style="thin">
        <color auto="1"/>
      </top>
      <bottom/>
      <diagonal/>
    </border>
    <border>
      <left/>
      <right/>
      <top style="thin">
        <color auto="1"/>
      </top>
      <bottom style="dotted">
        <color auto="1"/>
      </bottom>
      <diagonal/>
    </border>
    <border>
      <left/>
      <right/>
      <top style="dotted">
        <color auto="1"/>
      </top>
      <bottom/>
      <diagonal/>
    </border>
    <border>
      <left/>
      <right/>
      <top style="thin">
        <color auto="1"/>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right/>
      <top style="thin">
        <color auto="1"/>
      </top>
      <bottom/>
      <diagonal/>
    </border>
    <border>
      <left style="thin">
        <color indexed="64"/>
      </left>
      <right style="medium">
        <color auto="1"/>
      </right>
      <top style="thin">
        <color auto="1"/>
      </top>
      <bottom/>
      <diagonal/>
    </border>
    <border>
      <left style="medium">
        <color auto="1"/>
      </left>
      <right/>
      <top style="thin">
        <color auto="1"/>
      </top>
      <bottom/>
      <diagonal/>
    </border>
    <border>
      <left/>
      <right style="thin">
        <color indexed="64"/>
      </right>
      <top style="thin">
        <color auto="1"/>
      </top>
      <bottom/>
      <diagonal/>
    </border>
    <border>
      <left style="thin">
        <color theme="0" tint="-0.24994659260841701"/>
      </left>
      <right style="thin">
        <color indexed="64"/>
      </right>
      <top style="medium">
        <color indexed="64"/>
      </top>
      <bottom/>
      <diagonal/>
    </border>
    <border>
      <left style="thin">
        <color theme="0" tint="-0.24994659260841701"/>
      </left>
      <right style="thin">
        <color indexed="64"/>
      </right>
      <top/>
      <bottom/>
      <diagonal/>
    </border>
    <border>
      <left style="thin">
        <color theme="0" tint="-0.24994659260841701"/>
      </left>
      <right style="thin">
        <color indexed="64"/>
      </right>
      <top style="thin">
        <color auto="1"/>
      </top>
      <bottom/>
      <diagonal/>
    </border>
    <border>
      <left style="thin">
        <color theme="0" tint="-0.24994659260841701"/>
      </left>
      <right/>
      <top/>
      <bottom/>
      <diagonal/>
    </border>
    <border>
      <left style="thin">
        <color theme="0" tint="-0.24994659260841701"/>
      </left>
      <right/>
      <top/>
      <bottom style="medium">
        <color indexed="64"/>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bottom/>
      <diagonal/>
    </border>
    <border>
      <left style="thin">
        <color theme="0" tint="-0.34998626667073579"/>
      </left>
      <right style="thin">
        <color theme="0" tint="-0.34998626667073579"/>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rgb="FF0000FF"/>
      </left>
      <right style="thin">
        <color rgb="FF0000FF"/>
      </right>
      <top style="medium">
        <color rgb="FF0000FF"/>
      </top>
      <bottom/>
      <diagonal/>
    </border>
    <border>
      <left style="thin">
        <color rgb="FF0000FF"/>
      </left>
      <right style="medium">
        <color rgb="FF0000FF"/>
      </right>
      <top style="thin">
        <color rgb="FF0000FF"/>
      </top>
      <bottom style="thin">
        <color rgb="FF0000FF"/>
      </bottom>
      <diagonal/>
    </border>
    <border>
      <left style="medium">
        <color rgb="FF0000FF"/>
      </left>
      <right style="medium">
        <color rgb="FF0000FF"/>
      </right>
      <top style="medium">
        <color rgb="FF0000FF"/>
      </top>
      <bottom style="thin">
        <color indexed="64"/>
      </bottom>
      <diagonal/>
    </border>
    <border>
      <left style="medium">
        <color rgb="FF0000FF"/>
      </left>
      <right style="medium">
        <color rgb="FF0000FF"/>
      </right>
      <top style="thin">
        <color indexed="64"/>
      </top>
      <bottom style="thin">
        <color indexed="64"/>
      </bottom>
      <diagonal/>
    </border>
    <border>
      <left style="medium">
        <color rgb="FF0000FF"/>
      </left>
      <right style="medium">
        <color rgb="FF0000FF"/>
      </right>
      <top style="thin">
        <color indexed="64"/>
      </top>
      <bottom style="medium">
        <color rgb="FF0000FF"/>
      </bottom>
      <diagonal/>
    </border>
    <border>
      <left style="thin">
        <color indexed="64"/>
      </left>
      <right/>
      <top style="thin">
        <color auto="1"/>
      </top>
      <bottom style="thin">
        <color auto="1"/>
      </bottom>
      <diagonal/>
    </border>
    <border>
      <left/>
      <right/>
      <top style="thin">
        <color auto="1"/>
      </top>
      <bottom style="thin">
        <color indexed="64"/>
      </bottom>
      <diagonal/>
    </border>
    <border>
      <left style="thin">
        <color indexed="64"/>
      </left>
      <right style="medium">
        <color indexed="64"/>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theme="0" tint="-0.14996795556505021"/>
      </top>
      <bottom style="thin">
        <color indexed="64"/>
      </bottom>
      <diagonal/>
    </border>
    <border>
      <left/>
      <right style="thin">
        <color indexed="64"/>
      </right>
      <top style="thin">
        <color indexed="64"/>
      </top>
      <bottom/>
      <diagonal/>
    </border>
    <border>
      <left style="medium">
        <color indexed="64"/>
      </left>
      <right/>
      <top style="thin">
        <color auto="1"/>
      </top>
      <bottom/>
      <diagonal/>
    </border>
    <border>
      <left/>
      <right/>
      <top style="thin">
        <color auto="1"/>
      </top>
      <bottom/>
      <diagonal/>
    </border>
    <border>
      <left/>
      <right style="medium">
        <color indexed="64"/>
      </right>
      <top style="thin">
        <color auto="1"/>
      </top>
      <bottom/>
      <diagonal/>
    </border>
    <border>
      <left style="thin">
        <color auto="1"/>
      </left>
      <right style="thin">
        <color auto="1"/>
      </right>
      <top style="thin">
        <color auto="1"/>
      </top>
      <bottom/>
      <diagonal/>
    </border>
    <border>
      <left/>
      <right/>
      <top style="thin">
        <color auto="1"/>
      </top>
      <bottom/>
      <diagonal/>
    </border>
    <border>
      <left/>
      <right/>
      <top style="thin">
        <color auto="1"/>
      </top>
      <bottom style="thin">
        <color indexed="64"/>
      </bottom>
      <diagonal/>
    </border>
    <border>
      <left style="medium">
        <color indexed="64"/>
      </left>
      <right style="thin">
        <color indexed="64"/>
      </right>
      <top style="thin">
        <color auto="1"/>
      </top>
      <bottom/>
      <diagonal/>
    </border>
    <border>
      <left style="thin">
        <color auto="1"/>
      </left>
      <right style="medium">
        <color auto="1"/>
      </right>
      <top style="thin">
        <color auto="1"/>
      </top>
      <bottom/>
      <diagonal/>
    </border>
    <border>
      <left style="thin">
        <color indexed="64"/>
      </left>
      <right/>
      <top style="thin">
        <color indexed="64"/>
      </top>
      <bottom/>
      <diagonal/>
    </border>
    <border>
      <left style="thin">
        <color rgb="FF0000FF"/>
      </left>
      <right style="thin">
        <color rgb="FF0000FF"/>
      </right>
      <top/>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right style="medium">
        <color indexed="64"/>
      </right>
      <top style="thin">
        <color auto="1"/>
      </top>
      <bottom/>
      <diagonal/>
    </border>
    <border>
      <left/>
      <right/>
      <top style="thin">
        <color auto="1"/>
      </top>
      <bottom style="thin">
        <color auto="1"/>
      </bottom>
      <diagonal/>
    </border>
    <border>
      <left/>
      <right style="thin">
        <color indexed="64"/>
      </right>
      <top style="thin">
        <color auto="1"/>
      </top>
      <bottom style="thin">
        <color auto="1"/>
      </bottom>
      <diagonal/>
    </border>
    <border>
      <left/>
      <right style="thin">
        <color theme="0" tint="-0.14996795556505021"/>
      </right>
      <top style="thin">
        <color indexed="64"/>
      </top>
      <bottom/>
      <diagonal/>
    </border>
    <border>
      <left style="thin">
        <color theme="0" tint="-0.14996795556505021"/>
      </left>
      <right style="thin">
        <color theme="0" tint="-0.14996795556505021"/>
      </right>
      <top style="thin">
        <color auto="1"/>
      </top>
      <bottom/>
      <diagonal/>
    </border>
    <border>
      <left style="thin">
        <color theme="0" tint="-0.14996795556505021"/>
      </left>
      <right/>
      <top style="thin">
        <color auto="1"/>
      </top>
      <bottom/>
      <diagonal/>
    </border>
    <border>
      <left style="thin">
        <color theme="0" tint="-0.14996795556505021"/>
      </left>
      <right/>
      <top/>
      <bottom style="thin">
        <color theme="0" tint="-0.24994659260841701"/>
      </bottom>
      <diagonal/>
    </border>
    <border>
      <left style="thin">
        <color theme="0" tint="-0.14996795556505021"/>
      </left>
      <right/>
      <top style="medium">
        <color indexed="64"/>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indexed="64"/>
      </bottom>
      <diagonal/>
    </border>
    <border>
      <left style="thin">
        <color indexed="64"/>
      </left>
      <right style="thin">
        <color indexed="64"/>
      </right>
      <top style="thin">
        <color indexed="64"/>
      </top>
      <bottom/>
      <diagonal/>
    </border>
    <border>
      <left style="thin">
        <color theme="0" tint="-0.14993743705557422"/>
      </left>
      <right style="thin">
        <color theme="0" tint="-0.14993743705557422"/>
      </right>
      <top style="thin">
        <color theme="0" tint="-0.14996795556505021"/>
      </top>
      <bottom style="thin">
        <color indexed="64"/>
      </bottom>
      <diagonal/>
    </border>
    <border>
      <left style="thin">
        <color theme="0" tint="-0.14996795556505021"/>
      </left>
      <right style="thin">
        <color theme="0" tint="-0.14996795556505021"/>
      </right>
      <top/>
      <bottom style="thin">
        <color auto="1"/>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indexed="64"/>
      </left>
      <right/>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auto="1"/>
      </right>
      <top/>
      <bottom style="thin">
        <color theme="0" tint="-0.24994659260841701"/>
      </bottom>
      <diagonal/>
    </border>
    <border>
      <left/>
      <right style="thin">
        <color indexed="64"/>
      </right>
      <top style="thin">
        <color theme="0" tint="-0.24994659260841701"/>
      </top>
      <bottom/>
      <diagonal/>
    </border>
    <border>
      <left style="thin">
        <color theme="0" tint="-0.24994659260841701"/>
      </left>
      <right/>
      <top style="thin">
        <color theme="0" tint="-0.24994659260841701"/>
      </top>
      <bottom style="thin">
        <color indexed="64"/>
      </bottom>
      <diagonal/>
    </border>
    <border>
      <left style="thin">
        <color auto="1"/>
      </left>
      <right style="medium">
        <color indexed="64"/>
      </right>
      <top style="thin">
        <color auto="1"/>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8458815271462"/>
      </left>
      <right/>
      <top/>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bottom/>
      <diagonal/>
    </border>
    <border>
      <left/>
      <right style="thin">
        <color theme="0" tint="-0.14981536301767021"/>
      </right>
      <top/>
      <bottom/>
      <diagonal/>
    </border>
    <border>
      <left style="thin">
        <color theme="0" tint="-0.14981536301767021"/>
      </left>
      <right/>
      <top/>
      <bottom style="thin">
        <color theme="0" tint="-0.14981536301767021"/>
      </bottom>
      <diagonal/>
    </border>
    <border>
      <left/>
      <right/>
      <top/>
      <bottom style="thin">
        <color theme="0" tint="-0.14981536301767021"/>
      </bottom>
      <diagonal/>
    </border>
    <border>
      <left/>
      <right style="thin">
        <color theme="0" tint="-0.14981536301767021"/>
      </right>
      <top/>
      <bottom style="thin">
        <color theme="0" tint="-0.14981536301767021"/>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right/>
      <top style="thin">
        <color auto="1"/>
      </top>
      <bottom/>
      <diagonal/>
    </border>
    <border>
      <left/>
      <right style="thin">
        <color indexed="64"/>
      </right>
      <top style="thin">
        <color auto="1"/>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764000366222"/>
      </left>
      <right/>
      <top/>
      <bottom/>
      <diagonal/>
    </border>
    <border>
      <left/>
      <right style="thin">
        <color theme="0" tint="-0.1498764000366222"/>
      </right>
      <top/>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style="thin">
        <color theme="0" tint="-0.24994659260841701"/>
      </left>
      <right/>
      <top style="thin">
        <color auto="1"/>
      </top>
      <bottom/>
      <diagonal/>
    </border>
    <border>
      <left style="thin">
        <color theme="0" tint="-0.24994659260841701"/>
      </left>
      <right/>
      <top/>
      <bottom style="thin">
        <color indexed="64"/>
      </bottom>
      <diagonal/>
    </border>
  </borders>
  <cellStyleXfs count="3">
    <xf numFmtId="0" fontId="0" fillId="0" borderId="0"/>
    <xf numFmtId="43" fontId="3" fillId="0" borderId="0" applyFont="0" applyFill="0" applyBorder="0" applyAlignment="0" applyProtection="0"/>
    <xf numFmtId="0" fontId="2" fillId="0" borderId="0" applyNumberFormat="0" applyFill="0" applyBorder="0" applyAlignment="0" applyProtection="0">
      <alignment vertical="top"/>
      <protection locked="0"/>
    </xf>
  </cellStyleXfs>
  <cellXfs count="11067">
    <xf numFmtId="0" fontId="0" fillId="0" borderId="0" xfId="0"/>
    <xf numFmtId="0" fontId="0" fillId="0" borderId="0" xfId="0" applyAlignment="1">
      <alignment vertical="center" wrapText="1"/>
    </xf>
    <xf numFmtId="0" fontId="0" fillId="0" borderId="0" xfId="0" applyAlignment="1">
      <alignment vertical="center"/>
    </xf>
    <xf numFmtId="0" fontId="0" fillId="0" borderId="7" xfId="0" applyBorder="1" applyAlignment="1">
      <alignment vertical="center" wrapText="1"/>
    </xf>
    <xf numFmtId="0" fontId="0" fillId="0" borderId="0" xfId="0" applyAlignment="1">
      <alignment horizontal="right"/>
    </xf>
    <xf numFmtId="0" fontId="0" fillId="0" borderId="0" xfId="0" applyBorder="1" applyAlignment="1"/>
    <xf numFmtId="0" fontId="0" fillId="0" borderId="0" xfId="0" applyBorder="1" applyAlignment="1">
      <alignment vertical="center"/>
    </xf>
    <xf numFmtId="0" fontId="14" fillId="0" borderId="0" xfId="0" applyFont="1"/>
    <xf numFmtId="0" fontId="2" fillId="0" borderId="0" xfId="2" applyAlignment="1" applyProtection="1"/>
    <xf numFmtId="0" fontId="0" fillId="0" borderId="19" xfId="0" applyBorder="1"/>
    <xf numFmtId="0" fontId="0" fillId="0" borderId="0" xfId="0" applyFill="1" applyAlignment="1">
      <alignment vertical="center"/>
    </xf>
    <xf numFmtId="0" fontId="0" fillId="0" borderId="0" xfId="0" applyAlignment="1">
      <alignment horizontal="left" indent="1"/>
    </xf>
    <xf numFmtId="0" fontId="0" fillId="0" borderId="0" xfId="0" applyAlignment="1">
      <alignment horizontal="right" indent="1"/>
    </xf>
    <xf numFmtId="0" fontId="0" fillId="0" borderId="0" xfId="0" applyFill="1"/>
    <xf numFmtId="0" fontId="9" fillId="0" borderId="0" xfId="0" applyFont="1"/>
    <xf numFmtId="0" fontId="15" fillId="0" borderId="0" xfId="0" applyFont="1" applyFill="1" applyBorder="1" applyAlignment="1">
      <alignment horizontal="center"/>
    </xf>
    <xf numFmtId="0" fontId="13" fillId="0" borderId="0" xfId="0" applyFont="1" applyAlignment="1">
      <alignment horizontal="right" indent="1"/>
    </xf>
    <xf numFmtId="0" fontId="13" fillId="0" borderId="0" xfId="0" applyFont="1"/>
    <xf numFmtId="14" fontId="13" fillId="0" borderId="0" xfId="0" applyNumberFormat="1" applyFont="1" applyAlignment="1">
      <alignment horizontal="left" indent="1"/>
    </xf>
    <xf numFmtId="0" fontId="0" fillId="0" borderId="0" xfId="0" applyAlignment="1">
      <alignment horizontal="left"/>
    </xf>
    <xf numFmtId="0" fontId="0" fillId="0" borderId="0" xfId="0" applyAlignment="1"/>
    <xf numFmtId="22" fontId="0" fillId="0" borderId="0" xfId="0" applyNumberFormat="1" applyAlignment="1">
      <alignment vertical="center"/>
    </xf>
    <xf numFmtId="169" fontId="0" fillId="0" borderId="0" xfId="0" applyNumberFormat="1" applyFont="1" applyAlignment="1">
      <alignment horizontal="left" vertical="center"/>
    </xf>
    <xf numFmtId="0" fontId="0" fillId="0" borderId="0" xfId="0" applyAlignment="1">
      <alignment horizontal="center" vertical="center"/>
    </xf>
    <xf numFmtId="0" fontId="7" fillId="0" borderId="0" xfId="0" applyFont="1" applyBorder="1" applyAlignment="1">
      <alignment horizontal="center"/>
    </xf>
    <xf numFmtId="0" fontId="0" fillId="0" borderId="0" xfId="0" applyAlignment="1">
      <alignment horizontal="left" vertical="top" wrapText="1"/>
    </xf>
    <xf numFmtId="0" fontId="13" fillId="0" borderId="0" xfId="0" applyFont="1" applyAlignment="1">
      <alignment horizontal="left" vertical="center" wrapText="1"/>
    </xf>
    <xf numFmtId="0" fontId="18" fillId="0" borderId="0" xfId="0" applyFont="1" applyAlignment="1">
      <alignment vertical="center"/>
    </xf>
    <xf numFmtId="2" fontId="0" fillId="0" borderId="0" xfId="0" applyNumberFormat="1" applyFill="1" applyAlignment="1">
      <alignment vertical="center"/>
    </xf>
    <xf numFmtId="0" fontId="0" fillId="0" borderId="0" xfId="0" applyFill="1" applyAlignment="1">
      <alignment horizontal="center" vertical="center"/>
    </xf>
    <xf numFmtId="2" fontId="1" fillId="0" borderId="0" xfId="0" applyNumberFormat="1" applyFont="1" applyFill="1" applyAlignment="1">
      <alignment vertical="center"/>
    </xf>
    <xf numFmtId="1" fontId="4" fillId="0" borderId="0" xfId="0" applyNumberFormat="1" applyFont="1" applyFill="1" applyAlignment="1">
      <alignment horizontal="left" vertical="center"/>
    </xf>
    <xf numFmtId="0" fontId="0" fillId="0" borderId="7" xfId="0" applyBorder="1" applyAlignment="1">
      <alignment horizontal="center" vertical="center"/>
    </xf>
    <xf numFmtId="0" fontId="0" fillId="0" borderId="26" xfId="0" applyBorder="1" applyAlignment="1">
      <alignment horizontal="center" vertical="center"/>
    </xf>
    <xf numFmtId="0" fontId="0" fillId="0" borderId="27" xfId="0" applyFill="1" applyBorder="1" applyAlignment="1">
      <alignment horizontal="left" vertical="center" wrapText="1" indent="1"/>
    </xf>
    <xf numFmtId="0" fontId="0" fillId="0" borderId="17" xfId="0" applyFill="1" applyBorder="1" applyAlignment="1">
      <alignment horizontal="center" vertical="center" wrapText="1"/>
    </xf>
    <xf numFmtId="0" fontId="0" fillId="0" borderId="17" xfId="0" applyFill="1" applyBorder="1" applyAlignment="1">
      <alignment horizontal="left" vertical="center" wrapText="1" indent="1"/>
    </xf>
    <xf numFmtId="0" fontId="0" fillId="0" borderId="26" xfId="0" applyFill="1" applyBorder="1" applyAlignment="1">
      <alignment horizontal="left" vertical="center" wrapText="1" indent="1"/>
    </xf>
    <xf numFmtId="0" fontId="0" fillId="2" borderId="23" xfId="0" applyFill="1" applyBorder="1" applyAlignment="1">
      <alignment horizontal="center" vertical="center" wrapText="1"/>
    </xf>
    <xf numFmtId="0" fontId="0" fillId="0" borderId="38" xfId="0" applyBorder="1" applyAlignment="1">
      <alignment horizontal="center" vertical="center" wrapText="1"/>
    </xf>
    <xf numFmtId="0" fontId="0" fillId="0" borderId="43" xfId="0" applyBorder="1"/>
    <xf numFmtId="0" fontId="0" fillId="0" borderId="31" xfId="0" applyBorder="1" applyAlignment="1">
      <alignment vertical="center" wrapText="1"/>
    </xf>
    <xf numFmtId="0" fontId="0" fillId="0" borderId="39" xfId="0" applyFill="1" applyBorder="1" applyAlignment="1">
      <alignment horizontal="left" vertical="center" wrapText="1" indent="1"/>
    </xf>
    <xf numFmtId="0" fontId="0" fillId="0" borderId="19" xfId="0" applyBorder="1" applyAlignment="1">
      <alignment vertical="center"/>
    </xf>
    <xf numFmtId="0" fontId="0" fillId="0" borderId="0" xfId="0" applyAlignment="1">
      <alignment vertical="top" wrapText="1"/>
    </xf>
    <xf numFmtId="187" fontId="0" fillId="0" borderId="23" xfId="0" applyNumberFormat="1" applyFill="1" applyBorder="1" applyAlignment="1">
      <alignment horizontal="center" vertical="center" wrapText="1"/>
    </xf>
    <xf numFmtId="166" fontId="0" fillId="0" borderId="17" xfId="0" applyNumberFormat="1" applyFill="1" applyBorder="1" applyAlignment="1">
      <alignment horizontal="left" vertical="center" wrapText="1" indent="1"/>
    </xf>
    <xf numFmtId="171" fontId="0" fillId="0" borderId="0" xfId="0" applyNumberFormat="1"/>
    <xf numFmtId="0" fontId="0" fillId="2" borderId="26" xfId="0" applyFill="1" applyBorder="1" applyAlignment="1">
      <alignment horizontal="center" vertical="center" wrapText="1"/>
    </xf>
    <xf numFmtId="0" fontId="0" fillId="2" borderId="26" xfId="0" applyFill="1" applyBorder="1" applyAlignment="1">
      <alignment horizontal="left" vertical="center" wrapText="1" indent="1"/>
    </xf>
    <xf numFmtId="187" fontId="0" fillId="2" borderId="26" xfId="0" applyNumberFormat="1" applyFill="1" applyBorder="1" applyAlignment="1">
      <alignment horizontal="center" vertical="center" wrapText="1"/>
    </xf>
    <xf numFmtId="0" fontId="0" fillId="0" borderId="26" xfId="0" applyFont="1" applyFill="1" applyBorder="1" applyAlignment="1">
      <alignment horizontal="left" vertical="center" wrapText="1" indent="1"/>
    </xf>
    <xf numFmtId="0" fontId="0" fillId="0" borderId="23" xfId="0" applyFont="1" applyFill="1" applyBorder="1" applyAlignment="1">
      <alignment horizontal="left" vertical="center" wrapText="1" indent="1"/>
    </xf>
    <xf numFmtId="0" fontId="0" fillId="0" borderId="27" xfId="0" applyFont="1" applyFill="1" applyBorder="1" applyAlignment="1">
      <alignment horizontal="left" vertical="center" wrapText="1" indent="1"/>
    </xf>
    <xf numFmtId="0" fontId="0" fillId="0" borderId="17" xfId="0" applyFont="1" applyFill="1" applyBorder="1" applyAlignment="1">
      <alignment horizontal="left" vertical="center" wrapText="1" indent="1"/>
    </xf>
    <xf numFmtId="0" fontId="0" fillId="2" borderId="26" xfId="0" applyFont="1" applyFill="1" applyBorder="1" applyAlignment="1">
      <alignment horizontal="left" vertical="center" wrapText="1" indent="1"/>
    </xf>
    <xf numFmtId="0" fontId="0" fillId="2" borderId="23" xfId="0" applyFill="1" applyBorder="1" applyAlignment="1">
      <alignment horizontal="left" vertical="center" wrapText="1" indent="1"/>
    </xf>
    <xf numFmtId="187" fontId="0" fillId="2" borderId="23" xfId="0" applyNumberFormat="1" applyFill="1" applyBorder="1" applyAlignment="1">
      <alignment horizontal="center" vertical="center" wrapText="1"/>
    </xf>
    <xf numFmtId="175" fontId="0" fillId="2" borderId="23" xfId="0" applyNumberFormat="1" applyFont="1" applyFill="1" applyBorder="1" applyAlignment="1">
      <alignment horizontal="left" vertical="center" wrapText="1" indent="1"/>
    </xf>
    <xf numFmtId="175" fontId="0" fillId="2" borderId="23" xfId="0" applyNumberFormat="1" applyFill="1" applyBorder="1" applyAlignment="1">
      <alignment horizontal="left" vertical="center" wrapText="1" indent="1"/>
    </xf>
    <xf numFmtId="0" fontId="0" fillId="2" borderId="27" xfId="0" applyFill="1" applyBorder="1" applyAlignment="1">
      <alignment horizontal="center" vertical="center" wrapText="1"/>
    </xf>
    <xf numFmtId="0" fontId="0" fillId="2" borderId="27" xfId="0" applyFill="1" applyBorder="1" applyAlignment="1">
      <alignment horizontal="left" vertical="center" wrapText="1" indent="1"/>
    </xf>
    <xf numFmtId="187" fontId="0" fillId="2" borderId="27" xfId="0" applyNumberFormat="1" applyFill="1" applyBorder="1" applyAlignment="1">
      <alignment horizontal="center" vertical="center" wrapText="1"/>
    </xf>
    <xf numFmtId="0" fontId="0" fillId="2" borderId="27" xfId="0" applyFont="1" applyFill="1" applyBorder="1" applyAlignment="1">
      <alignment horizontal="left" vertical="center" wrapText="1" indent="1"/>
    </xf>
    <xf numFmtId="0" fontId="0" fillId="2" borderId="23" xfId="0" applyFont="1" applyFill="1" applyBorder="1" applyAlignment="1">
      <alignment horizontal="left" vertical="center" wrapText="1" indent="1"/>
    </xf>
    <xf numFmtId="0" fontId="0" fillId="0" borderId="48" xfId="0" applyBorder="1" applyAlignment="1">
      <alignment vertical="center" wrapText="1"/>
    </xf>
    <xf numFmtId="0" fontId="0" fillId="0" borderId="48" xfId="0" applyBorder="1" applyAlignment="1">
      <alignment horizontal="left" vertical="center" wrapText="1" indent="1"/>
    </xf>
    <xf numFmtId="0" fontId="0" fillId="0" borderId="49" xfId="0" applyBorder="1" applyAlignment="1">
      <alignment horizontal="left" vertical="center" wrapText="1" indent="1"/>
    </xf>
    <xf numFmtId="0" fontId="5" fillId="0" borderId="0" xfId="0" applyFont="1" applyFill="1" applyBorder="1" applyAlignment="1">
      <alignment horizontal="center" vertical="center" wrapText="1"/>
    </xf>
    <xf numFmtId="183" fontId="0" fillId="0" borderId="23" xfId="0" applyNumberFormat="1" applyFill="1" applyBorder="1" applyAlignment="1">
      <alignment horizontal="right" vertical="center" wrapText="1" indent="1"/>
    </xf>
    <xf numFmtId="0" fontId="0" fillId="2" borderId="7" xfId="0" applyFont="1" applyFill="1" applyBorder="1" applyAlignment="1">
      <alignment horizontal="left" vertical="center" wrapText="1" indent="1"/>
    </xf>
    <xf numFmtId="0" fontId="0" fillId="0" borderId="3" xfId="0" applyFont="1" applyFill="1" applyBorder="1" applyAlignment="1">
      <alignment horizontal="right" vertical="center" wrapText="1" indent="1"/>
    </xf>
    <xf numFmtId="0" fontId="0" fillId="0" borderId="26" xfId="0" applyFont="1" applyFill="1" applyBorder="1" applyAlignment="1">
      <alignment horizontal="right" vertical="center" wrapText="1" indent="1"/>
    </xf>
    <xf numFmtId="0" fontId="0" fillId="0" borderId="17" xfId="0" applyFont="1" applyFill="1" applyBorder="1" applyAlignment="1">
      <alignment horizontal="right" vertical="center" wrapText="1" indent="1"/>
    </xf>
    <xf numFmtId="0" fontId="0" fillId="2" borderId="26" xfId="0" applyFont="1" applyFill="1" applyBorder="1" applyAlignment="1">
      <alignment horizontal="right" vertical="center" wrapText="1" indent="1"/>
    </xf>
    <xf numFmtId="0" fontId="0" fillId="2" borderId="23" xfId="0" applyFont="1" applyFill="1" applyBorder="1" applyAlignment="1">
      <alignment horizontal="right" vertical="center" wrapText="1" indent="1"/>
    </xf>
    <xf numFmtId="0" fontId="0" fillId="2" borderId="7" xfId="0" applyFont="1" applyFill="1" applyBorder="1" applyAlignment="1">
      <alignment horizontal="right" vertical="center" wrapText="1" indent="1"/>
    </xf>
    <xf numFmtId="0" fontId="0" fillId="0" borderId="7" xfId="0" applyFont="1" applyFill="1" applyBorder="1" applyAlignment="1">
      <alignment horizontal="right" vertical="center" wrapText="1" indent="1"/>
    </xf>
    <xf numFmtId="175" fontId="0" fillId="2" borderId="23" xfId="0" applyNumberFormat="1" applyFont="1" applyFill="1" applyBorder="1" applyAlignment="1">
      <alignment horizontal="right" vertical="center" wrapText="1" indent="1"/>
    </xf>
    <xf numFmtId="0" fontId="0" fillId="2" borderId="27" xfId="0" applyFont="1" applyFill="1" applyBorder="1" applyAlignment="1">
      <alignment horizontal="right" vertical="center" wrapText="1" indent="1"/>
    </xf>
    <xf numFmtId="183" fontId="0" fillId="0" borderId="0" xfId="0" applyNumberFormat="1"/>
    <xf numFmtId="0" fontId="0" fillId="0" borderId="0" xfId="0" applyBorder="1" applyAlignment="1">
      <alignment horizontal="left"/>
    </xf>
    <xf numFmtId="0" fontId="0" fillId="0" borderId="19" xfId="0" applyBorder="1" applyAlignment="1">
      <alignment horizontal="left"/>
    </xf>
    <xf numFmtId="0" fontId="0" fillId="0" borderId="39" xfId="0" applyFill="1" applyBorder="1" applyAlignment="1">
      <alignment horizontal="center" vertical="center" wrapText="1"/>
    </xf>
    <xf numFmtId="0" fontId="0" fillId="0" borderId="0" xfId="0" applyBorder="1" applyAlignment="1">
      <alignment horizontal="left" vertical="center"/>
    </xf>
    <xf numFmtId="0" fontId="1" fillId="0" borderId="7" xfId="0" applyFont="1" applyFill="1" applyBorder="1" applyAlignment="1">
      <alignment horizontal="left" vertical="center" wrapText="1" indent="1"/>
    </xf>
    <xf numFmtId="0" fontId="0" fillId="0" borderId="0" xfId="0" applyBorder="1" applyAlignment="1">
      <alignment horizontal="right" indent="1"/>
    </xf>
    <xf numFmtId="14" fontId="1" fillId="0" borderId="26" xfId="0" applyNumberFormat="1" applyFont="1" applyFill="1" applyBorder="1" applyAlignment="1">
      <alignment horizontal="left" vertical="center" wrapText="1" indent="1"/>
    </xf>
    <xf numFmtId="0" fontId="13" fillId="0" borderId="39"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0" fillId="0" borderId="0" xfId="0" applyAlignment="1">
      <alignment horizontal="left" vertical="center" indent="1"/>
    </xf>
    <xf numFmtId="183" fontId="0" fillId="0" borderId="0" xfId="0" applyNumberFormat="1" applyBorder="1"/>
    <xf numFmtId="183" fontId="0" fillId="0" borderId="19" xfId="0" applyNumberFormat="1" applyBorder="1"/>
    <xf numFmtId="4" fontId="0" fillId="0" borderId="0" xfId="0" applyNumberFormat="1"/>
    <xf numFmtId="9" fontId="0" fillId="0" borderId="0" xfId="0" applyNumberFormat="1"/>
    <xf numFmtId="183" fontId="0" fillId="0" borderId="0" xfId="0" applyNumberFormat="1" applyBorder="1" applyAlignment="1">
      <alignment horizontal="right" indent="1"/>
    </xf>
    <xf numFmtId="183" fontId="0" fillId="0" borderId="2" xfId="0" applyNumberFormat="1" applyBorder="1"/>
    <xf numFmtId="183" fontId="0" fillId="0" borderId="6" xfId="0" applyNumberFormat="1" applyBorder="1"/>
    <xf numFmtId="183" fontId="0" fillId="2" borderId="19" xfId="0" applyNumberFormat="1" applyFill="1" applyBorder="1"/>
    <xf numFmtId="0" fontId="0" fillId="0" borderId="46" xfId="0" applyBorder="1"/>
    <xf numFmtId="0" fontId="0" fillId="0" borderId="23" xfId="0" applyBorder="1"/>
    <xf numFmtId="188" fontId="0" fillId="0" borderId="0" xfId="0" applyNumberFormat="1"/>
    <xf numFmtId="0" fontId="5" fillId="0" borderId="47" xfId="0" applyFont="1" applyFill="1" applyBorder="1" applyAlignment="1">
      <alignment horizontal="center" vertical="center" wrapText="1"/>
    </xf>
    <xf numFmtId="0" fontId="0" fillId="0" borderId="32" xfId="0" applyFill="1" applyBorder="1" applyAlignment="1">
      <alignment horizontal="left" vertical="center" wrapText="1" indent="1"/>
    </xf>
    <xf numFmtId="0" fontId="0" fillId="0" borderId="16" xfId="0" applyFill="1" applyBorder="1" applyAlignment="1">
      <alignment horizontal="left" vertical="center" wrapText="1" indent="1"/>
    </xf>
    <xf numFmtId="183" fontId="0" fillId="0" borderId="19" xfId="0" applyNumberFormat="1" applyBorder="1" applyAlignment="1">
      <alignment horizontal="right" vertical="center" wrapText="1" indent="1"/>
    </xf>
    <xf numFmtId="0" fontId="0" fillId="0" borderId="0" xfId="0" applyFill="1" applyBorder="1" applyAlignment="1">
      <alignment vertical="center" wrapText="1"/>
    </xf>
    <xf numFmtId="197" fontId="0" fillId="0" borderId="0" xfId="0" applyNumberFormat="1" applyBorder="1" applyAlignment="1">
      <alignment horizontal="left" vertical="center" wrapText="1"/>
    </xf>
    <xf numFmtId="0" fontId="0" fillId="0" borderId="17" xfId="0" applyFill="1" applyBorder="1" applyAlignment="1">
      <alignment horizontal="right" vertical="center" wrapText="1" indent="1"/>
    </xf>
    <xf numFmtId="197" fontId="0" fillId="0" borderId="46" xfId="0" applyNumberFormat="1" applyBorder="1" applyAlignment="1">
      <alignment horizontal="left" vertical="center" wrapText="1"/>
    </xf>
    <xf numFmtId="183" fontId="0" fillId="0" borderId="46" xfId="0" applyNumberFormat="1" applyBorder="1" applyAlignment="1">
      <alignment horizontal="right" vertical="center" wrapText="1" indent="1"/>
    </xf>
    <xf numFmtId="0" fontId="0" fillId="0" borderId="0" xfId="0" applyFill="1" applyBorder="1" applyAlignment="1">
      <alignment horizontal="right" indent="1"/>
    </xf>
    <xf numFmtId="0" fontId="4" fillId="0" borderId="0" xfId="0" applyFont="1" applyBorder="1"/>
    <xf numFmtId="0" fontId="0" fillId="0" borderId="32" xfId="0" applyFill="1" applyBorder="1" applyAlignment="1">
      <alignment horizontal="right" vertical="center" wrapText="1" indent="1"/>
    </xf>
    <xf numFmtId="166" fontId="0" fillId="0" borderId="26" xfId="0" applyNumberFormat="1" applyFill="1" applyBorder="1" applyAlignment="1">
      <alignment horizontal="right" vertical="center" wrapText="1" indent="1"/>
    </xf>
    <xf numFmtId="166" fontId="0" fillId="0" borderId="23" xfId="0" applyNumberFormat="1" applyFill="1" applyBorder="1" applyAlignment="1">
      <alignment horizontal="right" vertical="center" wrapText="1" indent="1"/>
    </xf>
    <xf numFmtId="166" fontId="0" fillId="0" borderId="27" xfId="0" applyNumberFormat="1" applyFill="1" applyBorder="1" applyAlignment="1">
      <alignment horizontal="right" vertical="center" wrapText="1" indent="1"/>
    </xf>
    <xf numFmtId="166" fontId="0" fillId="2" borderId="26" xfId="0" applyNumberFormat="1" applyFill="1" applyBorder="1" applyAlignment="1">
      <alignment horizontal="right" vertical="center" wrapText="1" indent="1"/>
    </xf>
    <xf numFmtId="166" fontId="0" fillId="2" borderId="33" xfId="0" applyNumberFormat="1" applyFill="1" applyBorder="1" applyAlignment="1">
      <alignment horizontal="right" vertical="center" wrapText="1" indent="1"/>
    </xf>
    <xf numFmtId="166" fontId="0" fillId="2" borderId="23" xfId="0" applyNumberFormat="1" applyFill="1" applyBorder="1" applyAlignment="1">
      <alignment horizontal="right" vertical="center" wrapText="1" indent="1"/>
    </xf>
    <xf numFmtId="166" fontId="0" fillId="2" borderId="34" xfId="0" applyNumberFormat="1" applyFill="1" applyBorder="1" applyAlignment="1">
      <alignment horizontal="right" vertical="center" wrapText="1" indent="1"/>
    </xf>
    <xf numFmtId="166" fontId="0" fillId="2" borderId="27" xfId="0" applyNumberFormat="1" applyFill="1" applyBorder="1" applyAlignment="1">
      <alignment horizontal="right" vertical="center" wrapText="1" indent="1"/>
    </xf>
    <xf numFmtId="166" fontId="0" fillId="2" borderId="60" xfId="0" applyNumberFormat="1" applyFill="1" applyBorder="1" applyAlignment="1">
      <alignment horizontal="right" vertical="center" wrapText="1" indent="1"/>
    </xf>
    <xf numFmtId="0" fontId="0" fillId="0" borderId="19" xfId="0" applyFill="1" applyBorder="1" applyAlignment="1">
      <alignment horizontal="left" vertical="center" wrapText="1" indent="1"/>
    </xf>
    <xf numFmtId="3" fontId="0" fillId="0" borderId="0" xfId="0" applyNumberFormat="1"/>
    <xf numFmtId="0" fontId="13" fillId="0" borderId="51" xfId="0" applyFont="1" applyFill="1" applyBorder="1" applyAlignment="1">
      <alignment horizontal="center" vertical="center" wrapText="1"/>
    </xf>
    <xf numFmtId="0" fontId="0" fillId="0" borderId="72" xfId="0" applyFill="1" applyBorder="1" applyAlignment="1">
      <alignment horizontal="center" vertical="center" wrapText="1"/>
    </xf>
    <xf numFmtId="0" fontId="13" fillId="0" borderId="52" xfId="0" applyFont="1" applyFill="1" applyBorder="1" applyAlignment="1">
      <alignment horizontal="center" vertical="center" wrapText="1"/>
    </xf>
    <xf numFmtId="0" fontId="13" fillId="0" borderId="53" xfId="0" applyFont="1" applyFill="1" applyBorder="1" applyAlignment="1">
      <alignment horizontal="center" vertical="center" wrapText="1"/>
    </xf>
    <xf numFmtId="0" fontId="0" fillId="0" borderId="30" xfId="0" applyFill="1" applyBorder="1" applyAlignment="1">
      <alignment horizontal="center" vertical="center" wrapText="1"/>
    </xf>
    <xf numFmtId="1" fontId="0" fillId="6" borderId="23" xfId="0" applyNumberFormat="1" applyFill="1" applyBorder="1"/>
    <xf numFmtId="171" fontId="0" fillId="6" borderId="23" xfId="0" applyNumberFormat="1" applyFill="1" applyBorder="1"/>
    <xf numFmtId="43" fontId="33" fillId="6" borderId="23" xfId="1" applyFont="1" applyFill="1" applyBorder="1"/>
    <xf numFmtId="192" fontId="0" fillId="0" borderId="17" xfId="0" applyNumberFormat="1" applyFont="1" applyFill="1" applyBorder="1" applyAlignment="1">
      <alignment horizontal="left" vertical="center" wrapText="1" indent="1"/>
    </xf>
    <xf numFmtId="192" fontId="0" fillId="0" borderId="26" xfId="0" applyNumberFormat="1" applyFont="1" applyFill="1" applyBorder="1" applyAlignment="1">
      <alignment horizontal="left" vertical="center" wrapText="1" indent="1"/>
    </xf>
    <xf numFmtId="192" fontId="0" fillId="0" borderId="23" xfId="0" applyNumberFormat="1" applyFont="1" applyFill="1" applyBorder="1" applyAlignment="1">
      <alignment horizontal="left" vertical="center" wrapText="1" indent="1"/>
    </xf>
    <xf numFmtId="192" fontId="0" fillId="0" borderId="27" xfId="0" applyNumberFormat="1" applyFont="1" applyFill="1" applyBorder="1" applyAlignment="1">
      <alignment horizontal="left" vertical="center" wrapText="1" indent="1"/>
    </xf>
    <xf numFmtId="0" fontId="0" fillId="0" borderId="6" xfId="0" applyBorder="1"/>
    <xf numFmtId="196" fontId="0" fillId="0" borderId="2" xfId="0" applyNumberFormat="1" applyBorder="1" applyAlignment="1">
      <alignment horizontal="left" vertical="center" wrapText="1"/>
    </xf>
    <xf numFmtId="197" fontId="0" fillId="0" borderId="6" xfId="0" applyNumberFormat="1" applyBorder="1" applyAlignment="1">
      <alignment horizontal="left" vertical="center" wrapText="1"/>
    </xf>
    <xf numFmtId="197" fontId="0" fillId="0" borderId="14" xfId="0" applyNumberFormat="1" applyBorder="1" applyAlignment="1">
      <alignment horizontal="left" vertical="center" wrapText="1"/>
    </xf>
    <xf numFmtId="189" fontId="0" fillId="0" borderId="0" xfId="0" applyNumberFormat="1"/>
    <xf numFmtId="2" fontId="0" fillId="0" borderId="0" xfId="0" applyNumberFormat="1"/>
    <xf numFmtId="183" fontId="0" fillId="0" borderId="47" xfId="0" applyNumberFormat="1" applyBorder="1" applyAlignment="1">
      <alignment horizontal="right" vertical="center" wrapText="1" indent="1"/>
    </xf>
    <xf numFmtId="9" fontId="0" fillId="0" borderId="2" xfId="0" applyNumberFormat="1" applyBorder="1"/>
    <xf numFmtId="0" fontId="0" fillId="0" borderId="0" xfId="0"/>
    <xf numFmtId="0" fontId="0" fillId="0" borderId="96" xfId="0" applyBorder="1" applyAlignment="1">
      <alignment horizontal="right"/>
    </xf>
    <xf numFmtId="0" fontId="0" fillId="0" borderId="97" xfId="0" applyBorder="1"/>
    <xf numFmtId="0" fontId="0" fillId="0" borderId="1" xfId="0" applyBorder="1" applyAlignment="1">
      <alignment horizontal="right"/>
    </xf>
    <xf numFmtId="0" fontId="0" fillId="0" borderId="8" xfId="0" applyBorder="1" applyAlignment="1">
      <alignment horizontal="right"/>
    </xf>
    <xf numFmtId="0" fontId="0" fillId="0" borderId="0" xfId="0"/>
    <xf numFmtId="0" fontId="43" fillId="10" borderId="102" xfId="0" applyFont="1" applyFill="1" applyBorder="1" applyAlignment="1">
      <alignment horizontal="center" vertical="center" wrapText="1"/>
    </xf>
    <xf numFmtId="0" fontId="43" fillId="10" borderId="25" xfId="0" applyFont="1" applyFill="1" applyBorder="1" applyAlignment="1">
      <alignment horizontal="center" vertical="center" wrapText="1"/>
    </xf>
    <xf numFmtId="0" fontId="42" fillId="10" borderId="103" xfId="0" applyFont="1" applyFill="1" applyBorder="1" applyAlignment="1">
      <alignment horizontal="center" vertical="center" wrapText="1"/>
    </xf>
    <xf numFmtId="0" fontId="42" fillId="10" borderId="4" xfId="0" applyFont="1" applyFill="1" applyBorder="1" applyAlignment="1">
      <alignment horizontal="center" vertical="center" wrapText="1"/>
    </xf>
    <xf numFmtId="183" fontId="0" fillId="0" borderId="0" xfId="0" applyNumberFormat="1" applyBorder="1" applyAlignment="1">
      <alignment horizontal="right" vertical="center" wrapText="1" indent="1"/>
    </xf>
    <xf numFmtId="0" fontId="0" fillId="0" borderId="0" xfId="0"/>
    <xf numFmtId="0" fontId="0" fillId="0" borderId="2" xfId="0" applyBorder="1"/>
    <xf numFmtId="0" fontId="13" fillId="0" borderId="42" xfId="0" applyFont="1" applyFill="1" applyBorder="1" applyAlignment="1">
      <alignment horizontal="center" vertical="center" wrapText="1"/>
    </xf>
    <xf numFmtId="0" fontId="0" fillId="0" borderId="96" xfId="0" applyBorder="1"/>
    <xf numFmtId="3" fontId="0" fillId="0" borderId="2" xfId="0" applyNumberFormat="1" applyBorder="1"/>
    <xf numFmtId="0" fontId="0" fillId="0" borderId="1" xfId="0" applyFill="1" applyBorder="1" applyAlignment="1">
      <alignment horizontal="right"/>
    </xf>
    <xf numFmtId="1" fontId="0" fillId="0" borderId="0" xfId="0" applyNumberFormat="1" applyBorder="1"/>
    <xf numFmtId="1" fontId="0" fillId="0" borderId="2" xfId="0" applyNumberFormat="1" applyBorder="1"/>
    <xf numFmtId="2" fontId="37" fillId="0" borderId="0" xfId="0" applyNumberFormat="1" applyFont="1" applyBorder="1"/>
    <xf numFmtId="2" fontId="37" fillId="0" borderId="2" xfId="0" applyNumberFormat="1" applyFont="1" applyBorder="1"/>
    <xf numFmtId="166" fontId="0" fillId="0" borderId="0" xfId="0" applyNumberFormat="1" applyBorder="1"/>
    <xf numFmtId="166" fontId="0" fillId="0" borderId="2" xfId="0" applyNumberFormat="1" applyBorder="1"/>
    <xf numFmtId="1" fontId="0" fillId="0" borderId="0" xfId="0" applyNumberFormat="1" applyBorder="1" applyAlignment="1">
      <alignment horizontal="right"/>
    </xf>
    <xf numFmtId="0" fontId="0" fillId="0" borderId="23" xfId="0" applyBorder="1" applyAlignment="1">
      <alignment horizontal="center"/>
    </xf>
    <xf numFmtId="0" fontId="0" fillId="0" borderId="2" xfId="0" quotePrefix="1" applyBorder="1"/>
    <xf numFmtId="0" fontId="0" fillId="0" borderId="7" xfId="0" applyBorder="1" applyAlignment="1">
      <alignment horizontal="center"/>
    </xf>
    <xf numFmtId="0" fontId="47" fillId="0" borderId="0" xfId="0" applyFont="1" applyBorder="1"/>
    <xf numFmtId="0" fontId="49" fillId="0" borderId="0" xfId="0" applyFont="1" applyBorder="1"/>
    <xf numFmtId="0" fontId="50" fillId="0" borderId="0" xfId="0" applyFont="1" applyBorder="1"/>
    <xf numFmtId="0" fontId="50" fillId="0" borderId="3" xfId="0" applyFont="1" applyBorder="1"/>
    <xf numFmtId="0" fontId="50" fillId="0" borderId="101" xfId="0" applyFont="1" applyBorder="1" applyAlignment="1">
      <alignment horizontal="center"/>
    </xf>
    <xf numFmtId="171" fontId="0" fillId="0" borderId="7" xfId="0" applyNumberFormat="1" applyBorder="1" applyAlignment="1">
      <alignment horizontal="center"/>
    </xf>
    <xf numFmtId="171" fontId="0" fillId="0" borderId="2" xfId="0" applyNumberFormat="1" applyBorder="1"/>
    <xf numFmtId="171" fontId="0" fillId="0" borderId="101" xfId="0" applyNumberFormat="1" applyBorder="1"/>
    <xf numFmtId="171" fontId="0" fillId="0" borderId="3" xfId="0" applyNumberFormat="1" applyBorder="1"/>
    <xf numFmtId="0" fontId="0" fillId="0" borderId="0" xfId="0" applyBorder="1" applyAlignment="1">
      <alignment horizontal="right"/>
    </xf>
    <xf numFmtId="0" fontId="0" fillId="11" borderId="8" xfId="0" applyFill="1" applyBorder="1" applyAlignment="1">
      <alignment horizontal="right"/>
    </xf>
    <xf numFmtId="0" fontId="0" fillId="11" borderId="19" xfId="0" applyFill="1" applyBorder="1"/>
    <xf numFmtId="0" fontId="0" fillId="11" borderId="96" xfId="0" applyFill="1" applyBorder="1" applyAlignment="1">
      <alignment horizontal="right"/>
    </xf>
    <xf numFmtId="1" fontId="0" fillId="11" borderId="100" xfId="0" applyNumberFormat="1" applyFill="1" applyBorder="1"/>
    <xf numFmtId="0" fontId="0" fillId="11" borderId="1" xfId="0" applyFill="1" applyBorder="1" applyAlignment="1">
      <alignment horizontal="right"/>
    </xf>
    <xf numFmtId="171" fontId="0" fillId="11" borderId="0" xfId="0" applyNumberFormat="1" applyFill="1" applyBorder="1"/>
    <xf numFmtId="1" fontId="0" fillId="0" borderId="19" xfId="0" applyNumberFormat="1" applyBorder="1"/>
    <xf numFmtId="1" fontId="0" fillId="0" borderId="19" xfId="0" applyNumberFormat="1" applyBorder="1" applyAlignment="1">
      <alignment horizontal="right"/>
    </xf>
    <xf numFmtId="166" fontId="0" fillId="0" borderId="6" xfId="0" applyNumberFormat="1" applyBorder="1"/>
    <xf numFmtId="0" fontId="37" fillId="0" borderId="0" xfId="0" applyFont="1"/>
    <xf numFmtId="205" fontId="0" fillId="0" borderId="0" xfId="0" applyNumberFormat="1"/>
    <xf numFmtId="204" fontId="0" fillId="0" borderId="0" xfId="0" applyNumberFormat="1" applyBorder="1" applyAlignment="1">
      <alignment horizontal="right" vertical="center" wrapText="1" indent="1"/>
    </xf>
    <xf numFmtId="183" fontId="0" fillId="0" borderId="1" xfId="0" applyNumberFormat="1" applyBorder="1" applyAlignment="1">
      <alignment horizontal="right" vertical="center" wrapText="1" indent="1"/>
    </xf>
    <xf numFmtId="205" fontId="0" fillId="0" borderId="0" xfId="0" applyNumberFormat="1" applyBorder="1"/>
    <xf numFmtId="183" fontId="0" fillId="0" borderId="8" xfId="0" applyNumberFormat="1" applyBorder="1" applyAlignment="1">
      <alignment horizontal="right" vertical="center" wrapText="1" indent="1"/>
    </xf>
    <xf numFmtId="207" fontId="0" fillId="0" borderId="0" xfId="0" applyNumberFormat="1" applyBorder="1" applyAlignment="1">
      <alignment horizontal="right" vertical="center" wrapText="1" indent="1"/>
    </xf>
    <xf numFmtId="208" fontId="0" fillId="0" borderId="0" xfId="0" applyNumberFormat="1" applyBorder="1" applyAlignment="1">
      <alignment horizontal="right" vertical="center" wrapText="1" indent="1"/>
    </xf>
    <xf numFmtId="209" fontId="0" fillId="0" borderId="0" xfId="0" applyNumberFormat="1" applyBorder="1" applyAlignment="1">
      <alignment horizontal="right" vertical="center" wrapText="1" indent="1"/>
    </xf>
    <xf numFmtId="0" fontId="0" fillId="0" borderId="100" xfId="0"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3" xfId="0" applyFont="1" applyFill="1" applyBorder="1" applyAlignment="1">
      <alignment horizontal="center" vertical="center" wrapText="1"/>
    </xf>
    <xf numFmtId="175" fontId="4" fillId="2" borderId="23" xfId="0" applyNumberFormat="1" applyFont="1" applyFill="1" applyBorder="1" applyAlignment="1">
      <alignment horizontal="center" vertical="center" wrapText="1"/>
    </xf>
    <xf numFmtId="0" fontId="4" fillId="2" borderId="27" xfId="0" applyFont="1" applyFill="1" applyBorder="1" applyAlignment="1">
      <alignment horizontal="center" vertical="center" wrapText="1"/>
    </xf>
    <xf numFmtId="0" fontId="13" fillId="0" borderId="17" xfId="0" applyFont="1" applyFill="1" applyBorder="1" applyAlignment="1">
      <alignment horizontal="left" vertical="center" wrapText="1" indent="1"/>
    </xf>
    <xf numFmtId="0" fontId="13" fillId="0" borderId="0" xfId="0" applyFont="1" applyFill="1"/>
    <xf numFmtId="0" fontId="4" fillId="2" borderId="7" xfId="0" applyFont="1" applyFill="1" applyBorder="1" applyAlignment="1">
      <alignment horizontal="center" vertical="center" wrapText="1"/>
    </xf>
    <xf numFmtId="183" fontId="0" fillId="12" borderId="52" xfId="0" applyNumberFormat="1" applyFill="1" applyBorder="1" applyAlignment="1">
      <alignment vertical="center" wrapText="1"/>
    </xf>
    <xf numFmtId="183" fontId="0" fillId="12" borderId="23" xfId="0" applyNumberFormat="1" applyFill="1" applyBorder="1" applyAlignment="1">
      <alignment vertical="center" wrapText="1"/>
    </xf>
    <xf numFmtId="183" fontId="0" fillId="12" borderId="34" xfId="0" applyNumberFormat="1" applyFill="1" applyBorder="1" applyAlignment="1">
      <alignment vertical="center" wrapText="1"/>
    </xf>
    <xf numFmtId="0" fontId="0" fillId="0" borderId="112" xfId="0" applyBorder="1"/>
    <xf numFmtId="0" fontId="0" fillId="0" borderId="0" xfId="0"/>
    <xf numFmtId="0" fontId="0" fillId="0" borderId="19" xfId="0" applyBorder="1" applyAlignment="1">
      <alignment horizontal="center"/>
    </xf>
    <xf numFmtId="0" fontId="0" fillId="0" borderId="72" xfId="0" applyBorder="1" applyAlignment="1">
      <alignment horizontal="center" vertical="center" wrapText="1"/>
    </xf>
    <xf numFmtId="0" fontId="0" fillId="0" borderId="0" xfId="0" applyBorder="1" applyAlignment="1">
      <alignment horizontal="center" vertical="center" wrapText="1"/>
    </xf>
    <xf numFmtId="0" fontId="0" fillId="0" borderId="0" xfId="0" applyBorder="1"/>
    <xf numFmtId="0" fontId="0" fillId="0" borderId="19" xfId="0" applyBorder="1" applyAlignment="1">
      <alignment horizontal="left" vertical="center" wrapText="1" indent="1"/>
    </xf>
    <xf numFmtId="0" fontId="0" fillId="0" borderId="19" xfId="0" applyBorder="1" applyAlignment="1">
      <alignment wrapText="1"/>
    </xf>
    <xf numFmtId="183" fontId="0" fillId="3" borderId="0" xfId="0" applyNumberFormat="1" applyFill="1" applyBorder="1"/>
    <xf numFmtId="0" fontId="0" fillId="0" borderId="47" xfId="0" applyBorder="1"/>
    <xf numFmtId="183" fontId="37" fillId="0" borderId="0" xfId="0" applyNumberFormat="1" applyFont="1"/>
    <xf numFmtId="173" fontId="0" fillId="0" borderId="0" xfId="0" applyNumberFormat="1" applyBorder="1"/>
    <xf numFmtId="10" fontId="0" fillId="0" borderId="0" xfId="0" applyNumberFormat="1" applyBorder="1"/>
    <xf numFmtId="183" fontId="0" fillId="0" borderId="19" xfId="0" applyNumberFormat="1" applyBorder="1" applyAlignment="1">
      <alignment horizontal="right"/>
    </xf>
    <xf numFmtId="183" fontId="0" fillId="0" borderId="112" xfId="0" applyNumberFormat="1" applyFill="1" applyBorder="1"/>
    <xf numFmtId="183" fontId="0" fillId="0" borderId="112" xfId="0" applyNumberFormat="1" applyBorder="1"/>
    <xf numFmtId="183" fontId="0" fillId="0" borderId="115" xfId="0" applyNumberFormat="1" applyFill="1" applyBorder="1"/>
    <xf numFmtId="0" fontId="0" fillId="2" borderId="19" xfId="0" applyFill="1" applyBorder="1"/>
    <xf numFmtId="0" fontId="0" fillId="0" borderId="47" xfId="0" applyBorder="1" applyAlignment="1">
      <alignment horizontal="center"/>
    </xf>
    <xf numFmtId="183" fontId="0" fillId="0" borderId="112" xfId="0" applyNumberFormat="1" applyBorder="1" applyAlignment="1">
      <alignment horizontal="right"/>
    </xf>
    <xf numFmtId="183" fontId="0" fillId="0" borderId="115" xfId="0" applyNumberFormat="1" applyBorder="1"/>
    <xf numFmtId="0" fontId="0" fillId="0" borderId="115" xfId="0" applyBorder="1"/>
    <xf numFmtId="0" fontId="0" fillId="0" borderId="115" xfId="0" quotePrefix="1" applyBorder="1"/>
    <xf numFmtId="183" fontId="37" fillId="0" borderId="116" xfId="0" applyNumberFormat="1" applyFont="1" applyBorder="1"/>
    <xf numFmtId="0" fontId="0" fillId="0" borderId="0" xfId="0" applyNumberFormat="1" applyBorder="1" applyAlignment="1">
      <alignment horizontal="right" indent="1"/>
    </xf>
    <xf numFmtId="188" fontId="0" fillId="0" borderId="0" xfId="0" applyNumberFormat="1" applyBorder="1" applyAlignment="1">
      <alignment horizontal="center"/>
    </xf>
    <xf numFmtId="183" fontId="37" fillId="0" borderId="19" xfId="0" applyNumberFormat="1" applyFont="1" applyBorder="1" applyAlignment="1">
      <alignment horizontal="left"/>
    </xf>
    <xf numFmtId="183" fontId="37" fillId="0" borderId="19" xfId="0" applyNumberFormat="1" applyFont="1" applyBorder="1" applyAlignment="1">
      <alignment horizontal="center"/>
    </xf>
    <xf numFmtId="0" fontId="0" fillId="0" borderId="0" xfId="0" quotePrefix="1" applyBorder="1" applyAlignment="1">
      <alignment horizontal="right" vertical="top" wrapText="1" indent="1"/>
    </xf>
    <xf numFmtId="183" fontId="37" fillId="0" borderId="116" xfId="0" applyNumberFormat="1" applyFont="1" applyBorder="1" applyAlignment="1"/>
    <xf numFmtId="210" fontId="0" fillId="0" borderId="0" xfId="0" applyNumberFormat="1" applyBorder="1" applyAlignment="1"/>
    <xf numFmtId="9" fontId="0" fillId="0" borderId="0" xfId="0" applyNumberFormat="1" applyBorder="1" applyAlignment="1"/>
    <xf numFmtId="0" fontId="37" fillId="0" borderId="0" xfId="0" applyFont="1" applyBorder="1" applyAlignment="1"/>
    <xf numFmtId="183" fontId="37" fillId="0" borderId="19" xfId="0" applyNumberFormat="1" applyFont="1" applyBorder="1" applyAlignment="1"/>
    <xf numFmtId="0" fontId="37" fillId="0" borderId="114" xfId="0" applyFont="1" applyBorder="1" applyAlignment="1">
      <alignment horizontal="left"/>
    </xf>
    <xf numFmtId="0" fontId="37" fillId="0" borderId="114" xfId="0" quotePrefix="1" applyFont="1" applyBorder="1" applyAlignment="1">
      <alignment horizontal="left"/>
    </xf>
    <xf numFmtId="183" fontId="0" fillId="0" borderId="0" xfId="0" applyNumberFormat="1" applyBorder="1" applyAlignment="1">
      <alignment horizontal="right"/>
    </xf>
    <xf numFmtId="183" fontId="0" fillId="0" borderId="0" xfId="0" applyNumberFormat="1" applyBorder="1" applyAlignment="1"/>
    <xf numFmtId="190" fontId="0" fillId="0" borderId="0" xfId="0" applyNumberFormat="1" applyBorder="1" applyAlignment="1">
      <alignment horizontal="center"/>
    </xf>
    <xf numFmtId="0" fontId="0" fillId="0" borderId="1" xfId="0" applyNumberFormat="1" applyBorder="1" applyAlignment="1">
      <alignment horizontal="right" indent="1"/>
    </xf>
    <xf numFmtId="4" fontId="0" fillId="0" borderId="2" xfId="0" applyNumberFormat="1" applyBorder="1"/>
    <xf numFmtId="0" fontId="0" fillId="0" borderId="8" xfId="0" applyNumberFormat="1" applyBorder="1" applyAlignment="1">
      <alignment horizontal="right" indent="1"/>
    </xf>
    <xf numFmtId="183" fontId="0" fillId="0" borderId="19" xfId="0" applyNumberFormat="1" applyBorder="1" applyAlignment="1">
      <alignment horizontal="right" indent="1"/>
    </xf>
    <xf numFmtId="4" fontId="0" fillId="0" borderId="6" xfId="0" applyNumberFormat="1" applyBorder="1"/>
    <xf numFmtId="183" fontId="37" fillId="0" borderId="2" xfId="0" applyNumberFormat="1" applyFont="1" applyBorder="1"/>
    <xf numFmtId="183" fontId="0" fillId="0" borderId="115" xfId="0" applyNumberFormat="1" applyBorder="1" applyAlignment="1">
      <alignment horizontal="center"/>
    </xf>
    <xf numFmtId="183" fontId="0" fillId="0" borderId="115" xfId="0" applyNumberFormat="1" applyBorder="1" applyAlignment="1">
      <alignment horizontal="right" indent="1"/>
    </xf>
    <xf numFmtId="190" fontId="0" fillId="0" borderId="115" xfId="0" applyNumberFormat="1"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0" fillId="0" borderId="114" xfId="0" applyBorder="1" applyAlignment="1">
      <alignment horizontal="right" indent="1"/>
    </xf>
    <xf numFmtId="183" fontId="37" fillId="0" borderId="0" xfId="0" applyNumberFormat="1" applyFont="1" applyBorder="1"/>
    <xf numFmtId="4" fontId="0" fillId="0" borderId="0" xfId="0" applyNumberFormat="1" applyBorder="1"/>
    <xf numFmtId="0" fontId="37" fillId="0" borderId="0" xfId="0" applyFont="1" applyBorder="1"/>
    <xf numFmtId="2" fontId="0" fillId="0" borderId="0" xfId="0" applyNumberFormat="1" applyBorder="1" applyAlignment="1">
      <alignment horizontal="right" indent="1"/>
    </xf>
    <xf numFmtId="2" fontId="0" fillId="0" borderId="0" xfId="0" applyNumberFormat="1" applyBorder="1"/>
    <xf numFmtId="0" fontId="0" fillId="0" borderId="47" xfId="0" applyBorder="1" applyAlignment="1">
      <alignment horizontal="right" indent="1"/>
    </xf>
    <xf numFmtId="9" fontId="0" fillId="0" borderId="0" xfId="0" applyNumberFormat="1" applyBorder="1"/>
    <xf numFmtId="189" fontId="0" fillId="0" borderId="19" xfId="0" applyNumberFormat="1" applyBorder="1" applyAlignment="1"/>
    <xf numFmtId="189" fontId="37" fillId="0" borderId="0" xfId="0" applyNumberFormat="1" applyFont="1" applyBorder="1" applyAlignment="1"/>
    <xf numFmtId="0" fontId="0" fillId="0" borderId="0" xfId="0"/>
    <xf numFmtId="183" fontId="13" fillId="14" borderId="0" xfId="0" applyNumberFormat="1" applyFont="1" applyFill="1" applyBorder="1"/>
    <xf numFmtId="183" fontId="0" fillId="14" borderId="0" xfId="0" applyNumberFormat="1" applyFill="1" applyBorder="1"/>
    <xf numFmtId="0" fontId="11" fillId="0" borderId="19" xfId="0" applyFont="1" applyFill="1" applyBorder="1" applyAlignment="1">
      <alignment horizontal="left" vertical="center" wrapText="1" indent="1"/>
    </xf>
    <xf numFmtId="0" fontId="12" fillId="0" borderId="21" xfId="0" applyFont="1" applyFill="1" applyBorder="1" applyAlignment="1">
      <alignment horizontal="center"/>
    </xf>
    <xf numFmtId="0" fontId="0" fillId="0" borderId="0" xfId="0" applyBorder="1" applyAlignment="1">
      <alignment horizontal="left" indent="1"/>
    </xf>
    <xf numFmtId="0" fontId="0" fillId="0" borderId="19" xfId="0" applyBorder="1" applyAlignment="1">
      <alignment horizontal="right" indent="1"/>
    </xf>
    <xf numFmtId="0" fontId="0" fillId="0" borderId="19" xfId="0" applyBorder="1" applyAlignment="1">
      <alignment horizontal="left" indent="1"/>
    </xf>
    <xf numFmtId="0" fontId="54" fillId="0" borderId="0" xfId="0" applyFont="1"/>
    <xf numFmtId="0" fontId="4" fillId="0" borderId="12" xfId="0" applyFont="1" applyFill="1" applyBorder="1" applyAlignment="1">
      <alignment horizontal="left" vertical="center" indent="1"/>
    </xf>
    <xf numFmtId="0" fontId="4" fillId="0" borderId="9" xfId="0" applyFont="1" applyFill="1" applyBorder="1" applyAlignment="1">
      <alignment horizontal="left" vertical="center" indent="1"/>
    </xf>
    <xf numFmtId="0" fontId="0" fillId="0" borderId="23" xfId="0" applyFill="1" applyBorder="1" applyAlignment="1">
      <alignment horizontal="left" vertical="center" wrapText="1" indent="1"/>
    </xf>
    <xf numFmtId="0" fontId="4" fillId="2" borderId="27" xfId="0" applyFont="1" applyFill="1" applyBorder="1" applyAlignment="1">
      <alignment horizontal="left" vertical="center" wrapText="1" indent="1"/>
    </xf>
    <xf numFmtId="0" fontId="37" fillId="0" borderId="7" xfId="0" applyFont="1" applyFill="1" applyBorder="1" applyAlignment="1">
      <alignment horizontal="left" vertical="center" indent="1"/>
    </xf>
    <xf numFmtId="0" fontId="0" fillId="0" borderId="0" xfId="0" applyAlignment="1">
      <alignment horizontal="left" vertical="center"/>
    </xf>
    <xf numFmtId="192" fontId="0" fillId="0" borderId="101" xfId="0" applyNumberFormat="1" applyFont="1" applyFill="1" applyBorder="1" applyAlignment="1">
      <alignment horizontal="left" vertical="center" wrapText="1" indent="1"/>
    </xf>
    <xf numFmtId="0" fontId="13" fillId="0" borderId="104" xfId="0" applyFont="1" applyFill="1" applyBorder="1" applyAlignment="1">
      <alignment horizontal="center" vertical="center" wrapText="1"/>
    </xf>
    <xf numFmtId="0" fontId="0" fillId="0" borderId="113" xfId="0" applyFill="1" applyBorder="1" applyAlignment="1">
      <alignment horizontal="center" vertical="center" wrapText="1"/>
    </xf>
    <xf numFmtId="192" fontId="0" fillId="0" borderId="7" xfId="0" applyNumberFormat="1" applyFont="1" applyFill="1" applyBorder="1" applyAlignment="1">
      <alignment horizontal="left" vertical="center" wrapText="1" indent="1"/>
    </xf>
    <xf numFmtId="0" fontId="24" fillId="10" borderId="25" xfId="0" applyFont="1" applyFill="1" applyBorder="1" applyAlignment="1">
      <alignment horizontal="center" vertical="center" wrapText="1"/>
    </xf>
    <xf numFmtId="0" fontId="24" fillId="10" borderId="25" xfId="0" applyFont="1" applyFill="1" applyBorder="1" applyAlignment="1">
      <alignment horizontal="left" vertical="center" wrapText="1" indent="1"/>
    </xf>
    <xf numFmtId="0" fontId="24" fillId="10" borderId="25" xfId="0" applyFont="1" applyFill="1" applyBorder="1" applyAlignment="1">
      <alignment horizontal="right" vertical="center" wrapText="1" indent="1"/>
    </xf>
    <xf numFmtId="3" fontId="24" fillId="10" borderId="25" xfId="0" applyNumberFormat="1" applyFont="1" applyFill="1" applyBorder="1" applyAlignment="1">
      <alignment horizontal="center" vertical="center" wrapText="1"/>
    </xf>
    <xf numFmtId="2" fontId="24" fillId="10" borderId="25" xfId="0" applyNumberFormat="1" applyFont="1" applyFill="1" applyBorder="1" applyAlignment="1">
      <alignment horizontal="center" vertical="center" wrapText="1"/>
    </xf>
    <xf numFmtId="171" fontId="24" fillId="10" borderId="25" xfId="0" applyNumberFormat="1"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9" fillId="10" borderId="25" xfId="0" applyFont="1" applyFill="1" applyBorder="1" applyAlignment="1">
      <alignment horizontal="left" vertical="center" wrapText="1" indent="1"/>
    </xf>
    <xf numFmtId="0" fontId="0" fillId="0" borderId="0" xfId="0" quotePrefix="1" applyAlignment="1">
      <alignment vertical="center"/>
    </xf>
    <xf numFmtId="2" fontId="46" fillId="18" borderId="0" xfId="0" applyNumberFormat="1" applyFont="1" applyFill="1" applyAlignment="1">
      <alignment vertical="center"/>
    </xf>
    <xf numFmtId="0" fontId="46" fillId="18" borderId="0" xfId="0" applyFont="1" applyFill="1" applyAlignment="1">
      <alignment vertical="center"/>
    </xf>
    <xf numFmtId="14" fontId="1" fillId="0" borderId="3" xfId="0" applyNumberFormat="1" applyFont="1" applyBorder="1" applyAlignment="1">
      <alignment vertical="center" wrapText="1"/>
    </xf>
    <xf numFmtId="14" fontId="1" fillId="0" borderId="7" xfId="0" applyNumberFormat="1" applyFont="1" applyBorder="1" applyAlignment="1">
      <alignment vertical="center" wrapText="1"/>
    </xf>
    <xf numFmtId="14" fontId="1" fillId="0" borderId="12" xfId="0" applyNumberFormat="1" applyFont="1" applyBorder="1" applyAlignment="1">
      <alignment vertical="center" wrapText="1"/>
    </xf>
    <xf numFmtId="14" fontId="1" fillId="0" borderId="9" xfId="0" applyNumberFormat="1" applyFont="1" applyBorder="1" applyAlignment="1">
      <alignment vertical="center" wrapText="1"/>
    </xf>
    <xf numFmtId="0" fontId="1" fillId="0" borderId="3" xfId="0" applyNumberFormat="1" applyFont="1" applyFill="1" applyBorder="1" applyAlignment="1">
      <alignment horizontal="right" vertical="center" wrapText="1" indent="1"/>
    </xf>
    <xf numFmtId="0" fontId="1" fillId="0" borderId="7" xfId="0" applyNumberFormat="1" applyFont="1" applyFill="1" applyBorder="1" applyAlignment="1">
      <alignment horizontal="right" vertical="center" wrapText="1" indent="1"/>
    </xf>
    <xf numFmtId="0" fontId="1" fillId="0" borderId="12" xfId="0" applyNumberFormat="1" applyFont="1" applyFill="1" applyBorder="1" applyAlignment="1">
      <alignment horizontal="right" vertical="center" wrapText="1" indent="1"/>
    </xf>
    <xf numFmtId="0" fontId="1" fillId="0" borderId="9" xfId="0" applyNumberFormat="1" applyFont="1" applyFill="1" applyBorder="1" applyAlignment="1">
      <alignment horizontal="right" vertical="center" wrapText="1" indent="1"/>
    </xf>
    <xf numFmtId="0" fontId="37" fillId="0" borderId="3" xfId="0" applyFont="1" applyFill="1" applyBorder="1" applyAlignment="1">
      <alignment horizontal="left" vertical="center" indent="1"/>
    </xf>
    <xf numFmtId="0" fontId="0" fillId="0" borderId="0" xfId="0" applyFill="1" applyBorder="1" applyAlignment="1">
      <alignment horizontal="center" vertical="center"/>
    </xf>
    <xf numFmtId="164" fontId="0" fillId="0" borderId="12" xfId="0" applyNumberFormat="1" applyFont="1" applyBorder="1" applyAlignment="1">
      <alignment vertical="center" wrapText="1"/>
    </xf>
    <xf numFmtId="0" fontId="0" fillId="0" borderId="40"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64" xfId="0" applyFont="1" applyBorder="1" applyAlignment="1">
      <alignment horizontal="center" vertical="center" wrapText="1"/>
    </xf>
    <xf numFmtId="0" fontId="0" fillId="0" borderId="36" xfId="0" applyFont="1" applyBorder="1" applyAlignment="1">
      <alignment horizontal="center" vertical="center" wrapText="1"/>
    </xf>
    <xf numFmtId="14" fontId="0" fillId="0" borderId="11" xfId="0" applyNumberFormat="1" applyFont="1" applyFill="1" applyBorder="1" applyAlignment="1">
      <alignment vertical="center" wrapText="1"/>
    </xf>
    <xf numFmtId="14" fontId="0" fillId="0" borderId="12" xfId="0" applyNumberFormat="1" applyFont="1" applyBorder="1" applyAlignment="1">
      <alignment vertical="center" wrapText="1"/>
    </xf>
    <xf numFmtId="14" fontId="0" fillId="0" borderId="12" xfId="0" applyNumberFormat="1" applyFont="1" applyBorder="1" applyAlignment="1">
      <alignment horizontal="left" vertical="center" wrapText="1" indent="1"/>
    </xf>
    <xf numFmtId="168" fontId="0" fillId="0" borderId="12" xfId="0" applyNumberFormat="1" applyFont="1" applyBorder="1" applyAlignment="1">
      <alignment horizontal="left" vertical="center" wrapText="1" indent="1"/>
    </xf>
    <xf numFmtId="14" fontId="0" fillId="0" borderId="12" xfId="0" applyNumberFormat="1" applyFont="1" applyBorder="1" applyAlignment="1">
      <alignment horizontal="center" vertical="center" wrapText="1"/>
    </xf>
    <xf numFmtId="0" fontId="0" fillId="0" borderId="11" xfId="0" applyFont="1" applyBorder="1" applyAlignment="1">
      <alignment vertical="center" wrapText="1"/>
    </xf>
    <xf numFmtId="0" fontId="0" fillId="0" borderId="12" xfId="0" applyFont="1" applyBorder="1" applyAlignment="1">
      <alignment vertical="center" wrapText="1"/>
    </xf>
    <xf numFmtId="174" fontId="0" fillId="0" borderId="12" xfId="0" applyNumberFormat="1" applyFont="1" applyBorder="1" applyAlignment="1">
      <alignment vertical="center" wrapText="1"/>
    </xf>
    <xf numFmtId="0" fontId="0" fillId="0" borderId="36" xfId="0" applyFont="1" applyBorder="1" applyAlignment="1">
      <alignment vertical="center" wrapText="1"/>
    </xf>
    <xf numFmtId="0" fontId="0" fillId="0" borderId="46" xfId="0" applyFont="1" applyBorder="1" applyAlignment="1">
      <alignment vertical="center" wrapText="1"/>
    </xf>
    <xf numFmtId="178" fontId="0" fillId="0" borderId="12" xfId="0" applyNumberFormat="1" applyFont="1" applyBorder="1" applyAlignment="1">
      <alignment vertical="center" wrapText="1"/>
    </xf>
    <xf numFmtId="14" fontId="0" fillId="0" borderId="3" xfId="0" applyNumberFormat="1" applyFont="1" applyBorder="1" applyAlignment="1">
      <alignment vertical="center" wrapText="1"/>
    </xf>
    <xf numFmtId="14" fontId="0" fillId="0" borderId="3" xfId="0" applyNumberFormat="1" applyFont="1" applyBorder="1" applyAlignment="1">
      <alignment horizontal="left" vertical="center" wrapText="1" indent="1"/>
    </xf>
    <xf numFmtId="0" fontId="0" fillId="0" borderId="38" xfId="0" applyFont="1" applyBorder="1" applyAlignment="1">
      <alignment horizontal="center" vertical="center"/>
    </xf>
    <xf numFmtId="0" fontId="0" fillId="0" borderId="2" xfId="0" applyFont="1" applyBorder="1" applyAlignment="1">
      <alignment horizontal="center" vertical="center"/>
    </xf>
    <xf numFmtId="0" fontId="0" fillId="0" borderId="45" xfId="0" applyFont="1" applyBorder="1" applyAlignment="1">
      <alignment horizontal="center" vertical="center"/>
    </xf>
    <xf numFmtId="164" fontId="0" fillId="0" borderId="3" xfId="0" applyNumberFormat="1" applyFont="1" applyBorder="1" applyAlignment="1">
      <alignment horizontal="center" vertical="center"/>
    </xf>
    <xf numFmtId="1" fontId="0" fillId="0" borderId="31" xfId="0" applyNumberFormat="1" applyFont="1" applyBorder="1" applyAlignment="1">
      <alignment vertical="center"/>
    </xf>
    <xf numFmtId="0" fontId="0" fillId="0" borderId="38" xfId="0" applyNumberFormat="1" applyFont="1" applyBorder="1" applyAlignment="1">
      <alignment horizontal="center" vertical="center" wrapText="1"/>
    </xf>
    <xf numFmtId="14" fontId="0" fillId="0" borderId="3" xfId="0" applyNumberFormat="1" applyFont="1" applyBorder="1" applyAlignment="1">
      <alignment vertical="center"/>
    </xf>
    <xf numFmtId="14" fontId="0" fillId="0" borderId="31" xfId="0" applyNumberFormat="1" applyFont="1" applyBorder="1" applyAlignment="1">
      <alignment vertical="center"/>
    </xf>
    <xf numFmtId="168" fontId="0" fillId="0" borderId="3" xfId="0" applyNumberFormat="1" applyFont="1" applyBorder="1" applyAlignment="1">
      <alignment vertical="center"/>
    </xf>
    <xf numFmtId="14" fontId="0" fillId="0" borderId="3" xfId="0" applyNumberFormat="1" applyFont="1" applyBorder="1" applyAlignment="1">
      <alignment horizontal="center" vertical="center"/>
    </xf>
    <xf numFmtId="0" fontId="0" fillId="0" borderId="31" xfId="0" applyFont="1" applyBorder="1" applyAlignment="1">
      <alignment vertical="center" wrapText="1"/>
    </xf>
    <xf numFmtId="0" fontId="0" fillId="0" borderId="3" xfId="0" applyFont="1" applyBorder="1" applyAlignment="1">
      <alignment vertical="center" wrapText="1"/>
    </xf>
    <xf numFmtId="174" fontId="0" fillId="0" borderId="3" xfId="0" applyNumberFormat="1" applyFont="1" applyBorder="1" applyAlignment="1">
      <alignment vertical="center" wrapText="1"/>
    </xf>
    <xf numFmtId="0" fontId="0" fillId="0" borderId="2" xfId="0" applyFont="1" applyBorder="1" applyAlignment="1">
      <alignment vertical="center" wrapText="1"/>
    </xf>
    <xf numFmtId="0" fontId="0" fillId="0" borderId="3" xfId="0" quotePrefix="1" applyFont="1" applyBorder="1" applyAlignment="1">
      <alignment vertical="center" wrapText="1"/>
    </xf>
    <xf numFmtId="0" fontId="0" fillId="0" borderId="0" xfId="0" applyFont="1" applyBorder="1" applyAlignment="1">
      <alignment vertical="center" wrapText="1"/>
    </xf>
    <xf numFmtId="178" fontId="0" fillId="0" borderId="3" xfId="0" applyNumberFormat="1" applyFont="1" applyFill="1" applyBorder="1" applyAlignment="1">
      <alignment vertical="center" wrapText="1"/>
    </xf>
    <xf numFmtId="176" fontId="0" fillId="0" borderId="57" xfId="0" applyNumberFormat="1" applyFont="1" applyFill="1" applyBorder="1" applyAlignment="1">
      <alignment horizontal="center" vertical="center" wrapText="1"/>
    </xf>
    <xf numFmtId="166" fontId="0" fillId="0" borderId="3" xfId="0" applyNumberFormat="1" applyFont="1" applyFill="1" applyBorder="1" applyAlignment="1">
      <alignment horizontal="justify" vertical="center" wrapText="1"/>
    </xf>
    <xf numFmtId="14" fontId="0" fillId="0" borderId="7" xfId="0" applyNumberFormat="1" applyFont="1" applyBorder="1" applyAlignment="1">
      <alignment vertical="center" wrapText="1"/>
    </xf>
    <xf numFmtId="14" fontId="0" fillId="0" borderId="7" xfId="0" applyNumberFormat="1" applyFont="1" applyBorder="1" applyAlignment="1">
      <alignment horizontal="left" vertical="center" wrapText="1" indent="1"/>
    </xf>
    <xf numFmtId="0" fontId="0" fillId="0" borderId="7" xfId="0" applyFont="1" applyFill="1" applyBorder="1" applyAlignment="1">
      <alignment horizontal="center" vertical="center"/>
    </xf>
    <xf numFmtId="0" fontId="0" fillId="0" borderId="42" xfId="0" applyFont="1" applyBorder="1" applyAlignment="1">
      <alignment horizontal="center" vertical="center"/>
    </xf>
    <xf numFmtId="164" fontId="0" fillId="0" borderId="7" xfId="0" applyNumberFormat="1" applyFont="1" applyBorder="1" applyAlignment="1">
      <alignment horizontal="center" vertical="center"/>
    </xf>
    <xf numFmtId="1" fontId="0" fillId="0" borderId="44" xfId="0" applyNumberFormat="1" applyFont="1" applyBorder="1" applyAlignment="1">
      <alignment vertical="center"/>
    </xf>
    <xf numFmtId="0" fontId="0" fillId="0" borderId="42" xfId="0" applyNumberFormat="1" applyFont="1" applyBorder="1" applyAlignment="1">
      <alignment horizontal="center" vertical="center" wrapText="1"/>
    </xf>
    <xf numFmtId="14" fontId="0" fillId="0" borderId="7" xfId="0" applyNumberFormat="1" applyFont="1" applyFill="1" applyBorder="1" applyAlignment="1">
      <alignment horizontal="left" vertical="center" wrapText="1" indent="1"/>
    </xf>
    <xf numFmtId="14" fontId="0" fillId="0" borderId="7" xfId="0" applyNumberFormat="1" applyFont="1" applyBorder="1" applyAlignment="1">
      <alignment vertical="center"/>
    </xf>
    <xf numFmtId="14" fontId="0" fillId="0" borderId="44" xfId="0" applyNumberFormat="1" applyFont="1" applyBorder="1" applyAlignment="1">
      <alignment vertical="center"/>
    </xf>
    <xf numFmtId="168" fontId="0" fillId="0" borderId="7" xfId="0" applyNumberFormat="1" applyFont="1" applyBorder="1" applyAlignment="1">
      <alignment vertical="center"/>
    </xf>
    <xf numFmtId="14" fontId="0" fillId="0" borderId="7" xfId="0" applyNumberFormat="1" applyFont="1" applyBorder="1" applyAlignment="1">
      <alignment horizontal="center" vertical="center"/>
    </xf>
    <xf numFmtId="0" fontId="0" fillId="0" borderId="44" xfId="0" applyFont="1" applyBorder="1" applyAlignment="1">
      <alignment vertical="center" wrapText="1"/>
    </xf>
    <xf numFmtId="0" fontId="0" fillId="0" borderId="7" xfId="0" applyFont="1" applyBorder="1" applyAlignment="1">
      <alignment vertical="center" wrapText="1"/>
    </xf>
    <xf numFmtId="174" fontId="0" fillId="0" borderId="7" xfId="0" applyNumberFormat="1" applyFont="1" applyBorder="1" applyAlignment="1">
      <alignment vertical="center" wrapText="1"/>
    </xf>
    <xf numFmtId="0" fontId="0" fillId="0" borderId="6" xfId="0" applyFont="1" applyBorder="1" applyAlignment="1">
      <alignment vertical="center" wrapText="1"/>
    </xf>
    <xf numFmtId="0" fontId="0" fillId="0" borderId="19" xfId="0" applyFont="1" applyBorder="1" applyAlignment="1">
      <alignment vertical="center" wrapText="1"/>
    </xf>
    <xf numFmtId="178" fontId="0" fillId="0" borderId="7" xfId="0" applyNumberFormat="1" applyFont="1" applyFill="1" applyBorder="1" applyAlignment="1">
      <alignment vertical="center" wrapText="1"/>
    </xf>
    <xf numFmtId="176" fontId="0" fillId="0" borderId="79" xfId="0" applyNumberFormat="1" applyFont="1" applyFill="1" applyBorder="1" applyAlignment="1">
      <alignment horizontal="center" vertical="center" wrapText="1"/>
    </xf>
    <xf numFmtId="0" fontId="4" fillId="0" borderId="3" xfId="0" applyFont="1" applyFill="1" applyBorder="1" applyAlignment="1">
      <alignment horizontal="left" vertical="center" indent="1"/>
    </xf>
    <xf numFmtId="164" fontId="0" fillId="0" borderId="3" xfId="0" applyNumberFormat="1" applyFont="1" applyBorder="1" applyAlignment="1">
      <alignment vertical="center"/>
    </xf>
    <xf numFmtId="164" fontId="0" fillId="0" borderId="31" xfId="0" applyNumberFormat="1" applyFont="1" applyBorder="1" applyAlignment="1">
      <alignment vertical="center"/>
    </xf>
    <xf numFmtId="1" fontId="0" fillId="0" borderId="38" xfId="0" applyNumberFormat="1" applyFont="1" applyBorder="1" applyAlignment="1">
      <alignment horizontal="center" vertical="center" wrapText="1"/>
    </xf>
    <xf numFmtId="14" fontId="0" fillId="0" borderId="3" xfId="0" applyNumberFormat="1" applyFont="1" applyBorder="1" applyAlignment="1">
      <alignment horizontal="left" vertical="center" indent="1"/>
    </xf>
    <xf numFmtId="168" fontId="0" fillId="0" borderId="3" xfId="0" applyNumberFormat="1" applyFont="1" applyBorder="1" applyAlignment="1">
      <alignment horizontal="left" vertical="center" indent="1"/>
    </xf>
    <xf numFmtId="0" fontId="4" fillId="0" borderId="7" xfId="0" applyFont="1" applyFill="1" applyBorder="1" applyAlignment="1">
      <alignment horizontal="left" vertical="center" indent="1"/>
    </xf>
    <xf numFmtId="164" fontId="0" fillId="0" borderId="7" xfId="0" applyNumberFormat="1" applyFont="1" applyBorder="1" applyAlignment="1">
      <alignment vertical="center"/>
    </xf>
    <xf numFmtId="164" fontId="0" fillId="0" borderId="44" xfId="0" applyNumberFormat="1" applyFont="1" applyBorder="1" applyAlignment="1">
      <alignment vertical="center"/>
    </xf>
    <xf numFmtId="1" fontId="0" fillId="0" borderId="42" xfId="0" applyNumberFormat="1" applyFont="1" applyBorder="1" applyAlignment="1">
      <alignment horizontal="center" vertical="center" wrapText="1"/>
    </xf>
    <xf numFmtId="14" fontId="0" fillId="0" borderId="7" xfId="0" applyNumberFormat="1" applyFont="1" applyBorder="1" applyAlignment="1">
      <alignment horizontal="left" vertical="center" indent="1"/>
    </xf>
    <xf numFmtId="168" fontId="0" fillId="0" borderId="7" xfId="0" applyNumberFormat="1" applyFont="1" applyBorder="1" applyAlignment="1">
      <alignment horizontal="left" vertical="center" indent="1"/>
    </xf>
    <xf numFmtId="14" fontId="0" fillId="0" borderId="38" xfId="0" applyNumberFormat="1" applyFont="1" applyBorder="1" applyAlignment="1">
      <alignment horizontal="center" vertical="center" wrapText="1"/>
    </xf>
    <xf numFmtId="0" fontId="0" fillId="0" borderId="40" xfId="0" applyFont="1" applyBorder="1" applyAlignment="1">
      <alignment horizontal="center" vertical="center"/>
    </xf>
    <xf numFmtId="0" fontId="0" fillId="0" borderId="11" xfId="0" applyFont="1" applyBorder="1" applyAlignment="1">
      <alignment horizontal="center" vertical="center"/>
    </xf>
    <xf numFmtId="0" fontId="0" fillId="0" borderId="64" xfId="0" applyFont="1" applyBorder="1" applyAlignment="1">
      <alignment horizontal="center" vertical="center"/>
    </xf>
    <xf numFmtId="164" fontId="0" fillId="0" borderId="12" xfId="0" applyNumberFormat="1" applyFont="1" applyBorder="1" applyAlignment="1">
      <alignment vertical="center"/>
    </xf>
    <xf numFmtId="164" fontId="0" fillId="0" borderId="36" xfId="0" applyNumberFormat="1" applyFont="1" applyBorder="1" applyAlignment="1">
      <alignment vertical="center"/>
    </xf>
    <xf numFmtId="14" fontId="0" fillId="0" borderId="40" xfId="0" applyNumberFormat="1" applyFont="1" applyBorder="1" applyAlignment="1">
      <alignment horizontal="center" vertical="center" wrapText="1"/>
    </xf>
    <xf numFmtId="14" fontId="0" fillId="0" borderId="12" xfId="0" applyNumberFormat="1" applyFont="1" applyBorder="1" applyAlignment="1">
      <alignment vertical="center"/>
    </xf>
    <xf numFmtId="14" fontId="0" fillId="0" borderId="12" xfId="0" applyNumberFormat="1" applyFont="1" applyBorder="1" applyAlignment="1">
      <alignment horizontal="left" vertical="center" indent="1"/>
    </xf>
    <xf numFmtId="14" fontId="0" fillId="0" borderId="36" xfId="0" applyNumberFormat="1" applyFont="1" applyBorder="1" applyAlignment="1">
      <alignment vertical="center"/>
    </xf>
    <xf numFmtId="168" fontId="0" fillId="0" borderId="12" xfId="0" applyNumberFormat="1" applyFont="1" applyBorder="1" applyAlignment="1">
      <alignment horizontal="left" vertical="center" indent="1"/>
    </xf>
    <xf numFmtId="0" fontId="0" fillId="0" borderId="41" xfId="0" applyFont="1" applyBorder="1" applyAlignment="1">
      <alignment horizontal="center" vertical="center"/>
    </xf>
    <xf numFmtId="0" fontId="0" fillId="0" borderId="14" xfId="0" applyFont="1" applyBorder="1" applyAlignment="1">
      <alignment horizontal="center" vertical="center"/>
    </xf>
    <xf numFmtId="0" fontId="0" fillId="0" borderId="65" xfId="0" applyFont="1" applyBorder="1" applyAlignment="1">
      <alignment horizontal="center" vertical="center"/>
    </xf>
    <xf numFmtId="164" fontId="0" fillId="0" borderId="9" xfId="0" applyNumberFormat="1" applyFont="1" applyBorder="1" applyAlignment="1">
      <alignment vertical="center"/>
    </xf>
    <xf numFmtId="164" fontId="0" fillId="0" borderId="35" xfId="0" applyNumberFormat="1" applyFont="1" applyBorder="1" applyAlignment="1">
      <alignment vertical="center"/>
    </xf>
    <xf numFmtId="14" fontId="0" fillId="0" borderId="41" xfId="0" applyNumberFormat="1" applyFont="1" applyBorder="1" applyAlignment="1">
      <alignment horizontal="center" vertical="center" wrapText="1"/>
    </xf>
    <xf numFmtId="14" fontId="0" fillId="0" borderId="9" xfId="0" applyNumberFormat="1" applyFont="1" applyBorder="1" applyAlignment="1">
      <alignment vertical="center"/>
    </xf>
    <xf numFmtId="14" fontId="0" fillId="0" borderId="9" xfId="0" applyNumberFormat="1" applyFont="1" applyBorder="1" applyAlignment="1">
      <alignment horizontal="left" vertical="center" indent="1"/>
    </xf>
    <xf numFmtId="14" fontId="0" fillId="0" borderId="9" xfId="0" applyNumberFormat="1" applyFont="1" applyBorder="1" applyAlignment="1">
      <alignment vertical="center" wrapText="1"/>
    </xf>
    <xf numFmtId="14" fontId="0" fillId="0" borderId="35" xfId="0" applyNumberFormat="1" applyFont="1" applyBorder="1" applyAlignment="1">
      <alignment vertical="center"/>
    </xf>
    <xf numFmtId="168" fontId="0" fillId="0" borderId="9" xfId="0" applyNumberFormat="1" applyFont="1" applyBorder="1" applyAlignment="1">
      <alignment horizontal="left" vertical="center" indent="1"/>
    </xf>
    <xf numFmtId="0" fontId="0" fillId="0" borderId="63" xfId="0" applyFont="1" applyBorder="1" applyAlignment="1">
      <alignment horizontal="center" vertical="center"/>
    </xf>
    <xf numFmtId="0" fontId="1" fillId="16" borderId="3" xfId="0" applyFont="1" applyFill="1" applyBorder="1" applyAlignment="1">
      <alignment horizontal="center" vertical="center" wrapText="1"/>
    </xf>
    <xf numFmtId="0" fontId="1" fillId="16" borderId="44" xfId="0" applyFont="1" applyFill="1" applyBorder="1" applyAlignment="1">
      <alignment horizontal="center" vertical="center" wrapText="1"/>
    </xf>
    <xf numFmtId="0" fontId="1" fillId="16" borderId="38" xfId="0" applyFont="1" applyFill="1" applyBorder="1" applyAlignment="1">
      <alignment horizontal="center" vertical="center" wrapText="1"/>
    </xf>
    <xf numFmtId="0" fontId="13" fillId="17" borderId="38" xfId="0" applyFont="1" applyFill="1" applyBorder="1" applyAlignment="1">
      <alignment horizontal="center" vertical="center" wrapText="1"/>
    </xf>
    <xf numFmtId="0" fontId="13" fillId="17" borderId="7"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0" fillId="0" borderId="17" xfId="0" applyFill="1" applyBorder="1" applyAlignment="1">
      <alignment vertical="center" wrapText="1"/>
    </xf>
    <xf numFmtId="187" fontId="0" fillId="2" borderId="7" xfId="0" applyNumberFormat="1" applyFill="1" applyBorder="1" applyAlignment="1">
      <alignment vertical="center" wrapText="1"/>
    </xf>
    <xf numFmtId="187" fontId="0" fillId="2" borderId="23" xfId="0" applyNumberFormat="1" applyFill="1" applyBorder="1" applyAlignment="1">
      <alignment vertical="center" wrapText="1"/>
    </xf>
    <xf numFmtId="175" fontId="0" fillId="0" borderId="7" xfId="0" applyNumberFormat="1" applyFill="1" applyBorder="1" applyAlignment="1">
      <alignment vertical="center" wrapText="1"/>
    </xf>
    <xf numFmtId="187" fontId="0" fillId="0" borderId="23" xfId="0" applyNumberFormat="1" applyFill="1" applyBorder="1" applyAlignment="1">
      <alignment vertical="center" wrapText="1"/>
    </xf>
    <xf numFmtId="0" fontId="1" fillId="0" borderId="17" xfId="0" applyFont="1" applyFill="1" applyBorder="1" applyAlignment="1">
      <alignment horizontal="left" vertical="center" wrapText="1" indent="1"/>
    </xf>
    <xf numFmtId="0" fontId="1" fillId="0" borderId="17" xfId="0" applyFont="1" applyFill="1" applyBorder="1" applyAlignment="1">
      <alignment horizontal="left" vertical="center" wrapText="1"/>
    </xf>
    <xf numFmtId="0" fontId="1" fillId="0" borderId="26" xfId="0" applyFont="1" applyFill="1" applyBorder="1" applyAlignment="1">
      <alignment horizontal="left" vertical="center" wrapText="1"/>
    </xf>
    <xf numFmtId="0" fontId="1" fillId="0" borderId="3" xfId="0" applyFont="1" applyFill="1" applyBorder="1" applyAlignment="1">
      <alignment horizontal="left" vertical="center" wrapText="1" indent="1"/>
    </xf>
    <xf numFmtId="0" fontId="1" fillId="0" borderId="23" xfId="0" applyFont="1" applyFill="1" applyBorder="1" applyAlignment="1">
      <alignment horizontal="left" vertical="center" wrapText="1"/>
    </xf>
    <xf numFmtId="0" fontId="1" fillId="0" borderId="27"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23" xfId="0" applyFont="1" applyFill="1" applyBorder="1" applyAlignment="1">
      <alignment horizontal="left" vertical="center" wrapText="1" indent="1"/>
    </xf>
    <xf numFmtId="0" fontId="1" fillId="2" borderId="23" xfId="0" applyFont="1" applyFill="1" applyBorder="1" applyAlignment="1">
      <alignment horizontal="left" vertical="center" wrapText="1"/>
    </xf>
    <xf numFmtId="175" fontId="1" fillId="2" borderId="23" xfId="0" applyNumberFormat="1" applyFont="1" applyFill="1" applyBorder="1" applyAlignment="1">
      <alignment horizontal="left" vertical="center" wrapText="1" indent="1"/>
    </xf>
    <xf numFmtId="175" fontId="1" fillId="2" borderId="23" xfId="0" applyNumberFormat="1" applyFont="1" applyFill="1" applyBorder="1" applyAlignment="1">
      <alignment horizontal="left" vertical="center" wrapText="1"/>
    </xf>
    <xf numFmtId="0" fontId="1" fillId="0" borderId="3" xfId="0" applyFont="1" applyFill="1" applyBorder="1" applyAlignment="1">
      <alignment horizontal="left" vertical="center" wrapText="1"/>
    </xf>
    <xf numFmtId="0" fontId="4" fillId="2" borderId="26" xfId="0" applyFont="1" applyFill="1" applyBorder="1" applyAlignment="1">
      <alignment horizontal="left" vertical="center" wrapText="1" indent="1"/>
    </xf>
    <xf numFmtId="0" fontId="1" fillId="2" borderId="26" xfId="0" applyFont="1" applyFill="1" applyBorder="1" applyAlignment="1">
      <alignment horizontal="left" vertical="center" wrapText="1"/>
    </xf>
    <xf numFmtId="0" fontId="1" fillId="2" borderId="26" xfId="0" applyFont="1" applyFill="1" applyBorder="1" applyAlignment="1">
      <alignment horizontal="left" vertical="center" wrapText="1" indent="1"/>
    </xf>
    <xf numFmtId="0" fontId="1" fillId="2" borderId="27" xfId="0" applyFont="1" applyFill="1" applyBorder="1" applyAlignment="1">
      <alignment horizontal="left" vertical="center" wrapText="1"/>
    </xf>
    <xf numFmtId="0" fontId="1" fillId="2" borderId="27" xfId="0" applyFont="1" applyFill="1" applyBorder="1" applyAlignment="1">
      <alignment horizontal="left" vertical="center" wrapText="1" indent="1"/>
    </xf>
    <xf numFmtId="171" fontId="0" fillId="0" borderId="32" xfId="0" applyNumberFormat="1" applyFont="1" applyFill="1" applyBorder="1" applyAlignment="1">
      <alignment horizontal="left" vertical="center" wrapText="1" indent="1"/>
    </xf>
    <xf numFmtId="171" fontId="0" fillId="0" borderId="16" xfId="0" applyNumberFormat="1" applyFont="1" applyFill="1" applyBorder="1" applyAlignment="1">
      <alignment horizontal="left" vertical="center" wrapText="1" indent="1"/>
    </xf>
    <xf numFmtId="0" fontId="0" fillId="0" borderId="116" xfId="0" applyFill="1" applyBorder="1" applyAlignment="1">
      <alignment horizontal="center" vertical="center" wrapText="1"/>
    </xf>
    <xf numFmtId="0" fontId="0" fillId="0" borderId="72" xfId="0" applyFont="1" applyFill="1" applyBorder="1" applyAlignment="1">
      <alignment horizontal="center" vertical="center" wrapText="1"/>
    </xf>
    <xf numFmtId="0" fontId="13" fillId="0" borderId="39" xfId="0" applyFont="1" applyFill="1" applyBorder="1" applyAlignment="1">
      <alignment horizontal="left" vertical="center" wrapText="1" indent="1"/>
    </xf>
    <xf numFmtId="0" fontId="13" fillId="0" borderId="32" xfId="0" applyFont="1" applyFill="1" applyBorder="1" applyAlignment="1">
      <alignment horizontal="left" vertical="center" wrapText="1" indent="1"/>
    </xf>
    <xf numFmtId="183" fontId="0" fillId="12" borderId="53" xfId="0" applyNumberFormat="1" applyFill="1" applyBorder="1" applyAlignment="1">
      <alignment vertical="center" wrapText="1"/>
    </xf>
    <xf numFmtId="0" fontId="13" fillId="0" borderId="18" xfId="0" applyFont="1" applyFill="1" applyBorder="1" applyAlignment="1">
      <alignment horizontal="left" vertical="center" wrapText="1" indent="1"/>
    </xf>
    <xf numFmtId="0" fontId="0" fillId="0" borderId="0" xfId="0" applyFill="1"/>
    <xf numFmtId="0" fontId="0" fillId="0" borderId="18" xfId="0" applyFill="1" applyBorder="1" applyAlignment="1">
      <alignment horizontal="right" vertical="center" wrapText="1" indent="1"/>
    </xf>
    <xf numFmtId="0" fontId="6" fillId="0" borderId="80" xfId="0" applyFont="1" applyBorder="1" applyAlignment="1">
      <alignment horizontal="center" vertical="center" wrapText="1"/>
    </xf>
    <xf numFmtId="166" fontId="0" fillId="2" borderId="8" xfId="0" applyNumberFormat="1" applyFill="1" applyBorder="1" applyAlignment="1">
      <alignment horizontal="right" vertical="center" wrapText="1" indent="1"/>
    </xf>
    <xf numFmtId="166" fontId="0" fillId="2" borderId="114" xfId="0" applyNumberFormat="1" applyFill="1" applyBorder="1" applyAlignment="1">
      <alignment horizontal="right" vertical="center" wrapText="1" indent="1"/>
    </xf>
    <xf numFmtId="166" fontId="0" fillId="2" borderId="49" xfId="0" applyNumberFormat="1" applyFill="1" applyBorder="1" applyAlignment="1">
      <alignment horizontal="right" vertical="center" wrapText="1" indent="1"/>
    </xf>
    <xf numFmtId="166" fontId="0" fillId="2" borderId="29" xfId="0" applyNumberFormat="1" applyFill="1" applyBorder="1" applyAlignment="1">
      <alignment horizontal="right" vertical="center" wrapText="1" indent="1"/>
    </xf>
    <xf numFmtId="0" fontId="0" fillId="0" borderId="27" xfId="0" applyFont="1" applyFill="1" applyBorder="1" applyAlignment="1">
      <alignment horizontal="center" vertical="center" wrapText="1"/>
    </xf>
    <xf numFmtId="166" fontId="13" fillId="12" borderId="69" xfId="0" applyNumberFormat="1" applyFont="1" applyFill="1" applyBorder="1" applyAlignment="1">
      <alignment horizontal="left" vertical="center" wrapText="1" indent="1"/>
    </xf>
    <xf numFmtId="166" fontId="13" fillId="12" borderId="61" xfId="0" applyNumberFormat="1" applyFont="1" applyFill="1" applyBorder="1" applyAlignment="1">
      <alignment horizontal="left" vertical="center" wrapText="1" indent="1"/>
    </xf>
    <xf numFmtId="0" fontId="13" fillId="0" borderId="55" xfId="0" applyFont="1" applyFill="1" applyBorder="1" applyAlignment="1">
      <alignment horizontal="left" vertical="center" wrapText="1" indent="1"/>
    </xf>
    <xf numFmtId="0" fontId="9" fillId="22" borderId="0" xfId="0" applyFont="1" applyFill="1" applyAlignment="1">
      <alignment horizontal="center"/>
    </xf>
    <xf numFmtId="183" fontId="0" fillId="12" borderId="116" xfId="0" applyNumberFormat="1" applyFill="1" applyBorder="1" applyAlignment="1">
      <alignment vertical="center" wrapText="1"/>
    </xf>
    <xf numFmtId="166" fontId="0" fillId="12" borderId="52" xfId="0" applyNumberFormat="1" applyFill="1" applyBorder="1" applyAlignment="1">
      <alignment horizontal="left" vertical="center" wrapText="1" indent="1"/>
    </xf>
    <xf numFmtId="166" fontId="0" fillId="12" borderId="116" xfId="0" applyNumberFormat="1" applyFill="1" applyBorder="1" applyAlignment="1">
      <alignment horizontal="left" vertical="center" wrapText="1" indent="1"/>
    </xf>
    <xf numFmtId="166" fontId="0" fillId="12" borderId="34" xfId="0" applyNumberFormat="1" applyFill="1" applyBorder="1" applyAlignment="1">
      <alignment horizontal="left" vertical="center" wrapText="1" indent="1"/>
    </xf>
    <xf numFmtId="183" fontId="0" fillId="12" borderId="114" xfId="0" applyNumberFormat="1" applyFill="1" applyBorder="1" applyAlignment="1">
      <alignment horizontal="right" vertical="center" wrapText="1" indent="1"/>
    </xf>
    <xf numFmtId="183" fontId="0" fillId="12" borderId="27" xfId="0" applyNumberFormat="1" applyFill="1" applyBorder="1" applyAlignment="1">
      <alignment horizontal="left" vertical="center" wrapText="1" indent="1"/>
    </xf>
    <xf numFmtId="183" fontId="0" fillId="12" borderId="60" xfId="0" applyNumberFormat="1" applyFill="1" applyBorder="1" applyAlignment="1">
      <alignment horizontal="left" vertical="center" wrapText="1" indent="1"/>
    </xf>
    <xf numFmtId="183" fontId="0" fillId="12" borderId="52" xfId="0" applyNumberFormat="1" applyFill="1" applyBorder="1" applyAlignment="1">
      <alignment horizontal="right" vertical="center" wrapText="1" indent="1"/>
    </xf>
    <xf numFmtId="183" fontId="0" fillId="12" borderId="23" xfId="0" applyNumberFormat="1" applyFill="1" applyBorder="1" applyAlignment="1">
      <alignment horizontal="right" vertical="center" wrapText="1" indent="1"/>
    </xf>
    <xf numFmtId="183" fontId="0" fillId="12" borderId="34" xfId="0" applyNumberFormat="1" applyFill="1" applyBorder="1" applyAlignment="1">
      <alignment horizontal="right" vertical="center" wrapText="1" indent="1"/>
    </xf>
    <xf numFmtId="183" fontId="0" fillId="12" borderId="69" xfId="0" applyNumberFormat="1" applyFill="1" applyBorder="1" applyAlignment="1">
      <alignment horizontal="right" vertical="center" wrapText="1" indent="1"/>
    </xf>
    <xf numFmtId="183" fontId="0" fillId="12" borderId="30" xfId="0" applyNumberFormat="1" applyFill="1" applyBorder="1" applyAlignment="1">
      <alignment vertical="center" wrapText="1"/>
    </xf>
    <xf numFmtId="183" fontId="0" fillId="12" borderId="27" xfId="0" applyNumberFormat="1" applyFill="1" applyBorder="1" applyAlignment="1">
      <alignment vertical="center" wrapText="1"/>
    </xf>
    <xf numFmtId="183" fontId="0" fillId="12" borderId="60" xfId="0" applyNumberFormat="1" applyFill="1" applyBorder="1" applyAlignment="1">
      <alignment vertical="center" wrapText="1"/>
    </xf>
    <xf numFmtId="166" fontId="0" fillId="12" borderId="53" xfId="0" applyNumberFormat="1" applyFill="1" applyBorder="1" applyAlignment="1">
      <alignment horizontal="left" vertical="center" wrapText="1" indent="1"/>
    </xf>
    <xf numFmtId="166" fontId="0" fillId="12" borderId="30" xfId="0" applyNumberFormat="1" applyFill="1" applyBorder="1" applyAlignment="1">
      <alignment horizontal="left" vertical="center" wrapText="1" indent="1"/>
    </xf>
    <xf numFmtId="166" fontId="0" fillId="12" borderId="60" xfId="0" applyNumberFormat="1" applyFill="1" applyBorder="1" applyAlignment="1">
      <alignment horizontal="left" vertical="center" wrapText="1" indent="1"/>
    </xf>
    <xf numFmtId="183" fontId="0" fillId="12" borderId="30" xfId="0" applyNumberFormat="1" applyFill="1" applyBorder="1" applyAlignment="1">
      <alignment horizontal="right" vertical="center" wrapText="1" indent="1"/>
    </xf>
    <xf numFmtId="183" fontId="0" fillId="12" borderId="29" xfId="0" applyNumberFormat="1" applyFill="1" applyBorder="1" applyAlignment="1">
      <alignment horizontal="right" vertical="center" wrapText="1" indent="1"/>
    </xf>
    <xf numFmtId="183" fontId="0" fillId="12" borderId="53" xfId="0" applyNumberFormat="1" applyFill="1" applyBorder="1" applyAlignment="1">
      <alignment horizontal="right" vertical="center" wrapText="1" indent="1"/>
    </xf>
    <xf numFmtId="183" fontId="0" fillId="12" borderId="27" xfId="0" applyNumberFormat="1" applyFill="1" applyBorder="1" applyAlignment="1">
      <alignment horizontal="right" vertical="center" wrapText="1" indent="1"/>
    </xf>
    <xf numFmtId="183" fontId="0" fillId="12" borderId="60" xfId="0" applyNumberFormat="1" applyFill="1" applyBorder="1" applyAlignment="1">
      <alignment horizontal="right" vertical="center" wrapText="1" indent="1"/>
    </xf>
    <xf numFmtId="183" fontId="0" fillId="12" borderId="61" xfId="0" applyNumberFormat="1" applyFill="1" applyBorder="1" applyAlignment="1">
      <alignment horizontal="right" vertical="center" wrapText="1" indent="1"/>
    </xf>
    <xf numFmtId="183" fontId="0" fillId="12" borderId="53" xfId="0" applyNumberFormat="1" applyFill="1" applyBorder="1" applyAlignment="1">
      <alignment horizontal="left" vertical="center" wrapText="1" indent="1"/>
    </xf>
    <xf numFmtId="183" fontId="0" fillId="12" borderId="30" xfId="0" applyNumberFormat="1" applyFill="1" applyBorder="1" applyAlignment="1">
      <alignment horizontal="left" vertical="center" wrapText="1" indent="1"/>
    </xf>
    <xf numFmtId="166" fontId="28" fillId="12" borderId="53" xfId="0" applyNumberFormat="1" applyFont="1" applyFill="1" applyBorder="1" applyAlignment="1">
      <alignment horizontal="left" vertical="center" wrapText="1" indent="1"/>
    </xf>
    <xf numFmtId="166" fontId="28" fillId="12" borderId="30" xfId="0" applyNumberFormat="1" applyFont="1" applyFill="1" applyBorder="1" applyAlignment="1">
      <alignment horizontal="left" vertical="center" wrapText="1" indent="1"/>
    </xf>
    <xf numFmtId="166" fontId="28" fillId="12" borderId="60" xfId="0" applyNumberFormat="1" applyFont="1" applyFill="1" applyBorder="1" applyAlignment="1">
      <alignment horizontal="left" vertical="center" wrapText="1" indent="1"/>
    </xf>
    <xf numFmtId="0" fontId="0" fillId="0" borderId="0" xfId="0" applyFont="1" applyFill="1"/>
    <xf numFmtId="0" fontId="0" fillId="0" borderId="0" xfId="0" applyFont="1"/>
    <xf numFmtId="0" fontId="1" fillId="0" borderId="0"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58" xfId="0" applyFont="1" applyFill="1" applyBorder="1" applyAlignment="1">
      <alignment horizontal="center" vertical="center" wrapText="1"/>
    </xf>
    <xf numFmtId="0" fontId="0" fillId="0" borderId="39" xfId="0" applyFont="1" applyFill="1" applyBorder="1" applyAlignment="1">
      <alignment horizontal="center" vertical="center" wrapText="1"/>
    </xf>
    <xf numFmtId="0" fontId="0" fillId="0" borderId="17" xfId="0" applyFont="1" applyFill="1" applyBorder="1" applyAlignment="1">
      <alignment horizontal="right" vertical="center" indent="1"/>
    </xf>
    <xf numFmtId="0" fontId="0" fillId="0" borderId="17" xfId="0" applyFont="1" applyFill="1" applyBorder="1" applyAlignment="1">
      <alignment horizontal="center" vertical="center" wrapText="1"/>
    </xf>
    <xf numFmtId="0" fontId="4" fillId="0" borderId="17" xfId="0" applyFont="1" applyFill="1" applyBorder="1" applyAlignment="1">
      <alignment horizontal="left" vertical="center" wrapText="1" indent="1"/>
    </xf>
    <xf numFmtId="0" fontId="0" fillId="0" borderId="18" xfId="0" applyFont="1" applyFill="1" applyBorder="1" applyAlignment="1">
      <alignment horizontal="left" vertical="center" wrapText="1" indent="1"/>
    </xf>
    <xf numFmtId="0" fontId="0" fillId="0" borderId="39" xfId="0" applyFont="1" applyFill="1" applyBorder="1" applyAlignment="1">
      <alignment horizontal="left" vertical="center" wrapText="1" indent="1"/>
    </xf>
    <xf numFmtId="0" fontId="0" fillId="0" borderId="32" xfId="0" applyFont="1" applyFill="1" applyBorder="1" applyAlignment="1">
      <alignment horizontal="left" vertical="center" wrapText="1" indent="1"/>
    </xf>
    <xf numFmtId="3" fontId="0" fillId="0" borderId="17" xfId="0" applyNumberFormat="1" applyFont="1" applyFill="1" applyBorder="1" applyAlignment="1">
      <alignment horizontal="center" vertical="center" wrapText="1"/>
    </xf>
    <xf numFmtId="0" fontId="0" fillId="0" borderId="32" xfId="0" applyFont="1" applyFill="1" applyBorder="1" applyAlignment="1">
      <alignment horizontal="center" vertical="center" wrapText="1"/>
    </xf>
    <xf numFmtId="166" fontId="0" fillId="0" borderId="17" xfId="0" applyNumberFormat="1" applyFont="1" applyFill="1" applyBorder="1" applyAlignment="1">
      <alignment horizontal="center" vertical="center" wrapText="1"/>
    </xf>
    <xf numFmtId="2" fontId="0" fillId="0" borderId="17" xfId="0" applyNumberFormat="1" applyFont="1" applyFill="1" applyBorder="1" applyAlignment="1">
      <alignment horizontal="center" vertical="center" wrapText="1"/>
    </xf>
    <xf numFmtId="0" fontId="0" fillId="0" borderId="16" xfId="0" applyFont="1" applyFill="1" applyBorder="1" applyAlignment="1">
      <alignment horizontal="center" vertical="center" wrapText="1"/>
    </xf>
    <xf numFmtId="3" fontId="0" fillId="0" borderId="55" xfId="0" applyNumberFormat="1" applyFont="1" applyFill="1" applyBorder="1" applyAlignment="1">
      <alignment horizontal="center" vertical="center" wrapText="1"/>
    </xf>
    <xf numFmtId="1" fontId="0" fillId="0" borderId="39" xfId="0" applyNumberFormat="1" applyFont="1" applyFill="1" applyBorder="1" applyAlignment="1">
      <alignment horizontal="center" vertical="center" wrapText="1"/>
    </xf>
    <xf numFmtId="2" fontId="0" fillId="0" borderId="22" xfId="0" applyNumberFormat="1" applyFont="1" applyFill="1" applyBorder="1" applyAlignment="1">
      <alignment horizontal="center" vertical="center" wrapText="1"/>
    </xf>
    <xf numFmtId="189" fontId="0" fillId="0" borderId="32" xfId="0" applyNumberFormat="1" applyFont="1" applyFill="1" applyBorder="1" applyAlignment="1">
      <alignment horizontal="center" vertical="center" wrapText="1"/>
    </xf>
    <xf numFmtId="189" fontId="0" fillId="0" borderId="83" xfId="0" applyNumberFormat="1" applyFont="1" applyFill="1" applyBorder="1" applyAlignment="1">
      <alignment horizontal="center" vertical="center" wrapText="1"/>
    </xf>
    <xf numFmtId="0" fontId="4" fillId="0" borderId="26" xfId="0" applyFont="1" applyFill="1" applyBorder="1" applyAlignment="1">
      <alignment horizontal="left" vertical="center" wrapText="1" indent="1"/>
    </xf>
    <xf numFmtId="0" fontId="1" fillId="0" borderId="12" xfId="0" applyFont="1" applyFill="1" applyBorder="1" applyAlignment="1">
      <alignment horizontal="left" vertical="center" wrapText="1" indent="1"/>
    </xf>
    <xf numFmtId="171" fontId="0" fillId="0" borderId="72" xfId="0" applyNumberFormat="1" applyFont="1" applyFill="1" applyBorder="1" applyAlignment="1">
      <alignment horizontal="left" vertical="center" wrapText="1" indent="1"/>
    </xf>
    <xf numFmtId="171" fontId="0" fillId="0" borderId="33" xfId="0" applyNumberFormat="1" applyFont="1" applyFill="1" applyBorder="1" applyAlignment="1">
      <alignment horizontal="left" vertical="center" wrapText="1" indent="1"/>
    </xf>
    <xf numFmtId="0" fontId="0" fillId="0" borderId="42" xfId="0" applyFont="1" applyFill="1" applyBorder="1" applyAlignment="1">
      <alignment horizontal="center" vertical="center" wrapText="1"/>
    </xf>
    <xf numFmtId="0" fontId="0" fillId="0" borderId="44" xfId="0" applyFont="1" applyFill="1" applyBorder="1" applyAlignment="1">
      <alignment horizontal="center" vertical="center" wrapText="1"/>
    </xf>
    <xf numFmtId="166" fontId="0" fillId="0" borderId="26" xfId="0" applyNumberFormat="1" applyFont="1" applyFill="1" applyBorder="1" applyAlignment="1">
      <alignment horizontal="center" vertical="center" wrapText="1"/>
    </xf>
    <xf numFmtId="2" fontId="0" fillId="0" borderId="26" xfId="0" applyNumberFormat="1"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49" xfId="0" applyFont="1" applyFill="1" applyBorder="1" applyAlignment="1">
      <alignment horizontal="center" vertical="center" wrapText="1"/>
    </xf>
    <xf numFmtId="3" fontId="0" fillId="0" borderId="79" xfId="0" applyNumberFormat="1" applyFont="1" applyFill="1" applyBorder="1" applyAlignment="1">
      <alignment horizontal="center" vertical="center" wrapText="1"/>
    </xf>
    <xf numFmtId="2" fontId="0" fillId="0" borderId="19" xfId="0" applyNumberFormat="1" applyFont="1" applyFill="1" applyBorder="1" applyAlignment="1">
      <alignment horizontal="center" vertical="center" wrapText="1"/>
    </xf>
    <xf numFmtId="171" fontId="0" fillId="0" borderId="74" xfId="0" applyNumberFormat="1" applyFont="1" applyFill="1" applyBorder="1" applyAlignment="1">
      <alignment horizontal="left" vertical="center" wrapText="1" indent="1"/>
    </xf>
    <xf numFmtId="171" fontId="0" fillId="0" borderId="34" xfId="0" applyNumberFormat="1" applyFont="1" applyFill="1" applyBorder="1" applyAlignment="1">
      <alignment horizontal="left" vertical="center" wrapText="1" indent="1"/>
    </xf>
    <xf numFmtId="3" fontId="0" fillId="0" borderId="23" xfId="0" applyNumberFormat="1" applyFont="1" applyFill="1" applyBorder="1" applyAlignment="1">
      <alignment horizontal="center" vertical="center" wrapText="1"/>
    </xf>
    <xf numFmtId="0" fontId="0" fillId="0" borderId="34" xfId="0" applyFont="1" applyFill="1" applyBorder="1" applyAlignment="1">
      <alignment horizontal="center" vertical="center" wrapText="1"/>
    </xf>
    <xf numFmtId="166" fontId="0" fillId="0" borderId="23" xfId="0" applyNumberFormat="1" applyFont="1" applyFill="1" applyBorder="1" applyAlignment="1">
      <alignment horizontal="center" vertical="center" wrapText="1"/>
    </xf>
    <xf numFmtId="2" fontId="0" fillId="0" borderId="23" xfId="0" applyNumberFormat="1" applyFont="1" applyFill="1" applyBorder="1" applyAlignment="1">
      <alignment horizontal="center" vertical="center" wrapText="1"/>
    </xf>
    <xf numFmtId="3" fontId="0" fillId="0" borderId="69" xfId="0" applyNumberFormat="1" applyFont="1" applyFill="1" applyBorder="1" applyAlignment="1">
      <alignment horizontal="center" vertical="center" wrapText="1"/>
    </xf>
    <xf numFmtId="1" fontId="0" fillId="0" borderId="52" xfId="0" applyNumberFormat="1" applyFont="1" applyFill="1" applyBorder="1" applyAlignment="1">
      <alignment horizontal="center" vertical="center" wrapText="1"/>
    </xf>
    <xf numFmtId="2" fontId="0" fillId="0" borderId="43" xfId="0" applyNumberFormat="1" applyFont="1" applyFill="1" applyBorder="1" applyAlignment="1">
      <alignment horizontal="center" vertical="center" wrapText="1"/>
    </xf>
    <xf numFmtId="189" fontId="0" fillId="0" borderId="34" xfId="0" applyNumberFormat="1" applyFont="1" applyFill="1" applyBorder="1" applyAlignment="1">
      <alignment horizontal="center" vertical="center" wrapText="1"/>
    </xf>
    <xf numFmtId="189" fontId="0" fillId="0" borderId="87" xfId="0" applyNumberFormat="1" applyFont="1" applyFill="1" applyBorder="1" applyAlignment="1">
      <alignment horizontal="center" vertical="center" wrapText="1"/>
    </xf>
    <xf numFmtId="0" fontId="4" fillId="0" borderId="27" xfId="0" applyFont="1" applyFill="1" applyBorder="1" applyAlignment="1">
      <alignment horizontal="left" vertical="center" wrapText="1" indent="1"/>
    </xf>
    <xf numFmtId="171" fontId="0" fillId="0" borderId="30" xfId="0" applyNumberFormat="1" applyFont="1" applyFill="1" applyBorder="1" applyAlignment="1">
      <alignment horizontal="left" vertical="center" wrapText="1" indent="1"/>
    </xf>
    <xf numFmtId="171" fontId="0" fillId="0" borderId="60" xfId="0" applyNumberFormat="1" applyFont="1" applyFill="1" applyBorder="1" applyAlignment="1">
      <alignment horizontal="left" vertical="center" wrapText="1" indent="1"/>
    </xf>
    <xf numFmtId="3" fontId="0" fillId="0" borderId="27" xfId="0" applyNumberFormat="1" applyFont="1" applyFill="1" applyBorder="1" applyAlignment="1">
      <alignment horizontal="center" vertical="center" wrapText="1"/>
    </xf>
    <xf numFmtId="0" fontId="0" fillId="0" borderId="60" xfId="0" applyFont="1" applyFill="1" applyBorder="1" applyAlignment="1">
      <alignment horizontal="center" vertical="center" wrapText="1"/>
    </xf>
    <xf numFmtId="166" fontId="0" fillId="0" borderId="27" xfId="0" applyNumberFormat="1" applyFont="1" applyFill="1" applyBorder="1" applyAlignment="1">
      <alignment horizontal="center" vertical="center" wrapText="1"/>
    </xf>
    <xf numFmtId="2" fontId="0" fillId="0" borderId="27" xfId="0" applyNumberFormat="1" applyFont="1" applyFill="1" applyBorder="1" applyAlignment="1">
      <alignment horizontal="center" vertical="center" wrapText="1"/>
    </xf>
    <xf numFmtId="3" fontId="0" fillId="0" borderId="61" xfId="0" applyNumberFormat="1" applyFont="1" applyFill="1" applyBorder="1" applyAlignment="1">
      <alignment horizontal="center" vertical="center" wrapText="1"/>
    </xf>
    <xf numFmtId="1" fontId="0" fillId="0" borderId="104" xfId="0" applyNumberFormat="1" applyFont="1" applyFill="1" applyBorder="1" applyAlignment="1">
      <alignment horizontal="center" vertical="center" wrapText="1"/>
    </xf>
    <xf numFmtId="189" fontId="0" fillId="0" borderId="105" xfId="0" applyNumberFormat="1" applyFont="1" applyFill="1" applyBorder="1" applyAlignment="1">
      <alignment horizontal="center" vertical="center" wrapText="1"/>
    </xf>
    <xf numFmtId="189" fontId="0" fillId="0" borderId="109" xfId="0" applyNumberFormat="1" applyFont="1" applyFill="1" applyBorder="1" applyAlignment="1">
      <alignment horizontal="center" vertical="center" wrapText="1"/>
    </xf>
    <xf numFmtId="187" fontId="0" fillId="0" borderId="17" xfId="0" applyNumberFormat="1" applyFont="1" applyFill="1" applyBorder="1" applyAlignment="1">
      <alignment horizontal="center" vertical="center" wrapText="1"/>
    </xf>
    <xf numFmtId="187" fontId="0" fillId="0" borderId="26" xfId="0" applyNumberFormat="1" applyFont="1" applyFill="1" applyBorder="1" applyAlignment="1">
      <alignment horizontal="right" vertical="center" wrapText="1" indent="1"/>
    </xf>
    <xf numFmtId="0" fontId="0" fillId="0" borderId="36" xfId="0" applyFont="1" applyFill="1" applyBorder="1" applyAlignment="1">
      <alignment horizontal="center" vertical="center" wrapText="1"/>
    </xf>
    <xf numFmtId="0" fontId="0" fillId="0" borderId="26" xfId="0" applyFont="1" applyFill="1" applyBorder="1" applyAlignment="1">
      <alignment horizontal="right" vertical="center" indent="1"/>
    </xf>
    <xf numFmtId="3" fontId="0" fillId="0" borderId="26" xfId="0" applyNumberFormat="1" applyFont="1" applyFill="1" applyBorder="1" applyAlignment="1">
      <alignment horizontal="center" vertical="center" wrapText="1"/>
    </xf>
    <xf numFmtId="3" fontId="0" fillId="0" borderId="77" xfId="0" applyNumberFormat="1" applyFont="1" applyFill="1" applyBorder="1" applyAlignment="1">
      <alignment horizontal="center" vertical="center" wrapText="1"/>
    </xf>
    <xf numFmtId="2" fontId="0" fillId="0" borderId="0" xfId="0" applyNumberFormat="1" applyFont="1" applyFill="1" applyBorder="1" applyAlignment="1">
      <alignment horizontal="center" vertical="center" wrapText="1"/>
    </xf>
    <xf numFmtId="0" fontId="0" fillId="0" borderId="23" xfId="0" applyFont="1" applyFill="1" applyBorder="1" applyAlignment="1">
      <alignment horizontal="right" vertical="center" indent="1"/>
    </xf>
    <xf numFmtId="175" fontId="4" fillId="0" borderId="23" xfId="0" applyNumberFormat="1" applyFont="1" applyFill="1" applyBorder="1" applyAlignment="1">
      <alignment horizontal="left" vertical="center" wrapText="1" indent="1"/>
    </xf>
    <xf numFmtId="175" fontId="1" fillId="0" borderId="23" xfId="0" applyNumberFormat="1" applyFont="1" applyFill="1" applyBorder="1" applyAlignment="1">
      <alignment horizontal="left" vertical="center" wrapText="1" indent="1"/>
    </xf>
    <xf numFmtId="175" fontId="1" fillId="0" borderId="23" xfId="0" applyNumberFormat="1" applyFont="1" applyFill="1" applyBorder="1" applyAlignment="1">
      <alignment horizontal="left" vertical="center" wrapText="1"/>
    </xf>
    <xf numFmtId="175" fontId="0" fillId="0" borderId="23" xfId="0" applyNumberFormat="1" applyFont="1" applyFill="1" applyBorder="1" applyAlignment="1">
      <alignment horizontal="left" vertical="center" wrapText="1" indent="1"/>
    </xf>
    <xf numFmtId="166" fontId="0" fillId="0" borderId="0" xfId="0" applyNumberFormat="1" applyFont="1" applyFill="1" applyBorder="1" applyAlignment="1">
      <alignment horizontal="center" vertical="center" wrapText="1"/>
    </xf>
    <xf numFmtId="1" fontId="0" fillId="0" borderId="51" xfId="0" applyNumberFormat="1" applyFont="1" applyFill="1" applyBorder="1" applyAlignment="1">
      <alignment horizontal="center" vertical="center" wrapText="1"/>
    </xf>
    <xf numFmtId="2" fontId="0" fillId="0" borderId="48" xfId="0" applyNumberFormat="1" applyFont="1" applyFill="1" applyBorder="1" applyAlignment="1">
      <alignment horizontal="center" vertical="center" wrapText="1"/>
    </xf>
    <xf numFmtId="189" fontId="0" fillId="0" borderId="33" xfId="0" applyNumberFormat="1" applyFont="1" applyFill="1" applyBorder="1" applyAlignment="1">
      <alignment horizontal="center" vertical="center" wrapText="1"/>
    </xf>
    <xf numFmtId="189" fontId="0" fillId="0" borderId="85" xfId="0" applyNumberFormat="1" applyFont="1" applyFill="1" applyBorder="1" applyAlignment="1">
      <alignment horizontal="center" vertical="center" wrapText="1"/>
    </xf>
    <xf numFmtId="1" fontId="0" fillId="0" borderId="53" xfId="0" applyNumberFormat="1" applyFont="1" applyFill="1" applyBorder="1" applyAlignment="1">
      <alignment horizontal="center" vertical="center" wrapText="1"/>
    </xf>
    <xf numFmtId="2" fontId="0" fillId="0" borderId="28" xfId="0" applyNumberFormat="1" applyFont="1" applyFill="1" applyBorder="1" applyAlignment="1">
      <alignment horizontal="center" vertical="center" wrapText="1"/>
    </xf>
    <xf numFmtId="189" fontId="0" fillId="0" borderId="60" xfId="0" applyNumberFormat="1" applyFont="1" applyFill="1" applyBorder="1" applyAlignment="1">
      <alignment horizontal="center" vertical="center" wrapText="1"/>
    </xf>
    <xf numFmtId="189" fontId="0" fillId="0" borderId="86" xfId="0" applyNumberFormat="1" applyFont="1" applyFill="1" applyBorder="1" applyAlignment="1">
      <alignment horizontal="center" vertical="center" wrapText="1"/>
    </xf>
    <xf numFmtId="175" fontId="4" fillId="0" borderId="26" xfId="0" applyNumberFormat="1" applyFont="1" applyFill="1" applyBorder="1" applyAlignment="1">
      <alignment horizontal="left" vertical="center" wrapText="1" indent="1"/>
    </xf>
    <xf numFmtId="175" fontId="1" fillId="0" borderId="26" xfId="0" applyNumberFormat="1" applyFont="1" applyFill="1" applyBorder="1" applyAlignment="1">
      <alignment horizontal="left" vertical="center" wrapText="1" indent="1"/>
    </xf>
    <xf numFmtId="175" fontId="1" fillId="0" borderId="26" xfId="0" applyNumberFormat="1" applyFont="1" applyFill="1" applyBorder="1" applyAlignment="1">
      <alignment horizontal="left" vertical="center" wrapText="1"/>
    </xf>
    <xf numFmtId="175" fontId="0" fillId="0" borderId="26" xfId="0" applyNumberFormat="1" applyFont="1" applyFill="1" applyBorder="1" applyAlignment="1">
      <alignment horizontal="left" vertical="center" wrapText="1" indent="1"/>
    </xf>
    <xf numFmtId="181" fontId="0" fillId="0" borderId="72" xfId="0" applyNumberFormat="1" applyFont="1" applyFill="1" applyBorder="1" applyAlignment="1">
      <alignment horizontal="right" vertical="center" wrapText="1" indent="1"/>
    </xf>
    <xf numFmtId="171" fontId="0" fillId="0" borderId="33" xfId="0" applyNumberFormat="1" applyFont="1" applyFill="1" applyBorder="1" applyAlignment="1">
      <alignment horizontal="right" vertical="center" wrapText="1" indent="1"/>
    </xf>
    <xf numFmtId="181" fontId="0" fillId="0" borderId="74" xfId="0" applyNumberFormat="1" applyFont="1" applyFill="1" applyBorder="1" applyAlignment="1">
      <alignment horizontal="right" vertical="center" wrapText="1" indent="1"/>
    </xf>
    <xf numFmtId="171" fontId="0" fillId="0" borderId="34" xfId="0" applyNumberFormat="1" applyFont="1" applyFill="1" applyBorder="1" applyAlignment="1">
      <alignment horizontal="right" vertical="center" wrapText="1" indent="1"/>
    </xf>
    <xf numFmtId="0" fontId="0" fillId="0" borderId="104" xfId="0" applyFont="1" applyFill="1" applyBorder="1" applyAlignment="1">
      <alignment horizontal="center" vertical="center" wrapText="1"/>
    </xf>
    <xf numFmtId="0" fontId="0" fillId="0" borderId="101" xfId="0" applyFont="1" applyFill="1" applyBorder="1" applyAlignment="1">
      <alignment horizontal="center" vertical="center" wrapText="1"/>
    </xf>
    <xf numFmtId="0" fontId="4" fillId="0" borderId="101" xfId="0" applyFont="1" applyFill="1" applyBorder="1" applyAlignment="1">
      <alignment horizontal="left" vertical="center" wrapText="1" indent="1"/>
    </xf>
    <xf numFmtId="187" fontId="0" fillId="0" borderId="101" xfId="0" applyNumberFormat="1" applyFont="1" applyFill="1" applyBorder="1" applyAlignment="1">
      <alignment horizontal="center" vertical="center" wrapText="1"/>
    </xf>
    <xf numFmtId="0" fontId="1" fillId="0" borderId="101" xfId="0" applyFont="1" applyFill="1" applyBorder="1" applyAlignment="1">
      <alignment horizontal="left" vertical="center" wrapText="1" indent="1"/>
    </xf>
    <xf numFmtId="0" fontId="1" fillId="0" borderId="101" xfId="0" applyFont="1" applyFill="1" applyBorder="1" applyAlignment="1">
      <alignment horizontal="left" vertical="center" wrapText="1"/>
    </xf>
    <xf numFmtId="181" fontId="0" fillId="0" borderId="113" xfId="0" applyNumberFormat="1" applyFont="1" applyFill="1" applyBorder="1" applyAlignment="1">
      <alignment horizontal="right" vertical="center" wrapText="1" indent="1"/>
    </xf>
    <xf numFmtId="171" fontId="0" fillId="0" borderId="105" xfId="0" applyNumberFormat="1" applyFont="1" applyFill="1" applyBorder="1" applyAlignment="1">
      <alignment horizontal="right" vertical="center" wrapText="1" indent="1"/>
    </xf>
    <xf numFmtId="3" fontId="0" fillId="0" borderId="101" xfId="0" applyNumberFormat="1" applyFont="1" applyFill="1" applyBorder="1" applyAlignment="1">
      <alignment horizontal="center" vertical="center" wrapText="1"/>
    </xf>
    <xf numFmtId="0" fontId="0" fillId="0" borderId="105" xfId="0" applyFont="1" applyFill="1" applyBorder="1" applyAlignment="1">
      <alignment horizontal="center" vertical="center" wrapText="1"/>
    </xf>
    <xf numFmtId="3" fontId="0" fillId="0" borderId="68" xfId="0" applyNumberFormat="1" applyFont="1" applyFill="1" applyBorder="1" applyAlignment="1">
      <alignment horizontal="center" vertical="center" wrapText="1"/>
    </xf>
    <xf numFmtId="2" fontId="0" fillId="0" borderId="112" xfId="0" applyNumberFormat="1" applyFont="1" applyFill="1" applyBorder="1" applyAlignment="1">
      <alignment horizontal="center" vertical="center" wrapText="1"/>
    </xf>
    <xf numFmtId="187" fontId="0" fillId="0" borderId="26" xfId="0" applyNumberFormat="1" applyFont="1" applyFill="1" applyBorder="1" applyAlignment="1">
      <alignment vertical="center" wrapText="1"/>
    </xf>
    <xf numFmtId="0" fontId="4" fillId="0" borderId="7" xfId="0" applyFont="1" applyFill="1" applyBorder="1" applyAlignment="1">
      <alignment horizontal="left" vertical="center" wrapText="1" indent="1"/>
    </xf>
    <xf numFmtId="0" fontId="1" fillId="0" borderId="7" xfId="0" applyFont="1" applyFill="1" applyBorder="1" applyAlignment="1">
      <alignment horizontal="left" vertical="center" wrapText="1"/>
    </xf>
    <xf numFmtId="181" fontId="0" fillId="0" borderId="6" xfId="0" applyNumberFormat="1" applyFont="1" applyFill="1" applyBorder="1" applyAlignment="1">
      <alignment horizontal="right" vertical="center" wrapText="1" indent="1"/>
    </xf>
    <xf numFmtId="171" fontId="0" fillId="0" borderId="44" xfId="0" applyNumberFormat="1" applyFont="1" applyFill="1" applyBorder="1" applyAlignment="1">
      <alignment horizontal="right" vertical="center" wrapText="1" indent="1"/>
    </xf>
    <xf numFmtId="181" fontId="0" fillId="0" borderId="30" xfId="0" applyNumberFormat="1" applyFont="1" applyFill="1" applyBorder="1" applyAlignment="1">
      <alignment horizontal="right" vertical="center" wrapText="1" indent="1"/>
    </xf>
    <xf numFmtId="171" fontId="0" fillId="0" borderId="60" xfId="0" applyNumberFormat="1" applyFont="1" applyFill="1" applyBorder="1" applyAlignment="1">
      <alignment horizontal="right" vertical="center" wrapText="1" indent="1"/>
    </xf>
    <xf numFmtId="3" fontId="0" fillId="0" borderId="39" xfId="0" applyNumberFormat="1" applyFont="1" applyFill="1" applyBorder="1" applyAlignment="1">
      <alignment horizontal="center" vertical="center" wrapText="1"/>
    </xf>
    <xf numFmtId="3" fontId="0" fillId="0" borderId="52" xfId="0" applyNumberFormat="1" applyFont="1" applyFill="1" applyBorder="1" applyAlignment="1">
      <alignment horizontal="center" vertical="center" wrapText="1"/>
    </xf>
    <xf numFmtId="3" fontId="0" fillId="0" borderId="104" xfId="0" applyNumberFormat="1" applyFont="1" applyFill="1" applyBorder="1" applyAlignment="1">
      <alignment horizontal="center" vertical="center" wrapText="1"/>
    </xf>
    <xf numFmtId="3" fontId="0" fillId="0" borderId="51" xfId="0" applyNumberFormat="1" applyFont="1" applyFill="1" applyBorder="1" applyAlignment="1">
      <alignment horizontal="center" vertical="center" wrapText="1"/>
    </xf>
    <xf numFmtId="3" fontId="0" fillId="0" borderId="53" xfId="0" applyNumberFormat="1" applyFont="1" applyFill="1" applyBorder="1" applyAlignment="1">
      <alignment horizontal="center" vertical="center" wrapText="1"/>
    </xf>
    <xf numFmtId="166" fontId="0" fillId="0" borderId="121" xfId="0" applyNumberFormat="1" applyFont="1" applyFill="1" applyBorder="1" applyAlignment="1">
      <alignment horizontal="center" vertical="center" wrapText="1"/>
    </xf>
    <xf numFmtId="3" fontId="0" fillId="0" borderId="121" xfId="0" applyNumberFormat="1" applyFont="1" applyFill="1" applyBorder="1" applyAlignment="1">
      <alignment horizontal="center" vertical="center" wrapText="1"/>
    </xf>
    <xf numFmtId="0" fontId="0" fillId="0" borderId="47" xfId="0" applyFill="1" applyBorder="1" applyAlignment="1">
      <alignment horizontal="center"/>
    </xf>
    <xf numFmtId="0" fontId="0" fillId="0" borderId="9" xfId="0" applyFill="1" applyBorder="1" applyAlignment="1">
      <alignment horizontal="center"/>
    </xf>
    <xf numFmtId="2" fontId="0" fillId="0" borderId="37" xfId="0" applyNumberFormat="1" applyFont="1" applyFill="1" applyBorder="1" applyAlignment="1">
      <alignment horizontal="center" vertical="center" wrapText="1"/>
    </xf>
    <xf numFmtId="2" fontId="0" fillId="0" borderId="66" xfId="0" applyNumberFormat="1" applyFont="1" applyFill="1" applyBorder="1" applyAlignment="1">
      <alignment horizontal="center" vertical="center" wrapText="1"/>
    </xf>
    <xf numFmtId="2" fontId="0" fillId="0" borderId="63" xfId="0" applyNumberFormat="1" applyFont="1" applyFill="1" applyBorder="1" applyAlignment="1">
      <alignment horizontal="center" vertical="center" wrapText="1"/>
    </xf>
    <xf numFmtId="2" fontId="0" fillId="0" borderId="75" xfId="0" applyNumberFormat="1" applyFont="1" applyFill="1" applyBorder="1" applyAlignment="1">
      <alignment horizontal="center" vertical="center" wrapText="1"/>
    </xf>
    <xf numFmtId="2" fontId="0" fillId="0" borderId="138" xfId="0" applyNumberFormat="1" applyFont="1" applyFill="1" applyBorder="1" applyAlignment="1">
      <alignment horizontal="center" vertical="center" wrapText="1"/>
    </xf>
    <xf numFmtId="2" fontId="0" fillId="0" borderId="80" xfId="0" applyNumberFormat="1" applyFont="1" applyFill="1" applyBorder="1" applyAlignment="1">
      <alignment horizontal="center" vertical="center" wrapText="1"/>
    </xf>
    <xf numFmtId="1" fontId="0" fillId="0" borderId="26" xfId="0" applyNumberFormat="1" applyFont="1" applyFill="1" applyBorder="1" applyAlignment="1">
      <alignment horizontal="center" vertical="center" wrapText="1"/>
    </xf>
    <xf numFmtId="2" fontId="0" fillId="0" borderId="121" xfId="0" applyNumberFormat="1" applyFont="1" applyFill="1" applyBorder="1" applyAlignment="1">
      <alignment horizontal="center" vertical="center" wrapText="1"/>
    </xf>
    <xf numFmtId="189" fontId="0" fillId="0" borderId="122" xfId="0" applyNumberFormat="1" applyFont="1" applyFill="1" applyBorder="1" applyAlignment="1">
      <alignment horizontal="center" vertical="center" wrapText="1"/>
    </xf>
    <xf numFmtId="1" fontId="0" fillId="0" borderId="107" xfId="0" applyNumberFormat="1" applyFont="1" applyFill="1" applyBorder="1" applyAlignment="1">
      <alignment horizontal="right" vertical="center" wrapText="1" indent="1"/>
    </xf>
    <xf numFmtId="1" fontId="0" fillId="0" borderId="26" xfId="0" applyNumberFormat="1" applyFont="1" applyFill="1" applyBorder="1" applyAlignment="1">
      <alignment horizontal="right" vertical="center" wrapText="1" indent="1"/>
    </xf>
    <xf numFmtId="166" fontId="0" fillId="0" borderId="26" xfId="0" applyNumberFormat="1" applyFont="1" applyFill="1" applyBorder="1" applyAlignment="1">
      <alignment horizontal="right" vertical="center" wrapText="1" indent="1"/>
    </xf>
    <xf numFmtId="3" fontId="0" fillId="0" borderId="26" xfId="0" applyNumberFormat="1" applyFont="1" applyFill="1" applyBorder="1" applyAlignment="1">
      <alignment horizontal="right" vertical="center" wrapText="1" indent="1"/>
    </xf>
    <xf numFmtId="1" fontId="0" fillId="0" borderId="108" xfId="0" applyNumberFormat="1" applyFont="1" applyFill="1" applyBorder="1" applyAlignment="1">
      <alignment horizontal="right" vertical="center" wrapText="1" indent="1"/>
    </xf>
    <xf numFmtId="1" fontId="0" fillId="0" borderId="23" xfId="0" applyNumberFormat="1" applyFont="1" applyFill="1" applyBorder="1" applyAlignment="1">
      <alignment horizontal="right" vertical="center" wrapText="1" indent="1"/>
    </xf>
    <xf numFmtId="166" fontId="0" fillId="0" borderId="23" xfId="0" applyNumberFormat="1" applyFont="1" applyFill="1" applyBorder="1" applyAlignment="1">
      <alignment horizontal="right" vertical="center" wrapText="1" indent="1"/>
    </xf>
    <xf numFmtId="3" fontId="0" fillId="0" borderId="23" xfId="0" applyNumberFormat="1" applyFont="1" applyFill="1" applyBorder="1" applyAlignment="1">
      <alignment horizontal="right" vertical="center" wrapText="1" indent="1"/>
    </xf>
    <xf numFmtId="1" fontId="0" fillId="0" borderId="136" xfId="0" applyNumberFormat="1" applyFont="1" applyFill="1" applyBorder="1" applyAlignment="1">
      <alignment horizontal="right" vertical="center" wrapText="1" indent="1"/>
    </xf>
    <xf numFmtId="1" fontId="0" fillId="0" borderId="121" xfId="0" applyNumberFormat="1" applyFont="1" applyFill="1" applyBorder="1" applyAlignment="1">
      <alignment horizontal="right" vertical="center" wrapText="1" indent="1"/>
    </xf>
    <xf numFmtId="166" fontId="0" fillId="0" borderId="121" xfId="0" applyNumberFormat="1" applyFont="1" applyFill="1" applyBorder="1" applyAlignment="1">
      <alignment horizontal="right" vertical="center" wrapText="1" indent="1"/>
    </xf>
    <xf numFmtId="3" fontId="0" fillId="0" borderId="121" xfId="0" applyNumberFormat="1" applyFont="1" applyFill="1" applyBorder="1" applyAlignment="1">
      <alignment horizontal="right" vertical="center" wrapText="1" indent="1"/>
    </xf>
    <xf numFmtId="1" fontId="0" fillId="0" borderId="7" xfId="0" applyNumberFormat="1" applyFont="1" applyFill="1" applyBorder="1" applyAlignment="1">
      <alignment horizontal="right" vertical="center" wrapText="1" indent="1"/>
    </xf>
    <xf numFmtId="166" fontId="0" fillId="0" borderId="7" xfId="0" applyNumberFormat="1" applyFont="1" applyFill="1" applyBorder="1" applyAlignment="1">
      <alignment horizontal="right" vertical="center" wrapText="1" indent="1"/>
    </xf>
    <xf numFmtId="3" fontId="0" fillId="0" borderId="7" xfId="0" applyNumberFormat="1" applyFont="1" applyFill="1" applyBorder="1" applyAlignment="1">
      <alignment horizontal="right" vertical="center" wrapText="1" indent="1"/>
    </xf>
    <xf numFmtId="1" fontId="0" fillId="0" borderId="110" xfId="0" applyNumberFormat="1" applyFont="1" applyFill="1" applyBorder="1" applyAlignment="1">
      <alignment horizontal="right" vertical="center" wrapText="1" indent="1"/>
    </xf>
    <xf numFmtId="1" fontId="0" fillId="0" borderId="27" xfId="0" applyNumberFormat="1" applyFont="1" applyFill="1" applyBorder="1" applyAlignment="1">
      <alignment horizontal="right" vertical="center" wrapText="1" indent="1"/>
    </xf>
    <xf numFmtId="166" fontId="0" fillId="0" borderId="27" xfId="0" applyNumberFormat="1" applyFont="1" applyFill="1" applyBorder="1" applyAlignment="1">
      <alignment horizontal="right" vertical="center" wrapText="1" indent="1"/>
    </xf>
    <xf numFmtId="3" fontId="0" fillId="0" borderId="27" xfId="0" applyNumberFormat="1" applyFont="1" applyFill="1" applyBorder="1" applyAlignment="1">
      <alignment horizontal="right" vertical="center" wrapText="1" indent="1"/>
    </xf>
    <xf numFmtId="1" fontId="0" fillId="0" borderId="132" xfId="0" applyNumberFormat="1" applyFont="1" applyFill="1" applyBorder="1" applyAlignment="1">
      <alignment horizontal="right" vertical="center" wrapText="1" indent="1"/>
    </xf>
    <xf numFmtId="1" fontId="0" fillId="0" borderId="17" xfId="0" applyNumberFormat="1" applyFont="1" applyFill="1" applyBorder="1" applyAlignment="1">
      <alignment horizontal="right" vertical="center" wrapText="1" indent="1"/>
    </xf>
    <xf numFmtId="166" fontId="0" fillId="0" borderId="17" xfId="0" applyNumberFormat="1" applyFont="1" applyFill="1" applyBorder="1" applyAlignment="1">
      <alignment horizontal="right" vertical="center" wrapText="1" indent="1"/>
    </xf>
    <xf numFmtId="3" fontId="0" fillId="0" borderId="17" xfId="0" applyNumberFormat="1" applyFont="1" applyFill="1" applyBorder="1" applyAlignment="1">
      <alignment horizontal="right" vertical="center" wrapText="1" indent="1"/>
    </xf>
    <xf numFmtId="1" fontId="0" fillId="0" borderId="3" xfId="0" applyNumberFormat="1" applyFont="1" applyFill="1" applyBorder="1" applyAlignment="1">
      <alignment horizontal="right" vertical="center" wrapText="1" indent="1"/>
    </xf>
    <xf numFmtId="166" fontId="0" fillId="0" borderId="3" xfId="0" applyNumberFormat="1" applyFont="1" applyFill="1" applyBorder="1" applyAlignment="1">
      <alignment horizontal="right" vertical="center" wrapText="1" indent="1"/>
    </xf>
    <xf numFmtId="3" fontId="0" fillId="0" borderId="3" xfId="0" applyNumberFormat="1" applyFont="1" applyFill="1" applyBorder="1" applyAlignment="1">
      <alignment horizontal="right" vertical="center" wrapText="1" indent="1"/>
    </xf>
    <xf numFmtId="2" fontId="0" fillId="0" borderId="3" xfId="0" applyNumberFormat="1" applyFont="1" applyFill="1" applyBorder="1" applyAlignment="1">
      <alignment horizontal="right" vertical="center" wrapText="1" indent="1"/>
    </xf>
    <xf numFmtId="0" fontId="1" fillId="0" borderId="12" xfId="0" applyFont="1" applyFill="1" applyBorder="1" applyAlignment="1">
      <alignment horizontal="left" vertical="center" wrapText="1"/>
    </xf>
    <xf numFmtId="0" fontId="0" fillId="0" borderId="12" xfId="0" applyFont="1" applyFill="1" applyBorder="1" applyAlignment="1">
      <alignment horizontal="right" vertical="center" wrapText="1" indent="1"/>
    </xf>
    <xf numFmtId="192" fontId="0" fillId="0" borderId="12" xfId="0" applyNumberFormat="1" applyFont="1" applyFill="1" applyBorder="1" applyAlignment="1">
      <alignment horizontal="left" vertical="center" wrapText="1" indent="1"/>
    </xf>
    <xf numFmtId="171" fontId="0" fillId="0" borderId="11" xfId="0" applyNumberFormat="1" applyFont="1" applyFill="1" applyBorder="1" applyAlignment="1">
      <alignment horizontal="left" vertical="center" wrapText="1" indent="1"/>
    </xf>
    <xf numFmtId="171" fontId="0" fillId="0" borderId="36" xfId="0" applyNumberFormat="1" applyFont="1" applyFill="1" applyBorder="1" applyAlignment="1">
      <alignment horizontal="left" vertical="center" wrapText="1" indent="1"/>
    </xf>
    <xf numFmtId="0" fontId="13" fillId="0" borderId="40" xfId="0" applyFont="1" applyFill="1" applyBorder="1" applyAlignment="1">
      <alignment horizontal="center" vertical="center" wrapText="1"/>
    </xf>
    <xf numFmtId="3" fontId="0" fillId="0" borderId="56" xfId="0" applyNumberFormat="1" applyFont="1" applyFill="1" applyBorder="1" applyAlignment="1">
      <alignment horizontal="center" vertical="center" wrapText="1"/>
    </xf>
    <xf numFmtId="0" fontId="1" fillId="0" borderId="121" xfId="0" applyFont="1" applyFill="1" applyBorder="1" applyAlignment="1">
      <alignment horizontal="left" vertical="center" wrapText="1" indent="1"/>
    </xf>
    <xf numFmtId="0" fontId="1" fillId="0" borderId="121" xfId="0" applyFont="1" applyFill="1" applyBorder="1" applyAlignment="1">
      <alignment horizontal="left" vertical="center" wrapText="1"/>
    </xf>
    <xf numFmtId="0" fontId="0" fillId="0" borderId="121" xfId="0" applyFont="1" applyFill="1" applyBorder="1" applyAlignment="1">
      <alignment horizontal="right" vertical="center" wrapText="1" indent="1"/>
    </xf>
    <xf numFmtId="192" fontId="0" fillId="0" borderId="121" xfId="0" applyNumberFormat="1" applyFont="1" applyFill="1" applyBorder="1" applyAlignment="1">
      <alignment horizontal="left" vertical="center" wrapText="1" indent="1"/>
    </xf>
    <xf numFmtId="0" fontId="0" fillId="0" borderId="121" xfId="0" applyFont="1" applyFill="1" applyBorder="1" applyAlignment="1">
      <alignment horizontal="left" vertical="center" wrapText="1" indent="1"/>
    </xf>
    <xf numFmtId="171" fontId="0" fillId="0" borderId="133" xfId="0" applyNumberFormat="1" applyFont="1" applyFill="1" applyBorder="1" applyAlignment="1">
      <alignment horizontal="left" vertical="center" wrapText="1" indent="1"/>
    </xf>
    <xf numFmtId="171" fontId="0" fillId="0" borderId="122" xfId="0" applyNumberFormat="1" applyFont="1" applyFill="1" applyBorder="1" applyAlignment="1">
      <alignment horizontal="left" vertical="center" wrapText="1" indent="1"/>
    </xf>
    <xf numFmtId="0" fontId="0" fillId="0" borderId="121" xfId="0" applyFont="1" applyFill="1" applyBorder="1" applyAlignment="1">
      <alignment horizontal="center" vertical="center" wrapText="1"/>
    </xf>
    <xf numFmtId="0" fontId="0" fillId="0" borderId="122" xfId="0" applyFont="1" applyFill="1" applyBorder="1" applyAlignment="1">
      <alignment horizontal="center" vertical="center" wrapText="1"/>
    </xf>
    <xf numFmtId="171" fontId="0" fillId="0" borderId="116" xfId="0" applyNumberFormat="1" applyFont="1" applyFill="1" applyBorder="1" applyAlignment="1">
      <alignment horizontal="left" vertical="center" wrapText="1" indent="1"/>
    </xf>
    <xf numFmtId="0" fontId="0" fillId="0" borderId="0" xfId="0" applyFill="1"/>
    <xf numFmtId="0" fontId="9" fillId="23" borderId="0" xfId="0" applyFont="1" applyFill="1" applyAlignment="1">
      <alignment horizontal="center"/>
    </xf>
    <xf numFmtId="0" fontId="0" fillId="0" borderId="0" xfId="0" applyFill="1" applyBorder="1" applyAlignment="1"/>
    <xf numFmtId="0" fontId="0" fillId="0" borderId="59" xfId="0" applyFill="1" applyBorder="1" applyAlignment="1">
      <alignment horizontal="center" vertical="center" wrapText="1"/>
    </xf>
    <xf numFmtId="0" fontId="0" fillId="0" borderId="52" xfId="0" applyFill="1" applyBorder="1" applyAlignment="1">
      <alignment horizontal="center" vertical="center" wrapText="1"/>
    </xf>
    <xf numFmtId="166" fontId="0" fillId="12" borderId="52" xfId="0" applyNumberFormat="1" applyFont="1" applyFill="1" applyBorder="1" applyAlignment="1">
      <alignment horizontal="left" vertical="center" wrapText="1" indent="1"/>
    </xf>
    <xf numFmtId="166" fontId="0" fillId="12" borderId="23" xfId="0" applyNumberFormat="1" applyFont="1" applyFill="1" applyBorder="1" applyAlignment="1">
      <alignment horizontal="left" vertical="center" wrapText="1" indent="1"/>
    </xf>
    <xf numFmtId="166" fontId="0" fillId="12" borderId="34" xfId="0" applyNumberFormat="1" applyFont="1" applyFill="1" applyBorder="1" applyAlignment="1">
      <alignment horizontal="left" vertical="center" wrapText="1" indent="1"/>
    </xf>
    <xf numFmtId="166" fontId="0" fillId="12" borderId="53" xfId="0" applyNumberFormat="1" applyFont="1" applyFill="1" applyBorder="1" applyAlignment="1">
      <alignment horizontal="left" vertical="center" wrapText="1" indent="1"/>
    </xf>
    <xf numFmtId="166" fontId="0" fillId="12" borderId="27" xfId="0" applyNumberFormat="1" applyFont="1" applyFill="1" applyBorder="1" applyAlignment="1">
      <alignment horizontal="left" vertical="center" wrapText="1" indent="1"/>
    </xf>
    <xf numFmtId="166" fontId="0" fillId="12" borderId="60" xfId="0" applyNumberFormat="1" applyFont="1" applyFill="1" applyBorder="1" applyAlignment="1">
      <alignment horizontal="left" vertical="center" wrapText="1" indent="1"/>
    </xf>
    <xf numFmtId="166" fontId="1" fillId="12" borderId="53" xfId="0" applyNumberFormat="1" applyFont="1" applyFill="1" applyBorder="1" applyAlignment="1">
      <alignment horizontal="left" vertical="center" wrapText="1" indent="1"/>
    </xf>
    <xf numFmtId="166" fontId="1" fillId="12" borderId="27" xfId="0" applyNumberFormat="1" applyFont="1" applyFill="1" applyBorder="1" applyAlignment="1">
      <alignment horizontal="left" vertical="center" wrapText="1" indent="1"/>
    </xf>
    <xf numFmtId="166" fontId="1" fillId="12" borderId="60" xfId="0" applyNumberFormat="1" applyFont="1" applyFill="1" applyBorder="1" applyAlignment="1">
      <alignment horizontal="left" vertical="center" wrapText="1" indent="1"/>
    </xf>
    <xf numFmtId="1" fontId="0" fillId="12" borderId="23" xfId="0" applyNumberFormat="1" applyFont="1" applyFill="1" applyBorder="1" applyAlignment="1">
      <alignment horizontal="center" vertical="center" wrapText="1"/>
    </xf>
    <xf numFmtId="1" fontId="0" fillId="12" borderId="27" xfId="0" applyNumberFormat="1" applyFont="1" applyFill="1" applyBorder="1" applyAlignment="1">
      <alignment horizontal="center" vertical="center" wrapText="1"/>
    </xf>
    <xf numFmtId="1" fontId="1" fillId="12" borderId="27" xfId="0" applyNumberFormat="1" applyFont="1" applyFill="1" applyBorder="1" applyAlignment="1">
      <alignment horizontal="center" vertical="center" wrapText="1"/>
    </xf>
    <xf numFmtId="1" fontId="1" fillId="15" borderId="154" xfId="0" applyNumberFormat="1" applyFont="1" applyFill="1" applyBorder="1" applyAlignment="1">
      <alignment horizontal="center" vertical="center" wrapText="1"/>
    </xf>
    <xf numFmtId="183" fontId="0" fillId="0" borderId="150" xfId="0" applyNumberFormat="1" applyFill="1" applyBorder="1" applyAlignment="1">
      <alignment horizontal="left" vertical="center" wrapText="1" indent="1"/>
    </xf>
    <xf numFmtId="4" fontId="0" fillId="0" borderId="150" xfId="0" applyNumberFormat="1" applyFill="1" applyBorder="1" applyAlignment="1">
      <alignment horizontal="center" vertical="center" wrapText="1"/>
    </xf>
    <xf numFmtId="183" fontId="0" fillId="0" borderId="151" xfId="0" applyNumberFormat="1" applyFill="1" applyBorder="1" applyAlignment="1">
      <alignment horizontal="left" vertical="center" wrapText="1" indent="1"/>
    </xf>
    <xf numFmtId="166" fontId="4" fillId="0" borderId="148" xfId="0" applyNumberFormat="1" applyFont="1" applyFill="1" applyBorder="1" applyAlignment="1">
      <alignment horizontal="left" vertical="center" wrapText="1" indent="1"/>
    </xf>
    <xf numFmtId="166" fontId="4" fillId="0" borderId="149" xfId="0" applyNumberFormat="1" applyFont="1" applyFill="1" applyBorder="1" applyAlignment="1">
      <alignment horizontal="left" vertical="center" wrapText="1" indent="1"/>
    </xf>
    <xf numFmtId="166" fontId="4" fillId="0" borderId="151" xfId="0" applyNumberFormat="1" applyFont="1" applyFill="1" applyBorder="1" applyAlignment="1">
      <alignment horizontal="left" vertical="center" wrapText="1" indent="1"/>
    </xf>
    <xf numFmtId="183" fontId="0" fillId="0" borderId="154" xfId="0" applyNumberFormat="1" applyFill="1" applyBorder="1" applyAlignment="1">
      <alignment horizontal="left" vertical="center" wrapText="1" indent="1"/>
    </xf>
    <xf numFmtId="4" fontId="0" fillId="0" borderId="154" xfId="0" applyNumberFormat="1" applyFill="1" applyBorder="1" applyAlignment="1">
      <alignment horizontal="center" vertical="center" wrapText="1"/>
    </xf>
    <xf numFmtId="183" fontId="0" fillId="0" borderId="155" xfId="0" applyNumberFormat="1" applyFill="1" applyBorder="1" applyAlignment="1">
      <alignment horizontal="left" vertical="center" wrapText="1" indent="1"/>
    </xf>
    <xf numFmtId="166" fontId="4" fillId="0" borderId="152" xfId="0" applyNumberFormat="1" applyFont="1" applyFill="1" applyBorder="1" applyAlignment="1">
      <alignment horizontal="left" vertical="center" wrapText="1" indent="1"/>
    </xf>
    <xf numFmtId="166" fontId="4" fillId="0" borderId="153" xfId="0" applyNumberFormat="1" applyFont="1" applyFill="1" applyBorder="1" applyAlignment="1">
      <alignment horizontal="left" vertical="center" wrapText="1" indent="1"/>
    </xf>
    <xf numFmtId="166" fontId="4" fillId="0" borderId="155" xfId="0" applyNumberFormat="1" applyFont="1" applyFill="1" applyBorder="1" applyAlignment="1">
      <alignment horizontal="left" vertical="center" wrapText="1" indent="1"/>
    </xf>
    <xf numFmtId="183" fontId="0" fillId="0" borderId="148" xfId="0" applyNumberFormat="1" applyFill="1" applyBorder="1" applyAlignment="1">
      <alignment horizontal="left" vertical="center" wrapText="1" indent="1"/>
    </xf>
    <xf numFmtId="183" fontId="0" fillId="0" borderId="149" xfId="0" applyNumberFormat="1" applyFill="1" applyBorder="1" applyAlignment="1">
      <alignment horizontal="left" vertical="center" wrapText="1" indent="1"/>
    </xf>
    <xf numFmtId="183" fontId="0" fillId="0" borderId="152" xfId="0" applyNumberFormat="1" applyFill="1" applyBorder="1" applyAlignment="1">
      <alignment horizontal="left" vertical="center" wrapText="1" indent="1"/>
    </xf>
    <xf numFmtId="183" fontId="0" fillId="0" borderId="153" xfId="0" applyNumberFormat="1" applyFill="1" applyBorder="1" applyAlignment="1">
      <alignment horizontal="left" vertical="center" wrapText="1" indent="1"/>
    </xf>
    <xf numFmtId="183" fontId="0" fillId="12" borderId="127" xfId="0" applyNumberFormat="1" applyFill="1" applyBorder="1" applyAlignment="1">
      <alignment vertical="center" wrapText="1"/>
    </xf>
    <xf numFmtId="183" fontId="0" fillId="12" borderId="181" xfId="0" applyNumberFormat="1" applyFill="1" applyBorder="1" applyAlignment="1">
      <alignment vertical="center" wrapText="1"/>
    </xf>
    <xf numFmtId="183" fontId="0" fillId="12" borderId="183" xfId="0" applyNumberFormat="1" applyFill="1" applyBorder="1" applyAlignment="1">
      <alignment vertical="center" wrapText="1"/>
    </xf>
    <xf numFmtId="166" fontId="0" fillId="12" borderId="127" xfId="0" applyNumberFormat="1" applyFont="1" applyFill="1" applyBorder="1" applyAlignment="1">
      <alignment horizontal="left" vertical="center" wrapText="1" indent="1"/>
    </xf>
    <xf numFmtId="166" fontId="0" fillId="12" borderId="181" xfId="0" applyNumberFormat="1" applyFont="1" applyFill="1" applyBorder="1" applyAlignment="1">
      <alignment horizontal="left" vertical="center" wrapText="1" indent="1"/>
    </xf>
    <xf numFmtId="1" fontId="0" fillId="12" borderId="181" xfId="0" applyNumberFormat="1" applyFont="1" applyFill="1" applyBorder="1" applyAlignment="1">
      <alignment horizontal="center" vertical="center" wrapText="1"/>
    </xf>
    <xf numFmtId="166" fontId="0" fillId="12" borderId="183" xfId="0" applyNumberFormat="1" applyFont="1" applyFill="1" applyBorder="1" applyAlignment="1">
      <alignment horizontal="left" vertical="center" wrapText="1" indent="1"/>
    </xf>
    <xf numFmtId="183" fontId="0" fillId="12" borderId="126" xfId="0" applyNumberFormat="1" applyFill="1" applyBorder="1" applyAlignment="1">
      <alignment vertical="center" wrapText="1"/>
    </xf>
    <xf numFmtId="166" fontId="0" fillId="12" borderId="127" xfId="0" applyNumberFormat="1" applyFill="1" applyBorder="1" applyAlignment="1">
      <alignment horizontal="left" vertical="center" wrapText="1" indent="1"/>
    </xf>
    <xf numFmtId="166" fontId="0" fillId="12" borderId="126" xfId="0" applyNumberFormat="1" applyFill="1" applyBorder="1" applyAlignment="1">
      <alignment horizontal="left" vertical="center" wrapText="1" indent="1"/>
    </xf>
    <xf numFmtId="166" fontId="0" fillId="12" borderId="183" xfId="0" applyNumberFormat="1" applyFill="1" applyBorder="1" applyAlignment="1">
      <alignment horizontal="left" vertical="center" wrapText="1" indent="1"/>
    </xf>
    <xf numFmtId="166" fontId="57" fillId="12" borderId="181" xfId="0" applyNumberFormat="1" applyFont="1" applyFill="1" applyBorder="1" applyAlignment="1">
      <alignment horizontal="right" vertical="center" wrapText="1" indent="1"/>
    </xf>
    <xf numFmtId="166" fontId="56" fillId="12" borderId="185" xfId="0" applyNumberFormat="1" applyFont="1" applyFill="1" applyBorder="1" applyAlignment="1">
      <alignment horizontal="right" vertical="center" wrapText="1" indent="1"/>
    </xf>
    <xf numFmtId="183" fontId="56" fillId="12" borderId="126" xfId="0" applyNumberFormat="1" applyFont="1" applyFill="1" applyBorder="1" applyAlignment="1">
      <alignment horizontal="right" vertical="center" wrapText="1" indent="1"/>
    </xf>
    <xf numFmtId="183" fontId="0" fillId="12" borderId="182" xfId="0" applyNumberFormat="1" applyFill="1" applyBorder="1" applyAlignment="1">
      <alignment horizontal="right" vertical="center" wrapText="1" indent="1"/>
    </xf>
    <xf numFmtId="183" fontId="56" fillId="12" borderId="181" xfId="0" applyNumberFormat="1" applyFont="1" applyFill="1" applyBorder="1" applyAlignment="1">
      <alignment horizontal="right" vertical="center" wrapText="1" indent="1"/>
    </xf>
    <xf numFmtId="183" fontId="56" fillId="12" borderId="185" xfId="0" applyNumberFormat="1" applyFont="1" applyFill="1" applyBorder="1" applyAlignment="1">
      <alignment horizontal="right" vertical="center" wrapText="1" indent="1"/>
    </xf>
    <xf numFmtId="183" fontId="13" fillId="12" borderId="182" xfId="0" applyNumberFormat="1" applyFont="1" applyFill="1" applyBorder="1" applyAlignment="1">
      <alignment horizontal="right" vertical="center" wrapText="1" indent="1"/>
    </xf>
    <xf numFmtId="183" fontId="0" fillId="12" borderId="187" xfId="0" applyNumberFormat="1" applyFill="1" applyBorder="1" applyAlignment="1">
      <alignment vertical="center" wrapText="1"/>
    </xf>
    <xf numFmtId="183" fontId="0" fillId="12" borderId="117" xfId="0" applyNumberFormat="1" applyFill="1" applyBorder="1" applyAlignment="1">
      <alignment vertical="center" wrapText="1"/>
    </xf>
    <xf numFmtId="183" fontId="0" fillId="12" borderId="189" xfId="0" applyNumberFormat="1" applyFill="1" applyBorder="1" applyAlignment="1">
      <alignment vertical="center" wrapText="1"/>
    </xf>
    <xf numFmtId="166" fontId="0" fillId="12" borderId="187" xfId="0" applyNumberFormat="1" applyFont="1" applyFill="1" applyBorder="1" applyAlignment="1">
      <alignment horizontal="left" vertical="center" wrapText="1" indent="1"/>
    </xf>
    <xf numFmtId="166" fontId="0" fillId="12" borderId="117" xfId="0" applyNumberFormat="1" applyFont="1" applyFill="1" applyBorder="1" applyAlignment="1">
      <alignment horizontal="left" vertical="center" wrapText="1" indent="1"/>
    </xf>
    <xf numFmtId="1" fontId="0" fillId="12" borderId="117" xfId="0" applyNumberFormat="1" applyFont="1" applyFill="1" applyBorder="1" applyAlignment="1">
      <alignment horizontal="center" vertical="center" wrapText="1"/>
    </xf>
    <xf numFmtId="166" fontId="0" fillId="12" borderId="189" xfId="0" applyNumberFormat="1" applyFont="1" applyFill="1" applyBorder="1" applyAlignment="1">
      <alignment horizontal="left" vertical="center" wrapText="1" indent="1"/>
    </xf>
    <xf numFmtId="183" fontId="0" fillId="12" borderId="190" xfId="0" applyNumberFormat="1" applyFill="1" applyBorder="1" applyAlignment="1">
      <alignment vertical="center" wrapText="1"/>
    </xf>
    <xf numFmtId="166" fontId="0" fillId="12" borderId="187" xfId="0" applyNumberFormat="1" applyFill="1" applyBorder="1" applyAlignment="1">
      <alignment horizontal="left" vertical="center" wrapText="1" indent="1"/>
    </xf>
    <xf numFmtId="166" fontId="0" fillId="12" borderId="190" xfId="0" applyNumberFormat="1" applyFill="1" applyBorder="1" applyAlignment="1">
      <alignment horizontal="left" vertical="center" wrapText="1" indent="1"/>
    </xf>
    <xf numFmtId="166" fontId="0" fillId="12" borderId="189" xfId="0" applyNumberFormat="1" applyFill="1" applyBorder="1" applyAlignment="1">
      <alignment horizontal="left" vertical="center" wrapText="1" indent="1"/>
    </xf>
    <xf numFmtId="166" fontId="57" fillId="12" borderId="117" xfId="0" applyNumberFormat="1" applyFont="1" applyFill="1" applyBorder="1" applyAlignment="1">
      <alignment horizontal="right" vertical="center" wrapText="1" indent="1"/>
    </xf>
    <xf numFmtId="166" fontId="56" fillId="12" borderId="192" xfId="0" applyNumberFormat="1" applyFont="1" applyFill="1" applyBorder="1" applyAlignment="1">
      <alignment horizontal="right" vertical="center" wrapText="1" indent="1"/>
    </xf>
    <xf numFmtId="183" fontId="56" fillId="12" borderId="190" xfId="0" applyNumberFormat="1" applyFont="1" applyFill="1" applyBorder="1" applyAlignment="1">
      <alignment horizontal="right" vertical="center" wrapText="1" indent="1"/>
    </xf>
    <xf numFmtId="183" fontId="0" fillId="12" borderId="188" xfId="0" applyNumberFormat="1" applyFill="1" applyBorder="1" applyAlignment="1">
      <alignment horizontal="right" vertical="center" wrapText="1" indent="1"/>
    </xf>
    <xf numFmtId="183" fontId="56" fillId="12" borderId="117" xfId="0" applyNumberFormat="1" applyFont="1" applyFill="1" applyBorder="1" applyAlignment="1">
      <alignment horizontal="right" vertical="center" wrapText="1" indent="1"/>
    </xf>
    <xf numFmtId="183" fontId="56" fillId="12" borderId="192" xfId="0" applyNumberFormat="1" applyFont="1" applyFill="1" applyBorder="1" applyAlignment="1">
      <alignment horizontal="right" vertical="center" wrapText="1" indent="1"/>
    </xf>
    <xf numFmtId="183" fontId="13" fillId="12" borderId="188" xfId="0" applyNumberFormat="1" applyFont="1" applyFill="1" applyBorder="1" applyAlignment="1">
      <alignment horizontal="right" vertical="center" wrapText="1" indent="1"/>
    </xf>
    <xf numFmtId="183" fontId="13" fillId="12" borderId="189" xfId="0" applyNumberFormat="1" applyFont="1" applyFill="1" applyBorder="1" applyAlignment="1">
      <alignment horizontal="right" vertical="center" wrapText="1" indent="1"/>
    </xf>
    <xf numFmtId="0" fontId="0" fillId="0" borderId="0" xfId="0" applyFill="1" applyBorder="1"/>
    <xf numFmtId="0" fontId="0" fillId="0" borderId="0" xfId="0" applyFill="1"/>
    <xf numFmtId="0" fontId="61" fillId="0" borderId="56" xfId="0" applyFont="1" applyFill="1" applyBorder="1" applyAlignment="1">
      <alignment horizontal="center" vertical="center" wrapText="1"/>
    </xf>
    <xf numFmtId="0" fontId="61" fillId="0" borderId="57" xfId="0" applyFont="1" applyFill="1" applyBorder="1" applyAlignment="1">
      <alignment horizontal="center" vertical="center" wrapText="1"/>
    </xf>
    <xf numFmtId="166" fontId="1" fillId="0" borderId="152" xfId="0" applyNumberFormat="1" applyFont="1" applyFill="1" applyBorder="1" applyAlignment="1">
      <alignment horizontal="left" vertical="center" wrapText="1" indent="1"/>
    </xf>
    <xf numFmtId="166" fontId="1" fillId="0" borderId="154" xfId="0" applyNumberFormat="1" applyFont="1" applyFill="1" applyBorder="1" applyAlignment="1">
      <alignment horizontal="left" vertical="center" wrapText="1" indent="1"/>
    </xf>
    <xf numFmtId="1" fontId="1" fillId="0" borderId="154" xfId="0" applyNumberFormat="1" applyFont="1" applyFill="1" applyBorder="1" applyAlignment="1">
      <alignment horizontal="center" vertical="center" wrapText="1"/>
    </xf>
    <xf numFmtId="166" fontId="1" fillId="0" borderId="155" xfId="0" applyNumberFormat="1" applyFont="1" applyFill="1" applyBorder="1" applyAlignment="1">
      <alignment horizontal="left" vertical="center" wrapText="1" indent="1"/>
    </xf>
    <xf numFmtId="1" fontId="1" fillId="24" borderId="154" xfId="0" applyNumberFormat="1" applyFont="1" applyFill="1" applyBorder="1" applyAlignment="1">
      <alignment horizontal="center" vertical="center" wrapText="1"/>
    </xf>
    <xf numFmtId="166" fontId="1" fillId="24" borderId="152" xfId="0" applyNumberFormat="1" applyFont="1" applyFill="1" applyBorder="1" applyAlignment="1">
      <alignment horizontal="left" vertical="center" wrapText="1" indent="1"/>
    </xf>
    <xf numFmtId="166" fontId="1" fillId="24" borderId="154" xfId="0" applyNumberFormat="1" applyFont="1" applyFill="1" applyBorder="1" applyAlignment="1">
      <alignment horizontal="left" vertical="center" wrapText="1" indent="1"/>
    </xf>
    <xf numFmtId="166" fontId="1" fillId="24" borderId="155" xfId="0" applyNumberFormat="1" applyFont="1" applyFill="1" applyBorder="1" applyAlignment="1">
      <alignment horizontal="left" vertical="center" wrapText="1" indent="1"/>
    </xf>
    <xf numFmtId="166" fontId="1" fillId="24" borderId="42" xfId="0" applyNumberFormat="1" applyFont="1" applyFill="1" applyBorder="1" applyAlignment="1">
      <alignment horizontal="left" vertical="center" wrapText="1" indent="1"/>
    </xf>
    <xf numFmtId="166" fontId="1" fillId="25" borderId="174" xfId="0" applyNumberFormat="1" applyFont="1" applyFill="1" applyBorder="1" applyAlignment="1">
      <alignment horizontal="left" vertical="center" wrapText="1" indent="1"/>
    </xf>
    <xf numFmtId="166" fontId="1" fillId="25" borderId="175" xfId="0" applyNumberFormat="1" applyFont="1" applyFill="1" applyBorder="1" applyAlignment="1">
      <alignment horizontal="left" vertical="center" wrapText="1" indent="1"/>
    </xf>
    <xf numFmtId="1" fontId="1" fillId="25" borderId="175" xfId="0" applyNumberFormat="1" applyFont="1" applyFill="1" applyBorder="1" applyAlignment="1">
      <alignment horizontal="center" vertical="center" wrapText="1"/>
    </xf>
    <xf numFmtId="166" fontId="1" fillId="25" borderId="176" xfId="0" applyNumberFormat="1" applyFont="1" applyFill="1" applyBorder="1" applyAlignment="1">
      <alignment horizontal="left" vertical="center" wrapText="1" indent="1"/>
    </xf>
    <xf numFmtId="166" fontId="1" fillId="25" borderId="148" xfId="0" applyNumberFormat="1" applyFont="1" applyFill="1" applyBorder="1" applyAlignment="1">
      <alignment horizontal="left" vertical="center" wrapText="1" indent="1"/>
    </xf>
    <xf numFmtId="166" fontId="1" fillId="25" borderId="150" xfId="0" applyNumberFormat="1" applyFont="1" applyFill="1" applyBorder="1" applyAlignment="1">
      <alignment horizontal="left" vertical="center" wrapText="1" indent="1"/>
    </xf>
    <xf numFmtId="1" fontId="1" fillId="25" borderId="150" xfId="0" applyNumberFormat="1" applyFont="1" applyFill="1" applyBorder="1" applyAlignment="1">
      <alignment horizontal="center" vertical="center" wrapText="1"/>
    </xf>
    <xf numFmtId="166" fontId="1" fillId="25" borderId="151" xfId="0" applyNumberFormat="1" applyFont="1" applyFill="1" applyBorder="1" applyAlignment="1">
      <alignment horizontal="left" vertical="center" wrapText="1" indent="1"/>
    </xf>
    <xf numFmtId="166" fontId="1" fillId="25" borderId="152" xfId="0" applyNumberFormat="1" applyFont="1" applyFill="1" applyBorder="1" applyAlignment="1">
      <alignment horizontal="left" vertical="center" wrapText="1" indent="1"/>
    </xf>
    <xf numFmtId="166" fontId="1" fillId="25" borderId="154" xfId="0" applyNumberFormat="1" applyFont="1" applyFill="1" applyBorder="1" applyAlignment="1">
      <alignment horizontal="left" vertical="center" wrapText="1" indent="1"/>
    </xf>
    <xf numFmtId="1" fontId="1" fillId="25" borderId="154" xfId="0" applyNumberFormat="1" applyFont="1" applyFill="1" applyBorder="1" applyAlignment="1">
      <alignment horizontal="center" vertical="center" wrapText="1"/>
    </xf>
    <xf numFmtId="166" fontId="1" fillId="25" borderId="155" xfId="0" applyNumberFormat="1" applyFont="1" applyFill="1" applyBorder="1" applyAlignment="1">
      <alignment horizontal="left" vertical="center" wrapText="1" indent="1"/>
    </xf>
    <xf numFmtId="166" fontId="0" fillId="25" borderId="52" xfId="0" applyNumberFormat="1" applyFont="1" applyFill="1" applyBorder="1" applyAlignment="1">
      <alignment horizontal="left" vertical="center" wrapText="1" indent="1"/>
    </xf>
    <xf numFmtId="166" fontId="0" fillId="25" borderId="23" xfId="0" applyNumberFormat="1" applyFont="1" applyFill="1" applyBorder="1" applyAlignment="1">
      <alignment horizontal="left" vertical="center" wrapText="1" indent="1"/>
    </xf>
    <xf numFmtId="1" fontId="0" fillId="25" borderId="23" xfId="0" applyNumberFormat="1" applyFont="1" applyFill="1" applyBorder="1" applyAlignment="1">
      <alignment horizontal="center" vertical="center" wrapText="1"/>
    </xf>
    <xf numFmtId="166" fontId="0" fillId="25" borderId="34" xfId="0" applyNumberFormat="1" applyFont="1" applyFill="1" applyBorder="1" applyAlignment="1">
      <alignment horizontal="left" vertical="center" wrapText="1" indent="1"/>
    </xf>
    <xf numFmtId="0" fontId="61" fillId="25" borderId="57" xfId="0" applyFont="1" applyFill="1" applyBorder="1" applyAlignment="1">
      <alignment horizontal="center" vertical="center" wrapText="1"/>
    </xf>
    <xf numFmtId="183" fontId="4" fillId="25" borderId="174" xfId="0" applyNumberFormat="1" applyFont="1" applyFill="1" applyBorder="1" applyAlignment="1">
      <alignment horizontal="left" vertical="center" wrapText="1" indent="1"/>
    </xf>
    <xf numFmtId="183" fontId="1" fillId="25" borderId="177" xfId="0" applyNumberFormat="1" applyFont="1" applyFill="1" applyBorder="1" applyAlignment="1">
      <alignment horizontal="left" vertical="center" wrapText="1" indent="1"/>
    </xf>
    <xf numFmtId="183" fontId="0" fillId="25" borderId="52" xfId="0" applyNumberFormat="1" applyFill="1" applyBorder="1" applyAlignment="1">
      <alignment vertical="center" wrapText="1"/>
    </xf>
    <xf numFmtId="183" fontId="0" fillId="25" borderId="116" xfId="0" applyNumberFormat="1" applyFill="1" applyBorder="1" applyAlignment="1">
      <alignment vertical="center" wrapText="1"/>
    </xf>
    <xf numFmtId="183" fontId="0" fillId="25" borderId="23" xfId="0" applyNumberFormat="1" applyFill="1" applyBorder="1" applyAlignment="1">
      <alignment vertical="center" wrapText="1"/>
    </xf>
    <xf numFmtId="183" fontId="0" fillId="25" borderId="34" xfId="0" applyNumberFormat="1" applyFill="1" applyBorder="1" applyAlignment="1">
      <alignment vertical="center" wrapText="1"/>
    </xf>
    <xf numFmtId="166" fontId="0" fillId="25" borderId="52" xfId="0" applyNumberFormat="1" applyFill="1" applyBorder="1" applyAlignment="1">
      <alignment horizontal="left" vertical="center" wrapText="1" indent="1"/>
    </xf>
    <xf numFmtId="166" fontId="0" fillId="25" borderId="116" xfId="0" applyNumberFormat="1" applyFill="1" applyBorder="1" applyAlignment="1">
      <alignment horizontal="left" vertical="center" wrapText="1" indent="1"/>
    </xf>
    <xf numFmtId="166" fontId="0" fillId="25" borderId="34" xfId="0" applyNumberFormat="1" applyFill="1" applyBorder="1" applyAlignment="1">
      <alignment horizontal="left" vertical="center" wrapText="1" indent="1"/>
    </xf>
    <xf numFmtId="183" fontId="0" fillId="25" borderId="52" xfId="0" applyNumberFormat="1" applyFill="1" applyBorder="1" applyAlignment="1">
      <alignment horizontal="right" vertical="center" wrapText="1" indent="1"/>
    </xf>
    <xf numFmtId="183" fontId="0" fillId="25" borderId="23" xfId="0" applyNumberFormat="1" applyFill="1" applyBorder="1" applyAlignment="1">
      <alignment horizontal="right" vertical="center" wrapText="1" indent="1"/>
    </xf>
    <xf numFmtId="183" fontId="0" fillId="25" borderId="34" xfId="0" applyNumberFormat="1" applyFill="1" applyBorder="1" applyAlignment="1">
      <alignment horizontal="right" vertical="center" wrapText="1" indent="1"/>
    </xf>
    <xf numFmtId="183" fontId="0" fillId="25" borderId="69" xfId="0" applyNumberFormat="1" applyFill="1" applyBorder="1" applyAlignment="1">
      <alignment horizontal="right" vertical="center" wrapText="1" indent="1"/>
    </xf>
    <xf numFmtId="183" fontId="0" fillId="25" borderId="26" xfId="0" applyNumberFormat="1" applyFill="1" applyBorder="1" applyAlignment="1">
      <alignment horizontal="left" vertical="center" wrapText="1" indent="1"/>
    </xf>
    <xf numFmtId="183" fontId="0" fillId="25" borderId="33" xfId="0" applyNumberFormat="1" applyFill="1" applyBorder="1" applyAlignment="1">
      <alignment horizontal="left" vertical="center" wrapText="1" indent="1"/>
    </xf>
    <xf numFmtId="166" fontId="28" fillId="25" borderId="51" xfId="0" applyNumberFormat="1" applyFont="1" applyFill="1" applyBorder="1" applyAlignment="1">
      <alignment horizontal="left" vertical="center" wrapText="1" indent="1"/>
    </xf>
    <xf numFmtId="166" fontId="1" fillId="24" borderId="7" xfId="0" applyNumberFormat="1" applyFont="1" applyFill="1" applyBorder="1" applyAlignment="1">
      <alignment horizontal="left" vertical="center" wrapText="1" indent="1"/>
    </xf>
    <xf numFmtId="1" fontId="1" fillId="24" borderId="7" xfId="0" applyNumberFormat="1" applyFont="1" applyFill="1" applyBorder="1" applyAlignment="1">
      <alignment horizontal="center" vertical="center" wrapText="1"/>
    </xf>
    <xf numFmtId="166" fontId="1" fillId="24" borderId="44" xfId="0" applyNumberFormat="1" applyFont="1" applyFill="1" applyBorder="1" applyAlignment="1">
      <alignment horizontal="left" vertical="center" wrapText="1" indent="1"/>
    </xf>
    <xf numFmtId="183" fontId="4" fillId="24" borderId="42" xfId="0" applyNumberFormat="1" applyFont="1" applyFill="1" applyBorder="1" applyAlignment="1">
      <alignment horizontal="left" vertical="center" wrapText="1" indent="1"/>
    </xf>
    <xf numFmtId="183" fontId="1" fillId="24" borderId="19" xfId="0" applyNumberFormat="1" applyFont="1" applyFill="1" applyBorder="1" applyAlignment="1">
      <alignment horizontal="left" vertical="center" wrapText="1" indent="1"/>
    </xf>
    <xf numFmtId="183" fontId="0" fillId="24" borderId="7" xfId="0" applyNumberFormat="1" applyFill="1" applyBorder="1" applyAlignment="1">
      <alignment vertical="center" wrapText="1"/>
    </xf>
    <xf numFmtId="183" fontId="0" fillId="24" borderId="44" xfId="0" applyNumberFormat="1" applyFill="1" applyBorder="1" applyAlignment="1">
      <alignment vertical="center" wrapText="1"/>
    </xf>
    <xf numFmtId="183" fontId="4" fillId="24" borderId="89" xfId="0" applyNumberFormat="1" applyFont="1" applyFill="1" applyBorder="1" applyAlignment="1">
      <alignment horizontal="left" vertical="center" wrapText="1" indent="1"/>
    </xf>
    <xf numFmtId="166" fontId="28" fillId="24" borderId="44" xfId="0" applyNumberFormat="1" applyFont="1" applyFill="1" applyBorder="1" applyAlignment="1">
      <alignment horizontal="left" vertical="center" wrapText="1" indent="1"/>
    </xf>
    <xf numFmtId="166" fontId="4" fillId="24" borderId="42" xfId="0" applyNumberFormat="1" applyFont="1" applyFill="1" applyBorder="1" applyAlignment="1">
      <alignment horizontal="left" vertical="center" wrapText="1" indent="1"/>
    </xf>
    <xf numFmtId="166" fontId="1" fillId="24" borderId="6" xfId="0" applyNumberFormat="1" applyFont="1" applyFill="1" applyBorder="1" applyAlignment="1">
      <alignment horizontal="left" vertical="center" wrapText="1" indent="1"/>
    </xf>
    <xf numFmtId="166" fontId="57" fillId="24" borderId="7" xfId="0" applyNumberFormat="1" applyFont="1" applyFill="1" applyBorder="1" applyAlignment="1">
      <alignment horizontal="right" vertical="center" wrapText="1" indent="1"/>
    </xf>
    <xf numFmtId="166" fontId="56" fillId="24" borderId="7" xfId="0" applyNumberFormat="1" applyFont="1" applyFill="1" applyBorder="1" applyAlignment="1">
      <alignment horizontal="right" vertical="center" wrapText="1" indent="1"/>
    </xf>
    <xf numFmtId="173" fontId="1" fillId="24" borderId="7" xfId="0" applyNumberFormat="1" applyFont="1" applyFill="1" applyBorder="1" applyAlignment="1">
      <alignment horizontal="right" vertical="center" wrapText="1" indent="1"/>
    </xf>
    <xf numFmtId="166" fontId="28" fillId="24" borderId="44" xfId="0" applyNumberFormat="1" applyFont="1" applyFill="1" applyBorder="1" applyAlignment="1">
      <alignment horizontal="right" vertical="center" wrapText="1" indent="1"/>
    </xf>
    <xf numFmtId="183" fontId="57" fillId="24" borderId="6" xfId="0" applyNumberFormat="1" applyFont="1" applyFill="1" applyBorder="1" applyAlignment="1">
      <alignment horizontal="right" vertical="center" wrapText="1" indent="1"/>
    </xf>
    <xf numFmtId="183" fontId="57" fillId="24" borderId="79" xfId="0" applyNumberFormat="1" applyFont="1" applyFill="1" applyBorder="1" applyAlignment="1">
      <alignment horizontal="right" vertical="center" wrapText="1" indent="1"/>
    </xf>
    <xf numFmtId="183" fontId="57" fillId="24" borderId="8" xfId="0" applyNumberFormat="1" applyFont="1" applyFill="1" applyBorder="1" applyAlignment="1">
      <alignment horizontal="right" vertical="center" wrapText="1" indent="1"/>
    </xf>
    <xf numFmtId="183" fontId="48" fillId="24" borderId="7" xfId="0" applyNumberFormat="1" applyFont="1" applyFill="1" applyBorder="1" applyAlignment="1">
      <alignment horizontal="right" vertical="center" wrapText="1" indent="1"/>
    </xf>
    <xf numFmtId="183" fontId="57" fillId="24" borderId="42" xfId="0" applyNumberFormat="1" applyFont="1" applyFill="1" applyBorder="1" applyAlignment="1">
      <alignment horizontal="right" vertical="center" wrapText="1" indent="1"/>
    </xf>
    <xf numFmtId="183" fontId="57" fillId="24" borderId="7" xfId="0" applyNumberFormat="1" applyFont="1" applyFill="1" applyBorder="1" applyAlignment="1">
      <alignment horizontal="right" vertical="center" wrapText="1" indent="1"/>
    </xf>
    <xf numFmtId="183" fontId="48" fillId="24" borderId="44" xfId="0" applyNumberFormat="1" applyFont="1" applyFill="1" applyBorder="1" applyAlignment="1">
      <alignment horizontal="right" vertical="center" wrapText="1" indent="1"/>
    </xf>
    <xf numFmtId="183" fontId="48" fillId="24" borderId="79" xfId="0" applyNumberFormat="1" applyFont="1" applyFill="1" applyBorder="1" applyAlignment="1">
      <alignment horizontal="right" vertical="center" wrapText="1" indent="1"/>
    </xf>
    <xf numFmtId="183" fontId="13" fillId="24" borderId="8" xfId="0" applyNumberFormat="1" applyFont="1" applyFill="1" applyBorder="1" applyAlignment="1">
      <alignment horizontal="right" vertical="center" wrapText="1" indent="1"/>
    </xf>
    <xf numFmtId="183" fontId="57" fillId="24" borderId="44" xfId="0" applyNumberFormat="1" applyFont="1" applyFill="1" applyBorder="1" applyAlignment="1">
      <alignment horizontal="right" vertical="center" wrapText="1" indent="1"/>
    </xf>
    <xf numFmtId="183" fontId="56" fillId="24" borderId="44" xfId="0" applyNumberFormat="1" applyFont="1" applyFill="1" applyBorder="1" applyAlignment="1">
      <alignment horizontal="right" vertical="center" wrapText="1" indent="1"/>
    </xf>
    <xf numFmtId="183" fontId="56" fillId="24" borderId="7" xfId="0" applyNumberFormat="1" applyFont="1" applyFill="1" applyBorder="1" applyAlignment="1">
      <alignment horizontal="right" vertical="center" wrapText="1" indent="1"/>
    </xf>
    <xf numFmtId="166" fontId="1" fillId="24" borderId="52" xfId="0" applyNumberFormat="1" applyFont="1" applyFill="1" applyBorder="1" applyAlignment="1">
      <alignment horizontal="left" vertical="center" wrapText="1" indent="1"/>
    </xf>
    <xf numFmtId="166" fontId="1" fillId="24" borderId="23" xfId="0" applyNumberFormat="1" applyFont="1" applyFill="1" applyBorder="1" applyAlignment="1">
      <alignment horizontal="left" vertical="center" wrapText="1" indent="1"/>
    </xf>
    <xf numFmtId="1" fontId="1" fillId="24" borderId="23" xfId="0" applyNumberFormat="1" applyFont="1" applyFill="1" applyBorder="1" applyAlignment="1">
      <alignment horizontal="center" vertical="center" wrapText="1"/>
    </xf>
    <xf numFmtId="166" fontId="1" fillId="24" borderId="34" xfId="0" applyNumberFormat="1" applyFont="1" applyFill="1" applyBorder="1" applyAlignment="1">
      <alignment horizontal="left" vertical="center" wrapText="1" indent="1"/>
    </xf>
    <xf numFmtId="183" fontId="4" fillId="24" borderId="52" xfId="0" applyNumberFormat="1" applyFont="1" applyFill="1" applyBorder="1" applyAlignment="1">
      <alignment horizontal="left" vertical="center" wrapText="1" indent="1"/>
    </xf>
    <xf numFmtId="183" fontId="0" fillId="24" borderId="23" xfId="0" applyNumberFormat="1" applyFill="1" applyBorder="1" applyAlignment="1">
      <alignment vertical="center" wrapText="1"/>
    </xf>
    <xf numFmtId="183" fontId="0" fillId="24" borderId="34" xfId="0" applyNumberFormat="1" applyFill="1" applyBorder="1" applyAlignment="1">
      <alignment vertical="center" wrapText="1"/>
    </xf>
    <xf numFmtId="166" fontId="28" fillId="24" borderId="34" xfId="0" applyNumberFormat="1" applyFont="1" applyFill="1" applyBorder="1" applyAlignment="1">
      <alignment horizontal="left" vertical="center" wrapText="1" indent="1"/>
    </xf>
    <xf numFmtId="166" fontId="28" fillId="24" borderId="52" xfId="0" applyNumberFormat="1" applyFont="1" applyFill="1" applyBorder="1" applyAlignment="1">
      <alignment horizontal="left" vertical="center" wrapText="1" indent="1"/>
    </xf>
    <xf numFmtId="166" fontId="1" fillId="24" borderId="116" xfId="0" applyNumberFormat="1" applyFont="1" applyFill="1" applyBorder="1" applyAlignment="1">
      <alignment horizontal="left" vertical="center" wrapText="1" indent="1"/>
    </xf>
    <xf numFmtId="166" fontId="57" fillId="24" borderId="23" xfId="0" applyNumberFormat="1" applyFont="1" applyFill="1" applyBorder="1" applyAlignment="1">
      <alignment horizontal="right" vertical="center" wrapText="1" indent="1"/>
    </xf>
    <xf numFmtId="183" fontId="57" fillId="24" borderId="69" xfId="0" applyNumberFormat="1" applyFont="1" applyFill="1" applyBorder="1" applyAlignment="1">
      <alignment horizontal="right" vertical="center" wrapText="1" indent="1"/>
    </xf>
    <xf numFmtId="183" fontId="48" fillId="24" borderId="23" xfId="0" applyNumberFormat="1" applyFont="1" applyFill="1" applyBorder="1" applyAlignment="1">
      <alignment horizontal="right" vertical="center" wrapText="1" indent="1"/>
    </xf>
    <xf numFmtId="183" fontId="57" fillId="24" borderId="52" xfId="0" applyNumberFormat="1" applyFont="1" applyFill="1" applyBorder="1" applyAlignment="1">
      <alignment horizontal="right" vertical="center" wrapText="1" indent="1"/>
    </xf>
    <xf numFmtId="183" fontId="48" fillId="24" borderId="34" xfId="0" applyNumberFormat="1" applyFont="1" applyFill="1" applyBorder="1" applyAlignment="1">
      <alignment horizontal="right" vertical="center" wrapText="1" indent="1"/>
    </xf>
    <xf numFmtId="183" fontId="48" fillId="24" borderId="69" xfId="0" applyNumberFormat="1" applyFont="1" applyFill="1" applyBorder="1" applyAlignment="1">
      <alignment horizontal="right" vertical="center" wrapText="1" indent="1"/>
    </xf>
    <xf numFmtId="183" fontId="57" fillId="24" borderId="116" xfId="0" applyNumberFormat="1" applyFont="1" applyFill="1" applyBorder="1" applyAlignment="1">
      <alignment horizontal="right" vertical="center" wrapText="1" indent="1"/>
    </xf>
    <xf numFmtId="183" fontId="13" fillId="24" borderId="114" xfId="0" applyNumberFormat="1" applyFont="1" applyFill="1" applyBorder="1" applyAlignment="1">
      <alignment horizontal="right" vertical="center" wrapText="1" indent="1"/>
    </xf>
    <xf numFmtId="183" fontId="48" fillId="24" borderId="52" xfId="0" applyNumberFormat="1" applyFont="1" applyFill="1" applyBorder="1" applyAlignment="1">
      <alignment horizontal="right" vertical="center" wrapText="1" indent="1"/>
    </xf>
    <xf numFmtId="183" fontId="13" fillId="24" borderId="34" xfId="0" applyNumberFormat="1" applyFont="1" applyFill="1" applyBorder="1" applyAlignment="1">
      <alignment horizontal="right" vertical="center" wrapText="1" indent="1"/>
    </xf>
    <xf numFmtId="0" fontId="1" fillId="19" borderId="42" xfId="0" applyFont="1" applyFill="1" applyBorder="1" applyAlignment="1">
      <alignment horizontal="center" vertical="center" wrapText="1"/>
    </xf>
    <xf numFmtId="0" fontId="1" fillId="19" borderId="44" xfId="0" applyFont="1" applyFill="1" applyBorder="1" applyAlignment="1">
      <alignment horizontal="center" vertical="center" wrapText="1"/>
    </xf>
    <xf numFmtId="0" fontId="1" fillId="19" borderId="7" xfId="0" applyFont="1" applyFill="1" applyBorder="1" applyAlignment="1">
      <alignment horizontal="center" vertical="center" wrapText="1"/>
    </xf>
    <xf numFmtId="0" fontId="1" fillId="26" borderId="42" xfId="0" applyFont="1" applyFill="1" applyBorder="1" applyAlignment="1">
      <alignment horizontal="center" vertical="center" wrapText="1"/>
    </xf>
    <xf numFmtId="0" fontId="1" fillId="26" borderId="7" xfId="0" applyFont="1" applyFill="1" applyBorder="1" applyAlignment="1">
      <alignment horizontal="center" vertical="center" wrapText="1"/>
    </xf>
    <xf numFmtId="0" fontId="1" fillId="26" borderId="8" xfId="0" applyFont="1" applyFill="1" applyBorder="1" applyAlignment="1">
      <alignment horizontal="center" vertical="center" wrapText="1"/>
    </xf>
    <xf numFmtId="0" fontId="1" fillId="26" borderId="6" xfId="0" applyFont="1" applyFill="1" applyBorder="1" applyAlignment="1">
      <alignment horizontal="center" vertical="center" wrapText="1"/>
    </xf>
    <xf numFmtId="0" fontId="1" fillId="26" borderId="44" xfId="0" applyFont="1" applyFill="1" applyBorder="1" applyAlignment="1">
      <alignment horizontal="center" vertical="center" wrapText="1"/>
    </xf>
    <xf numFmtId="0" fontId="1" fillId="21" borderId="42" xfId="0" applyFont="1" applyFill="1" applyBorder="1" applyAlignment="1">
      <alignment horizontal="center" vertical="center" wrapText="1"/>
    </xf>
    <xf numFmtId="0" fontId="1" fillId="21" borderId="7" xfId="0" applyFont="1" applyFill="1" applyBorder="1" applyAlignment="1">
      <alignment horizontal="center" vertical="center" wrapText="1"/>
    </xf>
    <xf numFmtId="0" fontId="1" fillId="21" borderId="44" xfId="0" applyFont="1" applyFill="1" applyBorder="1" applyAlignment="1">
      <alignment horizontal="center" vertical="center" wrapText="1"/>
    </xf>
    <xf numFmtId="1" fontId="1" fillId="27" borderId="158" xfId="0" applyNumberFormat="1" applyFont="1" applyFill="1" applyBorder="1" applyAlignment="1">
      <alignment horizontal="center" vertical="center" wrapText="1"/>
    </xf>
    <xf numFmtId="166" fontId="1" fillId="25" borderId="145" xfId="0" applyNumberFormat="1" applyFont="1" applyFill="1" applyBorder="1" applyAlignment="1">
      <alignment vertical="center" wrapText="1"/>
    </xf>
    <xf numFmtId="1" fontId="1" fillId="25" borderId="130" xfId="0" applyNumberFormat="1" applyFont="1" applyFill="1" applyBorder="1" applyAlignment="1">
      <alignment horizontal="center" vertical="center" wrapText="1"/>
    </xf>
    <xf numFmtId="166" fontId="1" fillId="25" borderId="130" xfId="0" applyNumberFormat="1" applyFont="1" applyFill="1" applyBorder="1" applyAlignment="1">
      <alignment vertical="center" wrapText="1"/>
    </xf>
    <xf numFmtId="166" fontId="1" fillId="25" borderId="199" xfId="0" applyNumberFormat="1" applyFont="1" applyFill="1" applyBorder="1" applyAlignment="1">
      <alignment horizontal="center" vertical="center" wrapText="1"/>
    </xf>
    <xf numFmtId="183" fontId="4" fillId="25" borderId="145" xfId="0" applyNumberFormat="1" applyFont="1" applyFill="1" applyBorder="1" applyAlignment="1">
      <alignment vertical="center" wrapText="1"/>
    </xf>
    <xf numFmtId="183" fontId="4" fillId="25" borderId="130" xfId="0" applyNumberFormat="1" applyFont="1" applyFill="1" applyBorder="1" applyAlignment="1">
      <alignment vertical="center" wrapText="1"/>
    </xf>
    <xf numFmtId="190" fontId="0" fillId="25" borderId="130" xfId="0" applyNumberFormat="1" applyFill="1" applyBorder="1" applyAlignment="1">
      <alignment vertical="center" wrapText="1"/>
    </xf>
    <xf numFmtId="9" fontId="0" fillId="25" borderId="130" xfId="0" applyNumberFormat="1" applyFill="1" applyBorder="1" applyAlignment="1">
      <alignment vertical="center" wrapText="1"/>
    </xf>
    <xf numFmtId="9" fontId="0" fillId="25" borderId="130" xfId="0" applyNumberFormat="1" applyFill="1" applyBorder="1" applyAlignment="1">
      <alignment horizontal="center" vertical="center" wrapText="1"/>
    </xf>
    <xf numFmtId="9" fontId="0" fillId="25" borderId="199" xfId="0" applyNumberFormat="1" applyFill="1" applyBorder="1" applyAlignment="1">
      <alignment vertical="center" wrapText="1"/>
    </xf>
    <xf numFmtId="166" fontId="28" fillId="25" borderId="200" xfId="0" applyNumberFormat="1" applyFont="1" applyFill="1" applyBorder="1" applyAlignment="1">
      <alignment horizontal="center" vertical="center" wrapText="1"/>
    </xf>
    <xf numFmtId="166" fontId="28" fillId="25" borderId="130" xfId="0" applyNumberFormat="1" applyFont="1" applyFill="1" applyBorder="1" applyAlignment="1">
      <alignment horizontal="center" vertical="center" wrapText="1"/>
    </xf>
    <xf numFmtId="166" fontId="28" fillId="25" borderId="199" xfId="0" applyNumberFormat="1" applyFont="1" applyFill="1" applyBorder="1" applyAlignment="1">
      <alignment horizontal="center" vertical="center" wrapText="1"/>
    </xf>
    <xf numFmtId="166" fontId="1" fillId="24" borderId="146" xfId="0" applyNumberFormat="1" applyFont="1" applyFill="1" applyBorder="1" applyAlignment="1">
      <alignment vertical="center" wrapText="1"/>
    </xf>
    <xf numFmtId="1" fontId="1" fillId="24" borderId="205" xfId="0" applyNumberFormat="1" applyFont="1" applyFill="1" applyBorder="1" applyAlignment="1">
      <alignment horizontal="center" vertical="center" wrapText="1"/>
    </xf>
    <xf numFmtId="166" fontId="1" fillId="24" borderId="205" xfId="0" applyNumberFormat="1" applyFont="1" applyFill="1" applyBorder="1" applyAlignment="1">
      <alignment vertical="center" wrapText="1"/>
    </xf>
    <xf numFmtId="166" fontId="1" fillId="24" borderId="206" xfId="0" applyNumberFormat="1" applyFont="1" applyFill="1" applyBorder="1" applyAlignment="1">
      <alignment horizontal="center" vertical="center" wrapText="1"/>
    </xf>
    <xf numFmtId="183" fontId="4" fillId="24" borderId="146" xfId="0" applyNumberFormat="1" applyFont="1" applyFill="1" applyBorder="1" applyAlignment="1">
      <alignment vertical="center" wrapText="1"/>
    </xf>
    <xf numFmtId="183" fontId="4" fillId="24" borderId="205" xfId="0" applyNumberFormat="1" applyFont="1" applyFill="1" applyBorder="1" applyAlignment="1">
      <alignment vertical="center" wrapText="1"/>
    </xf>
    <xf numFmtId="0" fontId="0" fillId="24" borderId="205" xfId="0" applyFill="1" applyBorder="1" applyAlignment="1"/>
    <xf numFmtId="9" fontId="0" fillId="24" borderId="205" xfId="0" applyNumberFormat="1" applyFill="1" applyBorder="1" applyAlignment="1">
      <alignment horizontal="center" vertical="center" wrapText="1"/>
    </xf>
    <xf numFmtId="0" fontId="0" fillId="24" borderId="206" xfId="0" applyFill="1" applyBorder="1" applyAlignment="1"/>
    <xf numFmtId="166" fontId="28" fillId="24" borderId="146" xfId="0" applyNumberFormat="1" applyFont="1" applyFill="1" applyBorder="1" applyAlignment="1">
      <alignment horizontal="center" vertical="center" wrapText="1"/>
    </xf>
    <xf numFmtId="166" fontId="28" fillId="24" borderId="144" xfId="0" applyNumberFormat="1" applyFont="1" applyFill="1" applyBorder="1" applyAlignment="1">
      <alignment horizontal="center" vertical="center" wrapText="1"/>
    </xf>
    <xf numFmtId="166" fontId="28" fillId="24" borderId="205" xfId="0" applyNumberFormat="1" applyFont="1" applyFill="1" applyBorder="1" applyAlignment="1">
      <alignment horizontal="center" vertical="center" wrapText="1"/>
    </xf>
    <xf numFmtId="166" fontId="28" fillId="24" borderId="206" xfId="0" applyNumberFormat="1" applyFont="1" applyFill="1" applyBorder="1" applyAlignment="1">
      <alignment horizontal="center" vertical="center" wrapText="1"/>
    </xf>
    <xf numFmtId="166" fontId="1" fillId="27" borderId="146" xfId="0" applyNumberFormat="1" applyFont="1" applyFill="1" applyBorder="1" applyAlignment="1">
      <alignment vertical="center" wrapText="1"/>
    </xf>
    <xf numFmtId="1" fontId="1" fillId="27" borderId="205" xfId="0" applyNumberFormat="1" applyFont="1" applyFill="1" applyBorder="1" applyAlignment="1">
      <alignment horizontal="center" vertical="center" wrapText="1"/>
    </xf>
    <xf numFmtId="166" fontId="1" fillId="27" borderId="205" xfId="0" applyNumberFormat="1" applyFont="1" applyFill="1" applyBorder="1" applyAlignment="1">
      <alignment vertical="center" wrapText="1"/>
    </xf>
    <xf numFmtId="166" fontId="1" fillId="27" borderId="206" xfId="0" applyNumberFormat="1" applyFont="1" applyFill="1" applyBorder="1" applyAlignment="1">
      <alignment horizontal="center" vertical="center" wrapText="1"/>
    </xf>
    <xf numFmtId="183" fontId="4" fillId="27" borderId="146" xfId="0" applyNumberFormat="1" applyFont="1" applyFill="1" applyBorder="1" applyAlignment="1">
      <alignment vertical="center" wrapText="1"/>
    </xf>
    <xf numFmtId="183" fontId="4" fillId="27" borderId="205" xfId="0" applyNumberFormat="1" applyFont="1" applyFill="1" applyBorder="1" applyAlignment="1">
      <alignment vertical="center" wrapText="1"/>
    </xf>
    <xf numFmtId="0" fontId="0" fillId="27" borderId="205" xfId="0" applyFill="1" applyBorder="1" applyAlignment="1"/>
    <xf numFmtId="9" fontId="0" fillId="27" borderId="205" xfId="0" applyNumberFormat="1" applyFill="1" applyBorder="1" applyAlignment="1">
      <alignment horizontal="center" vertical="center" wrapText="1"/>
    </xf>
    <xf numFmtId="0" fontId="0" fillId="27" borderId="206" xfId="0" applyFill="1" applyBorder="1" applyAlignment="1"/>
    <xf numFmtId="166" fontId="28" fillId="27" borderId="146" xfId="0" applyNumberFormat="1" applyFont="1" applyFill="1" applyBorder="1" applyAlignment="1">
      <alignment horizontal="center" vertical="center" wrapText="1"/>
    </xf>
    <xf numFmtId="166" fontId="28" fillId="27" borderId="144" xfId="0" applyNumberFormat="1" applyFont="1" applyFill="1" applyBorder="1" applyAlignment="1">
      <alignment horizontal="center" vertical="center" wrapText="1"/>
    </xf>
    <xf numFmtId="166" fontId="28" fillId="27" borderId="205" xfId="0" applyNumberFormat="1" applyFont="1" applyFill="1" applyBorder="1" applyAlignment="1">
      <alignment horizontal="center" vertical="center" wrapText="1"/>
    </xf>
    <xf numFmtId="166" fontId="28" fillId="27" borderId="206" xfId="0" applyNumberFormat="1" applyFont="1" applyFill="1" applyBorder="1" applyAlignment="1">
      <alignment horizontal="center" vertical="center" wrapText="1"/>
    </xf>
    <xf numFmtId="166" fontId="1" fillId="27" borderId="147" xfId="0" applyNumberFormat="1" applyFont="1" applyFill="1" applyBorder="1" applyAlignment="1">
      <alignment vertical="center" wrapText="1"/>
    </xf>
    <xf numFmtId="1" fontId="1" fillId="27" borderId="210" xfId="0" applyNumberFormat="1" applyFont="1" applyFill="1" applyBorder="1" applyAlignment="1">
      <alignment horizontal="center" vertical="center" wrapText="1"/>
    </xf>
    <xf numFmtId="166" fontId="1" fillId="27" borderId="210" xfId="0" applyNumberFormat="1" applyFont="1" applyFill="1" applyBorder="1" applyAlignment="1">
      <alignment vertical="center" wrapText="1"/>
    </xf>
    <xf numFmtId="166" fontId="1" fillId="27" borderId="211" xfId="0" applyNumberFormat="1" applyFont="1" applyFill="1" applyBorder="1" applyAlignment="1">
      <alignment horizontal="center" vertical="center" wrapText="1"/>
    </xf>
    <xf numFmtId="183" fontId="4" fillId="27" borderId="147" xfId="0" applyNumberFormat="1" applyFont="1" applyFill="1" applyBorder="1" applyAlignment="1">
      <alignment vertical="center" wrapText="1"/>
    </xf>
    <xf numFmtId="183" fontId="4" fillId="27" borderId="210" xfId="0" applyNumberFormat="1" applyFont="1" applyFill="1" applyBorder="1" applyAlignment="1">
      <alignment vertical="center" wrapText="1"/>
    </xf>
    <xf numFmtId="0" fontId="0" fillId="27" borderId="210" xfId="0" applyFill="1" applyBorder="1" applyAlignment="1"/>
    <xf numFmtId="9" fontId="0" fillId="27" borderId="210" xfId="0" applyNumberFormat="1" applyFill="1" applyBorder="1" applyAlignment="1">
      <alignment horizontal="center" vertical="center" wrapText="1"/>
    </xf>
    <xf numFmtId="0" fontId="0" fillId="27" borderId="211" xfId="0" applyFill="1" applyBorder="1" applyAlignment="1"/>
    <xf numFmtId="166" fontId="28" fillId="27" borderId="147" xfId="0" applyNumberFormat="1" applyFont="1" applyFill="1" applyBorder="1" applyAlignment="1">
      <alignment horizontal="center" vertical="center" wrapText="1"/>
    </xf>
    <xf numFmtId="166" fontId="28" fillId="27" borderId="212" xfId="0" applyNumberFormat="1" applyFont="1" applyFill="1" applyBorder="1" applyAlignment="1">
      <alignment horizontal="center" vertical="center" wrapText="1"/>
    </xf>
    <xf numFmtId="166" fontId="28" fillId="27" borderId="210" xfId="0" applyNumberFormat="1" applyFont="1" applyFill="1" applyBorder="1" applyAlignment="1">
      <alignment horizontal="center" vertical="center" wrapText="1"/>
    </xf>
    <xf numFmtId="166" fontId="28" fillId="27" borderId="211" xfId="0" applyNumberFormat="1" applyFont="1" applyFill="1" applyBorder="1" applyAlignment="1">
      <alignment horizontal="center" vertical="center" wrapText="1"/>
    </xf>
    <xf numFmtId="166" fontId="1" fillId="27" borderId="156" xfId="0" applyNumberFormat="1" applyFont="1" applyFill="1" applyBorder="1" applyAlignment="1">
      <alignment horizontal="left" vertical="center" wrapText="1" indent="1"/>
    </xf>
    <xf numFmtId="166" fontId="1" fillId="27" borderId="158" xfId="0" applyNumberFormat="1" applyFont="1" applyFill="1" applyBorder="1" applyAlignment="1">
      <alignment horizontal="left" vertical="center" wrapText="1" indent="1"/>
    </xf>
    <xf numFmtId="166" fontId="1" fillId="27" borderId="159" xfId="0" applyNumberFormat="1" applyFont="1" applyFill="1" applyBorder="1" applyAlignment="1">
      <alignment horizontal="left" vertical="center" wrapText="1" indent="1"/>
    </xf>
    <xf numFmtId="183" fontId="0" fillId="27" borderId="158" xfId="0" applyNumberFormat="1" applyFill="1" applyBorder="1" applyAlignment="1">
      <alignment horizontal="left" vertical="center" wrapText="1" indent="1"/>
    </xf>
    <xf numFmtId="183" fontId="0" fillId="27" borderId="159" xfId="0" applyNumberFormat="1" applyFill="1" applyBorder="1" applyAlignment="1">
      <alignment horizontal="left" vertical="center" wrapText="1" indent="1"/>
    </xf>
    <xf numFmtId="166" fontId="4" fillId="27" borderId="156" xfId="0" applyNumberFormat="1" applyFont="1" applyFill="1" applyBorder="1" applyAlignment="1">
      <alignment horizontal="left" vertical="center" wrapText="1" indent="1"/>
    </xf>
    <xf numFmtId="166" fontId="4" fillId="27" borderId="157" xfId="0" applyNumberFormat="1" applyFont="1" applyFill="1" applyBorder="1" applyAlignment="1">
      <alignment horizontal="left" vertical="center" wrapText="1" indent="1"/>
    </xf>
    <xf numFmtId="166" fontId="4" fillId="27" borderId="158" xfId="0" applyNumberFormat="1" applyFont="1" applyFill="1" applyBorder="1" applyAlignment="1">
      <alignment horizontal="left" vertical="center" wrapText="1" indent="1"/>
    </xf>
    <xf numFmtId="166" fontId="4" fillId="27" borderId="159" xfId="0" applyNumberFormat="1" applyFont="1" applyFill="1" applyBorder="1" applyAlignment="1">
      <alignment horizontal="left" vertical="center" wrapText="1" indent="1"/>
    </xf>
    <xf numFmtId="166" fontId="1" fillId="27" borderId="147" xfId="0" applyNumberFormat="1" applyFont="1" applyFill="1" applyBorder="1" applyAlignment="1">
      <alignment horizontal="left" vertical="center" wrapText="1" indent="1"/>
    </xf>
    <xf numFmtId="166" fontId="1" fillId="27" borderId="210" xfId="0" applyNumberFormat="1" applyFont="1" applyFill="1" applyBorder="1" applyAlignment="1">
      <alignment horizontal="left" vertical="center" wrapText="1" indent="1"/>
    </xf>
    <xf numFmtId="166" fontId="1" fillId="27" borderId="211" xfId="0" applyNumberFormat="1" applyFont="1" applyFill="1" applyBorder="1" applyAlignment="1">
      <alignment horizontal="left" vertical="center" wrapText="1" indent="1"/>
    </xf>
    <xf numFmtId="183" fontId="4" fillId="27" borderId="147" xfId="0" applyNumberFormat="1" applyFont="1" applyFill="1" applyBorder="1" applyAlignment="1">
      <alignment horizontal="left" vertical="center" wrapText="1" indent="1"/>
    </xf>
    <xf numFmtId="183" fontId="4" fillId="27" borderId="212" xfId="0" applyNumberFormat="1" applyFont="1" applyFill="1" applyBorder="1" applyAlignment="1">
      <alignment horizontal="left" vertical="center" wrapText="1" indent="1"/>
    </xf>
    <xf numFmtId="183" fontId="0" fillId="27" borderId="210" xfId="0" applyNumberFormat="1" applyFill="1" applyBorder="1" applyAlignment="1">
      <alignment horizontal="left" vertical="center" wrapText="1" indent="1"/>
    </xf>
    <xf numFmtId="4" fontId="0" fillId="27" borderId="210" xfId="0" applyNumberFormat="1" applyFill="1" applyBorder="1" applyAlignment="1">
      <alignment horizontal="center" vertical="center" wrapText="1"/>
    </xf>
    <xf numFmtId="183" fontId="0" fillId="27" borderId="211" xfId="0" applyNumberFormat="1" applyFill="1" applyBorder="1" applyAlignment="1">
      <alignment horizontal="left" vertical="center" wrapText="1" indent="1"/>
    </xf>
    <xf numFmtId="166" fontId="4" fillId="27" borderId="147" xfId="0" applyNumberFormat="1" applyFont="1" applyFill="1" applyBorder="1" applyAlignment="1">
      <alignment horizontal="left" vertical="center" wrapText="1" indent="1"/>
    </xf>
    <xf numFmtId="166" fontId="4" fillId="27" borderId="212" xfId="0" applyNumberFormat="1" applyFont="1" applyFill="1" applyBorder="1" applyAlignment="1">
      <alignment horizontal="left" vertical="center" wrapText="1" indent="1"/>
    </xf>
    <xf numFmtId="166" fontId="4" fillId="27" borderId="210" xfId="0" applyNumberFormat="1" applyFont="1" applyFill="1" applyBorder="1" applyAlignment="1">
      <alignment horizontal="left" vertical="center" wrapText="1" indent="1"/>
    </xf>
    <xf numFmtId="166" fontId="4" fillId="27" borderId="211" xfId="0" applyNumberFormat="1" applyFont="1" applyFill="1" applyBorder="1" applyAlignment="1">
      <alignment horizontal="left" vertical="center" wrapText="1" indent="1"/>
    </xf>
    <xf numFmtId="183" fontId="0" fillId="27" borderId="156" xfId="0" applyNumberFormat="1" applyFill="1" applyBorder="1" applyAlignment="1">
      <alignment horizontal="left" vertical="center" wrapText="1" indent="1"/>
    </xf>
    <xf numFmtId="183" fontId="0" fillId="27" borderId="157" xfId="0" applyNumberFormat="1" applyFill="1" applyBorder="1" applyAlignment="1">
      <alignment horizontal="left" vertical="center" wrapText="1" indent="1"/>
    </xf>
    <xf numFmtId="183" fontId="0" fillId="27" borderId="171" xfId="0" applyNumberFormat="1" applyFill="1" applyBorder="1" applyAlignment="1">
      <alignment horizontal="left" vertical="center" wrapText="1" indent="1"/>
    </xf>
    <xf numFmtId="166" fontId="4" fillId="27" borderId="173" xfId="0" applyNumberFormat="1" applyFont="1" applyFill="1" applyBorder="1" applyAlignment="1">
      <alignment horizontal="left" vertical="center" wrapText="1" indent="1"/>
    </xf>
    <xf numFmtId="166" fontId="1" fillId="0" borderId="148" xfId="0" applyNumberFormat="1" applyFont="1" applyFill="1" applyBorder="1" applyAlignment="1">
      <alignment horizontal="left" vertical="center" wrapText="1" indent="1"/>
    </xf>
    <xf numFmtId="166" fontId="1" fillId="0" borderId="150" xfId="0" applyNumberFormat="1" applyFont="1" applyFill="1" applyBorder="1" applyAlignment="1">
      <alignment horizontal="left" vertical="center" wrapText="1" indent="1"/>
    </xf>
    <xf numFmtId="1" fontId="1" fillId="0" borderId="150" xfId="0" applyNumberFormat="1" applyFont="1" applyFill="1" applyBorder="1" applyAlignment="1">
      <alignment horizontal="center" vertical="center" wrapText="1"/>
    </xf>
    <xf numFmtId="166" fontId="1" fillId="0" borderId="151" xfId="0" applyNumberFormat="1" applyFont="1" applyFill="1" applyBorder="1" applyAlignment="1">
      <alignment horizontal="left" vertical="center" wrapText="1" indent="1"/>
    </xf>
    <xf numFmtId="183" fontId="4" fillId="0" borderId="148" xfId="0" applyNumberFormat="1" applyFont="1" applyFill="1" applyBorder="1" applyAlignment="1">
      <alignment horizontal="left" vertical="center" wrapText="1" indent="1"/>
    </xf>
    <xf numFmtId="183" fontId="4" fillId="0" borderId="149" xfId="0" applyNumberFormat="1" applyFont="1" applyFill="1" applyBorder="1" applyAlignment="1">
      <alignment horizontal="left" vertical="center" wrapText="1" indent="1"/>
    </xf>
    <xf numFmtId="183" fontId="4" fillId="0" borderId="152" xfId="0" applyNumberFormat="1" applyFont="1" applyFill="1" applyBorder="1" applyAlignment="1">
      <alignment horizontal="left" vertical="center" wrapText="1" indent="1"/>
    </xf>
    <xf numFmtId="183" fontId="4" fillId="0" borderId="153" xfId="0" applyNumberFormat="1" applyFont="1" applyFill="1" applyBorder="1" applyAlignment="1">
      <alignment horizontal="left" vertical="center" wrapText="1" indent="1"/>
    </xf>
    <xf numFmtId="183" fontId="4" fillId="25" borderId="152" xfId="0" applyNumberFormat="1" applyFont="1" applyFill="1" applyBorder="1" applyAlignment="1">
      <alignment horizontal="left" vertical="center" wrapText="1" indent="1"/>
    </xf>
    <xf numFmtId="183" fontId="4" fillId="25" borderId="153" xfId="0" applyNumberFormat="1" applyFont="1" applyFill="1" applyBorder="1" applyAlignment="1">
      <alignment horizontal="left" vertical="center" wrapText="1" indent="1"/>
    </xf>
    <xf numFmtId="183" fontId="0" fillId="25" borderId="154" xfId="0" applyNumberFormat="1" applyFill="1" applyBorder="1" applyAlignment="1">
      <alignment horizontal="left" vertical="center" wrapText="1" indent="1"/>
    </xf>
    <xf numFmtId="4" fontId="0" fillId="25" borderId="154" xfId="0" applyNumberFormat="1" applyFill="1" applyBorder="1" applyAlignment="1">
      <alignment horizontal="center" vertical="center" wrapText="1"/>
    </xf>
    <xf numFmtId="183" fontId="0" fillId="25" borderId="155" xfId="0" applyNumberFormat="1" applyFill="1" applyBorder="1" applyAlignment="1">
      <alignment horizontal="left" vertical="center" wrapText="1" indent="1"/>
    </xf>
    <xf numFmtId="166" fontId="4" fillId="25" borderId="152" xfId="0" applyNumberFormat="1" applyFont="1" applyFill="1" applyBorder="1" applyAlignment="1">
      <alignment horizontal="left" vertical="center" wrapText="1" indent="1"/>
    </xf>
    <xf numFmtId="166" fontId="4" fillId="25" borderId="153" xfId="0" applyNumberFormat="1" applyFont="1" applyFill="1" applyBorder="1" applyAlignment="1">
      <alignment horizontal="left" vertical="center" wrapText="1" indent="1"/>
    </xf>
    <xf numFmtId="166" fontId="4" fillId="25" borderId="155" xfId="0" applyNumberFormat="1" applyFont="1" applyFill="1" applyBorder="1" applyAlignment="1">
      <alignment horizontal="left" vertical="center" wrapText="1" indent="1"/>
    </xf>
    <xf numFmtId="183" fontId="4" fillId="24" borderId="152" xfId="0" applyNumberFormat="1" applyFont="1" applyFill="1" applyBorder="1" applyAlignment="1">
      <alignment horizontal="left" vertical="center" wrapText="1" indent="1"/>
    </xf>
    <xf numFmtId="183" fontId="4" fillId="24" borderId="153" xfId="0" applyNumberFormat="1" applyFont="1" applyFill="1" applyBorder="1" applyAlignment="1">
      <alignment horizontal="left" vertical="center" wrapText="1" indent="1"/>
    </xf>
    <xf numFmtId="183" fontId="0" fillId="24" borderId="154" xfId="0" applyNumberFormat="1" applyFill="1" applyBorder="1" applyAlignment="1">
      <alignment horizontal="left" vertical="center" wrapText="1" indent="1"/>
    </xf>
    <xf numFmtId="4" fontId="0" fillId="24" borderId="154" xfId="0" applyNumberFormat="1" applyFill="1" applyBorder="1" applyAlignment="1">
      <alignment horizontal="center" vertical="center" wrapText="1"/>
    </xf>
    <xf numFmtId="183" fontId="0" fillId="24" borderId="155" xfId="0" applyNumberFormat="1" applyFill="1" applyBorder="1" applyAlignment="1">
      <alignment horizontal="left" vertical="center" wrapText="1" indent="1"/>
    </xf>
    <xf numFmtId="166" fontId="4" fillId="24" borderId="152" xfId="0" applyNumberFormat="1" applyFont="1" applyFill="1" applyBorder="1" applyAlignment="1">
      <alignment horizontal="left" vertical="center" wrapText="1" indent="1"/>
    </xf>
    <xf numFmtId="166" fontId="4" fillId="24" borderId="153" xfId="0" applyNumberFormat="1" applyFont="1" applyFill="1" applyBorder="1" applyAlignment="1">
      <alignment horizontal="left" vertical="center" wrapText="1" indent="1"/>
    </xf>
    <xf numFmtId="166" fontId="4" fillId="24" borderId="154" xfId="0" applyNumberFormat="1" applyFont="1" applyFill="1" applyBorder="1" applyAlignment="1">
      <alignment horizontal="left" vertical="center" wrapText="1" indent="1"/>
    </xf>
    <xf numFmtId="166" fontId="4" fillId="24" borderId="155" xfId="0" applyNumberFormat="1" applyFont="1" applyFill="1" applyBorder="1" applyAlignment="1">
      <alignment horizontal="left" vertical="center" wrapText="1" indent="1"/>
    </xf>
    <xf numFmtId="183" fontId="4" fillId="15" borderId="152" xfId="0" applyNumberFormat="1" applyFont="1" applyFill="1" applyBorder="1" applyAlignment="1">
      <alignment horizontal="left" vertical="center" wrapText="1" indent="1"/>
    </xf>
    <xf numFmtId="166" fontId="1" fillId="15" borderId="152" xfId="0" applyNumberFormat="1" applyFont="1" applyFill="1" applyBorder="1" applyAlignment="1">
      <alignment horizontal="left" vertical="center" wrapText="1" indent="1"/>
    </xf>
    <xf numFmtId="166" fontId="1" fillId="15" borderId="154" xfId="0" applyNumberFormat="1" applyFont="1" applyFill="1" applyBorder="1" applyAlignment="1">
      <alignment horizontal="left" vertical="center" wrapText="1" indent="1"/>
    </xf>
    <xf numFmtId="166" fontId="1" fillId="15" borderId="155" xfId="0" applyNumberFormat="1" applyFont="1" applyFill="1" applyBorder="1" applyAlignment="1">
      <alignment horizontal="left" vertical="center" wrapText="1" indent="1"/>
    </xf>
    <xf numFmtId="183" fontId="4" fillId="15" borderId="153" xfId="0" applyNumberFormat="1" applyFont="1" applyFill="1" applyBorder="1" applyAlignment="1">
      <alignment horizontal="left" vertical="center" wrapText="1" indent="1"/>
    </xf>
    <xf numFmtId="183" fontId="0" fillId="15" borderId="154" xfId="0" applyNumberFormat="1" applyFill="1" applyBorder="1" applyAlignment="1">
      <alignment horizontal="left" vertical="center" wrapText="1" indent="1"/>
    </xf>
    <xf numFmtId="4" fontId="0" fillId="15" borderId="154" xfId="0" applyNumberFormat="1" applyFill="1" applyBorder="1" applyAlignment="1">
      <alignment horizontal="center" vertical="center" wrapText="1"/>
    </xf>
    <xf numFmtId="183" fontId="0" fillId="15" borderId="155" xfId="0" applyNumberFormat="1" applyFill="1" applyBorder="1" applyAlignment="1">
      <alignment horizontal="left" vertical="center" wrapText="1" indent="1"/>
    </xf>
    <xf numFmtId="166" fontId="4" fillId="15" borderId="152" xfId="0" applyNumberFormat="1" applyFont="1" applyFill="1" applyBorder="1" applyAlignment="1">
      <alignment horizontal="left" vertical="center" wrapText="1" indent="1"/>
    </xf>
    <xf numFmtId="166" fontId="4" fillId="15" borderId="153" xfId="0" applyNumberFormat="1" applyFont="1" applyFill="1" applyBorder="1" applyAlignment="1">
      <alignment horizontal="left" vertical="center" wrapText="1" indent="1"/>
    </xf>
    <xf numFmtId="166" fontId="4" fillId="15" borderId="155" xfId="0" applyNumberFormat="1" applyFont="1" applyFill="1" applyBorder="1" applyAlignment="1">
      <alignment horizontal="left" vertical="center" wrapText="1" indent="1"/>
    </xf>
    <xf numFmtId="183" fontId="0" fillId="12" borderId="181" xfId="0" applyNumberFormat="1" applyFill="1" applyBorder="1" applyAlignment="1">
      <alignment horizontal="right" vertical="center" wrapText="1" indent="1"/>
    </xf>
    <xf numFmtId="183" fontId="0" fillId="12" borderId="183" xfId="0" applyNumberFormat="1" applyFill="1" applyBorder="1" applyAlignment="1">
      <alignment horizontal="right" vertical="center" wrapText="1" indent="1"/>
    </xf>
    <xf numFmtId="183" fontId="0" fillId="12" borderId="117" xfId="0" applyNumberFormat="1" applyFill="1" applyBorder="1" applyAlignment="1">
      <alignment horizontal="right" vertical="center" wrapText="1" indent="1"/>
    </xf>
    <xf numFmtId="183" fontId="0" fillId="12" borderId="189" xfId="0" applyNumberFormat="1" applyFill="1" applyBorder="1" applyAlignment="1">
      <alignment horizontal="right" vertical="center" wrapText="1" indent="1"/>
    </xf>
    <xf numFmtId="183" fontId="0" fillId="25" borderId="152" xfId="0" applyNumberFormat="1" applyFill="1" applyBorder="1" applyAlignment="1">
      <alignment horizontal="left" vertical="center" wrapText="1" indent="1"/>
    </xf>
    <xf numFmtId="183" fontId="0" fillId="25" borderId="153" xfId="0" applyNumberFormat="1" applyFill="1" applyBorder="1" applyAlignment="1">
      <alignment horizontal="left" vertical="center" wrapText="1" indent="1"/>
    </xf>
    <xf numFmtId="183" fontId="0" fillId="15" borderId="152" xfId="0" applyNumberFormat="1" applyFill="1" applyBorder="1" applyAlignment="1">
      <alignment horizontal="left" vertical="center" wrapText="1" indent="1"/>
    </xf>
    <xf numFmtId="183" fontId="0" fillId="15" borderId="153" xfId="0" applyNumberFormat="1" applyFill="1" applyBorder="1" applyAlignment="1">
      <alignment horizontal="left" vertical="center" wrapText="1" indent="1"/>
    </xf>
    <xf numFmtId="183" fontId="0" fillId="24" borderId="152" xfId="0" applyNumberFormat="1" applyFill="1" applyBorder="1" applyAlignment="1">
      <alignment horizontal="left" vertical="center" wrapText="1" indent="1"/>
    </xf>
    <xf numFmtId="183" fontId="0" fillId="24" borderId="153" xfId="0" applyNumberFormat="1" applyFill="1" applyBorder="1" applyAlignment="1">
      <alignment horizontal="left" vertical="center" wrapText="1" indent="1"/>
    </xf>
    <xf numFmtId="183" fontId="0" fillId="24" borderId="167" xfId="0" applyNumberFormat="1" applyFill="1" applyBorder="1" applyAlignment="1">
      <alignment horizontal="left" vertical="center" wrapText="1" indent="1"/>
    </xf>
    <xf numFmtId="166" fontId="4" fillId="24" borderId="172" xfId="0" applyNumberFormat="1" applyFont="1" applyFill="1" applyBorder="1" applyAlignment="1">
      <alignment horizontal="left" vertical="center" wrapText="1" indent="1"/>
    </xf>
    <xf numFmtId="183" fontId="0" fillId="25" borderId="148" xfId="0" applyNumberFormat="1" applyFill="1" applyBorder="1" applyAlignment="1">
      <alignment horizontal="left" vertical="center" wrapText="1" indent="1"/>
    </xf>
    <xf numFmtId="183" fontId="0" fillId="25" borderId="149" xfId="0" applyNumberFormat="1" applyFill="1" applyBorder="1" applyAlignment="1">
      <alignment horizontal="left" vertical="center" wrapText="1" indent="1"/>
    </xf>
    <xf numFmtId="183" fontId="0" fillId="25" borderId="150" xfId="0" applyNumberFormat="1" applyFill="1" applyBorder="1" applyAlignment="1">
      <alignment horizontal="left" vertical="center" wrapText="1" indent="1"/>
    </xf>
    <xf numFmtId="183" fontId="0" fillId="25" borderId="151" xfId="0" applyNumberFormat="1" applyFill="1" applyBorder="1" applyAlignment="1">
      <alignment horizontal="left" vertical="center" wrapText="1" indent="1"/>
    </xf>
    <xf numFmtId="166" fontId="4" fillId="25" borderId="148" xfId="0" applyNumberFormat="1" applyFont="1" applyFill="1" applyBorder="1" applyAlignment="1">
      <alignment horizontal="left" vertical="center" wrapText="1" indent="1"/>
    </xf>
    <xf numFmtId="166" fontId="4" fillId="25" borderId="149" xfId="0" applyNumberFormat="1" applyFont="1" applyFill="1" applyBorder="1" applyAlignment="1">
      <alignment horizontal="left" vertical="center" wrapText="1" indent="1"/>
    </xf>
    <xf numFmtId="166" fontId="4" fillId="25" borderId="150" xfId="0" applyNumberFormat="1" applyFont="1" applyFill="1" applyBorder="1" applyAlignment="1">
      <alignment horizontal="left" vertical="center" wrapText="1" indent="1"/>
    </xf>
    <xf numFmtId="166" fontId="4" fillId="25" borderId="151" xfId="0" applyNumberFormat="1" applyFont="1" applyFill="1" applyBorder="1" applyAlignment="1">
      <alignment horizontal="left" vertical="center" wrapText="1" indent="1"/>
    </xf>
    <xf numFmtId="0" fontId="0" fillId="15" borderId="39" xfId="0" applyFill="1" applyBorder="1" applyAlignment="1">
      <alignment horizontal="left" vertical="center" wrapText="1" indent="1"/>
    </xf>
    <xf numFmtId="0" fontId="0" fillId="15" borderId="17" xfId="0" applyFill="1" applyBorder="1" applyAlignment="1">
      <alignment horizontal="left" vertical="center" wrapText="1" indent="1"/>
    </xf>
    <xf numFmtId="0" fontId="0" fillId="15" borderId="18" xfId="0" applyFill="1" applyBorder="1" applyAlignment="1">
      <alignment horizontal="left" vertical="center" wrapText="1" indent="1"/>
    </xf>
    <xf numFmtId="0" fontId="0" fillId="15" borderId="32" xfId="0" applyFill="1" applyBorder="1" applyAlignment="1">
      <alignment horizontal="left" vertical="center" wrapText="1" indent="1"/>
    </xf>
    <xf numFmtId="195" fontId="1" fillId="15" borderId="13" xfId="0" applyNumberFormat="1" applyFont="1" applyFill="1" applyBorder="1" applyAlignment="1">
      <alignment horizontal="center" vertical="center" wrapText="1"/>
    </xf>
    <xf numFmtId="183" fontId="0" fillId="15" borderId="36" xfId="0" applyNumberFormat="1" applyFont="1" applyFill="1" applyBorder="1" applyAlignment="1">
      <alignment horizontal="center" vertical="center" wrapText="1"/>
    </xf>
    <xf numFmtId="195" fontId="1" fillId="15" borderId="1" xfId="0" applyNumberFormat="1" applyFont="1" applyFill="1" applyBorder="1" applyAlignment="1">
      <alignment horizontal="center" vertical="center" wrapText="1"/>
    </xf>
    <xf numFmtId="183" fontId="0" fillId="15" borderId="31" xfId="0" applyNumberFormat="1" applyFont="1" applyFill="1" applyBorder="1" applyAlignment="1">
      <alignment horizontal="center" vertical="center" wrapText="1"/>
    </xf>
    <xf numFmtId="195" fontId="1" fillId="15" borderId="15" xfId="0" applyNumberFormat="1" applyFont="1" applyFill="1" applyBorder="1" applyAlignment="1">
      <alignment horizontal="center" vertical="center" wrapText="1"/>
    </xf>
    <xf numFmtId="183" fontId="0" fillId="15" borderId="35" xfId="0" applyNumberFormat="1" applyFont="1" applyFill="1" applyBorder="1" applyAlignment="1">
      <alignment horizontal="center" vertical="center" wrapText="1"/>
    </xf>
    <xf numFmtId="183" fontId="4" fillId="15" borderId="42" xfId="0" applyNumberFormat="1" applyFont="1" applyFill="1" applyBorder="1" applyAlignment="1">
      <alignment horizontal="left" vertical="center" wrapText="1" indent="1"/>
    </xf>
    <xf numFmtId="183" fontId="0" fillId="15" borderId="44" xfId="0" applyNumberFormat="1" applyFill="1" applyBorder="1" applyAlignment="1">
      <alignment horizontal="left" vertical="center" wrapText="1" indent="1"/>
    </xf>
    <xf numFmtId="183" fontId="0" fillId="15" borderId="52" xfId="0" applyNumberFormat="1" applyFill="1" applyBorder="1" applyAlignment="1">
      <alignment vertical="center" wrapText="1"/>
    </xf>
    <xf numFmtId="183" fontId="0" fillId="15" borderId="23" xfId="0" applyNumberFormat="1" applyFill="1" applyBorder="1" applyAlignment="1">
      <alignment vertical="center" wrapText="1"/>
    </xf>
    <xf numFmtId="183" fontId="0" fillId="15" borderId="114" xfId="0" applyNumberFormat="1" applyFill="1" applyBorder="1" applyAlignment="1">
      <alignment vertical="center" wrapText="1"/>
    </xf>
    <xf numFmtId="183" fontId="0" fillId="15" borderId="34" xfId="0" applyNumberFormat="1" applyFill="1" applyBorder="1" applyAlignment="1">
      <alignment vertical="center" wrapText="1"/>
    </xf>
    <xf numFmtId="183" fontId="0" fillId="15" borderId="127" xfId="0" applyNumberFormat="1" applyFill="1" applyBorder="1" applyAlignment="1">
      <alignment vertical="center" wrapText="1"/>
    </xf>
    <xf numFmtId="183" fontId="0" fillId="15" borderId="181" xfId="0" applyNumberFormat="1" applyFill="1" applyBorder="1" applyAlignment="1">
      <alignment vertical="center" wrapText="1"/>
    </xf>
    <xf numFmtId="183" fontId="0" fillId="15" borderId="182" xfId="0" applyNumberFormat="1" applyFill="1" applyBorder="1" applyAlignment="1">
      <alignment vertical="center" wrapText="1"/>
    </xf>
    <xf numFmtId="183" fontId="0" fillId="15" borderId="183" xfId="0" applyNumberFormat="1" applyFill="1" applyBorder="1" applyAlignment="1">
      <alignment vertical="center" wrapText="1"/>
    </xf>
    <xf numFmtId="183" fontId="0" fillId="15" borderId="187" xfId="0" applyNumberFormat="1" applyFill="1" applyBorder="1" applyAlignment="1">
      <alignment vertical="center" wrapText="1"/>
    </xf>
    <xf numFmtId="183" fontId="0" fillId="15" borderId="117" xfId="0" applyNumberFormat="1" applyFill="1" applyBorder="1" applyAlignment="1">
      <alignment vertical="center" wrapText="1"/>
    </xf>
    <xf numFmtId="183" fontId="0" fillId="15" borderId="188" xfId="0" applyNumberFormat="1" applyFill="1" applyBorder="1" applyAlignment="1">
      <alignment vertical="center" wrapText="1"/>
    </xf>
    <xf numFmtId="183" fontId="0" fillId="15" borderId="189" xfId="0" applyNumberFormat="1" applyFill="1" applyBorder="1" applyAlignment="1">
      <alignment vertical="center" wrapText="1"/>
    </xf>
    <xf numFmtId="183" fontId="4" fillId="15" borderId="52" xfId="0" applyNumberFormat="1" applyFont="1" applyFill="1" applyBorder="1" applyAlignment="1">
      <alignment horizontal="left" vertical="center" wrapText="1" indent="1"/>
    </xf>
    <xf numFmtId="183" fontId="0" fillId="15" borderId="23" xfId="0" applyNumberFormat="1" applyFont="1" applyFill="1" applyBorder="1" applyAlignment="1">
      <alignment horizontal="left" vertical="center" wrapText="1" indent="1"/>
    </xf>
    <xf numFmtId="183" fontId="0" fillId="15" borderId="114" xfId="0" applyNumberFormat="1" applyFont="1" applyFill="1" applyBorder="1" applyAlignment="1">
      <alignment horizontal="left" vertical="center" wrapText="1" indent="1"/>
    </xf>
    <xf numFmtId="183" fontId="0" fillId="15" borderId="34" xfId="0" applyNumberFormat="1" applyFont="1" applyFill="1" applyBorder="1" applyAlignment="1">
      <alignment horizontal="left" vertical="center" wrapText="1" indent="1"/>
    </xf>
    <xf numFmtId="183" fontId="0" fillId="15" borderId="7" xfId="0" applyNumberFormat="1" applyFont="1" applyFill="1" applyBorder="1" applyAlignment="1">
      <alignment horizontal="left" vertical="center" wrapText="1" indent="1"/>
    </xf>
    <xf numFmtId="183" fontId="0" fillId="15" borderId="8" xfId="0" applyNumberFormat="1" applyFont="1" applyFill="1" applyBorder="1" applyAlignment="1">
      <alignment horizontal="left" vertical="center" wrapText="1" indent="1"/>
    </xf>
    <xf numFmtId="183" fontId="0" fillId="15" borderId="44" xfId="0" applyNumberFormat="1" applyFont="1" applyFill="1" applyBorder="1" applyAlignment="1">
      <alignment horizontal="left" vertical="center" wrapText="1" indent="1"/>
    </xf>
    <xf numFmtId="183" fontId="4" fillId="15" borderId="38" xfId="0" applyNumberFormat="1" applyFont="1" applyFill="1" applyBorder="1" applyAlignment="1">
      <alignment horizontal="left" vertical="center" wrapText="1" indent="1"/>
    </xf>
    <xf numFmtId="183" fontId="0" fillId="15" borderId="3" xfId="0" applyNumberFormat="1" applyFont="1" applyFill="1" applyBorder="1" applyAlignment="1">
      <alignment horizontal="left" vertical="center" wrapText="1" indent="1"/>
    </xf>
    <xf numFmtId="183" fontId="0" fillId="15" borderId="1" xfId="0" applyNumberFormat="1" applyFont="1" applyFill="1" applyBorder="1" applyAlignment="1">
      <alignment horizontal="left" vertical="center" wrapText="1" indent="1"/>
    </xf>
    <xf numFmtId="183" fontId="0" fillId="15" borderId="31" xfId="0" applyNumberFormat="1" applyFont="1" applyFill="1" applyBorder="1" applyAlignment="1">
      <alignment horizontal="left" vertical="center" wrapText="1" indent="1"/>
    </xf>
    <xf numFmtId="183" fontId="4" fillId="15" borderId="51" xfId="0" applyNumberFormat="1" applyFont="1" applyFill="1" applyBorder="1" applyAlignment="1">
      <alignment horizontal="left" vertical="center" wrapText="1" indent="1"/>
    </xf>
    <xf numFmtId="183" fontId="0" fillId="15" borderId="26" xfId="0" applyNumberFormat="1" applyFill="1" applyBorder="1" applyAlignment="1">
      <alignment horizontal="left" vertical="center" wrapText="1" indent="1"/>
    </xf>
    <xf numFmtId="183" fontId="0" fillId="15" borderId="49" xfId="0" applyNumberFormat="1" applyFill="1" applyBorder="1" applyAlignment="1">
      <alignment horizontal="left" vertical="center" wrapText="1" indent="1"/>
    </xf>
    <xf numFmtId="183" fontId="0" fillId="15" borderId="33" xfId="0" applyNumberFormat="1" applyFill="1" applyBorder="1" applyAlignment="1">
      <alignment horizontal="left" vertical="center" wrapText="1" indent="1"/>
    </xf>
    <xf numFmtId="183" fontId="4" fillId="15" borderId="53" xfId="0" applyNumberFormat="1" applyFont="1" applyFill="1" applyBorder="1" applyAlignment="1">
      <alignment horizontal="left" vertical="center" wrapText="1" indent="1"/>
    </xf>
    <xf numFmtId="183" fontId="0" fillId="15" borderId="27" xfId="0" applyNumberFormat="1" applyFill="1" applyBorder="1" applyAlignment="1">
      <alignment horizontal="left" vertical="center" wrapText="1" indent="1"/>
    </xf>
    <xf numFmtId="183" fontId="0" fillId="15" borderId="29" xfId="0" applyNumberFormat="1" applyFill="1" applyBorder="1" applyAlignment="1">
      <alignment horizontal="left" vertical="center" wrapText="1" indent="1"/>
    </xf>
    <xf numFmtId="183" fontId="0" fillId="15" borderId="60" xfId="0" applyNumberFormat="1" applyFill="1" applyBorder="1" applyAlignment="1">
      <alignment horizontal="left" vertical="center" wrapText="1" indent="1"/>
    </xf>
    <xf numFmtId="2" fontId="37" fillId="29" borderId="51" xfId="0" applyNumberFormat="1" applyFont="1" applyFill="1" applyBorder="1" applyAlignment="1">
      <alignment vertical="center" wrapText="1"/>
    </xf>
    <xf numFmtId="2" fontId="0" fillId="29" borderId="26" xfId="0" applyNumberFormat="1" applyFill="1" applyBorder="1" applyAlignment="1">
      <alignment horizontal="right" vertical="center" wrapText="1" indent="1"/>
    </xf>
    <xf numFmtId="3" fontId="0" fillId="29" borderId="49" xfId="0" applyNumberFormat="1" applyFill="1" applyBorder="1" applyAlignment="1">
      <alignment horizontal="right" vertical="center" wrapText="1" indent="1"/>
    </xf>
    <xf numFmtId="166" fontId="0" fillId="29" borderId="49" xfId="0" applyNumberFormat="1" applyFill="1" applyBorder="1" applyAlignment="1">
      <alignment horizontal="right" vertical="center" wrapText="1" indent="1"/>
    </xf>
    <xf numFmtId="2" fontId="0" fillId="29" borderId="49" xfId="0" applyNumberFormat="1" applyFill="1" applyBorder="1" applyAlignment="1">
      <alignment horizontal="right" vertical="center" wrapText="1" indent="1"/>
    </xf>
    <xf numFmtId="2" fontId="0" fillId="29" borderId="33" xfId="0" applyNumberFormat="1" applyFill="1" applyBorder="1" applyAlignment="1">
      <alignment horizontal="right" vertical="center" wrapText="1" indent="1"/>
    </xf>
    <xf numFmtId="2" fontId="37" fillId="29" borderId="42" xfId="0" applyNumberFormat="1" applyFont="1" applyFill="1" applyBorder="1" applyAlignment="1">
      <alignment vertical="center" wrapText="1"/>
    </xf>
    <xf numFmtId="3" fontId="0" fillId="29" borderId="8" xfId="0" applyNumberFormat="1" applyFill="1" applyBorder="1" applyAlignment="1">
      <alignment horizontal="right" vertical="center" wrapText="1" indent="1"/>
    </xf>
    <xf numFmtId="166" fontId="0" fillId="29" borderId="8" xfId="0" applyNumberFormat="1" applyFill="1" applyBorder="1" applyAlignment="1">
      <alignment horizontal="right" vertical="center" wrapText="1" indent="1"/>
    </xf>
    <xf numFmtId="2" fontId="0" fillId="29" borderId="8" xfId="0" applyNumberFormat="1" applyFill="1" applyBorder="1" applyAlignment="1">
      <alignment horizontal="right" vertical="center" wrapText="1" indent="1"/>
    </xf>
    <xf numFmtId="2" fontId="37" fillId="29" borderId="52" xfId="0" applyNumberFormat="1" applyFont="1" applyFill="1" applyBorder="1" applyAlignment="1">
      <alignment vertical="center" wrapText="1"/>
    </xf>
    <xf numFmtId="2" fontId="37" fillId="29" borderId="127" xfId="0" applyNumberFormat="1" applyFont="1" applyFill="1" applyBorder="1" applyAlignment="1">
      <alignment vertical="center" wrapText="1"/>
    </xf>
    <xf numFmtId="2" fontId="37" fillId="29" borderId="187" xfId="0" applyNumberFormat="1" applyFont="1" applyFill="1" applyBorder="1" applyAlignment="1">
      <alignment vertical="center" wrapText="1"/>
    </xf>
    <xf numFmtId="2" fontId="0" fillId="29" borderId="23" xfId="0" applyNumberFormat="1" applyFill="1" applyBorder="1" applyAlignment="1">
      <alignment horizontal="right" vertical="center" wrapText="1" indent="1"/>
    </xf>
    <xf numFmtId="3" fontId="0" fillId="29" borderId="114" xfId="0" applyNumberFormat="1" applyFill="1" applyBorder="1" applyAlignment="1">
      <alignment horizontal="right" vertical="center" wrapText="1" indent="1"/>
    </xf>
    <xf numFmtId="166" fontId="0" fillId="29" borderId="114" xfId="0" applyNumberFormat="1" applyFill="1" applyBorder="1" applyAlignment="1">
      <alignment horizontal="right" vertical="center" wrapText="1" indent="1"/>
    </xf>
    <xf numFmtId="2" fontId="0" fillId="29" borderId="114" xfId="0" applyNumberFormat="1" applyFill="1" applyBorder="1" applyAlignment="1">
      <alignment horizontal="right" vertical="center" wrapText="1" indent="1"/>
    </xf>
    <xf numFmtId="2" fontId="0" fillId="29" borderId="34" xfId="0" applyNumberFormat="1" applyFill="1" applyBorder="1" applyAlignment="1">
      <alignment horizontal="right" vertical="center" wrapText="1" indent="1"/>
    </xf>
    <xf numFmtId="0" fontId="1" fillId="20" borderId="8" xfId="0" applyFont="1" applyFill="1" applyBorder="1" applyAlignment="1">
      <alignment horizontal="center" vertical="center" wrapText="1"/>
    </xf>
    <xf numFmtId="0" fontId="0" fillId="0" borderId="51" xfId="0" applyFill="1" applyBorder="1" applyAlignment="1">
      <alignment horizontal="center" vertical="center" wrapText="1"/>
    </xf>
    <xf numFmtId="0" fontId="0" fillId="0" borderId="53" xfId="0" applyFill="1" applyBorder="1" applyAlignment="1">
      <alignment horizontal="center" vertical="center" wrapText="1"/>
    </xf>
    <xf numFmtId="190" fontId="4" fillId="25" borderId="130" xfId="0" applyNumberFormat="1" applyFont="1" applyFill="1" applyBorder="1" applyAlignment="1">
      <alignment vertical="center" wrapText="1"/>
    </xf>
    <xf numFmtId="14" fontId="1" fillId="25" borderId="130" xfId="0" applyNumberFormat="1" applyFont="1" applyFill="1" applyBorder="1" applyAlignment="1">
      <alignment horizontal="left" vertical="center" wrapText="1" indent="1"/>
    </xf>
    <xf numFmtId="166" fontId="1" fillId="27" borderId="205" xfId="0" applyNumberFormat="1" applyFont="1" applyFill="1" applyBorder="1" applyAlignment="1">
      <alignment horizontal="left" vertical="center" wrapText="1" indent="1"/>
    </xf>
    <xf numFmtId="183" fontId="0" fillId="0" borderId="26" xfId="0" applyNumberFormat="1" applyFont="1" applyFill="1" applyBorder="1" applyAlignment="1">
      <alignment horizontal="right" vertical="center" wrapText="1" indent="1"/>
    </xf>
    <xf numFmtId="183" fontId="0" fillId="0" borderId="23" xfId="0" applyNumberFormat="1" applyFont="1" applyFill="1" applyBorder="1" applyAlignment="1">
      <alignment horizontal="right" vertical="center" wrapText="1" indent="1"/>
    </xf>
    <xf numFmtId="0" fontId="0" fillId="2" borderId="219" xfId="0" applyFill="1" applyBorder="1" applyAlignment="1">
      <alignment horizontal="center" vertical="center" wrapText="1"/>
    </xf>
    <xf numFmtId="0" fontId="0" fillId="0" borderId="51" xfId="0" applyBorder="1"/>
    <xf numFmtId="0" fontId="0" fillId="0" borderId="26" xfId="0" applyBorder="1"/>
    <xf numFmtId="0" fontId="0" fillId="0" borderId="33" xfId="0" applyBorder="1"/>
    <xf numFmtId="0" fontId="0" fillId="0" borderId="34" xfId="0" applyBorder="1"/>
    <xf numFmtId="0" fontId="0" fillId="0" borderId="51" xfId="0" applyBorder="1" applyAlignment="1">
      <alignment horizontal="right" indent="1"/>
    </xf>
    <xf numFmtId="0" fontId="0" fillId="0" borderId="42" xfId="0" applyBorder="1" applyAlignment="1">
      <alignment horizontal="right" indent="1"/>
    </xf>
    <xf numFmtId="0" fontId="0" fillId="0" borderId="52" xfId="0" applyBorder="1" applyAlignment="1">
      <alignment horizontal="right" indent="1"/>
    </xf>
    <xf numFmtId="166" fontId="0" fillId="12" borderId="23" xfId="0" applyNumberFormat="1" applyFont="1" applyFill="1" applyBorder="1" applyAlignment="1">
      <alignment horizontal="center" vertical="center" wrapText="1"/>
    </xf>
    <xf numFmtId="166" fontId="0" fillId="12" borderId="27" xfId="0" applyNumberFormat="1" applyFont="1" applyFill="1" applyBorder="1" applyAlignment="1">
      <alignment horizontal="center" vertical="center" wrapText="1"/>
    </xf>
    <xf numFmtId="0" fontId="0" fillId="0" borderId="26" xfId="0" applyBorder="1" applyAlignment="1">
      <alignment horizontal="left" vertical="center" wrapText="1" indent="1"/>
    </xf>
    <xf numFmtId="0" fontId="0" fillId="0" borderId="33" xfId="0" applyBorder="1" applyAlignment="1">
      <alignment horizontal="left" vertical="center" wrapText="1" indent="1"/>
    </xf>
    <xf numFmtId="0" fontId="0" fillId="0" borderId="34" xfId="0" applyBorder="1" applyAlignment="1">
      <alignment horizontal="left" vertical="center" wrapText="1" indent="1"/>
    </xf>
    <xf numFmtId="0" fontId="0" fillId="0" borderId="7" xfId="0" applyBorder="1" applyAlignment="1">
      <alignment horizontal="left" vertical="center" wrapText="1" indent="1"/>
    </xf>
    <xf numFmtId="0" fontId="0" fillId="0" borderId="44" xfId="0" applyBorder="1" applyAlignment="1">
      <alignment horizontal="left" vertical="center" wrapText="1" indent="1"/>
    </xf>
    <xf numFmtId="2" fontId="37" fillId="29" borderId="53" xfId="0" applyNumberFormat="1" applyFont="1" applyFill="1" applyBorder="1" applyAlignment="1">
      <alignment horizontal="left" vertical="center" wrapText="1" indent="1"/>
    </xf>
    <xf numFmtId="2" fontId="37" fillId="29" borderId="59" xfId="0" applyNumberFormat="1" applyFont="1" applyFill="1" applyBorder="1" applyAlignment="1">
      <alignment horizontal="left" vertical="center" wrapText="1" indent="1"/>
    </xf>
    <xf numFmtId="0" fontId="0" fillId="12" borderId="52" xfId="0" applyFill="1" applyBorder="1"/>
    <xf numFmtId="0" fontId="0" fillId="12" borderId="23" xfId="0" applyFill="1" applyBorder="1"/>
    <xf numFmtId="0" fontId="0" fillId="12" borderId="34" xfId="0" applyFill="1" applyBorder="1"/>
    <xf numFmtId="0" fontId="0" fillId="12" borderId="53" xfId="0" applyFill="1" applyBorder="1"/>
    <xf numFmtId="0" fontId="0" fillId="12" borderId="27" xfId="0" applyFill="1" applyBorder="1"/>
    <xf numFmtId="0" fontId="0" fillId="12" borderId="60" xfId="0" applyFill="1" applyBorder="1"/>
    <xf numFmtId="3" fontId="0" fillId="0" borderId="26" xfId="0" applyNumberFormat="1" applyBorder="1" applyAlignment="1">
      <alignment vertical="center"/>
    </xf>
    <xf numFmtId="0" fontId="0" fillId="0" borderId="23" xfId="0" applyBorder="1" applyAlignment="1">
      <alignment vertical="center"/>
    </xf>
    <xf numFmtId="0" fontId="0" fillId="12" borderId="23" xfId="0" applyFill="1" applyBorder="1" applyAlignment="1">
      <alignment vertical="center"/>
    </xf>
    <xf numFmtId="0" fontId="0" fillId="12" borderId="27" xfId="0" applyFill="1" applyBorder="1" applyAlignment="1">
      <alignment vertical="center"/>
    </xf>
    <xf numFmtId="0" fontId="0" fillId="0" borderId="7" xfId="0" applyBorder="1" applyAlignment="1">
      <alignment vertical="center"/>
    </xf>
    <xf numFmtId="4" fontId="0" fillId="0" borderId="17" xfId="0" applyNumberFormat="1" applyFill="1" applyBorder="1" applyAlignment="1">
      <alignment horizontal="right" vertical="center" wrapText="1" indent="1"/>
    </xf>
    <xf numFmtId="4" fontId="28" fillId="27" borderId="205" xfId="0" applyNumberFormat="1" applyFont="1" applyFill="1" applyBorder="1" applyAlignment="1">
      <alignment horizontal="right" vertical="center" wrapText="1" indent="1"/>
    </xf>
    <xf numFmtId="4" fontId="28" fillId="27" borderId="210" xfId="0" applyNumberFormat="1" applyFont="1" applyFill="1" applyBorder="1" applyAlignment="1">
      <alignment horizontal="right" vertical="center" wrapText="1" indent="1"/>
    </xf>
    <xf numFmtId="4" fontId="4" fillId="0" borderId="150" xfId="0" applyNumberFormat="1" applyFont="1" applyFill="1" applyBorder="1" applyAlignment="1">
      <alignment horizontal="right" vertical="center" wrapText="1" indent="1"/>
    </xf>
    <xf numFmtId="4" fontId="4" fillId="0" borderId="154" xfId="0" applyNumberFormat="1" applyFont="1" applyFill="1" applyBorder="1" applyAlignment="1">
      <alignment horizontal="right" vertical="center" wrapText="1" indent="1"/>
    </xf>
    <xf numFmtId="4" fontId="4" fillId="25" borderId="154" xfId="0" applyNumberFormat="1" applyFont="1" applyFill="1" applyBorder="1" applyAlignment="1">
      <alignment horizontal="right" vertical="center" wrapText="1" indent="1"/>
    </xf>
    <xf numFmtId="4" fontId="4" fillId="24" borderId="154" xfId="0" applyNumberFormat="1" applyFont="1" applyFill="1" applyBorder="1" applyAlignment="1">
      <alignment horizontal="right" vertical="center" wrapText="1" indent="1"/>
    </xf>
    <xf numFmtId="4" fontId="4" fillId="15" borderId="154" xfId="0" applyNumberFormat="1" applyFont="1" applyFill="1" applyBorder="1" applyAlignment="1">
      <alignment horizontal="right" vertical="center" wrapText="1" indent="1"/>
    </xf>
    <xf numFmtId="4" fontId="4" fillId="27" borderId="158" xfId="0" applyNumberFormat="1" applyFont="1" applyFill="1" applyBorder="1" applyAlignment="1">
      <alignment horizontal="right" vertical="center" wrapText="1" indent="1"/>
    </xf>
    <xf numFmtId="4" fontId="4" fillId="25" borderId="150" xfId="0" applyNumberFormat="1" applyFont="1" applyFill="1" applyBorder="1" applyAlignment="1">
      <alignment horizontal="right" vertical="center" wrapText="1" indent="1"/>
    </xf>
    <xf numFmtId="4" fontId="56" fillId="24" borderId="7" xfId="0" applyNumberFormat="1" applyFont="1" applyFill="1" applyBorder="1" applyAlignment="1">
      <alignment horizontal="right" vertical="center" wrapText="1" indent="1"/>
    </xf>
    <xf numFmtId="4" fontId="0" fillId="12" borderId="117" xfId="0" applyNumberFormat="1" applyFill="1" applyBorder="1" applyAlignment="1">
      <alignment horizontal="right" vertical="center" wrapText="1" indent="1"/>
    </xf>
    <xf numFmtId="4" fontId="28" fillId="25" borderId="26" xfId="0" applyNumberFormat="1" applyFont="1" applyFill="1" applyBorder="1" applyAlignment="1">
      <alignment horizontal="right" vertical="center" wrapText="1" indent="1"/>
    </xf>
    <xf numFmtId="4" fontId="0" fillId="0" borderId="26" xfId="0" applyNumberFormat="1" applyBorder="1" applyAlignment="1">
      <alignment horizontal="right" vertical="center" wrapText="1" indent="1"/>
    </xf>
    <xf numFmtId="4" fontId="0" fillId="0" borderId="7" xfId="0" applyNumberFormat="1" applyBorder="1" applyAlignment="1">
      <alignment horizontal="right" vertical="center" wrapText="1" indent="1"/>
    </xf>
    <xf numFmtId="0" fontId="0" fillId="0" borderId="52" xfId="0" applyBorder="1" applyAlignment="1">
      <alignment horizontal="center" vertical="center"/>
    </xf>
    <xf numFmtId="0" fontId="0" fillId="0" borderId="23" xfId="0" applyBorder="1" applyAlignment="1">
      <alignment horizontal="center" vertical="center"/>
    </xf>
    <xf numFmtId="166" fontId="28" fillId="24" borderId="42" xfId="0" applyNumberFormat="1" applyFont="1" applyFill="1" applyBorder="1" applyAlignment="1">
      <alignment horizontal="left" vertical="center" wrapText="1" indent="1"/>
    </xf>
    <xf numFmtId="183" fontId="48" fillId="24" borderId="42" xfId="0" applyNumberFormat="1" applyFont="1" applyFill="1" applyBorder="1" applyAlignment="1">
      <alignment horizontal="right" vertical="center" wrapText="1" indent="1"/>
    </xf>
    <xf numFmtId="183" fontId="13" fillId="24" borderId="44" xfId="0" applyNumberFormat="1" applyFont="1" applyFill="1" applyBorder="1" applyAlignment="1">
      <alignment horizontal="right" vertical="center" wrapText="1" indent="1"/>
    </xf>
    <xf numFmtId="166" fontId="1" fillId="25" borderId="52" xfId="0" applyNumberFormat="1" applyFont="1" applyFill="1" applyBorder="1" applyAlignment="1">
      <alignment horizontal="left" vertical="center" wrapText="1" indent="1"/>
    </xf>
    <xf numFmtId="166" fontId="1" fillId="25" borderId="23" xfId="0" applyNumberFormat="1" applyFont="1" applyFill="1" applyBorder="1" applyAlignment="1">
      <alignment horizontal="left" vertical="center" wrapText="1" indent="1"/>
    </xf>
    <xf numFmtId="1" fontId="1" fillId="25" borderId="23" xfId="0" applyNumberFormat="1" applyFont="1" applyFill="1" applyBorder="1" applyAlignment="1">
      <alignment horizontal="center" vertical="center" wrapText="1"/>
    </xf>
    <xf numFmtId="166" fontId="1" fillId="25" borderId="34" xfId="0" applyNumberFormat="1" applyFont="1" applyFill="1" applyBorder="1" applyAlignment="1">
      <alignment horizontal="left" vertical="center" wrapText="1" indent="1"/>
    </xf>
    <xf numFmtId="183" fontId="4" fillId="25" borderId="52" xfId="0" applyNumberFormat="1" applyFont="1" applyFill="1" applyBorder="1" applyAlignment="1">
      <alignment horizontal="left" vertical="center" wrapText="1" indent="1"/>
    </xf>
    <xf numFmtId="183" fontId="1" fillId="25" borderId="115" xfId="0" applyNumberFormat="1" applyFont="1" applyFill="1" applyBorder="1" applyAlignment="1">
      <alignment horizontal="left" vertical="center" wrapText="1" indent="1"/>
    </xf>
    <xf numFmtId="4" fontId="56" fillId="25" borderId="23" xfId="0" applyNumberFormat="1" applyFont="1" applyFill="1" applyBorder="1" applyAlignment="1">
      <alignment horizontal="right" vertical="center" wrapText="1" indent="1"/>
    </xf>
    <xf numFmtId="173" fontId="1" fillId="25" borderId="34" xfId="0" applyNumberFormat="1" applyFont="1" applyFill="1" applyBorder="1" applyAlignment="1">
      <alignment horizontal="left" vertical="center" wrapText="1" indent="1"/>
    </xf>
    <xf numFmtId="166" fontId="28" fillId="25" borderId="52" xfId="0" applyNumberFormat="1" applyFont="1" applyFill="1" applyBorder="1" applyAlignment="1">
      <alignment horizontal="left" vertical="center" wrapText="1" indent="1"/>
    </xf>
    <xf numFmtId="166" fontId="1" fillId="25" borderId="116" xfId="0" applyNumberFormat="1" applyFont="1" applyFill="1" applyBorder="1" applyAlignment="1">
      <alignment horizontal="left" vertical="center" wrapText="1" indent="1"/>
    </xf>
    <xf numFmtId="166" fontId="48" fillId="25" borderId="23" xfId="0" applyNumberFormat="1" applyFont="1" applyFill="1" applyBorder="1" applyAlignment="1">
      <alignment horizontal="right" vertical="center" wrapText="1" indent="1"/>
    </xf>
    <xf numFmtId="166" fontId="57" fillId="25" borderId="23" xfId="0" applyNumberFormat="1" applyFont="1" applyFill="1" applyBorder="1" applyAlignment="1">
      <alignment horizontal="right" vertical="center" wrapText="1" indent="1"/>
    </xf>
    <xf numFmtId="173" fontId="1" fillId="25" borderId="23" xfId="0" applyNumberFormat="1" applyFont="1" applyFill="1" applyBorder="1" applyAlignment="1">
      <alignment horizontal="right" vertical="center" wrapText="1" indent="1"/>
    </xf>
    <xf numFmtId="183" fontId="57" fillId="25" borderId="69" xfId="0" applyNumberFormat="1" applyFont="1" applyFill="1" applyBorder="1" applyAlignment="1">
      <alignment horizontal="right" vertical="center" wrapText="1" indent="1"/>
    </xf>
    <xf numFmtId="183" fontId="57" fillId="25" borderId="116" xfId="0" applyNumberFormat="1" applyFont="1" applyFill="1" applyBorder="1" applyAlignment="1">
      <alignment horizontal="right" vertical="center" wrapText="1" indent="1"/>
    </xf>
    <xf numFmtId="183" fontId="48" fillId="25" borderId="23" xfId="0" applyNumberFormat="1" applyFont="1" applyFill="1" applyBorder="1" applyAlignment="1">
      <alignment horizontal="right" vertical="center" wrapText="1" indent="1"/>
    </xf>
    <xf numFmtId="183" fontId="48" fillId="25" borderId="34" xfId="0" applyNumberFormat="1" applyFont="1" applyFill="1" applyBorder="1" applyAlignment="1">
      <alignment horizontal="right" vertical="center" wrapText="1" indent="1"/>
    </xf>
    <xf numFmtId="183" fontId="48" fillId="25" borderId="69" xfId="0" applyNumberFormat="1" applyFont="1" applyFill="1" applyBorder="1" applyAlignment="1">
      <alignment horizontal="right" vertical="center" wrapText="1" indent="1"/>
    </xf>
    <xf numFmtId="183" fontId="57" fillId="25" borderId="52" xfId="0" applyNumberFormat="1" applyFont="1" applyFill="1" applyBorder="1" applyAlignment="1">
      <alignment horizontal="right" vertical="center" wrapText="1" indent="1"/>
    </xf>
    <xf numFmtId="183" fontId="13" fillId="25" borderId="114" xfId="0" applyNumberFormat="1" applyFont="1" applyFill="1" applyBorder="1" applyAlignment="1">
      <alignment horizontal="right" vertical="center" wrapText="1" indent="1"/>
    </xf>
    <xf numFmtId="183" fontId="48" fillId="25" borderId="52" xfId="0" applyNumberFormat="1" applyFont="1" applyFill="1" applyBorder="1" applyAlignment="1">
      <alignment horizontal="right" vertical="center" wrapText="1" indent="1"/>
    </xf>
    <xf numFmtId="183" fontId="13" fillId="25" borderId="34" xfId="0" applyNumberFormat="1" applyFont="1" applyFill="1" applyBorder="1" applyAlignment="1">
      <alignment horizontal="right" vertical="center" wrapText="1" indent="1"/>
    </xf>
    <xf numFmtId="166" fontId="1" fillId="0" borderId="146" xfId="0" applyNumberFormat="1" applyFont="1" applyFill="1" applyBorder="1" applyAlignment="1">
      <alignment vertical="center" wrapText="1"/>
    </xf>
    <xf numFmtId="166" fontId="1" fillId="0" borderId="205" xfId="0" applyNumberFormat="1" applyFont="1" applyFill="1" applyBorder="1" applyAlignment="1">
      <alignment horizontal="left" vertical="center" wrapText="1" indent="1"/>
    </xf>
    <xf numFmtId="1" fontId="1" fillId="0" borderId="205" xfId="0" applyNumberFormat="1" applyFont="1" applyFill="1" applyBorder="1" applyAlignment="1">
      <alignment horizontal="center" vertical="center" wrapText="1"/>
    </xf>
    <xf numFmtId="166" fontId="1" fillId="0" borderId="205" xfId="0" applyNumberFormat="1" applyFont="1" applyFill="1" applyBorder="1" applyAlignment="1">
      <alignment vertical="center" wrapText="1"/>
    </xf>
    <xf numFmtId="183" fontId="4" fillId="0" borderId="146" xfId="0" applyNumberFormat="1" applyFont="1" applyFill="1" applyBorder="1" applyAlignment="1">
      <alignment vertical="center" wrapText="1"/>
    </xf>
    <xf numFmtId="183" fontId="4" fillId="0" borderId="205" xfId="0" applyNumberFormat="1" applyFont="1" applyFill="1" applyBorder="1" applyAlignment="1">
      <alignment vertical="center" wrapText="1"/>
    </xf>
    <xf numFmtId="0" fontId="0" fillId="0" borderId="205" xfId="0" applyFill="1" applyBorder="1" applyAlignment="1"/>
    <xf numFmtId="9" fontId="0" fillId="0" borderId="205" xfId="0" applyNumberFormat="1" applyFill="1" applyBorder="1" applyAlignment="1">
      <alignment horizontal="center" vertical="center" wrapText="1"/>
    </xf>
    <xf numFmtId="0" fontId="0" fillId="0" borderId="206" xfId="0" applyFill="1" applyBorder="1" applyAlignment="1"/>
    <xf numFmtId="166" fontId="28" fillId="0" borderId="146" xfId="0" applyNumberFormat="1" applyFont="1" applyFill="1" applyBorder="1" applyAlignment="1">
      <alignment horizontal="center" vertical="center" wrapText="1"/>
    </xf>
    <xf numFmtId="166" fontId="28" fillId="0" borderId="144" xfId="0" applyNumberFormat="1" applyFont="1" applyFill="1" applyBorder="1" applyAlignment="1">
      <alignment horizontal="center" vertical="center" wrapText="1"/>
    </xf>
    <xf numFmtId="166" fontId="28" fillId="0" borderId="205" xfId="0" applyNumberFormat="1" applyFont="1" applyFill="1" applyBorder="1" applyAlignment="1">
      <alignment horizontal="center" vertical="center" wrapText="1"/>
    </xf>
    <xf numFmtId="166" fontId="28" fillId="0" borderId="206" xfId="0" applyNumberFormat="1" applyFont="1" applyFill="1" applyBorder="1" applyAlignment="1">
      <alignment horizontal="center" vertical="center" wrapText="1"/>
    </xf>
    <xf numFmtId="166" fontId="1" fillId="24" borderId="205" xfId="0" applyNumberFormat="1" applyFont="1" applyFill="1" applyBorder="1" applyAlignment="1">
      <alignment horizontal="left" vertical="center" wrapText="1" indent="1"/>
    </xf>
    <xf numFmtId="166" fontId="1" fillId="0" borderId="154" xfId="0" applyNumberFormat="1" applyFont="1" applyFill="1" applyBorder="1" applyAlignment="1">
      <alignment horizontal="center" vertical="center" wrapText="1"/>
    </xf>
    <xf numFmtId="14" fontId="1" fillId="25" borderId="130" xfId="0" applyNumberFormat="1" applyFont="1" applyFill="1" applyBorder="1" applyAlignment="1">
      <alignment horizontal="center" vertical="center" wrapText="1"/>
    </xf>
    <xf numFmtId="166" fontId="1" fillId="0" borderId="205" xfId="0" applyNumberFormat="1" applyFont="1" applyFill="1" applyBorder="1" applyAlignment="1">
      <alignment horizontal="center" vertical="center" wrapText="1"/>
    </xf>
    <xf numFmtId="166" fontId="1" fillId="24" borderId="205" xfId="0" applyNumberFormat="1" applyFont="1" applyFill="1" applyBorder="1" applyAlignment="1">
      <alignment horizontal="center" vertical="center" wrapText="1"/>
    </xf>
    <xf numFmtId="166" fontId="1" fillId="27" borderId="205" xfId="0" applyNumberFormat="1" applyFont="1" applyFill="1" applyBorder="1" applyAlignment="1">
      <alignment horizontal="center" vertical="center" wrapText="1"/>
    </xf>
    <xf numFmtId="166" fontId="1" fillId="27" borderId="210" xfId="0" applyNumberFormat="1" applyFont="1" applyFill="1" applyBorder="1" applyAlignment="1">
      <alignment horizontal="center" vertical="center" wrapText="1"/>
    </xf>
    <xf numFmtId="166" fontId="1" fillId="0" borderId="150" xfId="0" applyNumberFormat="1" applyFont="1" applyFill="1" applyBorder="1" applyAlignment="1">
      <alignment horizontal="center" vertical="center" wrapText="1"/>
    </xf>
    <xf numFmtId="166" fontId="1" fillId="25" borderId="154" xfId="0" applyNumberFormat="1" applyFont="1" applyFill="1" applyBorder="1" applyAlignment="1">
      <alignment horizontal="center" vertical="center" wrapText="1"/>
    </xf>
    <xf numFmtId="166" fontId="1" fillId="24" borderId="154" xfId="0" applyNumberFormat="1" applyFont="1" applyFill="1" applyBorder="1" applyAlignment="1">
      <alignment horizontal="center" vertical="center" wrapText="1"/>
    </xf>
    <xf numFmtId="166" fontId="1" fillId="15" borderId="154" xfId="0" applyNumberFormat="1" applyFont="1" applyFill="1" applyBorder="1" applyAlignment="1">
      <alignment horizontal="center" vertical="center" wrapText="1"/>
    </xf>
    <xf numFmtId="166" fontId="1" fillId="27" borderId="158" xfId="0" applyNumberFormat="1" applyFont="1" applyFill="1" applyBorder="1" applyAlignment="1">
      <alignment horizontal="center" vertical="center" wrapText="1"/>
    </xf>
    <xf numFmtId="166" fontId="1" fillId="25" borderId="150" xfId="0" applyNumberFormat="1" applyFont="1" applyFill="1" applyBorder="1" applyAlignment="1">
      <alignment horizontal="center" vertical="center" wrapText="1"/>
    </xf>
    <xf numFmtId="166" fontId="1" fillId="24" borderId="7" xfId="0" applyNumberFormat="1" applyFont="1" applyFill="1" applyBorder="1" applyAlignment="1">
      <alignment horizontal="center" vertical="center" wrapText="1"/>
    </xf>
    <xf numFmtId="166" fontId="0" fillId="12" borderId="178" xfId="0" applyNumberFormat="1" applyFont="1" applyFill="1" applyBorder="1" applyAlignment="1">
      <alignment horizontal="center" vertical="center" wrapText="1"/>
    </xf>
    <xf numFmtId="166" fontId="0" fillId="12" borderId="179" xfId="0" applyNumberFormat="1" applyFont="1" applyFill="1" applyBorder="1" applyAlignment="1">
      <alignment horizontal="center" vertical="center" wrapText="1"/>
    </xf>
    <xf numFmtId="166" fontId="0" fillId="12" borderId="180" xfId="0" applyNumberFormat="1" applyFont="1" applyFill="1" applyBorder="1" applyAlignment="1">
      <alignment horizontal="center" vertical="center" wrapText="1"/>
    </xf>
    <xf numFmtId="166" fontId="0" fillId="12" borderId="181" xfId="0" applyNumberFormat="1" applyFont="1" applyFill="1" applyBorder="1" applyAlignment="1">
      <alignment horizontal="center" vertical="center" wrapText="1"/>
    </xf>
    <xf numFmtId="166" fontId="0" fillId="12" borderId="117" xfId="0" applyNumberFormat="1" applyFont="1" applyFill="1" applyBorder="1" applyAlignment="1">
      <alignment horizontal="center" vertical="center" wrapText="1"/>
    </xf>
    <xf numFmtId="166" fontId="1" fillId="24" borderId="23" xfId="0" applyNumberFormat="1" applyFont="1" applyFill="1" applyBorder="1" applyAlignment="1">
      <alignment horizontal="center" vertical="center" wrapText="1"/>
    </xf>
    <xf numFmtId="166" fontId="1" fillId="25" borderId="23" xfId="0" applyNumberFormat="1" applyFont="1" applyFill="1" applyBorder="1" applyAlignment="1">
      <alignment horizontal="center" vertical="center" wrapText="1"/>
    </xf>
    <xf numFmtId="166" fontId="0" fillId="25" borderId="23" xfId="0" applyNumberFormat="1" applyFont="1" applyFill="1" applyBorder="1" applyAlignment="1">
      <alignment horizontal="center" vertical="center" wrapText="1"/>
    </xf>
    <xf numFmtId="166" fontId="1" fillId="25" borderId="175" xfId="0" applyNumberFormat="1" applyFont="1" applyFill="1" applyBorder="1" applyAlignment="1">
      <alignment horizontal="center" vertical="center" wrapText="1"/>
    </xf>
    <xf numFmtId="166" fontId="1" fillId="12" borderId="27" xfId="0" applyNumberFormat="1" applyFont="1" applyFill="1" applyBorder="1" applyAlignment="1">
      <alignment horizontal="center" vertical="center" wrapText="1"/>
    </xf>
    <xf numFmtId="183" fontId="0" fillId="0" borderId="150" xfId="0" applyNumberFormat="1" applyFill="1" applyBorder="1" applyAlignment="1">
      <alignment horizontal="right" vertical="center" wrapText="1" indent="1"/>
    </xf>
    <xf numFmtId="183" fontId="0" fillId="0" borderId="151" xfId="0" applyNumberFormat="1" applyFill="1" applyBorder="1" applyAlignment="1">
      <alignment horizontal="right" vertical="center" wrapText="1" indent="1"/>
    </xf>
    <xf numFmtId="183" fontId="0" fillId="0" borderId="148" xfId="0" applyNumberFormat="1" applyFill="1" applyBorder="1" applyAlignment="1">
      <alignment horizontal="right" vertical="center" wrapText="1" indent="1"/>
    </xf>
    <xf numFmtId="183" fontId="0" fillId="0" borderId="154" xfId="0" applyNumberFormat="1" applyFill="1" applyBorder="1" applyAlignment="1">
      <alignment horizontal="right" vertical="center" wrapText="1" indent="1"/>
    </xf>
    <xf numFmtId="183" fontId="0" fillId="0" borderId="155" xfId="0" applyNumberFormat="1" applyFill="1" applyBorder="1" applyAlignment="1">
      <alignment horizontal="right" vertical="center" wrapText="1" indent="1"/>
    </xf>
    <xf numFmtId="183" fontId="0" fillId="0" borderId="152" xfId="0" applyNumberFormat="1" applyFill="1" applyBorder="1" applyAlignment="1">
      <alignment horizontal="right" vertical="center" wrapText="1" indent="1"/>
    </xf>
    <xf numFmtId="183" fontId="0" fillId="25" borderId="152" xfId="0" applyNumberFormat="1" applyFill="1" applyBorder="1" applyAlignment="1">
      <alignment horizontal="right" vertical="center" wrapText="1" indent="1"/>
    </xf>
    <xf numFmtId="183" fontId="0" fillId="25" borderId="154" xfId="0" applyNumberFormat="1" applyFill="1" applyBorder="1" applyAlignment="1">
      <alignment horizontal="right" vertical="center" wrapText="1" indent="1"/>
    </xf>
    <xf numFmtId="183" fontId="0" fillId="25" borderId="155" xfId="0" applyNumberFormat="1" applyFill="1" applyBorder="1" applyAlignment="1">
      <alignment horizontal="right" vertical="center" wrapText="1" indent="1"/>
    </xf>
    <xf numFmtId="183" fontId="0" fillId="24" borderId="152" xfId="0" applyNumberFormat="1" applyFill="1" applyBorder="1" applyAlignment="1">
      <alignment horizontal="right" vertical="center" wrapText="1" indent="1"/>
    </xf>
    <xf numFmtId="183" fontId="0" fillId="24" borderId="154" xfId="0" applyNumberFormat="1" applyFill="1" applyBorder="1" applyAlignment="1">
      <alignment horizontal="right" vertical="center" wrapText="1" indent="1"/>
    </xf>
    <xf numFmtId="183" fontId="0" fillId="24" borderId="155" xfId="0" applyNumberFormat="1" applyFill="1" applyBorder="1" applyAlignment="1">
      <alignment horizontal="right" vertical="center" wrapText="1" indent="1"/>
    </xf>
    <xf numFmtId="183" fontId="0" fillId="15" borderId="152" xfId="0" applyNumberFormat="1" applyFill="1" applyBorder="1" applyAlignment="1">
      <alignment horizontal="right" vertical="center" wrapText="1" indent="1"/>
    </xf>
    <xf numFmtId="183" fontId="0" fillId="15" borderId="154" xfId="0" applyNumberFormat="1" applyFill="1" applyBorder="1" applyAlignment="1">
      <alignment horizontal="right" vertical="center" wrapText="1" indent="1"/>
    </xf>
    <xf numFmtId="183" fontId="0" fillId="15" borderId="155" xfId="0" applyNumberFormat="1" applyFill="1" applyBorder="1" applyAlignment="1">
      <alignment horizontal="right" vertical="center" wrapText="1" indent="1"/>
    </xf>
    <xf numFmtId="0" fontId="13" fillId="0" borderId="17" xfId="0" applyFont="1" applyFill="1" applyBorder="1" applyAlignment="1">
      <alignment horizontal="right" vertical="center" wrapText="1" indent="2"/>
    </xf>
    <xf numFmtId="0" fontId="13" fillId="0" borderId="18" xfId="0" applyFont="1" applyFill="1" applyBorder="1" applyAlignment="1">
      <alignment horizontal="right" vertical="center" wrapText="1" indent="2"/>
    </xf>
    <xf numFmtId="0" fontId="0" fillId="0" borderId="39" xfId="0" applyFill="1" applyBorder="1" applyAlignment="1">
      <alignment horizontal="right" vertical="center" wrapText="1" indent="2"/>
    </xf>
    <xf numFmtId="0" fontId="0" fillId="0" borderId="17" xfId="0" applyFill="1" applyBorder="1" applyAlignment="1">
      <alignment horizontal="right" vertical="center" wrapText="1" indent="2"/>
    </xf>
    <xf numFmtId="0" fontId="0" fillId="0" borderId="18" xfId="0" applyFill="1" applyBorder="1" applyAlignment="1">
      <alignment horizontal="right" vertical="center" wrapText="1" indent="2"/>
    </xf>
    <xf numFmtId="0" fontId="0" fillId="0" borderId="32" xfId="0" applyFill="1" applyBorder="1" applyAlignment="1">
      <alignment horizontal="right" vertical="center" wrapText="1" indent="2"/>
    </xf>
    <xf numFmtId="0" fontId="13" fillId="0" borderId="39" xfId="0" applyFont="1" applyFill="1" applyBorder="1" applyAlignment="1">
      <alignment horizontal="right" vertical="center" wrapText="1" indent="2"/>
    </xf>
    <xf numFmtId="0" fontId="13" fillId="0" borderId="32" xfId="0" applyFont="1" applyFill="1" applyBorder="1" applyAlignment="1">
      <alignment horizontal="right" vertical="center" wrapText="1" indent="2"/>
    </xf>
    <xf numFmtId="0" fontId="13" fillId="0" borderId="55" xfId="0" applyFont="1" applyFill="1" applyBorder="1" applyAlignment="1">
      <alignment horizontal="right" vertical="center" wrapText="1" indent="2"/>
    </xf>
    <xf numFmtId="183" fontId="4" fillId="25" borderId="145" xfId="0" applyNumberFormat="1" applyFont="1" applyFill="1" applyBorder="1" applyAlignment="1">
      <alignment horizontal="right" vertical="center" wrapText="1" indent="1"/>
    </xf>
    <xf numFmtId="183" fontId="32" fillId="25" borderId="203" xfId="0" applyNumberFormat="1" applyFont="1" applyFill="1" applyBorder="1" applyAlignment="1">
      <alignment horizontal="right" vertical="center" wrapText="1" indent="2"/>
    </xf>
    <xf numFmtId="9" fontId="0" fillId="25" borderId="145" xfId="0" applyNumberFormat="1" applyFill="1" applyBorder="1" applyAlignment="1">
      <alignment horizontal="right" vertical="center" wrapText="1" indent="1"/>
    </xf>
    <xf numFmtId="183" fontId="0" fillId="25" borderId="130" xfId="0" applyNumberFormat="1" applyFill="1" applyBorder="1" applyAlignment="1">
      <alignment horizontal="right" vertical="center" wrapText="1" indent="1"/>
    </xf>
    <xf numFmtId="183" fontId="0" fillId="25" borderId="199" xfId="0" applyNumberFormat="1" applyFill="1" applyBorder="1" applyAlignment="1">
      <alignment horizontal="right" vertical="center" wrapText="1" indent="1"/>
    </xf>
    <xf numFmtId="183" fontId="0" fillId="25" borderId="145" xfId="0" applyNumberFormat="1" applyFill="1" applyBorder="1" applyAlignment="1">
      <alignment horizontal="right" vertical="center" wrapText="1" indent="1"/>
    </xf>
    <xf numFmtId="183" fontId="32" fillId="25" borderId="145" xfId="0" applyNumberFormat="1" applyFont="1" applyFill="1" applyBorder="1" applyAlignment="1">
      <alignment horizontal="right" vertical="center" wrapText="1" indent="2"/>
    </xf>
    <xf numFmtId="183" fontId="32" fillId="25" borderId="130" xfId="0" applyNumberFormat="1" applyFont="1" applyFill="1" applyBorder="1" applyAlignment="1">
      <alignment horizontal="right" vertical="center" wrapText="1" indent="2"/>
    </xf>
    <xf numFmtId="183" fontId="32" fillId="25" borderId="199" xfId="0" applyNumberFormat="1" applyFont="1" applyFill="1" applyBorder="1" applyAlignment="1">
      <alignment horizontal="right" vertical="center" wrapText="1" indent="2"/>
    </xf>
    <xf numFmtId="183" fontId="32" fillId="25" borderId="202" xfId="0" applyNumberFormat="1" applyFont="1" applyFill="1" applyBorder="1" applyAlignment="1">
      <alignment horizontal="right" vertical="center" wrapText="1" indent="2"/>
    </xf>
    <xf numFmtId="183" fontId="4" fillId="0" borderId="146" xfId="0" applyNumberFormat="1" applyFont="1" applyFill="1" applyBorder="1" applyAlignment="1">
      <alignment horizontal="right" vertical="center" wrapText="1" indent="1"/>
    </xf>
    <xf numFmtId="183" fontId="32" fillId="0" borderId="209" xfId="0" applyNumberFormat="1" applyFont="1" applyFill="1" applyBorder="1" applyAlignment="1">
      <alignment horizontal="right" vertical="center" wrapText="1" indent="2"/>
    </xf>
    <xf numFmtId="9" fontId="0" fillId="0" borderId="146" xfId="0" applyNumberFormat="1" applyFill="1" applyBorder="1" applyAlignment="1">
      <alignment horizontal="right" vertical="center" wrapText="1" indent="1"/>
    </xf>
    <xf numFmtId="183" fontId="0" fillId="0" borderId="205" xfId="0" applyNumberFormat="1" applyFill="1" applyBorder="1" applyAlignment="1">
      <alignment horizontal="right" vertical="center" wrapText="1" indent="1"/>
    </xf>
    <xf numFmtId="183" fontId="0" fillId="0" borderId="206" xfId="0" applyNumberFormat="1" applyFill="1" applyBorder="1" applyAlignment="1">
      <alignment horizontal="right" vertical="center" wrapText="1" indent="1"/>
    </xf>
    <xf numFmtId="183" fontId="0" fillId="0" borderId="146" xfId="0" applyNumberFormat="1" applyFill="1" applyBorder="1" applyAlignment="1">
      <alignment horizontal="right" vertical="center" wrapText="1" indent="1"/>
    </xf>
    <xf numFmtId="183" fontId="32" fillId="0" borderId="146" xfId="0" applyNumberFormat="1" applyFont="1" applyFill="1" applyBorder="1" applyAlignment="1">
      <alignment horizontal="right" vertical="center" wrapText="1" indent="2"/>
    </xf>
    <xf numFmtId="183" fontId="32" fillId="0" borderId="205" xfId="0" applyNumberFormat="1" applyFont="1" applyFill="1" applyBorder="1" applyAlignment="1">
      <alignment horizontal="right" vertical="center" wrapText="1" indent="2"/>
    </xf>
    <xf numFmtId="183" fontId="32" fillId="0" borderId="206" xfId="0" applyNumberFormat="1" applyFont="1" applyFill="1" applyBorder="1" applyAlignment="1">
      <alignment horizontal="right" vertical="center" wrapText="1" indent="2"/>
    </xf>
    <xf numFmtId="183" fontId="32" fillId="0" borderId="208" xfId="0" applyNumberFormat="1" applyFont="1" applyFill="1" applyBorder="1" applyAlignment="1">
      <alignment horizontal="right" vertical="center" wrapText="1" indent="2"/>
    </xf>
    <xf numFmtId="183" fontId="4" fillId="24" borderId="146" xfId="0" applyNumberFormat="1" applyFont="1" applyFill="1" applyBorder="1" applyAlignment="1">
      <alignment horizontal="right" vertical="center" wrapText="1" indent="1"/>
    </xf>
    <xf numFmtId="183" fontId="32" fillId="24" borderId="209" xfId="0" applyNumberFormat="1" applyFont="1" applyFill="1" applyBorder="1" applyAlignment="1">
      <alignment horizontal="right" vertical="center" wrapText="1" indent="2"/>
    </xf>
    <xf numFmtId="9" fontId="0" fillId="24" borderId="146" xfId="0" applyNumberFormat="1" applyFill="1" applyBorder="1" applyAlignment="1">
      <alignment horizontal="right" vertical="center" wrapText="1" indent="1"/>
    </xf>
    <xf numFmtId="183" fontId="0" fillId="24" borderId="205" xfId="0" applyNumberFormat="1" applyFill="1" applyBorder="1" applyAlignment="1">
      <alignment horizontal="right" vertical="center" wrapText="1" indent="1"/>
    </xf>
    <xf numFmtId="183" fontId="0" fillId="24" borderId="206" xfId="0" applyNumberFormat="1" applyFill="1" applyBorder="1" applyAlignment="1">
      <alignment horizontal="right" vertical="center" wrapText="1" indent="1"/>
    </xf>
    <xf numFmtId="183" fontId="0" fillId="24" borderId="146" xfId="0" applyNumberFormat="1" applyFill="1" applyBorder="1" applyAlignment="1">
      <alignment horizontal="right" vertical="center" wrapText="1" indent="1"/>
    </xf>
    <xf numFmtId="183" fontId="32" fillId="24" borderId="146" xfId="0" applyNumberFormat="1" applyFont="1" applyFill="1" applyBorder="1" applyAlignment="1">
      <alignment horizontal="right" vertical="center" wrapText="1" indent="2"/>
    </xf>
    <xf numFmtId="183" fontId="32" fillId="24" borderId="205" xfId="0" applyNumberFormat="1" applyFont="1" applyFill="1" applyBorder="1" applyAlignment="1">
      <alignment horizontal="right" vertical="center" wrapText="1" indent="2"/>
    </xf>
    <xf numFmtId="183" fontId="32" fillId="24" borderId="206" xfId="0" applyNumberFormat="1" applyFont="1" applyFill="1" applyBorder="1" applyAlignment="1">
      <alignment horizontal="right" vertical="center" wrapText="1" indent="2"/>
    </xf>
    <xf numFmtId="183" fontId="32" fillId="24" borderId="208" xfId="0" applyNumberFormat="1" applyFont="1" applyFill="1" applyBorder="1" applyAlignment="1">
      <alignment horizontal="right" vertical="center" wrapText="1" indent="2"/>
    </xf>
    <xf numFmtId="183" fontId="4" fillId="27" borderId="146" xfId="0" applyNumberFormat="1" applyFont="1" applyFill="1" applyBorder="1" applyAlignment="1">
      <alignment horizontal="right" vertical="center" wrapText="1" indent="1"/>
    </xf>
    <xf numFmtId="183" fontId="32" fillId="27" borderId="206" xfId="0" applyNumberFormat="1" applyFont="1" applyFill="1" applyBorder="1" applyAlignment="1">
      <alignment horizontal="right" vertical="center" wrapText="1" indent="2"/>
    </xf>
    <xf numFmtId="183" fontId="0" fillId="27" borderId="205" xfId="0" applyNumberFormat="1" applyFill="1" applyBorder="1" applyAlignment="1">
      <alignment horizontal="right" vertical="center" wrapText="1" indent="1"/>
    </xf>
    <xf numFmtId="183" fontId="0" fillId="27" borderId="206" xfId="0" applyNumberFormat="1" applyFill="1" applyBorder="1" applyAlignment="1">
      <alignment horizontal="right" vertical="center" wrapText="1" indent="1"/>
    </xf>
    <xf numFmtId="183" fontId="0" fillId="27" borderId="146" xfId="0" applyNumberFormat="1" applyFill="1" applyBorder="1" applyAlignment="1">
      <alignment horizontal="right" vertical="center" wrapText="1" indent="1"/>
    </xf>
    <xf numFmtId="183" fontId="32" fillId="27" borderId="146" xfId="0" applyNumberFormat="1" applyFont="1" applyFill="1" applyBorder="1" applyAlignment="1">
      <alignment horizontal="right" vertical="center" wrapText="1" indent="2"/>
    </xf>
    <xf numFmtId="183" fontId="32" fillId="27" borderId="205" xfId="0" applyNumberFormat="1" applyFont="1" applyFill="1" applyBorder="1" applyAlignment="1">
      <alignment horizontal="right" vertical="center" wrapText="1" indent="2"/>
    </xf>
    <xf numFmtId="183" fontId="32" fillId="27" borderId="208" xfId="0" applyNumberFormat="1" applyFont="1" applyFill="1" applyBorder="1" applyAlignment="1">
      <alignment horizontal="right" vertical="center" wrapText="1" indent="2"/>
    </xf>
    <xf numFmtId="183" fontId="32" fillId="27" borderId="209" xfId="0" applyNumberFormat="1" applyFont="1" applyFill="1" applyBorder="1" applyAlignment="1">
      <alignment horizontal="right" vertical="center" wrapText="1" indent="2"/>
    </xf>
    <xf numFmtId="183" fontId="4" fillId="27" borderId="147" xfId="0" applyNumberFormat="1" applyFont="1" applyFill="1" applyBorder="1" applyAlignment="1">
      <alignment horizontal="right" vertical="center" wrapText="1" indent="1"/>
    </xf>
    <xf numFmtId="183" fontId="32" fillId="27" borderId="211" xfId="0" applyNumberFormat="1" applyFont="1" applyFill="1" applyBorder="1" applyAlignment="1">
      <alignment horizontal="right" vertical="center" wrapText="1" indent="2"/>
    </xf>
    <xf numFmtId="183" fontId="0" fillId="27" borderId="210" xfId="0" applyNumberFormat="1" applyFill="1" applyBorder="1" applyAlignment="1">
      <alignment horizontal="right" vertical="center" wrapText="1" indent="1"/>
    </xf>
    <xf numFmtId="183" fontId="0" fillId="27" borderId="211" xfId="0" applyNumberFormat="1" applyFill="1" applyBorder="1" applyAlignment="1">
      <alignment horizontal="right" vertical="center" wrapText="1" indent="1"/>
    </xf>
    <xf numFmtId="183" fontId="0" fillId="27" borderId="147" xfId="0" applyNumberFormat="1" applyFill="1" applyBorder="1" applyAlignment="1">
      <alignment horizontal="right" vertical="center" wrapText="1" indent="1"/>
    </xf>
    <xf numFmtId="183" fontId="32" fillId="27" borderId="147" xfId="0" applyNumberFormat="1" applyFont="1" applyFill="1" applyBorder="1" applyAlignment="1">
      <alignment horizontal="right" vertical="center" wrapText="1" indent="2"/>
    </xf>
    <xf numFmtId="183" fontId="32" fillId="27" borderId="210" xfId="0" applyNumberFormat="1" applyFont="1" applyFill="1" applyBorder="1" applyAlignment="1">
      <alignment horizontal="right" vertical="center" wrapText="1" indent="2"/>
    </xf>
    <xf numFmtId="183" fontId="32" fillId="27" borderId="214" xfId="0" applyNumberFormat="1" applyFont="1" applyFill="1" applyBorder="1" applyAlignment="1">
      <alignment horizontal="right" vertical="center" wrapText="1" indent="2"/>
    </xf>
    <xf numFmtId="183" fontId="32" fillId="27" borderId="215" xfId="0" applyNumberFormat="1" applyFont="1" applyFill="1" applyBorder="1" applyAlignment="1">
      <alignment horizontal="right" vertical="center" wrapText="1" indent="2"/>
    </xf>
    <xf numFmtId="166" fontId="9" fillId="0" borderId="148" xfId="0" applyNumberFormat="1" applyFont="1" applyFill="1" applyBorder="1" applyAlignment="1">
      <alignment horizontal="right" vertical="center" wrapText="1" indent="2"/>
    </xf>
    <xf numFmtId="166" fontId="9" fillId="0" borderId="151" xfId="0" applyNumberFormat="1" applyFont="1" applyFill="1" applyBorder="1" applyAlignment="1">
      <alignment horizontal="right" vertical="center" wrapText="1" indent="2"/>
    </xf>
    <xf numFmtId="166" fontId="9" fillId="0" borderId="152" xfId="0" applyNumberFormat="1" applyFont="1" applyFill="1" applyBorder="1" applyAlignment="1">
      <alignment horizontal="right" vertical="center" wrapText="1" indent="2"/>
    </xf>
    <xf numFmtId="166" fontId="9" fillId="0" borderId="155" xfId="0" applyNumberFormat="1" applyFont="1" applyFill="1" applyBorder="1" applyAlignment="1">
      <alignment horizontal="right" vertical="center" wrapText="1" indent="2"/>
    </xf>
    <xf numFmtId="166" fontId="9" fillId="25" borderId="152" xfId="0" applyNumberFormat="1" applyFont="1" applyFill="1" applyBorder="1" applyAlignment="1">
      <alignment horizontal="right" vertical="center" wrapText="1" indent="2"/>
    </xf>
    <xf numFmtId="166" fontId="9" fillId="25" borderId="155" xfId="0" applyNumberFormat="1" applyFont="1" applyFill="1" applyBorder="1" applyAlignment="1">
      <alignment horizontal="right" vertical="center" wrapText="1" indent="2"/>
    </xf>
    <xf numFmtId="166" fontId="9" fillId="24" borderId="154" xfId="0" applyNumberFormat="1" applyFont="1" applyFill="1" applyBorder="1" applyAlignment="1">
      <alignment horizontal="right" vertical="center" wrapText="1" indent="2"/>
    </xf>
    <xf numFmtId="166" fontId="9" fillId="24" borderId="166" xfId="0" applyNumberFormat="1" applyFont="1" applyFill="1" applyBorder="1" applyAlignment="1">
      <alignment horizontal="right" vertical="center" wrapText="1" indent="2"/>
    </xf>
    <xf numFmtId="166" fontId="9" fillId="24" borderId="152" xfId="0" applyNumberFormat="1" applyFont="1" applyFill="1" applyBorder="1" applyAlignment="1">
      <alignment horizontal="right" vertical="center" wrapText="1" indent="2"/>
    </xf>
    <xf numFmtId="166" fontId="9" fillId="24" borderId="155" xfId="0" applyNumberFormat="1" applyFont="1" applyFill="1" applyBorder="1" applyAlignment="1">
      <alignment horizontal="right" vertical="center" wrapText="1" indent="2"/>
    </xf>
    <xf numFmtId="166" fontId="9" fillId="15" borderId="152" xfId="0" applyNumberFormat="1" applyFont="1" applyFill="1" applyBorder="1" applyAlignment="1">
      <alignment horizontal="right" vertical="center" wrapText="1" indent="2"/>
    </xf>
    <xf numFmtId="166" fontId="9" fillId="15" borderId="155" xfId="0" applyNumberFormat="1" applyFont="1" applyFill="1" applyBorder="1" applyAlignment="1">
      <alignment horizontal="right" vertical="center" wrapText="1" indent="2"/>
    </xf>
    <xf numFmtId="166" fontId="9" fillId="27" borderId="210" xfId="0" applyNumberFormat="1" applyFont="1" applyFill="1" applyBorder="1" applyAlignment="1">
      <alignment horizontal="right" vertical="center" wrapText="1" indent="2"/>
    </xf>
    <xf numFmtId="166" fontId="9" fillId="27" borderId="215" xfId="0" applyNumberFormat="1" applyFont="1" applyFill="1" applyBorder="1" applyAlignment="1">
      <alignment horizontal="right" vertical="center" wrapText="1" indent="2"/>
    </xf>
    <xf numFmtId="166" fontId="9" fillId="27" borderId="147" xfId="0" applyNumberFormat="1" applyFont="1" applyFill="1" applyBorder="1" applyAlignment="1">
      <alignment horizontal="right" vertical="center" wrapText="1" indent="2"/>
    </xf>
    <xf numFmtId="166" fontId="9" fillId="27" borderId="211" xfId="0" applyNumberFormat="1" applyFont="1" applyFill="1" applyBorder="1" applyAlignment="1">
      <alignment horizontal="right" vertical="center" wrapText="1" indent="2"/>
    </xf>
    <xf numFmtId="183" fontId="0" fillId="0" borderId="150" xfId="0" applyNumberFormat="1" applyFill="1" applyBorder="1" applyAlignment="1">
      <alignment horizontal="right" vertical="center" wrapText="1" indent="2"/>
    </xf>
    <xf numFmtId="183" fontId="0" fillId="0" borderId="162" xfId="0" applyNumberFormat="1" applyFill="1" applyBorder="1" applyAlignment="1">
      <alignment horizontal="right" vertical="center" wrapText="1" indent="2"/>
    </xf>
    <xf numFmtId="183" fontId="0" fillId="0" borderId="151" xfId="0" applyNumberFormat="1" applyFill="1" applyBorder="1" applyAlignment="1">
      <alignment horizontal="right" vertical="center" wrapText="1" indent="2"/>
    </xf>
    <xf numFmtId="183" fontId="0" fillId="0" borderId="148" xfId="0" applyNumberFormat="1" applyFill="1" applyBorder="1" applyAlignment="1">
      <alignment horizontal="right" vertical="center" wrapText="1" indent="2"/>
    </xf>
    <xf numFmtId="183" fontId="0" fillId="0" borderId="154" xfId="0" applyNumberFormat="1" applyFill="1" applyBorder="1" applyAlignment="1">
      <alignment horizontal="right" vertical="center" wrapText="1" indent="2"/>
    </xf>
    <xf numFmtId="183" fontId="0" fillId="0" borderId="166" xfId="0" applyNumberFormat="1" applyFill="1" applyBorder="1" applyAlignment="1">
      <alignment horizontal="right" vertical="center" wrapText="1" indent="2"/>
    </xf>
    <xf numFmtId="183" fontId="0" fillId="0" borderId="155" xfId="0" applyNumberFormat="1" applyFill="1" applyBorder="1" applyAlignment="1">
      <alignment horizontal="right" vertical="center" wrapText="1" indent="2"/>
    </xf>
    <xf numFmtId="183" fontId="0" fillId="0" borderId="152" xfId="0" applyNumberFormat="1" applyFill="1" applyBorder="1" applyAlignment="1">
      <alignment horizontal="right" vertical="center" wrapText="1" indent="2"/>
    </xf>
    <xf numFmtId="183" fontId="0" fillId="25" borderId="152" xfId="0" applyNumberFormat="1" applyFill="1" applyBorder="1" applyAlignment="1">
      <alignment horizontal="right" vertical="center" wrapText="1" indent="2"/>
    </xf>
    <xf numFmtId="183" fontId="0" fillId="25" borderId="154" xfId="0" applyNumberFormat="1" applyFill="1" applyBorder="1" applyAlignment="1">
      <alignment horizontal="right" vertical="center" wrapText="1" indent="2"/>
    </xf>
    <xf numFmtId="183" fontId="0" fillId="25" borderId="166" xfId="0" applyNumberFormat="1" applyFill="1" applyBorder="1" applyAlignment="1">
      <alignment horizontal="right" vertical="center" wrapText="1" indent="2"/>
    </xf>
    <xf numFmtId="183" fontId="0" fillId="25" borderId="155" xfId="0" applyNumberFormat="1" applyFill="1" applyBorder="1" applyAlignment="1">
      <alignment horizontal="right" vertical="center" wrapText="1" indent="2"/>
    </xf>
    <xf numFmtId="183" fontId="0" fillId="24" borderId="152" xfId="0" applyNumberFormat="1" applyFill="1" applyBorder="1" applyAlignment="1">
      <alignment horizontal="right" vertical="center" wrapText="1" indent="2"/>
    </xf>
    <xf numFmtId="183" fontId="0" fillId="24" borderId="154" xfId="0" applyNumberFormat="1" applyFill="1" applyBorder="1" applyAlignment="1">
      <alignment horizontal="right" vertical="center" wrapText="1" indent="2"/>
    </xf>
    <xf numFmtId="183" fontId="0" fillId="24" borderId="166" xfId="0" applyNumberFormat="1" applyFill="1" applyBorder="1" applyAlignment="1">
      <alignment horizontal="right" vertical="center" wrapText="1" indent="2"/>
    </xf>
    <xf numFmtId="183" fontId="0" fillId="24" borderId="155" xfId="0" applyNumberFormat="1" applyFill="1" applyBorder="1" applyAlignment="1">
      <alignment horizontal="right" vertical="center" wrapText="1" indent="2"/>
    </xf>
    <xf numFmtId="183" fontId="0" fillId="15" borderId="152" xfId="0" applyNumberFormat="1" applyFill="1" applyBorder="1" applyAlignment="1">
      <alignment horizontal="right" vertical="center" wrapText="1" indent="2"/>
    </xf>
    <xf numFmtId="183" fontId="0" fillId="15" borderId="154" xfId="0" applyNumberFormat="1" applyFill="1" applyBorder="1" applyAlignment="1">
      <alignment horizontal="right" vertical="center" wrapText="1" indent="2"/>
    </xf>
    <xf numFmtId="183" fontId="0" fillId="15" borderId="166" xfId="0" applyNumberFormat="1" applyFill="1" applyBorder="1" applyAlignment="1">
      <alignment horizontal="right" vertical="center" wrapText="1" indent="2"/>
    </xf>
    <xf numFmtId="183" fontId="0" fillId="15" borderId="155" xfId="0" applyNumberFormat="1" applyFill="1" applyBorder="1" applyAlignment="1">
      <alignment horizontal="right" vertical="center" wrapText="1" indent="2"/>
    </xf>
    <xf numFmtId="166" fontId="9" fillId="27" borderId="158" xfId="0" applyNumberFormat="1" applyFont="1" applyFill="1" applyBorder="1" applyAlignment="1">
      <alignment horizontal="right" vertical="center" wrapText="1" indent="2"/>
    </xf>
    <xf numFmtId="166" fontId="9" fillId="27" borderId="170" xfId="0" applyNumberFormat="1" applyFont="1" applyFill="1" applyBorder="1" applyAlignment="1">
      <alignment horizontal="right" vertical="center" wrapText="1" indent="2"/>
    </xf>
    <xf numFmtId="183" fontId="0" fillId="27" borderId="156" xfId="0" applyNumberFormat="1" applyFill="1" applyBorder="1" applyAlignment="1">
      <alignment horizontal="right" vertical="center" wrapText="1" indent="2"/>
    </xf>
    <xf numFmtId="183" fontId="0" fillId="27" borderId="158" xfId="0" applyNumberFormat="1" applyFill="1" applyBorder="1" applyAlignment="1">
      <alignment horizontal="right" vertical="center" wrapText="1" indent="2"/>
    </xf>
    <xf numFmtId="183" fontId="0" fillId="27" borderId="170" xfId="0" applyNumberFormat="1" applyFill="1" applyBorder="1" applyAlignment="1">
      <alignment horizontal="right" vertical="center" wrapText="1" indent="2"/>
    </xf>
    <xf numFmtId="183" fontId="0" fillId="27" borderId="159" xfId="0" applyNumberFormat="1" applyFill="1" applyBorder="1" applyAlignment="1">
      <alignment horizontal="right" vertical="center" wrapText="1" indent="2"/>
    </xf>
    <xf numFmtId="166" fontId="9" fillId="27" borderId="156" xfId="0" applyNumberFormat="1" applyFont="1" applyFill="1" applyBorder="1" applyAlignment="1">
      <alignment horizontal="right" vertical="center" wrapText="1" indent="2"/>
    </xf>
    <xf numFmtId="166" fontId="9" fillId="27" borderId="159" xfId="0" applyNumberFormat="1" applyFont="1" applyFill="1" applyBorder="1" applyAlignment="1">
      <alignment horizontal="right" vertical="center" wrapText="1" indent="2"/>
    </xf>
    <xf numFmtId="166" fontId="9" fillId="25" borderId="150" xfId="0" applyNumberFormat="1" applyFont="1" applyFill="1" applyBorder="1" applyAlignment="1">
      <alignment horizontal="right" vertical="center" wrapText="1" indent="2"/>
    </xf>
    <xf numFmtId="166" fontId="9" fillId="25" borderId="162" xfId="0" applyNumberFormat="1" applyFont="1" applyFill="1" applyBorder="1" applyAlignment="1">
      <alignment horizontal="right" vertical="center" wrapText="1" indent="2"/>
    </xf>
    <xf numFmtId="183" fontId="0" fillId="25" borderId="148" xfId="0" applyNumberFormat="1" applyFill="1" applyBorder="1" applyAlignment="1">
      <alignment horizontal="right" vertical="center" wrapText="1" indent="2"/>
    </xf>
    <xf numFmtId="183" fontId="0" fillId="25" borderId="150" xfId="0" applyNumberFormat="1" applyFill="1" applyBorder="1" applyAlignment="1">
      <alignment horizontal="right" vertical="center" wrapText="1" indent="2"/>
    </xf>
    <xf numFmtId="183" fontId="0" fillId="25" borderId="162" xfId="0" applyNumberFormat="1" applyFill="1" applyBorder="1" applyAlignment="1">
      <alignment horizontal="right" vertical="center" wrapText="1" indent="2"/>
    </xf>
    <xf numFmtId="183" fontId="0" fillId="25" borderId="151" xfId="0" applyNumberFormat="1" applyFill="1" applyBorder="1" applyAlignment="1">
      <alignment horizontal="right" vertical="center" wrapText="1" indent="2"/>
    </xf>
    <xf numFmtId="166" fontId="9" fillId="25" borderId="148" xfId="0" applyNumberFormat="1" applyFont="1" applyFill="1" applyBorder="1" applyAlignment="1">
      <alignment horizontal="right" vertical="center" wrapText="1" indent="2"/>
    </xf>
    <xf numFmtId="166" fontId="9" fillId="25" borderId="151" xfId="0" applyNumberFormat="1" applyFont="1" applyFill="1" applyBorder="1" applyAlignment="1">
      <alignment horizontal="right" vertical="center" wrapText="1" indent="2"/>
    </xf>
    <xf numFmtId="183" fontId="0" fillId="24" borderId="6" xfId="0" applyNumberFormat="1" applyFill="1" applyBorder="1" applyAlignment="1">
      <alignment horizontal="right" vertical="center" wrapText="1" indent="2"/>
    </xf>
    <xf numFmtId="183" fontId="0" fillId="24" borderId="7" xfId="0" applyNumberFormat="1" applyFill="1" applyBorder="1" applyAlignment="1">
      <alignment horizontal="right" vertical="center" wrapText="1" indent="2"/>
    </xf>
    <xf numFmtId="183" fontId="0" fillId="24" borderId="42" xfId="0" applyNumberFormat="1" applyFill="1" applyBorder="1" applyAlignment="1">
      <alignment horizontal="right" vertical="center" wrapText="1" indent="2"/>
    </xf>
    <xf numFmtId="183" fontId="48" fillId="24" borderId="7" xfId="0" applyNumberFormat="1" applyFont="1" applyFill="1" applyBorder="1" applyAlignment="1">
      <alignment horizontal="right" vertical="center" wrapText="1" indent="2"/>
    </xf>
    <xf numFmtId="183" fontId="48" fillId="24" borderId="8" xfId="0" applyNumberFormat="1" applyFont="1" applyFill="1" applyBorder="1" applyAlignment="1">
      <alignment horizontal="right" vertical="center" wrapText="1" indent="2"/>
    </xf>
    <xf numFmtId="10" fontId="0" fillId="24" borderId="44" xfId="0" applyNumberFormat="1" applyFill="1" applyBorder="1" applyAlignment="1">
      <alignment horizontal="right" vertical="center" wrapText="1" indent="1"/>
    </xf>
    <xf numFmtId="0" fontId="0" fillId="24" borderId="42" xfId="0" applyNumberFormat="1" applyFill="1" applyBorder="1" applyAlignment="1">
      <alignment horizontal="right" vertical="center" wrapText="1" indent="2"/>
    </xf>
    <xf numFmtId="183" fontId="57" fillId="24" borderId="44" xfId="0" applyNumberFormat="1" applyFont="1" applyFill="1" applyBorder="1" applyAlignment="1">
      <alignment horizontal="right" vertical="center" wrapText="1" indent="2"/>
    </xf>
    <xf numFmtId="183" fontId="57" fillId="24" borderId="42" xfId="0" applyNumberFormat="1" applyFont="1" applyFill="1" applyBorder="1" applyAlignment="1">
      <alignment horizontal="right" vertical="center" wrapText="1" indent="2"/>
    </xf>
    <xf numFmtId="183" fontId="57" fillId="24" borderId="7" xfId="0" applyNumberFormat="1" applyFont="1" applyFill="1" applyBorder="1" applyAlignment="1">
      <alignment horizontal="right" vertical="center" wrapText="1" indent="2"/>
    </xf>
    <xf numFmtId="183" fontId="48" fillId="24" borderId="44" xfId="0" applyNumberFormat="1" applyFont="1" applyFill="1" applyBorder="1" applyAlignment="1">
      <alignment horizontal="right" vertical="center" wrapText="1" indent="2"/>
    </xf>
    <xf numFmtId="183" fontId="13" fillId="24" borderId="8" xfId="0" applyNumberFormat="1" applyFont="1" applyFill="1" applyBorder="1" applyAlignment="1">
      <alignment horizontal="right" vertical="center" wrapText="1" indent="2"/>
    </xf>
    <xf numFmtId="183" fontId="56" fillId="24" borderId="44" xfId="0" applyNumberFormat="1" applyFont="1" applyFill="1" applyBorder="1" applyAlignment="1">
      <alignment horizontal="right" vertical="center" wrapText="1" indent="2"/>
    </xf>
    <xf numFmtId="183" fontId="0" fillId="12" borderId="126" xfId="0" applyNumberFormat="1" applyFill="1" applyBorder="1" applyAlignment="1">
      <alignment horizontal="right" vertical="center" wrapText="1" indent="1"/>
    </xf>
    <xf numFmtId="183" fontId="0" fillId="12" borderId="127" xfId="0" applyNumberFormat="1" applyFill="1" applyBorder="1" applyAlignment="1">
      <alignment horizontal="right" vertical="center" wrapText="1" indent="1"/>
    </xf>
    <xf numFmtId="183" fontId="0" fillId="12" borderId="183" xfId="0" applyNumberFormat="1" applyFill="1" applyBorder="1" applyAlignment="1">
      <alignment horizontal="right" vertical="center" wrapText="1" indent="2"/>
    </xf>
    <xf numFmtId="183" fontId="56" fillId="12" borderId="127" xfId="0" applyNumberFormat="1" applyFont="1" applyFill="1" applyBorder="1" applyAlignment="1">
      <alignment horizontal="right" vertical="center" wrapText="1" indent="2"/>
    </xf>
    <xf numFmtId="183" fontId="56" fillId="12" borderId="183" xfId="0" applyNumberFormat="1" applyFont="1" applyFill="1" applyBorder="1" applyAlignment="1">
      <alignment horizontal="right" vertical="center" wrapText="1" indent="2"/>
    </xf>
    <xf numFmtId="183" fontId="13" fillId="12" borderId="182" xfId="0" applyNumberFormat="1" applyFont="1" applyFill="1" applyBorder="1" applyAlignment="1">
      <alignment horizontal="right" vertical="center" wrapText="1" indent="2"/>
    </xf>
    <xf numFmtId="183" fontId="0" fillId="12" borderId="190" xfId="0" applyNumberFormat="1" applyFill="1" applyBorder="1" applyAlignment="1">
      <alignment horizontal="right" vertical="center" wrapText="1" indent="1"/>
    </xf>
    <xf numFmtId="183" fontId="56" fillId="12" borderId="188" xfId="0" applyNumberFormat="1" applyFont="1" applyFill="1" applyBorder="1" applyAlignment="1">
      <alignment horizontal="right" vertical="center" wrapText="1" indent="2"/>
    </xf>
    <xf numFmtId="183" fontId="0" fillId="12" borderId="187" xfId="0" applyNumberFormat="1" applyFill="1" applyBorder="1" applyAlignment="1">
      <alignment horizontal="right" vertical="center" wrapText="1" indent="1"/>
    </xf>
    <xf numFmtId="183" fontId="0" fillId="12" borderId="189" xfId="0" applyNumberFormat="1" applyFill="1" applyBorder="1" applyAlignment="1">
      <alignment horizontal="right" vertical="center" wrapText="1" indent="2"/>
    </xf>
    <xf numFmtId="183" fontId="56" fillId="12" borderId="187" xfId="0" applyNumberFormat="1" applyFont="1" applyFill="1" applyBorder="1" applyAlignment="1">
      <alignment horizontal="right" vertical="center" wrapText="1" indent="2"/>
    </xf>
    <xf numFmtId="183" fontId="56" fillId="12" borderId="117" xfId="0" applyNumberFormat="1" applyFont="1" applyFill="1" applyBorder="1" applyAlignment="1">
      <alignment horizontal="right" vertical="center" wrapText="1" indent="2"/>
    </xf>
    <xf numFmtId="183" fontId="56" fillId="12" borderId="189" xfId="0" applyNumberFormat="1" applyFont="1" applyFill="1" applyBorder="1" applyAlignment="1">
      <alignment horizontal="right" vertical="center" wrapText="1" indent="2"/>
    </xf>
    <xf numFmtId="183" fontId="13" fillId="12" borderId="188" xfId="0" applyNumberFormat="1" applyFont="1" applyFill="1" applyBorder="1" applyAlignment="1">
      <alignment horizontal="right" vertical="center" wrapText="1" indent="2"/>
    </xf>
    <xf numFmtId="183" fontId="0" fillId="24" borderId="52" xfId="0" applyNumberFormat="1" applyFill="1" applyBorder="1" applyAlignment="1">
      <alignment horizontal="right" vertical="center" wrapText="1" indent="2"/>
    </xf>
    <xf numFmtId="183" fontId="48" fillId="24" borderId="114" xfId="0" applyNumberFormat="1" applyFont="1" applyFill="1" applyBorder="1" applyAlignment="1">
      <alignment horizontal="right" vertical="center" wrapText="1" indent="2"/>
    </xf>
    <xf numFmtId="10" fontId="0" fillId="24" borderId="34" xfId="0" applyNumberFormat="1" applyFill="1" applyBorder="1" applyAlignment="1">
      <alignment horizontal="right" vertical="center" wrapText="1" indent="1"/>
    </xf>
    <xf numFmtId="183" fontId="57" fillId="24" borderId="34" xfId="0" applyNumberFormat="1" applyFont="1" applyFill="1" applyBorder="1" applyAlignment="1">
      <alignment horizontal="right" vertical="center" wrapText="1" indent="2"/>
    </xf>
    <xf numFmtId="183" fontId="57" fillId="24" borderId="52" xfId="0" applyNumberFormat="1" applyFont="1" applyFill="1" applyBorder="1" applyAlignment="1">
      <alignment horizontal="right" vertical="center" wrapText="1" indent="2"/>
    </xf>
    <xf numFmtId="183" fontId="48" fillId="24" borderId="34" xfId="0" applyNumberFormat="1" applyFont="1" applyFill="1" applyBorder="1" applyAlignment="1">
      <alignment horizontal="right" vertical="center" wrapText="1" indent="2"/>
    </xf>
    <xf numFmtId="183" fontId="13" fillId="24" borderId="114" xfId="0" applyNumberFormat="1" applyFont="1" applyFill="1" applyBorder="1" applyAlignment="1">
      <alignment horizontal="right" vertical="center" wrapText="1" indent="2"/>
    </xf>
    <xf numFmtId="183" fontId="48" fillId="24" borderId="52" xfId="0" applyNumberFormat="1" applyFont="1" applyFill="1" applyBorder="1" applyAlignment="1">
      <alignment horizontal="right" vertical="center" wrapText="1" indent="2"/>
    </xf>
    <xf numFmtId="183" fontId="0" fillId="25" borderId="52" xfId="0" applyNumberFormat="1" applyFill="1" applyBorder="1" applyAlignment="1">
      <alignment horizontal="right" vertical="center" wrapText="1" indent="2"/>
    </xf>
    <xf numFmtId="183" fontId="48" fillId="25" borderId="114" xfId="0" applyNumberFormat="1" applyFont="1" applyFill="1" applyBorder="1" applyAlignment="1">
      <alignment horizontal="right" vertical="center" wrapText="1" indent="2"/>
    </xf>
    <xf numFmtId="10" fontId="0" fillId="25" borderId="34" xfId="0" applyNumberFormat="1" applyFill="1" applyBorder="1" applyAlignment="1">
      <alignment horizontal="right" vertical="center" wrapText="1" indent="1"/>
    </xf>
    <xf numFmtId="183" fontId="57" fillId="25" borderId="34" xfId="0" applyNumberFormat="1" applyFont="1" applyFill="1" applyBorder="1" applyAlignment="1">
      <alignment horizontal="right" vertical="center" wrapText="1" indent="2"/>
    </xf>
    <xf numFmtId="183" fontId="57" fillId="25" borderId="52" xfId="0" applyNumberFormat="1" applyFont="1" applyFill="1" applyBorder="1" applyAlignment="1">
      <alignment horizontal="right" vertical="center" wrapText="1" indent="2"/>
    </xf>
    <xf numFmtId="183" fontId="48" fillId="25" borderId="34" xfId="0" applyNumberFormat="1" applyFont="1" applyFill="1" applyBorder="1" applyAlignment="1">
      <alignment horizontal="right" vertical="center" wrapText="1" indent="2"/>
    </xf>
    <xf numFmtId="183" fontId="13" fillId="25" borderId="114" xfId="0" applyNumberFormat="1" applyFont="1" applyFill="1" applyBorder="1" applyAlignment="1">
      <alignment horizontal="right" vertical="center" wrapText="1" indent="2"/>
    </xf>
    <xf numFmtId="183" fontId="48" fillId="25" borderId="52" xfId="0" applyNumberFormat="1" applyFont="1" applyFill="1" applyBorder="1" applyAlignment="1">
      <alignment horizontal="right" vertical="center" wrapText="1" indent="2"/>
    </xf>
    <xf numFmtId="183" fontId="48" fillId="24" borderId="42" xfId="0" applyNumberFormat="1" applyFont="1" applyFill="1" applyBorder="1" applyAlignment="1">
      <alignment horizontal="right" vertical="center" wrapText="1" indent="2"/>
    </xf>
    <xf numFmtId="183" fontId="0" fillId="25" borderId="34" xfId="0" applyNumberFormat="1" applyFill="1" applyBorder="1" applyAlignment="1">
      <alignment horizontal="right" vertical="center" wrapText="1" indent="2"/>
    </xf>
    <xf numFmtId="183" fontId="0" fillId="25" borderId="69" xfId="0" applyNumberFormat="1" applyFill="1" applyBorder="1" applyAlignment="1">
      <alignment horizontal="right" vertical="center" wrapText="1" indent="2"/>
    </xf>
    <xf numFmtId="183" fontId="0" fillId="12" borderId="52" xfId="0" applyNumberFormat="1" applyFill="1" applyBorder="1" applyAlignment="1">
      <alignment horizontal="right" vertical="center" wrapText="1" indent="2"/>
    </xf>
    <xf numFmtId="183" fontId="0" fillId="12" borderId="23" xfId="0" applyNumberFormat="1" applyFill="1" applyBorder="1" applyAlignment="1">
      <alignment horizontal="right" vertical="center" wrapText="1" indent="2"/>
    </xf>
    <xf numFmtId="183" fontId="0" fillId="12" borderId="29" xfId="0" applyNumberFormat="1" applyFill="1" applyBorder="1" applyAlignment="1">
      <alignment horizontal="right" vertical="center" wrapText="1" indent="2"/>
    </xf>
    <xf numFmtId="183" fontId="0" fillId="12" borderId="53" xfId="0" applyNumberFormat="1" applyFill="1" applyBorder="1" applyAlignment="1">
      <alignment horizontal="right" vertical="center" wrapText="1" indent="2"/>
    </xf>
    <xf numFmtId="183" fontId="0" fillId="12" borderId="27" xfId="0" applyNumberFormat="1" applyFill="1" applyBorder="1" applyAlignment="1">
      <alignment horizontal="right" vertical="center" wrapText="1" indent="2"/>
    </xf>
    <xf numFmtId="183" fontId="0" fillId="12" borderId="60" xfId="0" applyNumberFormat="1" applyFill="1" applyBorder="1" applyAlignment="1">
      <alignment horizontal="right" vertical="center" wrapText="1" indent="2"/>
    </xf>
    <xf numFmtId="183" fontId="0" fillId="12" borderId="61" xfId="0" applyNumberFormat="1" applyFill="1" applyBorder="1" applyAlignment="1">
      <alignment horizontal="right" vertical="center" wrapText="1" indent="2"/>
    </xf>
    <xf numFmtId="183" fontId="0" fillId="25" borderId="51" xfId="0" applyNumberFormat="1" applyFill="1" applyBorder="1" applyAlignment="1">
      <alignment horizontal="right" vertical="center" wrapText="1" indent="2"/>
    </xf>
    <xf numFmtId="183" fontId="0" fillId="0" borderId="34" xfId="0" applyNumberFormat="1" applyFill="1" applyBorder="1" applyAlignment="1">
      <alignment horizontal="right" vertical="center" wrapText="1" indent="2"/>
    </xf>
    <xf numFmtId="183" fontId="0" fillId="0" borderId="52" xfId="0" applyNumberFormat="1" applyFill="1" applyBorder="1" applyAlignment="1">
      <alignment horizontal="right" vertical="center" wrapText="1" indent="2"/>
    </xf>
    <xf numFmtId="166" fontId="9" fillId="0" borderId="52" xfId="0" applyNumberFormat="1" applyFont="1" applyFill="1" applyBorder="1" applyAlignment="1">
      <alignment horizontal="right" vertical="center" wrapText="1" indent="2"/>
    </xf>
    <xf numFmtId="183" fontId="0" fillId="0" borderId="124" xfId="0" applyNumberFormat="1" applyFill="1" applyBorder="1" applyAlignment="1">
      <alignment horizontal="right" vertical="center" wrapText="1" indent="2"/>
    </xf>
    <xf numFmtId="183" fontId="0" fillId="0" borderId="125" xfId="0" applyNumberFormat="1" applyFill="1" applyBorder="1" applyAlignment="1">
      <alignment horizontal="right" vertical="center" wrapText="1" indent="2"/>
    </xf>
    <xf numFmtId="183" fontId="0" fillId="0" borderId="123" xfId="0" applyNumberFormat="1" applyFill="1" applyBorder="1" applyAlignment="1">
      <alignment horizontal="right" vertical="center" wrapText="1" indent="2"/>
    </xf>
    <xf numFmtId="166" fontId="9" fillId="0" borderId="123" xfId="0" applyNumberFormat="1" applyFont="1" applyFill="1" applyBorder="1" applyAlignment="1">
      <alignment horizontal="right" vertical="center" wrapText="1" indent="2"/>
    </xf>
    <xf numFmtId="166" fontId="9" fillId="0" borderId="125" xfId="0" applyNumberFormat="1" applyFont="1" applyFill="1" applyBorder="1" applyAlignment="1">
      <alignment horizontal="right" vertical="center" wrapText="1" indent="2"/>
    </xf>
    <xf numFmtId="183" fontId="0" fillId="0" borderId="26" xfId="0" applyNumberFormat="1" applyFill="1" applyBorder="1" applyAlignment="1">
      <alignment horizontal="right" vertical="center" wrapText="1" indent="2"/>
    </xf>
    <xf numFmtId="183" fontId="0" fillId="0" borderId="33" xfId="0" applyNumberFormat="1" applyFill="1" applyBorder="1" applyAlignment="1">
      <alignment horizontal="right" vertical="center" wrapText="1" indent="2"/>
    </xf>
    <xf numFmtId="183" fontId="0" fillId="0" borderId="51" xfId="0" applyNumberFormat="1" applyFill="1" applyBorder="1" applyAlignment="1">
      <alignment horizontal="right" vertical="center" wrapText="1" indent="2"/>
    </xf>
    <xf numFmtId="166" fontId="9" fillId="0" borderId="51" xfId="0" applyNumberFormat="1" applyFont="1" applyFill="1" applyBorder="1" applyAlignment="1">
      <alignment horizontal="right" vertical="center" wrapText="1" indent="2"/>
    </xf>
    <xf numFmtId="166" fontId="9" fillId="0" borderId="33" xfId="0" applyNumberFormat="1" applyFont="1" applyFill="1" applyBorder="1" applyAlignment="1">
      <alignment horizontal="right" vertical="center" wrapText="1" indent="2"/>
    </xf>
    <xf numFmtId="183" fontId="9" fillId="24" borderId="79" xfId="0" applyNumberFormat="1" applyFont="1" applyFill="1" applyBorder="1" applyAlignment="1">
      <alignment horizontal="right" vertical="center" wrapText="1" indent="2"/>
    </xf>
    <xf numFmtId="183" fontId="13" fillId="12" borderId="185" xfId="0" applyNumberFormat="1" applyFont="1" applyFill="1" applyBorder="1" applyAlignment="1">
      <alignment horizontal="right" vertical="center" wrapText="1" indent="2"/>
    </xf>
    <xf numFmtId="183" fontId="13" fillId="12" borderId="192" xfId="0" applyNumberFormat="1" applyFont="1" applyFill="1" applyBorder="1" applyAlignment="1">
      <alignment horizontal="right" vertical="center" wrapText="1" indent="2"/>
    </xf>
    <xf numFmtId="183" fontId="9" fillId="25" borderId="69" xfId="0" applyNumberFormat="1" applyFont="1" applyFill="1" applyBorder="1" applyAlignment="1">
      <alignment horizontal="right" vertical="center" wrapText="1" indent="2"/>
    </xf>
    <xf numFmtId="183" fontId="37" fillId="25" borderId="52" xfId="0" applyNumberFormat="1" applyFont="1" applyFill="1" applyBorder="1" applyAlignment="1">
      <alignment horizontal="right" vertical="center" wrapText="1" indent="1"/>
    </xf>
    <xf numFmtId="0" fontId="0" fillId="0" borderId="16" xfId="0" applyFill="1" applyBorder="1" applyAlignment="1">
      <alignment horizontal="right" vertical="center" wrapText="1" indent="2"/>
    </xf>
    <xf numFmtId="183" fontId="0" fillId="25" borderId="200" xfId="0" applyNumberFormat="1" applyFill="1" applyBorder="1" applyAlignment="1">
      <alignment horizontal="right" vertical="center" wrapText="1" indent="1"/>
    </xf>
    <xf numFmtId="183" fontId="0" fillId="0" borderId="144" xfId="0" applyNumberFormat="1" applyFill="1" applyBorder="1" applyAlignment="1">
      <alignment horizontal="right" vertical="center" wrapText="1" indent="1"/>
    </xf>
    <xf numFmtId="183" fontId="0" fillId="24" borderId="144" xfId="0" applyNumberFormat="1" applyFill="1" applyBorder="1" applyAlignment="1">
      <alignment horizontal="right" vertical="center" wrapText="1" indent="1"/>
    </xf>
    <xf numFmtId="183" fontId="0" fillId="27" borderId="144" xfId="0" applyNumberFormat="1" applyFill="1" applyBorder="1" applyAlignment="1">
      <alignment horizontal="right" vertical="center" wrapText="1" indent="1"/>
    </xf>
    <xf numFmtId="183" fontId="0" fillId="27" borderId="212" xfId="0" applyNumberFormat="1" applyFill="1" applyBorder="1" applyAlignment="1">
      <alignment horizontal="right" vertical="center" wrapText="1" indent="1"/>
    </xf>
    <xf numFmtId="183" fontId="0" fillId="0" borderId="149" xfId="0" applyNumberFormat="1" applyFill="1" applyBorder="1" applyAlignment="1">
      <alignment horizontal="right" vertical="center" wrapText="1" indent="1"/>
    </xf>
    <xf numFmtId="183" fontId="0" fillId="0" borderId="153" xfId="0" applyNumberFormat="1" applyFill="1" applyBorder="1" applyAlignment="1">
      <alignment horizontal="right" vertical="center" wrapText="1" indent="1"/>
    </xf>
    <xf numFmtId="183" fontId="0" fillId="25" borderId="153" xfId="0" applyNumberFormat="1" applyFill="1" applyBorder="1" applyAlignment="1">
      <alignment horizontal="right" vertical="center" wrapText="1" indent="1"/>
    </xf>
    <xf numFmtId="183" fontId="0" fillId="24" borderId="153" xfId="0" applyNumberFormat="1" applyFill="1" applyBorder="1" applyAlignment="1">
      <alignment horizontal="right" vertical="center" wrapText="1" indent="1"/>
    </xf>
    <xf numFmtId="183" fontId="0" fillId="15" borderId="153" xfId="0" applyNumberFormat="1" applyFill="1" applyBorder="1" applyAlignment="1">
      <alignment horizontal="right" vertical="center" wrapText="1" indent="1"/>
    </xf>
    <xf numFmtId="183" fontId="0" fillId="24" borderId="7" xfId="0" applyNumberFormat="1" applyFill="1" applyBorder="1" applyAlignment="1">
      <alignment horizontal="right" vertical="center" wrapText="1" indent="1"/>
    </xf>
    <xf numFmtId="9" fontId="0" fillId="27" borderId="146" xfId="0" applyNumberFormat="1" applyFill="1" applyBorder="1" applyAlignment="1">
      <alignment horizontal="right" vertical="center" wrapText="1" indent="1"/>
    </xf>
    <xf numFmtId="9" fontId="0" fillId="27" borderId="147" xfId="0" applyNumberFormat="1" applyFill="1" applyBorder="1" applyAlignment="1">
      <alignment horizontal="right" vertical="center" wrapText="1" indent="1"/>
    </xf>
    <xf numFmtId="183" fontId="9" fillId="25" borderId="34" xfId="0" applyNumberFormat="1" applyFont="1" applyFill="1" applyBorder="1" applyAlignment="1">
      <alignment horizontal="right" vertical="center" wrapText="1" indent="1"/>
    </xf>
    <xf numFmtId="166" fontId="13" fillId="12" borderId="126" xfId="0" applyNumberFormat="1" applyFont="1" applyFill="1" applyBorder="1" applyAlignment="1">
      <alignment horizontal="right" vertical="center" wrapText="1" indent="1"/>
    </xf>
    <xf numFmtId="166" fontId="13" fillId="12" borderId="190" xfId="0" applyNumberFormat="1" applyFont="1" applyFill="1" applyBorder="1" applyAlignment="1">
      <alignment horizontal="right" vertical="center" wrapText="1" indent="1"/>
    </xf>
    <xf numFmtId="183" fontId="9" fillId="25" borderId="52" xfId="0" applyNumberFormat="1" applyFont="1" applyFill="1" applyBorder="1" applyAlignment="1">
      <alignment horizontal="right" vertical="center" wrapText="1" indent="1"/>
    </xf>
    <xf numFmtId="183" fontId="9" fillId="24" borderId="42" xfId="0" applyNumberFormat="1" applyFont="1" applyFill="1" applyBorder="1" applyAlignment="1">
      <alignment horizontal="right" vertical="center" wrapText="1" indent="1"/>
    </xf>
    <xf numFmtId="183" fontId="37" fillId="25" borderId="34" xfId="0" applyNumberFormat="1" applyFont="1" applyFill="1" applyBorder="1" applyAlignment="1">
      <alignment horizontal="right" vertical="center" wrapText="1" indent="1"/>
    </xf>
    <xf numFmtId="166" fontId="1" fillId="25" borderId="130" xfId="0" applyNumberFormat="1" applyFont="1" applyFill="1" applyBorder="1" applyAlignment="1">
      <alignment horizontal="left" vertical="center" wrapText="1" indent="1"/>
    </xf>
    <xf numFmtId="183" fontId="9" fillId="24" borderId="69" xfId="0" applyNumberFormat="1" applyFont="1" applyFill="1" applyBorder="1" applyAlignment="1">
      <alignment horizontal="right" vertical="center" wrapText="1" indent="2"/>
    </xf>
    <xf numFmtId="0" fontId="4" fillId="26" borderId="64" xfId="0" applyFont="1" applyFill="1" applyBorder="1" applyAlignment="1">
      <alignment horizontal="center" vertical="center" wrapText="1"/>
    </xf>
    <xf numFmtId="183" fontId="56" fillId="24" borderId="44" xfId="0" applyNumberFormat="1" applyFont="1" applyFill="1" applyBorder="1" applyAlignment="1">
      <alignment vertical="center" wrapText="1"/>
    </xf>
    <xf numFmtId="166" fontId="1" fillId="25" borderId="72" xfId="0" applyNumberFormat="1" applyFont="1" applyFill="1" applyBorder="1" applyAlignment="1">
      <alignment horizontal="left" vertical="center" wrapText="1" indent="1"/>
    </xf>
    <xf numFmtId="0" fontId="0" fillId="13" borderId="23" xfId="0" applyFill="1" applyBorder="1" applyAlignment="1">
      <alignment vertical="center"/>
    </xf>
    <xf numFmtId="0" fontId="0" fillId="0" borderId="245" xfId="0" applyBorder="1"/>
    <xf numFmtId="0" fontId="0" fillId="0" borderId="246" xfId="0" applyBorder="1"/>
    <xf numFmtId="0" fontId="0" fillId="0" borderId="247" xfId="0" applyBorder="1"/>
    <xf numFmtId="0" fontId="0" fillId="0" borderId="243" xfId="0" applyBorder="1"/>
    <xf numFmtId="0" fontId="0" fillId="0" borderId="248" xfId="0" applyBorder="1"/>
    <xf numFmtId="0" fontId="0" fillId="0" borderId="244" xfId="0" applyBorder="1" applyAlignment="1">
      <alignment horizontal="center"/>
    </xf>
    <xf numFmtId="4" fontId="0" fillId="28" borderId="249" xfId="0" applyNumberFormat="1" applyFill="1" applyBorder="1" applyAlignment="1">
      <alignment horizontal="right" vertical="center" wrapText="1" indent="1"/>
    </xf>
    <xf numFmtId="0" fontId="0" fillId="28" borderId="249" xfId="0" applyFill="1" applyBorder="1" applyAlignment="1">
      <alignment vertical="center"/>
    </xf>
    <xf numFmtId="173" fontId="0" fillId="28" borderId="249" xfId="0" applyNumberFormat="1" applyFill="1" applyBorder="1" applyAlignment="1">
      <alignment horizontal="center" vertical="center" wrapText="1"/>
    </xf>
    <xf numFmtId="0" fontId="4" fillId="28" borderId="249" xfId="0" applyFont="1" applyFill="1" applyBorder="1" applyAlignment="1">
      <alignment horizontal="center"/>
    </xf>
    <xf numFmtId="0" fontId="0" fillId="0" borderId="23" xfId="0" applyBorder="1" applyAlignment="1">
      <alignment horizontal="left" vertical="center" indent="1"/>
    </xf>
    <xf numFmtId="0" fontId="0" fillId="0" borderId="0" xfId="0" applyBorder="1" applyAlignment="1">
      <alignment horizontal="center" vertical="center"/>
    </xf>
    <xf numFmtId="173" fontId="1" fillId="25" borderId="52" xfId="0" applyNumberFormat="1" applyFont="1" applyFill="1" applyBorder="1" applyAlignment="1">
      <alignment horizontal="left" vertical="center" wrapText="1" indent="1"/>
    </xf>
    <xf numFmtId="173" fontId="1" fillId="25" borderId="42" xfId="0" applyNumberFormat="1" applyFont="1" applyFill="1" applyBorder="1" applyAlignment="1">
      <alignment horizontal="left" vertical="center" wrapText="1" indent="1"/>
    </xf>
    <xf numFmtId="173" fontId="1" fillId="25" borderId="44" xfId="0" applyNumberFormat="1" applyFont="1" applyFill="1" applyBorder="1" applyAlignment="1">
      <alignment horizontal="left" vertical="center" wrapText="1" indent="1"/>
    </xf>
    <xf numFmtId="166" fontId="1" fillId="25" borderId="145" xfId="0" applyNumberFormat="1" applyFont="1" applyFill="1" applyBorder="1" applyAlignment="1">
      <alignment horizontal="left" vertical="center" wrapText="1" indent="1"/>
    </xf>
    <xf numFmtId="166" fontId="1" fillId="0" borderId="146" xfId="0" applyNumberFormat="1" applyFont="1" applyFill="1" applyBorder="1" applyAlignment="1">
      <alignment horizontal="left" vertical="center" wrapText="1" indent="1"/>
    </xf>
    <xf numFmtId="166" fontId="1" fillId="24" borderId="146" xfId="0" applyNumberFormat="1" applyFont="1" applyFill="1" applyBorder="1" applyAlignment="1">
      <alignment horizontal="left" vertical="center" wrapText="1" indent="1"/>
    </xf>
    <xf numFmtId="166" fontId="1" fillId="27" borderId="146" xfId="0" applyNumberFormat="1" applyFont="1" applyFill="1" applyBorder="1" applyAlignment="1">
      <alignment horizontal="left" vertical="center" wrapText="1" indent="1"/>
    </xf>
    <xf numFmtId="0" fontId="0" fillId="0" borderId="38" xfId="0" applyBorder="1" applyAlignment="1">
      <alignment horizontal="left" vertical="center" wrapText="1" indent="1"/>
    </xf>
    <xf numFmtId="0" fontId="0" fillId="0" borderId="52" xfId="0" applyBorder="1" applyAlignment="1">
      <alignment horizontal="left" vertical="center" wrapText="1" indent="1"/>
    </xf>
    <xf numFmtId="0" fontId="0" fillId="0" borderId="51" xfId="0" applyBorder="1" applyAlignment="1">
      <alignment horizontal="left" vertical="center" wrapText="1" indent="1"/>
    </xf>
    <xf numFmtId="0" fontId="0" fillId="12" borderId="52" xfId="0" applyFill="1" applyBorder="1" applyAlignment="1">
      <alignment horizontal="left" vertical="center" wrapText="1" indent="1"/>
    </xf>
    <xf numFmtId="0" fontId="0" fillId="12" borderId="53" xfId="0" applyFill="1" applyBorder="1" applyAlignment="1">
      <alignment horizontal="left" vertical="center" wrapText="1" indent="1"/>
    </xf>
    <xf numFmtId="183" fontId="37" fillId="0" borderId="32" xfId="0" applyNumberFormat="1" applyFont="1" applyFill="1" applyBorder="1" applyAlignment="1">
      <alignment horizontal="right" vertical="center" wrapText="1" indent="1"/>
    </xf>
    <xf numFmtId="183" fontId="4" fillId="25" borderId="199" xfId="0" applyNumberFormat="1" applyFont="1" applyFill="1" applyBorder="1" applyAlignment="1">
      <alignment horizontal="right" vertical="center" wrapText="1" indent="1"/>
    </xf>
    <xf numFmtId="183" fontId="4" fillId="0" borderId="206" xfId="0" applyNumberFormat="1" applyFont="1" applyFill="1" applyBorder="1" applyAlignment="1">
      <alignment horizontal="right" vertical="center" wrapText="1" indent="1"/>
    </xf>
    <xf numFmtId="183" fontId="4" fillId="24" borderId="206" xfId="0" applyNumberFormat="1" applyFont="1" applyFill="1" applyBorder="1" applyAlignment="1">
      <alignment horizontal="right" vertical="center" wrapText="1" indent="1"/>
    </xf>
    <xf numFmtId="183" fontId="4" fillId="27" borderId="206" xfId="0" applyNumberFormat="1" applyFont="1" applyFill="1" applyBorder="1" applyAlignment="1">
      <alignment horizontal="right" vertical="center" wrapText="1" indent="1"/>
    </xf>
    <xf numFmtId="183" fontId="4" fillId="27" borderId="211" xfId="0" applyNumberFormat="1" applyFont="1" applyFill="1" applyBorder="1" applyAlignment="1">
      <alignment horizontal="right" vertical="center" wrapText="1" indent="1"/>
    </xf>
    <xf numFmtId="183" fontId="4" fillId="0" borderId="151" xfId="0" applyNumberFormat="1" applyFont="1" applyFill="1" applyBorder="1" applyAlignment="1">
      <alignment horizontal="right" vertical="center" wrapText="1" indent="1"/>
    </xf>
    <xf numFmtId="183" fontId="4" fillId="0" borderId="155" xfId="0" applyNumberFormat="1" applyFont="1" applyFill="1" applyBorder="1" applyAlignment="1">
      <alignment horizontal="right" vertical="center" wrapText="1" indent="1"/>
    </xf>
    <xf numFmtId="183" fontId="4" fillId="25" borderId="155" xfId="0" applyNumberFormat="1" applyFont="1" applyFill="1" applyBorder="1" applyAlignment="1">
      <alignment horizontal="right" vertical="center" wrapText="1" indent="1"/>
    </xf>
    <xf numFmtId="183" fontId="4" fillId="24" borderId="155" xfId="0" applyNumberFormat="1" applyFont="1" applyFill="1" applyBorder="1" applyAlignment="1">
      <alignment horizontal="right" vertical="center" wrapText="1" indent="1"/>
    </xf>
    <xf numFmtId="183" fontId="4" fillId="15" borderId="155" xfId="0" applyNumberFormat="1" applyFont="1" applyFill="1" applyBorder="1" applyAlignment="1">
      <alignment horizontal="right" vertical="center" wrapText="1" indent="1"/>
    </xf>
    <xf numFmtId="183" fontId="4" fillId="27" borderId="159" xfId="0" applyNumberFormat="1" applyFont="1" applyFill="1" applyBorder="1" applyAlignment="1">
      <alignment horizontal="right" vertical="center" wrapText="1" indent="1"/>
    </xf>
    <xf numFmtId="183" fontId="4" fillId="25" borderId="151" xfId="0" applyNumberFormat="1" applyFont="1" applyFill="1" applyBorder="1" applyAlignment="1">
      <alignment horizontal="right" vertical="center" wrapText="1" indent="1"/>
    </xf>
    <xf numFmtId="166" fontId="13" fillId="12" borderId="184" xfId="0" applyNumberFormat="1" applyFont="1" applyFill="1" applyBorder="1" applyAlignment="1">
      <alignment horizontal="right" vertical="center" wrapText="1" indent="1"/>
    </xf>
    <xf numFmtId="166" fontId="13" fillId="12" borderId="191" xfId="0" applyNumberFormat="1" applyFont="1" applyFill="1" applyBorder="1" applyAlignment="1">
      <alignment horizontal="right" vertical="center" wrapText="1" indent="1"/>
    </xf>
    <xf numFmtId="183" fontId="9" fillId="24" borderId="44" xfId="0" applyNumberFormat="1" applyFont="1" applyFill="1" applyBorder="1" applyAlignment="1">
      <alignment horizontal="right" vertical="center" wrapText="1" indent="1"/>
    </xf>
    <xf numFmtId="183" fontId="37" fillId="12" borderId="34" xfId="0" applyNumberFormat="1" applyFont="1" applyFill="1" applyBorder="1" applyAlignment="1">
      <alignment horizontal="right" vertical="center" wrapText="1" indent="1"/>
    </xf>
    <xf numFmtId="183" fontId="37" fillId="12" borderId="60" xfId="0" applyNumberFormat="1" applyFont="1" applyFill="1" applyBorder="1" applyAlignment="1">
      <alignment horizontal="right" vertical="center" wrapText="1" indent="1"/>
    </xf>
    <xf numFmtId="183" fontId="4" fillId="25" borderId="33" xfId="0" applyNumberFormat="1" applyFont="1" applyFill="1" applyBorder="1" applyAlignment="1">
      <alignment horizontal="right" vertical="center" wrapText="1" indent="1"/>
    </xf>
    <xf numFmtId="183" fontId="4" fillId="12" borderId="60" xfId="0" applyNumberFormat="1" applyFont="1" applyFill="1" applyBorder="1" applyAlignment="1">
      <alignment horizontal="right" vertical="center" wrapText="1" indent="1"/>
    </xf>
    <xf numFmtId="183" fontId="4" fillId="25" borderId="203" xfId="0" applyNumberFormat="1" applyFont="1" applyFill="1" applyBorder="1" applyAlignment="1">
      <alignment horizontal="right" vertical="center" wrapText="1" indent="1"/>
    </xf>
    <xf numFmtId="183" fontId="4" fillId="0" borderId="209" xfId="0" applyNumberFormat="1" applyFont="1" applyFill="1" applyBorder="1" applyAlignment="1">
      <alignment horizontal="right" vertical="center" wrapText="1" indent="1"/>
    </xf>
    <xf numFmtId="183" fontId="4" fillId="24" borderId="209" xfId="0" applyNumberFormat="1" applyFont="1" applyFill="1" applyBorder="1" applyAlignment="1">
      <alignment horizontal="right" vertical="center" wrapText="1" indent="1"/>
    </xf>
    <xf numFmtId="183" fontId="37" fillId="0" borderId="31" xfId="0" applyNumberFormat="1" applyFont="1" applyBorder="1" applyAlignment="1">
      <alignment horizontal="right" vertical="center" wrapText="1" indent="1"/>
    </xf>
    <xf numFmtId="183" fontId="37" fillId="0" borderId="33" xfId="0" applyNumberFormat="1" applyFont="1" applyBorder="1" applyAlignment="1">
      <alignment horizontal="right" vertical="center" wrapText="1" indent="1"/>
    </xf>
    <xf numFmtId="183" fontId="48" fillId="0" borderId="32" xfId="0" applyNumberFormat="1" applyFont="1" applyFill="1" applyBorder="1" applyAlignment="1">
      <alignment horizontal="right" vertical="center" wrapText="1" indent="1"/>
    </xf>
    <xf numFmtId="183" fontId="48" fillId="25" borderId="199" xfId="0" applyNumberFormat="1" applyFont="1" applyFill="1" applyBorder="1" applyAlignment="1">
      <alignment horizontal="right" vertical="center" wrapText="1" indent="1"/>
    </xf>
    <xf numFmtId="183" fontId="48" fillId="0" borderId="206" xfId="0" applyNumberFormat="1" applyFont="1" applyFill="1" applyBorder="1" applyAlignment="1">
      <alignment horizontal="right" vertical="center" wrapText="1" indent="1"/>
    </xf>
    <xf numFmtId="183" fontId="48" fillId="24" borderId="206" xfId="0" applyNumberFormat="1" applyFont="1" applyFill="1" applyBorder="1" applyAlignment="1">
      <alignment horizontal="right" vertical="center" wrapText="1" indent="1"/>
    </xf>
    <xf numFmtId="183" fontId="48" fillId="27" borderId="206" xfId="0" applyNumberFormat="1" applyFont="1" applyFill="1" applyBorder="1" applyAlignment="1">
      <alignment horizontal="right" vertical="center" wrapText="1" indent="1"/>
    </xf>
    <xf numFmtId="183" fontId="48" fillId="27" borderId="211" xfId="0" applyNumberFormat="1" applyFont="1" applyFill="1" applyBorder="1" applyAlignment="1">
      <alignment horizontal="right" vertical="center" wrapText="1" indent="1"/>
    </xf>
    <xf numFmtId="183" fontId="48" fillId="0" borderId="151" xfId="0" applyNumberFormat="1" applyFont="1" applyFill="1" applyBorder="1" applyAlignment="1">
      <alignment horizontal="right" vertical="center" wrapText="1" indent="1"/>
    </xf>
    <xf numFmtId="183" fontId="48" fillId="0" borderId="155" xfId="0" applyNumberFormat="1" applyFont="1" applyFill="1" applyBorder="1" applyAlignment="1">
      <alignment horizontal="right" vertical="center" wrapText="1" indent="1"/>
    </xf>
    <xf numFmtId="183" fontId="48" fillId="25" borderId="155" xfId="0" applyNumberFormat="1" applyFont="1" applyFill="1" applyBorder="1" applyAlignment="1">
      <alignment horizontal="right" vertical="center" wrapText="1" indent="1"/>
    </xf>
    <xf numFmtId="183" fontId="48" fillId="24" borderId="155" xfId="0" applyNumberFormat="1" applyFont="1" applyFill="1" applyBorder="1" applyAlignment="1">
      <alignment horizontal="right" vertical="center" wrapText="1" indent="1"/>
    </xf>
    <xf numFmtId="183" fontId="48" fillId="15" borderId="155" xfId="0" applyNumberFormat="1" applyFont="1" applyFill="1" applyBorder="1" applyAlignment="1">
      <alignment horizontal="right" vertical="center" wrapText="1" indent="1"/>
    </xf>
    <xf numFmtId="183" fontId="48" fillId="27" borderId="159" xfId="0" applyNumberFormat="1" applyFont="1" applyFill="1" applyBorder="1" applyAlignment="1">
      <alignment horizontal="right" vertical="center" wrapText="1" indent="1"/>
    </xf>
    <xf numFmtId="166" fontId="47" fillId="12" borderId="183" xfId="0" applyNumberFormat="1" applyFont="1" applyFill="1" applyBorder="1" applyAlignment="1">
      <alignment horizontal="right" vertical="center" wrapText="1" indent="1"/>
    </xf>
    <xf numFmtId="166" fontId="47" fillId="12" borderId="189" xfId="0" applyNumberFormat="1" applyFont="1" applyFill="1" applyBorder="1" applyAlignment="1">
      <alignment horizontal="right" vertical="center" wrapText="1" indent="1"/>
    </xf>
    <xf numFmtId="183" fontId="48" fillId="12" borderId="34" xfId="0" applyNumberFormat="1" applyFont="1" applyFill="1" applyBorder="1" applyAlignment="1">
      <alignment horizontal="right" vertical="center" wrapText="1" indent="1"/>
    </xf>
    <xf numFmtId="183" fontId="48" fillId="12" borderId="60" xfId="0" applyNumberFormat="1" applyFont="1" applyFill="1" applyBorder="1" applyAlignment="1">
      <alignment horizontal="right" vertical="center" wrapText="1" indent="1"/>
    </xf>
    <xf numFmtId="183" fontId="48" fillId="25" borderId="33" xfId="0" applyNumberFormat="1" applyFont="1" applyFill="1" applyBorder="1" applyAlignment="1">
      <alignment horizontal="right" vertical="center" wrapText="1" indent="1"/>
    </xf>
    <xf numFmtId="183" fontId="48" fillId="0" borderId="31" xfId="0" applyNumberFormat="1" applyFont="1" applyBorder="1" applyAlignment="1">
      <alignment horizontal="right" vertical="center" wrapText="1" indent="1"/>
    </xf>
    <xf numFmtId="183" fontId="37" fillId="0" borderId="39" xfId="0" applyNumberFormat="1" applyFont="1" applyFill="1" applyBorder="1" applyAlignment="1">
      <alignment horizontal="right" vertical="center" wrapText="1" indent="1"/>
    </xf>
    <xf numFmtId="183" fontId="4" fillId="0" borderId="148" xfId="0" applyNumberFormat="1" applyFont="1" applyFill="1" applyBorder="1" applyAlignment="1">
      <alignment horizontal="right" vertical="center" wrapText="1" indent="1"/>
    </xf>
    <xf numFmtId="183" fontId="4" fillId="0" borderId="152" xfId="0" applyNumberFormat="1" applyFont="1" applyFill="1" applyBorder="1" applyAlignment="1">
      <alignment horizontal="right" vertical="center" wrapText="1" indent="1"/>
    </xf>
    <xf numFmtId="183" fontId="4" fillId="25" borderId="152" xfId="0" applyNumberFormat="1" applyFont="1" applyFill="1" applyBorder="1" applyAlignment="1">
      <alignment horizontal="right" vertical="center" wrapText="1" indent="1"/>
    </xf>
    <xf numFmtId="183" fontId="4" fillId="24" borderId="152" xfId="0" applyNumberFormat="1" applyFont="1" applyFill="1" applyBorder="1" applyAlignment="1">
      <alignment horizontal="right" vertical="center" wrapText="1" indent="1"/>
    </xf>
    <xf numFmtId="183" fontId="4" fillId="15" borderId="152" xfId="0" applyNumberFormat="1" applyFont="1" applyFill="1" applyBorder="1" applyAlignment="1">
      <alignment horizontal="right" vertical="center" wrapText="1" indent="1"/>
    </xf>
    <xf numFmtId="183" fontId="4" fillId="27" borderId="156" xfId="0" applyNumberFormat="1" applyFont="1" applyFill="1" applyBorder="1" applyAlignment="1">
      <alignment horizontal="right" vertical="center" wrapText="1" indent="1"/>
    </xf>
    <xf numFmtId="183" fontId="4" fillId="25" borderId="148" xfId="0" applyNumberFormat="1" applyFont="1" applyFill="1" applyBorder="1" applyAlignment="1">
      <alignment horizontal="right" vertical="center" wrapText="1" indent="1"/>
    </xf>
    <xf numFmtId="183" fontId="37" fillId="12" borderId="52" xfId="0" applyNumberFormat="1" applyFont="1" applyFill="1" applyBorder="1" applyAlignment="1">
      <alignment horizontal="right" vertical="center" wrapText="1" indent="1"/>
    </xf>
    <xf numFmtId="183" fontId="37" fillId="12" borderId="53" xfId="0" applyNumberFormat="1" applyFont="1" applyFill="1" applyBorder="1" applyAlignment="1">
      <alignment horizontal="right" vertical="center" wrapText="1" indent="1"/>
    </xf>
    <xf numFmtId="183" fontId="4" fillId="25" borderId="51" xfId="0" applyNumberFormat="1" applyFont="1" applyFill="1" applyBorder="1" applyAlignment="1">
      <alignment horizontal="right" vertical="center" wrapText="1" indent="1"/>
    </xf>
    <xf numFmtId="183" fontId="4" fillId="12" borderId="53" xfId="0" applyNumberFormat="1" applyFont="1" applyFill="1" applyBorder="1" applyAlignment="1">
      <alignment horizontal="right" vertical="center" wrapText="1" indent="1"/>
    </xf>
    <xf numFmtId="183" fontId="37" fillId="0" borderId="38" xfId="0" applyNumberFormat="1" applyFont="1" applyBorder="1" applyAlignment="1">
      <alignment horizontal="right" vertical="center" wrapText="1" indent="1"/>
    </xf>
    <xf numFmtId="183" fontId="37" fillId="0" borderId="51" xfId="0" applyNumberFormat="1" applyFont="1" applyBorder="1" applyAlignment="1">
      <alignment horizontal="right" vertical="center" wrapText="1" indent="1"/>
    </xf>
    <xf numFmtId="2" fontId="13" fillId="12" borderId="181" xfId="0" applyNumberFormat="1" applyFont="1" applyFill="1" applyBorder="1" applyAlignment="1">
      <alignment horizontal="right" vertical="center" wrapText="1" indent="1"/>
    </xf>
    <xf numFmtId="2" fontId="13" fillId="12" borderId="117" xfId="0" applyNumberFormat="1" applyFont="1" applyFill="1" applyBorder="1" applyAlignment="1">
      <alignment horizontal="right" vertical="center" wrapText="1" indent="1"/>
    </xf>
    <xf numFmtId="0" fontId="4" fillId="19" borderId="7" xfId="0" applyFont="1" applyFill="1" applyBorder="1" applyAlignment="1">
      <alignment vertical="center" wrapText="1"/>
    </xf>
    <xf numFmtId="0" fontId="4" fillId="19" borderId="44" xfId="0" applyFont="1" applyFill="1" applyBorder="1" applyAlignment="1">
      <alignment vertical="center" wrapText="1"/>
    </xf>
    <xf numFmtId="183" fontId="9" fillId="12" borderId="127" xfId="0" applyNumberFormat="1" applyFont="1" applyFill="1" applyBorder="1" applyAlignment="1">
      <alignment horizontal="right" vertical="center" wrapText="1" indent="1"/>
    </xf>
    <xf numFmtId="183" fontId="9" fillId="12" borderId="183" xfId="0" applyNumberFormat="1" applyFont="1" applyFill="1" applyBorder="1" applyAlignment="1">
      <alignment horizontal="right" vertical="center" wrapText="1" indent="1"/>
    </xf>
    <xf numFmtId="183" fontId="9" fillId="12" borderId="187" xfId="0" applyNumberFormat="1" applyFont="1" applyFill="1" applyBorder="1" applyAlignment="1">
      <alignment horizontal="right" vertical="center" wrapText="1" indent="1"/>
    </xf>
    <xf numFmtId="183" fontId="9" fillId="12" borderId="189" xfId="0" applyNumberFormat="1" applyFont="1" applyFill="1" applyBorder="1" applyAlignment="1">
      <alignment horizontal="right" vertical="center" wrapText="1" indent="1"/>
    </xf>
    <xf numFmtId="183" fontId="37" fillId="0" borderId="55" xfId="0" applyNumberFormat="1" applyFont="1" applyFill="1" applyBorder="1" applyAlignment="1">
      <alignment horizontal="right" vertical="center" wrapText="1" indent="1"/>
    </xf>
    <xf numFmtId="183" fontId="4" fillId="25" borderId="202" xfId="0" applyNumberFormat="1" applyFont="1" applyFill="1" applyBorder="1" applyAlignment="1">
      <alignment horizontal="right" vertical="center" wrapText="1" indent="1"/>
    </xf>
    <xf numFmtId="183" fontId="4" fillId="0" borderId="208" xfId="0" applyNumberFormat="1" applyFont="1" applyFill="1" applyBorder="1" applyAlignment="1">
      <alignment horizontal="right" vertical="center" wrapText="1" indent="1"/>
    </xf>
    <xf numFmtId="183" fontId="4" fillId="24" borderId="208" xfId="0" applyNumberFormat="1" applyFont="1" applyFill="1" applyBorder="1" applyAlignment="1">
      <alignment horizontal="right" vertical="center" wrapText="1" indent="1"/>
    </xf>
    <xf numFmtId="183" fontId="4" fillId="27" borderId="208" xfId="0" applyNumberFormat="1" applyFont="1" applyFill="1" applyBorder="1" applyAlignment="1">
      <alignment horizontal="right" vertical="center" wrapText="1" indent="1"/>
    </xf>
    <xf numFmtId="183" fontId="4" fillId="27" borderId="214" xfId="0" applyNumberFormat="1" applyFont="1" applyFill="1" applyBorder="1" applyAlignment="1">
      <alignment horizontal="right" vertical="center" wrapText="1" indent="1"/>
    </xf>
    <xf numFmtId="183" fontId="4" fillId="0" borderId="161" xfId="0" applyNumberFormat="1" applyFont="1" applyFill="1" applyBorder="1" applyAlignment="1">
      <alignment horizontal="right" vertical="center" wrapText="1" indent="1"/>
    </xf>
    <xf numFmtId="183" fontId="4" fillId="0" borderId="165" xfId="0" applyNumberFormat="1" applyFont="1" applyFill="1" applyBorder="1" applyAlignment="1">
      <alignment horizontal="right" vertical="center" wrapText="1" indent="1"/>
    </xf>
    <xf numFmtId="183" fontId="4" fillId="25" borderId="165" xfId="0" applyNumberFormat="1" applyFont="1" applyFill="1" applyBorder="1" applyAlignment="1">
      <alignment horizontal="right" vertical="center" wrapText="1" indent="1"/>
    </xf>
    <xf numFmtId="183" fontId="4" fillId="24" borderId="165" xfId="0" applyNumberFormat="1" applyFont="1" applyFill="1" applyBorder="1" applyAlignment="1">
      <alignment horizontal="right" vertical="center" wrapText="1" indent="1"/>
    </xf>
    <xf numFmtId="183" fontId="4" fillId="15" borderId="165" xfId="0" applyNumberFormat="1" applyFont="1" applyFill="1" applyBorder="1" applyAlignment="1">
      <alignment horizontal="right" vertical="center" wrapText="1" indent="1"/>
    </xf>
    <xf numFmtId="183" fontId="4" fillId="27" borderId="169" xfId="0" applyNumberFormat="1" applyFont="1" applyFill="1" applyBorder="1" applyAlignment="1">
      <alignment horizontal="right" vertical="center" wrapText="1" indent="1"/>
    </xf>
    <xf numFmtId="183" fontId="4" fillId="25" borderId="161" xfId="0" applyNumberFormat="1" applyFont="1" applyFill="1" applyBorder="1" applyAlignment="1">
      <alignment horizontal="right" vertical="center" wrapText="1" indent="1"/>
    </xf>
    <xf numFmtId="183" fontId="9" fillId="24" borderId="79" xfId="0" applyNumberFormat="1" applyFont="1" applyFill="1" applyBorder="1" applyAlignment="1">
      <alignment horizontal="right" vertical="center" wrapText="1" indent="1"/>
    </xf>
    <xf numFmtId="183" fontId="9" fillId="12" borderId="185" xfId="0" applyNumberFormat="1" applyFont="1" applyFill="1" applyBorder="1" applyAlignment="1">
      <alignment horizontal="right" vertical="center" wrapText="1" indent="1"/>
    </xf>
    <xf numFmtId="183" fontId="9" fillId="12" borderId="192" xfId="0" applyNumberFormat="1" applyFont="1" applyFill="1" applyBorder="1" applyAlignment="1">
      <alignment horizontal="right" vertical="center" wrapText="1" indent="1"/>
    </xf>
    <xf numFmtId="183" fontId="9" fillId="24" borderId="69" xfId="0" applyNumberFormat="1" applyFont="1" applyFill="1" applyBorder="1" applyAlignment="1">
      <alignment horizontal="right" vertical="center" wrapText="1" indent="1"/>
    </xf>
    <xf numFmtId="183" fontId="9" fillId="25" borderId="69" xfId="0" applyNumberFormat="1" applyFont="1" applyFill="1" applyBorder="1" applyAlignment="1">
      <alignment horizontal="right" vertical="center" wrapText="1" indent="1"/>
    </xf>
    <xf numFmtId="183" fontId="37" fillId="12" borderId="69" xfId="0" applyNumberFormat="1" applyFont="1" applyFill="1" applyBorder="1" applyAlignment="1">
      <alignment horizontal="right" vertical="center" wrapText="1" indent="1"/>
    </xf>
    <xf numFmtId="183" fontId="37" fillId="12" borderId="61" xfId="0" applyNumberFormat="1" applyFont="1" applyFill="1" applyBorder="1" applyAlignment="1">
      <alignment horizontal="right" vertical="center" wrapText="1" indent="1"/>
    </xf>
    <xf numFmtId="183" fontId="4" fillId="25" borderId="77" xfId="0" applyNumberFormat="1" applyFont="1" applyFill="1" applyBorder="1" applyAlignment="1">
      <alignment horizontal="right" vertical="center" wrapText="1" indent="1"/>
    </xf>
    <xf numFmtId="183" fontId="4" fillId="12" borderId="61" xfId="0" applyNumberFormat="1" applyFont="1" applyFill="1" applyBorder="1" applyAlignment="1">
      <alignment horizontal="right" vertical="center" wrapText="1" indent="1"/>
    </xf>
    <xf numFmtId="183" fontId="37" fillId="0" borderId="57" xfId="0" applyNumberFormat="1" applyFont="1" applyBorder="1" applyAlignment="1">
      <alignment horizontal="right" vertical="center" wrapText="1" indent="1"/>
    </xf>
    <xf numFmtId="183" fontId="37" fillId="25" borderId="69" xfId="0" applyNumberFormat="1" applyFont="1" applyFill="1" applyBorder="1" applyAlignment="1">
      <alignment horizontal="right" vertical="center" wrapText="1" indent="1"/>
    </xf>
    <xf numFmtId="183" fontId="37" fillId="0" borderId="77" xfId="0" applyNumberFormat="1" applyFont="1" applyBorder="1" applyAlignment="1">
      <alignment horizontal="right" vertical="center" wrapText="1" indent="1"/>
    </xf>
    <xf numFmtId="183" fontId="9" fillId="0" borderId="37" xfId="0" applyNumberFormat="1" applyFont="1" applyFill="1" applyBorder="1" applyAlignment="1">
      <alignment horizontal="right" vertical="center" wrapText="1" indent="1"/>
    </xf>
    <xf numFmtId="183" fontId="9" fillId="27" borderId="207" xfId="0" applyNumberFormat="1" applyFont="1" applyFill="1" applyBorder="1" applyAlignment="1">
      <alignment horizontal="right" vertical="center" wrapText="1" indent="1"/>
    </xf>
    <xf numFmtId="183" fontId="9" fillId="27" borderId="213" xfId="0" applyNumberFormat="1" applyFont="1" applyFill="1" applyBorder="1" applyAlignment="1">
      <alignment horizontal="right" vertical="center" wrapText="1" indent="1"/>
    </xf>
    <xf numFmtId="183" fontId="9" fillId="0" borderId="160" xfId="0" applyNumberFormat="1" applyFont="1" applyFill="1" applyBorder="1" applyAlignment="1">
      <alignment horizontal="right" vertical="center" wrapText="1" indent="1"/>
    </xf>
    <xf numFmtId="183" fontId="9" fillId="0" borderId="164" xfId="0" applyNumberFormat="1" applyFont="1" applyFill="1" applyBorder="1" applyAlignment="1">
      <alignment horizontal="right" vertical="center" wrapText="1" indent="1"/>
    </xf>
    <xf numFmtId="183" fontId="9" fillId="25" borderId="164" xfId="0" applyNumberFormat="1" applyFont="1" applyFill="1" applyBorder="1" applyAlignment="1">
      <alignment horizontal="right" vertical="center" wrapText="1" indent="1"/>
    </xf>
    <xf numFmtId="183" fontId="9" fillId="24" borderId="164" xfId="0" applyNumberFormat="1" applyFont="1" applyFill="1" applyBorder="1" applyAlignment="1">
      <alignment horizontal="right" vertical="center" wrapText="1" indent="1"/>
    </xf>
    <xf numFmtId="183" fontId="9" fillId="15" borderId="164" xfId="0" applyNumberFormat="1" applyFont="1" applyFill="1" applyBorder="1" applyAlignment="1">
      <alignment horizontal="right" vertical="center" wrapText="1" indent="1"/>
    </xf>
    <xf numFmtId="183" fontId="9" fillId="27" borderId="168" xfId="0" applyNumberFormat="1" applyFont="1" applyFill="1" applyBorder="1" applyAlignment="1">
      <alignment horizontal="right" vertical="center" wrapText="1" indent="1"/>
    </xf>
    <xf numFmtId="183" fontId="9" fillId="25" borderId="160" xfId="0" applyNumberFormat="1" applyFont="1" applyFill="1" applyBorder="1" applyAlignment="1">
      <alignment horizontal="right" vertical="center" wrapText="1" indent="1"/>
    </xf>
    <xf numFmtId="183" fontId="48" fillId="24" borderId="80" xfId="0" applyNumberFormat="1" applyFont="1" applyFill="1" applyBorder="1" applyAlignment="1">
      <alignment horizontal="right" vertical="center" wrapText="1" indent="1"/>
    </xf>
    <xf numFmtId="183" fontId="48" fillId="12" borderId="184" xfId="0" applyNumberFormat="1" applyFont="1" applyFill="1" applyBorder="1" applyAlignment="1">
      <alignment horizontal="right" vertical="center" wrapText="1" indent="1"/>
    </xf>
    <xf numFmtId="183" fontId="48" fillId="12" borderId="191" xfId="0" applyNumberFormat="1" applyFont="1" applyFill="1" applyBorder="1" applyAlignment="1">
      <alignment horizontal="right" vertical="center" wrapText="1" indent="1"/>
    </xf>
    <xf numFmtId="183" fontId="48" fillId="25" borderId="75" xfId="0" applyNumberFormat="1" applyFont="1" applyFill="1" applyBorder="1" applyAlignment="1">
      <alignment horizontal="right" vertical="center" wrapText="1" indent="1"/>
    </xf>
    <xf numFmtId="183" fontId="57" fillId="0" borderId="38" xfId="0" applyNumberFormat="1" applyFont="1" applyBorder="1" applyAlignment="1">
      <alignment horizontal="right" vertical="center" wrapText="1" indent="1"/>
    </xf>
    <xf numFmtId="183" fontId="57" fillId="0" borderId="39" xfId="0" applyNumberFormat="1" applyFont="1" applyFill="1" applyBorder="1" applyAlignment="1">
      <alignment horizontal="right" vertical="center" wrapText="1" indent="1"/>
    </xf>
    <xf numFmtId="183" fontId="57" fillId="25" borderId="145" xfId="0" applyNumberFormat="1" applyFont="1" applyFill="1" applyBorder="1" applyAlignment="1">
      <alignment horizontal="right" vertical="center" wrapText="1" indent="1"/>
    </xf>
    <xf numFmtId="183" fontId="57" fillId="0" borderId="146" xfId="0" applyNumberFormat="1" applyFont="1" applyFill="1" applyBorder="1" applyAlignment="1">
      <alignment horizontal="right" vertical="center" wrapText="1" indent="1"/>
    </xf>
    <xf numFmtId="183" fontId="57" fillId="24" borderId="146" xfId="0" applyNumberFormat="1" applyFont="1" applyFill="1" applyBorder="1" applyAlignment="1">
      <alignment horizontal="right" vertical="center" wrapText="1" indent="1"/>
    </xf>
    <xf numFmtId="183" fontId="57" fillId="27" borderId="146" xfId="0" applyNumberFormat="1" applyFont="1" applyFill="1" applyBorder="1" applyAlignment="1">
      <alignment horizontal="right" vertical="center" wrapText="1" indent="1"/>
    </xf>
    <xf numFmtId="183" fontId="57" fillId="27" borderId="147" xfId="0" applyNumberFormat="1" applyFont="1" applyFill="1" applyBorder="1" applyAlignment="1">
      <alignment horizontal="right" vertical="center" wrapText="1" indent="1"/>
    </xf>
    <xf numFmtId="183" fontId="57" fillId="0" borderId="148" xfId="0" applyNumberFormat="1" applyFont="1" applyFill="1" applyBorder="1" applyAlignment="1">
      <alignment horizontal="right" vertical="center" wrapText="1" indent="1"/>
    </xf>
    <xf numFmtId="183" fontId="57" fillId="0" borderId="152" xfId="0" applyNumberFormat="1" applyFont="1" applyFill="1" applyBorder="1" applyAlignment="1">
      <alignment horizontal="right" vertical="center" wrapText="1" indent="1"/>
    </xf>
    <xf numFmtId="183" fontId="57" fillId="25" borderId="152" xfId="0" applyNumberFormat="1" applyFont="1" applyFill="1" applyBorder="1" applyAlignment="1">
      <alignment horizontal="right" vertical="center" wrapText="1" indent="1"/>
    </xf>
    <xf numFmtId="183" fontId="57" fillId="24" borderId="152" xfId="0" applyNumberFormat="1" applyFont="1" applyFill="1" applyBorder="1" applyAlignment="1">
      <alignment horizontal="right" vertical="center" wrapText="1" indent="1"/>
    </xf>
    <xf numFmtId="183" fontId="57" fillId="15" borderId="152" xfId="0" applyNumberFormat="1" applyFont="1" applyFill="1" applyBorder="1" applyAlignment="1">
      <alignment horizontal="right" vertical="center" wrapText="1" indent="1"/>
    </xf>
    <xf numFmtId="183" fontId="57" fillId="27" borderId="156" xfId="0" applyNumberFormat="1" applyFont="1" applyFill="1" applyBorder="1" applyAlignment="1">
      <alignment horizontal="right" vertical="center" wrapText="1" indent="1"/>
    </xf>
    <xf numFmtId="183" fontId="57" fillId="25" borderId="148" xfId="0" applyNumberFormat="1" applyFont="1" applyFill="1" applyBorder="1" applyAlignment="1">
      <alignment horizontal="right" vertical="center" wrapText="1" indent="1"/>
    </xf>
    <xf numFmtId="166" fontId="56" fillId="12" borderId="127" xfId="0" applyNumberFormat="1" applyFont="1" applyFill="1" applyBorder="1" applyAlignment="1">
      <alignment horizontal="right" vertical="center" wrapText="1" indent="1"/>
    </xf>
    <xf numFmtId="166" fontId="56" fillId="12" borderId="187" xfId="0" applyNumberFormat="1" applyFont="1" applyFill="1" applyBorder="1" applyAlignment="1">
      <alignment horizontal="right" vertical="center" wrapText="1" indent="1"/>
    </xf>
    <xf numFmtId="183" fontId="57" fillId="12" borderId="52" xfId="0" applyNumberFormat="1" applyFont="1" applyFill="1" applyBorder="1" applyAlignment="1">
      <alignment horizontal="right" vertical="center" wrapText="1" indent="1"/>
    </xf>
    <xf numFmtId="183" fontId="57" fillId="12" borderId="53" xfId="0" applyNumberFormat="1" applyFont="1" applyFill="1" applyBorder="1" applyAlignment="1">
      <alignment horizontal="right" vertical="center" wrapText="1" indent="1"/>
    </xf>
    <xf numFmtId="183" fontId="57" fillId="25" borderId="51" xfId="0" applyNumberFormat="1" applyFont="1" applyFill="1" applyBorder="1" applyAlignment="1">
      <alignment horizontal="right" vertical="center" wrapText="1" indent="1"/>
    </xf>
    <xf numFmtId="183" fontId="57" fillId="0" borderId="51" xfId="0" applyNumberFormat="1" applyFont="1" applyBorder="1" applyAlignment="1">
      <alignment horizontal="right" vertical="center" wrapText="1" indent="1"/>
    </xf>
    <xf numFmtId="183" fontId="48" fillId="12" borderId="75" xfId="0" applyNumberFormat="1" applyFont="1" applyFill="1" applyBorder="1" applyAlignment="1">
      <alignment horizontal="right" vertical="center" wrapText="1" indent="1"/>
    </xf>
    <xf numFmtId="183" fontId="48" fillId="12" borderId="63" xfId="0" applyNumberFormat="1" applyFont="1" applyFill="1" applyBorder="1" applyAlignment="1">
      <alignment horizontal="right" vertical="center" wrapText="1" indent="1"/>
    </xf>
    <xf numFmtId="183" fontId="48" fillId="25" borderId="66" xfId="0" applyNumberFormat="1" applyFont="1" applyFill="1" applyBorder="1" applyAlignment="1">
      <alignment horizontal="right" vertical="center" wrapText="1" indent="1"/>
    </xf>
    <xf numFmtId="183" fontId="48" fillId="0" borderId="164" xfId="0" applyNumberFormat="1" applyFont="1" applyFill="1" applyBorder="1" applyAlignment="1">
      <alignment horizontal="right" vertical="center" wrapText="1" indent="1"/>
    </xf>
    <xf numFmtId="183" fontId="48" fillId="0" borderId="75" xfId="0" applyNumberFormat="1" applyFont="1" applyFill="1" applyBorder="1" applyAlignment="1">
      <alignment horizontal="right" vertical="center" wrapText="1" indent="1"/>
    </xf>
    <xf numFmtId="183" fontId="48" fillId="0" borderId="66" xfId="0" applyNumberFormat="1" applyFont="1" applyFill="1" applyBorder="1" applyAlignment="1">
      <alignment horizontal="right" vertical="center" wrapText="1" indent="1"/>
    </xf>
    <xf numFmtId="183" fontId="48" fillId="0" borderId="239" xfId="0" applyNumberFormat="1" applyFont="1" applyFill="1" applyBorder="1" applyAlignment="1">
      <alignment horizontal="right" vertical="center" wrapText="1" indent="1"/>
    </xf>
    <xf numFmtId="183" fontId="57" fillId="0" borderId="154" xfId="0" applyNumberFormat="1" applyFont="1" applyFill="1" applyBorder="1" applyAlignment="1">
      <alignment horizontal="right" vertical="center" wrapText="1" indent="1"/>
    </xf>
    <xf numFmtId="183" fontId="57" fillId="0" borderId="124" xfId="0" applyNumberFormat="1" applyFont="1" applyFill="1" applyBorder="1" applyAlignment="1">
      <alignment horizontal="right" vertical="center" wrapText="1" indent="1"/>
    </xf>
    <xf numFmtId="183" fontId="57" fillId="0" borderId="26" xfId="0" applyNumberFormat="1" applyFont="1" applyFill="1" applyBorder="1" applyAlignment="1">
      <alignment horizontal="right" vertical="center" wrapText="1" indent="1"/>
    </xf>
    <xf numFmtId="173" fontId="13" fillId="0" borderId="32" xfId="0" applyNumberFormat="1" applyFont="1" applyFill="1" applyBorder="1" applyAlignment="1">
      <alignment horizontal="left" vertical="center" wrapText="1" indent="1"/>
    </xf>
    <xf numFmtId="173" fontId="13" fillId="12" borderId="183" xfId="0" applyNumberFormat="1" applyFont="1" applyFill="1" applyBorder="1" applyAlignment="1">
      <alignment horizontal="left" vertical="center" wrapText="1" indent="1"/>
    </xf>
    <xf numFmtId="173" fontId="13" fillId="12" borderId="189" xfId="0" applyNumberFormat="1" applyFont="1" applyFill="1" applyBorder="1" applyAlignment="1">
      <alignment horizontal="left" vertical="center" wrapText="1" indent="1"/>
    </xf>
    <xf numFmtId="173" fontId="13" fillId="12" borderId="34" xfId="0" applyNumberFormat="1" applyFont="1" applyFill="1" applyBorder="1" applyAlignment="1">
      <alignment horizontal="left" vertical="center" wrapText="1" indent="1"/>
    </xf>
    <xf numFmtId="173" fontId="13" fillId="12" borderId="60" xfId="0" applyNumberFormat="1" applyFont="1" applyFill="1" applyBorder="1" applyAlignment="1">
      <alignment horizontal="left" vertical="center" wrapText="1" indent="1"/>
    </xf>
    <xf numFmtId="173" fontId="13" fillId="25" borderId="34" xfId="0" applyNumberFormat="1" applyFont="1" applyFill="1" applyBorder="1" applyAlignment="1">
      <alignment horizontal="left" vertical="center" wrapText="1" indent="1"/>
    </xf>
    <xf numFmtId="183" fontId="37" fillId="0" borderId="31" xfId="0" applyNumberFormat="1" applyFont="1" applyFill="1" applyBorder="1" applyAlignment="1">
      <alignment horizontal="right" vertical="center" wrapText="1" indent="1"/>
    </xf>
    <xf numFmtId="0" fontId="4" fillId="19" borderId="23" xfId="0" applyFont="1" applyFill="1" applyBorder="1" applyAlignment="1">
      <alignment vertical="center" wrapText="1"/>
    </xf>
    <xf numFmtId="183" fontId="48" fillId="0" borderId="154" xfId="0" applyNumberFormat="1" applyFont="1" applyFill="1" applyBorder="1" applyAlignment="1">
      <alignment horizontal="right" vertical="center" wrapText="1" indent="1"/>
    </xf>
    <xf numFmtId="183" fontId="48" fillId="0" borderId="124" xfId="0" applyNumberFormat="1" applyFont="1" applyFill="1" applyBorder="1" applyAlignment="1">
      <alignment horizontal="right" vertical="center" wrapText="1" indent="1"/>
    </xf>
    <xf numFmtId="183" fontId="57" fillId="0" borderId="38" xfId="0" applyNumberFormat="1" applyFont="1" applyFill="1" applyBorder="1" applyAlignment="1">
      <alignment horizontal="right" vertical="center" wrapText="1" indent="1"/>
    </xf>
    <xf numFmtId="183" fontId="48" fillId="0" borderId="31" xfId="0" applyNumberFormat="1" applyFont="1" applyFill="1" applyBorder="1" applyAlignment="1">
      <alignment horizontal="right" vertical="center" wrapText="1" indent="1"/>
    </xf>
    <xf numFmtId="183" fontId="37" fillId="0" borderId="38" xfId="0" applyNumberFormat="1" applyFont="1" applyFill="1" applyBorder="1" applyAlignment="1">
      <alignment horizontal="right" vertical="center" wrapText="1" indent="1"/>
    </xf>
    <xf numFmtId="183" fontId="48" fillId="0" borderId="57" xfId="0" applyNumberFormat="1" applyFont="1" applyFill="1" applyBorder="1" applyAlignment="1">
      <alignment horizontal="right" vertical="center" wrapText="1" indent="1"/>
    </xf>
    <xf numFmtId="183" fontId="37" fillId="0" borderId="34" xfId="0" applyNumberFormat="1" applyFont="1" applyFill="1" applyBorder="1" applyAlignment="1">
      <alignment horizontal="right" vertical="center" wrapText="1" indent="1"/>
    </xf>
    <xf numFmtId="183" fontId="57" fillId="0" borderId="52" xfId="0" applyNumberFormat="1" applyFont="1" applyFill="1" applyBorder="1" applyAlignment="1">
      <alignment horizontal="right" vertical="center" wrapText="1" indent="1"/>
    </xf>
    <xf numFmtId="183" fontId="48" fillId="0" borderId="34" xfId="0" applyNumberFormat="1" applyFont="1" applyFill="1" applyBorder="1" applyAlignment="1">
      <alignment horizontal="right" vertical="center" wrapText="1" indent="1"/>
    </xf>
    <xf numFmtId="183" fontId="37" fillId="0" borderId="52" xfId="0" applyNumberFormat="1" applyFont="1" applyFill="1" applyBorder="1" applyAlignment="1">
      <alignment horizontal="right" vertical="center" wrapText="1" indent="1"/>
    </xf>
    <xf numFmtId="183" fontId="48" fillId="0" borderId="69" xfId="0" applyNumberFormat="1" applyFont="1" applyFill="1" applyBorder="1" applyAlignment="1">
      <alignment horizontal="right" vertical="center" wrapText="1" indent="1"/>
    </xf>
    <xf numFmtId="173" fontId="56" fillId="0" borderId="17" xfId="0" applyNumberFormat="1" applyFont="1" applyFill="1" applyBorder="1" applyAlignment="1">
      <alignment horizontal="left" vertical="center" wrapText="1" indent="1"/>
    </xf>
    <xf numFmtId="173" fontId="56" fillId="12" borderId="126" xfId="0" applyNumberFormat="1" applyFont="1" applyFill="1" applyBorder="1" applyAlignment="1">
      <alignment horizontal="right" vertical="center" wrapText="1" indent="1"/>
    </xf>
    <xf numFmtId="173" fontId="56" fillId="12" borderId="190" xfId="0" applyNumberFormat="1" applyFont="1" applyFill="1" applyBorder="1" applyAlignment="1">
      <alignment horizontal="right" vertical="center" wrapText="1" indent="1"/>
    </xf>
    <xf numFmtId="173" fontId="56" fillId="12" borderId="116" xfId="0" applyNumberFormat="1" applyFont="1" applyFill="1" applyBorder="1" applyAlignment="1">
      <alignment horizontal="left" vertical="center" wrapText="1" indent="1"/>
    </xf>
    <xf numFmtId="173" fontId="56" fillId="12" borderId="30" xfId="0" applyNumberFormat="1" applyFont="1" applyFill="1" applyBorder="1" applyAlignment="1">
      <alignment horizontal="left" vertical="center" wrapText="1" indent="1"/>
    </xf>
    <xf numFmtId="183" fontId="56" fillId="12" borderId="69" xfId="0" applyNumberFormat="1" applyFont="1" applyFill="1" applyBorder="1" applyAlignment="1">
      <alignment horizontal="left" vertical="center" wrapText="1" indent="3"/>
    </xf>
    <xf numFmtId="183" fontId="57" fillId="0" borderId="236" xfId="0" applyNumberFormat="1" applyFont="1" applyFill="1" applyBorder="1" applyAlignment="1">
      <alignment horizontal="left" vertical="center" wrapText="1" indent="3"/>
    </xf>
    <xf numFmtId="183" fontId="56" fillId="12" borderId="61" xfId="0" applyNumberFormat="1" applyFont="1" applyFill="1" applyBorder="1" applyAlignment="1">
      <alignment horizontal="left" vertical="center" wrapText="1" indent="3"/>
    </xf>
    <xf numFmtId="183" fontId="57" fillId="0" borderId="77" xfId="0" applyNumberFormat="1" applyFont="1" applyFill="1" applyBorder="1" applyAlignment="1">
      <alignment horizontal="left" vertical="center" wrapText="1" indent="3"/>
    </xf>
    <xf numFmtId="183" fontId="0" fillId="0" borderId="0" xfId="0" applyNumberFormat="1" applyBorder="1" applyAlignment="1">
      <alignment horizontal="left" vertical="center"/>
    </xf>
    <xf numFmtId="183" fontId="0" fillId="0" borderId="0" xfId="0" applyNumberFormat="1" applyBorder="1" applyAlignment="1">
      <alignment vertical="center"/>
    </xf>
    <xf numFmtId="183" fontId="0" fillId="0" borderId="19" xfId="0" applyNumberFormat="1" applyBorder="1" applyAlignment="1">
      <alignment vertical="center"/>
    </xf>
    <xf numFmtId="0" fontId="0" fillId="0" borderId="0" xfId="0" applyBorder="1" applyAlignment="1">
      <alignment wrapText="1"/>
    </xf>
    <xf numFmtId="183" fontId="37" fillId="0" borderId="0" xfId="0" applyNumberFormat="1" applyFont="1" applyBorder="1" applyAlignment="1">
      <alignment vertical="center"/>
    </xf>
    <xf numFmtId="183" fontId="37" fillId="0" borderId="0" xfId="0" applyNumberFormat="1" applyFont="1" applyBorder="1" applyAlignment="1"/>
    <xf numFmtId="0" fontId="37" fillId="0" borderId="253" xfId="0" applyFont="1" applyFill="1" applyBorder="1"/>
    <xf numFmtId="0" fontId="0" fillId="0" borderId="254" xfId="0" applyBorder="1"/>
    <xf numFmtId="183" fontId="0" fillId="0" borderId="254" xfId="0" applyNumberFormat="1" applyBorder="1"/>
    <xf numFmtId="0" fontId="0" fillId="0" borderId="254" xfId="0" applyBorder="1" applyAlignment="1">
      <alignment horizontal="right" indent="1"/>
    </xf>
    <xf numFmtId="0" fontId="0" fillId="0" borderId="255" xfId="0" applyBorder="1"/>
    <xf numFmtId="0" fontId="37" fillId="0" borderId="256" xfId="0" applyFont="1" applyFill="1" applyBorder="1"/>
    <xf numFmtId="0" fontId="0" fillId="0" borderId="252" xfId="0" applyBorder="1"/>
    <xf numFmtId="0" fontId="0" fillId="0" borderId="256" xfId="0" applyFill="1" applyBorder="1"/>
    <xf numFmtId="0" fontId="0" fillId="0" borderId="257" xfId="0" applyFill="1" applyBorder="1"/>
    <xf numFmtId="0" fontId="0" fillId="0" borderId="256" xfId="0" applyBorder="1"/>
    <xf numFmtId="0" fontId="0" fillId="0" borderId="258" xfId="0" applyBorder="1"/>
    <xf numFmtId="0" fontId="0" fillId="0" borderId="259" xfId="0" applyBorder="1"/>
    <xf numFmtId="183" fontId="0" fillId="0" borderId="259" xfId="0" applyNumberFormat="1" applyBorder="1"/>
    <xf numFmtId="0" fontId="0" fillId="0" borderId="259" xfId="0" applyBorder="1" applyAlignment="1">
      <alignment horizontal="right" indent="1"/>
    </xf>
    <xf numFmtId="0" fontId="0" fillId="0" borderId="260" xfId="0" applyBorder="1"/>
    <xf numFmtId="183" fontId="4" fillId="30" borderId="116" xfId="0" applyNumberFormat="1" applyFont="1" applyFill="1" applyBorder="1" applyAlignment="1">
      <alignment vertical="center" wrapText="1"/>
    </xf>
    <xf numFmtId="0" fontId="4" fillId="30" borderId="23" xfId="0" applyFont="1" applyFill="1" applyBorder="1" applyAlignment="1">
      <alignment horizontal="center" vertical="center" wrapText="1"/>
    </xf>
    <xf numFmtId="0" fontId="4" fillId="31" borderId="23" xfId="0" applyFont="1" applyFill="1" applyBorder="1" applyAlignment="1">
      <alignment horizontal="center" vertical="center" wrapText="1"/>
    </xf>
    <xf numFmtId="0" fontId="4" fillId="31" borderId="23" xfId="0" applyFont="1" applyFill="1" applyBorder="1" applyAlignment="1">
      <alignment horizontal="left" vertical="center" wrapText="1" indent="1"/>
    </xf>
    <xf numFmtId="183" fontId="4" fillId="32" borderId="116" xfId="0" applyNumberFormat="1" applyFont="1" applyFill="1" applyBorder="1" applyAlignment="1">
      <alignment vertical="center" wrapText="1"/>
    </xf>
    <xf numFmtId="183" fontId="37" fillId="0" borderId="57" xfId="0" applyNumberFormat="1" applyFont="1" applyFill="1" applyBorder="1" applyAlignment="1">
      <alignment horizontal="right" vertical="center" wrapText="1" indent="1"/>
    </xf>
    <xf numFmtId="183" fontId="37" fillId="0" borderId="69" xfId="0" applyNumberFormat="1" applyFont="1" applyFill="1" applyBorder="1" applyAlignment="1">
      <alignment horizontal="right" vertical="center" wrapText="1" indent="1"/>
    </xf>
    <xf numFmtId="0" fontId="4" fillId="31" borderId="52" xfId="0" applyFont="1" applyFill="1" applyBorder="1" applyAlignment="1">
      <alignment horizontal="center" vertical="center" wrapText="1"/>
    </xf>
    <xf numFmtId="0" fontId="4" fillId="31" borderId="34" xfId="0" applyFont="1" applyFill="1" applyBorder="1" applyAlignment="1">
      <alignment horizontal="left" vertical="center" wrapText="1" indent="1"/>
    </xf>
    <xf numFmtId="166" fontId="13" fillId="12" borderId="127" xfId="0" applyNumberFormat="1" applyFont="1" applyFill="1" applyBorder="1" applyAlignment="1">
      <alignment horizontal="right" vertical="center" wrapText="1" indent="1"/>
    </xf>
    <xf numFmtId="166" fontId="13" fillId="12" borderId="187" xfId="0" applyNumberFormat="1" applyFont="1" applyFill="1" applyBorder="1" applyAlignment="1">
      <alignment horizontal="right" vertical="center" wrapText="1" indent="1"/>
    </xf>
    <xf numFmtId="0" fontId="4" fillId="32" borderId="34" xfId="0" applyFont="1" applyFill="1" applyBorder="1" applyAlignment="1">
      <alignment horizontal="center" vertical="center" wrapText="1"/>
    </xf>
    <xf numFmtId="183" fontId="4" fillId="30" borderId="52" xfId="0" applyNumberFormat="1" applyFont="1" applyFill="1" applyBorder="1" applyAlignment="1">
      <alignment vertical="center" wrapText="1"/>
    </xf>
    <xf numFmtId="0" fontId="4" fillId="30" borderId="34" xfId="0" applyFont="1" applyFill="1" applyBorder="1" applyAlignment="1">
      <alignment horizontal="left" vertical="center" wrapText="1" indent="1"/>
    </xf>
    <xf numFmtId="183" fontId="62" fillId="0" borderId="70" xfId="0" applyNumberFormat="1" applyFont="1" applyFill="1" applyBorder="1" applyAlignment="1">
      <alignment horizontal="right" vertical="center" wrapText="1" indent="1"/>
    </xf>
    <xf numFmtId="183" fontId="62" fillId="25" borderId="262" xfId="0" applyNumberFormat="1" applyFont="1" applyFill="1" applyBorder="1" applyAlignment="1">
      <alignment horizontal="right" vertical="center" wrapText="1" indent="1"/>
    </xf>
    <xf numFmtId="183" fontId="62" fillId="0" borderId="263" xfId="0" applyNumberFormat="1" applyFont="1" applyFill="1" applyBorder="1" applyAlignment="1">
      <alignment horizontal="right" vertical="center" wrapText="1" indent="1"/>
    </xf>
    <xf numFmtId="183" fontId="62" fillId="24" borderId="263" xfId="0" applyNumberFormat="1" applyFont="1" applyFill="1" applyBorder="1" applyAlignment="1">
      <alignment horizontal="right" vertical="center" wrapText="1" indent="1"/>
    </xf>
    <xf numFmtId="183" fontId="62" fillId="27" borderId="263" xfId="0" applyNumberFormat="1" applyFont="1" applyFill="1" applyBorder="1" applyAlignment="1">
      <alignment horizontal="right" vertical="center" wrapText="1" indent="1"/>
    </xf>
    <xf numFmtId="183" fontId="62" fillId="27" borderId="264" xfId="0" applyNumberFormat="1" applyFont="1" applyFill="1" applyBorder="1" applyAlignment="1">
      <alignment horizontal="right" vertical="center" wrapText="1" indent="1"/>
    </xf>
    <xf numFmtId="183" fontId="62" fillId="0" borderId="265" xfId="0" applyNumberFormat="1" applyFont="1" applyFill="1" applyBorder="1" applyAlignment="1">
      <alignment horizontal="right" vertical="center" wrapText="1" indent="1"/>
    </xf>
    <xf numFmtId="183" fontId="62" fillId="0" borderId="172" xfId="0" applyNumberFormat="1" applyFont="1" applyFill="1" applyBorder="1" applyAlignment="1">
      <alignment horizontal="right" vertical="center" wrapText="1" indent="1"/>
    </xf>
    <xf numFmtId="183" fontId="62" fillId="25" borderId="172" xfId="0" applyNumberFormat="1" applyFont="1" applyFill="1" applyBorder="1" applyAlignment="1">
      <alignment horizontal="right" vertical="center" wrapText="1" indent="1"/>
    </xf>
    <xf numFmtId="183" fontId="62" fillId="24" borderId="172" xfId="0" applyNumberFormat="1" applyFont="1" applyFill="1" applyBorder="1" applyAlignment="1">
      <alignment horizontal="right" vertical="center" wrapText="1" indent="1"/>
    </xf>
    <xf numFmtId="183" fontId="62" fillId="15" borderId="172" xfId="0" applyNumberFormat="1" applyFont="1" applyFill="1" applyBorder="1" applyAlignment="1">
      <alignment horizontal="right" vertical="center" wrapText="1" indent="1"/>
    </xf>
    <xf numFmtId="183" fontId="62" fillId="27" borderId="173" xfId="0" applyNumberFormat="1" applyFont="1" applyFill="1" applyBorder="1" applyAlignment="1">
      <alignment horizontal="right" vertical="center" wrapText="1" indent="1"/>
    </xf>
    <xf numFmtId="183" fontId="62" fillId="25" borderId="265" xfId="0" applyNumberFormat="1" applyFont="1" applyFill="1" applyBorder="1" applyAlignment="1">
      <alignment horizontal="right" vertical="center" wrapText="1" indent="1"/>
    </xf>
    <xf numFmtId="183" fontId="62" fillId="24" borderId="89" xfId="0" applyNumberFormat="1" applyFont="1" applyFill="1" applyBorder="1" applyAlignment="1">
      <alignment horizontal="right" vertical="center" wrapText="1" indent="1"/>
    </xf>
    <xf numFmtId="183" fontId="62" fillId="12" borderId="266" xfId="0" applyNumberFormat="1" applyFont="1" applyFill="1" applyBorder="1" applyAlignment="1">
      <alignment horizontal="right" vertical="center" wrapText="1" indent="1"/>
    </xf>
    <xf numFmtId="183" fontId="62" fillId="12" borderId="267" xfId="0" applyNumberFormat="1" applyFont="1" applyFill="1" applyBorder="1" applyAlignment="1">
      <alignment horizontal="right" vertical="center" wrapText="1" indent="1"/>
    </xf>
    <xf numFmtId="183" fontId="62" fillId="24" borderId="76" xfId="0" applyNumberFormat="1" applyFont="1" applyFill="1" applyBorder="1" applyAlignment="1">
      <alignment horizontal="right" vertical="center" wrapText="1" indent="1"/>
    </xf>
    <xf numFmtId="183" fontId="62" fillId="25" borderId="76" xfId="0" applyNumberFormat="1" applyFont="1" applyFill="1" applyBorder="1" applyAlignment="1">
      <alignment horizontal="right" vertical="center" wrapText="1" indent="1"/>
    </xf>
    <xf numFmtId="183" fontId="62" fillId="12" borderId="76" xfId="0" applyNumberFormat="1" applyFont="1" applyFill="1" applyBorder="1" applyAlignment="1">
      <alignment horizontal="right" vertical="center" wrapText="1" indent="1"/>
    </xf>
    <xf numFmtId="183" fontId="62" fillId="12" borderId="62" xfId="0" applyNumberFormat="1" applyFont="1" applyFill="1" applyBorder="1" applyAlignment="1">
      <alignment horizontal="right" vertical="center" wrapText="1" indent="1"/>
    </xf>
    <xf numFmtId="183" fontId="62" fillId="25" borderId="73" xfId="0" applyNumberFormat="1" applyFont="1" applyFill="1" applyBorder="1" applyAlignment="1">
      <alignment horizontal="right" vertical="center" wrapText="1" indent="1"/>
    </xf>
    <xf numFmtId="183" fontId="62" fillId="0" borderId="67" xfId="0" applyNumberFormat="1" applyFont="1" applyFill="1" applyBorder="1" applyAlignment="1">
      <alignment horizontal="right" vertical="center" wrapText="1" indent="1"/>
    </xf>
    <xf numFmtId="183" fontId="62" fillId="0" borderId="76" xfId="0" applyNumberFormat="1" applyFont="1" applyFill="1" applyBorder="1" applyAlignment="1">
      <alignment horizontal="right" vertical="center" wrapText="1" indent="1"/>
    </xf>
    <xf numFmtId="183" fontId="62" fillId="0" borderId="73" xfId="0" applyNumberFormat="1" applyFont="1" applyBorder="1" applyAlignment="1">
      <alignment horizontal="right" vertical="center" wrapText="1" indent="1"/>
    </xf>
    <xf numFmtId="183" fontId="62" fillId="0" borderId="67" xfId="0" applyNumberFormat="1" applyFont="1" applyBorder="1" applyAlignment="1">
      <alignment horizontal="right" vertical="center" wrapText="1" indent="1"/>
    </xf>
    <xf numFmtId="183" fontId="57" fillId="12" borderId="127" xfId="0" applyNumberFormat="1" applyFont="1" applyFill="1" applyBorder="1" applyAlignment="1">
      <alignment horizontal="right" vertical="center" wrapText="1" indent="1"/>
    </xf>
    <xf numFmtId="183" fontId="57" fillId="12" borderId="187" xfId="0" applyNumberFormat="1" applyFont="1" applyFill="1" applyBorder="1" applyAlignment="1">
      <alignment horizontal="right" vertical="center" wrapText="1" indent="1"/>
    </xf>
    <xf numFmtId="166" fontId="13" fillId="12" borderId="183" xfId="0" applyNumberFormat="1" applyFont="1" applyFill="1" applyBorder="1" applyAlignment="1">
      <alignment horizontal="right" vertical="center" wrapText="1" indent="1"/>
    </xf>
    <xf numFmtId="166" fontId="13" fillId="12" borderId="189" xfId="0" applyNumberFormat="1" applyFont="1" applyFill="1" applyBorder="1" applyAlignment="1">
      <alignment horizontal="right" vertical="center" wrapText="1" indent="1"/>
    </xf>
    <xf numFmtId="183" fontId="4" fillId="32" borderId="23" xfId="0" applyNumberFormat="1" applyFont="1" applyFill="1" applyBorder="1" applyAlignment="1">
      <alignment vertical="center" wrapText="1"/>
    </xf>
    <xf numFmtId="183" fontId="48" fillId="0" borderId="39" xfId="0" applyNumberFormat="1" applyFont="1" applyFill="1" applyBorder="1" applyAlignment="1">
      <alignment horizontal="right" vertical="center" wrapText="1" indent="1"/>
    </xf>
    <xf numFmtId="183" fontId="48" fillId="25" borderId="145" xfId="0" applyNumberFormat="1" applyFont="1" applyFill="1" applyBorder="1" applyAlignment="1">
      <alignment horizontal="right" vertical="center" wrapText="1" indent="1"/>
    </xf>
    <xf numFmtId="183" fontId="48" fillId="0" borderId="146" xfId="0" applyNumberFormat="1" applyFont="1" applyFill="1" applyBorder="1" applyAlignment="1">
      <alignment horizontal="right" vertical="center" wrapText="1" indent="1"/>
    </xf>
    <xf numFmtId="183" fontId="48" fillId="24" borderId="146" xfId="0" applyNumberFormat="1" applyFont="1" applyFill="1" applyBorder="1" applyAlignment="1">
      <alignment horizontal="right" vertical="center" wrapText="1" indent="1"/>
    </xf>
    <xf numFmtId="183" fontId="48" fillId="27" borderId="146" xfId="0" applyNumberFormat="1" applyFont="1" applyFill="1" applyBorder="1" applyAlignment="1">
      <alignment horizontal="right" vertical="center" wrapText="1" indent="1"/>
    </xf>
    <xf numFmtId="183" fontId="48" fillId="27" borderId="147" xfId="0" applyNumberFormat="1" applyFont="1" applyFill="1" applyBorder="1" applyAlignment="1">
      <alignment horizontal="right" vertical="center" wrapText="1" indent="1"/>
    </xf>
    <xf numFmtId="183" fontId="48" fillId="0" borderId="148" xfId="0" applyNumberFormat="1" applyFont="1" applyFill="1" applyBorder="1" applyAlignment="1">
      <alignment horizontal="right" vertical="center" wrapText="1" indent="1"/>
    </xf>
    <xf numFmtId="183" fontId="48" fillId="0" borderId="152" xfId="0" applyNumberFormat="1" applyFont="1" applyFill="1" applyBorder="1" applyAlignment="1">
      <alignment horizontal="right" vertical="center" wrapText="1" indent="1"/>
    </xf>
    <xf numFmtId="183" fontId="48" fillId="25" borderId="152" xfId="0" applyNumberFormat="1" applyFont="1" applyFill="1" applyBorder="1" applyAlignment="1">
      <alignment horizontal="right" vertical="center" wrapText="1" indent="1"/>
    </xf>
    <xf numFmtId="183" fontId="48" fillId="24" borderId="152" xfId="0" applyNumberFormat="1" applyFont="1" applyFill="1" applyBorder="1" applyAlignment="1">
      <alignment horizontal="right" vertical="center" wrapText="1" indent="1"/>
    </xf>
    <xf numFmtId="183" fontId="48" fillId="15" borderId="152" xfId="0" applyNumberFormat="1" applyFont="1" applyFill="1" applyBorder="1" applyAlignment="1">
      <alignment horizontal="right" vertical="center" wrapText="1" indent="1"/>
    </xf>
    <xf numFmtId="183" fontId="48" fillId="27" borderId="156" xfId="0" applyNumberFormat="1" applyFont="1" applyFill="1" applyBorder="1" applyAlignment="1">
      <alignment horizontal="right" vertical="center" wrapText="1" indent="1"/>
    </xf>
    <xf numFmtId="183" fontId="48" fillId="25" borderId="148" xfId="0" applyNumberFormat="1" applyFont="1" applyFill="1" applyBorder="1" applyAlignment="1">
      <alignment horizontal="right" vertical="center" wrapText="1" indent="1"/>
    </xf>
    <xf numFmtId="183" fontId="48" fillId="12" borderId="52" xfId="0" applyNumberFormat="1" applyFont="1" applyFill="1" applyBorder="1" applyAlignment="1">
      <alignment horizontal="right" vertical="center" wrapText="1" indent="1"/>
    </xf>
    <xf numFmtId="183" fontId="48" fillId="12" borderId="53" xfId="0" applyNumberFormat="1" applyFont="1" applyFill="1" applyBorder="1" applyAlignment="1">
      <alignment horizontal="right" vertical="center" wrapText="1" indent="1"/>
    </xf>
    <xf numFmtId="183" fontId="4" fillId="30" borderId="23" xfId="0" applyNumberFormat="1" applyFont="1" applyFill="1" applyBorder="1" applyAlignment="1">
      <alignment vertical="center" wrapText="1"/>
    </xf>
    <xf numFmtId="0" fontId="4" fillId="19" borderId="42" xfId="0" applyFont="1" applyFill="1" applyBorder="1" applyAlignment="1">
      <alignment vertical="center" wrapText="1"/>
    </xf>
    <xf numFmtId="183" fontId="37" fillId="0" borderId="79" xfId="0" applyNumberFormat="1" applyFont="1" applyBorder="1" applyAlignment="1">
      <alignment horizontal="right" vertical="center" wrapText="1" indent="1"/>
    </xf>
    <xf numFmtId="183" fontId="48" fillId="0" borderId="44" xfId="0" applyNumberFormat="1" applyFont="1" applyBorder="1" applyAlignment="1">
      <alignment horizontal="right" vertical="center" wrapText="1" indent="1"/>
    </xf>
    <xf numFmtId="0" fontId="4" fillId="26" borderId="232" xfId="0" applyFont="1" applyFill="1" applyBorder="1" applyAlignment="1">
      <alignment horizontal="center" vertical="center" wrapText="1"/>
    </xf>
    <xf numFmtId="183" fontId="62" fillId="12" borderId="266" xfId="0" quotePrefix="1" applyNumberFormat="1" applyFont="1" applyFill="1" applyBorder="1" applyAlignment="1">
      <alignment horizontal="right" vertical="center" wrapText="1" indent="1"/>
    </xf>
    <xf numFmtId="183" fontId="57" fillId="12" borderId="127" xfId="0" quotePrefix="1" applyNumberFormat="1" applyFont="1" applyFill="1" applyBorder="1" applyAlignment="1">
      <alignment horizontal="right" vertical="center" wrapText="1" indent="1"/>
    </xf>
    <xf numFmtId="183" fontId="9" fillId="12" borderId="185" xfId="0" quotePrefix="1" applyNumberFormat="1" applyFont="1" applyFill="1" applyBorder="1" applyAlignment="1">
      <alignment horizontal="right" vertical="center" wrapText="1" indent="1"/>
    </xf>
    <xf numFmtId="183" fontId="9" fillId="12" borderId="127" xfId="0" quotePrefix="1" applyNumberFormat="1" applyFont="1" applyFill="1" applyBorder="1" applyAlignment="1">
      <alignment horizontal="right" vertical="center" wrapText="1" indent="1"/>
    </xf>
    <xf numFmtId="183" fontId="9" fillId="12" borderId="183" xfId="0" quotePrefix="1" applyNumberFormat="1" applyFont="1" applyFill="1" applyBorder="1" applyAlignment="1">
      <alignment horizontal="right" vertical="center" wrapText="1" indent="1"/>
    </xf>
    <xf numFmtId="183" fontId="56" fillId="12" borderId="181" xfId="0" applyNumberFormat="1" applyFont="1" applyFill="1" applyBorder="1" applyAlignment="1">
      <alignment vertical="center" wrapText="1"/>
    </xf>
    <xf numFmtId="166" fontId="0" fillId="12" borderId="205" xfId="0" applyNumberFormat="1" applyFont="1" applyFill="1" applyBorder="1" applyAlignment="1">
      <alignment horizontal="left" vertical="center" wrapText="1" indent="1"/>
    </xf>
    <xf numFmtId="166" fontId="0" fillId="12" borderId="206" xfId="0" applyNumberFormat="1" applyFont="1" applyFill="1" applyBorder="1" applyAlignment="1">
      <alignment horizontal="left" vertical="center" wrapText="1" indent="1"/>
    </xf>
    <xf numFmtId="183" fontId="0" fillId="12" borderId="146" xfId="0" applyNumberFormat="1" applyFill="1" applyBorder="1" applyAlignment="1">
      <alignment vertical="center" wrapText="1"/>
    </xf>
    <xf numFmtId="183" fontId="0" fillId="12" borderId="144" xfId="0" applyNumberFormat="1" applyFill="1" applyBorder="1" applyAlignment="1">
      <alignment vertical="center" wrapText="1"/>
    </xf>
    <xf numFmtId="183" fontId="0" fillId="12" borderId="205" xfId="0" applyNumberFormat="1" applyFill="1" applyBorder="1" applyAlignment="1">
      <alignment vertical="center" wrapText="1"/>
    </xf>
    <xf numFmtId="183" fontId="0" fillId="12" borderId="206" xfId="0" applyNumberFormat="1" applyFill="1" applyBorder="1" applyAlignment="1">
      <alignment vertical="center" wrapText="1"/>
    </xf>
    <xf numFmtId="166" fontId="0" fillId="12" borderId="146" xfId="0" applyNumberFormat="1" applyFill="1" applyBorder="1" applyAlignment="1">
      <alignment horizontal="left" vertical="center" wrapText="1" indent="1"/>
    </xf>
    <xf numFmtId="166" fontId="0" fillId="12" borderId="144" xfId="0" applyNumberFormat="1" applyFill="1" applyBorder="1" applyAlignment="1">
      <alignment horizontal="left" vertical="center" wrapText="1" indent="1"/>
    </xf>
    <xf numFmtId="4" fontId="0" fillId="12" borderId="205" xfId="0" applyNumberFormat="1" applyFill="1" applyBorder="1" applyAlignment="1">
      <alignment horizontal="right" vertical="center" wrapText="1" indent="1"/>
    </xf>
    <xf numFmtId="166" fontId="0" fillId="12" borderId="206" xfId="0" applyNumberFormat="1" applyFill="1" applyBorder="1" applyAlignment="1">
      <alignment horizontal="left" vertical="center" wrapText="1" indent="1"/>
    </xf>
    <xf numFmtId="166" fontId="57" fillId="12" borderId="205" xfId="0" applyNumberFormat="1" applyFont="1" applyFill="1" applyBorder="1" applyAlignment="1">
      <alignment horizontal="right" vertical="center" wrapText="1" indent="1"/>
    </xf>
    <xf numFmtId="166" fontId="0" fillId="12" borderId="146" xfId="0" applyNumberFormat="1" applyFont="1" applyFill="1" applyBorder="1" applyAlignment="1">
      <alignment horizontal="left" vertical="center" wrapText="1" indent="1"/>
    </xf>
    <xf numFmtId="183" fontId="62" fillId="12" borderId="263" xfId="0" applyNumberFormat="1" applyFont="1" applyFill="1" applyBorder="1" applyAlignment="1">
      <alignment horizontal="right" vertical="center" wrapText="1" indent="1"/>
    </xf>
    <xf numFmtId="183" fontId="57" fillId="12" borderId="146" xfId="0" applyNumberFormat="1" applyFont="1" applyFill="1" applyBorder="1" applyAlignment="1">
      <alignment horizontal="right" vertical="center" wrapText="1" indent="1"/>
    </xf>
    <xf numFmtId="166" fontId="13" fillId="12" borderId="207" xfId="0" applyNumberFormat="1" applyFont="1" applyFill="1" applyBorder="1" applyAlignment="1">
      <alignment horizontal="right" vertical="center" wrapText="1" indent="1"/>
    </xf>
    <xf numFmtId="166" fontId="13" fillId="12" borderId="146" xfId="0" applyNumberFormat="1" applyFont="1" applyFill="1" applyBorder="1" applyAlignment="1">
      <alignment horizontal="right" vertical="center" wrapText="1" indent="1"/>
    </xf>
    <xf numFmtId="166" fontId="13" fillId="12" borderId="144" xfId="0" applyNumberFormat="1" applyFont="1" applyFill="1" applyBorder="1" applyAlignment="1">
      <alignment horizontal="right" vertical="center" wrapText="1" indent="1"/>
    </xf>
    <xf numFmtId="166" fontId="13" fillId="12" borderId="206" xfId="0" applyNumberFormat="1" applyFont="1" applyFill="1" applyBorder="1" applyAlignment="1">
      <alignment horizontal="right" vertical="center" wrapText="1" indent="1"/>
    </xf>
    <xf numFmtId="166" fontId="56" fillId="12" borderId="146" xfId="0" applyNumberFormat="1" applyFont="1" applyFill="1" applyBorder="1" applyAlignment="1">
      <alignment horizontal="right" vertical="center" wrapText="1" indent="1"/>
    </xf>
    <xf numFmtId="2" fontId="13" fillId="12" borderId="205" xfId="0" applyNumberFormat="1" applyFont="1" applyFill="1" applyBorder="1" applyAlignment="1">
      <alignment horizontal="right" vertical="center" wrapText="1" indent="1"/>
    </xf>
    <xf numFmtId="166" fontId="47" fillId="12" borderId="206" xfId="0" applyNumberFormat="1" applyFont="1" applyFill="1" applyBorder="1" applyAlignment="1">
      <alignment horizontal="right" vertical="center" wrapText="1" indent="1"/>
    </xf>
    <xf numFmtId="183" fontId="9" fillId="12" borderId="208" xfId="0" applyNumberFormat="1" applyFont="1" applyFill="1" applyBorder="1" applyAlignment="1">
      <alignment horizontal="right" vertical="center" wrapText="1" indent="1"/>
    </xf>
    <xf numFmtId="183" fontId="9" fillId="12" borderId="146" xfId="0" applyNumberFormat="1" applyFont="1" applyFill="1" applyBorder="1" applyAlignment="1">
      <alignment horizontal="right" vertical="center" wrapText="1" indent="1"/>
    </xf>
    <xf numFmtId="183" fontId="9" fillId="12" borderId="206" xfId="0" applyNumberFormat="1" applyFont="1" applyFill="1" applyBorder="1" applyAlignment="1">
      <alignment horizontal="right" vertical="center" wrapText="1" indent="1"/>
    </xf>
    <xf numFmtId="183" fontId="48" fillId="12" borderId="207" xfId="0" applyNumberFormat="1" applyFont="1" applyFill="1" applyBorder="1" applyAlignment="1">
      <alignment horizontal="right" vertical="center" wrapText="1" indent="1"/>
    </xf>
    <xf numFmtId="173" fontId="56" fillId="12" borderId="144" xfId="0" applyNumberFormat="1" applyFont="1" applyFill="1" applyBorder="1" applyAlignment="1">
      <alignment horizontal="right" vertical="center" wrapText="1" indent="1"/>
    </xf>
    <xf numFmtId="173" fontId="13" fillId="12" borderId="206" xfId="0" applyNumberFormat="1" applyFont="1" applyFill="1" applyBorder="1" applyAlignment="1">
      <alignment horizontal="left" vertical="center" wrapText="1" indent="1"/>
    </xf>
    <xf numFmtId="166" fontId="56" fillId="12" borderId="208" xfId="0" applyNumberFormat="1" applyFont="1" applyFill="1" applyBorder="1" applyAlignment="1">
      <alignment horizontal="right" vertical="center" wrapText="1" indent="1"/>
    </xf>
    <xf numFmtId="183" fontId="0" fillId="12" borderId="146" xfId="0" applyNumberFormat="1" applyFill="1" applyBorder="1" applyAlignment="1">
      <alignment horizontal="right" vertical="center" wrapText="1" indent="1"/>
    </xf>
    <xf numFmtId="183" fontId="0" fillId="12" borderId="209" xfId="0" applyNumberFormat="1" applyFill="1" applyBorder="1" applyAlignment="1">
      <alignment horizontal="right" vertical="center" wrapText="1" indent="1"/>
    </xf>
    <xf numFmtId="183" fontId="0" fillId="12" borderId="205" xfId="0" applyNumberFormat="1" applyFill="1" applyBorder="1" applyAlignment="1">
      <alignment horizontal="right" vertical="center" wrapText="1" indent="1"/>
    </xf>
    <xf numFmtId="183" fontId="0" fillId="12" borderId="206" xfId="0" applyNumberFormat="1" applyFill="1" applyBorder="1" applyAlignment="1">
      <alignment horizontal="right" vertical="center" wrapText="1" indent="1"/>
    </xf>
    <xf numFmtId="183" fontId="0" fillId="12" borderId="144" xfId="0" applyNumberFormat="1" applyFill="1" applyBorder="1" applyAlignment="1">
      <alignment horizontal="right" vertical="center" wrapText="1" indent="1"/>
    </xf>
    <xf numFmtId="183" fontId="0" fillId="12" borderId="206" xfId="0" applyNumberFormat="1" applyFill="1" applyBorder="1" applyAlignment="1">
      <alignment horizontal="right" vertical="center" wrapText="1" indent="2"/>
    </xf>
    <xf numFmtId="183" fontId="56" fillId="12" borderId="146" xfId="0" applyNumberFormat="1" applyFont="1" applyFill="1" applyBorder="1" applyAlignment="1">
      <alignment horizontal="right" vertical="center" wrapText="1" indent="2"/>
    </xf>
    <xf numFmtId="183" fontId="56" fillId="12" borderId="205" xfId="0" applyNumberFormat="1" applyFont="1" applyFill="1" applyBorder="1" applyAlignment="1">
      <alignment horizontal="right" vertical="center" wrapText="1" indent="1"/>
    </xf>
    <xf numFmtId="183" fontId="56" fillId="12" borderId="205" xfId="0" applyNumberFormat="1" applyFont="1" applyFill="1" applyBorder="1" applyAlignment="1">
      <alignment horizontal="right" vertical="center" wrapText="1" indent="2"/>
    </xf>
    <xf numFmtId="183" fontId="56" fillId="12" borderId="206" xfId="0" applyNumberFormat="1" applyFont="1" applyFill="1" applyBorder="1" applyAlignment="1">
      <alignment horizontal="right" vertical="center" wrapText="1" indent="2"/>
    </xf>
    <xf numFmtId="183" fontId="13" fillId="12" borderId="208" xfId="0" applyNumberFormat="1" applyFont="1" applyFill="1" applyBorder="1" applyAlignment="1">
      <alignment horizontal="right" vertical="center" wrapText="1" indent="2"/>
    </xf>
    <xf numFmtId="183" fontId="56" fillId="12" borderId="144" xfId="0" applyNumberFormat="1" applyFont="1" applyFill="1" applyBorder="1" applyAlignment="1">
      <alignment horizontal="right" vertical="center" wrapText="1" indent="1"/>
    </xf>
    <xf numFmtId="183" fontId="56" fillId="12" borderId="209" xfId="0" applyNumberFormat="1" applyFont="1" applyFill="1" applyBorder="1" applyAlignment="1">
      <alignment horizontal="right" vertical="center" wrapText="1" indent="2"/>
    </xf>
    <xf numFmtId="183" fontId="13" fillId="12" borderId="209" xfId="0" applyNumberFormat="1" applyFont="1" applyFill="1" applyBorder="1" applyAlignment="1">
      <alignment horizontal="right" vertical="center" wrapText="1" indent="2"/>
    </xf>
    <xf numFmtId="183" fontId="56" fillId="12" borderId="208" xfId="0" applyNumberFormat="1" applyFont="1" applyFill="1" applyBorder="1" applyAlignment="1">
      <alignment horizontal="right" vertical="center" wrapText="1" indent="1"/>
    </xf>
    <xf numFmtId="183" fontId="13" fillId="12" borderId="209" xfId="0" applyNumberFormat="1" applyFont="1" applyFill="1" applyBorder="1" applyAlignment="1">
      <alignment horizontal="right" vertical="center" wrapText="1" indent="1"/>
    </xf>
    <xf numFmtId="183" fontId="13" fillId="12" borderId="206" xfId="0" applyNumberFormat="1" applyFont="1" applyFill="1" applyBorder="1" applyAlignment="1">
      <alignment horizontal="right" vertical="center" wrapText="1" indent="1"/>
    </xf>
    <xf numFmtId="166" fontId="0" fillId="27" borderId="127" xfId="0" applyNumberFormat="1" applyFont="1" applyFill="1" applyBorder="1" applyAlignment="1">
      <alignment horizontal="left" vertical="center" wrapText="1" indent="1"/>
    </xf>
    <xf numFmtId="1" fontId="0" fillId="12" borderId="205" xfId="0" applyNumberFormat="1" applyFont="1" applyFill="1" applyBorder="1" applyAlignment="1">
      <alignment horizontal="center" vertical="center" wrapText="1"/>
    </xf>
    <xf numFmtId="183" fontId="48" fillId="25" borderId="125" xfId="0" applyNumberFormat="1" applyFont="1" applyFill="1" applyBorder="1" applyAlignment="1">
      <alignment horizontal="right" vertical="center" wrapText="1" indent="1"/>
    </xf>
    <xf numFmtId="183" fontId="48" fillId="0" borderId="55" xfId="0" applyNumberFormat="1" applyFont="1" applyFill="1" applyBorder="1" applyAlignment="1">
      <alignment horizontal="right" vertical="center" wrapText="1" indent="1"/>
    </xf>
    <xf numFmtId="183" fontId="48" fillId="25" borderId="202" xfId="0" applyNumberFormat="1" applyFont="1" applyFill="1" applyBorder="1" applyAlignment="1">
      <alignment horizontal="right" vertical="center" wrapText="1" indent="1"/>
    </xf>
    <xf numFmtId="183" fontId="48" fillId="0" borderId="208" xfId="0" applyNumberFormat="1" applyFont="1" applyFill="1" applyBorder="1" applyAlignment="1">
      <alignment horizontal="right" vertical="center" wrapText="1" indent="1"/>
    </xf>
    <xf numFmtId="183" fontId="48" fillId="24" borderId="208" xfId="0" applyNumberFormat="1" applyFont="1" applyFill="1" applyBorder="1" applyAlignment="1">
      <alignment horizontal="right" vertical="center" wrapText="1" indent="1"/>
    </xf>
    <xf numFmtId="183" fontId="48" fillId="27" borderId="208" xfId="0" applyNumberFormat="1" applyFont="1" applyFill="1" applyBorder="1" applyAlignment="1">
      <alignment horizontal="right" vertical="center" wrapText="1" indent="1"/>
    </xf>
    <xf numFmtId="183" fontId="48" fillId="27" borderId="214" xfId="0" applyNumberFormat="1" applyFont="1" applyFill="1" applyBorder="1" applyAlignment="1">
      <alignment horizontal="right" vertical="center" wrapText="1" indent="1"/>
    </xf>
    <xf numFmtId="183" fontId="48" fillId="0" borderId="161" xfId="0" applyNumberFormat="1" applyFont="1" applyFill="1" applyBorder="1" applyAlignment="1">
      <alignment horizontal="right" vertical="center" wrapText="1" indent="1"/>
    </xf>
    <xf numFmtId="183" fontId="48" fillId="0" borderId="165" xfId="0" applyNumberFormat="1" applyFont="1" applyFill="1" applyBorder="1" applyAlignment="1">
      <alignment horizontal="right" vertical="center" wrapText="1" indent="1"/>
    </xf>
    <xf numFmtId="183" fontId="48" fillId="25" borderId="165" xfId="0" applyNumberFormat="1" applyFont="1" applyFill="1" applyBorder="1" applyAlignment="1">
      <alignment horizontal="right" vertical="center" wrapText="1" indent="1"/>
    </xf>
    <xf numFmtId="183" fontId="48" fillId="24" borderId="165" xfId="0" applyNumberFormat="1" applyFont="1" applyFill="1" applyBorder="1" applyAlignment="1">
      <alignment horizontal="right" vertical="center" wrapText="1" indent="1"/>
    </xf>
    <xf numFmtId="183" fontId="48" fillId="15" borderId="165" xfId="0" applyNumberFormat="1" applyFont="1" applyFill="1" applyBorder="1" applyAlignment="1">
      <alignment horizontal="right" vertical="center" wrapText="1" indent="1"/>
    </xf>
    <xf numFmtId="183" fontId="48" fillId="27" borderId="169" xfId="0" applyNumberFormat="1" applyFont="1" applyFill="1" applyBorder="1" applyAlignment="1">
      <alignment horizontal="right" vertical="center" wrapText="1" indent="1"/>
    </xf>
    <xf numFmtId="183" fontId="48" fillId="25" borderId="161" xfId="0" applyNumberFormat="1" applyFont="1" applyFill="1" applyBorder="1" applyAlignment="1">
      <alignment horizontal="right" vertical="center" wrapText="1" indent="1"/>
    </xf>
    <xf numFmtId="166" fontId="48" fillId="12" borderId="185" xfId="0" applyNumberFormat="1" applyFont="1" applyFill="1" applyBorder="1" applyAlignment="1">
      <alignment horizontal="right" vertical="center" wrapText="1" indent="1"/>
    </xf>
    <xf numFmtId="166" fontId="48" fillId="12" borderId="208" xfId="0" applyNumberFormat="1" applyFont="1" applyFill="1" applyBorder="1" applyAlignment="1">
      <alignment horizontal="right" vertical="center" wrapText="1" indent="1"/>
    </xf>
    <xf numFmtId="166" fontId="48" fillId="12" borderId="192" xfId="0" applyNumberFormat="1" applyFont="1" applyFill="1" applyBorder="1" applyAlignment="1">
      <alignment horizontal="right" vertical="center" wrapText="1" indent="1"/>
    </xf>
    <xf numFmtId="183" fontId="48" fillId="12" borderId="69" xfId="0" applyNumberFormat="1" applyFont="1" applyFill="1" applyBorder="1" applyAlignment="1">
      <alignment horizontal="right" vertical="center" wrapText="1" indent="1"/>
    </xf>
    <xf numFmtId="183" fontId="48" fillId="12" borderId="61" xfId="0" applyNumberFormat="1" applyFont="1" applyFill="1" applyBorder="1" applyAlignment="1">
      <alignment horizontal="right" vertical="center" wrapText="1" indent="1"/>
    </xf>
    <xf numFmtId="183" fontId="48" fillId="25" borderId="77" xfId="0" applyNumberFormat="1" applyFont="1" applyFill="1" applyBorder="1" applyAlignment="1">
      <alignment horizontal="right" vertical="center" wrapText="1" indent="1"/>
    </xf>
    <xf numFmtId="183" fontId="48" fillId="0" borderId="77" xfId="0" applyNumberFormat="1" applyFont="1" applyBorder="1" applyAlignment="1">
      <alignment horizontal="right" vertical="center" wrapText="1" indent="1"/>
    </xf>
    <xf numFmtId="183" fontId="48" fillId="0" borderId="57" xfId="0" applyNumberFormat="1" applyFont="1" applyBorder="1" applyAlignment="1">
      <alignment horizontal="right" vertical="center" wrapText="1" indent="1"/>
    </xf>
    <xf numFmtId="183" fontId="57" fillId="12" borderId="185" xfId="0" quotePrefix="1" applyNumberFormat="1" applyFont="1" applyFill="1" applyBorder="1" applyAlignment="1">
      <alignment horizontal="right" vertical="center" wrapText="1" indent="1"/>
    </xf>
    <xf numFmtId="183" fontId="57" fillId="12" borderId="208" xfId="0" applyNumberFormat="1" applyFont="1" applyFill="1" applyBorder="1" applyAlignment="1">
      <alignment horizontal="right" vertical="center" wrapText="1" indent="1"/>
    </xf>
    <xf numFmtId="183" fontId="57" fillId="12" borderId="192" xfId="0" applyNumberFormat="1" applyFont="1" applyFill="1" applyBorder="1" applyAlignment="1">
      <alignment horizontal="right" vertical="center" wrapText="1" indent="1"/>
    </xf>
    <xf numFmtId="183" fontId="57" fillId="12" borderId="185" xfId="0" applyNumberFormat="1" applyFont="1" applyFill="1" applyBorder="1" applyAlignment="1">
      <alignment horizontal="right" vertical="center" wrapText="1" indent="1"/>
    </xf>
    <xf numFmtId="0" fontId="4" fillId="19" borderId="34" xfId="0" applyFont="1" applyFill="1" applyBorder="1" applyAlignment="1">
      <alignment horizontal="center" vertical="center" wrapText="1"/>
    </xf>
    <xf numFmtId="183" fontId="37" fillId="0" borderId="51" xfId="0" applyNumberFormat="1" applyFont="1" applyBorder="1" applyAlignment="1">
      <alignment horizontal="left" vertical="center" wrapText="1" indent="1"/>
    </xf>
    <xf numFmtId="0" fontId="6" fillId="0" borderId="8" xfId="0" applyFont="1" applyBorder="1" applyAlignment="1">
      <alignment horizontal="center" vertical="center" wrapText="1"/>
    </xf>
    <xf numFmtId="183" fontId="9" fillId="30" borderId="116" xfId="0" applyNumberFormat="1" applyFont="1" applyFill="1" applyBorder="1" applyAlignment="1">
      <alignment vertical="center" wrapText="1"/>
    </xf>
    <xf numFmtId="0" fontId="9" fillId="30" borderId="23" xfId="0" applyFont="1" applyFill="1" applyBorder="1" applyAlignment="1">
      <alignment horizontal="center" vertical="center" wrapText="1"/>
    </xf>
    <xf numFmtId="0" fontId="9" fillId="30" borderId="34" xfId="0" applyFont="1" applyFill="1" applyBorder="1" applyAlignment="1">
      <alignment horizontal="left" vertical="center" wrapText="1" indent="1"/>
    </xf>
    <xf numFmtId="166" fontId="1" fillId="25" borderId="232" xfId="0" applyNumberFormat="1" applyFont="1" applyFill="1" applyBorder="1" applyAlignment="1">
      <alignment horizontal="left" vertical="center" wrapText="1" indent="1"/>
    </xf>
    <xf numFmtId="183" fontId="48" fillId="25" borderId="236" xfId="0" applyNumberFormat="1" applyFont="1" applyFill="1" applyBorder="1" applyAlignment="1">
      <alignment horizontal="right" vertical="center" wrapText="1" indent="1"/>
    </xf>
    <xf numFmtId="183" fontId="48" fillId="12" borderId="185" xfId="0" quotePrefix="1" applyNumberFormat="1" applyFont="1" applyFill="1" applyBorder="1" applyAlignment="1">
      <alignment horizontal="right" vertical="center" wrapText="1" indent="1"/>
    </xf>
    <xf numFmtId="183" fontId="48" fillId="12" borderId="208" xfId="0" applyNumberFormat="1" applyFont="1" applyFill="1" applyBorder="1" applyAlignment="1">
      <alignment horizontal="right" vertical="center" wrapText="1" indent="1"/>
    </xf>
    <xf numFmtId="183" fontId="48" fillId="12" borderId="192" xfId="0" applyNumberFormat="1" applyFont="1" applyFill="1" applyBorder="1" applyAlignment="1">
      <alignment horizontal="right" vertical="center" wrapText="1" indent="1"/>
    </xf>
    <xf numFmtId="183" fontId="48" fillId="12" borderId="185" xfId="0" applyNumberFormat="1" applyFont="1" applyFill="1" applyBorder="1" applyAlignment="1">
      <alignment horizontal="right" vertical="center" wrapText="1" indent="1"/>
    </xf>
    <xf numFmtId="183" fontId="48" fillId="0" borderId="79" xfId="0" applyNumberFormat="1" applyFont="1" applyBorder="1" applyAlignment="1">
      <alignment horizontal="right" vertical="center" wrapText="1" indent="1"/>
    </xf>
    <xf numFmtId="183" fontId="57" fillId="0" borderId="165" xfId="0" applyNumberFormat="1" applyFont="1" applyFill="1" applyBorder="1" applyAlignment="1">
      <alignment horizontal="right" vertical="center" wrapText="1" indent="1"/>
    </xf>
    <xf numFmtId="183" fontId="57" fillId="12" borderId="69" xfId="0" applyNumberFormat="1" applyFont="1" applyFill="1" applyBorder="1" applyAlignment="1">
      <alignment horizontal="right" vertical="center" wrapText="1" indent="1"/>
    </xf>
    <xf numFmtId="183" fontId="57" fillId="12" borderId="61" xfId="0" applyNumberFormat="1" applyFont="1" applyFill="1" applyBorder="1" applyAlignment="1">
      <alignment horizontal="right" vertical="center" wrapText="1" indent="1"/>
    </xf>
    <xf numFmtId="183" fontId="57" fillId="0" borderId="69" xfId="0" applyNumberFormat="1" applyFont="1" applyFill="1" applyBorder="1" applyAlignment="1">
      <alignment horizontal="right" vertical="center" wrapText="1" indent="1"/>
    </xf>
    <xf numFmtId="183" fontId="57" fillId="25" borderId="145" xfId="0" applyNumberFormat="1" applyFont="1" applyFill="1" applyBorder="1" applyAlignment="1">
      <alignment vertical="center" wrapText="1"/>
    </xf>
    <xf numFmtId="183" fontId="57" fillId="0" borderId="146" xfId="0" applyNumberFormat="1" applyFont="1" applyFill="1" applyBorder="1" applyAlignment="1">
      <alignment vertical="center" wrapText="1"/>
    </xf>
    <xf numFmtId="183" fontId="57" fillId="24" borderId="146" xfId="0" applyNumberFormat="1" applyFont="1" applyFill="1" applyBorder="1" applyAlignment="1">
      <alignment vertical="center" wrapText="1"/>
    </xf>
    <xf numFmtId="183" fontId="57" fillId="27" borderId="146" xfId="0" applyNumberFormat="1" applyFont="1" applyFill="1" applyBorder="1" applyAlignment="1">
      <alignment vertical="center" wrapText="1"/>
    </xf>
    <xf numFmtId="183" fontId="57" fillId="27" borderId="147" xfId="0" applyNumberFormat="1" applyFont="1" applyFill="1" applyBorder="1" applyAlignment="1">
      <alignment vertical="center" wrapText="1"/>
    </xf>
    <xf numFmtId="183" fontId="56" fillId="12" borderId="127" xfId="0" applyNumberFormat="1" applyFont="1" applyFill="1" applyBorder="1" applyAlignment="1">
      <alignment vertical="center" wrapText="1"/>
    </xf>
    <xf numFmtId="183" fontId="56" fillId="12" borderId="146" xfId="0" applyNumberFormat="1" applyFont="1" applyFill="1" applyBorder="1" applyAlignment="1">
      <alignment vertical="center" wrapText="1"/>
    </xf>
    <xf numFmtId="183" fontId="56" fillId="12" borderId="187" xfId="0" applyNumberFormat="1" applyFont="1" applyFill="1" applyBorder="1" applyAlignment="1">
      <alignment vertical="center" wrapText="1"/>
    </xf>
    <xf numFmtId="183" fontId="56" fillId="12" borderId="52" xfId="0" applyNumberFormat="1" applyFont="1" applyFill="1" applyBorder="1" applyAlignment="1">
      <alignment vertical="center" wrapText="1"/>
    </xf>
    <xf numFmtId="183" fontId="56" fillId="12" borderId="53" xfId="0" applyNumberFormat="1" applyFont="1" applyFill="1" applyBorder="1" applyAlignment="1">
      <alignment vertical="center" wrapText="1"/>
    </xf>
    <xf numFmtId="183" fontId="57" fillId="0" borderId="123" xfId="0" applyNumberFormat="1" applyFont="1" applyFill="1" applyBorder="1" applyAlignment="1">
      <alignment horizontal="right" vertical="center" wrapText="1" indent="1"/>
    </xf>
    <xf numFmtId="183" fontId="57" fillId="0" borderId="51" xfId="0" applyNumberFormat="1" applyFont="1" applyFill="1" applyBorder="1" applyAlignment="1">
      <alignment horizontal="right" vertical="center" wrapText="1" indent="1"/>
    </xf>
    <xf numFmtId="166" fontId="9" fillId="12" borderId="61" xfId="0" applyNumberFormat="1" applyFont="1" applyFill="1" applyBorder="1" applyAlignment="1">
      <alignment horizontal="right" vertical="center" wrapText="1" indent="1"/>
    </xf>
    <xf numFmtId="183" fontId="57" fillId="0" borderId="236" xfId="0" applyNumberFormat="1" applyFont="1" applyFill="1" applyBorder="1" applyAlignment="1">
      <alignment horizontal="right" vertical="center" wrapText="1" indent="1"/>
    </xf>
    <xf numFmtId="183" fontId="13" fillId="12" borderId="23" xfId="0" applyNumberFormat="1" applyFont="1" applyFill="1" applyBorder="1" applyAlignment="1">
      <alignment horizontal="right" vertical="center" wrapText="1" indent="1"/>
    </xf>
    <xf numFmtId="183" fontId="13" fillId="25" borderId="23" xfId="0" applyNumberFormat="1" applyFont="1" applyFill="1" applyBorder="1" applyAlignment="1">
      <alignment horizontal="right" vertical="center" wrapText="1" indent="1"/>
    </xf>
    <xf numFmtId="183" fontId="13" fillId="12" borderId="27" xfId="0" applyNumberFormat="1" applyFont="1" applyFill="1" applyBorder="1" applyAlignment="1">
      <alignment horizontal="right" vertical="center" wrapText="1" indent="1"/>
    </xf>
    <xf numFmtId="183" fontId="56" fillId="0" borderId="39" xfId="0" applyNumberFormat="1" applyFont="1" applyFill="1" applyBorder="1" applyAlignment="1">
      <alignment horizontal="left" vertical="center" wrapText="1" indent="1"/>
    </xf>
    <xf numFmtId="183" fontId="56" fillId="0" borderId="17" xfId="0" applyNumberFormat="1" applyFont="1" applyFill="1" applyBorder="1" applyAlignment="1">
      <alignment horizontal="left" vertical="center" wrapText="1" indent="1"/>
    </xf>
    <xf numFmtId="183" fontId="56" fillId="12" borderId="116" xfId="0" applyNumberFormat="1" applyFont="1" applyFill="1" applyBorder="1" applyAlignment="1">
      <alignment horizontal="left" vertical="center" wrapText="1" indent="1"/>
    </xf>
    <xf numFmtId="183" fontId="56" fillId="12" borderId="30" xfId="0" applyNumberFormat="1" applyFont="1" applyFill="1" applyBorder="1" applyAlignment="1">
      <alignment horizontal="left" vertical="center" wrapText="1" indent="1"/>
    </xf>
    <xf numFmtId="9" fontId="56" fillId="12" borderId="116" xfId="0" applyNumberFormat="1" applyFont="1" applyFill="1" applyBorder="1" applyAlignment="1">
      <alignment horizontal="right" vertical="center" wrapText="1" indent="2"/>
    </xf>
    <xf numFmtId="9" fontId="56" fillId="0" borderId="154" xfId="0" applyNumberFormat="1" applyFont="1" applyFill="1" applyBorder="1" applyAlignment="1">
      <alignment horizontal="right" vertical="center" wrapText="1" indent="2"/>
    </xf>
    <xf numFmtId="9" fontId="56" fillId="25" borderId="116" xfId="0" applyNumberFormat="1" applyFont="1" applyFill="1" applyBorder="1" applyAlignment="1">
      <alignment horizontal="right" vertical="center" wrapText="1" indent="2"/>
    </xf>
    <xf numFmtId="9" fontId="56" fillId="12" borderId="30" xfId="0" applyNumberFormat="1" applyFont="1" applyFill="1" applyBorder="1" applyAlignment="1">
      <alignment horizontal="right" vertical="center" wrapText="1" indent="2"/>
    </xf>
    <xf numFmtId="9" fontId="56" fillId="0" borderId="23" xfId="0" applyNumberFormat="1" applyFont="1" applyFill="1" applyBorder="1" applyAlignment="1">
      <alignment horizontal="right" vertical="center" wrapText="1" indent="2"/>
    </xf>
    <xf numFmtId="9" fontId="56" fillId="0" borderId="124" xfId="0" applyNumberFormat="1" applyFont="1" applyFill="1" applyBorder="1" applyAlignment="1">
      <alignment horizontal="right" vertical="center" wrapText="1" indent="2"/>
    </xf>
    <xf numFmtId="9" fontId="56" fillId="0" borderId="26" xfId="0" applyNumberFormat="1" applyFont="1" applyFill="1" applyBorder="1" applyAlignment="1">
      <alignment horizontal="right" vertical="center" wrapText="1" indent="2"/>
    </xf>
    <xf numFmtId="183" fontId="57" fillId="12" borderId="209" xfId="0" applyNumberFormat="1" applyFont="1" applyFill="1" applyBorder="1" applyAlignment="1">
      <alignment horizontal="right" vertical="center" wrapText="1" indent="1"/>
    </xf>
    <xf numFmtId="183" fontId="57" fillId="12" borderId="188" xfId="0" applyNumberFormat="1" applyFont="1" applyFill="1" applyBorder="1" applyAlignment="1">
      <alignment horizontal="right" vertical="center" wrapText="1" indent="1"/>
    </xf>
    <xf numFmtId="183" fontId="9" fillId="0" borderId="22" xfId="0" applyNumberFormat="1" applyFont="1" applyFill="1" applyBorder="1" applyAlignment="1">
      <alignment horizontal="right" vertical="center" wrapText="1" indent="1"/>
    </xf>
    <xf numFmtId="183" fontId="9" fillId="25" borderId="167" xfId="0" applyNumberFormat="1" applyFont="1" applyFill="1" applyBorder="1" applyAlignment="1">
      <alignment horizontal="right" vertical="center" wrapText="1" indent="1"/>
    </xf>
    <xf numFmtId="183" fontId="9" fillId="24" borderId="167" xfId="0" applyNumberFormat="1" applyFont="1" applyFill="1" applyBorder="1" applyAlignment="1">
      <alignment horizontal="right" vertical="center" wrapText="1" indent="1"/>
    </xf>
    <xf numFmtId="183" fontId="9" fillId="15" borderId="167" xfId="0" applyNumberFormat="1" applyFont="1" applyFill="1" applyBorder="1" applyAlignment="1">
      <alignment horizontal="right" vertical="center" wrapText="1" indent="1"/>
    </xf>
    <xf numFmtId="0" fontId="37" fillId="0" borderId="42" xfId="0" applyFont="1" applyBorder="1" applyAlignment="1">
      <alignment horizontal="left" vertical="center" wrapText="1" indent="1"/>
    </xf>
    <xf numFmtId="0" fontId="37" fillId="0" borderId="52" xfId="0" applyFont="1" applyBorder="1" applyAlignment="1">
      <alignment horizontal="left" vertical="center" wrapText="1" indent="1"/>
    </xf>
    <xf numFmtId="183" fontId="65" fillId="0" borderId="16" xfId="0" applyNumberFormat="1" applyFont="1" applyFill="1" applyBorder="1" applyAlignment="1">
      <alignment horizontal="right" vertical="center" wrapText="1" indent="1"/>
    </xf>
    <xf numFmtId="183" fontId="13" fillId="0" borderId="16" xfId="0" applyNumberFormat="1" applyFont="1" applyFill="1" applyBorder="1" applyAlignment="1">
      <alignment horizontal="right" vertical="center" wrapText="1" indent="1"/>
    </xf>
    <xf numFmtId="183" fontId="13" fillId="0" borderId="32" xfId="0" applyNumberFormat="1" applyFont="1" applyFill="1" applyBorder="1" applyAlignment="1">
      <alignment horizontal="right" vertical="center" wrapText="1" indent="1"/>
    </xf>
    <xf numFmtId="183" fontId="0" fillId="0" borderId="32" xfId="0" applyNumberFormat="1" applyFont="1" applyFill="1" applyBorder="1" applyAlignment="1">
      <alignment horizontal="right" vertical="center" wrapText="1" indent="1"/>
    </xf>
    <xf numFmtId="183" fontId="0" fillId="0" borderId="39" xfId="0" applyNumberFormat="1" applyFont="1" applyFill="1" applyBorder="1" applyAlignment="1">
      <alignment horizontal="right" vertical="center" wrapText="1" indent="1"/>
    </xf>
    <xf numFmtId="183" fontId="0" fillId="0" borderId="17" xfId="0" applyNumberFormat="1" applyFont="1" applyFill="1" applyBorder="1" applyAlignment="1">
      <alignment horizontal="right" vertical="center" wrapText="1" indent="1"/>
    </xf>
    <xf numFmtId="183" fontId="65" fillId="25" borderId="200" xfId="0" applyNumberFormat="1" applyFont="1" applyFill="1" applyBorder="1" applyAlignment="1">
      <alignment horizontal="right" vertical="center" wrapText="1" indent="1"/>
    </xf>
    <xf numFmtId="183" fontId="13" fillId="25" borderId="200" xfId="0" applyNumberFormat="1" applyFont="1" applyFill="1" applyBorder="1" applyAlignment="1">
      <alignment horizontal="right" vertical="center" wrapText="1" indent="1"/>
    </xf>
    <xf numFmtId="183" fontId="13" fillId="25" borderId="199" xfId="0" applyNumberFormat="1" applyFont="1" applyFill="1" applyBorder="1" applyAlignment="1">
      <alignment horizontal="right" vertical="center" wrapText="1" indent="1"/>
    </xf>
    <xf numFmtId="183" fontId="13" fillId="25" borderId="145" xfId="0" applyNumberFormat="1" applyFont="1" applyFill="1" applyBorder="1" applyAlignment="1">
      <alignment horizontal="right" vertical="center" wrapText="1" indent="1"/>
    </xf>
    <xf numFmtId="183" fontId="1" fillId="25" borderId="199" xfId="0" applyNumberFormat="1" applyFont="1" applyFill="1" applyBorder="1" applyAlignment="1">
      <alignment horizontal="right" vertical="center" wrapText="1" indent="1"/>
    </xf>
    <xf numFmtId="183" fontId="1" fillId="25" borderId="145" xfId="0" applyNumberFormat="1" applyFont="1" applyFill="1" applyBorder="1" applyAlignment="1">
      <alignment horizontal="right" vertical="center" wrapText="1" indent="1"/>
    </xf>
    <xf numFmtId="183" fontId="1" fillId="25" borderId="130" xfId="0" applyNumberFormat="1" applyFont="1" applyFill="1" applyBorder="1" applyAlignment="1">
      <alignment horizontal="right" vertical="center" wrapText="1" indent="1"/>
    </xf>
    <xf numFmtId="183" fontId="65" fillId="0" borderId="144" xfId="0" applyNumberFormat="1" applyFont="1" applyFill="1" applyBorder="1" applyAlignment="1">
      <alignment horizontal="right" vertical="center" wrapText="1" indent="1"/>
    </xf>
    <xf numFmtId="183" fontId="13" fillId="0" borderId="144" xfId="0" applyNumberFormat="1" applyFont="1" applyFill="1" applyBorder="1" applyAlignment="1">
      <alignment horizontal="right" vertical="center" wrapText="1" indent="1"/>
    </xf>
    <xf numFmtId="183" fontId="13" fillId="0" borderId="206" xfId="0" applyNumberFormat="1" applyFont="1" applyFill="1" applyBorder="1" applyAlignment="1">
      <alignment horizontal="right" vertical="center" wrapText="1" indent="1"/>
    </xf>
    <xf numFmtId="183" fontId="13" fillId="0" borderId="146" xfId="0" applyNumberFormat="1" applyFont="1" applyFill="1" applyBorder="1" applyAlignment="1">
      <alignment horizontal="right" vertical="center" wrapText="1" indent="1"/>
    </xf>
    <xf numFmtId="183" fontId="1" fillId="0" borderId="206" xfId="0" applyNumberFormat="1" applyFont="1" applyFill="1" applyBorder="1" applyAlignment="1">
      <alignment horizontal="right" vertical="center" wrapText="1" indent="1"/>
    </xf>
    <xf numFmtId="183" fontId="1" fillId="0" borderId="146" xfId="0" applyNumberFormat="1" applyFont="1" applyFill="1" applyBorder="1" applyAlignment="1">
      <alignment horizontal="right" vertical="center" wrapText="1" indent="1"/>
    </xf>
    <xf numFmtId="183" fontId="1" fillId="0" borderId="205" xfId="0" applyNumberFormat="1" applyFont="1" applyFill="1" applyBorder="1" applyAlignment="1">
      <alignment horizontal="right" vertical="center" wrapText="1" indent="1"/>
    </xf>
    <xf numFmtId="183" fontId="65" fillId="24" borderId="144" xfId="0" applyNumberFormat="1" applyFont="1" applyFill="1" applyBorder="1" applyAlignment="1">
      <alignment horizontal="right" vertical="center" wrapText="1" indent="1"/>
    </xf>
    <xf numFmtId="183" fontId="13" fillId="24" borderId="144" xfId="0" applyNumberFormat="1" applyFont="1" applyFill="1" applyBorder="1" applyAlignment="1">
      <alignment horizontal="right" vertical="center" wrapText="1" indent="1"/>
    </xf>
    <xf numFmtId="183" fontId="13" fillId="24" borderId="206" xfId="0" applyNumberFormat="1" applyFont="1" applyFill="1" applyBorder="1" applyAlignment="1">
      <alignment horizontal="right" vertical="center" wrapText="1" indent="1"/>
    </xf>
    <xf numFmtId="183" fontId="13" fillId="24" borderId="146" xfId="0" applyNumberFormat="1" applyFont="1" applyFill="1" applyBorder="1" applyAlignment="1">
      <alignment horizontal="right" vertical="center" wrapText="1" indent="1"/>
    </xf>
    <xf numFmtId="183" fontId="1" fillId="24" borderId="206" xfId="0" applyNumberFormat="1" applyFont="1" applyFill="1" applyBorder="1" applyAlignment="1">
      <alignment horizontal="right" vertical="center" wrapText="1" indent="1"/>
    </xf>
    <xf numFmtId="183" fontId="1" fillId="24" borderId="146" xfId="0" applyNumberFormat="1" applyFont="1" applyFill="1" applyBorder="1" applyAlignment="1">
      <alignment horizontal="right" vertical="center" wrapText="1" indent="1"/>
    </xf>
    <xf numFmtId="183" fontId="1" fillId="24" borderId="205" xfId="0" applyNumberFormat="1" applyFont="1" applyFill="1" applyBorder="1" applyAlignment="1">
      <alignment horizontal="right" vertical="center" wrapText="1" indent="1"/>
    </xf>
    <xf numFmtId="183" fontId="65" fillId="27" borderId="144" xfId="0" applyNumberFormat="1" applyFont="1" applyFill="1" applyBorder="1" applyAlignment="1">
      <alignment horizontal="right" vertical="center" wrapText="1" indent="1"/>
    </xf>
    <xf numFmtId="183" fontId="13" fillId="27" borderId="144" xfId="0" applyNumberFormat="1" applyFont="1" applyFill="1" applyBorder="1" applyAlignment="1">
      <alignment horizontal="right" vertical="center" wrapText="1" indent="1"/>
    </xf>
    <xf numFmtId="183" fontId="13" fillId="27" borderId="206" xfId="0" applyNumberFormat="1" applyFont="1" applyFill="1" applyBorder="1" applyAlignment="1">
      <alignment horizontal="right" vertical="center" wrapText="1" indent="1"/>
    </xf>
    <xf numFmtId="183" fontId="13" fillId="27" borderId="146" xfId="0" applyNumberFormat="1" applyFont="1" applyFill="1" applyBorder="1" applyAlignment="1">
      <alignment horizontal="right" vertical="center" wrapText="1" indent="1"/>
    </xf>
    <xf numFmtId="183" fontId="1" fillId="27" borderId="206" xfId="0" applyNumberFormat="1" applyFont="1" applyFill="1" applyBorder="1" applyAlignment="1">
      <alignment horizontal="right" vertical="center" wrapText="1" indent="1"/>
    </xf>
    <xf numFmtId="183" fontId="1" fillId="27" borderId="146" xfId="0" applyNumberFormat="1" applyFont="1" applyFill="1" applyBorder="1" applyAlignment="1">
      <alignment horizontal="right" vertical="center" wrapText="1" indent="1"/>
    </xf>
    <xf numFmtId="183" fontId="1" fillId="27" borderId="205" xfId="0" applyNumberFormat="1" applyFont="1" applyFill="1" applyBorder="1" applyAlignment="1">
      <alignment horizontal="right" vertical="center" wrapText="1" indent="1"/>
    </xf>
    <xf numFmtId="183" fontId="65" fillId="27" borderId="212" xfId="0" applyNumberFormat="1" applyFont="1" applyFill="1" applyBorder="1" applyAlignment="1">
      <alignment horizontal="right" vertical="center" wrapText="1" indent="1"/>
    </xf>
    <xf numFmtId="183" fontId="13" fillId="27" borderId="212" xfId="0" applyNumberFormat="1" applyFont="1" applyFill="1" applyBorder="1" applyAlignment="1">
      <alignment horizontal="right" vertical="center" wrapText="1" indent="1"/>
    </xf>
    <xf numFmtId="183" fontId="13" fillId="27" borderId="211" xfId="0" applyNumberFormat="1" applyFont="1" applyFill="1" applyBorder="1" applyAlignment="1">
      <alignment horizontal="right" vertical="center" wrapText="1" indent="1"/>
    </xf>
    <xf numFmtId="183" fontId="13" fillId="27" borderId="147" xfId="0" applyNumberFormat="1" applyFont="1" applyFill="1" applyBorder="1" applyAlignment="1">
      <alignment horizontal="right" vertical="center" wrapText="1" indent="1"/>
    </xf>
    <xf numFmtId="183" fontId="1" fillId="27" borderId="211" xfId="0" applyNumberFormat="1" applyFont="1" applyFill="1" applyBorder="1" applyAlignment="1">
      <alignment horizontal="right" vertical="center" wrapText="1" indent="1"/>
    </xf>
    <xf numFmtId="183" fontId="1" fillId="27" borderId="147" xfId="0" applyNumberFormat="1" applyFont="1" applyFill="1" applyBorder="1" applyAlignment="1">
      <alignment horizontal="right" vertical="center" wrapText="1" indent="1"/>
    </xf>
    <xf numFmtId="183" fontId="1" fillId="27" borderId="210" xfId="0" applyNumberFormat="1" applyFont="1" applyFill="1" applyBorder="1" applyAlignment="1">
      <alignment horizontal="right" vertical="center" wrapText="1" indent="1"/>
    </xf>
    <xf numFmtId="183" fontId="65" fillId="0" borderId="149" xfId="0" applyNumberFormat="1" applyFont="1" applyFill="1" applyBorder="1" applyAlignment="1">
      <alignment horizontal="right" vertical="center" wrapText="1" indent="1"/>
    </xf>
    <xf numFmtId="183" fontId="13" fillId="0" borderId="149" xfId="0" applyNumberFormat="1" applyFont="1" applyFill="1" applyBorder="1" applyAlignment="1">
      <alignment horizontal="right" vertical="center" wrapText="1" indent="1"/>
    </xf>
    <xf numFmtId="183" fontId="13" fillId="0" borderId="151" xfId="0" applyNumberFormat="1" applyFont="1" applyFill="1" applyBorder="1" applyAlignment="1">
      <alignment horizontal="right" vertical="center" wrapText="1" indent="1"/>
    </xf>
    <xf numFmtId="183" fontId="13" fillId="0" borderId="148" xfId="0" applyNumberFormat="1" applyFont="1" applyFill="1" applyBorder="1" applyAlignment="1">
      <alignment horizontal="right" vertical="center" wrapText="1" indent="1"/>
    </xf>
    <xf numFmtId="183" fontId="1" fillId="0" borderId="151" xfId="0" applyNumberFormat="1" applyFont="1" applyFill="1" applyBorder="1" applyAlignment="1">
      <alignment horizontal="right" vertical="center" wrapText="1" indent="1"/>
    </xf>
    <xf numFmtId="183" fontId="1" fillId="0" borderId="148" xfId="0" applyNumberFormat="1" applyFont="1" applyFill="1" applyBorder="1" applyAlignment="1">
      <alignment horizontal="right" vertical="center" wrapText="1" indent="1"/>
    </xf>
    <xf numFmtId="183" fontId="1" fillId="0" borderId="150" xfId="0" applyNumberFormat="1" applyFont="1" applyFill="1" applyBorder="1" applyAlignment="1">
      <alignment horizontal="right" vertical="center" wrapText="1" indent="1"/>
    </xf>
    <xf numFmtId="183" fontId="65" fillId="0" borderId="153" xfId="0" applyNumberFormat="1" applyFont="1" applyFill="1" applyBorder="1" applyAlignment="1">
      <alignment horizontal="right" vertical="center" wrapText="1" indent="1"/>
    </xf>
    <xf numFmtId="183" fontId="13" fillId="0" borderId="153" xfId="0" applyNumberFormat="1" applyFont="1" applyFill="1" applyBorder="1" applyAlignment="1">
      <alignment horizontal="right" vertical="center" wrapText="1" indent="1"/>
    </xf>
    <xf numFmtId="183" fontId="13" fillId="0" borderId="155" xfId="0" applyNumberFormat="1" applyFont="1" applyFill="1" applyBorder="1" applyAlignment="1">
      <alignment horizontal="right" vertical="center" wrapText="1" indent="1"/>
    </xf>
    <xf numFmtId="183" fontId="13" fillId="0" borderId="152" xfId="0" applyNumberFormat="1" applyFont="1" applyFill="1" applyBorder="1" applyAlignment="1">
      <alignment horizontal="right" vertical="center" wrapText="1" indent="1"/>
    </xf>
    <xf numFmtId="183" fontId="1" fillId="0" borderId="155" xfId="0" applyNumberFormat="1" applyFont="1" applyFill="1" applyBorder="1" applyAlignment="1">
      <alignment horizontal="right" vertical="center" wrapText="1" indent="1"/>
    </xf>
    <xf numFmtId="183" fontId="1" fillId="0" borderId="152" xfId="0" applyNumberFormat="1" applyFont="1" applyFill="1" applyBorder="1" applyAlignment="1">
      <alignment horizontal="right" vertical="center" wrapText="1" indent="1"/>
    </xf>
    <xf numFmtId="183" fontId="1" fillId="0" borderId="154" xfId="0" applyNumberFormat="1" applyFont="1" applyFill="1" applyBorder="1" applyAlignment="1">
      <alignment horizontal="right" vertical="center" wrapText="1" indent="1"/>
    </xf>
    <xf numFmtId="183" fontId="65" fillId="25" borderId="153" xfId="0" applyNumberFormat="1" applyFont="1" applyFill="1" applyBorder="1" applyAlignment="1">
      <alignment horizontal="right" vertical="center" wrapText="1" indent="1"/>
    </xf>
    <xf numFmtId="183" fontId="13" fillId="25" borderId="153" xfId="0" applyNumberFormat="1" applyFont="1" applyFill="1" applyBorder="1" applyAlignment="1">
      <alignment horizontal="right" vertical="center" wrapText="1" indent="1"/>
    </xf>
    <xf numFmtId="183" fontId="13" fillId="25" borderId="155" xfId="0" applyNumberFormat="1" applyFont="1" applyFill="1" applyBorder="1" applyAlignment="1">
      <alignment horizontal="right" vertical="center" wrapText="1" indent="1"/>
    </xf>
    <xf numFmtId="183" fontId="13" fillId="25" borderId="152" xfId="0" applyNumberFormat="1" applyFont="1" applyFill="1" applyBorder="1" applyAlignment="1">
      <alignment horizontal="right" vertical="center" wrapText="1" indent="1"/>
    </xf>
    <xf numFmtId="183" fontId="1" fillId="25" borderId="155" xfId="0" applyNumberFormat="1" applyFont="1" applyFill="1" applyBorder="1" applyAlignment="1">
      <alignment horizontal="right" vertical="center" wrapText="1" indent="1"/>
    </xf>
    <xf numFmtId="183" fontId="1" fillId="25" borderId="152" xfId="0" applyNumberFormat="1" applyFont="1" applyFill="1" applyBorder="1" applyAlignment="1">
      <alignment horizontal="right" vertical="center" wrapText="1" indent="1"/>
    </xf>
    <xf numFmtId="183" fontId="1" fillId="25" borderId="154" xfId="0" applyNumberFormat="1" applyFont="1" applyFill="1" applyBorder="1" applyAlignment="1">
      <alignment horizontal="right" vertical="center" wrapText="1" indent="1"/>
    </xf>
    <xf numFmtId="183" fontId="65" fillId="24" borderId="153" xfId="0" applyNumberFormat="1" applyFont="1" applyFill="1" applyBorder="1" applyAlignment="1">
      <alignment horizontal="right" vertical="center" wrapText="1" indent="1"/>
    </xf>
    <xf numFmtId="183" fontId="13" fillId="24" borderId="153" xfId="0" applyNumberFormat="1" applyFont="1" applyFill="1" applyBorder="1" applyAlignment="1">
      <alignment horizontal="right" vertical="center" wrapText="1" indent="1"/>
    </xf>
    <xf numFmtId="183" fontId="13" fillId="24" borderId="155" xfId="0" applyNumberFormat="1" applyFont="1" applyFill="1" applyBorder="1" applyAlignment="1">
      <alignment horizontal="right" vertical="center" wrapText="1" indent="1"/>
    </xf>
    <xf numFmtId="183" fontId="13" fillId="24" borderId="152" xfId="0" applyNumberFormat="1" applyFont="1" applyFill="1" applyBorder="1" applyAlignment="1">
      <alignment horizontal="right" vertical="center" wrapText="1" indent="1"/>
    </xf>
    <xf numFmtId="183" fontId="1" fillId="24" borderId="155" xfId="0" applyNumberFormat="1" applyFont="1" applyFill="1" applyBorder="1" applyAlignment="1">
      <alignment horizontal="right" vertical="center" wrapText="1" indent="1"/>
    </xf>
    <xf numFmtId="183" fontId="1" fillId="24" borderId="152" xfId="0" applyNumberFormat="1" applyFont="1" applyFill="1" applyBorder="1" applyAlignment="1">
      <alignment horizontal="right" vertical="center" wrapText="1" indent="1"/>
    </xf>
    <xf numFmtId="183" fontId="1" fillId="24" borderId="154" xfId="0" applyNumberFormat="1" applyFont="1" applyFill="1" applyBorder="1" applyAlignment="1">
      <alignment horizontal="right" vertical="center" wrapText="1" indent="1"/>
    </xf>
    <xf numFmtId="183" fontId="65" fillId="15" borderId="153" xfId="0" applyNumberFormat="1" applyFont="1" applyFill="1" applyBorder="1" applyAlignment="1">
      <alignment horizontal="right" vertical="center" wrapText="1" indent="1"/>
    </xf>
    <xf numFmtId="183" fontId="13" fillId="15" borderId="153" xfId="0" applyNumberFormat="1" applyFont="1" applyFill="1" applyBorder="1" applyAlignment="1">
      <alignment horizontal="right" vertical="center" wrapText="1" indent="1"/>
    </xf>
    <xf numFmtId="183" fontId="13" fillId="15" borderId="155" xfId="0" applyNumberFormat="1" applyFont="1" applyFill="1" applyBorder="1" applyAlignment="1">
      <alignment horizontal="right" vertical="center" wrapText="1" indent="1"/>
    </xf>
    <xf numFmtId="183" fontId="13" fillId="15" borderId="152" xfId="0" applyNumberFormat="1" applyFont="1" applyFill="1" applyBorder="1" applyAlignment="1">
      <alignment horizontal="right" vertical="center" wrapText="1" indent="1"/>
    </xf>
    <xf numFmtId="183" fontId="1" fillId="15" borderId="155" xfId="0" applyNumberFormat="1" applyFont="1" applyFill="1" applyBorder="1" applyAlignment="1">
      <alignment horizontal="right" vertical="center" wrapText="1" indent="1"/>
    </xf>
    <xf numFmtId="183" fontId="1" fillId="15" borderId="152" xfId="0" applyNumberFormat="1" applyFont="1" applyFill="1" applyBorder="1" applyAlignment="1">
      <alignment horizontal="right" vertical="center" wrapText="1" indent="1"/>
    </xf>
    <xf numFmtId="183" fontId="1" fillId="15" borderId="154" xfId="0" applyNumberFormat="1" applyFont="1" applyFill="1" applyBorder="1" applyAlignment="1">
      <alignment horizontal="right" vertical="center" wrapText="1" indent="1"/>
    </xf>
    <xf numFmtId="183" fontId="65" fillId="27" borderId="157" xfId="0" applyNumberFormat="1" applyFont="1" applyFill="1" applyBorder="1" applyAlignment="1">
      <alignment horizontal="right" vertical="center" wrapText="1" indent="1"/>
    </xf>
    <xf numFmtId="183" fontId="13" fillId="27" borderId="157" xfId="0" applyNumberFormat="1" applyFont="1" applyFill="1" applyBorder="1" applyAlignment="1">
      <alignment horizontal="right" vertical="center" wrapText="1" indent="1"/>
    </xf>
    <xf numFmtId="183" fontId="13" fillId="27" borderId="159" xfId="0" applyNumberFormat="1" applyFont="1" applyFill="1" applyBorder="1" applyAlignment="1">
      <alignment horizontal="right" vertical="center" wrapText="1" indent="1"/>
    </xf>
    <xf numFmtId="183" fontId="13" fillId="27" borderId="156" xfId="0" applyNumberFormat="1" applyFont="1" applyFill="1" applyBorder="1" applyAlignment="1">
      <alignment horizontal="right" vertical="center" wrapText="1" indent="1"/>
    </xf>
    <xf numFmtId="183" fontId="1" fillId="27" borderId="159" xfId="0" applyNumberFormat="1" applyFont="1" applyFill="1" applyBorder="1" applyAlignment="1">
      <alignment horizontal="right" vertical="center" wrapText="1" indent="1"/>
    </xf>
    <xf numFmtId="183" fontId="1" fillId="27" borderId="156" xfId="0" applyNumberFormat="1" applyFont="1" applyFill="1" applyBorder="1" applyAlignment="1">
      <alignment horizontal="right" vertical="center" wrapText="1" indent="1"/>
    </xf>
    <xf numFmtId="183" fontId="1" fillId="27" borderId="158" xfId="0" applyNumberFormat="1" applyFont="1" applyFill="1" applyBorder="1" applyAlignment="1">
      <alignment horizontal="right" vertical="center" wrapText="1" indent="1"/>
    </xf>
    <xf numFmtId="183" fontId="65" fillId="25" borderId="149" xfId="0" applyNumberFormat="1" applyFont="1" applyFill="1" applyBorder="1" applyAlignment="1">
      <alignment horizontal="right" vertical="center" wrapText="1" indent="1"/>
    </xf>
    <xf numFmtId="183" fontId="13" fillId="25" borderId="149" xfId="0" applyNumberFormat="1" applyFont="1" applyFill="1" applyBorder="1" applyAlignment="1">
      <alignment horizontal="right" vertical="center" wrapText="1" indent="1"/>
    </xf>
    <xf numFmtId="183" fontId="13" fillId="25" borderId="151" xfId="0" applyNumberFormat="1" applyFont="1" applyFill="1" applyBorder="1" applyAlignment="1">
      <alignment horizontal="right" vertical="center" wrapText="1" indent="1"/>
    </xf>
    <xf numFmtId="183" fontId="13" fillId="25" borderId="148" xfId="0" applyNumberFormat="1" applyFont="1" applyFill="1" applyBorder="1" applyAlignment="1">
      <alignment horizontal="right" vertical="center" wrapText="1" indent="1"/>
    </xf>
    <xf numFmtId="183" fontId="1" fillId="25" borderId="151" xfId="0" applyNumberFormat="1" applyFont="1" applyFill="1" applyBorder="1" applyAlignment="1">
      <alignment horizontal="right" vertical="center" wrapText="1" indent="1"/>
    </xf>
    <xf numFmtId="183" fontId="1" fillId="25" borderId="148" xfId="0" applyNumberFormat="1" applyFont="1" applyFill="1" applyBorder="1" applyAlignment="1">
      <alignment horizontal="right" vertical="center" wrapText="1" indent="1"/>
    </xf>
    <xf numFmtId="183" fontId="1" fillId="25" borderId="150" xfId="0" applyNumberFormat="1" applyFont="1" applyFill="1" applyBorder="1" applyAlignment="1">
      <alignment horizontal="right" vertical="center" wrapText="1" indent="1"/>
    </xf>
    <xf numFmtId="183" fontId="65" fillId="24" borderId="6" xfId="0" applyNumberFormat="1" applyFont="1" applyFill="1" applyBorder="1" applyAlignment="1">
      <alignment horizontal="right" vertical="center" wrapText="1" indent="1"/>
    </xf>
    <xf numFmtId="183" fontId="13" fillId="24" borderId="6" xfId="0" applyNumberFormat="1" applyFont="1" applyFill="1" applyBorder="1" applyAlignment="1">
      <alignment horizontal="right" vertical="center" wrapText="1" indent="1"/>
    </xf>
    <xf numFmtId="183" fontId="13" fillId="24" borderId="80" xfId="0" applyNumberFormat="1" applyFont="1" applyFill="1" applyBorder="1" applyAlignment="1">
      <alignment horizontal="right" vertical="center" wrapText="1" indent="1"/>
    </xf>
    <xf numFmtId="183" fontId="13" fillId="24" borderId="42" xfId="0" applyNumberFormat="1" applyFont="1" applyFill="1" applyBorder="1" applyAlignment="1">
      <alignment horizontal="right" vertical="center" wrapText="1" indent="1"/>
    </xf>
    <xf numFmtId="183" fontId="13" fillId="24" borderId="80" xfId="0" applyNumberFormat="1" applyFont="1" applyFill="1" applyBorder="1" applyAlignment="1">
      <alignment horizontal="right" vertical="center" wrapText="1" indent="2"/>
    </xf>
    <xf numFmtId="183" fontId="13" fillId="24" borderId="42" xfId="0" applyNumberFormat="1" applyFont="1" applyFill="1" applyBorder="1" applyAlignment="1">
      <alignment horizontal="right" vertical="center" wrapText="1" indent="2"/>
    </xf>
    <xf numFmtId="183" fontId="13" fillId="24" borderId="6" xfId="0" applyNumberFormat="1" applyFont="1" applyFill="1" applyBorder="1" applyAlignment="1">
      <alignment horizontal="right" vertical="center" wrapText="1" indent="2"/>
    </xf>
    <xf numFmtId="183" fontId="65" fillId="12" borderId="126" xfId="0" quotePrefix="1" applyNumberFormat="1" applyFont="1" applyFill="1" applyBorder="1" applyAlignment="1">
      <alignment horizontal="right" vertical="center" wrapText="1" indent="1"/>
    </xf>
    <xf numFmtId="183" fontId="13" fillId="12" borderId="126" xfId="0" quotePrefix="1" applyNumberFormat="1" applyFont="1" applyFill="1" applyBorder="1" applyAlignment="1">
      <alignment horizontal="right" vertical="center" wrapText="1" indent="1"/>
    </xf>
    <xf numFmtId="183" fontId="13" fillId="12" borderId="127" xfId="0" quotePrefix="1" applyNumberFormat="1" applyFont="1" applyFill="1" applyBorder="1" applyAlignment="1">
      <alignment horizontal="right" vertical="center" wrapText="1" indent="1"/>
    </xf>
    <xf numFmtId="183" fontId="65" fillId="12" borderId="144" xfId="0" applyNumberFormat="1" applyFont="1" applyFill="1" applyBorder="1" applyAlignment="1">
      <alignment horizontal="right" vertical="center" wrapText="1" indent="1"/>
    </xf>
    <xf numFmtId="183" fontId="13" fillId="12" borderId="144" xfId="0" applyNumberFormat="1" applyFont="1" applyFill="1" applyBorder="1" applyAlignment="1">
      <alignment horizontal="right" vertical="center" wrapText="1" indent="1"/>
    </xf>
    <xf numFmtId="183" fontId="13" fillId="12" borderId="146" xfId="0" applyNumberFormat="1" applyFont="1" applyFill="1" applyBorder="1" applyAlignment="1">
      <alignment horizontal="right" vertical="center" wrapText="1" indent="1"/>
    </xf>
    <xf numFmtId="183" fontId="65" fillId="12" borderId="190" xfId="0" applyNumberFormat="1" applyFont="1" applyFill="1" applyBorder="1" applyAlignment="1">
      <alignment horizontal="right" vertical="center" wrapText="1" indent="1"/>
    </xf>
    <xf numFmtId="183" fontId="13" fillId="12" borderId="190" xfId="0" applyNumberFormat="1" applyFont="1" applyFill="1" applyBorder="1" applyAlignment="1">
      <alignment horizontal="right" vertical="center" wrapText="1" indent="1"/>
    </xf>
    <xf numFmtId="183" fontId="13" fillId="12" borderId="187" xfId="0" applyNumberFormat="1" applyFont="1" applyFill="1" applyBorder="1" applyAlignment="1">
      <alignment horizontal="right" vertical="center" wrapText="1" indent="1"/>
    </xf>
    <xf numFmtId="183" fontId="65" fillId="12" borderId="126" xfId="0" applyNumberFormat="1" applyFont="1" applyFill="1" applyBorder="1" applyAlignment="1">
      <alignment horizontal="right" vertical="center" wrapText="1" indent="1"/>
    </xf>
    <xf numFmtId="183" fontId="13" fillId="12" borderId="126" xfId="0" applyNumberFormat="1" applyFont="1" applyFill="1" applyBorder="1" applyAlignment="1">
      <alignment horizontal="right" vertical="center" wrapText="1" indent="1"/>
    </xf>
    <xf numFmtId="183" fontId="13" fillId="12" borderId="127" xfId="0" applyNumberFormat="1" applyFont="1" applyFill="1" applyBorder="1" applyAlignment="1">
      <alignment horizontal="right" vertical="center" wrapText="1" indent="1"/>
    </xf>
    <xf numFmtId="183" fontId="65" fillId="24" borderId="116" xfId="0" applyNumberFormat="1" applyFont="1" applyFill="1" applyBorder="1" applyAlignment="1">
      <alignment horizontal="right" vertical="center" wrapText="1" indent="1"/>
    </xf>
    <xf numFmtId="183" fontId="13" fillId="24" borderId="116" xfId="0" applyNumberFormat="1" applyFont="1" applyFill="1" applyBorder="1" applyAlignment="1">
      <alignment horizontal="right" vertical="center" wrapText="1" indent="1"/>
    </xf>
    <xf numFmtId="183" fontId="13" fillId="24" borderId="52" xfId="0" applyNumberFormat="1" applyFont="1" applyFill="1" applyBorder="1" applyAlignment="1">
      <alignment horizontal="right" vertical="center" wrapText="1" indent="1"/>
    </xf>
    <xf numFmtId="183" fontId="13" fillId="24" borderId="23" xfId="0" applyNumberFormat="1" applyFont="1" applyFill="1" applyBorder="1" applyAlignment="1">
      <alignment horizontal="right" vertical="center" wrapText="1" indent="1"/>
    </xf>
    <xf numFmtId="183" fontId="65" fillId="25" borderId="116" xfId="0" applyNumberFormat="1" applyFont="1" applyFill="1" applyBorder="1" applyAlignment="1">
      <alignment horizontal="right" vertical="center" wrapText="1" indent="1"/>
    </xf>
    <xf numFmtId="183" fontId="13" fillId="25" borderId="116" xfId="0" applyNumberFormat="1" applyFont="1" applyFill="1" applyBorder="1" applyAlignment="1">
      <alignment horizontal="right" vertical="center" wrapText="1" indent="1"/>
    </xf>
    <xf numFmtId="183" fontId="13" fillId="25" borderId="52" xfId="0" applyNumberFormat="1" applyFont="1" applyFill="1" applyBorder="1" applyAlignment="1">
      <alignment horizontal="right" vertical="center" wrapText="1" indent="1"/>
    </xf>
    <xf numFmtId="183" fontId="13" fillId="24" borderId="7" xfId="0" applyNumberFormat="1" applyFont="1" applyFill="1" applyBorder="1" applyAlignment="1">
      <alignment horizontal="right" vertical="center" wrapText="1" indent="1"/>
    </xf>
    <xf numFmtId="183" fontId="65" fillId="12" borderId="116" xfId="0" applyNumberFormat="1" applyFont="1" applyFill="1" applyBorder="1" applyAlignment="1">
      <alignment horizontal="right" vertical="center" wrapText="1" indent="1"/>
    </xf>
    <xf numFmtId="183" fontId="13" fillId="12" borderId="116" xfId="0" applyNumberFormat="1" applyFont="1" applyFill="1" applyBorder="1" applyAlignment="1">
      <alignment horizontal="right" vertical="center" wrapText="1" indent="1"/>
    </xf>
    <xf numFmtId="183" fontId="13" fillId="12" borderId="34" xfId="0" applyNumberFormat="1" applyFont="1" applyFill="1" applyBorder="1" applyAlignment="1">
      <alignment horizontal="right" vertical="center" wrapText="1" indent="1"/>
    </xf>
    <xf numFmtId="183" fontId="13" fillId="12" borderId="52" xfId="0" applyNumberFormat="1" applyFont="1" applyFill="1" applyBorder="1" applyAlignment="1">
      <alignment horizontal="right" vertical="center" wrapText="1" indent="1"/>
    </xf>
    <xf numFmtId="183" fontId="0" fillId="12" borderId="34" xfId="0" applyNumberFormat="1" applyFont="1" applyFill="1" applyBorder="1" applyAlignment="1">
      <alignment horizontal="right" vertical="center" wrapText="1" indent="1"/>
    </xf>
    <xf numFmtId="183" fontId="0" fillId="12" borderId="52" xfId="0" applyNumberFormat="1" applyFont="1" applyFill="1" applyBorder="1" applyAlignment="1">
      <alignment horizontal="right" vertical="center" wrapText="1" indent="1"/>
    </xf>
    <xf numFmtId="183" fontId="0" fillId="12" borderId="23" xfId="0" applyNumberFormat="1" applyFont="1" applyFill="1" applyBorder="1" applyAlignment="1">
      <alignment horizontal="right" vertical="center" wrapText="1" indent="1"/>
    </xf>
    <xf numFmtId="183" fontId="65" fillId="12" borderId="30" xfId="0" applyNumberFormat="1" applyFont="1" applyFill="1" applyBorder="1" applyAlignment="1">
      <alignment horizontal="right" vertical="center" wrapText="1" indent="1"/>
    </xf>
    <xf numFmtId="183" fontId="13" fillId="12" borderId="30" xfId="0" applyNumberFormat="1" applyFont="1" applyFill="1" applyBorder="1" applyAlignment="1">
      <alignment horizontal="right" vertical="center" wrapText="1" indent="1"/>
    </xf>
    <xf numFmtId="183" fontId="13" fillId="12" borderId="60" xfId="0" applyNumberFormat="1" applyFont="1" applyFill="1" applyBorder="1" applyAlignment="1">
      <alignment horizontal="right" vertical="center" wrapText="1" indent="1"/>
    </xf>
    <xf numFmtId="183" fontId="13" fillId="12" borderId="53" xfId="0" applyNumberFormat="1" applyFont="1" applyFill="1" applyBorder="1" applyAlignment="1">
      <alignment horizontal="right" vertical="center" wrapText="1" indent="1"/>
    </xf>
    <xf numFmtId="183" fontId="0" fillId="12" borderId="60" xfId="0" applyNumberFormat="1" applyFont="1" applyFill="1" applyBorder="1" applyAlignment="1">
      <alignment horizontal="right" vertical="center" wrapText="1" indent="1"/>
    </xf>
    <xf numFmtId="183" fontId="0" fillId="12" borderId="53" xfId="0" applyNumberFormat="1" applyFont="1" applyFill="1" applyBorder="1" applyAlignment="1">
      <alignment horizontal="right" vertical="center" wrapText="1" indent="1"/>
    </xf>
    <xf numFmtId="183" fontId="0" fillId="12" borderId="27" xfId="0" applyNumberFormat="1" applyFont="1" applyFill="1" applyBorder="1" applyAlignment="1">
      <alignment horizontal="right" vertical="center" wrapText="1" indent="1"/>
    </xf>
    <xf numFmtId="183" fontId="65" fillId="25" borderId="72" xfId="0" applyNumberFormat="1" applyFont="1" applyFill="1" applyBorder="1" applyAlignment="1">
      <alignment horizontal="right" vertical="center" wrapText="1" indent="1"/>
    </xf>
    <xf numFmtId="183" fontId="13" fillId="25" borderId="72" xfId="0" applyNumberFormat="1" applyFont="1" applyFill="1" applyBorder="1" applyAlignment="1">
      <alignment horizontal="right" vertical="center" wrapText="1" indent="1"/>
    </xf>
    <xf numFmtId="183" fontId="13" fillId="25" borderId="33" xfId="0" applyNumberFormat="1" applyFont="1" applyFill="1" applyBorder="1" applyAlignment="1">
      <alignment horizontal="right" vertical="center" wrapText="1" indent="1"/>
    </xf>
    <xf numFmtId="183" fontId="13" fillId="25" borderId="51" xfId="0" applyNumberFormat="1" applyFont="1" applyFill="1" applyBorder="1" applyAlignment="1">
      <alignment horizontal="right" vertical="center" wrapText="1" indent="1"/>
    </xf>
    <xf numFmtId="183" fontId="1" fillId="25" borderId="33" xfId="0" applyNumberFormat="1" applyFont="1" applyFill="1" applyBorder="1" applyAlignment="1">
      <alignment horizontal="right" vertical="center" wrapText="1" indent="1"/>
    </xf>
    <xf numFmtId="183" fontId="1" fillId="25" borderId="51" xfId="0" applyNumberFormat="1" applyFont="1" applyFill="1" applyBorder="1" applyAlignment="1">
      <alignment horizontal="right" vertical="center" wrapText="1" indent="1"/>
    </xf>
    <xf numFmtId="183" fontId="1" fillId="25" borderId="26" xfId="0" applyNumberFormat="1" applyFont="1" applyFill="1" applyBorder="1" applyAlignment="1">
      <alignment horizontal="right" vertical="center" wrapText="1" indent="1"/>
    </xf>
    <xf numFmtId="183" fontId="1" fillId="12" borderId="60" xfId="0" applyNumberFormat="1" applyFont="1" applyFill="1" applyBorder="1" applyAlignment="1">
      <alignment horizontal="right" vertical="center" wrapText="1" indent="1"/>
    </xf>
    <xf numFmtId="183" fontId="1" fillId="12" borderId="53" xfId="0" applyNumberFormat="1" applyFont="1" applyFill="1" applyBorder="1" applyAlignment="1">
      <alignment horizontal="right" vertical="center" wrapText="1" indent="1"/>
    </xf>
    <xf numFmtId="183" fontId="1" fillId="12" borderId="27" xfId="0" applyNumberFormat="1" applyFont="1" applyFill="1" applyBorder="1" applyAlignment="1">
      <alignment horizontal="right" vertical="center" wrapText="1" indent="1"/>
    </xf>
    <xf numFmtId="183" fontId="65" fillId="0" borderId="2" xfId="0" applyNumberFormat="1" applyFont="1" applyFill="1" applyBorder="1" applyAlignment="1">
      <alignment horizontal="right" vertical="center" wrapText="1" indent="1"/>
    </xf>
    <xf numFmtId="183" fontId="13" fillId="0" borderId="2" xfId="0" applyNumberFormat="1" applyFont="1" applyFill="1" applyBorder="1" applyAlignment="1">
      <alignment horizontal="right" vertical="center" wrapText="1" indent="1"/>
    </xf>
    <xf numFmtId="183" fontId="13" fillId="0" borderId="31" xfId="0" applyNumberFormat="1" applyFont="1" applyFill="1" applyBorder="1" applyAlignment="1">
      <alignment horizontal="right" vertical="center" wrapText="1" indent="1"/>
    </xf>
    <xf numFmtId="183" fontId="0" fillId="0" borderId="31" xfId="0" applyNumberFormat="1" applyFont="1" applyFill="1" applyBorder="1" applyAlignment="1">
      <alignment horizontal="right" vertical="center" wrapText="1" indent="1"/>
    </xf>
    <xf numFmtId="183" fontId="0" fillId="0" borderId="38" xfId="0" applyNumberFormat="1" applyFont="1" applyFill="1" applyBorder="1" applyAlignment="1">
      <alignment horizontal="right" vertical="center" wrapText="1" indent="1"/>
    </xf>
    <xf numFmtId="183" fontId="0" fillId="0" borderId="3" xfId="0" applyNumberFormat="1" applyFont="1" applyFill="1" applyBorder="1" applyAlignment="1">
      <alignment horizontal="right" vertical="center" wrapText="1" indent="1"/>
    </xf>
    <xf numFmtId="183" fontId="0" fillId="25" borderId="34" xfId="0" applyNumberFormat="1" applyFont="1" applyFill="1" applyBorder="1" applyAlignment="1">
      <alignment horizontal="right" vertical="center" wrapText="1" indent="1"/>
    </xf>
    <xf numFmtId="183" fontId="0" fillId="25" borderId="52" xfId="0" applyNumberFormat="1" applyFont="1" applyFill="1" applyBorder="1" applyAlignment="1">
      <alignment horizontal="right" vertical="center" wrapText="1" indent="1"/>
    </xf>
    <xf numFmtId="183" fontId="0" fillId="25" borderId="23" xfId="0" applyNumberFormat="1" applyFont="1" applyFill="1" applyBorder="1" applyAlignment="1">
      <alignment horizontal="right" vertical="center" wrapText="1" indent="1"/>
    </xf>
    <xf numFmtId="183" fontId="65" fillId="0" borderId="116" xfId="0" applyNumberFormat="1" applyFont="1" applyFill="1" applyBorder="1" applyAlignment="1">
      <alignment horizontal="right" vertical="center" wrapText="1" indent="1"/>
    </xf>
    <xf numFmtId="183" fontId="13" fillId="0" borderId="116" xfId="0" applyNumberFormat="1" applyFont="1" applyFill="1" applyBorder="1" applyAlignment="1">
      <alignment horizontal="right" vertical="center" wrapText="1" indent="1"/>
    </xf>
    <xf numFmtId="183" fontId="13" fillId="0" borderId="34" xfId="0" applyNumberFormat="1" applyFont="1" applyFill="1" applyBorder="1" applyAlignment="1">
      <alignment horizontal="right" vertical="center" wrapText="1" indent="1"/>
    </xf>
    <xf numFmtId="183" fontId="13" fillId="0" borderId="52" xfId="0" applyNumberFormat="1" applyFont="1" applyFill="1" applyBorder="1" applyAlignment="1">
      <alignment horizontal="right" vertical="center" wrapText="1" indent="1"/>
    </xf>
    <xf numFmtId="183" fontId="0" fillId="0" borderId="34" xfId="0" applyNumberFormat="1" applyFont="1" applyFill="1" applyBorder="1" applyAlignment="1">
      <alignment horizontal="right" vertical="center" wrapText="1" indent="1"/>
    </xf>
    <xf numFmtId="183" fontId="0" fillId="0" borderId="52" xfId="0" applyNumberFormat="1" applyFont="1" applyFill="1" applyBorder="1" applyAlignment="1">
      <alignment horizontal="right" vertical="center" wrapText="1" indent="1"/>
    </xf>
    <xf numFmtId="183" fontId="65" fillId="0" borderId="72" xfId="0" applyNumberFormat="1" applyFont="1" applyBorder="1" applyAlignment="1">
      <alignment horizontal="right" vertical="center" wrapText="1" indent="1"/>
    </xf>
    <xf numFmtId="183" fontId="13" fillId="0" borderId="72" xfId="0" applyNumberFormat="1" applyFont="1" applyBorder="1" applyAlignment="1">
      <alignment horizontal="right" vertical="center" wrapText="1" indent="1"/>
    </xf>
    <xf numFmtId="183" fontId="13" fillId="0" borderId="33" xfId="0" applyNumberFormat="1" applyFont="1" applyBorder="1" applyAlignment="1">
      <alignment horizontal="right" vertical="center" wrapText="1" indent="1"/>
    </xf>
    <xf numFmtId="183" fontId="0" fillId="0" borderId="33" xfId="0" applyNumberFormat="1" applyFont="1" applyBorder="1" applyAlignment="1">
      <alignment horizontal="right" vertical="center" wrapText="1" indent="1"/>
    </xf>
    <xf numFmtId="183" fontId="0" fillId="0" borderId="51" xfId="0" applyNumberFormat="1" applyFont="1" applyBorder="1" applyAlignment="1">
      <alignment horizontal="right" vertical="center" wrapText="1" indent="1"/>
    </xf>
    <xf numFmtId="183" fontId="0" fillId="0" borderId="26" xfId="0" applyNumberFormat="1" applyFont="1" applyBorder="1" applyAlignment="1">
      <alignment horizontal="right" vertical="center" wrapText="1" indent="1"/>
    </xf>
    <xf numFmtId="183" fontId="65" fillId="0" borderId="2" xfId="0" applyNumberFormat="1" applyFont="1" applyBorder="1" applyAlignment="1">
      <alignment horizontal="right" vertical="center" wrapText="1" indent="1"/>
    </xf>
    <xf numFmtId="183" fontId="13" fillId="0" borderId="2" xfId="0" applyNumberFormat="1" applyFont="1" applyBorder="1" applyAlignment="1">
      <alignment horizontal="right" vertical="center" wrapText="1" indent="1"/>
    </xf>
    <xf numFmtId="183" fontId="13" fillId="0" borderId="31" xfId="0" applyNumberFormat="1" applyFont="1" applyBorder="1" applyAlignment="1">
      <alignment horizontal="right" vertical="center" wrapText="1" indent="1"/>
    </xf>
    <xf numFmtId="183" fontId="0" fillId="0" borderId="31" xfId="0" applyNumberFormat="1" applyFont="1" applyBorder="1" applyAlignment="1">
      <alignment horizontal="right" vertical="center" wrapText="1" indent="1"/>
    </xf>
    <xf numFmtId="183" fontId="0" fillId="0" borderId="38" xfId="0" applyNumberFormat="1" applyFont="1" applyBorder="1" applyAlignment="1">
      <alignment horizontal="right" vertical="center" wrapText="1" indent="1"/>
    </xf>
    <xf numFmtId="183" fontId="0" fillId="0" borderId="3" xfId="0" applyNumberFormat="1" applyFont="1" applyBorder="1" applyAlignment="1">
      <alignment horizontal="right" vertical="center" wrapText="1" indent="1"/>
    </xf>
    <xf numFmtId="183" fontId="0" fillId="0" borderId="37" xfId="0" applyNumberFormat="1" applyFont="1" applyFill="1" applyBorder="1" applyAlignment="1">
      <alignment horizontal="right" vertical="center" wrapText="1" indent="1"/>
    </xf>
    <xf numFmtId="183" fontId="1" fillId="25" borderId="201" xfId="0" applyNumberFormat="1" applyFont="1" applyFill="1" applyBorder="1" applyAlignment="1">
      <alignment horizontal="right" vertical="center" wrapText="1" indent="1"/>
    </xf>
    <xf numFmtId="183" fontId="1" fillId="0" borderId="207" xfId="0" applyNumberFormat="1" applyFont="1" applyFill="1" applyBorder="1" applyAlignment="1">
      <alignment horizontal="right" vertical="center" wrapText="1" indent="1"/>
    </xf>
    <xf numFmtId="183" fontId="1" fillId="24" borderId="207" xfId="0" applyNumberFormat="1" applyFont="1" applyFill="1" applyBorder="1" applyAlignment="1">
      <alignment horizontal="right" vertical="center" wrapText="1" indent="1"/>
    </xf>
    <xf numFmtId="183" fontId="1" fillId="27" borderId="207" xfId="0" applyNumberFormat="1" applyFont="1" applyFill="1" applyBorder="1" applyAlignment="1">
      <alignment horizontal="right" vertical="center" wrapText="1" indent="1"/>
    </xf>
    <xf numFmtId="183" fontId="1" fillId="27" borderId="213" xfId="0" applyNumberFormat="1" applyFont="1" applyFill="1" applyBorder="1" applyAlignment="1">
      <alignment horizontal="right" vertical="center" wrapText="1" indent="1"/>
    </xf>
    <xf numFmtId="183" fontId="1" fillId="0" borderId="160" xfId="0" applyNumberFormat="1" applyFont="1" applyFill="1" applyBorder="1" applyAlignment="1">
      <alignment horizontal="right" vertical="center" wrapText="1" indent="1"/>
    </xf>
    <xf numFmtId="183" fontId="1" fillId="0" borderId="164" xfId="0" applyNumberFormat="1" applyFont="1" applyFill="1" applyBorder="1" applyAlignment="1">
      <alignment horizontal="right" vertical="center" wrapText="1" indent="1"/>
    </xf>
    <xf numFmtId="183" fontId="1" fillId="25" borderId="164" xfId="0" applyNumberFormat="1" applyFont="1" applyFill="1" applyBorder="1" applyAlignment="1">
      <alignment horizontal="right" vertical="center" wrapText="1" indent="1"/>
    </xf>
    <xf numFmtId="183" fontId="1" fillId="24" borderId="164" xfId="0" applyNumberFormat="1" applyFont="1" applyFill="1" applyBorder="1" applyAlignment="1">
      <alignment horizontal="right" vertical="center" wrapText="1" indent="1"/>
    </xf>
    <xf numFmtId="183" fontId="1" fillId="15" borderId="164" xfId="0" applyNumberFormat="1" applyFont="1" applyFill="1" applyBorder="1" applyAlignment="1">
      <alignment horizontal="right" vertical="center" wrapText="1" indent="1"/>
    </xf>
    <xf numFmtId="183" fontId="1" fillId="27" borderId="168" xfId="0" applyNumberFormat="1" applyFont="1" applyFill="1" applyBorder="1" applyAlignment="1">
      <alignment horizontal="right" vertical="center" wrapText="1" indent="1"/>
    </xf>
    <xf numFmtId="183" fontId="1" fillId="25" borderId="160" xfId="0" applyNumberFormat="1" applyFont="1" applyFill="1" applyBorder="1" applyAlignment="1">
      <alignment horizontal="right" vertical="center" wrapText="1" indent="1"/>
    </xf>
    <xf numFmtId="183" fontId="13" fillId="24" borderId="75" xfId="0" applyNumberFormat="1" applyFont="1" applyFill="1" applyBorder="1" applyAlignment="1">
      <alignment horizontal="right" vertical="center" wrapText="1" indent="1"/>
    </xf>
    <xf numFmtId="183" fontId="13" fillId="25" borderId="75" xfId="0" applyNumberFormat="1" applyFont="1" applyFill="1" applyBorder="1" applyAlignment="1">
      <alignment horizontal="right" vertical="center" wrapText="1" indent="1"/>
    </xf>
    <xf numFmtId="183" fontId="0" fillId="12" borderId="75" xfId="0" applyNumberFormat="1" applyFont="1" applyFill="1" applyBorder="1" applyAlignment="1">
      <alignment horizontal="right" vertical="center" wrapText="1" indent="1"/>
    </xf>
    <xf numFmtId="183" fontId="0" fillId="12" borderId="63" xfId="0" applyNumberFormat="1" applyFont="1" applyFill="1" applyBorder="1" applyAlignment="1">
      <alignment horizontal="right" vertical="center" wrapText="1" indent="1"/>
    </xf>
    <xf numFmtId="183" fontId="1" fillId="25" borderId="66" xfId="0" applyNumberFormat="1" applyFont="1" applyFill="1" applyBorder="1" applyAlignment="1">
      <alignment horizontal="right" vertical="center" wrapText="1" indent="1"/>
    </xf>
    <xf numFmtId="183" fontId="1" fillId="12" borderId="63" xfId="0" applyNumberFormat="1" applyFont="1" applyFill="1" applyBorder="1" applyAlignment="1">
      <alignment horizontal="right" vertical="center" wrapText="1" indent="1"/>
    </xf>
    <xf numFmtId="183" fontId="0" fillId="0" borderId="45" xfId="0" applyNumberFormat="1" applyFont="1" applyFill="1" applyBorder="1" applyAlignment="1">
      <alignment horizontal="right" vertical="center" wrapText="1" indent="1"/>
    </xf>
    <xf numFmtId="183" fontId="0" fillId="25" borderId="75" xfId="0" applyNumberFormat="1" applyFont="1" applyFill="1" applyBorder="1" applyAlignment="1">
      <alignment horizontal="right" vertical="center" wrapText="1" indent="1"/>
    </xf>
    <xf numFmtId="183" fontId="0" fillId="0" borderId="75" xfId="0" applyNumberFormat="1" applyFont="1" applyFill="1" applyBorder="1" applyAlignment="1">
      <alignment horizontal="right" vertical="center" wrapText="1" indent="1"/>
    </xf>
    <xf numFmtId="183" fontId="0" fillId="0" borderId="66" xfId="0" applyNumberFormat="1" applyFont="1" applyBorder="1" applyAlignment="1">
      <alignment horizontal="right" vertical="center" wrapText="1" indent="1"/>
    </xf>
    <xf numFmtId="183" fontId="0" fillId="0" borderId="45" xfId="0" applyNumberFormat="1" applyFont="1" applyBorder="1" applyAlignment="1">
      <alignment horizontal="right" vertical="center" wrapText="1" indent="1"/>
    </xf>
    <xf numFmtId="2" fontId="0" fillId="0" borderId="17" xfId="0" applyNumberFormat="1" applyFont="1" applyFill="1" applyBorder="1" applyAlignment="1">
      <alignment horizontal="right" vertical="center" wrapText="1" indent="1"/>
    </xf>
    <xf numFmtId="2" fontId="1" fillId="25" borderId="130" xfId="0" applyNumberFormat="1" applyFont="1" applyFill="1" applyBorder="1" applyAlignment="1">
      <alignment horizontal="right" vertical="center" wrapText="1" indent="1"/>
    </xf>
    <xf numFmtId="2" fontId="1" fillId="0" borderId="205" xfId="0" applyNumberFormat="1" applyFont="1" applyFill="1" applyBorder="1" applyAlignment="1">
      <alignment horizontal="right" vertical="center" wrapText="1" indent="1"/>
    </xf>
    <xf numFmtId="2" fontId="1" fillId="24" borderId="205" xfId="0" applyNumberFormat="1" applyFont="1" applyFill="1" applyBorder="1" applyAlignment="1">
      <alignment horizontal="right" vertical="center" wrapText="1" indent="1"/>
    </xf>
    <xf numFmtId="2" fontId="1" fillId="27" borderId="205" xfId="0" applyNumberFormat="1" applyFont="1" applyFill="1" applyBorder="1" applyAlignment="1">
      <alignment horizontal="right" vertical="center" wrapText="1" indent="1"/>
    </xf>
    <xf numFmtId="2" fontId="1" fillId="27" borderId="210" xfId="0" applyNumberFormat="1" applyFont="1" applyFill="1" applyBorder="1" applyAlignment="1">
      <alignment horizontal="right" vertical="center" wrapText="1" indent="1"/>
    </xf>
    <xf numFmtId="2" fontId="1" fillId="0" borderId="150" xfId="0" applyNumberFormat="1" applyFont="1" applyFill="1" applyBorder="1" applyAlignment="1">
      <alignment horizontal="right" vertical="center" wrapText="1" indent="1"/>
    </xf>
    <xf numFmtId="2" fontId="1" fillId="0" borderId="154" xfId="0" applyNumberFormat="1" applyFont="1" applyFill="1" applyBorder="1" applyAlignment="1">
      <alignment horizontal="right" vertical="center" wrapText="1" indent="1"/>
    </xf>
    <xf numFmtId="2" fontId="1" fillId="25" borderId="154" xfId="0" applyNumberFormat="1" applyFont="1" applyFill="1" applyBorder="1" applyAlignment="1">
      <alignment horizontal="right" vertical="center" wrapText="1" indent="1"/>
    </xf>
    <xf numFmtId="2" fontId="1" fillId="24" borderId="154" xfId="0" applyNumberFormat="1" applyFont="1" applyFill="1" applyBorder="1" applyAlignment="1">
      <alignment horizontal="right" vertical="center" wrapText="1" indent="1"/>
    </xf>
    <xf numFmtId="2" fontId="1" fillId="15" borderId="154" xfId="0" applyNumberFormat="1" applyFont="1" applyFill="1" applyBorder="1" applyAlignment="1">
      <alignment horizontal="right" vertical="center" wrapText="1" indent="1"/>
    </xf>
    <xf numFmtId="2" fontId="1" fillId="27" borderId="158" xfId="0" applyNumberFormat="1" applyFont="1" applyFill="1" applyBorder="1" applyAlignment="1">
      <alignment horizontal="right" vertical="center" wrapText="1" indent="1"/>
    </xf>
    <xf numFmtId="2" fontId="1" fillId="25" borderId="150" xfId="0" applyNumberFormat="1" applyFont="1" applyFill="1" applyBorder="1" applyAlignment="1">
      <alignment horizontal="right" vertical="center" wrapText="1" indent="1"/>
    </xf>
    <xf numFmtId="2" fontId="13" fillId="24" borderId="7" xfId="0" applyNumberFormat="1" applyFont="1" applyFill="1" applyBorder="1" applyAlignment="1">
      <alignment horizontal="right" vertical="center" wrapText="1" indent="1"/>
    </xf>
    <xf numFmtId="2" fontId="13" fillId="24" borderId="23" xfId="0" applyNumberFormat="1" applyFont="1" applyFill="1" applyBorder="1" applyAlignment="1">
      <alignment horizontal="right" vertical="center" wrapText="1" indent="1"/>
    </xf>
    <xf numFmtId="2" fontId="13" fillId="25" borderId="23" xfId="0" applyNumberFormat="1" applyFont="1" applyFill="1" applyBorder="1" applyAlignment="1">
      <alignment horizontal="right" vertical="center" wrapText="1" indent="1"/>
    </xf>
    <xf numFmtId="2" fontId="0" fillId="12" borderId="23" xfId="0" applyNumberFormat="1" applyFont="1" applyFill="1" applyBorder="1" applyAlignment="1">
      <alignment horizontal="right" vertical="center" wrapText="1" indent="1"/>
    </xf>
    <xf numFmtId="2" fontId="0" fillId="12" borderId="27" xfId="0" applyNumberFormat="1" applyFont="1" applyFill="1" applyBorder="1" applyAlignment="1">
      <alignment horizontal="right" vertical="center" wrapText="1" indent="1"/>
    </xf>
    <xf numFmtId="2" fontId="1" fillId="25" borderId="26" xfId="0" applyNumberFormat="1" applyFont="1" applyFill="1" applyBorder="1" applyAlignment="1">
      <alignment horizontal="right" vertical="center" wrapText="1" indent="1"/>
    </xf>
    <xf numFmtId="2" fontId="1" fillId="12" borderId="27" xfId="0" applyNumberFormat="1" applyFont="1" applyFill="1" applyBorder="1" applyAlignment="1">
      <alignment horizontal="right" vertical="center" wrapText="1" indent="1"/>
    </xf>
    <xf numFmtId="2" fontId="0" fillId="25" borderId="23" xfId="0" applyNumberFormat="1" applyFont="1" applyFill="1" applyBorder="1" applyAlignment="1">
      <alignment horizontal="right" vertical="center" wrapText="1" indent="1"/>
    </xf>
    <xf numFmtId="2" fontId="0" fillId="0" borderId="23" xfId="0" applyNumberFormat="1" applyFont="1" applyFill="1" applyBorder="1" applyAlignment="1">
      <alignment horizontal="right" vertical="center" wrapText="1" indent="1"/>
    </xf>
    <xf numFmtId="2" fontId="0" fillId="0" borderId="26" xfId="0" applyNumberFormat="1" applyFont="1" applyBorder="1" applyAlignment="1">
      <alignment horizontal="right" vertical="center" wrapText="1" indent="1"/>
    </xf>
    <xf numFmtId="2" fontId="0" fillId="0" borderId="3" xfId="0" applyNumberFormat="1" applyFont="1" applyBorder="1" applyAlignment="1">
      <alignment horizontal="right" vertical="center" wrapText="1" indent="1"/>
    </xf>
    <xf numFmtId="183" fontId="13" fillId="0" borderId="51" xfId="0" applyNumberFormat="1" applyFont="1" applyFill="1" applyBorder="1" applyAlignment="1">
      <alignment horizontal="right" vertical="center" wrapText="1" indent="1"/>
    </xf>
    <xf numFmtId="183" fontId="13" fillId="0" borderId="26" xfId="0" applyNumberFormat="1" applyFont="1" applyFill="1" applyBorder="1" applyAlignment="1">
      <alignment horizontal="right" vertical="center" wrapText="1" indent="1"/>
    </xf>
    <xf numFmtId="183" fontId="13" fillId="0" borderId="33" xfId="0" applyNumberFormat="1" applyFont="1" applyFill="1" applyBorder="1" applyAlignment="1">
      <alignment horizontal="right" vertical="center" wrapText="1" indent="1"/>
    </xf>
    <xf numFmtId="2" fontId="13" fillId="0" borderId="150" xfId="0" applyNumberFormat="1" applyFont="1" applyFill="1" applyBorder="1" applyAlignment="1">
      <alignment horizontal="right" vertical="center" wrapText="1" indent="1"/>
    </xf>
    <xf numFmtId="2" fontId="13" fillId="0" borderId="154" xfId="0" applyNumberFormat="1" applyFont="1" applyFill="1" applyBorder="1" applyAlignment="1">
      <alignment horizontal="right" vertical="center" wrapText="1" indent="1"/>
    </xf>
    <xf numFmtId="2" fontId="13" fillId="25" borderId="154" xfId="0" applyNumberFormat="1" applyFont="1" applyFill="1" applyBorder="1" applyAlignment="1">
      <alignment horizontal="right" vertical="center" wrapText="1" indent="1"/>
    </xf>
    <xf numFmtId="2" fontId="13" fillId="24" borderId="154" xfId="0" applyNumberFormat="1" applyFont="1" applyFill="1" applyBorder="1" applyAlignment="1">
      <alignment horizontal="right" vertical="center" wrapText="1" indent="1"/>
    </xf>
    <xf numFmtId="2" fontId="13" fillId="15" borderId="154" xfId="0" applyNumberFormat="1" applyFont="1" applyFill="1" applyBorder="1" applyAlignment="1">
      <alignment horizontal="right" vertical="center" wrapText="1" indent="1"/>
    </xf>
    <xf numFmtId="2" fontId="13" fillId="27" borderId="158" xfId="0" applyNumberFormat="1" applyFont="1" applyFill="1" applyBorder="1" applyAlignment="1">
      <alignment horizontal="right" vertical="center" wrapText="1" indent="1"/>
    </xf>
    <xf numFmtId="183" fontId="13" fillId="25" borderId="125" xfId="0" applyNumberFormat="1" applyFont="1" applyFill="1" applyBorder="1" applyAlignment="1">
      <alignment horizontal="right" vertical="center" wrapText="1" indent="1"/>
    </xf>
    <xf numFmtId="183" fontId="13" fillId="25" borderId="26" xfId="0" applyNumberFormat="1" applyFont="1" applyFill="1" applyBorder="1" applyAlignment="1">
      <alignment horizontal="right" vertical="center" wrapText="1" indent="1"/>
    </xf>
    <xf numFmtId="183" fontId="13" fillId="0" borderId="42" xfId="0" applyNumberFormat="1" applyFont="1" applyFill="1" applyBorder="1" applyAlignment="1">
      <alignment horizontal="right" vertical="center" wrapText="1" indent="1"/>
    </xf>
    <xf numFmtId="183" fontId="13" fillId="0" borderId="7" xfId="0" applyNumberFormat="1" applyFont="1" applyFill="1" applyBorder="1" applyAlignment="1">
      <alignment horizontal="right" vertical="center" wrapText="1" indent="1"/>
    </xf>
    <xf numFmtId="183" fontId="13" fillId="0" borderId="44" xfId="0" applyNumberFormat="1" applyFont="1" applyFill="1" applyBorder="1" applyAlignment="1">
      <alignment horizontal="right" vertical="center" wrapText="1" indent="1"/>
    </xf>
    <xf numFmtId="183" fontId="13" fillId="0" borderId="23" xfId="0" applyNumberFormat="1" applyFont="1" applyFill="1" applyBorder="1" applyAlignment="1">
      <alignment horizontal="right" vertical="center" wrapText="1" indent="1"/>
    </xf>
    <xf numFmtId="183" fontId="13" fillId="0" borderId="42" xfId="0" applyNumberFormat="1" applyFont="1" applyBorder="1" applyAlignment="1">
      <alignment horizontal="right" vertical="center" wrapText="1" indent="1"/>
    </xf>
    <xf numFmtId="183" fontId="13" fillId="0" borderId="7" xfId="0" applyNumberFormat="1" applyFont="1" applyBorder="1" applyAlignment="1">
      <alignment horizontal="right" vertical="center" wrapText="1" indent="1"/>
    </xf>
    <xf numFmtId="183" fontId="13" fillId="0" borderId="44" xfId="0" applyNumberFormat="1" applyFont="1" applyBorder="1" applyAlignment="1">
      <alignment horizontal="right" vertical="center" wrapText="1" indent="1"/>
    </xf>
    <xf numFmtId="183" fontId="13" fillId="0" borderId="52" xfId="0" applyNumberFormat="1" applyFont="1" applyBorder="1" applyAlignment="1">
      <alignment horizontal="right" vertical="center" wrapText="1" indent="1"/>
    </xf>
    <xf numFmtId="183" fontId="13" fillId="0" borderId="23" xfId="0" applyNumberFormat="1" applyFont="1" applyBorder="1" applyAlignment="1">
      <alignment horizontal="right" vertical="center" wrapText="1" indent="1"/>
    </xf>
    <xf numFmtId="183" fontId="13" fillId="0" borderId="34" xfId="0" applyNumberFormat="1" applyFont="1" applyBorder="1" applyAlignment="1">
      <alignment horizontal="right" vertical="center" wrapText="1" indent="1"/>
    </xf>
    <xf numFmtId="183" fontId="0" fillId="0" borderId="18" xfId="0" applyNumberFormat="1" applyFont="1" applyFill="1" applyBorder="1" applyAlignment="1">
      <alignment horizontal="right" vertical="center" wrapText="1" indent="1"/>
    </xf>
    <xf numFmtId="183" fontId="1" fillId="25" borderId="203" xfId="0" applyNumberFormat="1" applyFont="1" applyFill="1" applyBorder="1" applyAlignment="1">
      <alignment horizontal="right" vertical="center" wrapText="1" indent="1"/>
    </xf>
    <xf numFmtId="183" fontId="1" fillId="0" borderId="209" xfId="0" applyNumberFormat="1" applyFont="1" applyFill="1" applyBorder="1" applyAlignment="1">
      <alignment horizontal="right" vertical="center" wrapText="1" indent="1"/>
    </xf>
    <xf numFmtId="183" fontId="1" fillId="24" borderId="209" xfId="0" applyNumberFormat="1" applyFont="1" applyFill="1" applyBorder="1" applyAlignment="1">
      <alignment horizontal="right" vertical="center" wrapText="1" indent="1"/>
    </xf>
    <xf numFmtId="183" fontId="1" fillId="27" borderId="209" xfId="0" applyNumberFormat="1" applyFont="1" applyFill="1" applyBorder="1" applyAlignment="1">
      <alignment horizontal="right" vertical="center" wrapText="1" indent="1"/>
    </xf>
    <xf numFmtId="183" fontId="1" fillId="27" borderId="215" xfId="0" applyNumberFormat="1" applyFont="1" applyFill="1" applyBorder="1" applyAlignment="1">
      <alignment horizontal="right" vertical="center" wrapText="1" indent="1"/>
    </xf>
    <xf numFmtId="183" fontId="1" fillId="0" borderId="162" xfId="0" applyNumberFormat="1" applyFont="1" applyFill="1" applyBorder="1" applyAlignment="1">
      <alignment horizontal="right" vertical="center" wrapText="1" indent="1"/>
    </xf>
    <xf numFmtId="183" fontId="1" fillId="0" borderId="166" xfId="0" applyNumberFormat="1" applyFont="1" applyFill="1" applyBorder="1" applyAlignment="1">
      <alignment horizontal="right" vertical="center" wrapText="1" indent="1"/>
    </xf>
    <xf numFmtId="183" fontId="1" fillId="25" borderId="166" xfId="0" applyNumberFormat="1" applyFont="1" applyFill="1" applyBorder="1" applyAlignment="1">
      <alignment horizontal="right" vertical="center" wrapText="1" indent="1"/>
    </xf>
    <xf numFmtId="183" fontId="1" fillId="24" borderId="166" xfId="0" applyNumberFormat="1" applyFont="1" applyFill="1" applyBorder="1" applyAlignment="1">
      <alignment horizontal="right" vertical="center" wrapText="1" indent="1"/>
    </xf>
    <xf numFmtId="183" fontId="1" fillId="15" borderId="166" xfId="0" applyNumberFormat="1" applyFont="1" applyFill="1" applyBorder="1" applyAlignment="1">
      <alignment horizontal="right" vertical="center" wrapText="1" indent="1"/>
    </xf>
    <xf numFmtId="183" fontId="1" fillId="27" borderId="170" xfId="0" applyNumberFormat="1" applyFont="1" applyFill="1" applyBorder="1" applyAlignment="1">
      <alignment horizontal="right" vertical="center" wrapText="1" indent="1"/>
    </xf>
    <xf numFmtId="183" fontId="1" fillId="25" borderId="162" xfId="0" applyNumberFormat="1" applyFont="1" applyFill="1" applyBorder="1" applyAlignment="1">
      <alignment horizontal="right" vertical="center" wrapText="1" indent="1"/>
    </xf>
    <xf numFmtId="183" fontId="13" fillId="12" borderId="181" xfId="0" quotePrefix="1" applyNumberFormat="1" applyFont="1" applyFill="1" applyBorder="1" applyAlignment="1">
      <alignment horizontal="right" vertical="center" wrapText="1" indent="1"/>
    </xf>
    <xf numFmtId="183" fontId="13" fillId="12" borderId="182" xfId="0" quotePrefix="1" applyNumberFormat="1" applyFont="1" applyFill="1" applyBorder="1" applyAlignment="1">
      <alignment horizontal="right" vertical="center" wrapText="1" indent="1"/>
    </xf>
    <xf numFmtId="183" fontId="13" fillId="12" borderId="205" xfId="0" applyNumberFormat="1" applyFont="1" applyFill="1" applyBorder="1" applyAlignment="1">
      <alignment horizontal="right" vertical="center" wrapText="1" indent="1"/>
    </xf>
    <xf numFmtId="183" fontId="13" fillId="12" borderId="117" xfId="0" applyNumberFormat="1" applyFont="1" applyFill="1" applyBorder="1" applyAlignment="1">
      <alignment horizontal="right" vertical="center" wrapText="1" indent="1"/>
    </xf>
    <xf numFmtId="183" fontId="13" fillId="12" borderId="181" xfId="0" applyNumberFormat="1" applyFont="1" applyFill="1" applyBorder="1" applyAlignment="1">
      <alignment horizontal="right" vertical="center" wrapText="1" indent="1"/>
    </xf>
    <xf numFmtId="183" fontId="0" fillId="12" borderId="114" xfId="0" applyNumberFormat="1" applyFont="1" applyFill="1" applyBorder="1" applyAlignment="1">
      <alignment horizontal="right" vertical="center" wrapText="1" indent="1"/>
    </xf>
    <xf numFmtId="183" fontId="0" fillId="12" borderId="29" xfId="0" applyNumberFormat="1" applyFont="1" applyFill="1" applyBorder="1" applyAlignment="1">
      <alignment horizontal="right" vertical="center" wrapText="1" indent="1"/>
    </xf>
    <xf numFmtId="183" fontId="1" fillId="25" borderId="49" xfId="0" applyNumberFormat="1" applyFont="1" applyFill="1" applyBorder="1" applyAlignment="1">
      <alignment horizontal="right" vertical="center" wrapText="1" indent="1"/>
    </xf>
    <xf numFmtId="183" fontId="1" fillId="12" borderId="29" xfId="0" applyNumberFormat="1" applyFont="1" applyFill="1" applyBorder="1" applyAlignment="1">
      <alignment horizontal="right" vertical="center" wrapText="1" indent="1"/>
    </xf>
    <xf numFmtId="183" fontId="0" fillId="0" borderId="1" xfId="0" applyNumberFormat="1" applyFont="1" applyFill="1" applyBorder="1" applyAlignment="1">
      <alignment horizontal="right" vertical="center" wrapText="1" indent="1"/>
    </xf>
    <xf numFmtId="183" fontId="0" fillId="25" borderId="114" xfId="0" applyNumberFormat="1" applyFont="1" applyFill="1" applyBorder="1" applyAlignment="1">
      <alignment horizontal="right" vertical="center" wrapText="1" indent="1"/>
    </xf>
    <xf numFmtId="183" fontId="0" fillId="0" borderId="114" xfId="0" applyNumberFormat="1" applyFont="1" applyFill="1" applyBorder="1" applyAlignment="1">
      <alignment horizontal="right" vertical="center" wrapText="1" indent="1"/>
    </xf>
    <xf numFmtId="183" fontId="0" fillId="0" borderId="42" xfId="0" applyNumberFormat="1" applyFont="1" applyBorder="1" applyAlignment="1">
      <alignment horizontal="right" vertical="center" wrapText="1" indent="1"/>
    </xf>
    <xf numFmtId="183" fontId="0" fillId="0" borderId="49" xfId="0" applyNumberFormat="1" applyFont="1" applyBorder="1" applyAlignment="1">
      <alignment horizontal="right" vertical="center" wrapText="1" indent="1"/>
    </xf>
    <xf numFmtId="183" fontId="0" fillId="0" borderId="1" xfId="0" applyNumberFormat="1" applyFont="1" applyBorder="1" applyAlignment="1">
      <alignment horizontal="right" vertical="center" wrapText="1" indent="1"/>
    </xf>
    <xf numFmtId="183" fontId="0" fillId="0" borderId="51" xfId="0" applyNumberFormat="1" applyFont="1" applyFill="1" applyBorder="1" applyAlignment="1">
      <alignment horizontal="right" vertical="center" wrapText="1" indent="1"/>
    </xf>
    <xf numFmtId="183" fontId="0" fillId="0" borderId="49" xfId="0" applyNumberFormat="1" applyFont="1" applyFill="1" applyBorder="1" applyAlignment="1">
      <alignment horizontal="right" vertical="center" wrapText="1" indent="1"/>
    </xf>
    <xf numFmtId="173" fontId="56" fillId="25" borderId="200" xfId="0" applyNumberFormat="1" applyFont="1" applyFill="1" applyBorder="1" applyAlignment="1">
      <alignment horizontal="center" vertical="center" wrapText="1"/>
    </xf>
    <xf numFmtId="173" fontId="56" fillId="0" borderId="144" xfId="0" applyNumberFormat="1" applyFont="1" applyFill="1" applyBorder="1" applyAlignment="1">
      <alignment horizontal="center" vertical="center" wrapText="1"/>
    </xf>
    <xf numFmtId="173" fontId="56" fillId="24" borderId="144" xfId="0" applyNumberFormat="1" applyFont="1" applyFill="1" applyBorder="1" applyAlignment="1">
      <alignment horizontal="center" vertical="center" wrapText="1"/>
    </xf>
    <xf numFmtId="173" fontId="56" fillId="27" borderId="144" xfId="0" applyNumberFormat="1" applyFont="1" applyFill="1" applyBorder="1" applyAlignment="1">
      <alignment horizontal="center" vertical="center" wrapText="1"/>
    </xf>
    <xf numFmtId="173" fontId="56" fillId="27" borderId="212" xfId="0" applyNumberFormat="1" applyFont="1" applyFill="1" applyBorder="1" applyAlignment="1">
      <alignment horizontal="center" vertical="center" wrapText="1"/>
    </xf>
    <xf numFmtId="173" fontId="56" fillId="15" borderId="154" xfId="0" applyNumberFormat="1" applyFont="1" applyFill="1" applyBorder="1" applyAlignment="1">
      <alignment horizontal="left" vertical="center" wrapText="1" indent="1"/>
    </xf>
    <xf numFmtId="173" fontId="56" fillId="27" borderId="210" xfId="0" applyNumberFormat="1" applyFont="1" applyFill="1" applyBorder="1" applyAlignment="1">
      <alignment horizontal="left" vertical="center" wrapText="1" indent="1"/>
    </xf>
    <xf numFmtId="173" fontId="56" fillId="27" borderId="157" xfId="0" applyNumberFormat="1" applyFont="1" applyFill="1" applyBorder="1" applyAlignment="1">
      <alignment horizontal="left" vertical="center" wrapText="1" indent="1"/>
    </xf>
    <xf numFmtId="173" fontId="56" fillId="24" borderId="6" xfId="0" applyNumberFormat="1" applyFont="1" applyFill="1" applyBorder="1" applyAlignment="1">
      <alignment horizontal="right" vertical="center" wrapText="1" indent="1"/>
    </xf>
    <xf numFmtId="173" fontId="56" fillId="24" borderId="116" xfId="0" applyNumberFormat="1" applyFont="1" applyFill="1" applyBorder="1" applyAlignment="1">
      <alignment horizontal="right" vertical="center" wrapText="1" indent="1"/>
    </xf>
    <xf numFmtId="173" fontId="56" fillId="25" borderId="116" xfId="0" applyNumberFormat="1" applyFont="1" applyFill="1" applyBorder="1" applyAlignment="1">
      <alignment horizontal="right" vertical="center" wrapText="1" indent="1"/>
    </xf>
    <xf numFmtId="173" fontId="56" fillId="0" borderId="154" xfId="0" applyNumberFormat="1" applyFont="1" applyFill="1" applyBorder="1" applyAlignment="1">
      <alignment horizontal="right" vertical="center" wrapText="1" indent="1"/>
    </xf>
    <xf numFmtId="173" fontId="56" fillId="12" borderId="116" xfId="0" applyNumberFormat="1" applyFont="1" applyFill="1" applyBorder="1" applyAlignment="1">
      <alignment horizontal="right" vertical="center" wrapText="1" indent="1"/>
    </xf>
    <xf numFmtId="173" fontId="56" fillId="0" borderId="23" xfId="0" applyNumberFormat="1" applyFont="1" applyFill="1" applyBorder="1" applyAlignment="1">
      <alignment horizontal="right" vertical="center" wrapText="1" indent="1"/>
    </xf>
    <xf numFmtId="173" fontId="56" fillId="0" borderId="124" xfId="0" applyNumberFormat="1" applyFont="1" applyFill="1" applyBorder="1" applyAlignment="1">
      <alignment horizontal="right" vertical="center" wrapText="1" indent="1"/>
    </xf>
    <xf numFmtId="173" fontId="56" fillId="12" borderId="30" xfId="0" applyNumberFormat="1" applyFont="1" applyFill="1" applyBorder="1" applyAlignment="1">
      <alignment horizontal="right" vertical="center" wrapText="1" indent="1"/>
    </xf>
    <xf numFmtId="173" fontId="56" fillId="0" borderId="26" xfId="0" applyNumberFormat="1" applyFont="1" applyFill="1" applyBorder="1" applyAlignment="1">
      <alignment horizontal="right" vertical="center" wrapText="1" indent="1"/>
    </xf>
    <xf numFmtId="183" fontId="56" fillId="25" borderId="200" xfId="0" applyNumberFormat="1" applyFont="1" applyFill="1" applyBorder="1" applyAlignment="1">
      <alignment horizontal="center" vertical="center" wrapText="1"/>
    </xf>
    <xf numFmtId="183" fontId="56" fillId="0" borderId="144" xfId="0" applyNumberFormat="1" applyFont="1" applyFill="1" applyBorder="1" applyAlignment="1">
      <alignment horizontal="center" vertical="center" wrapText="1"/>
    </xf>
    <xf numFmtId="183" fontId="56" fillId="24" borderId="144" xfId="0" applyNumberFormat="1" applyFont="1" applyFill="1" applyBorder="1" applyAlignment="1">
      <alignment horizontal="center" vertical="center" wrapText="1"/>
    </xf>
    <xf numFmtId="183" fontId="56" fillId="27" borderId="144" xfId="0" applyNumberFormat="1" applyFont="1" applyFill="1" applyBorder="1" applyAlignment="1">
      <alignment horizontal="center" vertical="center" wrapText="1"/>
    </xf>
    <xf numFmtId="183" fontId="56" fillId="27" borderId="212" xfId="0" applyNumberFormat="1" applyFont="1" applyFill="1" applyBorder="1" applyAlignment="1">
      <alignment horizontal="center" vertical="center" wrapText="1"/>
    </xf>
    <xf numFmtId="183" fontId="56" fillId="27" borderId="210" xfId="0" applyNumberFormat="1" applyFont="1" applyFill="1" applyBorder="1" applyAlignment="1">
      <alignment horizontal="left" vertical="center" wrapText="1" indent="1"/>
    </xf>
    <xf numFmtId="183" fontId="56" fillId="27" borderId="157" xfId="0" applyNumberFormat="1" applyFont="1" applyFill="1" applyBorder="1" applyAlignment="1">
      <alignment horizontal="left" vertical="center" wrapText="1" indent="1"/>
    </xf>
    <xf numFmtId="183" fontId="56" fillId="24" borderId="6" xfId="0" applyNumberFormat="1" applyFont="1" applyFill="1" applyBorder="1" applyAlignment="1">
      <alignment horizontal="right" vertical="center" wrapText="1" indent="1"/>
    </xf>
    <xf numFmtId="183" fontId="56" fillId="24" borderId="116" xfId="0" applyNumberFormat="1" applyFont="1" applyFill="1" applyBorder="1" applyAlignment="1">
      <alignment horizontal="right" vertical="center" wrapText="1" indent="1"/>
    </xf>
    <xf numFmtId="183" fontId="56" fillId="25" borderId="116" xfId="0" applyNumberFormat="1" applyFont="1" applyFill="1" applyBorder="1" applyAlignment="1">
      <alignment horizontal="right" vertical="center" wrapText="1" indent="1"/>
    </xf>
    <xf numFmtId="183" fontId="56" fillId="0" borderId="154" xfId="0" applyNumberFormat="1" applyFont="1" applyFill="1" applyBorder="1" applyAlignment="1">
      <alignment horizontal="right" vertical="center" wrapText="1" indent="1"/>
    </xf>
    <xf numFmtId="183" fontId="56" fillId="12" borderId="116" xfId="0" applyNumberFormat="1" applyFont="1" applyFill="1" applyBorder="1" applyAlignment="1">
      <alignment horizontal="right" vertical="center" wrapText="1" indent="1"/>
    </xf>
    <xf numFmtId="183" fontId="56" fillId="0" borderId="23" xfId="0" applyNumberFormat="1" applyFont="1" applyFill="1" applyBorder="1" applyAlignment="1">
      <alignment horizontal="right" vertical="center" wrapText="1" indent="1"/>
    </xf>
    <xf numFmtId="183" fontId="56" fillId="0" borderId="124" xfId="0" applyNumberFormat="1" applyFont="1" applyFill="1" applyBorder="1" applyAlignment="1">
      <alignment horizontal="right" vertical="center" wrapText="1" indent="1"/>
    </xf>
    <xf numFmtId="183" fontId="56" fillId="12" borderId="30" xfId="0" applyNumberFormat="1" applyFont="1" applyFill="1" applyBorder="1" applyAlignment="1">
      <alignment horizontal="right" vertical="center" wrapText="1" indent="1"/>
    </xf>
    <xf numFmtId="183" fontId="56" fillId="0" borderId="26" xfId="0" applyNumberFormat="1" applyFont="1" applyFill="1" applyBorder="1" applyAlignment="1">
      <alignment horizontal="right" vertical="center" wrapText="1" indent="1"/>
    </xf>
    <xf numFmtId="173" fontId="13" fillId="25" borderId="199" xfId="0" applyNumberFormat="1" applyFont="1" applyFill="1" applyBorder="1" applyAlignment="1">
      <alignment horizontal="center" vertical="center" wrapText="1"/>
    </xf>
    <xf numFmtId="173" fontId="13" fillId="0" borderId="206" xfId="0" applyNumberFormat="1" applyFont="1" applyFill="1" applyBorder="1" applyAlignment="1">
      <alignment horizontal="center" vertical="center" wrapText="1"/>
    </xf>
    <xf numFmtId="173" fontId="13" fillId="24" borderId="206" xfId="0" applyNumberFormat="1" applyFont="1" applyFill="1" applyBorder="1" applyAlignment="1">
      <alignment horizontal="center" vertical="center" wrapText="1"/>
    </xf>
    <xf numFmtId="173" fontId="13" fillId="27" borderId="206" xfId="0" applyNumberFormat="1" applyFont="1" applyFill="1" applyBorder="1" applyAlignment="1">
      <alignment horizontal="center" vertical="center" wrapText="1"/>
    </xf>
    <xf numFmtId="173" fontId="13" fillId="27" borderId="211" xfId="0" applyNumberFormat="1" applyFont="1" applyFill="1" applyBorder="1" applyAlignment="1">
      <alignment horizontal="center" vertical="center" wrapText="1"/>
    </xf>
    <xf numFmtId="173" fontId="13" fillId="0" borderId="151" xfId="0" applyNumberFormat="1" applyFont="1" applyFill="1" applyBorder="1" applyAlignment="1">
      <alignment horizontal="left" vertical="center" wrapText="1" indent="1"/>
    </xf>
    <xf numFmtId="173" fontId="13" fillId="0" borderId="155" xfId="0" applyNumberFormat="1" applyFont="1" applyFill="1" applyBorder="1" applyAlignment="1">
      <alignment horizontal="left" vertical="center" wrapText="1" indent="1"/>
    </xf>
    <xf numFmtId="173" fontId="13" fillId="25" borderId="155" xfId="0" applyNumberFormat="1" applyFont="1" applyFill="1" applyBorder="1" applyAlignment="1">
      <alignment horizontal="left" vertical="center" wrapText="1" indent="1"/>
    </xf>
    <xf numFmtId="173" fontId="13" fillId="24" borderId="155" xfId="0" applyNumberFormat="1" applyFont="1" applyFill="1" applyBorder="1" applyAlignment="1">
      <alignment horizontal="left" vertical="center" wrapText="1" indent="1"/>
    </xf>
    <xf numFmtId="173" fontId="13" fillId="15" borderId="155" xfId="0" applyNumberFormat="1" applyFont="1" applyFill="1" applyBorder="1" applyAlignment="1">
      <alignment horizontal="left" vertical="center" wrapText="1" indent="1"/>
    </xf>
    <xf numFmtId="173" fontId="13" fillId="27" borderId="211" xfId="0" applyNumberFormat="1" applyFont="1" applyFill="1" applyBorder="1" applyAlignment="1">
      <alignment horizontal="left" vertical="center" wrapText="1" indent="1"/>
    </xf>
    <xf numFmtId="173" fontId="13" fillId="27" borderId="159" xfId="0" applyNumberFormat="1" applyFont="1" applyFill="1" applyBorder="1" applyAlignment="1">
      <alignment horizontal="left" vertical="center" wrapText="1" indent="1"/>
    </xf>
    <xf numFmtId="173" fontId="1" fillId="24" borderId="34" xfId="0" applyNumberFormat="1" applyFont="1" applyFill="1" applyBorder="1" applyAlignment="1">
      <alignment horizontal="left" vertical="center" wrapText="1" indent="1"/>
    </xf>
    <xf numFmtId="173" fontId="47" fillId="25" borderId="34" xfId="0" applyNumberFormat="1" applyFont="1" applyFill="1" applyBorder="1" applyAlignment="1">
      <alignment horizontal="left" vertical="center" wrapText="1" indent="1"/>
    </xf>
    <xf numFmtId="183" fontId="13" fillId="0" borderId="154" xfId="0" applyNumberFormat="1" applyFont="1" applyFill="1" applyBorder="1" applyAlignment="1">
      <alignment horizontal="right" vertical="center" wrapText="1" indent="1"/>
    </xf>
    <xf numFmtId="173" fontId="13" fillId="0" borderId="34" xfId="0" applyNumberFormat="1" applyFont="1" applyFill="1" applyBorder="1" applyAlignment="1">
      <alignment horizontal="left" vertical="center" wrapText="1" indent="1"/>
    </xf>
    <xf numFmtId="183" fontId="13" fillId="0" borderId="124" xfId="0" applyNumberFormat="1" applyFont="1" applyFill="1" applyBorder="1" applyAlignment="1">
      <alignment horizontal="right" vertical="center" wrapText="1" indent="1"/>
    </xf>
    <xf numFmtId="173" fontId="13" fillId="0" borderId="125" xfId="0" applyNumberFormat="1" applyFont="1" applyFill="1" applyBorder="1" applyAlignment="1">
      <alignment horizontal="left" vertical="center" wrapText="1" indent="1"/>
    </xf>
    <xf numFmtId="173" fontId="13" fillId="0" borderId="33" xfId="0" applyNumberFormat="1" applyFont="1" applyFill="1" applyBorder="1" applyAlignment="1">
      <alignment horizontal="left" vertical="center" wrapText="1" indent="1"/>
    </xf>
    <xf numFmtId="183" fontId="56" fillId="0" borderId="16" xfId="0" applyNumberFormat="1" applyFont="1" applyFill="1" applyBorder="1" applyAlignment="1">
      <alignment vertical="center" wrapText="1"/>
    </xf>
    <xf numFmtId="9" fontId="56" fillId="0" borderId="17" xfId="0" applyNumberFormat="1" applyFont="1" applyFill="1" applyBorder="1" applyAlignment="1">
      <alignment horizontal="right" vertical="center" wrapText="1" indent="2"/>
    </xf>
    <xf numFmtId="183" fontId="56" fillId="0" borderId="17" xfId="0" applyNumberFormat="1" applyFont="1" applyFill="1" applyBorder="1" applyAlignment="1">
      <alignment vertical="center" wrapText="1"/>
    </xf>
    <xf numFmtId="183" fontId="56" fillId="25" borderId="200" xfId="0" applyNumberFormat="1" applyFont="1" applyFill="1" applyBorder="1" applyAlignment="1">
      <alignment vertical="center" wrapText="1"/>
    </xf>
    <xf numFmtId="9" fontId="56" fillId="25" borderId="200" xfId="0" applyNumberFormat="1" applyFont="1" applyFill="1" applyBorder="1" applyAlignment="1">
      <alignment horizontal="right" vertical="center" wrapText="1" indent="1"/>
    </xf>
    <xf numFmtId="183" fontId="56" fillId="0" borderId="144" xfId="0" applyNumberFormat="1" applyFont="1" applyFill="1" applyBorder="1" applyAlignment="1">
      <alignment vertical="center" wrapText="1"/>
    </xf>
    <xf numFmtId="9" fontId="56" fillId="0" borderId="144" xfId="0" applyNumberFormat="1" applyFont="1" applyFill="1" applyBorder="1" applyAlignment="1">
      <alignment horizontal="right" vertical="center" wrapText="1" indent="1"/>
    </xf>
    <xf numFmtId="183" fontId="56" fillId="24" borderId="144" xfId="0" applyNumberFormat="1" applyFont="1" applyFill="1" applyBorder="1" applyAlignment="1">
      <alignment vertical="center" wrapText="1"/>
    </xf>
    <xf numFmtId="9" fontId="56" fillId="24" borderId="144" xfId="0" applyNumberFormat="1" applyFont="1" applyFill="1" applyBorder="1" applyAlignment="1">
      <alignment horizontal="right" vertical="center" wrapText="1" indent="1"/>
    </xf>
    <xf numFmtId="183" fontId="56" fillId="27" borderId="144" xfId="0" applyNumberFormat="1" applyFont="1" applyFill="1" applyBorder="1" applyAlignment="1">
      <alignment vertical="center" wrapText="1"/>
    </xf>
    <xf numFmtId="9" fontId="56" fillId="27" borderId="144" xfId="0" applyNumberFormat="1" applyFont="1" applyFill="1" applyBorder="1" applyAlignment="1">
      <alignment horizontal="right" vertical="center" wrapText="1" indent="1"/>
    </xf>
    <xf numFmtId="183" fontId="56" fillId="27" borderId="212" xfId="0" applyNumberFormat="1" applyFont="1" applyFill="1" applyBorder="1" applyAlignment="1">
      <alignment vertical="center" wrapText="1"/>
    </xf>
    <xf numFmtId="9" fontId="56" fillId="27" borderId="212" xfId="0" applyNumberFormat="1" applyFont="1" applyFill="1" applyBorder="1" applyAlignment="1">
      <alignment horizontal="right" vertical="center" wrapText="1" indent="1"/>
    </xf>
    <xf numFmtId="183" fontId="56" fillId="0" borderId="153" xfId="0" applyNumberFormat="1" applyFont="1" applyFill="1" applyBorder="1" applyAlignment="1">
      <alignment vertical="center" wrapText="1"/>
    </xf>
    <xf numFmtId="183" fontId="56" fillId="0" borderId="154" xfId="0" applyNumberFormat="1" applyFont="1" applyFill="1" applyBorder="1" applyAlignment="1">
      <alignment vertical="center" wrapText="1"/>
    </xf>
    <xf numFmtId="183" fontId="56" fillId="15" borderId="153" xfId="0" applyNumberFormat="1" applyFont="1" applyFill="1" applyBorder="1" applyAlignment="1">
      <alignment vertical="center" wrapText="1"/>
    </xf>
    <xf numFmtId="9" fontId="56" fillId="15" borderId="154" xfId="0" applyNumberFormat="1" applyFont="1" applyFill="1" applyBorder="1" applyAlignment="1">
      <alignment horizontal="right" vertical="center" wrapText="1" indent="2"/>
    </xf>
    <xf numFmtId="183" fontId="56" fillId="15" borderId="154" xfId="0" applyNumberFormat="1" applyFont="1" applyFill="1" applyBorder="1" applyAlignment="1">
      <alignment vertical="center" wrapText="1"/>
    </xf>
    <xf numFmtId="9" fontId="56" fillId="27" borderId="210" xfId="0" applyNumberFormat="1" applyFont="1" applyFill="1" applyBorder="1" applyAlignment="1">
      <alignment horizontal="right" vertical="center" wrapText="1" indent="2"/>
    </xf>
    <xf numFmtId="183" fontId="56" fillId="27" borderId="210" xfId="0" applyNumberFormat="1" applyFont="1" applyFill="1" applyBorder="1" applyAlignment="1">
      <alignment vertical="center" wrapText="1"/>
    </xf>
    <xf numFmtId="183" fontId="56" fillId="27" borderId="157" xfId="0" applyNumberFormat="1" applyFont="1" applyFill="1" applyBorder="1" applyAlignment="1">
      <alignment vertical="center" wrapText="1"/>
    </xf>
    <xf numFmtId="183" fontId="56" fillId="27" borderId="158" xfId="0" applyNumberFormat="1" applyFont="1" applyFill="1" applyBorder="1" applyAlignment="1">
      <alignment vertical="center" wrapText="1"/>
    </xf>
    <xf numFmtId="9" fontId="56" fillId="27" borderId="157" xfId="0" applyNumberFormat="1" applyFont="1" applyFill="1" applyBorder="1" applyAlignment="1">
      <alignment horizontal="right" vertical="center" wrapText="1" indent="2"/>
    </xf>
    <xf numFmtId="183" fontId="56" fillId="24" borderId="6" xfId="0" applyNumberFormat="1" applyFont="1" applyFill="1" applyBorder="1" applyAlignment="1">
      <alignment vertical="center" wrapText="1"/>
    </xf>
    <xf numFmtId="9" fontId="56" fillId="24" borderId="6" xfId="0" applyNumberFormat="1" applyFont="1" applyFill="1" applyBorder="1" applyAlignment="1">
      <alignment horizontal="right" vertical="center" wrapText="1" indent="2"/>
    </xf>
    <xf numFmtId="183" fontId="56" fillId="24" borderId="7" xfId="0" applyNumberFormat="1" applyFont="1" applyFill="1" applyBorder="1" applyAlignment="1">
      <alignment vertical="center" wrapText="1"/>
    </xf>
    <xf numFmtId="183" fontId="56" fillId="12" borderId="126" xfId="0" applyNumberFormat="1" applyFont="1" applyFill="1" applyBorder="1" applyAlignment="1">
      <alignment vertical="center" wrapText="1"/>
    </xf>
    <xf numFmtId="9" fontId="56" fillId="12" borderId="126" xfId="0" applyNumberFormat="1" applyFont="1" applyFill="1" applyBorder="1" applyAlignment="1">
      <alignment horizontal="right" vertical="center" wrapText="1" indent="2"/>
    </xf>
    <xf numFmtId="183" fontId="56" fillId="12" borderId="144" xfId="0" applyNumberFormat="1" applyFont="1" applyFill="1" applyBorder="1" applyAlignment="1">
      <alignment vertical="center" wrapText="1"/>
    </xf>
    <xf numFmtId="9" fontId="56" fillId="12" borderId="144" xfId="0" applyNumberFormat="1" applyFont="1" applyFill="1" applyBorder="1" applyAlignment="1">
      <alignment horizontal="right" vertical="center" wrapText="1" indent="2"/>
    </xf>
    <xf numFmtId="183" fontId="56" fillId="12" borderId="205" xfId="0" applyNumberFormat="1" applyFont="1" applyFill="1" applyBorder="1" applyAlignment="1">
      <alignment vertical="center" wrapText="1"/>
    </xf>
    <xf numFmtId="183" fontId="56" fillId="12" borderId="190" xfId="0" applyNumberFormat="1" applyFont="1" applyFill="1" applyBorder="1" applyAlignment="1">
      <alignment vertical="center" wrapText="1"/>
    </xf>
    <xf numFmtId="9" fontId="56" fillId="12" borderId="190" xfId="0" applyNumberFormat="1" applyFont="1" applyFill="1" applyBorder="1" applyAlignment="1">
      <alignment horizontal="right" vertical="center" wrapText="1" indent="2"/>
    </xf>
    <xf numFmtId="183" fontId="56" fillId="12" borderId="117" xfId="0" applyNumberFormat="1" applyFont="1" applyFill="1" applyBorder="1" applyAlignment="1">
      <alignment vertical="center" wrapText="1"/>
    </xf>
    <xf numFmtId="183" fontId="56" fillId="24" borderId="116" xfId="0" applyNumberFormat="1" applyFont="1" applyFill="1" applyBorder="1" applyAlignment="1">
      <alignment vertical="center" wrapText="1"/>
    </xf>
    <xf numFmtId="183" fontId="56" fillId="24" borderId="23" xfId="0" applyNumberFormat="1" applyFont="1" applyFill="1" applyBorder="1" applyAlignment="1">
      <alignment vertical="center" wrapText="1"/>
    </xf>
    <xf numFmtId="183" fontId="56" fillId="25" borderId="116" xfId="0" applyNumberFormat="1" applyFont="1" applyFill="1" applyBorder="1" applyAlignment="1">
      <alignment vertical="center" wrapText="1"/>
    </xf>
    <xf numFmtId="183" fontId="56" fillId="25" borderId="23" xfId="0" applyNumberFormat="1" applyFont="1" applyFill="1" applyBorder="1" applyAlignment="1">
      <alignment vertical="center" wrapText="1"/>
    </xf>
    <xf numFmtId="183" fontId="56" fillId="12" borderId="116" xfId="0" applyNumberFormat="1" applyFont="1" applyFill="1" applyBorder="1" applyAlignment="1">
      <alignment vertical="center" wrapText="1"/>
    </xf>
    <xf numFmtId="183" fontId="56" fillId="12" borderId="23" xfId="0" applyNumberFormat="1" applyFont="1" applyFill="1" applyBorder="1" applyAlignment="1">
      <alignment vertical="center" wrapText="1"/>
    </xf>
    <xf numFmtId="183" fontId="56" fillId="12" borderId="30" xfId="0" applyNumberFormat="1" applyFont="1" applyFill="1" applyBorder="1" applyAlignment="1">
      <alignment vertical="center" wrapText="1"/>
    </xf>
    <xf numFmtId="183" fontId="56" fillId="12" borderId="27" xfId="0" applyNumberFormat="1" applyFont="1" applyFill="1" applyBorder="1" applyAlignment="1">
      <alignment vertical="center" wrapText="1"/>
    </xf>
    <xf numFmtId="183" fontId="56" fillId="0" borderId="116" xfId="0" applyNumberFormat="1" applyFont="1" applyFill="1" applyBorder="1" applyAlignment="1">
      <alignment vertical="center" wrapText="1"/>
    </xf>
    <xf numFmtId="183" fontId="56" fillId="0" borderId="23" xfId="0" applyNumberFormat="1" applyFont="1" applyFill="1" applyBorder="1" applyAlignment="1">
      <alignment vertical="center" wrapText="1"/>
    </xf>
    <xf numFmtId="183" fontId="56" fillId="0" borderId="237" xfId="0" applyNumberFormat="1" applyFont="1" applyFill="1" applyBorder="1" applyAlignment="1">
      <alignment vertical="center" wrapText="1"/>
    </xf>
    <xf numFmtId="183" fontId="56" fillId="0" borderId="124" xfId="0" applyNumberFormat="1" applyFont="1" applyFill="1" applyBorder="1" applyAlignment="1">
      <alignment vertical="center" wrapText="1"/>
    </xf>
    <xf numFmtId="183" fontId="56" fillId="0" borderId="72" xfId="0" applyNumberFormat="1" applyFont="1" applyFill="1" applyBorder="1" applyAlignment="1">
      <alignment vertical="center" wrapText="1"/>
    </xf>
    <xf numFmtId="183" fontId="56" fillId="0" borderId="26" xfId="0" applyNumberFormat="1" applyFont="1" applyFill="1" applyBorder="1" applyAlignment="1">
      <alignment vertical="center" wrapText="1"/>
    </xf>
    <xf numFmtId="183" fontId="66" fillId="0" borderId="153" xfId="0" applyNumberFormat="1" applyFont="1" applyFill="1" applyBorder="1" applyAlignment="1">
      <alignment vertical="center" wrapText="1"/>
    </xf>
    <xf numFmtId="183" fontId="48" fillId="12" borderId="127" xfId="0" applyNumberFormat="1" applyFont="1" applyFill="1" applyBorder="1" applyAlignment="1">
      <alignment horizontal="right" vertical="center" wrapText="1" indent="1"/>
    </xf>
    <xf numFmtId="183" fontId="48" fillId="12" borderId="146" xfId="0" applyNumberFormat="1" applyFont="1" applyFill="1" applyBorder="1" applyAlignment="1">
      <alignment horizontal="right" vertical="center" wrapText="1" indent="1"/>
    </xf>
    <xf numFmtId="183" fontId="48" fillId="12" borderId="187" xfId="0" applyNumberFormat="1" applyFont="1" applyFill="1" applyBorder="1" applyAlignment="1">
      <alignment horizontal="right" vertical="center" wrapText="1" indent="1"/>
    </xf>
    <xf numFmtId="183" fontId="48" fillId="0" borderId="52" xfId="0" applyNumberFormat="1" applyFont="1" applyFill="1" applyBorder="1" applyAlignment="1">
      <alignment horizontal="right" vertical="center" wrapText="1" indent="1"/>
    </xf>
    <xf numFmtId="183" fontId="48" fillId="0" borderId="123" xfId="0" applyNumberFormat="1" applyFont="1" applyFill="1" applyBorder="1" applyAlignment="1">
      <alignment horizontal="right" vertical="center" wrapText="1" indent="1"/>
    </xf>
    <xf numFmtId="183" fontId="48" fillId="0" borderId="51" xfId="0" applyNumberFormat="1" applyFont="1" applyFill="1" applyBorder="1" applyAlignment="1">
      <alignment horizontal="right" vertical="center" wrapText="1" indent="1"/>
    </xf>
    <xf numFmtId="183" fontId="66" fillId="0" borderId="16" xfId="0" applyNumberFormat="1" applyFont="1" applyFill="1" applyBorder="1" applyAlignment="1">
      <alignment horizontal="right" vertical="center" wrapText="1" indent="1"/>
    </xf>
    <xf numFmtId="183" fontId="66" fillId="25" borderId="200" xfId="0" applyNumberFormat="1" applyFont="1" applyFill="1" applyBorder="1" applyAlignment="1">
      <alignment horizontal="right" vertical="center" wrapText="1" indent="1"/>
    </xf>
    <xf numFmtId="183" fontId="66" fillId="0" borderId="144" xfId="0" applyNumberFormat="1" applyFont="1" applyFill="1" applyBorder="1" applyAlignment="1">
      <alignment horizontal="right" vertical="center" wrapText="1" indent="1"/>
    </xf>
    <xf numFmtId="183" fontId="66" fillId="24" borderId="144" xfId="0" applyNumberFormat="1" applyFont="1" applyFill="1" applyBorder="1" applyAlignment="1">
      <alignment horizontal="right" vertical="center" wrapText="1" indent="1"/>
    </xf>
    <xf numFmtId="183" fontId="66" fillId="27" borderId="144" xfId="0" applyNumberFormat="1" applyFont="1" applyFill="1" applyBorder="1" applyAlignment="1">
      <alignment horizontal="right" vertical="center" wrapText="1" indent="1"/>
    </xf>
    <xf numFmtId="183" fontId="66" fillId="27" borderId="212" xfId="0" applyNumberFormat="1" applyFont="1" applyFill="1" applyBorder="1" applyAlignment="1">
      <alignment horizontal="right" vertical="center" wrapText="1" indent="1"/>
    </xf>
    <xf numFmtId="183" fontId="66" fillId="0" borderId="149" xfId="0" applyNumberFormat="1" applyFont="1" applyFill="1" applyBorder="1" applyAlignment="1">
      <alignment horizontal="right" vertical="center" wrapText="1" indent="1"/>
    </xf>
    <xf numFmtId="183" fontId="66" fillId="0" borderId="153" xfId="0" applyNumberFormat="1" applyFont="1" applyFill="1" applyBorder="1" applyAlignment="1">
      <alignment horizontal="right" vertical="center" wrapText="1" indent="1"/>
    </xf>
    <xf numFmtId="183" fontId="66" fillId="25" borderId="153" xfId="0" applyNumberFormat="1" applyFont="1" applyFill="1" applyBorder="1" applyAlignment="1">
      <alignment horizontal="right" vertical="center" wrapText="1" indent="1"/>
    </xf>
    <xf numFmtId="183" fontId="66" fillId="24" borderId="153" xfId="0" applyNumberFormat="1" applyFont="1" applyFill="1" applyBorder="1" applyAlignment="1">
      <alignment horizontal="right" vertical="center" wrapText="1" indent="1"/>
    </xf>
    <xf numFmtId="183" fontId="66" fillId="15" borderId="153" xfId="0" applyNumberFormat="1" applyFont="1" applyFill="1" applyBorder="1" applyAlignment="1">
      <alignment horizontal="right" vertical="center" wrapText="1" indent="1"/>
    </xf>
    <xf numFmtId="183" fontId="66" fillId="27" borderId="157" xfId="0" applyNumberFormat="1" applyFont="1" applyFill="1" applyBorder="1" applyAlignment="1">
      <alignment horizontal="right" vertical="center" wrapText="1" indent="1"/>
    </xf>
    <xf numFmtId="183" fontId="66" fillId="25" borderId="149" xfId="0" applyNumberFormat="1" applyFont="1" applyFill="1" applyBorder="1" applyAlignment="1">
      <alignment horizontal="right" vertical="center" wrapText="1" indent="1"/>
    </xf>
    <xf numFmtId="183" fontId="66" fillId="24" borderId="6" xfId="0" applyNumberFormat="1" applyFont="1" applyFill="1" applyBorder="1" applyAlignment="1">
      <alignment horizontal="right" vertical="center" wrapText="1" indent="1"/>
    </xf>
    <xf numFmtId="183" fontId="66" fillId="12" borderId="126" xfId="0" applyNumberFormat="1" applyFont="1" applyFill="1" applyBorder="1" applyAlignment="1">
      <alignment horizontal="right" vertical="center" wrapText="1" indent="1"/>
    </xf>
    <xf numFmtId="183" fontId="66" fillId="12" borderId="144" xfId="0" applyNumberFormat="1" applyFont="1" applyFill="1" applyBorder="1" applyAlignment="1">
      <alignment horizontal="right" vertical="center" wrapText="1" indent="1"/>
    </xf>
    <xf numFmtId="183" fontId="66" fillId="12" borderId="190" xfId="0" applyNumberFormat="1" applyFont="1" applyFill="1" applyBorder="1" applyAlignment="1">
      <alignment horizontal="right" vertical="center" wrapText="1" indent="1"/>
    </xf>
    <xf numFmtId="183" fontId="66" fillId="25" borderId="116" xfId="0" applyNumberFormat="1" applyFont="1" applyFill="1" applyBorder="1" applyAlignment="1">
      <alignment horizontal="right" vertical="center" wrapText="1" indent="1"/>
    </xf>
    <xf numFmtId="183" fontId="66" fillId="12" borderId="116" xfId="0" applyNumberFormat="1" applyFont="1" applyFill="1" applyBorder="1" applyAlignment="1">
      <alignment horizontal="right" vertical="center" wrapText="1" indent="1"/>
    </xf>
    <xf numFmtId="183" fontId="66" fillId="12" borderId="30" xfId="0" applyNumberFormat="1" applyFont="1" applyFill="1" applyBorder="1" applyAlignment="1">
      <alignment horizontal="right" vertical="center" wrapText="1" indent="1"/>
    </xf>
    <xf numFmtId="183" fontId="66" fillId="0" borderId="116" xfId="0" applyNumberFormat="1" applyFont="1" applyFill="1" applyBorder="1" applyAlignment="1">
      <alignment horizontal="right" vertical="center" wrapText="1" indent="1"/>
    </xf>
    <xf numFmtId="183" fontId="66" fillId="0" borderId="237" xfId="0" applyNumberFormat="1" applyFont="1" applyFill="1" applyBorder="1" applyAlignment="1">
      <alignment horizontal="right" vertical="center" wrapText="1" indent="1"/>
    </xf>
    <xf numFmtId="183" fontId="66" fillId="0" borderId="72" xfId="0" applyNumberFormat="1" applyFont="1" applyFill="1" applyBorder="1" applyAlignment="1">
      <alignment horizontal="right" vertical="center" wrapText="1" indent="1"/>
    </xf>
    <xf numFmtId="173" fontId="13" fillId="0" borderId="17" xfId="0" applyNumberFormat="1" applyFont="1" applyFill="1" applyBorder="1" applyAlignment="1">
      <alignment horizontal="right" vertical="center" wrapText="1" indent="3"/>
    </xf>
    <xf numFmtId="173" fontId="13" fillId="25" borderId="130" xfId="0" applyNumberFormat="1" applyFont="1" applyFill="1" applyBorder="1" applyAlignment="1">
      <alignment horizontal="right" vertical="center" wrapText="1" indent="2"/>
    </xf>
    <xf numFmtId="173" fontId="13" fillId="0" borderId="205" xfId="0" applyNumberFormat="1" applyFont="1" applyFill="1" applyBorder="1" applyAlignment="1">
      <alignment horizontal="right" vertical="center" wrapText="1" indent="2"/>
    </xf>
    <xf numFmtId="173" fontId="13" fillId="24" borderId="205" xfId="0" applyNumberFormat="1" applyFont="1" applyFill="1" applyBorder="1" applyAlignment="1">
      <alignment horizontal="right" vertical="center" wrapText="1" indent="2"/>
    </xf>
    <xf numFmtId="173" fontId="13" fillId="27" borderId="205" xfId="0" applyNumberFormat="1" applyFont="1" applyFill="1" applyBorder="1" applyAlignment="1">
      <alignment horizontal="right" vertical="center" wrapText="1" indent="2"/>
    </xf>
    <xf numFmtId="173" fontId="13" fillId="27" borderId="210" xfId="0" applyNumberFormat="1" applyFont="1" applyFill="1" applyBorder="1" applyAlignment="1">
      <alignment horizontal="right" vertical="center" wrapText="1" indent="2"/>
    </xf>
    <xf numFmtId="173" fontId="13" fillId="0" borderId="150" xfId="0" applyNumberFormat="1" applyFont="1" applyFill="1" applyBorder="1" applyAlignment="1">
      <alignment horizontal="right" vertical="center" wrapText="1" indent="3"/>
    </xf>
    <xf numFmtId="173" fontId="13" fillId="0" borderId="154" xfId="0" applyNumberFormat="1" applyFont="1" applyFill="1" applyBorder="1" applyAlignment="1">
      <alignment horizontal="right" vertical="center" wrapText="1" indent="3"/>
    </xf>
    <xf numFmtId="173" fontId="13" fillId="25" borderId="154" xfId="0" applyNumberFormat="1" applyFont="1" applyFill="1" applyBorder="1" applyAlignment="1">
      <alignment horizontal="right" vertical="center" wrapText="1" indent="3"/>
    </xf>
    <xf numFmtId="173" fontId="13" fillId="24" borderId="154" xfId="0" applyNumberFormat="1" applyFont="1" applyFill="1" applyBorder="1" applyAlignment="1">
      <alignment horizontal="right" vertical="center" wrapText="1" indent="3"/>
    </xf>
    <xf numFmtId="173" fontId="13" fillId="15" borderId="154" xfId="0" applyNumberFormat="1" applyFont="1" applyFill="1" applyBorder="1" applyAlignment="1">
      <alignment horizontal="right" vertical="center" wrapText="1" indent="3"/>
    </xf>
    <xf numFmtId="173" fontId="13" fillId="27" borderId="210" xfId="0" applyNumberFormat="1" applyFont="1" applyFill="1" applyBorder="1" applyAlignment="1">
      <alignment horizontal="right" vertical="center" wrapText="1" indent="3"/>
    </xf>
    <xf numFmtId="173" fontId="13" fillId="24" borderId="166" xfId="0" applyNumberFormat="1" applyFont="1" applyFill="1" applyBorder="1" applyAlignment="1">
      <alignment horizontal="right" vertical="center" wrapText="1" indent="3"/>
    </xf>
    <xf numFmtId="173" fontId="13" fillId="27" borderId="170" xfId="0" applyNumberFormat="1" applyFont="1" applyFill="1" applyBorder="1" applyAlignment="1">
      <alignment horizontal="right" vertical="center" wrapText="1" indent="3"/>
    </xf>
    <xf numFmtId="173" fontId="1" fillId="24" borderId="8" xfId="0" applyNumberFormat="1" applyFont="1" applyFill="1" applyBorder="1" applyAlignment="1">
      <alignment horizontal="right" vertical="center" wrapText="1" indent="3"/>
    </xf>
    <xf numFmtId="173" fontId="0" fillId="12" borderId="182" xfId="0" applyNumberFormat="1" applyFont="1" applyFill="1" applyBorder="1" applyAlignment="1">
      <alignment horizontal="right" vertical="center" wrapText="1" indent="3"/>
    </xf>
    <xf numFmtId="173" fontId="0" fillId="12" borderId="209" xfId="0" applyNumberFormat="1" applyFont="1" applyFill="1" applyBorder="1" applyAlignment="1">
      <alignment horizontal="right" vertical="center" wrapText="1" indent="3"/>
    </xf>
    <xf numFmtId="173" fontId="0" fillId="12" borderId="188" xfId="0" applyNumberFormat="1" applyFont="1" applyFill="1" applyBorder="1" applyAlignment="1">
      <alignment horizontal="right" vertical="center" wrapText="1" indent="3"/>
    </xf>
    <xf numFmtId="173" fontId="1" fillId="24" borderId="23" xfId="0" applyNumberFormat="1" applyFont="1" applyFill="1" applyBorder="1" applyAlignment="1">
      <alignment horizontal="right" vertical="center" wrapText="1" indent="3"/>
    </xf>
    <xf numFmtId="173" fontId="1" fillId="25" borderId="114" xfId="0" applyNumberFormat="1" applyFont="1" applyFill="1" applyBorder="1" applyAlignment="1">
      <alignment horizontal="right" vertical="center" wrapText="1" indent="3"/>
    </xf>
    <xf numFmtId="173" fontId="0" fillId="12" borderId="114" xfId="0" applyNumberFormat="1" applyFont="1" applyFill="1" applyBorder="1" applyAlignment="1">
      <alignment horizontal="right" vertical="center" wrapText="1" indent="3"/>
    </xf>
    <xf numFmtId="173" fontId="0" fillId="12" borderId="29" xfId="0" applyNumberFormat="1" applyFont="1" applyFill="1" applyBorder="1" applyAlignment="1">
      <alignment horizontal="right" vertical="center" wrapText="1" indent="3"/>
    </xf>
    <xf numFmtId="173" fontId="0" fillId="25" borderId="114" xfId="0" applyNumberFormat="1" applyFont="1" applyFill="1" applyBorder="1" applyAlignment="1">
      <alignment horizontal="right" vertical="center" wrapText="1" indent="3"/>
    </xf>
    <xf numFmtId="173" fontId="13" fillId="0" borderId="23" xfId="0" applyNumberFormat="1" applyFont="1" applyFill="1" applyBorder="1" applyAlignment="1">
      <alignment horizontal="right" vertical="center" wrapText="1" indent="3"/>
    </xf>
    <xf numFmtId="173" fontId="13" fillId="0" borderId="124" xfId="0" applyNumberFormat="1" applyFont="1" applyFill="1" applyBorder="1" applyAlignment="1">
      <alignment horizontal="right" vertical="center" wrapText="1" indent="3"/>
    </xf>
    <xf numFmtId="173" fontId="13" fillId="0" borderId="26" xfId="0" applyNumberFormat="1" applyFont="1" applyFill="1" applyBorder="1" applyAlignment="1">
      <alignment horizontal="right" vertical="center" wrapText="1" indent="3"/>
    </xf>
    <xf numFmtId="183" fontId="1" fillId="19" borderId="76" xfId="0" applyNumberFormat="1" applyFont="1" applyFill="1" applyBorder="1" applyAlignment="1">
      <alignment horizontal="center" vertical="center" wrapText="1"/>
    </xf>
    <xf numFmtId="183" fontId="1" fillId="19" borderId="52" xfId="0" applyNumberFormat="1" applyFont="1" applyFill="1" applyBorder="1" applyAlignment="1">
      <alignment horizontal="center" vertical="center" wrapText="1"/>
    </xf>
    <xf numFmtId="183" fontId="1" fillId="19" borderId="116" xfId="0" applyNumberFormat="1" applyFont="1" applyFill="1" applyBorder="1" applyAlignment="1">
      <alignment horizontal="center" vertical="center" wrapText="1"/>
    </xf>
    <xf numFmtId="183" fontId="13" fillId="19" borderId="116" xfId="0" applyNumberFormat="1" applyFont="1" applyFill="1" applyBorder="1" applyAlignment="1">
      <alignment horizontal="center" vertical="center" wrapText="1"/>
    </xf>
    <xf numFmtId="183" fontId="13" fillId="19" borderId="34" xfId="0" applyNumberFormat="1" applyFont="1" applyFill="1" applyBorder="1" applyAlignment="1">
      <alignment horizontal="center" vertical="center" wrapText="1"/>
    </xf>
    <xf numFmtId="183" fontId="1" fillId="19" borderId="34" xfId="0" applyNumberFormat="1" applyFont="1" applyFill="1" applyBorder="1" applyAlignment="1">
      <alignment horizontal="center" vertical="center" wrapText="1"/>
    </xf>
    <xf numFmtId="183" fontId="1" fillId="19" borderId="75" xfId="0" applyNumberFormat="1" applyFont="1" applyFill="1" applyBorder="1" applyAlignment="1">
      <alignment horizontal="center" vertical="center" wrapText="1"/>
    </xf>
    <xf numFmtId="183" fontId="1" fillId="19" borderId="69" xfId="0" applyNumberFormat="1" applyFont="1" applyFill="1" applyBorder="1" applyAlignment="1">
      <alignment horizontal="center" vertical="center" wrapText="1"/>
    </xf>
    <xf numFmtId="183" fontId="1" fillId="19" borderId="115" xfId="0" applyNumberFormat="1" applyFont="1" applyFill="1" applyBorder="1" applyAlignment="1">
      <alignment horizontal="center" vertical="center" wrapText="1"/>
    </xf>
    <xf numFmtId="183" fontId="1" fillId="19" borderId="23" xfId="0" applyNumberFormat="1" applyFont="1" applyFill="1" applyBorder="1" applyAlignment="1">
      <alignment horizontal="center" vertical="center" wrapText="1"/>
    </xf>
    <xf numFmtId="183" fontId="1" fillId="19" borderId="114" xfId="0" applyNumberFormat="1" applyFont="1" applyFill="1" applyBorder="1" applyAlignment="1">
      <alignment horizontal="center" vertical="center" wrapText="1"/>
    </xf>
    <xf numFmtId="0" fontId="1" fillId="19" borderId="115" xfId="0" applyFont="1" applyFill="1" applyBorder="1" applyAlignment="1">
      <alignment horizontal="center" vertical="center" wrapText="1"/>
    </xf>
    <xf numFmtId="0" fontId="1" fillId="19" borderId="8" xfId="0" applyFont="1" applyFill="1" applyBorder="1" applyAlignment="1">
      <alignment horizontal="center" vertical="center" wrapText="1"/>
    </xf>
    <xf numFmtId="0" fontId="1" fillId="19" borderId="80" xfId="0" applyFont="1" applyFill="1" applyBorder="1" applyAlignment="1">
      <alignment horizontal="center" vertical="center" wrapText="1"/>
    </xf>
    <xf numFmtId="0" fontId="1" fillId="19" borderId="6" xfId="0" applyFont="1" applyFill="1" applyBorder="1" applyAlignment="1">
      <alignment horizontal="center" vertical="center" wrapText="1"/>
    </xf>
    <xf numFmtId="0" fontId="1" fillId="19" borderId="52" xfId="0" applyFont="1" applyFill="1" applyBorder="1" applyAlignment="1">
      <alignment horizontal="center" vertical="center" wrapText="1"/>
    </xf>
    <xf numFmtId="183" fontId="0" fillId="24" borderId="44" xfId="0" applyNumberFormat="1" applyFill="1" applyBorder="1" applyAlignment="1">
      <alignment horizontal="right" vertical="center" wrapText="1" indent="2"/>
    </xf>
    <xf numFmtId="183" fontId="0" fillId="24" borderId="34" xfId="0" applyNumberFormat="1" applyFill="1" applyBorder="1" applyAlignment="1">
      <alignment horizontal="right" vertical="center" wrapText="1" indent="2"/>
    </xf>
    <xf numFmtId="183" fontId="0" fillId="25" borderId="33" xfId="0" applyNumberFormat="1" applyFill="1" applyBorder="1" applyAlignment="1">
      <alignment horizontal="right" vertical="center" wrapText="1" indent="2"/>
    </xf>
    <xf numFmtId="0" fontId="1" fillId="19" borderId="272" xfId="0" applyFont="1" applyFill="1" applyBorder="1" applyAlignment="1">
      <alignment horizontal="center" vertical="center" wrapText="1"/>
    </xf>
    <xf numFmtId="0" fontId="1" fillId="19" borderId="270" xfId="0" applyFont="1" applyFill="1" applyBorder="1" applyAlignment="1">
      <alignment horizontal="center" vertical="center" wrapText="1"/>
    </xf>
    <xf numFmtId="0" fontId="0" fillId="0" borderId="37" xfId="0" applyFill="1" applyBorder="1" applyAlignment="1">
      <alignment horizontal="right" vertical="center" wrapText="1" indent="2"/>
    </xf>
    <xf numFmtId="183" fontId="0" fillId="25" borderId="201" xfId="0" applyNumberFormat="1" applyFill="1" applyBorder="1" applyAlignment="1">
      <alignment horizontal="right" vertical="center" wrapText="1" indent="1"/>
    </xf>
    <xf numFmtId="183" fontId="0" fillId="0" borderId="207" xfId="0" applyNumberFormat="1" applyFill="1" applyBorder="1" applyAlignment="1">
      <alignment horizontal="right" vertical="center" wrapText="1" indent="1"/>
    </xf>
    <xf numFmtId="183" fontId="0" fillId="24" borderId="207" xfId="0" applyNumberFormat="1" applyFill="1" applyBorder="1" applyAlignment="1">
      <alignment horizontal="right" vertical="center" wrapText="1" indent="1"/>
    </xf>
    <xf numFmtId="183" fontId="0" fillId="27" borderId="207" xfId="0" applyNumberFormat="1" applyFill="1" applyBorder="1" applyAlignment="1">
      <alignment horizontal="right" vertical="center" wrapText="1" indent="1"/>
    </xf>
    <xf numFmtId="183" fontId="0" fillId="27" borderId="213" xfId="0" applyNumberFormat="1" applyFill="1" applyBorder="1" applyAlignment="1">
      <alignment horizontal="right" vertical="center" wrapText="1" indent="1"/>
    </xf>
    <xf numFmtId="183" fontId="0" fillId="27" borderId="168" xfId="0" applyNumberFormat="1" applyFill="1" applyBorder="1" applyAlignment="1">
      <alignment horizontal="right" vertical="center" wrapText="1" indent="2"/>
    </xf>
    <xf numFmtId="0" fontId="0" fillId="0" borderId="55" xfId="0" applyFill="1" applyBorder="1" applyAlignment="1">
      <alignment horizontal="right" vertical="center" wrapText="1" indent="2"/>
    </xf>
    <xf numFmtId="183" fontId="0" fillId="25" borderId="202" xfId="0" applyNumberFormat="1" applyFill="1" applyBorder="1" applyAlignment="1">
      <alignment horizontal="right" vertical="center" wrapText="1" indent="1"/>
    </xf>
    <xf numFmtId="183" fontId="0" fillId="0" borderId="208" xfId="0" applyNumberFormat="1" applyFill="1" applyBorder="1" applyAlignment="1">
      <alignment horizontal="right" vertical="center" wrapText="1" indent="1"/>
    </xf>
    <xf numFmtId="183" fontId="0" fillId="24" borderId="208" xfId="0" applyNumberFormat="1" applyFill="1" applyBorder="1" applyAlignment="1">
      <alignment horizontal="right" vertical="center" wrapText="1" indent="1"/>
    </xf>
    <xf numFmtId="183" fontId="0" fillId="27" borderId="208" xfId="0" applyNumberFormat="1" applyFill="1" applyBorder="1" applyAlignment="1">
      <alignment horizontal="right" vertical="center" wrapText="1" indent="1"/>
    </xf>
    <xf numFmtId="183" fontId="0" fillId="27" borderId="214" xfId="0" applyNumberFormat="1" applyFill="1" applyBorder="1" applyAlignment="1">
      <alignment horizontal="right" vertical="center" wrapText="1" indent="1"/>
    </xf>
    <xf numFmtId="183" fontId="0" fillId="0" borderId="161" xfId="0" applyNumberFormat="1" applyFill="1" applyBorder="1" applyAlignment="1">
      <alignment horizontal="right" vertical="center" wrapText="1" indent="1"/>
    </xf>
    <xf numFmtId="183" fontId="0" fillId="0" borderId="165" xfId="0" applyNumberFormat="1" applyFill="1" applyBorder="1" applyAlignment="1">
      <alignment horizontal="right" vertical="center" wrapText="1" indent="1"/>
    </xf>
    <xf numFmtId="183" fontId="0" fillId="25" borderId="165" xfId="0" applyNumberFormat="1" applyFill="1" applyBorder="1" applyAlignment="1">
      <alignment horizontal="right" vertical="center" wrapText="1" indent="1"/>
    </xf>
    <xf numFmtId="183" fontId="0" fillId="24" borderId="165" xfId="0" applyNumberFormat="1" applyFill="1" applyBorder="1" applyAlignment="1">
      <alignment horizontal="right" vertical="center" wrapText="1" indent="1"/>
    </xf>
    <xf numFmtId="183" fontId="0" fillId="15" borderId="165" xfId="0" applyNumberFormat="1" applyFill="1" applyBorder="1" applyAlignment="1">
      <alignment horizontal="right" vertical="center" wrapText="1" indent="1"/>
    </xf>
    <xf numFmtId="183" fontId="0" fillId="0" borderId="161" xfId="0" applyNumberFormat="1" applyFill="1" applyBorder="1" applyAlignment="1">
      <alignment horizontal="right" vertical="center" wrapText="1" indent="2"/>
    </xf>
    <xf numFmtId="183" fontId="0" fillId="0" borderId="165" xfId="0" applyNumberFormat="1" applyFill="1" applyBorder="1" applyAlignment="1">
      <alignment horizontal="right" vertical="center" wrapText="1" indent="2"/>
    </xf>
    <xf numFmtId="183" fontId="0" fillId="25" borderId="165" xfId="0" applyNumberFormat="1" applyFill="1" applyBorder="1" applyAlignment="1">
      <alignment horizontal="right" vertical="center" wrapText="1" indent="2"/>
    </xf>
    <xf numFmtId="183" fontId="0" fillId="24" borderId="165" xfId="0" applyNumberFormat="1" applyFill="1" applyBorder="1" applyAlignment="1">
      <alignment horizontal="right" vertical="center" wrapText="1" indent="2"/>
    </xf>
    <xf numFmtId="183" fontId="0" fillId="15" borderId="165" xfId="0" applyNumberFormat="1" applyFill="1" applyBorder="1" applyAlignment="1">
      <alignment horizontal="right" vertical="center" wrapText="1" indent="2"/>
    </xf>
    <xf numFmtId="183" fontId="0" fillId="27" borderId="169" xfId="0" applyNumberFormat="1" applyFill="1" applyBorder="1" applyAlignment="1">
      <alignment horizontal="right" vertical="center" wrapText="1" indent="2"/>
    </xf>
    <xf numFmtId="183" fontId="0" fillId="25" borderId="161" xfId="0" applyNumberFormat="1" applyFill="1" applyBorder="1" applyAlignment="1">
      <alignment horizontal="right" vertical="center" wrapText="1" indent="2"/>
    </xf>
    <xf numFmtId="183" fontId="0" fillId="24" borderId="79" xfId="0" applyNumberFormat="1" applyFill="1" applyBorder="1" applyAlignment="1">
      <alignment horizontal="right" vertical="center" wrapText="1" indent="2"/>
    </xf>
    <xf numFmtId="183" fontId="0" fillId="12" borderId="185" xfId="0" applyNumberFormat="1" applyFill="1" applyBorder="1" applyAlignment="1">
      <alignment horizontal="right" vertical="center" wrapText="1" indent="1"/>
    </xf>
    <xf numFmtId="183" fontId="0" fillId="12" borderId="208" xfId="0" applyNumberFormat="1" applyFill="1" applyBorder="1" applyAlignment="1">
      <alignment horizontal="right" vertical="center" wrapText="1" indent="1"/>
    </xf>
    <xf numFmtId="183" fontId="0" fillId="12" borderId="192" xfId="0" applyNumberFormat="1" applyFill="1" applyBorder="1" applyAlignment="1">
      <alignment horizontal="right" vertical="center" wrapText="1" indent="1"/>
    </xf>
    <xf numFmtId="183" fontId="0" fillId="12" borderId="273" xfId="0" applyNumberFormat="1" applyFill="1" applyBorder="1" applyAlignment="1">
      <alignment horizontal="right" vertical="center" wrapText="1" indent="1"/>
    </xf>
    <xf numFmtId="183" fontId="0" fillId="0" borderId="69" xfId="0" applyNumberFormat="1" applyFill="1" applyBorder="1" applyAlignment="1">
      <alignment horizontal="right" vertical="center" wrapText="1" indent="2"/>
    </xf>
    <xf numFmtId="183" fontId="0" fillId="0" borderId="236" xfId="0" applyNumberFormat="1" applyFill="1" applyBorder="1" applyAlignment="1">
      <alignment horizontal="right" vertical="center" wrapText="1" indent="2"/>
    </xf>
    <xf numFmtId="183" fontId="0" fillId="0" borderId="77" xfId="0" applyNumberFormat="1" applyFill="1" applyBorder="1" applyAlignment="1">
      <alignment horizontal="right" vertical="center" wrapText="1" indent="2"/>
    </xf>
    <xf numFmtId="0" fontId="1" fillId="19" borderId="69" xfId="0" applyFont="1" applyFill="1" applyBorder="1" applyAlignment="1">
      <alignment horizontal="center" vertical="center" wrapText="1"/>
    </xf>
    <xf numFmtId="183" fontId="0" fillId="25" borderId="274" xfId="0" applyNumberFormat="1" applyFill="1" applyBorder="1" applyAlignment="1">
      <alignment horizontal="right" vertical="center" wrapText="1" indent="1"/>
    </xf>
    <xf numFmtId="183" fontId="0" fillId="12" borderId="274" xfId="0" applyNumberFormat="1" applyFill="1" applyBorder="1" applyAlignment="1">
      <alignment horizontal="right" vertical="center" wrapText="1" indent="1"/>
    </xf>
    <xf numFmtId="0" fontId="1" fillId="19" borderId="7" xfId="0" applyFont="1" applyFill="1" applyBorder="1" applyAlignment="1">
      <alignment horizontal="left" vertical="center" wrapText="1" indent="1"/>
    </xf>
    <xf numFmtId="0" fontId="0" fillId="0" borderId="22" xfId="0" applyFill="1" applyBorder="1" applyAlignment="1">
      <alignment horizontal="right" vertical="center" wrapText="1" indent="2"/>
    </xf>
    <xf numFmtId="183" fontId="0" fillId="25" borderId="204" xfId="0" applyNumberFormat="1" applyFill="1" applyBorder="1" applyAlignment="1">
      <alignment horizontal="right" vertical="center" wrapText="1" indent="1"/>
    </xf>
    <xf numFmtId="183" fontId="0" fillId="0" borderId="195" xfId="0" applyNumberFormat="1" applyFill="1" applyBorder="1" applyAlignment="1">
      <alignment horizontal="right" vertical="center" wrapText="1" indent="1"/>
    </xf>
    <xf numFmtId="183" fontId="0" fillId="24" borderId="195" xfId="0" applyNumberFormat="1" applyFill="1" applyBorder="1" applyAlignment="1">
      <alignment horizontal="right" vertical="center" wrapText="1" indent="1"/>
    </xf>
    <xf numFmtId="183" fontId="0" fillId="27" borderId="195" xfId="0" applyNumberFormat="1" applyFill="1" applyBorder="1" applyAlignment="1">
      <alignment horizontal="right" vertical="center" wrapText="1" indent="1"/>
    </xf>
    <xf numFmtId="183" fontId="0" fillId="27" borderId="216" xfId="0" applyNumberFormat="1" applyFill="1" applyBorder="1" applyAlignment="1">
      <alignment horizontal="right" vertical="center" wrapText="1" indent="1"/>
    </xf>
    <xf numFmtId="183" fontId="0" fillId="0" borderId="163" xfId="0" applyNumberFormat="1" applyFill="1" applyBorder="1" applyAlignment="1">
      <alignment horizontal="right" vertical="center" wrapText="1" indent="1"/>
    </xf>
    <xf numFmtId="183" fontId="0" fillId="0" borderId="167" xfId="0" applyNumberFormat="1" applyFill="1" applyBorder="1" applyAlignment="1">
      <alignment horizontal="right" vertical="center" wrapText="1" indent="1"/>
    </xf>
    <xf numFmtId="183" fontId="0" fillId="25" borderId="167" xfId="0" applyNumberFormat="1" applyFill="1" applyBorder="1" applyAlignment="1">
      <alignment horizontal="right" vertical="center" wrapText="1" indent="1"/>
    </xf>
    <xf numFmtId="183" fontId="0" fillId="24" borderId="167" xfId="0" applyNumberFormat="1" applyFill="1" applyBorder="1" applyAlignment="1">
      <alignment horizontal="right" vertical="center" wrapText="1" indent="1"/>
    </xf>
    <xf numFmtId="183" fontId="0" fillId="15" borderId="167" xfId="0" applyNumberFormat="1" applyFill="1" applyBorder="1" applyAlignment="1">
      <alignment horizontal="right" vertical="center" wrapText="1" indent="1"/>
    </xf>
    <xf numFmtId="183" fontId="0" fillId="0" borderId="163" xfId="0" applyNumberFormat="1" applyFill="1" applyBorder="1" applyAlignment="1">
      <alignment horizontal="right" vertical="center" wrapText="1" indent="2"/>
    </xf>
    <xf numFmtId="183" fontId="0" fillId="0" borderId="167" xfId="0" applyNumberFormat="1" applyFill="1" applyBorder="1" applyAlignment="1">
      <alignment horizontal="right" vertical="center" wrapText="1" indent="2"/>
    </xf>
    <xf numFmtId="183" fontId="0" fillId="25" borderId="167" xfId="0" applyNumberFormat="1" applyFill="1" applyBorder="1" applyAlignment="1">
      <alignment horizontal="right" vertical="center" wrapText="1" indent="2"/>
    </xf>
    <xf numFmtId="183" fontId="0" fillId="24" borderId="167" xfId="0" applyNumberFormat="1" applyFill="1" applyBorder="1" applyAlignment="1">
      <alignment horizontal="right" vertical="center" wrapText="1" indent="2"/>
    </xf>
    <xf numFmtId="183" fontId="0" fillId="15" borderId="167" xfId="0" applyNumberFormat="1" applyFill="1" applyBorder="1" applyAlignment="1">
      <alignment horizontal="right" vertical="center" wrapText="1" indent="2"/>
    </xf>
    <xf numFmtId="183" fontId="0" fillId="27" borderId="171" xfId="0" applyNumberFormat="1" applyFill="1" applyBorder="1" applyAlignment="1">
      <alignment horizontal="right" vertical="center" wrapText="1" indent="2"/>
    </xf>
    <xf numFmtId="183" fontId="0" fillId="25" borderId="163" xfId="0" applyNumberFormat="1" applyFill="1" applyBorder="1" applyAlignment="1">
      <alignment horizontal="right" vertical="center" wrapText="1" indent="2"/>
    </xf>
    <xf numFmtId="183" fontId="0" fillId="24" borderId="19" xfId="0" applyNumberFormat="1" applyFill="1" applyBorder="1" applyAlignment="1">
      <alignment horizontal="right" vertical="center" wrapText="1" indent="2"/>
    </xf>
    <xf numFmtId="183" fontId="0" fillId="12" borderId="186" xfId="0" applyNumberFormat="1" applyFill="1" applyBorder="1" applyAlignment="1">
      <alignment horizontal="right" vertical="center" wrapText="1" indent="1"/>
    </xf>
    <xf numFmtId="183" fontId="0" fillId="12" borderId="195" xfId="0" applyNumberFormat="1" applyFill="1" applyBorder="1" applyAlignment="1">
      <alignment horizontal="right" vertical="center" wrapText="1" indent="1"/>
    </xf>
    <xf numFmtId="183" fontId="0" fillId="12" borderId="193" xfId="0" applyNumberFormat="1" applyFill="1" applyBorder="1" applyAlignment="1">
      <alignment horizontal="right" vertical="center" wrapText="1" indent="1"/>
    </xf>
    <xf numFmtId="183" fontId="0" fillId="24" borderId="19" xfId="0" applyNumberFormat="1" applyFill="1" applyBorder="1" applyAlignment="1">
      <alignment horizontal="right" vertical="center" wrapText="1" indent="1"/>
    </xf>
    <xf numFmtId="183" fontId="0" fillId="25" borderId="271" xfId="0" applyNumberFormat="1" applyFill="1" applyBorder="1" applyAlignment="1">
      <alignment horizontal="right" vertical="center" wrapText="1" indent="1"/>
    </xf>
    <xf numFmtId="183" fontId="0" fillId="12" borderId="271" xfId="0" applyNumberFormat="1" applyFill="1" applyBorder="1" applyAlignment="1">
      <alignment horizontal="right" vertical="center" wrapText="1" indent="1"/>
    </xf>
    <xf numFmtId="183" fontId="0" fillId="12" borderId="28" xfId="0" applyNumberFormat="1" applyFill="1" applyBorder="1" applyAlignment="1">
      <alignment horizontal="right" vertical="center" wrapText="1" indent="1"/>
    </xf>
    <xf numFmtId="183" fontId="0" fillId="12" borderId="28" xfId="0" applyNumberFormat="1" applyFill="1" applyBorder="1" applyAlignment="1">
      <alignment horizontal="right" vertical="center" wrapText="1" indent="2"/>
    </xf>
    <xf numFmtId="183" fontId="0" fillId="0" borderId="240" xfId="0" applyNumberFormat="1" applyFill="1" applyBorder="1" applyAlignment="1">
      <alignment horizontal="right" vertical="center" wrapText="1" indent="2"/>
    </xf>
    <xf numFmtId="183" fontId="0" fillId="0" borderId="48" xfId="0" applyNumberFormat="1" applyFill="1" applyBorder="1" applyAlignment="1">
      <alignment horizontal="right" vertical="center" wrapText="1" indent="2"/>
    </xf>
    <xf numFmtId="0" fontId="0" fillId="27" borderId="157" xfId="0" applyFill="1" applyBorder="1" applyAlignment="1">
      <alignment horizontal="right" indent="1"/>
    </xf>
    <xf numFmtId="183" fontId="0" fillId="25" borderId="274" xfId="0" applyNumberFormat="1" applyFill="1" applyBorder="1" applyAlignment="1">
      <alignment horizontal="right" vertical="center" wrapText="1" indent="2"/>
    </xf>
    <xf numFmtId="0" fontId="0" fillId="27" borderId="169" xfId="0" applyFill="1" applyBorder="1" applyAlignment="1">
      <alignment horizontal="right" indent="1"/>
    </xf>
    <xf numFmtId="183" fontId="0" fillId="24" borderId="69" xfId="0" applyNumberFormat="1" applyFill="1" applyBorder="1" applyAlignment="1">
      <alignment horizontal="right" vertical="center" wrapText="1" indent="1"/>
    </xf>
    <xf numFmtId="183" fontId="0" fillId="24" borderId="69" xfId="0" applyNumberFormat="1" applyFill="1" applyBorder="1" applyAlignment="1">
      <alignment horizontal="right" vertical="center" wrapText="1" indent="2"/>
    </xf>
    <xf numFmtId="183" fontId="0" fillId="24" borderId="79" xfId="0" applyNumberFormat="1" applyFill="1" applyBorder="1" applyAlignment="1">
      <alignment horizontal="right" vertical="center" wrapText="1" indent="1"/>
    </xf>
    <xf numFmtId="183" fontId="0" fillId="25" borderId="145" xfId="0" applyNumberFormat="1" applyFont="1" applyFill="1" applyBorder="1" applyAlignment="1">
      <alignment horizontal="right" vertical="center" wrapText="1" indent="1"/>
    </xf>
    <xf numFmtId="183" fontId="0" fillId="25" borderId="203" xfId="0" applyNumberFormat="1" applyFont="1" applyFill="1" applyBorder="1" applyAlignment="1">
      <alignment horizontal="right" vertical="center" wrapText="1" indent="1"/>
    </xf>
    <xf numFmtId="183" fontId="0" fillId="0" borderId="146" xfId="0" applyNumberFormat="1" applyFont="1" applyFill="1" applyBorder="1" applyAlignment="1">
      <alignment horizontal="right" vertical="center" wrapText="1" indent="1"/>
    </xf>
    <xf numFmtId="183" fontId="0" fillId="0" borderId="209" xfId="0" applyNumberFormat="1" applyFont="1" applyFill="1" applyBorder="1" applyAlignment="1">
      <alignment horizontal="right" vertical="center" wrapText="1" indent="1"/>
    </xf>
    <xf numFmtId="183" fontId="0" fillId="24" borderId="146" xfId="0" applyNumberFormat="1" applyFont="1" applyFill="1" applyBorder="1" applyAlignment="1">
      <alignment horizontal="right" vertical="center" wrapText="1" indent="1"/>
    </xf>
    <xf numFmtId="183" fontId="0" fillId="24" borderId="209" xfId="0" applyNumberFormat="1" applyFont="1" applyFill="1" applyBorder="1" applyAlignment="1">
      <alignment horizontal="right" vertical="center" wrapText="1" indent="1"/>
    </xf>
    <xf numFmtId="183" fontId="0" fillId="27" borderId="146" xfId="0" applyNumberFormat="1" applyFont="1" applyFill="1" applyBorder="1" applyAlignment="1">
      <alignment horizontal="right" vertical="center" wrapText="1" indent="1"/>
    </xf>
    <xf numFmtId="183" fontId="0" fillId="27" borderId="209" xfId="0" applyNumberFormat="1" applyFont="1" applyFill="1" applyBorder="1" applyAlignment="1">
      <alignment horizontal="right" vertical="center" wrapText="1" indent="1"/>
    </xf>
    <xf numFmtId="183" fontId="0" fillId="27" borderId="147" xfId="0" applyNumberFormat="1" applyFont="1" applyFill="1" applyBorder="1" applyAlignment="1">
      <alignment horizontal="right" vertical="center" wrapText="1" indent="1"/>
    </xf>
    <xf numFmtId="183" fontId="0" fillId="27" borderId="215" xfId="0" applyNumberFormat="1" applyFont="1" applyFill="1" applyBorder="1" applyAlignment="1">
      <alignment horizontal="right" vertical="center" wrapText="1" indent="1"/>
    </xf>
    <xf numFmtId="183" fontId="0" fillId="0" borderId="148" xfId="0" applyNumberFormat="1" applyFont="1" applyFill="1" applyBorder="1" applyAlignment="1">
      <alignment horizontal="right" vertical="center" wrapText="1" indent="1"/>
    </xf>
    <xf numFmtId="183" fontId="0" fillId="0" borderId="162" xfId="0" applyNumberFormat="1" applyFont="1" applyFill="1" applyBorder="1" applyAlignment="1">
      <alignment horizontal="right" vertical="center" wrapText="1" indent="1"/>
    </xf>
    <xf numFmtId="183" fontId="0" fillId="0" borderId="152" xfId="0" applyNumberFormat="1" applyFont="1" applyFill="1" applyBorder="1" applyAlignment="1">
      <alignment horizontal="right" vertical="center" wrapText="1" indent="1"/>
    </xf>
    <xf numFmtId="183" fontId="0" fillId="0" borderId="166" xfId="0" applyNumberFormat="1" applyFont="1" applyFill="1" applyBorder="1" applyAlignment="1">
      <alignment horizontal="right" vertical="center" wrapText="1" indent="1"/>
    </xf>
    <xf numFmtId="183" fontId="0" fillId="25" borderId="152" xfId="0" applyNumberFormat="1" applyFont="1" applyFill="1" applyBorder="1" applyAlignment="1">
      <alignment horizontal="right" vertical="center" wrapText="1" indent="1"/>
    </xf>
    <xf numFmtId="183" fontId="0" fillId="25" borderId="166" xfId="0" applyNumberFormat="1" applyFont="1" applyFill="1" applyBorder="1" applyAlignment="1">
      <alignment horizontal="right" vertical="center" wrapText="1" indent="1"/>
    </xf>
    <xf numFmtId="183" fontId="0" fillId="24" borderId="152" xfId="0" applyNumberFormat="1" applyFont="1" applyFill="1" applyBorder="1" applyAlignment="1">
      <alignment horizontal="right" vertical="center" wrapText="1" indent="1"/>
    </xf>
    <xf numFmtId="183" fontId="0" fillId="24" borderId="166" xfId="0" applyNumberFormat="1" applyFont="1" applyFill="1" applyBorder="1" applyAlignment="1">
      <alignment horizontal="right" vertical="center" wrapText="1" indent="1"/>
    </xf>
    <xf numFmtId="183" fontId="0" fillId="15" borderId="152" xfId="0" applyNumberFormat="1" applyFont="1" applyFill="1" applyBorder="1" applyAlignment="1">
      <alignment horizontal="right" vertical="center" wrapText="1" indent="1"/>
    </xf>
    <xf numFmtId="183" fontId="0" fillId="15" borderId="166" xfId="0" applyNumberFormat="1" applyFont="1" applyFill="1" applyBorder="1" applyAlignment="1">
      <alignment horizontal="right" vertical="center" wrapText="1" indent="1"/>
    </xf>
    <xf numFmtId="183" fontId="0" fillId="12" borderId="127" xfId="0" applyNumberFormat="1" applyFont="1" applyFill="1" applyBorder="1" applyAlignment="1">
      <alignment horizontal="right" vertical="center" wrapText="1" indent="1"/>
    </xf>
    <xf numFmtId="183" fontId="0" fillId="12" borderId="182" xfId="0" applyNumberFormat="1" applyFont="1" applyFill="1" applyBorder="1" applyAlignment="1">
      <alignment horizontal="right" vertical="center" wrapText="1" indent="1"/>
    </xf>
    <xf numFmtId="183" fontId="0" fillId="12" borderId="146" xfId="0" applyNumberFormat="1" applyFont="1" applyFill="1" applyBorder="1" applyAlignment="1">
      <alignment horizontal="right" vertical="center" wrapText="1" indent="1"/>
    </xf>
    <xf numFmtId="183" fontId="0" fillId="12" borderId="209" xfId="0" applyNumberFormat="1" applyFont="1" applyFill="1" applyBorder="1" applyAlignment="1">
      <alignment horizontal="right" vertical="center" wrapText="1" indent="1"/>
    </xf>
    <xf numFmtId="183" fontId="0" fillId="12" borderId="187" xfId="0" applyNumberFormat="1" applyFont="1" applyFill="1" applyBorder="1" applyAlignment="1">
      <alignment horizontal="right" vertical="center" wrapText="1" indent="1"/>
    </xf>
    <xf numFmtId="183" fontId="0" fillId="12" borderId="188" xfId="0" applyNumberFormat="1" applyFont="1" applyFill="1" applyBorder="1" applyAlignment="1">
      <alignment horizontal="right" vertical="center" wrapText="1" indent="1"/>
    </xf>
    <xf numFmtId="183" fontId="0" fillId="12" borderId="241" xfId="0" applyNumberFormat="1" applyFont="1" applyFill="1" applyBorder="1" applyAlignment="1">
      <alignment horizontal="right" vertical="center" wrapText="1" indent="1"/>
    </xf>
    <xf numFmtId="183" fontId="0" fillId="12" borderId="268" xfId="0" applyNumberFormat="1" applyFont="1" applyFill="1" applyBorder="1" applyAlignment="1">
      <alignment horizontal="right" vertical="center" wrapText="1" indent="1"/>
    </xf>
    <xf numFmtId="0" fontId="0" fillId="0" borderId="39" xfId="0" applyFont="1" applyFill="1" applyBorder="1" applyAlignment="1">
      <alignment horizontal="right" vertical="center" wrapText="1" indent="1"/>
    </xf>
    <xf numFmtId="0" fontId="0" fillId="0" borderId="18" xfId="0" applyFont="1" applyFill="1" applyBorder="1" applyAlignment="1">
      <alignment horizontal="right" vertical="center" wrapText="1" indent="1"/>
    </xf>
    <xf numFmtId="183" fontId="0" fillId="27" borderId="156" xfId="0" applyNumberFormat="1" applyFont="1" applyFill="1" applyBorder="1" applyAlignment="1">
      <alignment horizontal="right" vertical="center" wrapText="1" indent="1"/>
    </xf>
    <xf numFmtId="183" fontId="0" fillId="27" borderId="170" xfId="0" applyNumberFormat="1" applyFont="1" applyFill="1" applyBorder="1" applyAlignment="1">
      <alignment horizontal="right" vertical="center" wrapText="1" indent="1"/>
    </xf>
    <xf numFmtId="183" fontId="0" fillId="25" borderId="148" xfId="0" applyNumberFormat="1" applyFont="1" applyFill="1" applyBorder="1" applyAlignment="1">
      <alignment horizontal="right" vertical="center" wrapText="1" indent="1"/>
    </xf>
    <xf numFmtId="183" fontId="0" fillId="25" borderId="162" xfId="0" applyNumberFormat="1" applyFont="1" applyFill="1" applyBorder="1" applyAlignment="1">
      <alignment horizontal="right" vertical="center" wrapText="1" indent="1"/>
    </xf>
    <xf numFmtId="183" fontId="0" fillId="24" borderId="51" xfId="0" applyNumberFormat="1" applyFont="1" applyFill="1" applyBorder="1" applyAlignment="1">
      <alignment horizontal="right" vertical="center" wrapText="1" indent="1"/>
    </xf>
    <xf numFmtId="183" fontId="0" fillId="24" borderId="49" xfId="0" applyNumberFormat="1" applyFont="1" applyFill="1" applyBorder="1" applyAlignment="1">
      <alignment horizontal="right" vertical="center" wrapText="1" indent="1"/>
    </xf>
    <xf numFmtId="183" fontId="0" fillId="0" borderId="123" xfId="0" applyNumberFormat="1" applyFont="1" applyFill="1" applyBorder="1" applyAlignment="1">
      <alignment horizontal="right" vertical="center" wrapText="1" indent="1"/>
    </xf>
    <xf numFmtId="183" fontId="0" fillId="0" borderId="238" xfId="0" applyNumberFormat="1" applyFont="1" applyFill="1" applyBorder="1" applyAlignment="1">
      <alignment horizontal="right" vertical="center" wrapText="1" indent="1"/>
    </xf>
    <xf numFmtId="183" fontId="57" fillId="24" borderId="80" xfId="0" applyNumberFormat="1" applyFont="1" applyFill="1" applyBorder="1" applyAlignment="1">
      <alignment horizontal="right" vertical="center" wrapText="1" indent="1"/>
    </xf>
    <xf numFmtId="183" fontId="56" fillId="12" borderId="184" xfId="0" applyNumberFormat="1" applyFont="1" applyFill="1" applyBorder="1" applyAlignment="1">
      <alignment horizontal="right" vertical="center" wrapText="1" indent="1"/>
    </xf>
    <xf numFmtId="183" fontId="56" fillId="12" borderId="207" xfId="0" applyNumberFormat="1" applyFont="1" applyFill="1" applyBorder="1" applyAlignment="1">
      <alignment horizontal="right" vertical="center" wrapText="1" indent="1"/>
    </xf>
    <xf numFmtId="183" fontId="56" fillId="12" borderId="191" xfId="0" applyNumberFormat="1" applyFont="1" applyFill="1" applyBorder="1" applyAlignment="1">
      <alignment horizontal="right" vertical="center" wrapText="1" indent="1"/>
    </xf>
    <xf numFmtId="183" fontId="56" fillId="12" borderId="220" xfId="0" applyNumberFormat="1" applyFont="1" applyFill="1" applyBorder="1" applyAlignment="1">
      <alignment horizontal="right" vertical="center" wrapText="1" indent="1"/>
    </xf>
    <xf numFmtId="183" fontId="57" fillId="24" borderId="75" xfId="0" applyNumberFormat="1" applyFont="1" applyFill="1" applyBorder="1" applyAlignment="1">
      <alignment horizontal="right" vertical="center" wrapText="1" indent="1"/>
    </xf>
    <xf numFmtId="183" fontId="57" fillId="25" borderId="75" xfId="0" applyNumberFormat="1" applyFont="1" applyFill="1" applyBorder="1" applyAlignment="1">
      <alignment horizontal="right" vertical="center" wrapText="1" indent="1"/>
    </xf>
    <xf numFmtId="183" fontId="56" fillId="12" borderId="75" xfId="0" applyNumberFormat="1" applyFont="1" applyFill="1" applyBorder="1" applyAlignment="1">
      <alignment horizontal="right" vertical="center" wrapText="1" indent="1"/>
    </xf>
    <xf numFmtId="183" fontId="56" fillId="12" borderId="63" xfId="0" applyNumberFormat="1" applyFont="1" applyFill="1" applyBorder="1" applyAlignment="1">
      <alignment horizontal="right" vertical="center" wrapText="1" indent="1"/>
    </xf>
    <xf numFmtId="183" fontId="57" fillId="25" borderId="75" xfId="0" applyNumberFormat="1" applyFont="1" applyFill="1" applyBorder="1" applyAlignment="1">
      <alignment horizontal="left" vertical="center" wrapText="1" indent="1"/>
    </xf>
    <xf numFmtId="183" fontId="0" fillId="0" borderId="69" xfId="0" applyNumberFormat="1" applyFill="1" applyBorder="1" applyAlignment="1">
      <alignment horizontal="right" vertical="center" wrapText="1" indent="1"/>
    </xf>
    <xf numFmtId="183" fontId="0" fillId="0" borderId="236" xfId="0" applyNumberFormat="1" applyFill="1" applyBorder="1" applyAlignment="1">
      <alignment horizontal="right" vertical="center" wrapText="1" indent="1"/>
    </xf>
    <xf numFmtId="183" fontId="0" fillId="0" borderId="77" xfId="0" applyNumberFormat="1" applyFill="1" applyBorder="1" applyAlignment="1">
      <alignment horizontal="right" vertical="center" wrapText="1" indent="1"/>
    </xf>
    <xf numFmtId="183" fontId="9" fillId="24" borderId="77" xfId="0" applyNumberFormat="1" applyFont="1" applyFill="1" applyBorder="1" applyAlignment="1">
      <alignment horizontal="right" vertical="center" wrapText="1" indent="1"/>
    </xf>
    <xf numFmtId="183" fontId="0" fillId="24" borderId="69" xfId="0" applyNumberFormat="1" applyFont="1" applyFill="1" applyBorder="1" applyAlignment="1">
      <alignment horizontal="right" vertical="center" wrapText="1" indent="1"/>
    </xf>
    <xf numFmtId="183" fontId="0" fillId="25" borderId="69" xfId="0" applyNumberFormat="1" applyFont="1" applyFill="1" applyBorder="1" applyAlignment="1">
      <alignment horizontal="right" vertical="center" wrapText="1" indent="1"/>
    </xf>
    <xf numFmtId="183" fontId="0" fillId="12" borderId="69" xfId="0" applyNumberFormat="1" applyFont="1" applyFill="1" applyBorder="1" applyAlignment="1">
      <alignment horizontal="right" vertical="center" wrapText="1" indent="1"/>
    </xf>
    <xf numFmtId="183" fontId="0" fillId="12" borderId="61" xfId="0" applyNumberFormat="1" applyFont="1" applyFill="1" applyBorder="1" applyAlignment="1">
      <alignment horizontal="right" vertical="center" wrapText="1" indent="1"/>
    </xf>
    <xf numFmtId="183" fontId="0" fillId="0" borderId="165" xfId="0" applyNumberFormat="1" applyFont="1" applyFill="1" applyBorder="1" applyAlignment="1">
      <alignment horizontal="right" vertical="center" wrapText="1" indent="1"/>
    </xf>
    <xf numFmtId="183" fontId="0" fillId="0" borderId="69" xfId="0" applyNumberFormat="1" applyFont="1" applyFill="1" applyBorder="1" applyAlignment="1">
      <alignment horizontal="right" vertical="center" wrapText="1" indent="1"/>
    </xf>
    <xf numFmtId="183" fontId="0" fillId="0" borderId="236" xfId="0" applyNumberFormat="1" applyFont="1" applyFill="1" applyBorder="1" applyAlignment="1">
      <alignment horizontal="right" vertical="center" wrapText="1" indent="1"/>
    </xf>
    <xf numFmtId="183" fontId="0" fillId="0" borderId="77" xfId="0" applyNumberFormat="1" applyFont="1" applyFill="1" applyBorder="1" applyAlignment="1">
      <alignment horizontal="right" vertical="center" wrapText="1" indent="1"/>
    </xf>
    <xf numFmtId="183" fontId="37" fillId="0" borderId="165" xfId="0" applyNumberFormat="1" applyFont="1" applyFill="1" applyBorder="1" applyAlignment="1">
      <alignment horizontal="right" vertical="center" wrapText="1" indent="1"/>
    </xf>
    <xf numFmtId="183" fontId="37" fillId="0" borderId="236" xfId="0" applyNumberFormat="1" applyFont="1" applyFill="1" applyBorder="1" applyAlignment="1">
      <alignment horizontal="right" vertical="center" wrapText="1" indent="1"/>
    </xf>
    <xf numFmtId="183" fontId="37" fillId="0" borderId="77" xfId="0" applyNumberFormat="1" applyFont="1" applyFill="1" applyBorder="1" applyAlignment="1">
      <alignment horizontal="right" vertical="center" wrapText="1" indent="1"/>
    </xf>
    <xf numFmtId="183" fontId="57" fillId="12" borderId="63" xfId="0" applyNumberFormat="1" applyFont="1" applyFill="1" applyBorder="1" applyAlignment="1">
      <alignment horizontal="right" vertical="center" wrapText="1" indent="1"/>
    </xf>
    <xf numFmtId="183" fontId="57" fillId="0" borderId="164" xfId="0" applyNumberFormat="1" applyFont="1" applyFill="1" applyBorder="1" applyAlignment="1">
      <alignment horizontal="right" vertical="center" wrapText="1" indent="1"/>
    </xf>
    <xf numFmtId="183" fontId="57" fillId="12" borderId="75" xfId="0" applyNumberFormat="1" applyFont="1" applyFill="1" applyBorder="1" applyAlignment="1">
      <alignment horizontal="right" vertical="center" wrapText="1" indent="1"/>
    </xf>
    <xf numFmtId="183" fontId="57" fillId="0" borderId="75" xfId="0" applyNumberFormat="1" applyFont="1" applyFill="1" applyBorder="1" applyAlignment="1">
      <alignment horizontal="right" vertical="center" wrapText="1" indent="1"/>
    </xf>
    <xf numFmtId="183" fontId="57" fillId="0" borderId="239" xfId="0" applyNumberFormat="1" applyFont="1" applyFill="1" applyBorder="1" applyAlignment="1">
      <alignment horizontal="right" vertical="center" wrapText="1" indent="1"/>
    </xf>
    <xf numFmtId="183" fontId="47" fillId="12" borderId="61" xfId="0" applyNumberFormat="1" applyFont="1" applyFill="1" applyBorder="1" applyAlignment="1">
      <alignment horizontal="right" vertical="center" wrapText="1" indent="1"/>
    </xf>
    <xf numFmtId="183" fontId="47" fillId="12" borderId="69" xfId="0" applyNumberFormat="1" applyFont="1" applyFill="1" applyBorder="1" applyAlignment="1">
      <alignment horizontal="right" vertical="center" wrapText="1" indent="1"/>
    </xf>
    <xf numFmtId="183" fontId="48" fillId="0" borderId="236" xfId="0" applyNumberFormat="1" applyFont="1" applyFill="1" applyBorder="1" applyAlignment="1">
      <alignment horizontal="right" vertical="center" wrapText="1" indent="1"/>
    </xf>
    <xf numFmtId="183" fontId="48" fillId="0" borderId="77" xfId="0" applyNumberFormat="1" applyFont="1" applyFill="1" applyBorder="1" applyAlignment="1">
      <alignment horizontal="right" vertical="center" wrapText="1" indent="1"/>
    </xf>
    <xf numFmtId="183" fontId="48" fillId="25" borderId="114" xfId="0" applyNumberFormat="1" applyFont="1" applyFill="1" applyBorder="1" applyAlignment="1">
      <alignment horizontal="right" vertical="center" wrapText="1" indent="1"/>
    </xf>
    <xf numFmtId="183" fontId="48" fillId="12" borderId="114" xfId="0" applyNumberFormat="1" applyFont="1" applyFill="1" applyBorder="1" applyAlignment="1">
      <alignment horizontal="right" vertical="center" wrapText="1" indent="1"/>
    </xf>
    <xf numFmtId="183" fontId="48" fillId="0" borderId="166" xfId="0" applyNumberFormat="1" applyFont="1" applyFill="1" applyBorder="1" applyAlignment="1">
      <alignment horizontal="left" vertical="center" wrapText="1" indent="1"/>
    </xf>
    <xf numFmtId="183" fontId="48" fillId="25" borderId="114" xfId="0" applyNumberFormat="1" applyFont="1" applyFill="1" applyBorder="1" applyAlignment="1">
      <alignment horizontal="left" vertical="center" wrapText="1" indent="1"/>
    </xf>
    <xf numFmtId="183" fontId="48" fillId="12" borderId="114" xfId="0" applyNumberFormat="1" applyFont="1" applyFill="1" applyBorder="1" applyAlignment="1">
      <alignment horizontal="left" vertical="center" wrapText="1" indent="1"/>
    </xf>
    <xf numFmtId="183" fontId="48" fillId="12" borderId="29" xfId="0" applyNumberFormat="1" applyFont="1" applyFill="1" applyBorder="1" applyAlignment="1">
      <alignment horizontal="left" vertical="center" wrapText="1" indent="1"/>
    </xf>
    <xf numFmtId="10" fontId="0" fillId="0" borderId="155" xfId="0" applyNumberFormat="1" applyFill="1" applyBorder="1" applyAlignment="1">
      <alignment horizontal="right" vertical="center" wrapText="1" indent="1"/>
    </xf>
    <xf numFmtId="10" fontId="0" fillId="12" borderId="34" xfId="0" applyNumberFormat="1" applyFill="1" applyBorder="1" applyAlignment="1">
      <alignment horizontal="right" vertical="center" wrapText="1" indent="1"/>
    </xf>
    <xf numFmtId="10" fontId="0" fillId="0" borderId="155" xfId="0" applyNumberFormat="1" applyFill="1" applyBorder="1" applyAlignment="1">
      <alignment horizontal="right" vertical="center" wrapText="1" indent="2"/>
    </xf>
    <xf numFmtId="10" fontId="0" fillId="0" borderId="125" xfId="0" applyNumberFormat="1" applyFill="1" applyBorder="1" applyAlignment="1">
      <alignment horizontal="right" vertical="center" wrapText="1" indent="2"/>
    </xf>
    <xf numFmtId="10" fontId="0" fillId="12" borderId="60" xfId="0" applyNumberFormat="1" applyFill="1" applyBorder="1" applyAlignment="1">
      <alignment horizontal="right" vertical="center" wrapText="1" indent="1"/>
    </xf>
    <xf numFmtId="10" fontId="0" fillId="0" borderId="33" xfId="0" applyNumberFormat="1" applyFill="1" applyBorder="1" applyAlignment="1">
      <alignment horizontal="right" vertical="center" wrapText="1" indent="2"/>
    </xf>
    <xf numFmtId="183" fontId="0" fillId="0" borderId="271" xfId="0" applyNumberFormat="1" applyFill="1" applyBorder="1" applyAlignment="1">
      <alignment horizontal="right" vertical="center" wrapText="1" indent="1"/>
    </xf>
    <xf numFmtId="183" fontId="0" fillId="0" borderId="124" xfId="0" applyNumberFormat="1" applyFill="1" applyBorder="1" applyAlignment="1">
      <alignment horizontal="right" vertical="center" wrapText="1" indent="1"/>
    </xf>
    <xf numFmtId="183" fontId="0" fillId="0" borderId="240" xfId="0" applyNumberFormat="1" applyFill="1" applyBorder="1" applyAlignment="1">
      <alignment horizontal="right" vertical="center" wrapText="1" indent="1"/>
    </xf>
    <xf numFmtId="183" fontId="0" fillId="0" borderId="274" xfId="0" applyNumberFormat="1" applyFill="1" applyBorder="1" applyAlignment="1">
      <alignment horizontal="right" vertical="center" wrapText="1" indent="1"/>
    </xf>
    <xf numFmtId="183" fontId="48" fillId="0" borderId="114" xfId="0" applyNumberFormat="1" applyFont="1" applyFill="1" applyBorder="1" applyAlignment="1">
      <alignment horizontal="right" vertical="center" wrapText="1" indent="1"/>
    </xf>
    <xf numFmtId="10" fontId="0" fillId="0" borderId="34" xfId="0" applyNumberFormat="1" applyFill="1" applyBorder="1" applyAlignment="1">
      <alignment horizontal="right" vertical="center" wrapText="1" indent="1"/>
    </xf>
    <xf numFmtId="183" fontId="0" fillId="0" borderId="237" xfId="0" applyNumberFormat="1" applyFill="1" applyBorder="1" applyAlignment="1">
      <alignment horizontal="right" vertical="center" wrapText="1" indent="1"/>
    </xf>
    <xf numFmtId="183" fontId="48" fillId="0" borderId="238" xfId="0" applyNumberFormat="1" applyFont="1" applyFill="1" applyBorder="1" applyAlignment="1">
      <alignment horizontal="right" vertical="center" wrapText="1" indent="1"/>
    </xf>
    <xf numFmtId="10" fontId="0" fillId="0" borderId="125" xfId="0" applyNumberFormat="1" applyFill="1" applyBorder="1" applyAlignment="1">
      <alignment horizontal="right" vertical="center" wrapText="1" indent="1"/>
    </xf>
    <xf numFmtId="183" fontId="48" fillId="0" borderId="166" xfId="0" applyNumberFormat="1" applyFont="1" applyFill="1" applyBorder="1" applyAlignment="1">
      <alignment horizontal="right" vertical="center" wrapText="1" indent="1"/>
    </xf>
    <xf numFmtId="2" fontId="47" fillId="12" borderId="181" xfId="0" applyNumberFormat="1" applyFont="1" applyFill="1" applyBorder="1" applyAlignment="1">
      <alignment horizontal="right" vertical="center" wrapText="1" indent="1"/>
    </xf>
    <xf numFmtId="2" fontId="47" fillId="12" borderId="205" xfId="0" applyNumberFormat="1" applyFont="1" applyFill="1" applyBorder="1" applyAlignment="1">
      <alignment horizontal="right" vertical="center" wrapText="1" indent="1"/>
    </xf>
    <xf numFmtId="2" fontId="47" fillId="12" borderId="117" xfId="0" applyNumberFormat="1" applyFont="1" applyFill="1" applyBorder="1" applyAlignment="1">
      <alignment horizontal="right" vertical="center" wrapText="1" indent="1"/>
    </xf>
    <xf numFmtId="2" fontId="47" fillId="12" borderId="23" xfId="0" applyNumberFormat="1" applyFont="1" applyFill="1" applyBorder="1" applyAlignment="1">
      <alignment horizontal="right" vertical="center" wrapText="1" indent="1"/>
    </xf>
    <xf numFmtId="2" fontId="47" fillId="12" borderId="27" xfId="0" applyNumberFormat="1" applyFont="1" applyFill="1" applyBorder="1" applyAlignment="1">
      <alignment horizontal="right" vertical="center" wrapText="1" indent="1"/>
    </xf>
    <xf numFmtId="173" fontId="1" fillId="25" borderId="34" xfId="0" applyNumberFormat="1" applyFont="1" applyFill="1" applyBorder="1" applyAlignment="1">
      <alignment horizontal="right" vertical="center" wrapText="1" indent="1"/>
    </xf>
    <xf numFmtId="173" fontId="28" fillId="24" borderId="34" xfId="0" applyNumberFormat="1" applyFont="1" applyFill="1" applyBorder="1" applyAlignment="1">
      <alignment horizontal="right" vertical="center" wrapText="1" indent="1"/>
    </xf>
    <xf numFmtId="173" fontId="1" fillId="24" borderId="44" xfId="0" applyNumberFormat="1" applyFont="1" applyFill="1" applyBorder="1" applyAlignment="1">
      <alignment horizontal="right" vertical="center" wrapText="1" indent="1"/>
    </xf>
    <xf numFmtId="173" fontId="0" fillId="12" borderId="34" xfId="0" applyNumberFormat="1" applyFill="1" applyBorder="1" applyAlignment="1">
      <alignment horizontal="right" vertical="center" wrapText="1" indent="1"/>
    </xf>
    <xf numFmtId="173" fontId="0" fillId="12" borderId="60" xfId="0" applyNumberFormat="1" applyFill="1" applyBorder="1" applyAlignment="1">
      <alignment horizontal="right" vertical="center" wrapText="1" indent="1"/>
    </xf>
    <xf numFmtId="173" fontId="28" fillId="12" borderId="60" xfId="0" applyNumberFormat="1" applyFont="1" applyFill="1" applyBorder="1" applyAlignment="1">
      <alignment horizontal="right" vertical="center" wrapText="1" indent="1"/>
    </xf>
    <xf numFmtId="173" fontId="0" fillId="0" borderId="33" xfId="0" applyNumberFormat="1" applyBorder="1" applyAlignment="1">
      <alignment horizontal="right" vertical="center" indent="1"/>
    </xf>
    <xf numFmtId="173" fontId="0" fillId="25" borderId="34" xfId="0" applyNumberFormat="1" applyFill="1" applyBorder="1" applyAlignment="1">
      <alignment horizontal="right" vertical="center" wrapText="1" indent="1"/>
    </xf>
    <xf numFmtId="173" fontId="0" fillId="0" borderId="23" xfId="0" applyNumberFormat="1" applyBorder="1" applyAlignment="1">
      <alignment horizontal="right" vertical="center" indent="1"/>
    </xf>
    <xf numFmtId="173" fontId="0" fillId="0" borderId="34" xfId="0" applyNumberFormat="1" applyBorder="1" applyAlignment="1">
      <alignment horizontal="right" vertical="center" indent="1"/>
    </xf>
    <xf numFmtId="173" fontId="0" fillId="12" borderId="34" xfId="0" applyNumberFormat="1" applyFill="1" applyBorder="1" applyAlignment="1">
      <alignment horizontal="right" vertical="center" indent="1"/>
    </xf>
    <xf numFmtId="173" fontId="0" fillId="12" borderId="60" xfId="0" applyNumberFormat="1" applyFill="1" applyBorder="1" applyAlignment="1">
      <alignment horizontal="right" vertical="center" indent="1"/>
    </xf>
    <xf numFmtId="166" fontId="37" fillId="25" borderId="52" xfId="0" applyNumberFormat="1" applyFont="1" applyFill="1" applyBorder="1" applyAlignment="1">
      <alignment horizontal="left" vertical="center" wrapText="1" indent="1"/>
    </xf>
    <xf numFmtId="166" fontId="37" fillId="12" borderId="52" xfId="0" applyNumberFormat="1" applyFont="1" applyFill="1" applyBorder="1" applyAlignment="1">
      <alignment horizontal="left" vertical="center" wrapText="1" indent="1"/>
    </xf>
    <xf numFmtId="166" fontId="37" fillId="12" borderId="53" xfId="0" applyNumberFormat="1" applyFont="1" applyFill="1" applyBorder="1" applyAlignment="1">
      <alignment horizontal="left" vertical="center" wrapText="1" indent="1"/>
    </xf>
    <xf numFmtId="0" fontId="37" fillId="12" borderId="52" xfId="0" applyFont="1" applyFill="1" applyBorder="1" applyAlignment="1">
      <alignment horizontal="left" vertical="center" wrapText="1" indent="1"/>
    </xf>
    <xf numFmtId="0" fontId="37" fillId="12" borderId="53" xfId="0" applyFont="1" applyFill="1" applyBorder="1" applyAlignment="1">
      <alignment horizontal="left" vertical="center" wrapText="1" indent="1"/>
    </xf>
    <xf numFmtId="0" fontId="37" fillId="0" borderId="51" xfId="0" applyFont="1" applyBorder="1" applyAlignment="1">
      <alignment horizontal="left" vertical="center" wrapText="1" indent="1"/>
    </xf>
    <xf numFmtId="0" fontId="1" fillId="0" borderId="278" xfId="0" applyFont="1" applyFill="1" applyBorder="1" applyAlignment="1">
      <alignment horizontal="center" vertical="center" wrapText="1"/>
    </xf>
    <xf numFmtId="0" fontId="1" fillId="0" borderId="279" xfId="0" applyFont="1" applyFill="1" applyBorder="1" applyAlignment="1">
      <alignment horizontal="center" vertical="center" wrapText="1"/>
    </xf>
    <xf numFmtId="1" fontId="28" fillId="25" borderId="200" xfId="0" applyNumberFormat="1" applyFont="1" applyFill="1" applyBorder="1" applyAlignment="1">
      <alignment horizontal="center" vertical="center" wrapText="1"/>
    </xf>
    <xf numFmtId="1" fontId="28" fillId="0" borderId="144" xfId="0" applyNumberFormat="1" applyFont="1" applyFill="1" applyBorder="1" applyAlignment="1">
      <alignment horizontal="center" vertical="center" wrapText="1"/>
    </xf>
    <xf numFmtId="1" fontId="28" fillId="24" borderId="144" xfId="0" applyNumberFormat="1" applyFont="1" applyFill="1" applyBorder="1" applyAlignment="1">
      <alignment horizontal="center" vertical="center" wrapText="1"/>
    </xf>
    <xf numFmtId="1" fontId="28" fillId="27" borderId="144" xfId="0" applyNumberFormat="1" applyFont="1" applyFill="1" applyBorder="1" applyAlignment="1">
      <alignment horizontal="center" vertical="center" wrapText="1"/>
    </xf>
    <xf numFmtId="1" fontId="28" fillId="27" borderId="212" xfId="0" applyNumberFormat="1" applyFont="1" applyFill="1" applyBorder="1" applyAlignment="1">
      <alignment horizontal="center" vertical="center" wrapText="1"/>
    </xf>
    <xf numFmtId="1" fontId="0" fillId="0" borderId="16" xfId="0" applyNumberFormat="1" applyFill="1" applyBorder="1" applyAlignment="1">
      <alignment horizontal="center" vertical="center" wrapText="1"/>
    </xf>
    <xf numFmtId="1" fontId="4" fillId="0" borderId="149" xfId="0" applyNumberFormat="1" applyFont="1" applyFill="1" applyBorder="1" applyAlignment="1">
      <alignment horizontal="center" vertical="center" wrapText="1"/>
    </xf>
    <xf numFmtId="1" fontId="4" fillId="0" borderId="153" xfId="0" applyNumberFormat="1" applyFont="1" applyFill="1" applyBorder="1" applyAlignment="1">
      <alignment horizontal="center" vertical="center" wrapText="1"/>
    </xf>
    <xf numFmtId="1" fontId="4" fillId="25" borderId="153" xfId="0" applyNumberFormat="1" applyFont="1" applyFill="1" applyBorder="1" applyAlignment="1">
      <alignment horizontal="center" vertical="center" wrapText="1"/>
    </xf>
    <xf numFmtId="1" fontId="4" fillId="24" borderId="153" xfId="0" applyNumberFormat="1" applyFont="1" applyFill="1" applyBorder="1" applyAlignment="1">
      <alignment horizontal="center" vertical="center" wrapText="1"/>
    </xf>
    <xf numFmtId="1" fontId="4" fillId="15" borderId="153" xfId="0" applyNumberFormat="1" applyFont="1" applyFill="1" applyBorder="1" applyAlignment="1">
      <alignment horizontal="center" vertical="center" wrapText="1"/>
    </xf>
    <xf numFmtId="1" fontId="4" fillId="27" borderId="212" xfId="0" applyNumberFormat="1" applyFont="1" applyFill="1" applyBorder="1" applyAlignment="1">
      <alignment horizontal="center" vertical="center" wrapText="1"/>
    </xf>
    <xf numFmtId="1" fontId="4" fillId="27" borderId="157" xfId="0" applyNumberFormat="1" applyFont="1" applyFill="1" applyBorder="1" applyAlignment="1">
      <alignment horizontal="center" vertical="center" wrapText="1"/>
    </xf>
    <xf numFmtId="1" fontId="4" fillId="25" borderId="149" xfId="0" applyNumberFormat="1" applyFont="1" applyFill="1" applyBorder="1" applyAlignment="1">
      <alignment horizontal="center" vertical="center" wrapText="1"/>
    </xf>
    <xf numFmtId="1" fontId="1" fillId="24" borderId="6" xfId="0" applyNumberFormat="1" applyFont="1" applyFill="1" applyBorder="1" applyAlignment="1">
      <alignment horizontal="center" vertical="center" wrapText="1"/>
    </xf>
    <xf numFmtId="1" fontId="0" fillId="12" borderId="287" xfId="0" applyNumberFormat="1" applyFill="1" applyBorder="1" applyAlignment="1">
      <alignment horizontal="center" vertical="center" wrapText="1"/>
    </xf>
    <xf numFmtId="1" fontId="0" fillId="12" borderId="144" xfId="0" applyNumberFormat="1" applyFill="1" applyBorder="1" applyAlignment="1">
      <alignment horizontal="center" vertical="center" wrapText="1"/>
    </xf>
    <xf numFmtId="1" fontId="0" fillId="12" borderId="190" xfId="0" applyNumberFormat="1" applyFill="1" applyBorder="1" applyAlignment="1">
      <alignment horizontal="center" vertical="center" wrapText="1"/>
    </xf>
    <xf numFmtId="1" fontId="1" fillId="24" borderId="282" xfId="0" applyNumberFormat="1" applyFont="1" applyFill="1" applyBorder="1" applyAlignment="1">
      <alignment horizontal="center" vertical="center" wrapText="1"/>
    </xf>
    <xf numFmtId="1" fontId="1" fillId="25" borderId="282" xfId="0" applyNumberFormat="1" applyFont="1" applyFill="1" applyBorder="1" applyAlignment="1">
      <alignment horizontal="center" vertical="center" wrapText="1"/>
    </xf>
    <xf numFmtId="1" fontId="0" fillId="12" borderId="282" xfId="0" applyNumberFormat="1" applyFill="1" applyBorder="1" applyAlignment="1">
      <alignment horizontal="center" vertical="center" wrapText="1"/>
    </xf>
    <xf numFmtId="1" fontId="0" fillId="12" borderId="283" xfId="0" applyNumberFormat="1" applyFill="1" applyBorder="1" applyAlignment="1">
      <alignment horizontal="center" vertical="center" wrapText="1"/>
    </xf>
    <xf numFmtId="1" fontId="1" fillId="25" borderId="72" xfId="0" applyNumberFormat="1" applyFont="1" applyFill="1" applyBorder="1" applyAlignment="1">
      <alignment horizontal="center" vertical="center" wrapText="1"/>
    </xf>
    <xf numFmtId="1" fontId="28" fillId="12" borderId="283" xfId="0" applyNumberFormat="1" applyFont="1" applyFill="1" applyBorder="1" applyAlignment="1">
      <alignment horizontal="center" vertical="center" wrapText="1"/>
    </xf>
    <xf numFmtId="1" fontId="0" fillId="0" borderId="26" xfId="0" applyNumberFormat="1" applyBorder="1" applyAlignment="1">
      <alignment horizontal="center" vertical="center" wrapText="1"/>
    </xf>
    <xf numFmtId="1" fontId="0" fillId="25" borderId="282" xfId="0" applyNumberFormat="1" applyFill="1" applyBorder="1" applyAlignment="1">
      <alignment horizontal="center" vertical="center" wrapText="1"/>
    </xf>
    <xf numFmtId="1" fontId="0" fillId="0" borderId="0" xfId="0" applyNumberFormat="1" applyFill="1" applyAlignment="1">
      <alignment horizontal="center"/>
    </xf>
    <xf numFmtId="1" fontId="0" fillId="0" borderId="278" xfId="0" applyNumberFormat="1" applyBorder="1" applyAlignment="1">
      <alignment horizontal="center"/>
    </xf>
    <xf numFmtId="1" fontId="0" fillId="0" borderId="26" xfId="0" applyNumberFormat="1" applyBorder="1" applyAlignment="1">
      <alignment horizontal="center"/>
    </xf>
    <xf numFmtId="1" fontId="0" fillId="12" borderId="278" xfId="0" applyNumberFormat="1" applyFill="1" applyBorder="1" applyAlignment="1">
      <alignment horizontal="center"/>
    </xf>
    <xf numFmtId="1" fontId="0" fillId="12" borderId="279" xfId="0" applyNumberFormat="1" applyFill="1" applyBorder="1" applyAlignment="1">
      <alignment horizontal="center"/>
    </xf>
    <xf numFmtId="0" fontId="1" fillId="0" borderId="277"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2" borderId="278" xfId="0" applyFont="1" applyFill="1" applyBorder="1" applyAlignment="1">
      <alignment horizontal="center" vertical="center" wrapText="1"/>
    </xf>
    <xf numFmtId="175" fontId="1" fillId="2" borderId="278" xfId="0" applyNumberFormat="1" applyFont="1" applyFill="1" applyBorder="1" applyAlignment="1">
      <alignment horizontal="center" vertical="center" wrapText="1"/>
    </xf>
    <xf numFmtId="0" fontId="1" fillId="2" borderId="277"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279" xfId="0" applyFont="1" applyFill="1" applyBorder="1" applyAlignment="1">
      <alignment horizontal="center" vertical="center" wrapText="1"/>
    </xf>
    <xf numFmtId="0" fontId="0" fillId="0" borderId="0" xfId="0" applyBorder="1" applyAlignment="1">
      <alignment vertical="center" wrapText="1"/>
    </xf>
    <xf numFmtId="0" fontId="0" fillId="0" borderId="0" xfId="0" quotePrefix="1" applyBorder="1"/>
    <xf numFmtId="183" fontId="13" fillId="25" borderId="130" xfId="0" applyNumberFormat="1" applyFont="1" applyFill="1" applyBorder="1" applyAlignment="1">
      <alignment horizontal="right" vertical="center" wrapText="1" indent="1"/>
    </xf>
    <xf numFmtId="183" fontId="48" fillId="25" borderId="201" xfId="0" applyNumberFormat="1" applyFont="1" applyFill="1" applyBorder="1" applyAlignment="1">
      <alignment horizontal="right" vertical="center" wrapText="1" indent="1"/>
    </xf>
    <xf numFmtId="183" fontId="57" fillId="15" borderId="154" xfId="0" applyNumberFormat="1" applyFont="1" applyFill="1" applyBorder="1" applyAlignment="1">
      <alignment horizontal="left" vertical="center" wrapText="1" indent="1"/>
    </xf>
    <xf numFmtId="183" fontId="57" fillId="27" borderId="210" xfId="0" applyNumberFormat="1" applyFont="1" applyFill="1" applyBorder="1" applyAlignment="1">
      <alignment horizontal="left" vertical="center" wrapText="1" indent="1"/>
    </xf>
    <xf numFmtId="183" fontId="13" fillId="0" borderId="205" xfId="0" applyNumberFormat="1" applyFont="1" applyFill="1" applyBorder="1" applyAlignment="1">
      <alignment horizontal="right" vertical="center" wrapText="1" indent="1"/>
    </xf>
    <xf numFmtId="183" fontId="13" fillId="24" borderId="205" xfId="0" applyNumberFormat="1" applyFont="1" applyFill="1" applyBorder="1" applyAlignment="1">
      <alignment horizontal="right" vertical="center" wrapText="1" indent="1"/>
    </xf>
    <xf numFmtId="183" fontId="13" fillId="27" borderId="205" xfId="0" applyNumberFormat="1" applyFont="1" applyFill="1" applyBorder="1" applyAlignment="1">
      <alignment horizontal="right" vertical="center" wrapText="1" indent="1"/>
    </xf>
    <xf numFmtId="183" fontId="13" fillId="27" borderId="210" xfId="0" applyNumberFormat="1" applyFont="1" applyFill="1" applyBorder="1" applyAlignment="1">
      <alignment horizontal="right" vertical="center" wrapText="1" indent="1"/>
    </xf>
    <xf numFmtId="183" fontId="13" fillId="0" borderId="150" xfId="0" applyNumberFormat="1" applyFont="1" applyFill="1" applyBorder="1" applyAlignment="1">
      <alignment horizontal="right" vertical="center" wrapText="1" indent="1"/>
    </xf>
    <xf numFmtId="183" fontId="13" fillId="25" borderId="154" xfId="0" applyNumberFormat="1" applyFont="1" applyFill="1" applyBorder="1" applyAlignment="1">
      <alignment horizontal="right" vertical="center" wrapText="1" indent="1"/>
    </xf>
    <xf numFmtId="183" fontId="13" fillId="24" borderId="154" xfId="0" applyNumberFormat="1" applyFont="1" applyFill="1" applyBorder="1" applyAlignment="1">
      <alignment horizontal="right" vertical="center" wrapText="1" indent="1"/>
    </xf>
    <xf numFmtId="183" fontId="13" fillId="15" borderId="154" xfId="0" applyNumberFormat="1" applyFont="1" applyFill="1" applyBorder="1" applyAlignment="1">
      <alignment horizontal="right" vertical="center" wrapText="1" indent="1"/>
    </xf>
    <xf numFmtId="183" fontId="13" fillId="27" borderId="158" xfId="0" applyNumberFormat="1" applyFont="1" applyFill="1" applyBorder="1" applyAlignment="1">
      <alignment horizontal="right" vertical="center" wrapText="1" indent="1"/>
    </xf>
    <xf numFmtId="183" fontId="13" fillId="25" borderId="150" xfId="0" applyNumberFormat="1" applyFont="1" applyFill="1" applyBorder="1" applyAlignment="1">
      <alignment horizontal="right" vertical="center" wrapText="1" indent="1"/>
    </xf>
    <xf numFmtId="183" fontId="57" fillId="25" borderId="202" xfId="0" applyNumberFormat="1" applyFont="1" applyFill="1" applyBorder="1" applyAlignment="1">
      <alignment horizontal="center" vertical="center" wrapText="1"/>
    </xf>
    <xf numFmtId="183" fontId="57" fillId="0" borderId="208" xfId="0" applyNumberFormat="1" applyFont="1" applyFill="1" applyBorder="1" applyAlignment="1">
      <alignment horizontal="center" vertical="center" wrapText="1"/>
    </xf>
    <xf numFmtId="183" fontId="57" fillId="24" borderId="208" xfId="0" applyNumberFormat="1" applyFont="1" applyFill="1" applyBorder="1" applyAlignment="1">
      <alignment horizontal="center" vertical="center" wrapText="1"/>
    </xf>
    <xf numFmtId="183" fontId="57" fillId="27" borderId="208" xfId="0" applyNumberFormat="1" applyFont="1" applyFill="1" applyBorder="1" applyAlignment="1">
      <alignment horizontal="center" vertical="center" wrapText="1"/>
    </xf>
    <xf numFmtId="183" fontId="57" fillId="27" borderId="214" xfId="0" applyNumberFormat="1" applyFont="1" applyFill="1" applyBorder="1" applyAlignment="1">
      <alignment horizontal="center" vertical="center" wrapText="1"/>
    </xf>
    <xf numFmtId="183" fontId="57" fillId="27" borderId="214" xfId="0" applyNumberFormat="1" applyFont="1" applyFill="1" applyBorder="1" applyAlignment="1">
      <alignment horizontal="left" vertical="center" wrapText="1" indent="1"/>
    </xf>
    <xf numFmtId="183" fontId="57" fillId="27" borderId="169" xfId="0" applyNumberFormat="1" applyFont="1" applyFill="1" applyBorder="1" applyAlignment="1">
      <alignment horizontal="left" vertical="center" wrapText="1" indent="1"/>
    </xf>
    <xf numFmtId="183" fontId="48" fillId="0" borderId="207" xfId="0" applyNumberFormat="1" applyFont="1" applyFill="1" applyBorder="1" applyAlignment="1">
      <alignment horizontal="right" vertical="center" wrapText="1" indent="1"/>
    </xf>
    <xf numFmtId="183" fontId="48" fillId="24" borderId="207" xfId="0" applyNumberFormat="1" applyFont="1" applyFill="1" applyBorder="1" applyAlignment="1">
      <alignment horizontal="right" vertical="center" wrapText="1" indent="1"/>
    </xf>
    <xf numFmtId="183" fontId="1" fillId="19" borderId="278" xfId="0" applyNumberFormat="1" applyFont="1" applyFill="1" applyBorder="1" applyAlignment="1">
      <alignment horizontal="center" vertical="center" wrapText="1"/>
    </xf>
    <xf numFmtId="183" fontId="4" fillId="32" borderId="280" xfId="0" applyNumberFormat="1" applyFont="1" applyFill="1" applyBorder="1" applyAlignment="1">
      <alignment vertical="center" wrapText="1"/>
    </xf>
    <xf numFmtId="183" fontId="1" fillId="19" borderId="280" xfId="0" applyNumberFormat="1" applyFont="1" applyFill="1" applyBorder="1" applyAlignment="1">
      <alignment horizontal="center" vertical="center" wrapText="1"/>
    </xf>
    <xf numFmtId="183" fontId="9" fillId="32" borderId="278" xfId="0" applyNumberFormat="1" applyFont="1" applyFill="1" applyBorder="1" applyAlignment="1">
      <alignment vertical="center" wrapText="1"/>
    </xf>
    <xf numFmtId="183" fontId="13" fillId="0" borderId="22" xfId="0" applyNumberFormat="1" applyFont="1" applyFill="1" applyBorder="1" applyAlignment="1">
      <alignment horizontal="right" vertical="center" wrapText="1" indent="1"/>
    </xf>
    <xf numFmtId="183" fontId="13" fillId="25" borderId="204" xfId="0" applyNumberFormat="1" applyFont="1" applyFill="1" applyBorder="1" applyAlignment="1">
      <alignment horizontal="right" vertical="center" wrapText="1" indent="1"/>
    </xf>
    <xf numFmtId="183" fontId="13" fillId="0" borderId="195" xfId="0" applyNumberFormat="1" applyFont="1" applyFill="1" applyBorder="1" applyAlignment="1">
      <alignment horizontal="right" vertical="center" wrapText="1" indent="1"/>
    </xf>
    <xf numFmtId="183" fontId="13" fillId="24" borderId="195" xfId="0" applyNumberFormat="1" applyFont="1" applyFill="1" applyBorder="1" applyAlignment="1">
      <alignment horizontal="right" vertical="center" wrapText="1" indent="1"/>
    </xf>
    <xf numFmtId="183" fontId="13" fillId="27" borderId="195" xfId="0" applyNumberFormat="1" applyFont="1" applyFill="1" applyBorder="1" applyAlignment="1">
      <alignment horizontal="right" vertical="center" wrapText="1" indent="1"/>
    </xf>
    <xf numFmtId="183" fontId="13" fillId="27" borderId="216" xfId="0" applyNumberFormat="1" applyFont="1" applyFill="1" applyBorder="1" applyAlignment="1">
      <alignment horizontal="right" vertical="center" wrapText="1" indent="1"/>
    </xf>
    <xf numFmtId="183" fontId="13" fillId="0" borderId="163" xfId="0" applyNumberFormat="1" applyFont="1" applyFill="1" applyBorder="1" applyAlignment="1">
      <alignment horizontal="right" vertical="center" wrapText="1" indent="1"/>
    </xf>
    <xf numFmtId="183" fontId="13" fillId="0" borderId="167" xfId="0" applyNumberFormat="1" applyFont="1" applyFill="1" applyBorder="1" applyAlignment="1">
      <alignment horizontal="right" vertical="center" wrapText="1" indent="1"/>
    </xf>
    <xf numFmtId="183" fontId="13" fillId="25" borderId="167" xfId="0" applyNumberFormat="1" applyFont="1" applyFill="1" applyBorder="1" applyAlignment="1">
      <alignment horizontal="right" vertical="center" wrapText="1" indent="1"/>
    </xf>
    <xf numFmtId="183" fontId="13" fillId="24" borderId="167" xfId="0" applyNumberFormat="1" applyFont="1" applyFill="1" applyBorder="1" applyAlignment="1">
      <alignment horizontal="right" vertical="center" wrapText="1" indent="1"/>
    </xf>
    <xf numFmtId="183" fontId="13" fillId="15" borderId="167" xfId="0" applyNumberFormat="1" applyFont="1" applyFill="1" applyBorder="1" applyAlignment="1">
      <alignment horizontal="right" vertical="center" wrapText="1" indent="1"/>
    </xf>
    <xf numFmtId="183" fontId="13" fillId="27" borderId="171" xfId="0" applyNumberFormat="1" applyFont="1" applyFill="1" applyBorder="1" applyAlignment="1">
      <alignment horizontal="right" vertical="center" wrapText="1" indent="1"/>
    </xf>
    <xf numFmtId="183" fontId="13" fillId="25" borderId="163" xfId="0" applyNumberFormat="1" applyFont="1" applyFill="1" applyBorder="1" applyAlignment="1">
      <alignment horizontal="right" vertical="center" wrapText="1" indent="1"/>
    </xf>
    <xf numFmtId="183" fontId="13" fillId="24" borderId="19" xfId="0" applyNumberFormat="1" applyFont="1" applyFill="1" applyBorder="1" applyAlignment="1">
      <alignment horizontal="right" vertical="center" wrapText="1" indent="1"/>
    </xf>
    <xf numFmtId="183" fontId="13" fillId="12" borderId="186" xfId="0" quotePrefix="1" applyNumberFormat="1" applyFont="1" applyFill="1" applyBorder="1" applyAlignment="1">
      <alignment horizontal="right" vertical="center" wrapText="1" indent="1"/>
    </xf>
    <xf numFmtId="183" fontId="13" fillId="12" borderId="195" xfId="0" applyNumberFormat="1" applyFont="1" applyFill="1" applyBorder="1" applyAlignment="1">
      <alignment horizontal="right" vertical="center" wrapText="1" indent="1"/>
    </xf>
    <xf numFmtId="183" fontId="13" fillId="12" borderId="193" xfId="0" applyNumberFormat="1" applyFont="1" applyFill="1" applyBorder="1" applyAlignment="1">
      <alignment horizontal="right" vertical="center" wrapText="1" indent="1"/>
    </xf>
    <xf numFmtId="183" fontId="13" fillId="12" borderId="186" xfId="0" applyNumberFormat="1" applyFont="1" applyFill="1" applyBorder="1" applyAlignment="1">
      <alignment horizontal="right" vertical="center" wrapText="1" indent="1"/>
    </xf>
    <xf numFmtId="183" fontId="13" fillId="24" borderId="289" xfId="0" applyNumberFormat="1" applyFont="1" applyFill="1" applyBorder="1" applyAlignment="1">
      <alignment horizontal="right" vertical="center" wrapText="1" indent="1"/>
    </xf>
    <xf numFmtId="183" fontId="13" fillId="25" borderId="289" xfId="0" applyNumberFormat="1" applyFont="1" applyFill="1" applyBorder="1" applyAlignment="1">
      <alignment horizontal="right" vertical="center" wrapText="1" indent="1"/>
    </xf>
    <xf numFmtId="183" fontId="13" fillId="12" borderId="289" xfId="0" applyNumberFormat="1" applyFont="1" applyFill="1" applyBorder="1" applyAlignment="1">
      <alignment horizontal="right" vertical="center" wrapText="1" indent="1"/>
    </xf>
    <xf numFmtId="183" fontId="13" fillId="12" borderId="28" xfId="0" applyNumberFormat="1" applyFont="1" applyFill="1" applyBorder="1" applyAlignment="1">
      <alignment horizontal="right" vertical="center" wrapText="1" indent="1"/>
    </xf>
    <xf numFmtId="183" fontId="13" fillId="25" borderId="48" xfId="0" applyNumberFormat="1" applyFont="1" applyFill="1" applyBorder="1" applyAlignment="1">
      <alignment horizontal="right" vertical="center" wrapText="1" indent="1"/>
    </xf>
    <xf numFmtId="183" fontId="13" fillId="0" borderId="0" xfId="0" applyNumberFormat="1" applyFont="1" applyFill="1" applyBorder="1" applyAlignment="1">
      <alignment horizontal="right" vertical="center" wrapText="1" indent="1"/>
    </xf>
    <xf numFmtId="183" fontId="13" fillId="0" borderId="289" xfId="0" applyNumberFormat="1" applyFont="1" applyFill="1" applyBorder="1" applyAlignment="1">
      <alignment horizontal="right" vertical="center" wrapText="1" indent="1"/>
    </xf>
    <xf numFmtId="183" fontId="13" fillId="0" borderId="48" xfId="0" applyNumberFormat="1" applyFont="1" applyBorder="1" applyAlignment="1">
      <alignment horizontal="right" vertical="center" wrapText="1" indent="1"/>
    </xf>
    <xf numFmtId="183" fontId="13" fillId="0" borderId="0" xfId="0" applyNumberFormat="1" applyFont="1" applyBorder="1" applyAlignment="1">
      <alignment horizontal="right" vertical="center" wrapText="1" indent="1"/>
    </xf>
    <xf numFmtId="183" fontId="13" fillId="0" borderId="17" xfId="0" applyNumberFormat="1" applyFont="1" applyFill="1" applyBorder="1" applyAlignment="1">
      <alignment horizontal="right" vertical="center" wrapText="1" indent="1"/>
    </xf>
    <xf numFmtId="183" fontId="13" fillId="24" borderId="278" xfId="0" applyNumberFormat="1" applyFont="1" applyFill="1" applyBorder="1" applyAlignment="1">
      <alignment horizontal="right" vertical="center" wrapText="1" indent="1"/>
    </xf>
    <xf numFmtId="183" fontId="13" fillId="25" borderId="278" xfId="0" applyNumberFormat="1" applyFont="1" applyFill="1" applyBorder="1" applyAlignment="1">
      <alignment horizontal="right" vertical="center" wrapText="1" indent="1"/>
    </xf>
    <xf numFmtId="183" fontId="13" fillId="12" borderId="278" xfId="0" applyNumberFormat="1" applyFont="1" applyFill="1" applyBorder="1" applyAlignment="1">
      <alignment horizontal="right" vertical="center" wrapText="1" indent="1"/>
    </xf>
    <xf numFmtId="183" fontId="13" fillId="12" borderId="279" xfId="0" applyNumberFormat="1" applyFont="1" applyFill="1" applyBorder="1" applyAlignment="1">
      <alignment horizontal="right" vertical="center" wrapText="1" indent="1"/>
    </xf>
    <xf numFmtId="183" fontId="13" fillId="0" borderId="3" xfId="0" applyNumberFormat="1" applyFont="1" applyFill="1" applyBorder="1" applyAlignment="1">
      <alignment horizontal="right" vertical="center" wrapText="1" indent="1"/>
    </xf>
    <xf numFmtId="183" fontId="13" fillId="0" borderId="278" xfId="0" applyNumberFormat="1" applyFont="1" applyFill="1" applyBorder="1" applyAlignment="1">
      <alignment horizontal="right" vertical="center" wrapText="1" indent="1"/>
    </xf>
    <xf numFmtId="183" fontId="13" fillId="0" borderId="26" xfId="0" applyNumberFormat="1" applyFont="1" applyBorder="1" applyAlignment="1">
      <alignment horizontal="right" vertical="center" wrapText="1" indent="1"/>
    </xf>
    <xf numFmtId="183" fontId="13" fillId="0" borderId="3" xfId="0" applyNumberFormat="1" applyFont="1" applyBorder="1" applyAlignment="1">
      <alignment horizontal="right" vertical="center" wrapText="1" indent="1"/>
    </xf>
    <xf numFmtId="183" fontId="9" fillId="32" borderId="289" xfId="0" applyNumberFormat="1" applyFont="1" applyFill="1" applyBorder="1" applyAlignment="1">
      <alignment vertical="center" wrapText="1"/>
    </xf>
    <xf numFmtId="183" fontId="13" fillId="19" borderId="289" xfId="0" applyNumberFormat="1" applyFont="1" applyFill="1" applyBorder="1" applyAlignment="1">
      <alignment horizontal="center" vertical="center" wrapText="1"/>
    </xf>
    <xf numFmtId="183" fontId="13" fillId="19" borderId="278" xfId="0" applyNumberFormat="1" applyFont="1" applyFill="1" applyBorder="1" applyAlignment="1">
      <alignment horizontal="center" vertical="center" wrapText="1"/>
    </xf>
    <xf numFmtId="183" fontId="1" fillId="19" borderId="290" xfId="0" applyNumberFormat="1" applyFont="1" applyFill="1" applyBorder="1" applyAlignment="1">
      <alignment horizontal="center" vertical="center" wrapText="1"/>
    </xf>
    <xf numFmtId="183" fontId="56" fillId="0" borderId="17" xfId="0" applyNumberFormat="1" applyFont="1" applyFill="1" applyBorder="1" applyAlignment="1">
      <alignment horizontal="center" vertical="center" wrapText="1"/>
    </xf>
    <xf numFmtId="183" fontId="1" fillId="19" borderId="288" xfId="0" applyNumberFormat="1" applyFont="1" applyFill="1" applyBorder="1" applyAlignment="1">
      <alignment horizontal="center" vertical="center" wrapText="1"/>
    </xf>
    <xf numFmtId="0" fontId="0" fillId="0" borderId="47" xfId="0" applyBorder="1" applyAlignment="1">
      <alignment horizontal="center" vertical="center"/>
    </xf>
    <xf numFmtId="0" fontId="0" fillId="0" borderId="47" xfId="0" applyBorder="1" applyAlignment="1">
      <alignment horizontal="left" indent="1"/>
    </xf>
    <xf numFmtId="183" fontId="0" fillId="0" borderId="47" xfId="0" applyNumberFormat="1" applyBorder="1"/>
    <xf numFmtId="183" fontId="0" fillId="0" borderId="0" xfId="0" applyNumberFormat="1" applyFill="1" applyBorder="1"/>
    <xf numFmtId="183" fontId="9" fillId="0" borderId="22" xfId="0" applyNumberFormat="1" applyFont="1" applyFill="1" applyBorder="1" applyAlignment="1">
      <alignment horizontal="right" vertical="center" wrapText="1" indent="2"/>
    </xf>
    <xf numFmtId="183" fontId="9" fillId="0" borderId="167" xfId="0" applyNumberFormat="1" applyFont="1" applyFill="1" applyBorder="1" applyAlignment="1">
      <alignment horizontal="right" vertical="center" wrapText="1" indent="1"/>
    </xf>
    <xf numFmtId="166" fontId="1" fillId="15" borderId="295" xfId="0" applyNumberFormat="1" applyFont="1" applyFill="1" applyBorder="1" applyAlignment="1">
      <alignment horizontal="center" vertical="center" wrapText="1"/>
    </xf>
    <xf numFmtId="166" fontId="1" fillId="15" borderId="296" xfId="0" applyNumberFormat="1" applyFont="1" applyFill="1" applyBorder="1" applyAlignment="1">
      <alignment horizontal="left" vertical="center" wrapText="1" indent="1"/>
    </xf>
    <xf numFmtId="166" fontId="1" fillId="15" borderId="295" xfId="0" applyNumberFormat="1" applyFont="1" applyFill="1" applyBorder="1" applyAlignment="1">
      <alignment horizontal="left" vertical="center" wrapText="1" indent="1"/>
    </xf>
    <xf numFmtId="1" fontId="1" fillId="15" borderId="295" xfId="0" applyNumberFormat="1" applyFont="1" applyFill="1" applyBorder="1" applyAlignment="1">
      <alignment horizontal="center" vertical="center" wrapText="1"/>
    </xf>
    <xf numFmtId="166" fontId="1" fillId="15" borderId="3" xfId="0" applyNumberFormat="1" applyFont="1" applyFill="1" applyBorder="1" applyAlignment="1">
      <alignment horizontal="left" vertical="center" wrapText="1" indent="1"/>
    </xf>
    <xf numFmtId="166" fontId="1" fillId="15" borderId="297" xfId="0" applyNumberFormat="1" applyFont="1" applyFill="1" applyBorder="1" applyAlignment="1">
      <alignment horizontal="left" vertical="center" wrapText="1" indent="1"/>
    </xf>
    <xf numFmtId="183" fontId="0" fillId="15" borderId="296" xfId="0" applyNumberFormat="1" applyFill="1" applyBorder="1" applyAlignment="1">
      <alignment horizontal="left" vertical="center" wrapText="1" indent="1"/>
    </xf>
    <xf numFmtId="183" fontId="0" fillId="15" borderId="224" xfId="0" applyNumberFormat="1" applyFill="1" applyBorder="1" applyAlignment="1">
      <alignment horizontal="left" vertical="center" wrapText="1" indent="1"/>
    </xf>
    <xf numFmtId="183" fontId="0" fillId="15" borderId="295" xfId="0" applyNumberFormat="1" applyFill="1" applyBorder="1" applyAlignment="1">
      <alignment horizontal="left" vertical="center" wrapText="1" indent="1"/>
    </xf>
    <xf numFmtId="183" fontId="0" fillId="15" borderId="297" xfId="0" applyNumberFormat="1" applyFill="1" applyBorder="1" applyAlignment="1">
      <alignment horizontal="left" vertical="center" wrapText="1" indent="1"/>
    </xf>
    <xf numFmtId="166" fontId="4" fillId="15" borderId="296" xfId="0" applyNumberFormat="1" applyFont="1" applyFill="1" applyBorder="1" applyAlignment="1">
      <alignment horizontal="left" vertical="center" wrapText="1" indent="1"/>
    </xf>
    <xf numFmtId="166" fontId="4" fillId="15" borderId="224" xfId="0" applyNumberFormat="1" applyFont="1" applyFill="1" applyBorder="1" applyAlignment="1">
      <alignment horizontal="left" vertical="center" wrapText="1" indent="1"/>
    </xf>
    <xf numFmtId="4" fontId="4" fillId="15" borderId="295" xfId="0" applyNumberFormat="1" applyFont="1" applyFill="1" applyBorder="1" applyAlignment="1">
      <alignment horizontal="right" vertical="center" wrapText="1" indent="1"/>
    </xf>
    <xf numFmtId="166" fontId="4" fillId="15" borderId="297" xfId="0" applyNumberFormat="1" applyFont="1" applyFill="1" applyBorder="1" applyAlignment="1">
      <alignment horizontal="left" vertical="center" wrapText="1" indent="1"/>
    </xf>
    <xf numFmtId="1" fontId="4" fillId="15" borderId="224" xfId="0" applyNumberFormat="1" applyFont="1" applyFill="1" applyBorder="1" applyAlignment="1">
      <alignment horizontal="center" vertical="center" wrapText="1"/>
    </xf>
    <xf numFmtId="183" fontId="62" fillId="15" borderId="298" xfId="0" applyNumberFormat="1" applyFont="1" applyFill="1" applyBorder="1" applyAlignment="1">
      <alignment horizontal="right" vertical="center" wrapText="1" indent="1"/>
    </xf>
    <xf numFmtId="183" fontId="57" fillId="15" borderId="296" xfId="0" applyNumberFormat="1" applyFont="1" applyFill="1" applyBorder="1" applyAlignment="1">
      <alignment horizontal="right" vertical="center" wrapText="1" indent="1"/>
    </xf>
    <xf numFmtId="183" fontId="65" fillId="15" borderId="224" xfId="0" applyNumberFormat="1" applyFont="1" applyFill="1" applyBorder="1" applyAlignment="1">
      <alignment horizontal="right" vertical="center" wrapText="1" indent="1"/>
    </xf>
    <xf numFmtId="183" fontId="13" fillId="15" borderId="224" xfId="0" applyNumberFormat="1" applyFont="1" applyFill="1" applyBorder="1" applyAlignment="1">
      <alignment horizontal="right" vertical="center" wrapText="1" indent="1"/>
    </xf>
    <xf numFmtId="183" fontId="13" fillId="15" borderId="297" xfId="0" applyNumberFormat="1" applyFont="1" applyFill="1" applyBorder="1" applyAlignment="1">
      <alignment horizontal="right" vertical="center" wrapText="1" indent="1"/>
    </xf>
    <xf numFmtId="183" fontId="13" fillId="15" borderId="299" xfId="0" applyNumberFormat="1" applyFont="1" applyFill="1" applyBorder="1" applyAlignment="1">
      <alignment horizontal="right" vertical="center" wrapText="1" indent="1"/>
    </xf>
    <xf numFmtId="183" fontId="13" fillId="15" borderId="295" xfId="0" applyNumberFormat="1" applyFont="1" applyFill="1" applyBorder="1" applyAlignment="1">
      <alignment horizontal="right" vertical="center" wrapText="1" indent="1"/>
    </xf>
    <xf numFmtId="183" fontId="1" fillId="15" borderId="297" xfId="0" applyNumberFormat="1" applyFont="1" applyFill="1" applyBorder="1" applyAlignment="1">
      <alignment horizontal="right" vertical="center" wrapText="1" indent="1"/>
    </xf>
    <xf numFmtId="183" fontId="1" fillId="15" borderId="296" xfId="0" applyNumberFormat="1" applyFont="1" applyFill="1" applyBorder="1" applyAlignment="1">
      <alignment horizontal="right" vertical="center" wrapText="1" indent="1"/>
    </xf>
    <xf numFmtId="183" fontId="1" fillId="15" borderId="295" xfId="0" applyNumberFormat="1" applyFont="1" applyFill="1" applyBorder="1" applyAlignment="1">
      <alignment horizontal="right" vertical="center" wrapText="1" indent="1"/>
    </xf>
    <xf numFmtId="183" fontId="48" fillId="15" borderId="300" xfId="0" applyNumberFormat="1" applyFont="1" applyFill="1" applyBorder="1" applyAlignment="1">
      <alignment horizontal="right" vertical="center" wrapText="1" indent="1"/>
    </xf>
    <xf numFmtId="183" fontId="1" fillId="15" borderId="226" xfId="0" applyNumberFormat="1" applyFont="1" applyFill="1" applyBorder="1" applyAlignment="1">
      <alignment horizontal="right" vertical="center" wrapText="1" indent="1"/>
    </xf>
    <xf numFmtId="2" fontId="1" fillId="15" borderId="295" xfId="0" applyNumberFormat="1" applyFont="1" applyFill="1" applyBorder="1" applyAlignment="1">
      <alignment horizontal="right" vertical="center" wrapText="1" indent="1"/>
    </xf>
    <xf numFmtId="183" fontId="13" fillId="15" borderId="296" xfId="0" applyNumberFormat="1" applyFont="1" applyFill="1" applyBorder="1" applyAlignment="1">
      <alignment horizontal="right" vertical="center" wrapText="1" indent="1"/>
    </xf>
    <xf numFmtId="2" fontId="13" fillId="15" borderId="295" xfId="0" applyNumberFormat="1" applyFont="1" applyFill="1" applyBorder="1" applyAlignment="1">
      <alignment horizontal="right" vertical="center" wrapText="1" indent="1"/>
    </xf>
    <xf numFmtId="183" fontId="1" fillId="15" borderId="301" xfId="0" applyNumberFormat="1" applyFont="1" applyFill="1" applyBorder="1" applyAlignment="1">
      <alignment horizontal="right" vertical="center" wrapText="1" indent="1"/>
    </xf>
    <xf numFmtId="183" fontId="4" fillId="15" borderId="300" xfId="0" applyNumberFormat="1" applyFont="1" applyFill="1" applyBorder="1" applyAlignment="1">
      <alignment horizontal="right" vertical="center" wrapText="1" indent="1"/>
    </xf>
    <xf numFmtId="183" fontId="4" fillId="15" borderId="296" xfId="0" applyNumberFormat="1" applyFont="1" applyFill="1" applyBorder="1" applyAlignment="1">
      <alignment horizontal="right" vertical="center" wrapText="1" indent="1"/>
    </xf>
    <xf numFmtId="183" fontId="4" fillId="15" borderId="297" xfId="0" applyNumberFormat="1" applyFont="1" applyFill="1" applyBorder="1" applyAlignment="1">
      <alignment horizontal="right" vertical="center" wrapText="1" indent="1"/>
    </xf>
    <xf numFmtId="183" fontId="9" fillId="15" borderId="226" xfId="0" applyNumberFormat="1" applyFont="1" applyFill="1" applyBorder="1" applyAlignment="1">
      <alignment horizontal="right" vertical="center" wrapText="1" indent="1"/>
    </xf>
    <xf numFmtId="173" fontId="13" fillId="15" borderId="297" xfId="0" applyNumberFormat="1" applyFont="1" applyFill="1" applyBorder="1" applyAlignment="1">
      <alignment horizontal="left" vertical="center" wrapText="1" indent="1"/>
    </xf>
    <xf numFmtId="183" fontId="9" fillId="15" borderId="299" xfId="0" applyNumberFormat="1" applyFont="1" applyFill="1" applyBorder="1" applyAlignment="1">
      <alignment horizontal="right" vertical="center" wrapText="1" indent="1"/>
    </xf>
    <xf numFmtId="183" fontId="0" fillId="15" borderId="296" xfId="0" applyNumberFormat="1" applyFill="1" applyBorder="1" applyAlignment="1">
      <alignment horizontal="right" vertical="center" wrapText="1" indent="2"/>
    </xf>
    <xf numFmtId="183" fontId="0" fillId="15" borderId="297" xfId="0" applyNumberFormat="1" applyFill="1" applyBorder="1" applyAlignment="1">
      <alignment horizontal="right" vertical="center" wrapText="1" indent="2"/>
    </xf>
    <xf numFmtId="183" fontId="0" fillId="15" borderId="296" xfId="0" applyNumberFormat="1" applyFont="1" applyFill="1" applyBorder="1" applyAlignment="1">
      <alignment horizontal="right" vertical="center" wrapText="1" indent="1"/>
    </xf>
    <xf numFmtId="183" fontId="0" fillId="15" borderId="301" xfId="0" applyNumberFormat="1" applyFont="1" applyFill="1" applyBorder="1" applyAlignment="1">
      <alignment horizontal="right" vertical="center" wrapText="1" indent="1"/>
    </xf>
    <xf numFmtId="183" fontId="0" fillId="15" borderId="300" xfId="0" applyNumberFormat="1" applyFill="1" applyBorder="1" applyAlignment="1">
      <alignment horizontal="right" vertical="center" wrapText="1" indent="2"/>
    </xf>
    <xf numFmtId="183" fontId="0" fillId="15" borderId="295" xfId="0" applyNumberFormat="1" applyFill="1" applyBorder="1" applyAlignment="1">
      <alignment horizontal="right" vertical="center" wrapText="1" indent="2"/>
    </xf>
    <xf numFmtId="183" fontId="0" fillId="15" borderId="299" xfId="0" applyNumberFormat="1" applyFill="1" applyBorder="1" applyAlignment="1">
      <alignment horizontal="right" vertical="center" wrapText="1" indent="2"/>
    </xf>
    <xf numFmtId="183" fontId="0" fillId="15" borderId="301" xfId="0" applyNumberFormat="1" applyFill="1" applyBorder="1" applyAlignment="1">
      <alignment horizontal="right" vertical="center" wrapText="1" indent="2"/>
    </xf>
    <xf numFmtId="166" fontId="9" fillId="15" borderId="296" xfId="0" applyNumberFormat="1" applyFont="1" applyFill="1" applyBorder="1" applyAlignment="1">
      <alignment horizontal="right" vertical="center" wrapText="1" indent="2"/>
    </xf>
    <xf numFmtId="166" fontId="9" fillId="15" borderId="297" xfId="0" applyNumberFormat="1" applyFont="1" applyFill="1" applyBorder="1" applyAlignment="1">
      <alignment horizontal="right" vertical="center" wrapText="1" indent="2"/>
    </xf>
    <xf numFmtId="183" fontId="48" fillId="0" borderId="150" xfId="0" applyNumberFormat="1" applyFont="1" applyFill="1" applyBorder="1" applyAlignment="1">
      <alignment horizontal="right" vertical="center" wrapText="1" indent="1"/>
    </xf>
    <xf numFmtId="183" fontId="48" fillId="25" borderId="154" xfId="0" applyNumberFormat="1" applyFont="1" applyFill="1" applyBorder="1" applyAlignment="1">
      <alignment horizontal="right" vertical="center" wrapText="1" indent="1"/>
    </xf>
    <xf numFmtId="183" fontId="48" fillId="24" borderId="154" xfId="0" applyNumberFormat="1" applyFont="1" applyFill="1" applyBorder="1" applyAlignment="1">
      <alignment horizontal="right" vertical="center" wrapText="1" indent="1"/>
    </xf>
    <xf numFmtId="183" fontId="48" fillId="15" borderId="154" xfId="0" applyNumberFormat="1" applyFont="1" applyFill="1" applyBorder="1" applyAlignment="1">
      <alignment horizontal="right" vertical="center" wrapText="1" indent="1"/>
    </xf>
    <xf numFmtId="183" fontId="48" fillId="15" borderId="295" xfId="0" applyNumberFormat="1" applyFont="1" applyFill="1" applyBorder="1" applyAlignment="1">
      <alignment horizontal="right" vertical="center" wrapText="1" indent="1"/>
    </xf>
    <xf numFmtId="183" fontId="48" fillId="27" borderId="158" xfId="0" applyNumberFormat="1" applyFont="1" applyFill="1" applyBorder="1" applyAlignment="1">
      <alignment horizontal="right" vertical="center" wrapText="1" indent="1"/>
    </xf>
    <xf numFmtId="183" fontId="48" fillId="24" borderId="270" xfId="0" applyNumberFormat="1" applyFont="1" applyFill="1" applyBorder="1" applyAlignment="1">
      <alignment horizontal="right" vertical="center" wrapText="1" indent="1"/>
    </xf>
    <xf numFmtId="183" fontId="48" fillId="25" borderId="270" xfId="0" applyNumberFormat="1" applyFont="1" applyFill="1" applyBorder="1" applyAlignment="1">
      <alignment horizontal="right" vertical="center" wrapText="1" indent="1"/>
    </xf>
    <xf numFmtId="183" fontId="48" fillId="12" borderId="270" xfId="0" applyNumberFormat="1" applyFont="1" applyFill="1" applyBorder="1" applyAlignment="1">
      <alignment horizontal="right" vertical="center" wrapText="1" indent="1"/>
    </xf>
    <xf numFmtId="183" fontId="48" fillId="0" borderId="270" xfId="0" applyNumberFormat="1" applyFont="1" applyFill="1" applyBorder="1" applyAlignment="1">
      <alignment horizontal="right" vertical="center" wrapText="1" indent="1"/>
    </xf>
    <xf numFmtId="183" fontId="47" fillId="25" borderId="165" xfId="0" applyNumberFormat="1" applyFont="1" applyFill="1" applyBorder="1" applyAlignment="1">
      <alignment horizontal="right" vertical="center" wrapText="1" indent="1"/>
    </xf>
    <xf numFmtId="183" fontId="1" fillId="19" borderId="289" xfId="0" applyNumberFormat="1" applyFont="1" applyFill="1" applyBorder="1" applyAlignment="1">
      <alignment horizontal="center" vertical="center" wrapText="1"/>
    </xf>
    <xf numFmtId="183" fontId="37" fillId="0" borderId="37" xfId="0" applyNumberFormat="1" applyFont="1" applyFill="1" applyBorder="1" applyAlignment="1">
      <alignment horizontal="right" vertical="center" wrapText="1" indent="1"/>
    </xf>
    <xf numFmtId="183" fontId="4" fillId="25" borderId="201" xfId="0" applyNumberFormat="1" applyFont="1" applyFill="1" applyBorder="1" applyAlignment="1">
      <alignment horizontal="right" vertical="center" wrapText="1" indent="1"/>
    </xf>
    <xf numFmtId="183" fontId="4" fillId="0" borderId="207" xfId="0" applyNumberFormat="1" applyFont="1" applyFill="1" applyBorder="1" applyAlignment="1">
      <alignment horizontal="right" vertical="center" wrapText="1" indent="1"/>
    </xf>
    <xf numFmtId="183" fontId="4" fillId="24" borderId="207" xfId="0" applyNumberFormat="1" applyFont="1" applyFill="1" applyBorder="1" applyAlignment="1">
      <alignment horizontal="right" vertical="center" wrapText="1" indent="1"/>
    </xf>
    <xf numFmtId="183" fontId="4" fillId="27" borderId="207" xfId="0" applyNumberFormat="1" applyFont="1" applyFill="1" applyBorder="1" applyAlignment="1">
      <alignment horizontal="right" vertical="center" wrapText="1" indent="1"/>
    </xf>
    <xf numFmtId="183" fontId="4" fillId="27" borderId="213" xfId="0" applyNumberFormat="1" applyFont="1" applyFill="1" applyBorder="1" applyAlignment="1">
      <alignment horizontal="right" vertical="center" wrapText="1" indent="1"/>
    </xf>
    <xf numFmtId="183" fontId="4" fillId="0" borderId="160" xfId="0" applyNumberFormat="1" applyFont="1" applyFill="1" applyBorder="1" applyAlignment="1">
      <alignment horizontal="right" vertical="center" wrapText="1" indent="1"/>
    </xf>
    <xf numFmtId="183" fontId="4" fillId="0" borderId="164" xfId="0" applyNumberFormat="1" applyFont="1" applyFill="1" applyBorder="1" applyAlignment="1">
      <alignment horizontal="right" vertical="center" wrapText="1" indent="1"/>
    </xf>
    <xf numFmtId="183" fontId="4" fillId="25" borderId="164" xfId="0" applyNumberFormat="1" applyFont="1" applyFill="1" applyBorder="1" applyAlignment="1">
      <alignment horizontal="right" vertical="center" wrapText="1" indent="1"/>
    </xf>
    <xf numFmtId="183" fontId="4" fillId="24" borderId="164" xfId="0" applyNumberFormat="1" applyFont="1" applyFill="1" applyBorder="1" applyAlignment="1">
      <alignment horizontal="right" vertical="center" wrapText="1" indent="1"/>
    </xf>
    <xf numFmtId="183" fontId="4" fillId="15" borderId="164" xfId="0" applyNumberFormat="1" applyFont="1" applyFill="1" applyBorder="1" applyAlignment="1">
      <alignment horizontal="right" vertical="center" wrapText="1" indent="1"/>
    </xf>
    <xf numFmtId="183" fontId="4" fillId="15" borderId="226" xfId="0" applyNumberFormat="1" applyFont="1" applyFill="1" applyBorder="1" applyAlignment="1">
      <alignment horizontal="right" vertical="center" wrapText="1" indent="1"/>
    </xf>
    <xf numFmtId="183" fontId="4" fillId="27" borderId="168" xfId="0" applyNumberFormat="1" applyFont="1" applyFill="1" applyBorder="1" applyAlignment="1">
      <alignment horizontal="right" vertical="center" wrapText="1" indent="1"/>
    </xf>
    <xf numFmtId="183" fontId="4" fillId="25" borderId="160" xfId="0" applyNumberFormat="1" applyFont="1" applyFill="1" applyBorder="1" applyAlignment="1">
      <alignment horizontal="right" vertical="center" wrapText="1" indent="1"/>
    </xf>
    <xf numFmtId="183" fontId="9" fillId="24" borderId="80" xfId="0" applyNumberFormat="1" applyFont="1" applyFill="1" applyBorder="1" applyAlignment="1">
      <alignment horizontal="right" vertical="center" wrapText="1" indent="1"/>
    </xf>
    <xf numFmtId="183" fontId="9" fillId="12" borderId="184" xfId="0" quotePrefix="1" applyNumberFormat="1" applyFont="1" applyFill="1" applyBorder="1" applyAlignment="1">
      <alignment horizontal="right" vertical="center" wrapText="1" indent="1"/>
    </xf>
    <xf numFmtId="183" fontId="9" fillId="12" borderId="207" xfId="0" applyNumberFormat="1" applyFont="1" applyFill="1" applyBorder="1" applyAlignment="1">
      <alignment horizontal="right" vertical="center" wrapText="1" indent="1"/>
    </xf>
    <xf numFmtId="183" fontId="9" fillId="12" borderId="191" xfId="0" applyNumberFormat="1" applyFont="1" applyFill="1" applyBorder="1" applyAlignment="1">
      <alignment horizontal="right" vertical="center" wrapText="1" indent="1"/>
    </xf>
    <xf numFmtId="183" fontId="9" fillId="12" borderId="184" xfId="0" applyNumberFormat="1" applyFont="1" applyFill="1" applyBorder="1" applyAlignment="1">
      <alignment horizontal="right" vertical="center" wrapText="1" indent="1"/>
    </xf>
    <xf numFmtId="183" fontId="9" fillId="25" borderId="290" xfId="0" applyNumberFormat="1" applyFont="1" applyFill="1" applyBorder="1" applyAlignment="1">
      <alignment horizontal="right" vertical="center" wrapText="1" indent="1"/>
    </xf>
    <xf numFmtId="183" fontId="37" fillId="12" borderId="290" xfId="0" applyNumberFormat="1" applyFont="1" applyFill="1" applyBorder="1" applyAlignment="1">
      <alignment horizontal="right" vertical="center" wrapText="1" indent="1"/>
    </xf>
    <xf numFmtId="183" fontId="37" fillId="12" borderId="63" xfId="0" applyNumberFormat="1" applyFont="1" applyFill="1" applyBorder="1" applyAlignment="1">
      <alignment horizontal="right" vertical="center" wrapText="1" indent="1"/>
    </xf>
    <xf numFmtId="183" fontId="4" fillId="25" borderId="66" xfId="0" applyNumberFormat="1" applyFont="1" applyFill="1" applyBorder="1" applyAlignment="1">
      <alignment horizontal="right" vertical="center" wrapText="1" indent="1"/>
    </xf>
    <xf numFmtId="183" fontId="4" fillId="12" borderId="63" xfId="0" applyNumberFormat="1" applyFont="1" applyFill="1" applyBorder="1" applyAlignment="1">
      <alignment horizontal="right" vertical="center" wrapText="1" indent="1"/>
    </xf>
    <xf numFmtId="183" fontId="37" fillId="0" borderId="45" xfId="0" applyNumberFormat="1" applyFont="1" applyFill="1" applyBorder="1" applyAlignment="1">
      <alignment horizontal="right" vertical="center" wrapText="1" indent="1"/>
    </xf>
    <xf numFmtId="183" fontId="37" fillId="25" borderId="290" xfId="0" applyNumberFormat="1" applyFont="1" applyFill="1" applyBorder="1" applyAlignment="1">
      <alignment horizontal="right" vertical="center" wrapText="1" indent="1"/>
    </xf>
    <xf numFmtId="183" fontId="37" fillId="0" borderId="290" xfId="0" applyNumberFormat="1" applyFont="1" applyFill="1" applyBorder="1" applyAlignment="1">
      <alignment horizontal="right" vertical="center" wrapText="1" indent="1"/>
    </xf>
    <xf numFmtId="183" fontId="37" fillId="0" borderId="66" xfId="0" applyNumberFormat="1" applyFont="1" applyBorder="1" applyAlignment="1">
      <alignment horizontal="right" vertical="center" wrapText="1" indent="1"/>
    </xf>
    <xf numFmtId="183" fontId="37" fillId="0" borderId="45" xfId="0" applyNumberFormat="1" applyFont="1" applyBorder="1" applyAlignment="1">
      <alignment horizontal="right" vertical="center" wrapText="1" indent="1"/>
    </xf>
    <xf numFmtId="183" fontId="57" fillId="0" borderId="148" xfId="0" applyNumberFormat="1" applyFont="1" applyFill="1" applyBorder="1" applyAlignment="1">
      <alignment horizontal="left" vertical="center" wrapText="1" indent="2"/>
    </xf>
    <xf numFmtId="183" fontId="57" fillId="0" borderId="152" xfId="0" applyNumberFormat="1" applyFont="1" applyFill="1" applyBorder="1" applyAlignment="1">
      <alignment horizontal="left" vertical="center" wrapText="1" indent="2"/>
    </xf>
    <xf numFmtId="183" fontId="57" fillId="25" borderId="152" xfId="0" applyNumberFormat="1" applyFont="1" applyFill="1" applyBorder="1" applyAlignment="1">
      <alignment horizontal="left" vertical="center" wrapText="1" indent="2"/>
    </xf>
    <xf numFmtId="183" fontId="57" fillId="24" borderId="152" xfId="0" applyNumberFormat="1" applyFont="1" applyFill="1" applyBorder="1" applyAlignment="1">
      <alignment horizontal="left" vertical="center" wrapText="1" indent="2"/>
    </xf>
    <xf numFmtId="183" fontId="57" fillId="15" borderId="152" xfId="0" applyNumberFormat="1" applyFont="1" applyFill="1" applyBorder="1" applyAlignment="1">
      <alignment horizontal="left" vertical="center" wrapText="1" indent="2"/>
    </xf>
    <xf numFmtId="183" fontId="57" fillId="15" borderId="296" xfId="0" applyNumberFormat="1" applyFont="1" applyFill="1" applyBorder="1" applyAlignment="1">
      <alignment horizontal="left" vertical="center" wrapText="1" indent="2"/>
    </xf>
    <xf numFmtId="183" fontId="57" fillId="27" borderId="156" xfId="0" applyNumberFormat="1" applyFont="1" applyFill="1" applyBorder="1" applyAlignment="1">
      <alignment horizontal="left" vertical="center" wrapText="1" indent="2"/>
    </xf>
    <xf numFmtId="183" fontId="56" fillId="25" borderId="154" xfId="0" applyNumberFormat="1" applyFont="1" applyFill="1" applyBorder="1" applyAlignment="1">
      <alignment horizontal="right" vertical="center" wrapText="1" indent="1"/>
    </xf>
    <xf numFmtId="183" fontId="56" fillId="0" borderId="150" xfId="0" applyNumberFormat="1" applyFont="1" applyFill="1" applyBorder="1" applyAlignment="1">
      <alignment horizontal="right" vertical="center" wrapText="1" indent="1"/>
    </xf>
    <xf numFmtId="173" fontId="56" fillId="0" borderId="150" xfId="0" applyNumberFormat="1" applyFont="1" applyFill="1" applyBorder="1" applyAlignment="1">
      <alignment horizontal="right" vertical="center" wrapText="1" indent="1"/>
    </xf>
    <xf numFmtId="183" fontId="57" fillId="0" borderId="150" xfId="0" applyNumberFormat="1" applyFont="1" applyFill="1" applyBorder="1" applyAlignment="1">
      <alignment horizontal="right" vertical="center" wrapText="1" indent="1"/>
    </xf>
    <xf numFmtId="173" fontId="56" fillId="25" borderId="154" xfId="0" applyNumberFormat="1" applyFont="1" applyFill="1" applyBorder="1" applyAlignment="1">
      <alignment horizontal="right" vertical="center" wrapText="1" indent="1"/>
    </xf>
    <xf numFmtId="183" fontId="57" fillId="25" borderId="154" xfId="0" applyNumberFormat="1" applyFont="1" applyFill="1" applyBorder="1" applyAlignment="1">
      <alignment horizontal="right" vertical="center" wrapText="1" indent="1"/>
    </xf>
    <xf numFmtId="183" fontId="56" fillId="24" borderId="154" xfId="0" applyNumberFormat="1" applyFont="1" applyFill="1" applyBorder="1" applyAlignment="1">
      <alignment horizontal="right" vertical="center" wrapText="1" indent="1"/>
    </xf>
    <xf numFmtId="173" fontId="56" fillId="24" borderId="154" xfId="0" applyNumberFormat="1" applyFont="1" applyFill="1" applyBorder="1" applyAlignment="1">
      <alignment horizontal="right" vertical="center" wrapText="1" indent="1"/>
    </xf>
    <xf numFmtId="183" fontId="57" fillId="24" borderId="154" xfId="0" applyNumberFormat="1" applyFont="1" applyFill="1" applyBorder="1" applyAlignment="1">
      <alignment horizontal="right" vertical="center" wrapText="1" indent="1"/>
    </xf>
    <xf numFmtId="183" fontId="56" fillId="15" borderId="154" xfId="0" applyNumberFormat="1" applyFont="1" applyFill="1" applyBorder="1" applyAlignment="1">
      <alignment horizontal="right" vertical="center" wrapText="1" indent="1"/>
    </xf>
    <xf numFmtId="173" fontId="56" fillId="15" borderId="154" xfId="0" applyNumberFormat="1" applyFont="1" applyFill="1" applyBorder="1" applyAlignment="1">
      <alignment horizontal="right" vertical="center" wrapText="1" indent="1"/>
    </xf>
    <xf numFmtId="183" fontId="57" fillId="15" borderId="154" xfId="0" applyNumberFormat="1" applyFont="1" applyFill="1" applyBorder="1" applyAlignment="1">
      <alignment horizontal="right" vertical="center" wrapText="1" indent="1"/>
    </xf>
    <xf numFmtId="183" fontId="56" fillId="15" borderId="295" xfId="0" applyNumberFormat="1" applyFont="1" applyFill="1" applyBorder="1" applyAlignment="1">
      <alignment horizontal="right" vertical="center" wrapText="1" indent="1"/>
    </xf>
    <xf numFmtId="173" fontId="56" fillId="15" borderId="295" xfId="0" applyNumberFormat="1" applyFont="1" applyFill="1" applyBorder="1" applyAlignment="1">
      <alignment horizontal="right" vertical="center" wrapText="1" indent="1"/>
    </xf>
    <xf numFmtId="183" fontId="57" fillId="15" borderId="295" xfId="0" applyNumberFormat="1" applyFont="1" applyFill="1" applyBorder="1" applyAlignment="1">
      <alignment horizontal="right" vertical="center" wrapText="1" indent="1"/>
    </xf>
    <xf numFmtId="183" fontId="56" fillId="27" borderId="158" xfId="0" applyNumberFormat="1" applyFont="1" applyFill="1" applyBorder="1" applyAlignment="1">
      <alignment horizontal="right" vertical="center" wrapText="1" indent="1"/>
    </xf>
    <xf numFmtId="173" fontId="56" fillId="27" borderId="158" xfId="0" applyNumberFormat="1" applyFont="1" applyFill="1" applyBorder="1" applyAlignment="1">
      <alignment horizontal="right" vertical="center" wrapText="1" indent="1"/>
    </xf>
    <xf numFmtId="183" fontId="57" fillId="27" borderId="158" xfId="0" applyNumberFormat="1" applyFont="1" applyFill="1" applyBorder="1" applyAlignment="1">
      <alignment horizontal="right" vertical="center" wrapText="1" indent="1"/>
    </xf>
    <xf numFmtId="183" fontId="57" fillId="0" borderId="161" xfId="0" applyNumberFormat="1" applyFont="1" applyFill="1" applyBorder="1" applyAlignment="1">
      <alignment horizontal="right" vertical="center" wrapText="1" indent="1"/>
    </xf>
    <xf numFmtId="183" fontId="57" fillId="25" borderId="165" xfId="0" applyNumberFormat="1" applyFont="1" applyFill="1" applyBorder="1" applyAlignment="1">
      <alignment horizontal="right" vertical="center" wrapText="1" indent="1"/>
    </xf>
    <xf numFmtId="183" fontId="57" fillId="24" borderId="165" xfId="0" applyNumberFormat="1" applyFont="1" applyFill="1" applyBorder="1" applyAlignment="1">
      <alignment horizontal="right" vertical="center" wrapText="1" indent="1"/>
    </xf>
    <xf numFmtId="183" fontId="57" fillId="15" borderId="165" xfId="0" applyNumberFormat="1" applyFont="1" applyFill="1" applyBorder="1" applyAlignment="1">
      <alignment horizontal="right" vertical="center" wrapText="1" indent="1"/>
    </xf>
    <xf numFmtId="183" fontId="57" fillId="15" borderId="300" xfId="0" applyNumberFormat="1" applyFont="1" applyFill="1" applyBorder="1" applyAlignment="1">
      <alignment horizontal="right" vertical="center" wrapText="1" indent="1"/>
    </xf>
    <xf numFmtId="183" fontId="56" fillId="0" borderId="149" xfId="0" applyNumberFormat="1" applyFont="1" applyFill="1" applyBorder="1" applyAlignment="1">
      <alignment horizontal="right" vertical="center" wrapText="1" indent="1"/>
    </xf>
    <xf numFmtId="9" fontId="56" fillId="0" borderId="150" xfId="0" applyNumberFormat="1" applyFont="1" applyFill="1" applyBorder="1" applyAlignment="1">
      <alignment horizontal="right" vertical="center" wrapText="1" indent="3"/>
    </xf>
    <xf numFmtId="183" fontId="48" fillId="0" borderId="148" xfId="0" applyNumberFormat="1" applyFont="1" applyFill="1" applyBorder="1" applyAlignment="1">
      <alignment horizontal="right" vertical="center" wrapText="1" indent="2"/>
    </xf>
    <xf numFmtId="183" fontId="66" fillId="0" borderId="149" xfId="0" applyNumberFormat="1" applyFont="1" applyFill="1" applyBorder="1" applyAlignment="1">
      <alignment horizontal="right" vertical="center" wrapText="1" indent="2"/>
    </xf>
    <xf numFmtId="173" fontId="13" fillId="0" borderId="150" xfId="0" applyNumberFormat="1" applyFont="1" applyFill="1" applyBorder="1" applyAlignment="1">
      <alignment horizontal="right" vertical="center" wrapText="1" indent="4"/>
    </xf>
    <xf numFmtId="183" fontId="56" fillId="0" borderId="153" xfId="0" applyNumberFormat="1" applyFont="1" applyFill="1" applyBorder="1" applyAlignment="1">
      <alignment horizontal="right" vertical="center" wrapText="1" indent="1"/>
    </xf>
    <xf numFmtId="9" fontId="56" fillId="0" borderId="154" xfId="0" applyNumberFormat="1" applyFont="1" applyFill="1" applyBorder="1" applyAlignment="1">
      <alignment horizontal="right" vertical="center" wrapText="1" indent="3"/>
    </xf>
    <xf numFmtId="183" fontId="48" fillId="0" borderId="152" xfId="0" applyNumberFormat="1" applyFont="1" applyFill="1" applyBorder="1" applyAlignment="1">
      <alignment horizontal="right" vertical="center" wrapText="1" indent="2"/>
    </xf>
    <xf numFmtId="183" fontId="66" fillId="0" borderId="153" xfId="0" applyNumberFormat="1" applyFont="1" applyFill="1" applyBorder="1" applyAlignment="1">
      <alignment horizontal="right" vertical="center" wrapText="1" indent="2"/>
    </xf>
    <xf numFmtId="173" fontId="13" fillId="0" borderId="154" xfId="0" applyNumberFormat="1" applyFont="1" applyFill="1" applyBorder="1" applyAlignment="1">
      <alignment horizontal="right" vertical="center" wrapText="1" indent="4"/>
    </xf>
    <xf numFmtId="183" fontId="56" fillId="25" borderId="153" xfId="0" applyNumberFormat="1" applyFont="1" applyFill="1" applyBorder="1" applyAlignment="1">
      <alignment horizontal="right" vertical="center" wrapText="1" indent="1"/>
    </xf>
    <xf numFmtId="9" fontId="56" fillId="25" borderId="154" xfId="0" applyNumberFormat="1" applyFont="1" applyFill="1" applyBorder="1" applyAlignment="1">
      <alignment horizontal="right" vertical="center" wrapText="1" indent="3"/>
    </xf>
    <xf numFmtId="183" fontId="48" fillId="25" borderId="152" xfId="0" applyNumberFormat="1" applyFont="1" applyFill="1" applyBorder="1" applyAlignment="1">
      <alignment horizontal="right" vertical="center" wrapText="1" indent="2"/>
    </xf>
    <xf numFmtId="183" fontId="66" fillId="25" borderId="153" xfId="0" applyNumberFormat="1" applyFont="1" applyFill="1" applyBorder="1" applyAlignment="1">
      <alignment horizontal="right" vertical="center" wrapText="1" indent="2"/>
    </xf>
    <xf numFmtId="173" fontId="13" fillId="25" borderId="154" xfId="0" applyNumberFormat="1" applyFont="1" applyFill="1" applyBorder="1" applyAlignment="1">
      <alignment horizontal="right" vertical="center" wrapText="1" indent="4"/>
    </xf>
    <xf numFmtId="183" fontId="56" fillId="24" borderId="153" xfId="0" applyNumberFormat="1" applyFont="1" applyFill="1" applyBorder="1" applyAlignment="1">
      <alignment horizontal="right" vertical="center" wrapText="1" indent="1"/>
    </xf>
    <xf numFmtId="9" fontId="56" fillId="24" borderId="154" xfId="0" applyNumberFormat="1" applyFont="1" applyFill="1" applyBorder="1" applyAlignment="1">
      <alignment horizontal="right" vertical="center" wrapText="1" indent="3"/>
    </xf>
    <xf numFmtId="183" fontId="48" fillId="24" borderId="152" xfId="0" applyNumberFormat="1" applyFont="1" applyFill="1" applyBorder="1" applyAlignment="1">
      <alignment horizontal="right" vertical="center" wrapText="1" indent="2"/>
    </xf>
    <xf numFmtId="183" fontId="66" fillId="24" borderId="153" xfId="0" applyNumberFormat="1" applyFont="1" applyFill="1" applyBorder="1" applyAlignment="1">
      <alignment horizontal="right" vertical="center" wrapText="1" indent="2"/>
    </xf>
    <xf numFmtId="173" fontId="13" fillId="24" borderId="154" xfId="0" applyNumberFormat="1" applyFont="1" applyFill="1" applyBorder="1" applyAlignment="1">
      <alignment horizontal="right" vertical="center" wrapText="1" indent="4"/>
    </xf>
    <xf numFmtId="183" fontId="56" fillId="15" borderId="153" xfId="0" applyNumberFormat="1" applyFont="1" applyFill="1" applyBorder="1" applyAlignment="1">
      <alignment horizontal="right" vertical="center" wrapText="1" indent="1"/>
    </xf>
    <xf numFmtId="9" fontId="56" fillId="15" borderId="154" xfId="0" applyNumberFormat="1" applyFont="1" applyFill="1" applyBorder="1" applyAlignment="1">
      <alignment horizontal="right" vertical="center" wrapText="1" indent="3"/>
    </xf>
    <xf numFmtId="183" fontId="48" fillId="15" borderId="152" xfId="0" applyNumberFormat="1" applyFont="1" applyFill="1" applyBorder="1" applyAlignment="1">
      <alignment horizontal="right" vertical="center" wrapText="1" indent="2"/>
    </xf>
    <xf numFmtId="183" fontId="66" fillId="15" borderId="153" xfId="0" applyNumberFormat="1" applyFont="1" applyFill="1" applyBorder="1" applyAlignment="1">
      <alignment horizontal="right" vertical="center" wrapText="1" indent="2"/>
    </xf>
    <xf numFmtId="173" fontId="13" fillId="15" borderId="154" xfId="0" applyNumberFormat="1" applyFont="1" applyFill="1" applyBorder="1" applyAlignment="1">
      <alignment horizontal="right" vertical="center" wrapText="1" indent="4"/>
    </xf>
    <xf numFmtId="183" fontId="56" fillId="15" borderId="224" xfId="0" applyNumberFormat="1" applyFont="1" applyFill="1" applyBorder="1" applyAlignment="1">
      <alignment horizontal="right" vertical="center" wrapText="1" indent="1"/>
    </xf>
    <xf numFmtId="9" fontId="56" fillId="15" borderId="295" xfId="0" applyNumberFormat="1" applyFont="1" applyFill="1" applyBorder="1" applyAlignment="1">
      <alignment horizontal="right" vertical="center" wrapText="1" indent="3"/>
    </xf>
    <xf numFmtId="183" fontId="48" fillId="15" borderId="296" xfId="0" applyNumberFormat="1" applyFont="1" applyFill="1" applyBorder="1" applyAlignment="1">
      <alignment horizontal="right" vertical="center" wrapText="1" indent="2"/>
    </xf>
    <xf numFmtId="183" fontId="66" fillId="15" borderId="224" xfId="0" applyNumberFormat="1" applyFont="1" applyFill="1" applyBorder="1" applyAlignment="1">
      <alignment horizontal="right" vertical="center" wrapText="1" indent="2"/>
    </xf>
    <xf numFmtId="173" fontId="13" fillId="15" borderId="295" xfId="0" applyNumberFormat="1" applyFont="1" applyFill="1" applyBorder="1" applyAlignment="1">
      <alignment horizontal="right" vertical="center" wrapText="1" indent="4"/>
    </xf>
    <xf numFmtId="183" fontId="57" fillId="27" borderId="169" xfId="0" applyNumberFormat="1" applyFont="1" applyFill="1" applyBorder="1" applyAlignment="1">
      <alignment horizontal="right" vertical="center" wrapText="1" indent="2"/>
    </xf>
    <xf numFmtId="183" fontId="56" fillId="27" borderId="157" xfId="0" applyNumberFormat="1" applyFont="1" applyFill="1" applyBorder="1" applyAlignment="1">
      <alignment horizontal="right" vertical="center" wrapText="1" indent="1"/>
    </xf>
    <xf numFmtId="9" fontId="56" fillId="27" borderId="158" xfId="0" applyNumberFormat="1" applyFont="1" applyFill="1" applyBorder="1" applyAlignment="1">
      <alignment horizontal="right" vertical="center" wrapText="1" indent="3"/>
    </xf>
    <xf numFmtId="183" fontId="48" fillId="27" borderId="156" xfId="0" applyNumberFormat="1" applyFont="1" applyFill="1" applyBorder="1" applyAlignment="1">
      <alignment horizontal="right" vertical="center" wrapText="1" indent="2"/>
    </xf>
    <xf numFmtId="183" fontId="66" fillId="27" borderId="157" xfId="0" applyNumberFormat="1" applyFont="1" applyFill="1" applyBorder="1" applyAlignment="1">
      <alignment horizontal="right" vertical="center" wrapText="1" indent="2"/>
    </xf>
    <xf numFmtId="173" fontId="13" fillId="27" borderId="158" xfId="0" applyNumberFormat="1" applyFont="1" applyFill="1" applyBorder="1" applyAlignment="1">
      <alignment horizontal="right" vertical="center" wrapText="1" indent="4"/>
    </xf>
    <xf numFmtId="183" fontId="9" fillId="27" borderId="171" xfId="0" applyNumberFormat="1" applyFont="1" applyFill="1" applyBorder="1" applyAlignment="1">
      <alignment horizontal="right" vertical="center" wrapText="1" indent="2"/>
    </xf>
    <xf numFmtId="183" fontId="47" fillId="24" borderId="165" xfId="0" applyNumberFormat="1" applyFont="1" applyFill="1" applyBorder="1" applyAlignment="1">
      <alignment horizontal="right" vertical="center" wrapText="1" indent="1"/>
    </xf>
    <xf numFmtId="183" fontId="47" fillId="0" borderId="165" xfId="0" applyNumberFormat="1" applyFont="1" applyFill="1" applyBorder="1" applyAlignment="1">
      <alignment horizontal="right" vertical="center" wrapText="1" indent="1"/>
    </xf>
    <xf numFmtId="183" fontId="47" fillId="15" borderId="165" xfId="0" applyNumberFormat="1" applyFont="1" applyFill="1" applyBorder="1" applyAlignment="1">
      <alignment horizontal="right" vertical="center" wrapText="1" indent="1"/>
    </xf>
    <xf numFmtId="183" fontId="47" fillId="15" borderId="300" xfId="0" applyNumberFormat="1" applyFont="1" applyFill="1" applyBorder="1" applyAlignment="1">
      <alignment horizontal="right" vertical="center" wrapText="1" indent="1"/>
    </xf>
    <xf numFmtId="183" fontId="47" fillId="0" borderId="161" xfId="0" applyNumberFormat="1" applyFont="1" applyFill="1" applyBorder="1" applyAlignment="1">
      <alignment horizontal="right" vertical="center" wrapText="1" indent="1"/>
    </xf>
    <xf numFmtId="9" fontId="56" fillId="0" borderId="150" xfId="0" applyNumberFormat="1" applyFont="1" applyFill="1" applyBorder="1" applyAlignment="1">
      <alignment horizontal="right" vertical="center" wrapText="1" indent="1"/>
    </xf>
    <xf numFmtId="9" fontId="56" fillId="0" borderId="154" xfId="0" applyNumberFormat="1" applyFont="1" applyFill="1" applyBorder="1" applyAlignment="1">
      <alignment horizontal="right" vertical="center" wrapText="1" indent="1"/>
    </xf>
    <xf numFmtId="9" fontId="56" fillId="25" borderId="154" xfId="0" applyNumberFormat="1" applyFont="1" applyFill="1" applyBorder="1" applyAlignment="1">
      <alignment horizontal="right" vertical="center" wrapText="1" indent="1"/>
    </xf>
    <xf numFmtId="9" fontId="56" fillId="24" borderId="154" xfId="0" applyNumberFormat="1" applyFont="1" applyFill="1" applyBorder="1" applyAlignment="1">
      <alignment horizontal="right" vertical="center" wrapText="1" indent="1"/>
    </xf>
    <xf numFmtId="9" fontId="56" fillId="15" borderId="154" xfId="0" applyNumberFormat="1" applyFont="1" applyFill="1" applyBorder="1" applyAlignment="1">
      <alignment horizontal="right" vertical="center" wrapText="1" indent="1"/>
    </xf>
    <xf numFmtId="9" fontId="56" fillId="15" borderId="295" xfId="0" applyNumberFormat="1" applyFont="1" applyFill="1" applyBorder="1" applyAlignment="1">
      <alignment horizontal="right" vertical="center" wrapText="1" indent="1"/>
    </xf>
    <xf numFmtId="183" fontId="37" fillId="0" borderId="22" xfId="0" applyNumberFormat="1" applyFont="1" applyFill="1" applyBorder="1" applyAlignment="1">
      <alignment horizontal="right" vertical="center" wrapText="1" indent="1"/>
    </xf>
    <xf numFmtId="183" fontId="4" fillId="25" borderId="204" xfId="0" applyNumberFormat="1" applyFont="1" applyFill="1" applyBorder="1" applyAlignment="1">
      <alignment horizontal="right" vertical="center" wrapText="1" indent="1"/>
    </xf>
    <xf numFmtId="183" fontId="4" fillId="0" borderId="195" xfId="0" applyNumberFormat="1" applyFont="1" applyFill="1" applyBorder="1" applyAlignment="1">
      <alignment horizontal="right" vertical="center" wrapText="1" indent="1"/>
    </xf>
    <xf numFmtId="183" fontId="4" fillId="24" borderId="195" xfId="0" applyNumberFormat="1" applyFont="1" applyFill="1" applyBorder="1" applyAlignment="1">
      <alignment horizontal="right" vertical="center" wrapText="1" indent="1"/>
    </xf>
    <xf numFmtId="183" fontId="4" fillId="27" borderId="195" xfId="0" applyNumberFormat="1" applyFont="1" applyFill="1" applyBorder="1" applyAlignment="1">
      <alignment horizontal="right" vertical="center" wrapText="1" indent="1"/>
    </xf>
    <xf numFmtId="183" fontId="4" fillId="27" borderId="216" xfId="0" applyNumberFormat="1" applyFont="1" applyFill="1" applyBorder="1" applyAlignment="1">
      <alignment horizontal="right" vertical="center" wrapText="1" indent="1"/>
    </xf>
    <xf numFmtId="183" fontId="4" fillId="0" borderId="163" xfId="0" applyNumberFormat="1" applyFont="1" applyFill="1" applyBorder="1" applyAlignment="1">
      <alignment horizontal="right" vertical="center" wrapText="1" indent="1"/>
    </xf>
    <xf numFmtId="183" fontId="4" fillId="0" borderId="167" xfId="0" applyNumberFormat="1" applyFont="1" applyFill="1" applyBorder="1" applyAlignment="1">
      <alignment horizontal="right" vertical="center" wrapText="1" indent="1"/>
    </xf>
    <xf numFmtId="183" fontId="4" fillId="25" borderId="167" xfId="0" applyNumberFormat="1" applyFont="1" applyFill="1" applyBorder="1" applyAlignment="1">
      <alignment horizontal="right" vertical="center" wrapText="1" indent="1"/>
    </xf>
    <xf numFmtId="183" fontId="4" fillId="24" borderId="167" xfId="0" applyNumberFormat="1" applyFont="1" applyFill="1" applyBorder="1" applyAlignment="1">
      <alignment horizontal="right" vertical="center" wrapText="1" indent="1"/>
    </xf>
    <xf numFmtId="183" fontId="4" fillId="15" borderId="167" xfId="0" applyNumberFormat="1" applyFont="1" applyFill="1" applyBorder="1" applyAlignment="1">
      <alignment horizontal="right" vertical="center" wrapText="1" indent="1"/>
    </xf>
    <xf numFmtId="183" fontId="4" fillId="15" borderId="299" xfId="0" applyNumberFormat="1" applyFont="1" applyFill="1" applyBorder="1" applyAlignment="1">
      <alignment horizontal="right" vertical="center" wrapText="1" indent="1"/>
    </xf>
    <xf numFmtId="183" fontId="4" fillId="27" borderId="171" xfId="0" applyNumberFormat="1" applyFont="1" applyFill="1" applyBorder="1" applyAlignment="1">
      <alignment horizontal="right" vertical="center" wrapText="1" indent="1"/>
    </xf>
    <xf numFmtId="183" fontId="4" fillId="25" borderId="163" xfId="0" applyNumberFormat="1" applyFont="1" applyFill="1" applyBorder="1" applyAlignment="1">
      <alignment horizontal="right" vertical="center" wrapText="1" indent="1"/>
    </xf>
    <xf numFmtId="183" fontId="9" fillId="24" borderId="19" xfId="0" applyNumberFormat="1" applyFont="1" applyFill="1" applyBorder="1" applyAlignment="1">
      <alignment horizontal="right" vertical="center" wrapText="1" indent="1"/>
    </xf>
    <xf numFmtId="183" fontId="9" fillId="12" borderId="186" xfId="0" quotePrefix="1" applyNumberFormat="1" applyFont="1" applyFill="1" applyBorder="1" applyAlignment="1">
      <alignment horizontal="right" vertical="center" wrapText="1" indent="1"/>
    </xf>
    <xf numFmtId="183" fontId="9" fillId="12" borderId="195" xfId="0" applyNumberFormat="1" applyFont="1" applyFill="1" applyBorder="1" applyAlignment="1">
      <alignment horizontal="right" vertical="center" wrapText="1" indent="1"/>
    </xf>
    <xf numFmtId="183" fontId="9" fillId="12" borderId="193" xfId="0" applyNumberFormat="1" applyFont="1" applyFill="1" applyBorder="1" applyAlignment="1">
      <alignment horizontal="right" vertical="center" wrapText="1" indent="1"/>
    </xf>
    <xf numFmtId="183" fontId="9" fillId="12" borderId="186" xfId="0" applyNumberFormat="1" applyFont="1" applyFill="1" applyBorder="1" applyAlignment="1">
      <alignment horizontal="right" vertical="center" wrapText="1" indent="1"/>
    </xf>
    <xf numFmtId="183" fontId="9" fillId="25" borderId="289" xfId="0" applyNumberFormat="1" applyFont="1" applyFill="1" applyBorder="1" applyAlignment="1">
      <alignment horizontal="right" vertical="center" wrapText="1" indent="1"/>
    </xf>
    <xf numFmtId="183" fontId="37" fillId="12" borderId="289" xfId="0" applyNumberFormat="1" applyFont="1" applyFill="1" applyBorder="1" applyAlignment="1">
      <alignment horizontal="right" vertical="center" wrapText="1" indent="1"/>
    </xf>
    <xf numFmtId="183" fontId="37" fillId="12" borderId="28" xfId="0" applyNumberFormat="1" applyFont="1" applyFill="1" applyBorder="1" applyAlignment="1">
      <alignment horizontal="right" vertical="center" wrapText="1" indent="1"/>
    </xf>
    <xf numFmtId="183" fontId="4" fillId="25" borderId="48" xfId="0" applyNumberFormat="1" applyFont="1" applyFill="1" applyBorder="1" applyAlignment="1">
      <alignment horizontal="right" vertical="center" wrapText="1" indent="1"/>
    </xf>
    <xf numFmtId="183" fontId="4" fillId="12" borderId="28" xfId="0" applyNumberFormat="1" applyFont="1" applyFill="1" applyBorder="1" applyAlignment="1">
      <alignment horizontal="right" vertical="center" wrapText="1" indent="1"/>
    </xf>
    <xf numFmtId="183" fontId="37" fillId="0" borderId="0" xfId="0" applyNumberFormat="1" applyFont="1" applyFill="1" applyBorder="1" applyAlignment="1">
      <alignment horizontal="right" vertical="center" wrapText="1" indent="1"/>
    </xf>
    <xf numFmtId="183" fontId="37" fillId="25" borderId="289" xfId="0" applyNumberFormat="1" applyFont="1" applyFill="1" applyBorder="1" applyAlignment="1">
      <alignment horizontal="right" vertical="center" wrapText="1" indent="1"/>
    </xf>
    <xf numFmtId="183" fontId="37" fillId="0" borderId="289" xfId="0" applyNumberFormat="1" applyFont="1" applyFill="1" applyBorder="1" applyAlignment="1">
      <alignment horizontal="right" vertical="center" wrapText="1" indent="1"/>
    </xf>
    <xf numFmtId="183" fontId="37" fillId="0" borderId="48" xfId="0" applyNumberFormat="1" applyFont="1" applyBorder="1" applyAlignment="1">
      <alignment horizontal="right" vertical="center" wrapText="1" indent="1"/>
    </xf>
    <xf numFmtId="183" fontId="37" fillId="0" borderId="0" xfId="0" applyNumberFormat="1" applyFont="1" applyBorder="1" applyAlignment="1">
      <alignment horizontal="right" vertical="center" wrapText="1" indent="1"/>
    </xf>
    <xf numFmtId="183" fontId="37" fillId="0" borderId="17" xfId="0" applyNumberFormat="1" applyFont="1" applyFill="1" applyBorder="1" applyAlignment="1">
      <alignment horizontal="right" vertical="center" wrapText="1" indent="1"/>
    </xf>
    <xf numFmtId="183" fontId="4" fillId="25" borderId="130" xfId="0" applyNumberFormat="1" applyFont="1" applyFill="1" applyBorder="1" applyAlignment="1">
      <alignment horizontal="right" vertical="center" wrapText="1" indent="1"/>
    </xf>
    <xf numFmtId="183" fontId="4" fillId="0" borderId="205" xfId="0" applyNumberFormat="1" applyFont="1" applyFill="1" applyBorder="1" applyAlignment="1">
      <alignment horizontal="right" vertical="center" wrapText="1" indent="1"/>
    </xf>
    <xf numFmtId="183" fontId="4" fillId="24" borderId="205" xfId="0" applyNumberFormat="1" applyFont="1" applyFill="1" applyBorder="1" applyAlignment="1">
      <alignment horizontal="right" vertical="center" wrapText="1" indent="1"/>
    </xf>
    <xf numFmtId="183" fontId="4" fillId="27" borderId="205" xfId="0" applyNumberFormat="1" applyFont="1" applyFill="1" applyBorder="1" applyAlignment="1">
      <alignment horizontal="right" vertical="center" wrapText="1" indent="1"/>
    </xf>
    <xf numFmtId="183" fontId="4" fillId="27" borderId="210" xfId="0" applyNumberFormat="1" applyFont="1" applyFill="1" applyBorder="1" applyAlignment="1">
      <alignment horizontal="right" vertical="center" wrapText="1" indent="1"/>
    </xf>
    <xf numFmtId="183" fontId="4" fillId="0" borderId="150" xfId="0" applyNumberFormat="1" applyFont="1" applyFill="1" applyBorder="1" applyAlignment="1">
      <alignment horizontal="right" vertical="center" wrapText="1" indent="1"/>
    </xf>
    <xf numFmtId="183" fontId="4" fillId="0" borderId="154" xfId="0" applyNumberFormat="1" applyFont="1" applyFill="1" applyBorder="1" applyAlignment="1">
      <alignment horizontal="right" vertical="center" wrapText="1" indent="1"/>
    </xf>
    <xf numFmtId="183" fontId="4" fillId="25" borderId="154" xfId="0" applyNumberFormat="1" applyFont="1" applyFill="1" applyBorder="1" applyAlignment="1">
      <alignment horizontal="right" vertical="center" wrapText="1" indent="1"/>
    </xf>
    <xf numFmtId="183" fontId="4" fillId="24" borderId="154" xfId="0" applyNumberFormat="1" applyFont="1" applyFill="1" applyBorder="1" applyAlignment="1">
      <alignment horizontal="right" vertical="center" wrapText="1" indent="1"/>
    </xf>
    <xf numFmtId="183" fontId="4" fillId="15" borderId="154" xfId="0" applyNumberFormat="1" applyFont="1" applyFill="1" applyBorder="1" applyAlignment="1">
      <alignment horizontal="right" vertical="center" wrapText="1" indent="1"/>
    </xf>
    <xf numFmtId="183" fontId="4" fillId="15" borderId="295" xfId="0" applyNumberFormat="1" applyFont="1" applyFill="1" applyBorder="1" applyAlignment="1">
      <alignment horizontal="right" vertical="center" wrapText="1" indent="1"/>
    </xf>
    <xf numFmtId="183" fontId="4" fillId="27" borderId="158" xfId="0" applyNumberFormat="1" applyFont="1" applyFill="1" applyBorder="1" applyAlignment="1">
      <alignment horizontal="right" vertical="center" wrapText="1" indent="1"/>
    </xf>
    <xf numFmtId="183" fontId="4" fillId="25" borderId="150" xfId="0" applyNumberFormat="1" applyFont="1" applyFill="1" applyBorder="1" applyAlignment="1">
      <alignment horizontal="right" vertical="center" wrapText="1" indent="1"/>
    </xf>
    <xf numFmtId="183" fontId="9" fillId="24" borderId="7" xfId="0" applyNumberFormat="1" applyFont="1" applyFill="1" applyBorder="1" applyAlignment="1">
      <alignment horizontal="right" vertical="center" wrapText="1" indent="1"/>
    </xf>
    <xf numFmtId="183" fontId="9" fillId="12" borderId="181" xfId="0" quotePrefix="1" applyNumberFormat="1" applyFont="1" applyFill="1" applyBorder="1" applyAlignment="1">
      <alignment horizontal="right" vertical="center" wrapText="1" indent="1"/>
    </xf>
    <xf numFmtId="183" fontId="9" fillId="12" borderId="205" xfId="0" applyNumberFormat="1" applyFont="1" applyFill="1" applyBorder="1" applyAlignment="1">
      <alignment horizontal="right" vertical="center" wrapText="1" indent="1"/>
    </xf>
    <xf numFmtId="183" fontId="9" fillId="12" borderId="117" xfId="0" applyNumberFormat="1" applyFont="1" applyFill="1" applyBorder="1" applyAlignment="1">
      <alignment horizontal="right" vertical="center" wrapText="1" indent="1"/>
    </xf>
    <xf numFmtId="183" fontId="9" fillId="12" borderId="181" xfId="0" applyNumberFormat="1" applyFont="1" applyFill="1" applyBorder="1" applyAlignment="1">
      <alignment horizontal="right" vertical="center" wrapText="1" indent="1"/>
    </xf>
    <xf numFmtId="183" fontId="9" fillId="25" borderId="278" xfId="0" applyNumberFormat="1" applyFont="1" applyFill="1" applyBorder="1" applyAlignment="1">
      <alignment horizontal="right" vertical="center" wrapText="1" indent="1"/>
    </xf>
    <xf numFmtId="183" fontId="37" fillId="12" borderId="278" xfId="0" applyNumberFormat="1" applyFont="1" applyFill="1" applyBorder="1" applyAlignment="1">
      <alignment horizontal="right" vertical="center" wrapText="1" indent="1"/>
    </xf>
    <xf numFmtId="183" fontId="37" fillId="12" borderId="279" xfId="0" applyNumberFormat="1" applyFont="1" applyFill="1" applyBorder="1" applyAlignment="1">
      <alignment horizontal="right" vertical="center" wrapText="1" indent="1"/>
    </xf>
    <xf numFmtId="183" fontId="4" fillId="25" borderId="26" xfId="0" applyNumberFormat="1" applyFont="1" applyFill="1" applyBorder="1" applyAlignment="1">
      <alignment horizontal="right" vertical="center" wrapText="1" indent="1"/>
    </xf>
    <xf numFmtId="183" fontId="4" fillId="12" borderId="279" xfId="0" applyNumberFormat="1" applyFont="1" applyFill="1" applyBorder="1" applyAlignment="1">
      <alignment horizontal="right" vertical="center" wrapText="1" indent="1"/>
    </xf>
    <xf numFmtId="183" fontId="48" fillId="0" borderId="3" xfId="0" applyNumberFormat="1" applyFont="1" applyFill="1" applyBorder="1" applyAlignment="1">
      <alignment horizontal="right" vertical="center" wrapText="1" indent="1"/>
    </xf>
    <xf numFmtId="183" fontId="37" fillId="25" borderId="278" xfId="0" applyNumberFormat="1" applyFont="1" applyFill="1" applyBorder="1" applyAlignment="1">
      <alignment horizontal="right" vertical="center" wrapText="1" indent="1"/>
    </xf>
    <xf numFmtId="183" fontId="48" fillId="0" borderId="278" xfId="0" applyNumberFormat="1" applyFont="1" applyFill="1" applyBorder="1" applyAlignment="1">
      <alignment horizontal="right" vertical="center" wrapText="1" indent="1"/>
    </xf>
    <xf numFmtId="183" fontId="37" fillId="0" borderId="26" xfId="0" applyNumberFormat="1" applyFont="1" applyBorder="1" applyAlignment="1">
      <alignment horizontal="right" vertical="center" wrapText="1" indent="1"/>
    </xf>
    <xf numFmtId="183" fontId="37" fillId="0" borderId="3" xfId="0" applyNumberFormat="1" applyFont="1" applyBorder="1" applyAlignment="1">
      <alignment horizontal="right" vertical="center" wrapText="1" indent="1"/>
    </xf>
    <xf numFmtId="173" fontId="13" fillId="0" borderId="151" xfId="0" applyNumberFormat="1" applyFont="1" applyFill="1" applyBorder="1" applyAlignment="1">
      <alignment horizontal="right" vertical="center" wrapText="1" indent="1"/>
    </xf>
    <xf numFmtId="173" fontId="13" fillId="0" borderId="155" xfId="0" applyNumberFormat="1" applyFont="1" applyFill="1" applyBorder="1" applyAlignment="1">
      <alignment horizontal="right" vertical="center" wrapText="1" indent="1"/>
    </xf>
    <xf numFmtId="173" fontId="13" fillId="25" borderId="155" xfId="0" applyNumberFormat="1" applyFont="1" applyFill="1" applyBorder="1" applyAlignment="1">
      <alignment horizontal="right" vertical="center" wrapText="1" indent="1"/>
    </xf>
    <xf numFmtId="173" fontId="13" fillId="24" borderId="155" xfId="0" applyNumberFormat="1" applyFont="1" applyFill="1" applyBorder="1" applyAlignment="1">
      <alignment horizontal="right" vertical="center" wrapText="1" indent="1"/>
    </xf>
    <xf numFmtId="173" fontId="13" fillId="15" borderId="155" xfId="0" applyNumberFormat="1" applyFont="1" applyFill="1" applyBorder="1" applyAlignment="1">
      <alignment horizontal="right" vertical="center" wrapText="1" indent="1"/>
    </xf>
    <xf numFmtId="183" fontId="0" fillId="15" borderId="300" xfId="0" applyNumberFormat="1" applyFill="1" applyBorder="1" applyAlignment="1">
      <alignment horizontal="right" vertical="center" wrapText="1" indent="1"/>
    </xf>
    <xf numFmtId="183" fontId="57" fillId="0" borderId="160" xfId="0" applyNumberFormat="1" applyFont="1" applyFill="1" applyBorder="1" applyAlignment="1">
      <alignment horizontal="right" vertical="center" wrapText="1" indent="1"/>
    </xf>
    <xf numFmtId="183" fontId="57" fillId="25" borderId="164" xfId="0" applyNumberFormat="1" applyFont="1" applyFill="1" applyBorder="1" applyAlignment="1">
      <alignment horizontal="right" vertical="center" wrapText="1" indent="1"/>
    </xf>
    <xf numFmtId="183" fontId="57" fillId="24" borderId="164" xfId="0" applyNumberFormat="1" applyFont="1" applyFill="1" applyBorder="1" applyAlignment="1">
      <alignment horizontal="right" vertical="center" wrapText="1" indent="1"/>
    </xf>
    <xf numFmtId="183" fontId="57" fillId="15" borderId="164" xfId="0" applyNumberFormat="1" applyFont="1" applyFill="1" applyBorder="1" applyAlignment="1">
      <alignment horizontal="right" vertical="center" wrapText="1" indent="1"/>
    </xf>
    <xf numFmtId="183" fontId="57" fillId="27" borderId="213" xfId="0" applyNumberFormat="1" applyFont="1" applyFill="1" applyBorder="1" applyAlignment="1">
      <alignment horizontal="right" vertical="center" wrapText="1" indent="1"/>
    </xf>
    <xf numFmtId="183" fontId="57" fillId="15" borderId="226" xfId="0" applyNumberFormat="1" applyFont="1" applyFill="1" applyBorder="1" applyAlignment="1">
      <alignment horizontal="right" vertical="center" wrapText="1" indent="1"/>
    </xf>
    <xf numFmtId="0" fontId="6" fillId="0" borderId="7" xfId="0" applyFont="1" applyBorder="1" applyAlignment="1">
      <alignment horizontal="center" vertical="center" wrapText="1"/>
    </xf>
    <xf numFmtId="0" fontId="1" fillId="16" borderId="7" xfId="0" applyFont="1" applyFill="1" applyBorder="1" applyAlignment="1">
      <alignment horizontal="center" vertical="center" wrapText="1"/>
    </xf>
    <xf numFmtId="0" fontId="4" fillId="0" borderId="289" xfId="0" applyFont="1" applyFill="1" applyBorder="1" applyAlignment="1">
      <alignment horizontal="center" vertical="center" wrapText="1"/>
    </xf>
    <xf numFmtId="183" fontId="48" fillId="0" borderId="22" xfId="0" applyNumberFormat="1" applyFont="1" applyFill="1" applyBorder="1" applyAlignment="1">
      <alignment horizontal="right" vertical="center" wrapText="1" indent="1"/>
    </xf>
    <xf numFmtId="183" fontId="48" fillId="25" borderId="204" xfId="0" applyNumberFormat="1" applyFont="1" applyFill="1" applyBorder="1" applyAlignment="1">
      <alignment horizontal="right" vertical="center" wrapText="1" indent="1"/>
    </xf>
    <xf numFmtId="183" fontId="48" fillId="0" borderId="195" xfId="0" applyNumberFormat="1" applyFont="1" applyFill="1" applyBorder="1" applyAlignment="1">
      <alignment horizontal="right" vertical="center" wrapText="1" indent="1"/>
    </xf>
    <xf numFmtId="183" fontId="48" fillId="24" borderId="195" xfId="0" applyNumberFormat="1" applyFont="1" applyFill="1" applyBorder="1" applyAlignment="1">
      <alignment horizontal="right" vertical="center" wrapText="1" indent="1"/>
    </xf>
    <xf numFmtId="183" fontId="48" fillId="27" borderId="195" xfId="0" applyNumberFormat="1" applyFont="1" applyFill="1" applyBorder="1" applyAlignment="1">
      <alignment horizontal="right" vertical="center" wrapText="1" indent="1"/>
    </xf>
    <xf numFmtId="183" fontId="48" fillId="27" borderId="216" xfId="0" applyNumberFormat="1" applyFont="1" applyFill="1" applyBorder="1" applyAlignment="1">
      <alignment horizontal="right" vertical="center" wrapText="1" indent="1"/>
    </xf>
    <xf numFmtId="183" fontId="48" fillId="0" borderId="163" xfId="0" applyNumberFormat="1" applyFont="1" applyFill="1" applyBorder="1" applyAlignment="1">
      <alignment horizontal="right" vertical="center" wrapText="1" indent="1"/>
    </xf>
    <xf numFmtId="183" fontId="48" fillId="0" borderId="167" xfId="0" applyNumberFormat="1" applyFont="1" applyFill="1" applyBorder="1" applyAlignment="1">
      <alignment horizontal="right" vertical="center" wrapText="1" indent="1"/>
    </xf>
    <xf numFmtId="183" fontId="48" fillId="25" borderId="167" xfId="0" applyNumberFormat="1" applyFont="1" applyFill="1" applyBorder="1" applyAlignment="1">
      <alignment horizontal="right" vertical="center" wrapText="1" indent="1"/>
    </xf>
    <xf numFmtId="183" fontId="48" fillId="24" borderId="167" xfId="0" applyNumberFormat="1" applyFont="1" applyFill="1" applyBorder="1" applyAlignment="1">
      <alignment horizontal="right" vertical="center" wrapText="1" indent="1"/>
    </xf>
    <xf numFmtId="183" fontId="48" fillId="15" borderId="167" xfId="0" applyNumberFormat="1" applyFont="1" applyFill="1" applyBorder="1" applyAlignment="1">
      <alignment horizontal="right" vertical="center" wrapText="1" indent="1"/>
    </xf>
    <xf numFmtId="183" fontId="48" fillId="15" borderId="299" xfId="0" applyNumberFormat="1" applyFont="1" applyFill="1" applyBorder="1" applyAlignment="1">
      <alignment horizontal="right" vertical="center" wrapText="1" indent="1"/>
    </xf>
    <xf numFmtId="183" fontId="48" fillId="27" borderId="171" xfId="0" applyNumberFormat="1" applyFont="1" applyFill="1" applyBorder="1" applyAlignment="1">
      <alignment horizontal="right" vertical="center" wrapText="1" indent="1"/>
    </xf>
    <xf numFmtId="183" fontId="48" fillId="25" borderId="163" xfId="0" applyNumberFormat="1" applyFont="1" applyFill="1" applyBorder="1" applyAlignment="1">
      <alignment horizontal="right" vertical="center" wrapText="1" indent="1"/>
    </xf>
    <xf numFmtId="183" fontId="48" fillId="24" borderId="19" xfId="0" applyNumberFormat="1" applyFont="1" applyFill="1" applyBorder="1" applyAlignment="1">
      <alignment horizontal="right" vertical="center" wrapText="1" indent="1"/>
    </xf>
    <xf numFmtId="183" fontId="48" fillId="12" borderId="186" xfId="0" applyNumberFormat="1" applyFont="1" applyFill="1" applyBorder="1" applyAlignment="1">
      <alignment horizontal="right" vertical="center" wrapText="1" indent="1"/>
    </xf>
    <xf numFmtId="183" fontId="48" fillId="12" borderId="195" xfId="0" applyNumberFormat="1" applyFont="1" applyFill="1" applyBorder="1" applyAlignment="1">
      <alignment horizontal="right" vertical="center" wrapText="1" indent="1"/>
    </xf>
    <xf numFmtId="183" fontId="48" fillId="12" borderId="193" xfId="0" applyNumberFormat="1" applyFont="1" applyFill="1" applyBorder="1" applyAlignment="1">
      <alignment horizontal="right" vertical="center" wrapText="1" indent="1"/>
    </xf>
    <xf numFmtId="183" fontId="48" fillId="24" borderId="289" xfId="0" applyNumberFormat="1" applyFont="1" applyFill="1" applyBorder="1" applyAlignment="1">
      <alignment horizontal="right" vertical="center" wrapText="1" indent="1"/>
    </xf>
    <xf numFmtId="183" fontId="48" fillId="25" borderId="289" xfId="0" applyNumberFormat="1" applyFont="1" applyFill="1" applyBorder="1" applyAlignment="1">
      <alignment horizontal="right" vertical="center" wrapText="1" indent="1"/>
    </xf>
    <xf numFmtId="183" fontId="48" fillId="12" borderId="289" xfId="0" applyNumberFormat="1" applyFont="1" applyFill="1" applyBorder="1" applyAlignment="1">
      <alignment horizontal="right" vertical="center" wrapText="1" indent="1"/>
    </xf>
    <xf numFmtId="183" fontId="48" fillId="12" borderId="28" xfId="0" applyNumberFormat="1" applyFont="1" applyFill="1" applyBorder="1" applyAlignment="1">
      <alignment horizontal="right" vertical="center" wrapText="1" indent="1"/>
    </xf>
    <xf numFmtId="183" fontId="48" fillId="25" borderId="19" xfId="0" applyNumberFormat="1" applyFont="1" applyFill="1" applyBorder="1" applyAlignment="1">
      <alignment horizontal="right" vertical="center" wrapText="1" indent="1"/>
    </xf>
    <xf numFmtId="183" fontId="48" fillId="0" borderId="0" xfId="0" applyNumberFormat="1" applyFont="1" applyBorder="1" applyAlignment="1">
      <alignment horizontal="right" vertical="center" wrapText="1" indent="1"/>
    </xf>
    <xf numFmtId="173" fontId="56" fillId="12" borderId="287" xfId="0" applyNumberFormat="1" applyFont="1" applyFill="1" applyBorder="1" applyAlignment="1">
      <alignment horizontal="right" vertical="center" wrapText="1" indent="1"/>
    </xf>
    <xf numFmtId="173" fontId="56" fillId="24" borderId="282" xfId="0" applyNumberFormat="1" applyFont="1" applyFill="1" applyBorder="1" applyAlignment="1">
      <alignment horizontal="right" vertical="center" wrapText="1" indent="1"/>
    </xf>
    <xf numFmtId="173" fontId="56" fillId="25" borderId="282" xfId="0" applyNumberFormat="1" applyFont="1" applyFill="1" applyBorder="1" applyAlignment="1">
      <alignment horizontal="right" vertical="center" wrapText="1" indent="1"/>
    </xf>
    <xf numFmtId="173" fontId="56" fillId="12" borderId="282" xfId="0" applyNumberFormat="1" applyFont="1" applyFill="1" applyBorder="1" applyAlignment="1">
      <alignment horizontal="left" vertical="center" wrapText="1" indent="1"/>
    </xf>
    <xf numFmtId="173" fontId="56" fillId="12" borderId="283" xfId="0" applyNumberFormat="1" applyFont="1" applyFill="1" applyBorder="1" applyAlignment="1">
      <alignment horizontal="left" vertical="center" wrapText="1" indent="1"/>
    </xf>
    <xf numFmtId="173" fontId="56" fillId="12" borderId="282" xfId="0" applyNumberFormat="1" applyFont="1" applyFill="1" applyBorder="1" applyAlignment="1">
      <alignment horizontal="right" vertical="center" wrapText="1" indent="1"/>
    </xf>
    <xf numFmtId="173" fontId="56" fillId="0" borderId="278" xfId="0" applyNumberFormat="1" applyFont="1" applyFill="1" applyBorder="1" applyAlignment="1">
      <alignment horizontal="right" vertical="center" wrapText="1" indent="1"/>
    </xf>
    <xf numFmtId="173" fontId="56" fillId="12" borderId="283" xfId="0" applyNumberFormat="1" applyFont="1" applyFill="1" applyBorder="1" applyAlignment="1">
      <alignment horizontal="right" vertical="center" wrapText="1" indent="1"/>
    </xf>
    <xf numFmtId="183" fontId="56" fillId="0" borderId="16" xfId="0" applyNumberFormat="1" applyFont="1" applyFill="1" applyBorder="1" applyAlignment="1">
      <alignment horizontal="left" vertical="center" wrapText="1" indent="1"/>
    </xf>
    <xf numFmtId="183" fontId="56" fillId="27" borderId="212" xfId="0" applyNumberFormat="1" applyFont="1" applyFill="1" applyBorder="1" applyAlignment="1">
      <alignment horizontal="left" vertical="center" wrapText="1" indent="1"/>
    </xf>
    <xf numFmtId="183" fontId="56" fillId="12" borderId="287" xfId="0" applyNumberFormat="1" applyFont="1" applyFill="1" applyBorder="1" applyAlignment="1">
      <alignment horizontal="right" vertical="center" wrapText="1" indent="1"/>
    </xf>
    <xf numFmtId="183" fontId="56" fillId="24" borderId="282" xfId="0" applyNumberFormat="1" applyFont="1" applyFill="1" applyBorder="1" applyAlignment="1">
      <alignment horizontal="right" vertical="center" wrapText="1" indent="1"/>
    </xf>
    <xf numFmtId="183" fontId="56" fillId="25" borderId="282" xfId="0" applyNumberFormat="1" applyFont="1" applyFill="1" applyBorder="1" applyAlignment="1">
      <alignment horizontal="right" vertical="center" wrapText="1" indent="1"/>
    </xf>
    <xf numFmtId="183" fontId="56" fillId="12" borderId="282" xfId="0" applyNumberFormat="1" applyFont="1" applyFill="1" applyBorder="1" applyAlignment="1">
      <alignment horizontal="left" vertical="center" wrapText="1" indent="1"/>
    </xf>
    <xf numFmtId="183" fontId="56" fillId="12" borderId="283" xfId="0" applyNumberFormat="1" applyFont="1" applyFill="1" applyBorder="1" applyAlignment="1">
      <alignment horizontal="left" vertical="center" wrapText="1" indent="1"/>
    </xf>
    <xf numFmtId="183" fontId="56" fillId="12" borderId="282" xfId="0" applyNumberFormat="1" applyFont="1" applyFill="1" applyBorder="1" applyAlignment="1">
      <alignment horizontal="right" vertical="center" wrapText="1" indent="1"/>
    </xf>
    <xf numFmtId="183" fontId="56" fillId="0" borderId="282" xfId="0" applyNumberFormat="1" applyFont="1" applyFill="1" applyBorder="1" applyAlignment="1">
      <alignment horizontal="right" vertical="center" wrapText="1" indent="1"/>
    </xf>
    <xf numFmtId="183" fontId="56" fillId="0" borderId="237" xfId="0" applyNumberFormat="1" applyFont="1" applyFill="1" applyBorder="1" applyAlignment="1">
      <alignment horizontal="right" vertical="center" wrapText="1" indent="1"/>
    </xf>
    <xf numFmtId="183" fontId="56" fillId="12" borderId="283" xfId="0" applyNumberFormat="1" applyFont="1" applyFill="1" applyBorder="1" applyAlignment="1">
      <alignment horizontal="right" vertical="center" wrapText="1" indent="1"/>
    </xf>
    <xf numFmtId="183" fontId="56" fillId="0" borderId="72" xfId="0" applyNumberFormat="1" applyFont="1" applyFill="1" applyBorder="1" applyAlignment="1">
      <alignment horizontal="right" vertical="center" wrapText="1" indent="1"/>
    </xf>
    <xf numFmtId="183" fontId="57" fillId="25" borderId="130" xfId="0" applyNumberFormat="1" applyFont="1" applyFill="1" applyBorder="1" applyAlignment="1">
      <alignment horizontal="center" vertical="center" wrapText="1"/>
    </xf>
    <xf numFmtId="183" fontId="57" fillId="0" borderId="205" xfId="0" applyNumberFormat="1" applyFont="1" applyFill="1" applyBorder="1" applyAlignment="1">
      <alignment horizontal="center" vertical="center" wrapText="1"/>
    </xf>
    <xf numFmtId="183" fontId="57" fillId="24" borderId="205" xfId="0" applyNumberFormat="1" applyFont="1" applyFill="1" applyBorder="1" applyAlignment="1">
      <alignment horizontal="center" vertical="center" wrapText="1"/>
    </xf>
    <xf numFmtId="183" fontId="57" fillId="27" borderId="205" xfId="0" applyNumberFormat="1" applyFont="1" applyFill="1" applyBorder="1" applyAlignment="1">
      <alignment horizontal="center" vertical="center" wrapText="1"/>
    </xf>
    <xf numFmtId="183" fontId="57" fillId="27" borderId="210" xfId="0" applyNumberFormat="1" applyFont="1" applyFill="1" applyBorder="1" applyAlignment="1">
      <alignment horizontal="center" vertical="center" wrapText="1"/>
    </xf>
    <xf numFmtId="183" fontId="57" fillId="27" borderId="158" xfId="0" applyNumberFormat="1" applyFont="1" applyFill="1" applyBorder="1" applyAlignment="1">
      <alignment horizontal="left" vertical="center" wrapText="1" indent="1"/>
    </xf>
    <xf numFmtId="183" fontId="57" fillId="25" borderId="278" xfId="0" applyNumberFormat="1" applyFont="1" applyFill="1" applyBorder="1" applyAlignment="1">
      <alignment horizontal="right" vertical="center" wrapText="1" indent="1"/>
    </xf>
    <xf numFmtId="183" fontId="57" fillId="12" borderId="278" xfId="0" applyNumberFormat="1" applyFont="1" applyFill="1" applyBorder="1" applyAlignment="1">
      <alignment horizontal="right" vertical="center" wrapText="1" indent="1"/>
    </xf>
    <xf numFmtId="183" fontId="57" fillId="12" borderId="279" xfId="0" applyNumberFormat="1" applyFont="1" applyFill="1" applyBorder="1" applyAlignment="1">
      <alignment horizontal="right" vertical="center" wrapText="1" indent="1"/>
    </xf>
    <xf numFmtId="173" fontId="56" fillId="25" borderId="130" xfId="0" applyNumberFormat="1" applyFont="1" applyFill="1" applyBorder="1" applyAlignment="1">
      <alignment horizontal="center" vertical="center" wrapText="1"/>
    </xf>
    <xf numFmtId="173" fontId="56" fillId="0" borderId="205" xfId="0" applyNumberFormat="1" applyFont="1" applyFill="1" applyBorder="1" applyAlignment="1">
      <alignment horizontal="center" vertical="center" wrapText="1"/>
    </xf>
    <xf numFmtId="173" fontId="56" fillId="24" borderId="205" xfId="0" applyNumberFormat="1" applyFont="1" applyFill="1" applyBorder="1" applyAlignment="1">
      <alignment horizontal="center" vertical="center" wrapText="1"/>
    </xf>
    <xf numFmtId="173" fontId="56" fillId="27" borderId="205" xfId="0" applyNumberFormat="1" applyFont="1" applyFill="1" applyBorder="1" applyAlignment="1">
      <alignment horizontal="center" vertical="center" wrapText="1"/>
    </xf>
    <xf numFmtId="173" fontId="56" fillId="27" borderId="210" xfId="0" applyNumberFormat="1" applyFont="1" applyFill="1" applyBorder="1" applyAlignment="1">
      <alignment horizontal="center" vertical="center" wrapText="1"/>
    </xf>
    <xf numFmtId="173" fontId="56" fillId="27" borderId="158" xfId="0" applyNumberFormat="1" applyFont="1" applyFill="1" applyBorder="1" applyAlignment="1">
      <alignment horizontal="left" vertical="center" wrapText="1" indent="1"/>
    </xf>
    <xf numFmtId="173" fontId="56" fillId="24" borderId="7" xfId="0" applyNumberFormat="1" applyFont="1" applyFill="1" applyBorder="1" applyAlignment="1">
      <alignment horizontal="right" vertical="center" wrapText="1" indent="1"/>
    </xf>
    <xf numFmtId="173" fontId="56" fillId="12" borderId="181" xfId="0" applyNumberFormat="1" applyFont="1" applyFill="1" applyBorder="1" applyAlignment="1">
      <alignment horizontal="right" vertical="center" wrapText="1" indent="1"/>
    </xf>
    <xf numFmtId="173" fontId="56" fillId="12" borderId="205" xfId="0" applyNumberFormat="1" applyFont="1" applyFill="1" applyBorder="1" applyAlignment="1">
      <alignment horizontal="right" vertical="center" wrapText="1" indent="1"/>
    </xf>
    <xf numFmtId="173" fontId="56" fillId="12" borderId="117" xfId="0" applyNumberFormat="1" applyFont="1" applyFill="1" applyBorder="1" applyAlignment="1">
      <alignment horizontal="right" vertical="center" wrapText="1" indent="1"/>
    </xf>
    <xf numFmtId="173" fontId="56" fillId="24" borderId="278" xfId="0" applyNumberFormat="1" applyFont="1" applyFill="1" applyBorder="1" applyAlignment="1">
      <alignment horizontal="right" vertical="center" wrapText="1" indent="1"/>
    </xf>
    <xf numFmtId="173" fontId="56" fillId="25" borderId="278" xfId="0" applyNumberFormat="1" applyFont="1" applyFill="1" applyBorder="1" applyAlignment="1">
      <alignment horizontal="right" vertical="center" wrapText="1" indent="1"/>
    </xf>
    <xf numFmtId="173" fontId="56" fillId="12" borderId="278" xfId="0" applyNumberFormat="1" applyFont="1" applyFill="1" applyBorder="1" applyAlignment="1">
      <alignment horizontal="left" vertical="center" wrapText="1" indent="1"/>
    </xf>
    <xf numFmtId="173" fontId="56" fillId="12" borderId="279" xfId="0" applyNumberFormat="1" applyFont="1" applyFill="1" applyBorder="1" applyAlignment="1">
      <alignment horizontal="left" vertical="center" wrapText="1" indent="1"/>
    </xf>
    <xf numFmtId="173" fontId="56" fillId="12" borderId="278" xfId="0" applyNumberFormat="1" applyFont="1" applyFill="1" applyBorder="1" applyAlignment="1">
      <alignment horizontal="right" vertical="center" wrapText="1" indent="1"/>
    </xf>
    <xf numFmtId="173" fontId="56" fillId="12" borderId="279" xfId="0" applyNumberFormat="1" applyFont="1" applyFill="1" applyBorder="1" applyAlignment="1">
      <alignment horizontal="right" vertical="center" wrapText="1" indent="1"/>
    </xf>
    <xf numFmtId="173" fontId="13" fillId="0" borderId="37" xfId="0" applyNumberFormat="1" applyFont="1" applyFill="1" applyBorder="1" applyAlignment="1">
      <alignment horizontal="left" vertical="center" wrapText="1" indent="1"/>
    </xf>
    <xf numFmtId="173" fontId="13" fillId="25" borderId="201" xfId="0" applyNumberFormat="1" applyFont="1" applyFill="1" applyBorder="1" applyAlignment="1">
      <alignment horizontal="center" vertical="center" wrapText="1"/>
    </xf>
    <xf numFmtId="173" fontId="13" fillId="0" borderId="207" xfId="0" applyNumberFormat="1" applyFont="1" applyFill="1" applyBorder="1" applyAlignment="1">
      <alignment horizontal="center" vertical="center" wrapText="1"/>
    </xf>
    <xf numFmtId="173" fontId="13" fillId="24" borderId="207" xfId="0" applyNumberFormat="1" applyFont="1" applyFill="1" applyBorder="1" applyAlignment="1">
      <alignment horizontal="center" vertical="center" wrapText="1"/>
    </xf>
    <xf numFmtId="173" fontId="13" fillId="27" borderId="207" xfId="0" applyNumberFormat="1" applyFont="1" applyFill="1" applyBorder="1" applyAlignment="1">
      <alignment horizontal="center" vertical="center" wrapText="1"/>
    </xf>
    <xf numFmtId="173" fontId="13" fillId="27" borderId="213" xfId="0" applyNumberFormat="1" applyFont="1" applyFill="1" applyBorder="1" applyAlignment="1">
      <alignment horizontal="center" vertical="center" wrapText="1"/>
    </xf>
    <xf numFmtId="0" fontId="1" fillId="19" borderId="79" xfId="0" applyFont="1" applyFill="1" applyBorder="1" applyAlignment="1">
      <alignment horizontal="center" vertical="center" wrapText="1"/>
    </xf>
    <xf numFmtId="183" fontId="56" fillId="0" borderId="278" xfId="0" applyNumberFormat="1" applyFont="1" applyFill="1" applyBorder="1" applyAlignment="1">
      <alignment horizontal="right" vertical="center" wrapText="1" indent="1"/>
    </xf>
    <xf numFmtId="0" fontId="4" fillId="19" borderId="270" xfId="0" applyFont="1" applyFill="1" applyBorder="1" applyAlignment="1">
      <alignment horizontal="center" vertical="center" wrapText="1"/>
    </xf>
    <xf numFmtId="0" fontId="4" fillId="19" borderId="282" xfId="0" applyFont="1" applyFill="1" applyBorder="1" applyAlignment="1">
      <alignment vertical="center" wrapText="1"/>
    </xf>
    <xf numFmtId="0" fontId="1" fillId="19" borderId="270" xfId="0" quotePrefix="1" applyFont="1" applyFill="1" applyBorder="1" applyAlignment="1">
      <alignment vertical="center" wrapText="1"/>
    </xf>
    <xf numFmtId="183" fontId="1" fillId="19" borderId="270" xfId="0" applyNumberFormat="1" applyFont="1" applyFill="1" applyBorder="1" applyAlignment="1">
      <alignment horizontal="center" vertical="center" wrapText="1"/>
    </xf>
    <xf numFmtId="183" fontId="1" fillId="24" borderId="282" xfId="0" applyNumberFormat="1" applyFont="1" applyFill="1" applyBorder="1" applyAlignment="1">
      <alignment horizontal="right" vertical="center" wrapText="1" indent="1"/>
    </xf>
    <xf numFmtId="183" fontId="1" fillId="25" borderId="282" xfId="0" applyNumberFormat="1" applyFont="1" applyFill="1" applyBorder="1" applyAlignment="1">
      <alignment horizontal="right" vertical="center" wrapText="1" indent="1"/>
    </xf>
    <xf numFmtId="183" fontId="1" fillId="24" borderId="6" xfId="0" applyNumberFormat="1" applyFont="1" applyFill="1" applyBorder="1" applyAlignment="1">
      <alignment horizontal="right" vertical="center" wrapText="1" indent="1"/>
    </xf>
    <xf numFmtId="183" fontId="13" fillId="25" borderId="282" xfId="0" applyNumberFormat="1" applyFont="1" applyFill="1" applyBorder="1" applyAlignment="1">
      <alignment horizontal="right" vertical="center" wrapText="1" indent="1"/>
    </xf>
    <xf numFmtId="183" fontId="13" fillId="12" borderId="282" xfId="0" applyNumberFormat="1" applyFont="1" applyFill="1" applyBorder="1" applyAlignment="1">
      <alignment horizontal="right" vertical="center" wrapText="1" indent="1"/>
    </xf>
    <xf numFmtId="183" fontId="13" fillId="0" borderId="282" xfId="0" applyNumberFormat="1" applyFont="1" applyFill="1" applyBorder="1" applyAlignment="1">
      <alignment horizontal="right" vertical="center" wrapText="1" indent="1"/>
    </xf>
    <xf numFmtId="183" fontId="13" fillId="0" borderId="237" xfId="0" applyNumberFormat="1" applyFont="1" applyFill="1" applyBorder="1" applyAlignment="1">
      <alignment horizontal="right" vertical="center" wrapText="1" indent="1"/>
    </xf>
    <xf numFmtId="183" fontId="13" fillId="12" borderId="283" xfId="0" applyNumberFormat="1" applyFont="1" applyFill="1" applyBorder="1" applyAlignment="1">
      <alignment horizontal="right" vertical="center" wrapText="1" indent="1"/>
    </xf>
    <xf numFmtId="183" fontId="13" fillId="0" borderId="72" xfId="0" applyNumberFormat="1" applyFont="1" applyFill="1" applyBorder="1" applyAlignment="1">
      <alignment horizontal="right" vertical="center" wrapText="1" indent="1"/>
    </xf>
    <xf numFmtId="183" fontId="56" fillId="0" borderId="55" xfId="0" applyNumberFormat="1" applyFont="1" applyFill="1" applyBorder="1" applyAlignment="1">
      <alignment horizontal="left" vertical="center" wrapText="1" indent="1"/>
    </xf>
    <xf numFmtId="183" fontId="56" fillId="0" borderId="161" xfId="0" applyNumberFormat="1" applyFont="1" applyFill="1" applyBorder="1" applyAlignment="1">
      <alignment horizontal="right" vertical="center" wrapText="1" indent="1"/>
    </xf>
    <xf numFmtId="183" fontId="56" fillId="0" borderId="165" xfId="0" applyNumberFormat="1" applyFont="1" applyFill="1" applyBorder="1" applyAlignment="1">
      <alignment horizontal="right" vertical="center" wrapText="1" indent="1"/>
    </xf>
    <xf numFmtId="183" fontId="56" fillId="25" borderId="165" xfId="0" applyNumberFormat="1" applyFont="1" applyFill="1" applyBorder="1" applyAlignment="1">
      <alignment horizontal="right" vertical="center" wrapText="1" indent="1"/>
    </xf>
    <xf numFmtId="183" fontId="56" fillId="24" borderId="165" xfId="0" applyNumberFormat="1" applyFont="1" applyFill="1" applyBorder="1" applyAlignment="1">
      <alignment horizontal="right" vertical="center" wrapText="1" indent="1"/>
    </xf>
    <xf numFmtId="183" fontId="56" fillId="15" borderId="165" xfId="0" applyNumberFormat="1" applyFont="1" applyFill="1" applyBorder="1" applyAlignment="1">
      <alignment horizontal="right" vertical="center" wrapText="1" indent="1"/>
    </xf>
    <xf numFmtId="183" fontId="56" fillId="27" borderId="214" xfId="0" applyNumberFormat="1" applyFont="1" applyFill="1" applyBorder="1" applyAlignment="1">
      <alignment horizontal="left" vertical="center" wrapText="1" indent="1"/>
    </xf>
    <xf numFmtId="183" fontId="56" fillId="27" borderId="169" xfId="0" applyNumberFormat="1" applyFont="1" applyFill="1" applyBorder="1" applyAlignment="1">
      <alignment horizontal="left" vertical="center" wrapText="1" indent="1"/>
    </xf>
    <xf numFmtId="183" fontId="56" fillId="24" borderId="79" xfId="0" applyNumberFormat="1" applyFont="1" applyFill="1" applyBorder="1" applyAlignment="1">
      <alignment horizontal="right" vertical="center" wrapText="1" indent="1"/>
    </xf>
    <xf numFmtId="183" fontId="56" fillId="24" borderId="270" xfId="0" applyNumberFormat="1" applyFont="1" applyFill="1" applyBorder="1" applyAlignment="1">
      <alignment horizontal="right" vertical="center" wrapText="1" indent="1"/>
    </xf>
    <xf numFmtId="183" fontId="56" fillId="25" borderId="270" xfId="0" applyNumberFormat="1" applyFont="1" applyFill="1" applyBorder="1" applyAlignment="1">
      <alignment horizontal="right" vertical="center" wrapText="1" indent="1"/>
    </xf>
    <xf numFmtId="183" fontId="56" fillId="12" borderId="270" xfId="0" applyNumberFormat="1" applyFont="1" applyFill="1" applyBorder="1" applyAlignment="1">
      <alignment horizontal="left" vertical="center" wrapText="1" indent="1"/>
    </xf>
    <xf numFmtId="183" fontId="56" fillId="12" borderId="61" xfId="0" applyNumberFormat="1" applyFont="1" applyFill="1" applyBorder="1" applyAlignment="1">
      <alignment horizontal="left" vertical="center" wrapText="1" indent="1"/>
    </xf>
    <xf numFmtId="183" fontId="56" fillId="12" borderId="270" xfId="0" applyNumberFormat="1" applyFont="1" applyFill="1" applyBorder="1" applyAlignment="1">
      <alignment horizontal="right" vertical="center" wrapText="1" indent="1"/>
    </xf>
    <xf numFmtId="183" fontId="56" fillId="0" borderId="270" xfId="0" applyNumberFormat="1" applyFont="1" applyFill="1" applyBorder="1" applyAlignment="1">
      <alignment horizontal="right" vertical="center" wrapText="1" indent="1"/>
    </xf>
    <xf numFmtId="183" fontId="56" fillId="0" borderId="236" xfId="0" applyNumberFormat="1" applyFont="1" applyFill="1" applyBorder="1" applyAlignment="1">
      <alignment horizontal="right" vertical="center" wrapText="1" indent="1"/>
    </xf>
    <xf numFmtId="183" fontId="56" fillId="12" borderId="61" xfId="0" applyNumberFormat="1" applyFont="1" applyFill="1" applyBorder="1" applyAlignment="1">
      <alignment horizontal="right" vertical="center" wrapText="1" indent="1"/>
    </xf>
    <xf numFmtId="183" fontId="56" fillId="0" borderId="77" xfId="0" applyNumberFormat="1" applyFont="1" applyFill="1" applyBorder="1" applyAlignment="1">
      <alignment horizontal="right" vertical="center" wrapText="1" indent="1"/>
    </xf>
    <xf numFmtId="0" fontId="48" fillId="19" borderId="56" xfId="0" applyFont="1" applyFill="1" applyBorder="1" applyAlignment="1">
      <alignment vertical="center" wrapText="1"/>
    </xf>
    <xf numFmtId="0" fontId="9" fillId="19" borderId="23" xfId="0" applyFont="1" applyFill="1" applyBorder="1" applyAlignment="1">
      <alignment horizontal="left" vertical="center" wrapText="1" indent="1"/>
    </xf>
    <xf numFmtId="183" fontId="57" fillId="27" borderId="156" xfId="0" applyNumberFormat="1" applyFont="1" applyFill="1" applyBorder="1" applyAlignment="1">
      <alignment horizontal="left" vertical="center" wrapText="1" indent="1"/>
    </xf>
    <xf numFmtId="183" fontId="57" fillId="24" borderId="278" xfId="0" applyNumberFormat="1" applyFont="1" applyFill="1" applyBorder="1" applyAlignment="1">
      <alignment horizontal="right" vertical="center" wrapText="1" indent="1"/>
    </xf>
    <xf numFmtId="183" fontId="56" fillId="12" borderId="278" xfId="0" applyNumberFormat="1" applyFont="1" applyFill="1" applyBorder="1" applyAlignment="1">
      <alignment horizontal="left" vertical="center" wrapText="1" indent="1"/>
    </xf>
    <xf numFmtId="183" fontId="56" fillId="12" borderId="279" xfId="0" applyNumberFormat="1" applyFont="1" applyFill="1" applyBorder="1" applyAlignment="1">
      <alignment horizontal="left" vertical="center" wrapText="1" indent="1"/>
    </xf>
    <xf numFmtId="183" fontId="13" fillId="0" borderId="16" xfId="0" applyNumberFormat="1" applyFont="1" applyFill="1" applyBorder="1" applyAlignment="1">
      <alignment horizontal="left" vertical="center" wrapText="1" indent="1"/>
    </xf>
    <xf numFmtId="183" fontId="13" fillId="25" borderId="200" xfId="0" applyNumberFormat="1" applyFont="1" applyFill="1" applyBorder="1" applyAlignment="1">
      <alignment horizontal="center" vertical="center" wrapText="1"/>
    </xf>
    <xf numFmtId="183" fontId="13" fillId="0" borderId="144" xfId="0" applyNumberFormat="1" applyFont="1" applyFill="1" applyBorder="1" applyAlignment="1">
      <alignment horizontal="center" vertical="center" wrapText="1"/>
    </xf>
    <xf numFmtId="183" fontId="13" fillId="24" borderId="144" xfId="0" applyNumberFormat="1" applyFont="1" applyFill="1" applyBorder="1" applyAlignment="1">
      <alignment horizontal="center" vertical="center" wrapText="1"/>
    </xf>
    <xf numFmtId="183" fontId="13" fillId="27" borderId="144" xfId="0" applyNumberFormat="1" applyFont="1" applyFill="1" applyBorder="1" applyAlignment="1">
      <alignment horizontal="center" vertical="center" wrapText="1"/>
    </xf>
    <xf numFmtId="183" fontId="13" fillId="27" borderId="212" xfId="0" applyNumberFormat="1" applyFont="1" applyFill="1" applyBorder="1" applyAlignment="1">
      <alignment horizontal="center" vertical="center" wrapText="1"/>
    </xf>
    <xf numFmtId="183" fontId="13" fillId="15" borderId="153" xfId="0" applyNumberFormat="1" applyFont="1" applyFill="1" applyBorder="1" applyAlignment="1">
      <alignment horizontal="left" vertical="center" wrapText="1" indent="1"/>
    </xf>
    <xf numFmtId="183" fontId="13" fillId="27" borderId="212" xfId="0" applyNumberFormat="1" applyFont="1" applyFill="1" applyBorder="1" applyAlignment="1">
      <alignment horizontal="left" vertical="center" wrapText="1" indent="1"/>
    </xf>
    <xf numFmtId="183" fontId="13" fillId="0" borderId="149" xfId="0" applyNumberFormat="1" applyFont="1" applyFill="1" applyBorder="1" applyAlignment="1">
      <alignment horizontal="left" vertical="center" wrapText="1" indent="1"/>
    </xf>
    <xf numFmtId="183" fontId="13" fillId="0" borderId="153" xfId="0" applyNumberFormat="1" applyFont="1" applyFill="1" applyBorder="1" applyAlignment="1">
      <alignment horizontal="left" vertical="center" wrapText="1" indent="1"/>
    </xf>
    <xf numFmtId="183" fontId="13" fillId="25" borderId="153" xfId="0" applyNumberFormat="1" applyFont="1" applyFill="1" applyBorder="1" applyAlignment="1">
      <alignment horizontal="left" vertical="center" wrapText="1" indent="1"/>
    </xf>
    <xf numFmtId="183" fontId="13" fillId="24" borderId="153" xfId="0" applyNumberFormat="1" applyFont="1" applyFill="1" applyBorder="1" applyAlignment="1">
      <alignment horizontal="left" vertical="center" wrapText="1" indent="1"/>
    </xf>
    <xf numFmtId="183" fontId="13" fillId="15" borderId="224" xfId="0" applyNumberFormat="1" applyFont="1" applyFill="1" applyBorder="1" applyAlignment="1">
      <alignment horizontal="left" vertical="center" wrapText="1" indent="1"/>
    </xf>
    <xf numFmtId="183" fontId="13" fillId="27" borderId="157" xfId="0" applyNumberFormat="1" applyFont="1" applyFill="1" applyBorder="1" applyAlignment="1">
      <alignment horizontal="left" vertical="center" wrapText="1" indent="1"/>
    </xf>
    <xf numFmtId="183" fontId="13" fillId="12" borderId="287" xfId="0" applyNumberFormat="1" applyFont="1" applyFill="1" applyBorder="1" applyAlignment="1">
      <alignment horizontal="left" vertical="center" wrapText="1" indent="1"/>
    </xf>
    <xf numFmtId="183" fontId="13" fillId="12" borderId="144" xfId="0" applyNumberFormat="1" applyFont="1" applyFill="1" applyBorder="1" applyAlignment="1">
      <alignment horizontal="left" vertical="center" wrapText="1" indent="1"/>
    </xf>
    <xf numFmtId="183" fontId="13" fillId="12" borderId="190" xfId="0" applyNumberFormat="1" applyFont="1" applyFill="1" applyBorder="1" applyAlignment="1">
      <alignment horizontal="left" vertical="center" wrapText="1" indent="1"/>
    </xf>
    <xf numFmtId="183" fontId="13" fillId="12" borderId="282" xfId="0" applyNumberFormat="1" applyFont="1" applyFill="1" applyBorder="1" applyAlignment="1">
      <alignment horizontal="left" vertical="center" wrapText="1" indent="1"/>
    </xf>
    <xf numFmtId="183" fontId="13" fillId="12" borderId="283" xfId="0" applyNumberFormat="1" applyFont="1" applyFill="1" applyBorder="1" applyAlignment="1">
      <alignment horizontal="left" vertical="center" wrapText="1" indent="1"/>
    </xf>
    <xf numFmtId="0" fontId="0" fillId="8" borderId="26" xfId="0" applyFill="1" applyBorder="1" applyAlignment="1">
      <alignment horizontal="center" vertical="center"/>
    </xf>
    <xf numFmtId="0" fontId="0" fillId="8" borderId="7" xfId="0" applyFill="1" applyBorder="1" applyAlignment="1">
      <alignment horizontal="center" vertical="center"/>
    </xf>
    <xf numFmtId="173" fontId="13" fillId="0" borderId="160" xfId="0" applyNumberFormat="1" applyFont="1" applyFill="1" applyBorder="1" applyAlignment="1">
      <alignment horizontal="center" vertical="center" wrapText="1"/>
    </xf>
    <xf numFmtId="173" fontId="13" fillId="0" borderId="164" xfId="0" applyNumberFormat="1" applyFont="1" applyFill="1" applyBorder="1" applyAlignment="1">
      <alignment horizontal="center" vertical="center" wrapText="1"/>
    </xf>
    <xf numFmtId="173" fontId="13" fillId="25" borderId="164" xfId="0" applyNumberFormat="1" applyFont="1" applyFill="1" applyBorder="1" applyAlignment="1">
      <alignment horizontal="center" vertical="center" wrapText="1"/>
    </xf>
    <xf numFmtId="173" fontId="13" fillId="24" borderId="164" xfId="0" applyNumberFormat="1" applyFont="1" applyFill="1" applyBorder="1" applyAlignment="1">
      <alignment horizontal="center" vertical="center" wrapText="1"/>
    </xf>
    <xf numFmtId="173" fontId="13" fillId="15" borderId="164" xfId="0" applyNumberFormat="1" applyFont="1" applyFill="1" applyBorder="1" applyAlignment="1">
      <alignment horizontal="center" vertical="center" wrapText="1"/>
    </xf>
    <xf numFmtId="173" fontId="13" fillId="15" borderId="226" xfId="0" applyNumberFormat="1" applyFont="1" applyFill="1" applyBorder="1" applyAlignment="1">
      <alignment horizontal="center" vertical="center" wrapText="1"/>
    </xf>
    <xf numFmtId="173" fontId="13" fillId="27" borderId="168" xfId="0" applyNumberFormat="1" applyFont="1" applyFill="1" applyBorder="1" applyAlignment="1">
      <alignment horizontal="center" vertical="center" wrapText="1"/>
    </xf>
    <xf numFmtId="173" fontId="13" fillId="25" borderId="160" xfId="0" applyNumberFormat="1" applyFont="1" applyFill="1" applyBorder="1" applyAlignment="1">
      <alignment horizontal="center" vertical="center" wrapText="1"/>
    </xf>
    <xf numFmtId="173" fontId="1" fillId="24" borderId="80" xfId="0" applyNumberFormat="1" applyFont="1" applyFill="1" applyBorder="1" applyAlignment="1">
      <alignment horizontal="center" vertical="center" wrapText="1"/>
    </xf>
    <xf numFmtId="173" fontId="13" fillId="12" borderId="184" xfId="0" applyNumberFormat="1" applyFont="1" applyFill="1" applyBorder="1" applyAlignment="1">
      <alignment horizontal="center" vertical="center" wrapText="1"/>
    </xf>
    <xf numFmtId="173" fontId="13" fillId="12" borderId="207" xfId="0" applyNumberFormat="1" applyFont="1" applyFill="1" applyBorder="1" applyAlignment="1">
      <alignment horizontal="center" vertical="center" wrapText="1"/>
    </xf>
    <xf numFmtId="173" fontId="13" fillId="12" borderId="191" xfId="0" applyNumberFormat="1" applyFont="1" applyFill="1" applyBorder="1" applyAlignment="1">
      <alignment horizontal="center" vertical="center" wrapText="1"/>
    </xf>
    <xf numFmtId="173" fontId="1" fillId="24" borderId="290" xfId="0" applyNumberFormat="1" applyFont="1" applyFill="1" applyBorder="1" applyAlignment="1">
      <alignment horizontal="center" vertical="center" wrapText="1"/>
    </xf>
    <xf numFmtId="173" fontId="47" fillId="25" borderId="290" xfId="0" applyNumberFormat="1" applyFont="1" applyFill="1" applyBorder="1" applyAlignment="1">
      <alignment horizontal="center" vertical="center" wrapText="1"/>
    </xf>
    <xf numFmtId="173" fontId="1" fillId="25" borderId="290" xfId="0" applyNumberFormat="1" applyFont="1" applyFill="1" applyBorder="1" applyAlignment="1">
      <alignment horizontal="center" vertical="center" wrapText="1"/>
    </xf>
    <xf numFmtId="173" fontId="13" fillId="12" borderId="290" xfId="0" applyNumberFormat="1" applyFont="1" applyFill="1" applyBorder="1" applyAlignment="1">
      <alignment horizontal="center" vertical="center" wrapText="1"/>
    </xf>
    <xf numFmtId="173" fontId="13" fillId="12" borderId="63" xfId="0" applyNumberFormat="1" applyFont="1" applyFill="1" applyBorder="1" applyAlignment="1">
      <alignment horizontal="center" vertical="center" wrapText="1"/>
    </xf>
    <xf numFmtId="173" fontId="13" fillId="25" borderId="290" xfId="0" applyNumberFormat="1" applyFont="1" applyFill="1" applyBorder="1" applyAlignment="1">
      <alignment horizontal="center" vertical="center" wrapText="1"/>
    </xf>
    <xf numFmtId="173" fontId="9" fillId="0" borderId="164" xfId="0" applyNumberFormat="1" applyFont="1" applyFill="1" applyBorder="1" applyAlignment="1">
      <alignment horizontal="center" vertical="center" wrapText="1"/>
    </xf>
    <xf numFmtId="173" fontId="13" fillId="0" borderId="290" xfId="0" applyNumberFormat="1" applyFont="1" applyFill="1" applyBorder="1" applyAlignment="1">
      <alignment horizontal="center" vertical="center" wrapText="1"/>
    </xf>
    <xf numFmtId="173" fontId="13" fillId="0" borderId="239" xfId="0" applyNumberFormat="1" applyFont="1" applyFill="1" applyBorder="1" applyAlignment="1">
      <alignment horizontal="center" vertical="center" wrapText="1"/>
    </xf>
    <xf numFmtId="173" fontId="13" fillId="0" borderId="66" xfId="0" applyNumberFormat="1" applyFont="1" applyFill="1" applyBorder="1" applyAlignment="1">
      <alignment horizontal="center" vertical="center" wrapText="1"/>
    </xf>
    <xf numFmtId="0" fontId="1" fillId="26" borderId="284" xfId="0" applyFont="1" applyFill="1" applyBorder="1" applyAlignment="1">
      <alignment horizontal="center" vertical="center" wrapText="1"/>
    </xf>
    <xf numFmtId="0" fontId="1" fillId="26" borderId="34" xfId="0" applyFont="1" applyFill="1" applyBorder="1" applyAlignment="1">
      <alignment horizontal="center" vertical="center" wrapText="1"/>
    </xf>
    <xf numFmtId="0" fontId="4" fillId="26" borderId="79" xfId="0" applyFont="1" applyFill="1" applyBorder="1" applyAlignment="1">
      <alignment vertical="center" wrapText="1"/>
    </xf>
    <xf numFmtId="0" fontId="1" fillId="26" borderId="278" xfId="0" applyFont="1" applyFill="1" applyBorder="1" applyAlignment="1">
      <alignment horizontal="center" vertical="center" wrapText="1"/>
    </xf>
    <xf numFmtId="183" fontId="57" fillId="24" borderId="79" xfId="0" applyNumberFormat="1" applyFont="1" applyFill="1" applyBorder="1" applyAlignment="1">
      <alignment horizontal="right" vertical="center" wrapText="1" indent="2"/>
    </xf>
    <xf numFmtId="183" fontId="57" fillId="24" borderId="270" xfId="0" applyNumberFormat="1" applyFont="1" applyFill="1" applyBorder="1" applyAlignment="1">
      <alignment horizontal="right" vertical="center" wrapText="1" indent="2"/>
    </xf>
    <xf numFmtId="183" fontId="57" fillId="25" borderId="270" xfId="0" applyNumberFormat="1" applyFont="1" applyFill="1" applyBorder="1" applyAlignment="1">
      <alignment horizontal="right" vertical="center" wrapText="1" indent="2"/>
    </xf>
    <xf numFmtId="183" fontId="9" fillId="0" borderId="152" xfId="0" applyNumberFormat="1" applyFont="1" applyFill="1" applyBorder="1" applyAlignment="1">
      <alignment horizontal="right" vertical="center" wrapText="1" indent="2"/>
    </xf>
    <xf numFmtId="183" fontId="9" fillId="0" borderId="155" xfId="0" applyNumberFormat="1" applyFont="1" applyFill="1" applyBorder="1" applyAlignment="1">
      <alignment horizontal="right" vertical="center" wrapText="1" indent="2"/>
    </xf>
    <xf numFmtId="183" fontId="9" fillId="0" borderId="165" xfId="0" applyNumberFormat="1" applyFont="1" applyFill="1" applyBorder="1" applyAlignment="1">
      <alignment horizontal="right" vertical="center" wrapText="1" indent="2"/>
    </xf>
    <xf numFmtId="183" fontId="9" fillId="0" borderId="69" xfId="0" applyNumberFormat="1" applyFont="1" applyFill="1" applyBorder="1" applyAlignment="1">
      <alignment horizontal="right" vertical="center" wrapText="1" indent="2"/>
    </xf>
    <xf numFmtId="183" fontId="9" fillId="0" borderId="123" xfId="0" applyNumberFormat="1" applyFont="1" applyFill="1" applyBorder="1" applyAlignment="1">
      <alignment horizontal="right" vertical="center" wrapText="1" indent="2"/>
    </xf>
    <xf numFmtId="183" fontId="9" fillId="0" borderId="236" xfId="0" applyNumberFormat="1" applyFont="1" applyFill="1" applyBorder="1" applyAlignment="1">
      <alignment horizontal="right" vertical="center" wrapText="1" indent="2"/>
    </xf>
    <xf numFmtId="183" fontId="9" fillId="0" borderId="51" xfId="0" applyNumberFormat="1" applyFont="1" applyFill="1" applyBorder="1" applyAlignment="1">
      <alignment horizontal="right" vertical="center" wrapText="1" indent="2"/>
    </xf>
    <xf numFmtId="183" fontId="9" fillId="0" borderId="77" xfId="0" applyNumberFormat="1" applyFont="1" applyFill="1" applyBorder="1" applyAlignment="1">
      <alignment horizontal="right" vertical="center" wrapText="1" indent="2"/>
    </xf>
    <xf numFmtId="183" fontId="13" fillId="24" borderId="23" xfId="0" applyNumberFormat="1" applyFont="1" applyFill="1" applyBorder="1" applyAlignment="1">
      <alignment horizontal="right" vertical="center" wrapText="1" indent="2"/>
    </xf>
    <xf numFmtId="183" fontId="13" fillId="24" borderId="7" xfId="0" applyNumberFormat="1" applyFont="1" applyFill="1" applyBorder="1" applyAlignment="1">
      <alignment horizontal="right" vertical="center" wrapText="1" indent="2"/>
    </xf>
    <xf numFmtId="9" fontId="13" fillId="12" borderId="181" xfId="0" applyNumberFormat="1" applyFont="1" applyFill="1" applyBorder="1" applyAlignment="1">
      <alignment horizontal="right" vertical="center" wrapText="1" indent="2"/>
    </xf>
    <xf numFmtId="183" fontId="13" fillId="12" borderId="181" xfId="0" applyNumberFormat="1" applyFont="1" applyFill="1" applyBorder="1" applyAlignment="1">
      <alignment horizontal="right" vertical="center" wrapText="1" indent="2"/>
    </xf>
    <xf numFmtId="9" fontId="13" fillId="12" borderId="205" xfId="0" applyNumberFormat="1" applyFont="1" applyFill="1" applyBorder="1" applyAlignment="1">
      <alignment horizontal="right" vertical="center" wrapText="1" indent="2"/>
    </xf>
    <xf numFmtId="183" fontId="13" fillId="12" borderId="205" xfId="0" applyNumberFormat="1" applyFont="1" applyFill="1" applyBorder="1" applyAlignment="1">
      <alignment horizontal="right" vertical="center" wrapText="1" indent="2"/>
    </xf>
    <xf numFmtId="183" fontId="13" fillId="12" borderId="117" xfId="0" applyNumberFormat="1" applyFont="1" applyFill="1" applyBorder="1" applyAlignment="1">
      <alignment horizontal="right" vertical="center" wrapText="1" indent="2"/>
    </xf>
    <xf numFmtId="183" fontId="13" fillId="25" borderId="23" xfId="0" applyNumberFormat="1" applyFont="1" applyFill="1" applyBorder="1" applyAlignment="1">
      <alignment horizontal="right" vertical="center" wrapText="1" indent="2"/>
    </xf>
    <xf numFmtId="183" fontId="13" fillId="12" borderId="23" xfId="0" applyNumberFormat="1" applyFont="1" applyFill="1" applyBorder="1" applyAlignment="1">
      <alignment horizontal="right" vertical="center" wrapText="1" indent="2"/>
    </xf>
    <xf numFmtId="183" fontId="56" fillId="12" borderId="53" xfId="0" applyNumberFormat="1" applyFont="1" applyFill="1" applyBorder="1" applyAlignment="1">
      <alignment horizontal="right" vertical="center" wrapText="1" indent="2"/>
    </xf>
    <xf numFmtId="183" fontId="57" fillId="0" borderId="152" xfId="0" applyNumberFormat="1" applyFont="1" applyFill="1" applyBorder="1" applyAlignment="1">
      <alignment horizontal="right" vertical="center" wrapText="1" indent="2"/>
    </xf>
    <xf numFmtId="183" fontId="57" fillId="0" borderId="52" xfId="0" applyNumberFormat="1" applyFont="1" applyFill="1" applyBorder="1" applyAlignment="1">
      <alignment horizontal="right" vertical="center" wrapText="1" indent="2"/>
    </xf>
    <xf numFmtId="183" fontId="57" fillId="0" borderId="123" xfId="0" applyNumberFormat="1" applyFont="1" applyFill="1" applyBorder="1" applyAlignment="1">
      <alignment horizontal="right" vertical="center" wrapText="1" indent="2"/>
    </xf>
    <xf numFmtId="183" fontId="57" fillId="0" borderId="51" xfId="0" applyNumberFormat="1" applyFont="1" applyFill="1" applyBorder="1" applyAlignment="1">
      <alignment horizontal="right" vertical="center" wrapText="1" indent="2"/>
    </xf>
    <xf numFmtId="183" fontId="13" fillId="0" borderId="154" xfId="0" applyNumberFormat="1" applyFont="1" applyFill="1" applyBorder="1" applyAlignment="1">
      <alignment horizontal="right" vertical="center" wrapText="1" indent="2"/>
    </xf>
    <xf numFmtId="183" fontId="13" fillId="0" borderId="124" xfId="0" applyNumberFormat="1" applyFont="1" applyFill="1" applyBorder="1" applyAlignment="1">
      <alignment horizontal="right" vertical="center" wrapText="1" indent="2"/>
    </xf>
    <xf numFmtId="183" fontId="13" fillId="0" borderId="26" xfId="0" applyNumberFormat="1" applyFont="1" applyFill="1" applyBorder="1" applyAlignment="1">
      <alignment horizontal="right" vertical="center" wrapText="1" indent="2"/>
    </xf>
    <xf numFmtId="183" fontId="48" fillId="0" borderId="155" xfId="0" applyNumberFormat="1" applyFont="1" applyFill="1" applyBorder="1" applyAlignment="1">
      <alignment horizontal="right" vertical="center" wrapText="1" indent="2"/>
    </xf>
    <xf numFmtId="183" fontId="48" fillId="0" borderId="34" xfId="0" applyNumberFormat="1" applyFont="1" applyFill="1" applyBorder="1" applyAlignment="1">
      <alignment horizontal="right" vertical="center" wrapText="1" indent="2"/>
    </xf>
    <xf numFmtId="183" fontId="48" fillId="0" borderId="125" xfId="0" applyNumberFormat="1" applyFont="1" applyFill="1" applyBorder="1" applyAlignment="1">
      <alignment horizontal="right" vertical="center" wrapText="1" indent="2"/>
    </xf>
    <xf numFmtId="183" fontId="48" fillId="0" borderId="33" xfId="0" applyNumberFormat="1" applyFont="1" applyFill="1" applyBorder="1" applyAlignment="1">
      <alignment horizontal="right" vertical="center" wrapText="1" indent="2"/>
    </xf>
    <xf numFmtId="183" fontId="13" fillId="24" borderId="44" xfId="0" applyNumberFormat="1" applyFont="1" applyFill="1" applyBorder="1" applyAlignment="1">
      <alignment horizontal="right" vertical="center" wrapText="1" indent="2"/>
    </xf>
    <xf numFmtId="183" fontId="13" fillId="12" borderId="183" xfId="0" applyNumberFormat="1" applyFont="1" applyFill="1" applyBorder="1" applyAlignment="1">
      <alignment horizontal="right" vertical="center" wrapText="1" indent="2"/>
    </xf>
    <xf numFmtId="183" fontId="13" fillId="12" borderId="206" xfId="0" applyNumberFormat="1" applyFont="1" applyFill="1" applyBorder="1" applyAlignment="1">
      <alignment horizontal="right" vertical="center" wrapText="1" indent="2"/>
    </xf>
    <xf numFmtId="183" fontId="13" fillId="12" borderId="189" xfId="0" applyNumberFormat="1" applyFont="1" applyFill="1" applyBorder="1" applyAlignment="1">
      <alignment horizontal="right" vertical="center" wrapText="1" indent="2"/>
    </xf>
    <xf numFmtId="183" fontId="13" fillId="24" borderId="284" xfId="0" applyNumberFormat="1" applyFont="1" applyFill="1" applyBorder="1" applyAlignment="1">
      <alignment horizontal="right" vertical="center" wrapText="1" indent="1"/>
    </xf>
    <xf numFmtId="183" fontId="13" fillId="24" borderId="278" xfId="0" applyNumberFormat="1" applyFont="1" applyFill="1" applyBorder="1" applyAlignment="1">
      <alignment horizontal="right" vertical="center" wrapText="1" indent="2"/>
    </xf>
    <xf numFmtId="183" fontId="13" fillId="24" borderId="34" xfId="0" applyNumberFormat="1" applyFont="1" applyFill="1" applyBorder="1" applyAlignment="1">
      <alignment horizontal="right" vertical="center" wrapText="1" indent="2"/>
    </xf>
    <xf numFmtId="183" fontId="13" fillId="25" borderId="284" xfId="0" applyNumberFormat="1" applyFont="1" applyFill="1" applyBorder="1" applyAlignment="1">
      <alignment horizontal="right" vertical="center" wrapText="1" indent="1"/>
    </xf>
    <xf numFmtId="183" fontId="13" fillId="25" borderId="278" xfId="0" applyNumberFormat="1" applyFont="1" applyFill="1" applyBorder="1" applyAlignment="1">
      <alignment horizontal="right" vertical="center" wrapText="1" indent="2"/>
    </xf>
    <xf numFmtId="183" fontId="13" fillId="25" borderId="34" xfId="0" applyNumberFormat="1" applyFont="1" applyFill="1" applyBorder="1" applyAlignment="1">
      <alignment horizontal="right" vertical="center" wrapText="1" indent="2"/>
    </xf>
    <xf numFmtId="183" fontId="13" fillId="12" borderId="285" xfId="0" applyNumberFormat="1" applyFont="1" applyFill="1" applyBorder="1" applyAlignment="1">
      <alignment horizontal="right" vertical="center" wrapText="1" indent="2"/>
    </xf>
    <xf numFmtId="183" fontId="13" fillId="12" borderId="279" xfId="0" applyNumberFormat="1" applyFont="1" applyFill="1" applyBorder="1" applyAlignment="1">
      <alignment horizontal="right" vertical="center" wrapText="1" indent="2"/>
    </xf>
    <xf numFmtId="183" fontId="13" fillId="12" borderId="60" xfId="0" applyNumberFormat="1" applyFont="1" applyFill="1" applyBorder="1" applyAlignment="1">
      <alignment horizontal="right" vertical="center" wrapText="1" indent="2"/>
    </xf>
    <xf numFmtId="183" fontId="13" fillId="25" borderId="284" xfId="0" applyNumberFormat="1" applyFont="1" applyFill="1" applyBorder="1" applyAlignment="1">
      <alignment horizontal="right" vertical="center" wrapText="1" indent="2"/>
    </xf>
    <xf numFmtId="183" fontId="13" fillId="12" borderId="284" xfId="0" applyNumberFormat="1" applyFont="1" applyFill="1" applyBorder="1" applyAlignment="1">
      <alignment horizontal="right" vertical="center" wrapText="1" indent="2"/>
    </xf>
    <xf numFmtId="183" fontId="13" fillId="12" borderId="278" xfId="0" applyNumberFormat="1" applyFont="1" applyFill="1" applyBorder="1" applyAlignment="1">
      <alignment horizontal="right" vertical="center" wrapText="1" indent="2"/>
    </xf>
    <xf numFmtId="183" fontId="13" fillId="12" borderId="34" xfId="0" applyNumberFormat="1" applyFont="1" applyFill="1" applyBorder="1" applyAlignment="1">
      <alignment horizontal="right" vertical="center" wrapText="1" indent="2"/>
    </xf>
    <xf numFmtId="183" fontId="13" fillId="0" borderId="152" xfId="0" applyNumberFormat="1" applyFont="1" applyFill="1" applyBorder="1" applyAlignment="1">
      <alignment horizontal="right" vertical="center" wrapText="1" indent="2"/>
    </xf>
    <xf numFmtId="183" fontId="13" fillId="0" borderId="155" xfId="0" applyNumberFormat="1" applyFont="1" applyFill="1" applyBorder="1" applyAlignment="1">
      <alignment horizontal="right" vertical="center" wrapText="1" indent="2"/>
    </xf>
    <xf numFmtId="183" fontId="13" fillId="0" borderId="284" xfId="0" applyNumberFormat="1" applyFont="1" applyFill="1" applyBorder="1" applyAlignment="1">
      <alignment horizontal="right" vertical="center" wrapText="1" indent="2"/>
    </xf>
    <xf numFmtId="183" fontId="13" fillId="0" borderId="278" xfId="0" applyNumberFormat="1" applyFont="1" applyFill="1" applyBorder="1" applyAlignment="1">
      <alignment horizontal="right" vertical="center" wrapText="1" indent="2"/>
    </xf>
    <xf numFmtId="183" fontId="13" fillId="0" borderId="34" xfId="0" applyNumberFormat="1" applyFont="1" applyFill="1" applyBorder="1" applyAlignment="1">
      <alignment horizontal="right" vertical="center" wrapText="1" indent="2"/>
    </xf>
    <xf numFmtId="183" fontId="13" fillId="0" borderId="123" xfId="0" applyNumberFormat="1" applyFont="1" applyFill="1" applyBorder="1" applyAlignment="1">
      <alignment horizontal="right" vertical="center" wrapText="1" indent="2"/>
    </xf>
    <xf numFmtId="183" fontId="13" fillId="0" borderId="125" xfId="0" applyNumberFormat="1" applyFont="1" applyFill="1" applyBorder="1" applyAlignment="1">
      <alignment horizontal="right" vertical="center" wrapText="1" indent="2"/>
    </xf>
    <xf numFmtId="183" fontId="13" fillId="0" borderId="51" xfId="0" applyNumberFormat="1" applyFont="1" applyFill="1" applyBorder="1" applyAlignment="1">
      <alignment horizontal="right" vertical="center" wrapText="1" indent="2"/>
    </xf>
    <xf numFmtId="183" fontId="13" fillId="0" borderId="33" xfId="0" applyNumberFormat="1" applyFont="1" applyFill="1" applyBorder="1" applyAlignment="1">
      <alignment horizontal="right" vertical="center" wrapText="1" indent="2"/>
    </xf>
    <xf numFmtId="183" fontId="13" fillId="12" borderId="285" xfId="0" applyNumberFormat="1" applyFont="1" applyFill="1" applyBorder="1" applyAlignment="1">
      <alignment horizontal="right" vertical="center" wrapText="1" indent="1"/>
    </xf>
    <xf numFmtId="183" fontId="13" fillId="12" borderId="284" xfId="0" applyNumberFormat="1" applyFont="1" applyFill="1" applyBorder="1" applyAlignment="1">
      <alignment horizontal="right" vertical="center" wrapText="1" indent="1"/>
    </xf>
    <xf numFmtId="183" fontId="13" fillId="0" borderId="284" xfId="0" applyNumberFormat="1" applyFont="1" applyFill="1" applyBorder="1" applyAlignment="1">
      <alignment horizontal="right" vertical="center" wrapText="1" indent="1"/>
    </xf>
    <xf numFmtId="183" fontId="13" fillId="0" borderId="123" xfId="0" applyNumberFormat="1" applyFont="1" applyFill="1" applyBorder="1" applyAlignment="1">
      <alignment horizontal="right" vertical="center" wrapText="1" indent="1"/>
    </xf>
    <xf numFmtId="183" fontId="13" fillId="0" borderId="125" xfId="0" applyNumberFormat="1" applyFont="1" applyFill="1" applyBorder="1" applyAlignment="1">
      <alignment horizontal="right" vertical="center" wrapText="1" indent="1"/>
    </xf>
    <xf numFmtId="9" fontId="4" fillId="36" borderId="251" xfId="0" applyNumberFormat="1" applyFont="1" applyFill="1" applyBorder="1" applyAlignment="1">
      <alignment horizontal="center" vertical="center" wrapText="1"/>
    </xf>
    <xf numFmtId="0" fontId="13" fillId="36" borderId="276" xfId="0" applyFont="1" applyFill="1" applyBorder="1"/>
    <xf numFmtId="0" fontId="13" fillId="0" borderId="26" xfId="0" applyFont="1" applyFill="1" applyBorder="1" applyAlignment="1">
      <alignment horizontal="center"/>
    </xf>
    <xf numFmtId="0" fontId="13" fillId="0" borderId="279" xfId="0" applyFont="1" applyFill="1" applyBorder="1" applyAlignment="1">
      <alignment horizontal="center"/>
    </xf>
    <xf numFmtId="1" fontId="9" fillId="24" borderId="89" xfId="0" applyNumberFormat="1" applyFont="1" applyFill="1" applyBorder="1" applyAlignment="1">
      <alignment horizontal="center" vertical="center" wrapText="1"/>
    </xf>
    <xf numFmtId="1" fontId="0" fillId="0" borderId="22" xfId="0" applyNumberFormat="1" applyFill="1" applyBorder="1" applyAlignment="1">
      <alignment horizontal="center" vertical="center" wrapText="1"/>
    </xf>
    <xf numFmtId="1" fontId="0" fillId="25" borderId="204" xfId="0" applyNumberFormat="1" applyFill="1" applyBorder="1" applyAlignment="1">
      <alignment horizontal="center" vertical="center" wrapText="1"/>
    </xf>
    <xf numFmtId="1" fontId="0" fillId="0" borderId="195" xfId="0" applyNumberFormat="1" applyFill="1" applyBorder="1" applyAlignment="1">
      <alignment horizontal="center" vertical="center" wrapText="1"/>
    </xf>
    <xf numFmtId="1" fontId="0" fillId="24" borderId="195" xfId="0" applyNumberFormat="1" applyFill="1" applyBorder="1" applyAlignment="1">
      <alignment horizontal="center" vertical="center" wrapText="1"/>
    </xf>
    <xf numFmtId="1" fontId="0" fillId="27" borderId="195" xfId="0" applyNumberFormat="1" applyFill="1" applyBorder="1" applyAlignment="1">
      <alignment horizontal="center" vertical="center" wrapText="1"/>
    </xf>
    <xf numFmtId="1" fontId="0" fillId="27" borderId="216" xfId="0" applyNumberFormat="1" applyFill="1" applyBorder="1" applyAlignment="1">
      <alignment horizontal="center" vertical="center" wrapText="1"/>
    </xf>
    <xf numFmtId="1" fontId="0" fillId="0" borderId="163" xfId="0" applyNumberFormat="1" applyFill="1" applyBorder="1" applyAlignment="1">
      <alignment horizontal="center" vertical="center" wrapText="1"/>
    </xf>
    <xf numFmtId="1" fontId="0" fillId="0" borderId="167" xfId="0" applyNumberFormat="1" applyFill="1" applyBorder="1" applyAlignment="1">
      <alignment horizontal="center" vertical="center" wrapText="1"/>
    </xf>
    <xf numFmtId="1" fontId="0" fillId="25" borderId="167" xfId="0" applyNumberFormat="1" applyFill="1" applyBorder="1" applyAlignment="1">
      <alignment horizontal="center" vertical="center" wrapText="1"/>
    </xf>
    <xf numFmtId="1" fontId="0" fillId="24" borderId="167" xfId="0" applyNumberFormat="1" applyFill="1" applyBorder="1" applyAlignment="1">
      <alignment horizontal="center" vertical="center" wrapText="1"/>
    </xf>
    <xf numFmtId="1" fontId="0" fillId="15" borderId="167" xfId="0" applyNumberFormat="1" applyFill="1" applyBorder="1" applyAlignment="1">
      <alignment horizontal="center" vertical="center" wrapText="1"/>
    </xf>
    <xf numFmtId="1" fontId="0" fillId="15" borderId="299" xfId="0" applyNumberFormat="1" applyFill="1" applyBorder="1" applyAlignment="1">
      <alignment horizontal="center" vertical="center" wrapText="1"/>
    </xf>
    <xf numFmtId="1" fontId="0" fillId="27" borderId="171" xfId="0" applyNumberFormat="1" applyFill="1" applyBorder="1" applyAlignment="1">
      <alignment horizontal="center" vertical="center" wrapText="1"/>
    </xf>
    <xf numFmtId="1" fontId="0" fillId="25" borderId="163" xfId="0" applyNumberFormat="1" applyFill="1" applyBorder="1" applyAlignment="1">
      <alignment horizontal="center" vertical="center" wrapText="1"/>
    </xf>
    <xf numFmtId="1" fontId="0" fillId="12" borderId="186" xfId="0" applyNumberFormat="1" applyFill="1" applyBorder="1" applyAlignment="1">
      <alignment horizontal="center" vertical="center" wrapText="1"/>
    </xf>
    <xf numFmtId="1" fontId="0" fillId="12" borderId="195" xfId="0" applyNumberFormat="1" applyFill="1" applyBorder="1" applyAlignment="1">
      <alignment horizontal="center" vertical="center" wrapText="1"/>
    </xf>
    <xf numFmtId="1" fontId="0" fillId="12" borderId="193" xfId="0" applyNumberFormat="1" applyFill="1" applyBorder="1" applyAlignment="1">
      <alignment horizontal="center" vertical="center" wrapText="1"/>
    </xf>
    <xf numFmtId="1" fontId="57" fillId="24" borderId="289" xfId="0" applyNumberFormat="1" applyFont="1" applyFill="1" applyBorder="1" applyAlignment="1">
      <alignment horizontal="center" vertical="center" wrapText="1"/>
    </xf>
    <xf numFmtId="1" fontId="57" fillId="25" borderId="289" xfId="0" applyNumberFormat="1" applyFont="1" applyFill="1" applyBorder="1" applyAlignment="1">
      <alignment horizontal="center" vertical="center" wrapText="1"/>
    </xf>
    <xf numFmtId="1" fontId="57" fillId="24" borderId="19" xfId="0" applyNumberFormat="1" applyFont="1" applyFill="1" applyBorder="1" applyAlignment="1">
      <alignment horizontal="center" vertical="center" wrapText="1"/>
    </xf>
    <xf numFmtId="1" fontId="0" fillId="12" borderId="289" xfId="0" applyNumberFormat="1" applyFill="1" applyBorder="1" applyAlignment="1">
      <alignment horizontal="center" vertical="center" wrapText="1"/>
    </xf>
    <xf numFmtId="1" fontId="0" fillId="12" borderId="28" xfId="0" applyNumberFormat="1" applyFill="1" applyBorder="1" applyAlignment="1">
      <alignment horizontal="center" vertical="center" wrapText="1"/>
    </xf>
    <xf numFmtId="1" fontId="13" fillId="0" borderId="172" xfId="0" applyNumberFormat="1" applyFont="1" applyFill="1" applyBorder="1" applyAlignment="1">
      <alignment horizontal="center" vertical="center" wrapText="1"/>
    </xf>
    <xf numFmtId="1" fontId="0" fillId="25" borderId="288" xfId="0" applyNumberFormat="1" applyFill="1" applyBorder="1" applyAlignment="1">
      <alignment horizontal="center" vertical="center" wrapText="1"/>
    </xf>
    <xf numFmtId="1" fontId="0" fillId="25" borderId="289" xfId="0" applyNumberFormat="1" applyFill="1" applyBorder="1" applyAlignment="1">
      <alignment horizontal="center" vertical="center" wrapText="1"/>
    </xf>
    <xf numFmtId="1" fontId="0" fillId="0" borderId="289" xfId="0" applyNumberFormat="1" applyFill="1" applyBorder="1" applyAlignment="1">
      <alignment horizontal="center" vertical="center" wrapText="1"/>
    </xf>
    <xf numFmtId="1" fontId="0" fillId="0" borderId="240" xfId="0" applyNumberFormat="1" applyFill="1" applyBorder="1" applyAlignment="1">
      <alignment horizontal="center" vertical="center" wrapText="1"/>
    </xf>
    <xf numFmtId="1" fontId="0" fillId="0" borderId="48" xfId="0" applyNumberFormat="1" applyFill="1" applyBorder="1" applyAlignment="1">
      <alignment horizontal="center" vertical="center" wrapText="1"/>
    </xf>
    <xf numFmtId="9" fontId="1" fillId="36" borderId="276" xfId="0" applyNumberFormat="1" applyFont="1" applyFill="1" applyBorder="1" applyAlignment="1">
      <alignment horizontal="center" vertical="center" wrapText="1"/>
    </xf>
    <xf numFmtId="9" fontId="1" fillId="36" borderId="251" xfId="0" applyNumberFormat="1" applyFont="1" applyFill="1" applyBorder="1" applyAlignment="1">
      <alignment horizontal="center" vertical="center" wrapText="1"/>
    </xf>
    <xf numFmtId="183" fontId="9" fillId="25" borderId="152" xfId="0" applyNumberFormat="1" applyFont="1" applyFill="1" applyBorder="1" applyAlignment="1">
      <alignment horizontal="right" vertical="center" wrapText="1" indent="2"/>
    </xf>
    <xf numFmtId="183" fontId="9" fillId="25" borderId="155" xfId="0" applyNumberFormat="1" applyFont="1" applyFill="1" applyBorder="1" applyAlignment="1">
      <alignment horizontal="right" vertical="center" wrapText="1" indent="2"/>
    </xf>
    <xf numFmtId="183" fontId="13" fillId="24" borderId="280" xfId="0" applyNumberFormat="1" applyFont="1" applyFill="1" applyBorder="1" applyAlignment="1">
      <alignment horizontal="right" vertical="center" wrapText="1" indent="2"/>
    </xf>
    <xf numFmtId="183" fontId="13" fillId="25" borderId="280" xfId="0" applyNumberFormat="1" applyFont="1" applyFill="1" applyBorder="1" applyAlignment="1">
      <alignment horizontal="right" vertical="center" wrapText="1" indent="2"/>
    </xf>
    <xf numFmtId="183" fontId="13" fillId="25" borderId="280" xfId="0" applyNumberFormat="1" applyFont="1" applyFill="1" applyBorder="1" applyAlignment="1">
      <alignment horizontal="right" vertical="center" wrapText="1" indent="1"/>
    </xf>
    <xf numFmtId="183" fontId="13" fillId="12" borderId="281" xfId="0" applyNumberFormat="1" applyFont="1" applyFill="1" applyBorder="1" applyAlignment="1">
      <alignment horizontal="right" vertical="center" wrapText="1" indent="1"/>
    </xf>
    <xf numFmtId="183" fontId="13" fillId="0" borderId="166" xfId="0" applyNumberFormat="1" applyFont="1" applyFill="1" applyBorder="1" applyAlignment="1">
      <alignment horizontal="right" vertical="center" wrapText="1" indent="1"/>
    </xf>
    <xf numFmtId="183" fontId="13" fillId="12" borderId="280" xfId="0" applyNumberFormat="1" applyFont="1" applyFill="1" applyBorder="1" applyAlignment="1">
      <alignment horizontal="right" vertical="center" wrapText="1" indent="1"/>
    </xf>
    <xf numFmtId="183" fontId="13" fillId="0" borderId="280" xfId="0" applyNumberFormat="1" applyFont="1" applyFill="1" applyBorder="1" applyAlignment="1">
      <alignment horizontal="right" vertical="center" wrapText="1" indent="1"/>
    </xf>
    <xf numFmtId="183" fontId="13" fillId="0" borderId="238" xfId="0" applyNumberFormat="1" applyFont="1" applyFill="1" applyBorder="1" applyAlignment="1">
      <alignment horizontal="right" vertical="center" wrapText="1" indent="1"/>
    </xf>
    <xf numFmtId="183" fontId="13" fillId="0" borderId="49" xfId="0" applyNumberFormat="1" applyFont="1" applyFill="1" applyBorder="1" applyAlignment="1">
      <alignment horizontal="right" vertical="center" wrapText="1" indent="1"/>
    </xf>
    <xf numFmtId="183" fontId="57" fillId="12" borderId="127" xfId="0" applyNumberFormat="1" applyFont="1" applyFill="1" applyBorder="1" applyAlignment="1">
      <alignment horizontal="right" vertical="center" wrapText="1" indent="2"/>
    </xf>
    <xf numFmtId="183" fontId="57" fillId="12" borderId="146" xfId="0" applyNumberFormat="1" applyFont="1" applyFill="1" applyBorder="1" applyAlignment="1">
      <alignment horizontal="right" vertical="center" wrapText="1" indent="2"/>
    </xf>
    <xf numFmtId="183" fontId="57" fillId="12" borderId="187" xfId="0" applyNumberFormat="1" applyFont="1" applyFill="1" applyBorder="1" applyAlignment="1">
      <alignment horizontal="right" vertical="center" wrapText="1" indent="2"/>
    </xf>
    <xf numFmtId="183" fontId="37" fillId="12" borderId="52" xfId="0" applyNumberFormat="1" applyFont="1" applyFill="1" applyBorder="1" applyAlignment="1">
      <alignment horizontal="right" vertical="center" wrapText="1" indent="2"/>
    </xf>
    <xf numFmtId="183" fontId="37" fillId="12" borderId="53" xfId="0" applyNumberFormat="1" applyFont="1" applyFill="1" applyBorder="1" applyAlignment="1">
      <alignment horizontal="right" vertical="center" wrapText="1" indent="2"/>
    </xf>
    <xf numFmtId="183" fontId="57" fillId="12" borderId="53" xfId="0" applyNumberFormat="1" applyFont="1" applyFill="1" applyBorder="1" applyAlignment="1">
      <alignment horizontal="right" vertical="center" wrapText="1" indent="2"/>
    </xf>
    <xf numFmtId="183" fontId="57" fillId="12" borderId="52" xfId="0" applyNumberFormat="1" applyFont="1" applyFill="1" applyBorder="1" applyAlignment="1">
      <alignment horizontal="right" vertical="center" wrapText="1" indent="2"/>
    </xf>
    <xf numFmtId="183" fontId="37" fillId="12" borderId="34" xfId="0" applyNumberFormat="1" applyFont="1" applyFill="1" applyBorder="1" applyAlignment="1">
      <alignment horizontal="right" vertical="center" wrapText="1" indent="2"/>
    </xf>
    <xf numFmtId="183" fontId="37" fillId="12" borderId="60" xfId="0" applyNumberFormat="1" applyFont="1" applyFill="1" applyBorder="1" applyAlignment="1">
      <alignment horizontal="right" vertical="center" wrapText="1" indent="2"/>
    </xf>
    <xf numFmtId="183" fontId="48" fillId="12" borderId="60" xfId="0" applyNumberFormat="1" applyFont="1" applyFill="1" applyBorder="1" applyAlignment="1">
      <alignment horizontal="right" vertical="center" wrapText="1" indent="2"/>
    </xf>
    <xf numFmtId="183" fontId="48" fillId="12" borderId="34" xfId="0" applyNumberFormat="1" applyFont="1" applyFill="1" applyBorder="1" applyAlignment="1">
      <alignment horizontal="right" vertical="center" wrapText="1" indent="2"/>
    </xf>
    <xf numFmtId="183" fontId="37" fillId="12" borderId="69" xfId="0" applyNumberFormat="1" applyFont="1" applyFill="1" applyBorder="1" applyAlignment="1">
      <alignment horizontal="right" vertical="center" wrapText="1" indent="2"/>
    </xf>
    <xf numFmtId="183" fontId="37" fillId="12" borderId="61" xfId="0" applyNumberFormat="1" applyFont="1" applyFill="1" applyBorder="1" applyAlignment="1">
      <alignment horizontal="right" vertical="center" wrapText="1" indent="2"/>
    </xf>
    <xf numFmtId="183" fontId="37" fillId="25" borderId="69" xfId="0" applyNumberFormat="1" applyFont="1" applyFill="1" applyBorder="1" applyAlignment="1">
      <alignment horizontal="right" vertical="center" wrapText="1" indent="2"/>
    </xf>
    <xf numFmtId="183" fontId="9" fillId="24" borderId="284" xfId="0" applyNumberFormat="1" applyFont="1" applyFill="1" applyBorder="1" applyAlignment="1">
      <alignment horizontal="right" vertical="center" wrapText="1" indent="2"/>
    </xf>
    <xf numFmtId="183" fontId="9" fillId="25" borderId="284" xfId="0" applyNumberFormat="1" applyFont="1" applyFill="1" applyBorder="1" applyAlignment="1">
      <alignment horizontal="right" vertical="center" wrapText="1" indent="2"/>
    </xf>
    <xf numFmtId="183" fontId="9" fillId="24" borderId="42" xfId="0" applyNumberFormat="1" applyFont="1" applyFill="1" applyBorder="1" applyAlignment="1">
      <alignment horizontal="right" vertical="center" wrapText="1" indent="2"/>
    </xf>
    <xf numFmtId="183" fontId="13" fillId="12" borderId="280" xfId="0" applyNumberFormat="1" applyFont="1" applyFill="1" applyBorder="1" applyAlignment="1">
      <alignment horizontal="right" vertical="center" wrapText="1" indent="2"/>
    </xf>
    <xf numFmtId="183" fontId="13" fillId="12" borderId="281" xfId="0" applyNumberFormat="1" applyFont="1" applyFill="1" applyBorder="1" applyAlignment="1">
      <alignment horizontal="right" vertical="center" wrapText="1" indent="2"/>
    </xf>
    <xf numFmtId="183" fontId="9" fillId="12" borderId="284" xfId="0" applyNumberFormat="1" applyFont="1" applyFill="1" applyBorder="1" applyAlignment="1">
      <alignment horizontal="right" vertical="center" wrapText="1" indent="2"/>
    </xf>
    <xf numFmtId="183" fontId="9" fillId="12" borderId="285" xfId="0" applyNumberFormat="1" applyFont="1" applyFill="1" applyBorder="1" applyAlignment="1">
      <alignment horizontal="right" vertical="center" wrapText="1" indent="2"/>
    </xf>
    <xf numFmtId="183" fontId="13" fillId="24" borderId="284" xfId="0" applyNumberFormat="1" applyFont="1" applyFill="1" applyBorder="1" applyAlignment="1">
      <alignment horizontal="right" vertical="center" wrapText="1" indent="2"/>
    </xf>
    <xf numFmtId="183" fontId="9" fillId="0" borderId="284" xfId="0" applyNumberFormat="1" applyFont="1" applyFill="1" applyBorder="1" applyAlignment="1">
      <alignment horizontal="right" vertical="center" wrapText="1" indent="2"/>
    </xf>
    <xf numFmtId="183" fontId="0" fillId="12" borderId="114" xfId="0" applyNumberFormat="1" applyFont="1" applyFill="1" applyBorder="1" applyAlignment="1">
      <alignment horizontal="right" vertical="center" wrapText="1" indent="2"/>
    </xf>
    <xf numFmtId="183" fontId="0" fillId="12" borderId="29" xfId="0" applyNumberFormat="1" applyFont="1" applyFill="1" applyBorder="1" applyAlignment="1">
      <alignment horizontal="right" vertical="center" wrapText="1" indent="2"/>
    </xf>
    <xf numFmtId="166" fontId="13" fillId="0" borderId="166" xfId="0" applyNumberFormat="1" applyFont="1" applyFill="1" applyBorder="1" applyAlignment="1">
      <alignment horizontal="right" vertical="center" wrapText="1" indent="2"/>
    </xf>
    <xf numFmtId="183" fontId="0" fillId="25" borderId="114" xfId="0" applyNumberFormat="1" applyFont="1" applyFill="1" applyBorder="1" applyAlignment="1">
      <alignment horizontal="right" vertical="center" wrapText="1" indent="2"/>
    </xf>
    <xf numFmtId="166" fontId="13" fillId="0" borderId="114" xfId="0" applyNumberFormat="1" applyFont="1" applyFill="1" applyBorder="1" applyAlignment="1">
      <alignment horizontal="right" vertical="center" wrapText="1" indent="2"/>
    </xf>
    <xf numFmtId="166" fontId="13" fillId="0" borderId="238" xfId="0" applyNumberFormat="1" applyFont="1" applyFill="1" applyBorder="1" applyAlignment="1">
      <alignment horizontal="right" vertical="center" wrapText="1" indent="2"/>
    </xf>
    <xf numFmtId="166" fontId="13" fillId="0" borderId="49" xfId="0" applyNumberFormat="1" applyFont="1" applyFill="1" applyBorder="1" applyAlignment="1">
      <alignment horizontal="right" vertical="center" wrapText="1" indent="2"/>
    </xf>
    <xf numFmtId="183" fontId="57" fillId="0" borderId="165" xfId="0" applyNumberFormat="1" applyFont="1" applyFill="1" applyBorder="1" applyAlignment="1">
      <alignment horizontal="right" vertical="center" wrapText="1" indent="2"/>
    </xf>
    <xf numFmtId="183" fontId="57" fillId="0" borderId="270" xfId="0" applyNumberFormat="1" applyFont="1" applyFill="1" applyBorder="1" applyAlignment="1">
      <alignment horizontal="right" vertical="center" wrapText="1" indent="2"/>
    </xf>
    <xf numFmtId="183" fontId="57" fillId="0" borderId="236" xfId="0" applyNumberFormat="1" applyFont="1" applyFill="1" applyBorder="1" applyAlignment="1">
      <alignment horizontal="right" vertical="center" wrapText="1" indent="2"/>
    </xf>
    <xf numFmtId="183" fontId="57" fillId="0" borderId="77" xfId="0" applyNumberFormat="1" applyFont="1" applyFill="1" applyBorder="1" applyAlignment="1">
      <alignment horizontal="right" vertical="center" wrapText="1" indent="2"/>
    </xf>
    <xf numFmtId="183" fontId="56" fillId="0" borderId="165" xfId="0" applyNumberFormat="1" applyFont="1" applyFill="1" applyBorder="1" applyAlignment="1">
      <alignment horizontal="right" vertical="center" wrapText="1" indent="2"/>
    </xf>
    <xf numFmtId="183" fontId="57" fillId="12" borderId="185" xfId="0" applyNumberFormat="1" applyFont="1" applyFill="1" applyBorder="1" applyAlignment="1">
      <alignment horizontal="right" vertical="center" wrapText="1" indent="2"/>
    </xf>
    <xf numFmtId="183" fontId="57" fillId="12" borderId="208" xfId="0" applyNumberFormat="1" applyFont="1" applyFill="1" applyBorder="1" applyAlignment="1">
      <alignment horizontal="right" vertical="center" wrapText="1" indent="2"/>
    </xf>
    <xf numFmtId="183" fontId="57" fillId="12" borderId="192" xfId="0" applyNumberFormat="1" applyFont="1" applyFill="1" applyBorder="1" applyAlignment="1">
      <alignment horizontal="right" vertical="center" wrapText="1" indent="2"/>
    </xf>
    <xf numFmtId="183" fontId="57" fillId="12" borderId="270" xfId="0" applyNumberFormat="1" applyFont="1" applyFill="1" applyBorder="1" applyAlignment="1">
      <alignment horizontal="right" vertical="center" wrapText="1" indent="2"/>
    </xf>
    <xf numFmtId="183" fontId="57" fillId="12" borderId="61" xfId="0" applyNumberFormat="1" applyFont="1" applyFill="1" applyBorder="1" applyAlignment="1">
      <alignment horizontal="right" vertical="center" wrapText="1" indent="2"/>
    </xf>
    <xf numFmtId="183" fontId="48" fillId="0" borderId="289" xfId="0" applyNumberFormat="1" applyFont="1" applyBorder="1" applyAlignment="1">
      <alignment horizontal="right" vertical="center" wrapText="1" indent="1"/>
    </xf>
    <xf numFmtId="183" fontId="48" fillId="0" borderId="48" xfId="0" applyNumberFormat="1" applyFont="1" applyBorder="1" applyAlignment="1">
      <alignment horizontal="right" vertical="center" wrapText="1" indent="1"/>
    </xf>
    <xf numFmtId="183" fontId="57" fillId="25" borderId="145" xfId="0" applyNumberFormat="1" applyFont="1" applyFill="1" applyBorder="1" applyAlignment="1">
      <alignment horizontal="right" vertical="center" wrapText="1" indent="2"/>
    </xf>
    <xf numFmtId="183" fontId="57" fillId="0" borderId="146" xfId="0" applyNumberFormat="1" applyFont="1" applyFill="1" applyBorder="1" applyAlignment="1">
      <alignment horizontal="right" vertical="center" wrapText="1" indent="2"/>
    </xf>
    <xf numFmtId="183" fontId="57" fillId="24" borderId="146" xfId="0" applyNumberFormat="1" applyFont="1" applyFill="1" applyBorder="1" applyAlignment="1">
      <alignment horizontal="right" vertical="center" wrapText="1" indent="2"/>
    </xf>
    <xf numFmtId="183" fontId="57" fillId="27" borderId="146" xfId="0" applyNumberFormat="1" applyFont="1" applyFill="1" applyBorder="1" applyAlignment="1">
      <alignment horizontal="right" vertical="center" wrapText="1" indent="2"/>
    </xf>
    <xf numFmtId="183" fontId="57" fillId="27" borderId="147" xfId="0" applyNumberFormat="1" applyFont="1" applyFill="1" applyBorder="1" applyAlignment="1">
      <alignment horizontal="right" vertical="center" wrapText="1" indent="2"/>
    </xf>
    <xf numFmtId="183" fontId="57" fillId="25" borderId="152" xfId="0" applyNumberFormat="1" applyFont="1" applyFill="1" applyBorder="1" applyAlignment="1">
      <alignment horizontal="right" vertical="center" wrapText="1" indent="2"/>
    </xf>
    <xf numFmtId="183" fontId="56" fillId="0" borderId="39" xfId="0" applyNumberFormat="1" applyFont="1" applyFill="1" applyBorder="1" applyAlignment="1">
      <alignment horizontal="right" vertical="center" wrapText="1" indent="2"/>
    </xf>
    <xf numFmtId="183" fontId="57" fillId="0" borderId="148" xfId="0" applyNumberFormat="1" applyFont="1" applyFill="1" applyBorder="1" applyAlignment="1">
      <alignment horizontal="right" vertical="center" wrapText="1" indent="2"/>
    </xf>
    <xf numFmtId="183" fontId="57" fillId="24" borderId="152" xfId="0" applyNumberFormat="1" applyFont="1" applyFill="1" applyBorder="1" applyAlignment="1">
      <alignment horizontal="right" vertical="center" wrapText="1" indent="2"/>
    </xf>
    <xf numFmtId="183" fontId="57" fillId="15" borderId="152" xfId="0" applyNumberFormat="1" applyFont="1" applyFill="1" applyBorder="1" applyAlignment="1">
      <alignment horizontal="right" vertical="center" wrapText="1" indent="2"/>
    </xf>
    <xf numFmtId="183" fontId="57" fillId="15" borderId="296" xfId="0" applyNumberFormat="1" applyFont="1" applyFill="1" applyBorder="1" applyAlignment="1">
      <alignment horizontal="right" vertical="center" wrapText="1" indent="2"/>
    </xf>
    <xf numFmtId="183" fontId="57" fillId="27" borderId="156" xfId="0" applyNumberFormat="1" applyFont="1" applyFill="1" applyBorder="1" applyAlignment="1">
      <alignment horizontal="right" vertical="center" wrapText="1" indent="2"/>
    </xf>
    <xf numFmtId="183" fontId="57" fillId="25" borderId="148" xfId="0" applyNumberFormat="1" applyFont="1" applyFill="1" applyBorder="1" applyAlignment="1">
      <alignment horizontal="right" vertical="center" wrapText="1" indent="2"/>
    </xf>
    <xf numFmtId="183" fontId="13" fillId="25" borderId="130" xfId="0" applyNumberFormat="1" applyFont="1" applyFill="1" applyBorder="1" applyAlignment="1">
      <alignment horizontal="right" vertical="center" wrapText="1" indent="2"/>
    </xf>
    <xf numFmtId="183" fontId="13" fillId="0" borderId="205" xfId="0" applyNumberFormat="1" applyFont="1" applyFill="1" applyBorder="1" applyAlignment="1">
      <alignment horizontal="right" vertical="center" wrapText="1" indent="2"/>
    </xf>
    <xf numFmtId="183" fontId="13" fillId="24" borderId="205" xfId="0" applyNumberFormat="1" applyFont="1" applyFill="1" applyBorder="1" applyAlignment="1">
      <alignment horizontal="right" vertical="center" wrapText="1" indent="2"/>
    </xf>
    <xf numFmtId="183" fontId="13" fillId="27" borderId="205" xfId="0" applyNumberFormat="1" applyFont="1" applyFill="1" applyBorder="1" applyAlignment="1">
      <alignment horizontal="right" vertical="center" wrapText="1" indent="2"/>
    </xf>
    <xf numFmtId="183" fontId="13" fillId="27" borderId="210" xfId="0" applyNumberFormat="1" applyFont="1" applyFill="1" applyBorder="1" applyAlignment="1">
      <alignment horizontal="right" vertical="center" wrapText="1" indent="2"/>
    </xf>
    <xf numFmtId="183" fontId="13" fillId="25" borderId="154" xfId="0" applyNumberFormat="1" applyFont="1" applyFill="1" applyBorder="1" applyAlignment="1">
      <alignment horizontal="right" vertical="center" wrapText="1" indent="2"/>
    </xf>
    <xf numFmtId="183" fontId="13" fillId="0" borderId="17" xfId="0" applyNumberFormat="1" applyFont="1" applyFill="1" applyBorder="1" applyAlignment="1">
      <alignment horizontal="right" vertical="center" wrapText="1" indent="2"/>
    </xf>
    <xf numFmtId="183" fontId="13" fillId="0" borderId="150" xfId="0" applyNumberFormat="1" applyFont="1" applyFill="1" applyBorder="1" applyAlignment="1">
      <alignment horizontal="right" vertical="center" wrapText="1" indent="2"/>
    </xf>
    <xf numFmtId="183" fontId="13" fillId="24" borderId="154" xfId="0" applyNumberFormat="1" applyFont="1" applyFill="1" applyBorder="1" applyAlignment="1">
      <alignment horizontal="right" vertical="center" wrapText="1" indent="2"/>
    </xf>
    <xf numFmtId="183" fontId="13" fillId="15" borderId="154" xfId="0" applyNumberFormat="1" applyFont="1" applyFill="1" applyBorder="1" applyAlignment="1">
      <alignment horizontal="right" vertical="center" wrapText="1" indent="2"/>
    </xf>
    <xf numFmtId="183" fontId="13" fillId="15" borderId="295" xfId="0" applyNumberFormat="1" applyFont="1" applyFill="1" applyBorder="1" applyAlignment="1">
      <alignment horizontal="right" vertical="center" wrapText="1" indent="2"/>
    </xf>
    <xf numFmtId="183" fontId="13" fillId="27" borderId="158" xfId="0" applyNumberFormat="1" applyFont="1" applyFill="1" applyBorder="1" applyAlignment="1">
      <alignment horizontal="right" vertical="center" wrapText="1" indent="2"/>
    </xf>
    <xf numFmtId="183" fontId="13" fillId="25" borderId="150" xfId="0" applyNumberFormat="1" applyFont="1" applyFill="1" applyBorder="1" applyAlignment="1">
      <alignment horizontal="right" vertical="center" wrapText="1" indent="2"/>
    </xf>
    <xf numFmtId="183" fontId="48" fillId="25" borderId="199" xfId="0" applyNumberFormat="1" applyFont="1" applyFill="1" applyBorder="1" applyAlignment="1">
      <alignment horizontal="right" vertical="center" wrapText="1" indent="2"/>
    </xf>
    <xf numFmtId="183" fontId="48" fillId="0" borderId="206" xfId="0" applyNumberFormat="1" applyFont="1" applyFill="1" applyBorder="1" applyAlignment="1">
      <alignment horizontal="right" vertical="center" wrapText="1" indent="2"/>
    </xf>
    <xf numFmtId="183" fontId="48" fillId="24" borderId="206" xfId="0" applyNumberFormat="1" applyFont="1" applyFill="1" applyBorder="1" applyAlignment="1">
      <alignment horizontal="right" vertical="center" wrapText="1" indent="2"/>
    </xf>
    <xf numFmtId="183" fontId="48" fillId="27" borderId="206" xfId="0" applyNumberFormat="1" applyFont="1" applyFill="1" applyBorder="1" applyAlignment="1">
      <alignment horizontal="right" vertical="center" wrapText="1" indent="2"/>
    </xf>
    <xf numFmtId="183" fontId="48" fillId="27" borderId="211" xfId="0" applyNumberFormat="1" applyFont="1" applyFill="1" applyBorder="1" applyAlignment="1">
      <alignment horizontal="right" vertical="center" wrapText="1" indent="2"/>
    </xf>
    <xf numFmtId="183" fontId="48" fillId="25" borderId="155" xfId="0" applyNumberFormat="1" applyFont="1" applyFill="1" applyBorder="1" applyAlignment="1">
      <alignment horizontal="right" vertical="center" wrapText="1" indent="2"/>
    </xf>
    <xf numFmtId="183" fontId="48" fillId="0" borderId="32" xfId="0" applyNumberFormat="1" applyFont="1" applyFill="1" applyBorder="1" applyAlignment="1">
      <alignment horizontal="right" vertical="center" wrapText="1" indent="2"/>
    </xf>
    <xf numFmtId="183" fontId="48" fillId="0" borderId="151" xfId="0" applyNumberFormat="1" applyFont="1" applyFill="1" applyBorder="1" applyAlignment="1">
      <alignment horizontal="right" vertical="center" wrapText="1" indent="2"/>
    </xf>
    <xf numFmtId="183" fontId="48" fillId="24" borderId="155" xfId="0" applyNumberFormat="1" applyFont="1" applyFill="1" applyBorder="1" applyAlignment="1">
      <alignment horizontal="right" vertical="center" wrapText="1" indent="2"/>
    </xf>
    <xf numFmtId="183" fontId="48" fillId="15" borderId="155" xfId="0" applyNumberFormat="1" applyFont="1" applyFill="1" applyBorder="1" applyAlignment="1">
      <alignment horizontal="right" vertical="center" wrapText="1" indent="2"/>
    </xf>
    <xf numFmtId="183" fontId="48" fillId="15" borderId="297" xfId="0" applyNumberFormat="1" applyFont="1" applyFill="1" applyBorder="1" applyAlignment="1">
      <alignment horizontal="right" vertical="center" wrapText="1" indent="2"/>
    </xf>
    <xf numFmtId="183" fontId="48" fillId="27" borderId="159" xfId="0" applyNumberFormat="1" applyFont="1" applyFill="1" applyBorder="1" applyAlignment="1">
      <alignment horizontal="right" vertical="center" wrapText="1" indent="2"/>
    </xf>
    <xf numFmtId="183" fontId="48" fillId="25" borderId="151" xfId="0" applyNumberFormat="1" applyFont="1" applyFill="1" applyBorder="1" applyAlignment="1">
      <alignment horizontal="right" vertical="center" wrapText="1" indent="2"/>
    </xf>
    <xf numFmtId="183" fontId="9" fillId="0" borderId="161" xfId="0" applyNumberFormat="1" applyFont="1" applyFill="1" applyBorder="1" applyAlignment="1">
      <alignment horizontal="right" vertical="center" wrapText="1" indent="2"/>
    </xf>
    <xf numFmtId="183" fontId="9" fillId="25" borderId="165" xfId="0" applyNumberFormat="1" applyFont="1" applyFill="1" applyBorder="1" applyAlignment="1">
      <alignment horizontal="right" vertical="center" wrapText="1" indent="2"/>
    </xf>
    <xf numFmtId="183" fontId="9" fillId="24" borderId="165" xfId="0" applyNumberFormat="1" applyFont="1" applyFill="1" applyBorder="1" applyAlignment="1">
      <alignment horizontal="right" vertical="center" wrapText="1" indent="2"/>
    </xf>
    <xf numFmtId="183" fontId="9" fillId="15" borderId="165" xfId="0" applyNumberFormat="1" applyFont="1" applyFill="1" applyBorder="1" applyAlignment="1">
      <alignment horizontal="right" vertical="center" wrapText="1" indent="2"/>
    </xf>
    <xf numFmtId="183" fontId="9" fillId="27" borderId="214" xfId="0" applyNumberFormat="1" applyFont="1" applyFill="1" applyBorder="1" applyAlignment="1">
      <alignment horizontal="right" vertical="center" wrapText="1" indent="2"/>
    </xf>
    <xf numFmtId="183" fontId="9" fillId="15" borderId="300" xfId="0" applyNumberFormat="1" applyFont="1" applyFill="1" applyBorder="1" applyAlignment="1">
      <alignment horizontal="right" vertical="center" wrapText="1" indent="2"/>
    </xf>
    <xf numFmtId="183" fontId="9" fillId="27" borderId="169" xfId="0" applyNumberFormat="1" applyFont="1" applyFill="1" applyBorder="1" applyAlignment="1">
      <alignment horizontal="right" vertical="center" wrapText="1" indent="2"/>
    </xf>
    <xf numFmtId="166" fontId="13" fillId="0" borderId="162" xfId="0" applyNumberFormat="1" applyFont="1" applyFill="1" applyBorder="1" applyAlignment="1">
      <alignment horizontal="right" vertical="center" wrapText="1" indent="2"/>
    </xf>
    <xf numFmtId="166" fontId="13" fillId="25" borderId="166" xfId="0" applyNumberFormat="1" applyFont="1" applyFill="1" applyBorder="1" applyAlignment="1">
      <alignment horizontal="right" vertical="center" wrapText="1" indent="2"/>
    </xf>
    <xf numFmtId="166" fontId="13" fillId="24" borderId="166" xfId="0" applyNumberFormat="1" applyFont="1" applyFill="1" applyBorder="1" applyAlignment="1">
      <alignment horizontal="right" vertical="center" wrapText="1" indent="2"/>
    </xf>
    <xf numFmtId="166" fontId="13" fillId="15" borderId="166" xfId="0" applyNumberFormat="1" applyFont="1" applyFill="1" applyBorder="1" applyAlignment="1">
      <alignment horizontal="right" vertical="center" wrapText="1" indent="2"/>
    </xf>
    <xf numFmtId="183" fontId="13" fillId="0" borderId="148" xfId="0" applyNumberFormat="1" applyFont="1" applyFill="1" applyBorder="1" applyAlignment="1">
      <alignment horizontal="right" vertical="center" wrapText="1" indent="2"/>
    </xf>
    <xf numFmtId="183" fontId="13" fillId="0" borderId="162" xfId="0" applyNumberFormat="1" applyFont="1" applyFill="1" applyBorder="1" applyAlignment="1">
      <alignment horizontal="right" vertical="center" wrapText="1" indent="2"/>
    </xf>
    <xf numFmtId="183" fontId="13" fillId="0" borderId="151" xfId="0" applyNumberFormat="1" applyFont="1" applyFill="1" applyBorder="1" applyAlignment="1">
      <alignment horizontal="right" vertical="center" wrapText="1" indent="2"/>
    </xf>
    <xf numFmtId="183" fontId="13" fillId="0" borderId="166" xfId="0" applyNumberFormat="1" applyFont="1" applyFill="1" applyBorder="1" applyAlignment="1">
      <alignment horizontal="right" vertical="center" wrapText="1" indent="2"/>
    </xf>
    <xf numFmtId="183" fontId="13" fillId="25" borderId="152" xfId="0" applyNumberFormat="1" applyFont="1" applyFill="1" applyBorder="1" applyAlignment="1">
      <alignment horizontal="right" vertical="center" wrapText="1" indent="2"/>
    </xf>
    <xf numFmtId="183" fontId="13" fillId="25" borderId="166" xfId="0" applyNumberFormat="1" applyFont="1" applyFill="1" applyBorder="1" applyAlignment="1">
      <alignment horizontal="right" vertical="center" wrapText="1" indent="2"/>
    </xf>
    <xf numFmtId="183" fontId="13" fillId="25" borderId="155" xfId="0" applyNumberFormat="1" applyFont="1" applyFill="1" applyBorder="1" applyAlignment="1">
      <alignment horizontal="right" vertical="center" wrapText="1" indent="2"/>
    </xf>
    <xf numFmtId="183" fontId="13" fillId="24" borderId="152" xfId="0" applyNumberFormat="1" applyFont="1" applyFill="1" applyBorder="1" applyAlignment="1">
      <alignment horizontal="right" vertical="center" wrapText="1" indent="2"/>
    </xf>
    <xf numFmtId="183" fontId="13" fillId="24" borderId="166" xfId="0" applyNumberFormat="1" applyFont="1" applyFill="1" applyBorder="1" applyAlignment="1">
      <alignment horizontal="right" vertical="center" wrapText="1" indent="2"/>
    </xf>
    <xf numFmtId="183" fontId="13" fillId="24" borderId="155" xfId="0" applyNumberFormat="1" applyFont="1" applyFill="1" applyBorder="1" applyAlignment="1">
      <alignment horizontal="right" vertical="center" wrapText="1" indent="2"/>
    </xf>
    <xf numFmtId="183" fontId="13" fillId="15" borderId="152" xfId="0" applyNumberFormat="1" applyFont="1" applyFill="1" applyBorder="1" applyAlignment="1">
      <alignment horizontal="right" vertical="center" wrapText="1" indent="2"/>
    </xf>
    <xf numFmtId="183" fontId="13" fillId="15" borderId="166" xfId="0" applyNumberFormat="1" applyFont="1" applyFill="1" applyBorder="1" applyAlignment="1">
      <alignment horizontal="right" vertical="center" wrapText="1" indent="2"/>
    </xf>
    <xf numFmtId="183" fontId="13" fillId="15" borderId="155" xfId="0" applyNumberFormat="1" applyFont="1" applyFill="1" applyBorder="1" applyAlignment="1">
      <alignment horizontal="right" vertical="center" wrapText="1" indent="2"/>
    </xf>
    <xf numFmtId="183" fontId="9" fillId="0" borderId="151" xfId="0" applyNumberFormat="1" applyFont="1" applyFill="1" applyBorder="1" applyAlignment="1">
      <alignment horizontal="right" vertical="center" wrapText="1" indent="2"/>
    </xf>
    <xf numFmtId="183" fontId="9" fillId="24" borderId="155" xfId="0" applyNumberFormat="1" applyFont="1" applyFill="1" applyBorder="1" applyAlignment="1">
      <alignment horizontal="right" vertical="center" wrapText="1" indent="2"/>
    </xf>
    <xf numFmtId="183" fontId="9" fillId="15" borderId="155" xfId="0" applyNumberFormat="1" applyFont="1" applyFill="1" applyBorder="1" applyAlignment="1">
      <alignment horizontal="right" vertical="center" wrapText="1" indent="2"/>
    </xf>
    <xf numFmtId="183" fontId="9" fillId="15" borderId="297" xfId="0" applyNumberFormat="1" applyFont="1" applyFill="1" applyBorder="1" applyAlignment="1">
      <alignment horizontal="right" vertical="center" wrapText="1" indent="2"/>
    </xf>
    <xf numFmtId="183" fontId="9" fillId="27" borderId="159" xfId="0" applyNumberFormat="1" applyFont="1" applyFill="1" applyBorder="1" applyAlignment="1">
      <alignment horizontal="right" vertical="center" wrapText="1" indent="2"/>
    </xf>
    <xf numFmtId="183" fontId="13" fillId="27" borderId="211" xfId="0" applyNumberFormat="1" applyFont="1" applyFill="1" applyBorder="1" applyAlignment="1">
      <alignment horizontal="right" vertical="center" wrapText="1" indent="2"/>
    </xf>
    <xf numFmtId="183" fontId="13" fillId="15" borderId="297" xfId="0" applyNumberFormat="1" applyFont="1" applyFill="1" applyBorder="1" applyAlignment="1">
      <alignment horizontal="right" vertical="center" wrapText="1" indent="2"/>
    </xf>
    <xf numFmtId="183" fontId="13" fillId="27" borderId="159" xfId="0" applyNumberFormat="1" applyFont="1" applyFill="1" applyBorder="1" applyAlignment="1">
      <alignment horizontal="right" vertical="center" wrapText="1" indent="2"/>
    </xf>
    <xf numFmtId="183" fontId="13" fillId="25" borderId="151" xfId="0" applyNumberFormat="1" applyFont="1" applyFill="1" applyBorder="1" applyAlignment="1">
      <alignment horizontal="right" vertical="center" wrapText="1" indent="2"/>
    </xf>
    <xf numFmtId="183" fontId="9" fillId="25" borderId="145" xfId="0" applyNumberFormat="1" applyFont="1" applyFill="1" applyBorder="1" applyAlignment="1">
      <alignment horizontal="right" vertical="center" wrapText="1" indent="2"/>
    </xf>
    <xf numFmtId="183" fontId="9" fillId="0" borderId="146" xfId="0" applyNumberFormat="1" applyFont="1" applyFill="1" applyBorder="1" applyAlignment="1">
      <alignment horizontal="right" vertical="center" wrapText="1" indent="2"/>
    </xf>
    <xf numFmtId="183" fontId="9" fillId="24" borderId="146" xfId="0" applyNumberFormat="1" applyFont="1" applyFill="1" applyBorder="1" applyAlignment="1">
      <alignment horizontal="right" vertical="center" wrapText="1" indent="2"/>
    </xf>
    <xf numFmtId="183" fontId="9" fillId="27" borderId="146" xfId="0" applyNumberFormat="1" applyFont="1" applyFill="1" applyBorder="1" applyAlignment="1">
      <alignment horizontal="right" vertical="center" wrapText="1" indent="2"/>
    </xf>
    <xf numFmtId="183" fontId="9" fillId="27" borderId="147" xfId="0" applyNumberFormat="1" applyFont="1" applyFill="1" applyBorder="1" applyAlignment="1">
      <alignment horizontal="right" vertical="center" wrapText="1" indent="2"/>
    </xf>
    <xf numFmtId="183" fontId="9" fillId="0" borderId="148" xfId="0" applyNumberFormat="1" applyFont="1" applyFill="1" applyBorder="1" applyAlignment="1">
      <alignment horizontal="right" vertical="center" wrapText="1" indent="2"/>
    </xf>
    <xf numFmtId="183" fontId="9" fillId="24" borderId="152" xfId="0" applyNumberFormat="1" applyFont="1" applyFill="1" applyBorder="1" applyAlignment="1">
      <alignment horizontal="right" vertical="center" wrapText="1" indent="2"/>
    </xf>
    <xf numFmtId="183" fontId="9" fillId="15" borderId="152" xfId="0" applyNumberFormat="1" applyFont="1" applyFill="1" applyBorder="1" applyAlignment="1">
      <alignment horizontal="right" vertical="center" wrapText="1" indent="2"/>
    </xf>
    <xf numFmtId="183" fontId="9" fillId="15" borderId="296" xfId="0" applyNumberFormat="1" applyFont="1" applyFill="1" applyBorder="1" applyAlignment="1">
      <alignment horizontal="right" vertical="center" wrapText="1" indent="2"/>
    </xf>
    <xf numFmtId="183" fontId="9" fillId="27" borderId="156" xfId="0" applyNumberFormat="1" applyFont="1" applyFill="1" applyBorder="1" applyAlignment="1">
      <alignment horizontal="right" vertical="center" wrapText="1" indent="2"/>
    </xf>
    <xf numFmtId="183" fontId="9" fillId="25" borderId="148" xfId="0" applyNumberFormat="1" applyFont="1" applyFill="1" applyBorder="1" applyAlignment="1">
      <alignment horizontal="right" vertical="center" wrapText="1" indent="2"/>
    </xf>
    <xf numFmtId="183" fontId="13" fillId="12" borderId="127" xfId="0" applyNumberFormat="1" applyFont="1" applyFill="1" applyBorder="1" applyAlignment="1">
      <alignment horizontal="right" vertical="center" wrapText="1" indent="2"/>
    </xf>
    <xf numFmtId="183" fontId="13" fillId="12" borderId="146" xfId="0" applyNumberFormat="1" applyFont="1" applyFill="1" applyBorder="1" applyAlignment="1">
      <alignment horizontal="right" vertical="center" wrapText="1" indent="2"/>
    </xf>
    <xf numFmtId="183" fontId="13" fillId="12" borderId="187" xfId="0" applyNumberFormat="1" applyFont="1" applyFill="1" applyBorder="1" applyAlignment="1">
      <alignment horizontal="right" vertical="center" wrapText="1" indent="2"/>
    </xf>
    <xf numFmtId="183" fontId="56" fillId="0" borderId="161" xfId="0" applyNumberFormat="1" applyFont="1" applyFill="1" applyBorder="1" applyAlignment="1">
      <alignment horizontal="right" vertical="center" wrapText="1" indent="2"/>
    </xf>
    <xf numFmtId="183" fontId="56" fillId="25" borderId="165" xfId="0" applyNumberFormat="1" applyFont="1" applyFill="1" applyBorder="1" applyAlignment="1">
      <alignment horizontal="right" vertical="center" wrapText="1" indent="2"/>
    </xf>
    <xf numFmtId="183" fontId="56" fillId="24" borderId="165" xfId="0" applyNumberFormat="1" applyFont="1" applyFill="1" applyBorder="1" applyAlignment="1">
      <alignment horizontal="right" vertical="center" wrapText="1" indent="2"/>
    </xf>
    <xf numFmtId="183" fontId="56" fillId="15" borderId="165" xfId="0" applyNumberFormat="1" applyFont="1" applyFill="1" applyBorder="1" applyAlignment="1">
      <alignment horizontal="right" vertical="center" wrapText="1" indent="2"/>
    </xf>
    <xf numFmtId="183" fontId="56" fillId="15" borderId="300" xfId="0" applyNumberFormat="1" applyFont="1" applyFill="1" applyBorder="1" applyAlignment="1">
      <alignment horizontal="right" vertical="center" wrapText="1" indent="2"/>
    </xf>
    <xf numFmtId="183" fontId="13" fillId="15" borderId="296" xfId="0" applyNumberFormat="1" applyFont="1" applyFill="1" applyBorder="1" applyAlignment="1">
      <alignment horizontal="right" vertical="center" wrapText="1" indent="2"/>
    </xf>
    <xf numFmtId="183" fontId="13" fillId="15" borderId="301" xfId="0" applyNumberFormat="1" applyFont="1" applyFill="1" applyBorder="1" applyAlignment="1">
      <alignment horizontal="right" vertical="center" wrapText="1" indent="2"/>
    </xf>
    <xf numFmtId="171" fontId="0" fillId="0" borderId="0" xfId="0" applyNumberFormat="1" applyAlignment="1">
      <alignment vertical="center" wrapText="1"/>
    </xf>
    <xf numFmtId="0" fontId="0" fillId="0" borderId="23" xfId="0" applyBorder="1" applyAlignment="1">
      <alignment horizontal="left" vertical="center" wrapText="1" indent="1"/>
    </xf>
    <xf numFmtId="183" fontId="56" fillId="25" borderId="150" xfId="0" applyNumberFormat="1" applyFont="1" applyFill="1" applyBorder="1" applyAlignment="1">
      <alignment horizontal="right" vertical="center" wrapText="1" indent="1"/>
    </xf>
    <xf numFmtId="173" fontId="56" fillId="25" borderId="150" xfId="0" applyNumberFormat="1" applyFont="1" applyFill="1" applyBorder="1" applyAlignment="1">
      <alignment horizontal="right" vertical="center" wrapText="1" indent="1"/>
    </xf>
    <xf numFmtId="183" fontId="57" fillId="25" borderId="150" xfId="0" applyNumberFormat="1" applyFont="1" applyFill="1" applyBorder="1" applyAlignment="1">
      <alignment horizontal="right" vertical="center" wrapText="1" indent="1"/>
    </xf>
    <xf numFmtId="183" fontId="56" fillId="25" borderId="149" xfId="0" applyNumberFormat="1" applyFont="1" applyFill="1" applyBorder="1" applyAlignment="1">
      <alignment horizontal="right" vertical="center" wrapText="1" indent="1"/>
    </xf>
    <xf numFmtId="183" fontId="56" fillId="25" borderId="161" xfId="0" applyNumberFormat="1" applyFont="1" applyFill="1" applyBorder="1" applyAlignment="1">
      <alignment horizontal="right" vertical="center" wrapText="1" indent="1"/>
    </xf>
    <xf numFmtId="173" fontId="13" fillId="25" borderId="151" xfId="0" applyNumberFormat="1" applyFont="1" applyFill="1" applyBorder="1" applyAlignment="1">
      <alignment horizontal="right" vertical="center" wrapText="1" indent="1"/>
    </xf>
    <xf numFmtId="183" fontId="57" fillId="25" borderId="161" xfId="0" applyNumberFormat="1" applyFont="1" applyFill="1" applyBorder="1" applyAlignment="1">
      <alignment horizontal="right" vertical="center" wrapText="1" indent="1"/>
    </xf>
    <xf numFmtId="173" fontId="56" fillId="24" borderId="153" xfId="0" applyNumberFormat="1" applyFont="1" applyFill="1" applyBorder="1" applyAlignment="1">
      <alignment horizontal="right" vertical="center" wrapText="1" indent="1"/>
    </xf>
    <xf numFmtId="9" fontId="56" fillId="25" borderId="150" xfId="0" applyNumberFormat="1" applyFont="1" applyFill="1" applyBorder="1" applyAlignment="1">
      <alignment horizontal="right" vertical="center" wrapText="1" indent="3"/>
    </xf>
    <xf numFmtId="9" fontId="56" fillId="24" borderId="153" xfId="0" applyNumberFormat="1" applyFont="1" applyFill="1" applyBorder="1" applyAlignment="1">
      <alignment horizontal="right" vertical="center" wrapText="1" indent="3"/>
    </xf>
    <xf numFmtId="173" fontId="13" fillId="25" borderId="162" xfId="0" applyNumberFormat="1" applyFont="1" applyFill="1" applyBorder="1" applyAlignment="1">
      <alignment horizontal="right" vertical="center" wrapText="1" indent="3"/>
    </xf>
    <xf numFmtId="183" fontId="0" fillId="25" borderId="161" xfId="0" applyNumberFormat="1" applyFill="1" applyBorder="1" applyAlignment="1">
      <alignment horizontal="right" vertical="center" wrapText="1" indent="1"/>
    </xf>
    <xf numFmtId="0" fontId="1" fillId="19" borderId="19" xfId="0" applyFont="1" applyFill="1" applyBorder="1" applyAlignment="1">
      <alignment horizontal="center" vertical="center" wrapText="1"/>
    </xf>
    <xf numFmtId="183" fontId="9" fillId="0" borderId="163" xfId="0" applyNumberFormat="1" applyFont="1" applyFill="1" applyBorder="1" applyAlignment="1">
      <alignment horizontal="right" vertical="center" wrapText="1" indent="1"/>
    </xf>
    <xf numFmtId="183" fontId="9" fillId="27" borderId="216" xfId="0" applyNumberFormat="1" applyFont="1" applyFill="1" applyBorder="1" applyAlignment="1">
      <alignment horizontal="right" vertical="center" wrapText="1" indent="1"/>
    </xf>
    <xf numFmtId="183" fontId="9" fillId="0" borderId="307" xfId="0" applyNumberFormat="1" applyFont="1" applyFill="1" applyBorder="1" applyAlignment="1">
      <alignment horizontal="right" vertical="center" wrapText="1" indent="1"/>
    </xf>
    <xf numFmtId="183" fontId="9" fillId="0" borderId="240" xfId="0" applyNumberFormat="1" applyFont="1" applyFill="1" applyBorder="1" applyAlignment="1">
      <alignment horizontal="right" vertical="center" wrapText="1" indent="1"/>
    </xf>
    <xf numFmtId="183" fontId="9" fillId="0" borderId="48" xfId="0" applyNumberFormat="1" applyFont="1" applyFill="1" applyBorder="1" applyAlignment="1">
      <alignment horizontal="right" vertical="center" wrapText="1" indent="1"/>
    </xf>
    <xf numFmtId="0" fontId="1" fillId="19" borderId="309" xfId="0" applyFont="1" applyFill="1" applyBorder="1" applyAlignment="1">
      <alignment horizontal="center" vertical="center" wrapText="1"/>
    </xf>
    <xf numFmtId="0" fontId="1" fillId="19" borderId="302" xfId="0" applyFont="1" applyFill="1" applyBorder="1" applyAlignment="1">
      <alignment horizontal="center" vertical="center" wrapText="1"/>
    </xf>
    <xf numFmtId="183" fontId="4" fillId="27" borderId="209" xfId="0" applyNumberFormat="1" applyFont="1" applyFill="1" applyBorder="1" applyAlignment="1">
      <alignment horizontal="right" vertical="center" wrapText="1" indent="1"/>
    </xf>
    <xf numFmtId="183" fontId="4" fillId="27" borderId="215" xfId="0" applyNumberFormat="1" applyFont="1" applyFill="1" applyBorder="1" applyAlignment="1">
      <alignment horizontal="right" vertical="center" wrapText="1" indent="1"/>
    </xf>
    <xf numFmtId="183" fontId="9" fillId="25" borderId="162" xfId="0" applyNumberFormat="1" applyFont="1" applyFill="1" applyBorder="1" applyAlignment="1">
      <alignment horizontal="right" vertical="center" wrapText="1" indent="1"/>
    </xf>
    <xf numFmtId="183" fontId="9" fillId="24" borderId="166" xfId="0" applyNumberFormat="1" applyFont="1" applyFill="1" applyBorder="1" applyAlignment="1">
      <alignment horizontal="right" vertical="center" wrapText="1" indent="1"/>
    </xf>
    <xf numFmtId="183" fontId="9" fillId="27" borderId="170" xfId="0" applyNumberFormat="1" applyFont="1" applyFill="1" applyBorder="1" applyAlignment="1">
      <alignment horizontal="right" vertical="center" wrapText="1" indent="1"/>
    </xf>
    <xf numFmtId="183" fontId="57" fillId="12" borderId="322" xfId="0" applyNumberFormat="1" applyFont="1" applyFill="1" applyBorder="1" applyAlignment="1">
      <alignment horizontal="right" vertical="center" wrapText="1" indent="1"/>
    </xf>
    <xf numFmtId="183" fontId="57" fillId="24" borderId="304" xfId="0" applyNumberFormat="1" applyFont="1" applyFill="1" applyBorder="1" applyAlignment="1">
      <alignment horizontal="right" vertical="center" wrapText="1" indent="1"/>
    </xf>
    <xf numFmtId="183" fontId="57" fillId="25" borderId="304" xfId="0" applyNumberFormat="1" applyFont="1" applyFill="1" applyBorder="1" applyAlignment="1">
      <alignment horizontal="right" vertical="center" wrapText="1" indent="1"/>
    </xf>
    <xf numFmtId="183" fontId="37" fillId="12" borderId="304" xfId="0" applyNumberFormat="1" applyFont="1" applyFill="1" applyBorder="1" applyAlignment="1">
      <alignment horizontal="right" vertical="center" wrapText="1" indent="1"/>
    </xf>
    <xf numFmtId="183" fontId="37" fillId="12" borderId="305" xfId="0" applyNumberFormat="1" applyFont="1" applyFill="1" applyBorder="1" applyAlignment="1">
      <alignment horizontal="right" vertical="center" wrapText="1" indent="1"/>
    </xf>
    <xf numFmtId="183" fontId="37" fillId="25" borderId="304" xfId="0" applyNumberFormat="1" applyFont="1" applyFill="1" applyBorder="1" applyAlignment="1">
      <alignment horizontal="right" vertical="center" wrapText="1" indent="1"/>
    </xf>
    <xf numFmtId="183" fontId="57" fillId="12" borderId="320" xfId="0" applyNumberFormat="1" applyFont="1" applyFill="1" applyBorder="1" applyAlignment="1">
      <alignment horizontal="right" vertical="center" wrapText="1" indent="1"/>
    </xf>
    <xf numFmtId="183" fontId="57" fillId="12" borderId="205" xfId="0" applyNumberFormat="1" applyFont="1" applyFill="1" applyBorder="1" applyAlignment="1">
      <alignment horizontal="right" vertical="center" wrapText="1" indent="1"/>
    </xf>
    <xf numFmtId="183" fontId="57" fillId="12" borderId="117" xfId="0" applyNumberFormat="1" applyFont="1" applyFill="1" applyBorder="1" applyAlignment="1">
      <alignment horizontal="right" vertical="center" wrapText="1" indent="1"/>
    </xf>
    <xf numFmtId="183" fontId="57" fillId="24" borderId="302" xfId="0" applyNumberFormat="1" applyFont="1" applyFill="1" applyBorder="1" applyAlignment="1">
      <alignment horizontal="right" vertical="center" wrapText="1" indent="1"/>
    </xf>
    <xf numFmtId="183" fontId="57" fillId="25" borderId="302" xfId="0" applyNumberFormat="1" applyFont="1" applyFill="1" applyBorder="1" applyAlignment="1">
      <alignment horizontal="right" vertical="center" wrapText="1" indent="1"/>
    </xf>
    <xf numFmtId="183" fontId="57" fillId="25" borderId="7" xfId="0" applyNumberFormat="1" applyFont="1" applyFill="1" applyBorder="1" applyAlignment="1">
      <alignment horizontal="right" vertical="center" wrapText="1" indent="1"/>
    </xf>
    <xf numFmtId="183" fontId="48" fillId="25" borderId="130" xfId="0" applyNumberFormat="1" applyFont="1" applyFill="1" applyBorder="1" applyAlignment="1">
      <alignment horizontal="right" vertical="center" wrapText="1" indent="1"/>
    </xf>
    <xf numFmtId="183" fontId="48" fillId="0" borderId="205" xfId="0" applyNumberFormat="1" applyFont="1" applyFill="1" applyBorder="1" applyAlignment="1">
      <alignment horizontal="right" vertical="center" wrapText="1" indent="1"/>
    </xf>
    <xf numFmtId="183" fontId="48" fillId="24" borderId="205" xfId="0" applyNumberFormat="1" applyFont="1" applyFill="1" applyBorder="1" applyAlignment="1">
      <alignment horizontal="right" vertical="center" wrapText="1" indent="1"/>
    </xf>
    <xf numFmtId="183" fontId="48" fillId="27" borderId="205" xfId="0" applyNumberFormat="1" applyFont="1" applyFill="1" applyBorder="1" applyAlignment="1">
      <alignment horizontal="right" vertical="center" wrapText="1" indent="1"/>
    </xf>
    <xf numFmtId="183" fontId="48" fillId="27" borderId="210" xfId="0" applyNumberFormat="1" applyFont="1" applyFill="1" applyBorder="1" applyAlignment="1">
      <alignment horizontal="right" vertical="center" wrapText="1" indent="1"/>
    </xf>
    <xf numFmtId="183" fontId="48" fillId="15" borderId="296" xfId="0" applyNumberFormat="1" applyFont="1" applyFill="1" applyBorder="1" applyAlignment="1">
      <alignment horizontal="right" vertical="center" wrapText="1" indent="1"/>
    </xf>
    <xf numFmtId="183" fontId="48" fillId="27" borderId="158" xfId="0" applyNumberFormat="1" applyFont="1" applyFill="1" applyBorder="1" applyAlignment="1">
      <alignment horizontal="right" vertical="center" wrapText="1" indent="2"/>
    </xf>
    <xf numFmtId="183" fontId="48" fillId="25" borderId="150" xfId="0" applyNumberFormat="1" applyFont="1" applyFill="1" applyBorder="1" applyAlignment="1">
      <alignment horizontal="right" vertical="center" wrapText="1" indent="1"/>
    </xf>
    <xf numFmtId="183" fontId="48" fillId="12" borderId="324" xfId="0" applyNumberFormat="1" applyFont="1" applyFill="1" applyBorder="1" applyAlignment="1">
      <alignment horizontal="right" vertical="center" wrapText="1" indent="1"/>
    </xf>
    <xf numFmtId="183" fontId="48" fillId="24" borderId="309" xfId="0" applyNumberFormat="1" applyFont="1" applyFill="1" applyBorder="1" applyAlignment="1">
      <alignment horizontal="right" vertical="center" wrapText="1" indent="1"/>
    </xf>
    <xf numFmtId="183" fontId="48" fillId="25" borderId="309" xfId="0" applyNumberFormat="1" applyFont="1" applyFill="1" applyBorder="1" applyAlignment="1">
      <alignment horizontal="right" vertical="center" wrapText="1" indent="1"/>
    </xf>
    <xf numFmtId="183" fontId="48" fillId="12" borderId="309" xfId="0" applyNumberFormat="1" applyFont="1" applyFill="1" applyBorder="1" applyAlignment="1">
      <alignment horizontal="right" vertical="center" wrapText="1" indent="1"/>
    </xf>
    <xf numFmtId="183" fontId="48" fillId="12" borderId="285" xfId="0" applyNumberFormat="1" applyFont="1" applyFill="1" applyBorder="1" applyAlignment="1">
      <alignment horizontal="right" vertical="center" wrapText="1" indent="1"/>
    </xf>
    <xf numFmtId="183" fontId="48" fillId="25" borderId="42" xfId="0" applyNumberFormat="1" applyFont="1" applyFill="1" applyBorder="1" applyAlignment="1">
      <alignment horizontal="right" vertical="center" wrapText="1" indent="1"/>
    </xf>
    <xf numFmtId="183" fontId="48" fillId="0" borderId="309" xfId="0" applyNumberFormat="1" applyFont="1" applyFill="1" applyBorder="1" applyAlignment="1">
      <alignment horizontal="right" vertical="center" wrapText="1" indent="1"/>
    </xf>
    <xf numFmtId="183" fontId="48" fillId="0" borderId="26" xfId="0" applyNumberFormat="1" applyFont="1" applyFill="1" applyBorder="1" applyAlignment="1">
      <alignment horizontal="right" vertical="center" wrapText="1" indent="1"/>
    </xf>
    <xf numFmtId="183" fontId="57" fillId="12" borderId="302" xfId="0" applyNumberFormat="1" applyFont="1" applyFill="1" applyBorder="1" applyAlignment="1">
      <alignment horizontal="right" vertical="center" wrapText="1" indent="1"/>
    </xf>
    <xf numFmtId="183" fontId="57" fillId="12" borderId="303" xfId="0" applyNumberFormat="1" applyFont="1" applyFill="1" applyBorder="1" applyAlignment="1">
      <alignment horizontal="right" vertical="center" wrapText="1" indent="1"/>
    </xf>
    <xf numFmtId="183" fontId="57" fillId="0" borderId="302" xfId="0" applyNumberFormat="1" applyFont="1" applyFill="1" applyBorder="1" applyAlignment="1">
      <alignment horizontal="right" vertical="center" wrapText="1" indent="1"/>
    </xf>
    <xf numFmtId="0" fontId="4" fillId="19" borderId="79" xfId="0" applyFont="1" applyFill="1" applyBorder="1" applyAlignment="1">
      <alignment vertical="center" wrapText="1"/>
    </xf>
    <xf numFmtId="183" fontId="4" fillId="25" borderId="204" xfId="0" applyNumberFormat="1" applyFont="1" applyFill="1" applyBorder="1" applyAlignment="1">
      <alignment horizontal="right" vertical="center" wrapText="1" indent="2"/>
    </xf>
    <xf numFmtId="183" fontId="4" fillId="0" borderId="195" xfId="0" applyNumberFormat="1" applyFont="1" applyFill="1" applyBorder="1" applyAlignment="1">
      <alignment horizontal="right" vertical="center" wrapText="1" indent="2"/>
    </xf>
    <xf numFmtId="183" fontId="4" fillId="24" borderId="195" xfId="0" applyNumberFormat="1" applyFont="1" applyFill="1" applyBorder="1" applyAlignment="1">
      <alignment horizontal="right" vertical="center" wrapText="1" indent="2"/>
    </xf>
    <xf numFmtId="183" fontId="4" fillId="27" borderId="195" xfId="0" applyNumberFormat="1" applyFont="1" applyFill="1" applyBorder="1" applyAlignment="1">
      <alignment horizontal="right" vertical="center" wrapText="1" indent="2"/>
    </xf>
    <xf numFmtId="183" fontId="4" fillId="27" borderId="216" xfId="0" applyNumberFormat="1" applyFont="1" applyFill="1" applyBorder="1" applyAlignment="1">
      <alignment horizontal="right" vertical="center" wrapText="1" indent="2"/>
    </xf>
    <xf numFmtId="183" fontId="9" fillId="0" borderId="163" xfId="0" applyNumberFormat="1" applyFont="1" applyFill="1" applyBorder="1" applyAlignment="1">
      <alignment horizontal="right" vertical="center" wrapText="1" indent="2"/>
    </xf>
    <xf numFmtId="183" fontId="9" fillId="0" borderId="167" xfId="0" applyNumberFormat="1" applyFont="1" applyFill="1" applyBorder="1" applyAlignment="1">
      <alignment horizontal="right" vertical="center" wrapText="1" indent="2"/>
    </xf>
    <xf numFmtId="183" fontId="9" fillId="25" borderId="167" xfId="0" applyNumberFormat="1" applyFont="1" applyFill="1" applyBorder="1" applyAlignment="1">
      <alignment horizontal="right" vertical="center" wrapText="1" indent="2"/>
    </xf>
    <xf numFmtId="183" fontId="9" fillId="24" borderId="167" xfId="0" applyNumberFormat="1" applyFont="1" applyFill="1" applyBorder="1" applyAlignment="1">
      <alignment horizontal="right" vertical="center" wrapText="1" indent="2"/>
    </xf>
    <xf numFmtId="183" fontId="9" fillId="15" borderId="167" xfId="0" applyNumberFormat="1" applyFont="1" applyFill="1" applyBorder="1" applyAlignment="1">
      <alignment horizontal="right" vertical="center" wrapText="1" indent="2"/>
    </xf>
    <xf numFmtId="183" fontId="9" fillId="27" borderId="216" xfId="0" applyNumberFormat="1" applyFont="1" applyFill="1" applyBorder="1" applyAlignment="1">
      <alignment horizontal="right" vertical="center" wrapText="1" indent="2"/>
    </xf>
    <xf numFmtId="183" fontId="9" fillId="15" borderId="299" xfId="0" applyNumberFormat="1" applyFont="1" applyFill="1" applyBorder="1" applyAlignment="1">
      <alignment horizontal="right" vertical="center" wrapText="1" indent="2"/>
    </xf>
    <xf numFmtId="183" fontId="9" fillId="27" borderId="171" xfId="0" applyNumberFormat="1" applyFont="1" applyFill="1" applyBorder="1" applyAlignment="1">
      <alignment horizontal="right" vertical="center" wrapText="1" indent="3"/>
    </xf>
    <xf numFmtId="183" fontId="9" fillId="25" borderId="163" xfId="0" applyNumberFormat="1" applyFont="1" applyFill="1" applyBorder="1" applyAlignment="1">
      <alignment horizontal="right" vertical="center" wrapText="1" indent="2"/>
    </xf>
    <xf numFmtId="173" fontId="56" fillId="24" borderId="307" xfId="0" applyNumberFormat="1" applyFont="1" applyFill="1" applyBorder="1" applyAlignment="1">
      <alignment horizontal="right" vertical="center" wrapText="1" indent="2"/>
    </xf>
    <xf numFmtId="183" fontId="57" fillId="12" borderId="186" xfId="0" applyNumberFormat="1" applyFont="1" applyFill="1" applyBorder="1" applyAlignment="1">
      <alignment horizontal="right" vertical="center" wrapText="1" indent="2"/>
    </xf>
    <xf numFmtId="183" fontId="57" fillId="12" borderId="195" xfId="0" applyNumberFormat="1" applyFont="1" applyFill="1" applyBorder="1" applyAlignment="1">
      <alignment horizontal="right" vertical="center" wrapText="1" indent="2"/>
    </xf>
    <xf numFmtId="183" fontId="57" fillId="12" borderId="193" xfId="0" applyNumberFormat="1" applyFont="1" applyFill="1" applyBorder="1" applyAlignment="1">
      <alignment horizontal="right" vertical="center" wrapText="1" indent="2"/>
    </xf>
    <xf numFmtId="173" fontId="56" fillId="25" borderId="307" xfId="0" applyNumberFormat="1" applyFont="1" applyFill="1" applyBorder="1" applyAlignment="1">
      <alignment horizontal="right" vertical="center" wrapText="1" indent="2"/>
    </xf>
    <xf numFmtId="173" fontId="56" fillId="24" borderId="19" xfId="0" applyNumberFormat="1" applyFont="1" applyFill="1" applyBorder="1" applyAlignment="1">
      <alignment horizontal="right" vertical="center" wrapText="1" indent="2"/>
    </xf>
    <xf numFmtId="183" fontId="37" fillId="12" borderId="307" xfId="0" applyNumberFormat="1" applyFont="1" applyFill="1" applyBorder="1" applyAlignment="1">
      <alignment horizontal="right" vertical="center" wrapText="1" indent="2"/>
    </xf>
    <xf numFmtId="183" fontId="37" fillId="12" borderId="311" xfId="0" applyNumberFormat="1" applyFont="1" applyFill="1" applyBorder="1" applyAlignment="1">
      <alignment horizontal="right" vertical="center" wrapText="1" indent="2"/>
    </xf>
    <xf numFmtId="183" fontId="57" fillId="0" borderId="17" xfId="0" applyNumberFormat="1" applyFont="1" applyFill="1" applyBorder="1" applyAlignment="1">
      <alignment horizontal="right" vertical="center" wrapText="1" indent="1"/>
    </xf>
    <xf numFmtId="183" fontId="57" fillId="25" borderId="130" xfId="0" applyNumberFormat="1" applyFont="1" applyFill="1" applyBorder="1" applyAlignment="1">
      <alignment horizontal="right" vertical="center" wrapText="1" indent="1"/>
    </xf>
    <xf numFmtId="183" fontId="57" fillId="0" borderId="205" xfId="0" applyNumberFormat="1" applyFont="1" applyFill="1" applyBorder="1" applyAlignment="1">
      <alignment horizontal="right" vertical="center" wrapText="1" indent="1"/>
    </xf>
    <xf numFmtId="183" fontId="57" fillId="24" borderId="205" xfId="0" applyNumberFormat="1" applyFont="1" applyFill="1" applyBorder="1" applyAlignment="1">
      <alignment horizontal="right" vertical="center" wrapText="1" indent="1"/>
    </xf>
    <xf numFmtId="183" fontId="57" fillId="27" borderId="205" xfId="0" applyNumberFormat="1" applyFont="1" applyFill="1" applyBorder="1" applyAlignment="1">
      <alignment horizontal="right" vertical="center" wrapText="1" indent="1"/>
    </xf>
    <xf numFmtId="183" fontId="57" fillId="27" borderId="210" xfId="0" applyNumberFormat="1" applyFont="1" applyFill="1" applyBorder="1" applyAlignment="1">
      <alignment horizontal="right" vertical="center" wrapText="1" indent="1"/>
    </xf>
    <xf numFmtId="183" fontId="57" fillId="27" borderId="158" xfId="0" applyNumberFormat="1" applyFont="1" applyFill="1" applyBorder="1" applyAlignment="1">
      <alignment horizontal="right" vertical="center" wrapText="1" indent="2"/>
    </xf>
    <xf numFmtId="183" fontId="57" fillId="25" borderId="160" xfId="0" applyNumberFormat="1" applyFont="1" applyFill="1" applyBorder="1" applyAlignment="1">
      <alignment horizontal="right" vertical="center" wrapText="1" indent="1"/>
    </xf>
    <xf numFmtId="183" fontId="0" fillId="25" borderId="149" xfId="0" applyNumberFormat="1" applyFill="1" applyBorder="1" applyAlignment="1">
      <alignment horizontal="right" indent="1"/>
    </xf>
    <xf numFmtId="183" fontId="0" fillId="24" borderId="153" xfId="0" applyNumberFormat="1" applyFill="1" applyBorder="1" applyAlignment="1">
      <alignment horizontal="right" indent="1"/>
    </xf>
    <xf numFmtId="183" fontId="0" fillId="25" borderId="161" xfId="0" applyNumberFormat="1" applyFill="1" applyBorder="1" applyAlignment="1">
      <alignment horizontal="right" indent="1"/>
    </xf>
    <xf numFmtId="183" fontId="0" fillId="24" borderId="165" xfId="0" applyNumberFormat="1" applyFill="1" applyBorder="1" applyAlignment="1">
      <alignment horizontal="right" indent="1"/>
    </xf>
    <xf numFmtId="183" fontId="0" fillId="15" borderId="224" xfId="0" applyNumberFormat="1" applyFill="1" applyBorder="1" applyAlignment="1">
      <alignment horizontal="right" vertical="center" wrapText="1" indent="1"/>
    </xf>
    <xf numFmtId="183" fontId="0" fillId="27" borderId="157" xfId="0" applyNumberFormat="1" applyFill="1" applyBorder="1" applyAlignment="1">
      <alignment horizontal="right" vertical="center" wrapText="1" indent="1"/>
    </xf>
    <xf numFmtId="183" fontId="0" fillId="24" borderId="6" xfId="0" applyNumberFormat="1" applyFill="1" applyBorder="1" applyAlignment="1">
      <alignment horizontal="right" vertical="center" wrapText="1" indent="1"/>
    </xf>
    <xf numFmtId="183" fontId="0" fillId="0" borderId="72" xfId="0" applyNumberFormat="1" applyFill="1" applyBorder="1" applyAlignment="1">
      <alignment horizontal="right" vertical="center" wrapText="1" indent="1"/>
    </xf>
    <xf numFmtId="173" fontId="56" fillId="25" borderId="19" xfId="0" applyNumberFormat="1" applyFont="1" applyFill="1" applyBorder="1" applyAlignment="1">
      <alignment horizontal="right" vertical="center" wrapText="1" indent="2"/>
    </xf>
    <xf numFmtId="173" fontId="0" fillId="12" borderId="311" xfId="0" applyNumberFormat="1" applyFont="1" applyFill="1" applyBorder="1" applyAlignment="1">
      <alignment horizontal="right" vertical="center" wrapText="1" indent="2"/>
    </xf>
    <xf numFmtId="173" fontId="13" fillId="0" borderId="167" xfId="0" applyNumberFormat="1" applyFont="1" applyFill="1" applyBorder="1" applyAlignment="1">
      <alignment horizontal="right" vertical="center" wrapText="1" indent="2"/>
    </xf>
    <xf numFmtId="173" fontId="0" fillId="25" borderId="307" xfId="0" applyNumberFormat="1" applyFont="1" applyFill="1" applyBorder="1" applyAlignment="1">
      <alignment horizontal="right" vertical="center" wrapText="1" indent="2"/>
    </xf>
    <xf numFmtId="173" fontId="0" fillId="12" borderId="307" xfId="0" applyNumberFormat="1" applyFont="1" applyFill="1" applyBorder="1" applyAlignment="1">
      <alignment horizontal="right" vertical="center" wrapText="1" indent="2"/>
    </xf>
    <xf numFmtId="173" fontId="13" fillId="0" borderId="307" xfId="0" applyNumberFormat="1" applyFont="1" applyFill="1" applyBorder="1" applyAlignment="1">
      <alignment horizontal="right" vertical="center" wrapText="1" indent="2"/>
    </xf>
    <xf numFmtId="173" fontId="13" fillId="0" borderId="240" xfId="0" applyNumberFormat="1" applyFont="1" applyFill="1" applyBorder="1" applyAlignment="1">
      <alignment horizontal="right" vertical="center" wrapText="1" indent="2"/>
    </xf>
    <xf numFmtId="173" fontId="13" fillId="0" borderId="48" xfId="0" applyNumberFormat="1" applyFont="1" applyFill="1" applyBorder="1" applyAlignment="1">
      <alignment horizontal="right" vertical="center" wrapText="1" indent="2"/>
    </xf>
    <xf numFmtId="0" fontId="48" fillId="0" borderId="17" xfId="0" applyFont="1" applyFill="1" applyBorder="1" applyAlignment="1">
      <alignment horizontal="right" vertical="center" wrapText="1" indent="2"/>
    </xf>
    <xf numFmtId="183" fontId="48" fillId="12" borderId="23" xfId="0" applyNumberFormat="1" applyFont="1" applyFill="1" applyBorder="1" applyAlignment="1">
      <alignment horizontal="right" vertical="center" wrapText="1" indent="1"/>
    </xf>
    <xf numFmtId="183" fontId="48" fillId="12" borderId="27" xfId="0" applyNumberFormat="1" applyFont="1" applyFill="1" applyBorder="1" applyAlignment="1">
      <alignment horizontal="right" vertical="center" wrapText="1" indent="1"/>
    </xf>
    <xf numFmtId="183" fontId="48" fillId="0" borderId="23" xfId="0" applyNumberFormat="1" applyFont="1" applyFill="1" applyBorder="1" applyAlignment="1">
      <alignment horizontal="right" vertical="center" wrapText="1" indent="1"/>
    </xf>
    <xf numFmtId="4" fontId="0" fillId="25" borderId="302" xfId="0" applyNumberFormat="1" applyFill="1" applyBorder="1" applyAlignment="1">
      <alignment horizontal="right" vertical="center" wrapText="1" indent="1"/>
    </xf>
    <xf numFmtId="166" fontId="0" fillId="0" borderId="302" xfId="0" applyNumberFormat="1" applyFont="1" applyFill="1" applyBorder="1" applyAlignment="1">
      <alignment horizontal="center" vertical="center" wrapText="1"/>
    </xf>
    <xf numFmtId="166" fontId="0" fillId="0" borderId="309" xfId="0" applyNumberFormat="1" applyFont="1" applyFill="1" applyBorder="1" applyAlignment="1">
      <alignment horizontal="left" vertical="center" wrapText="1" indent="1"/>
    </xf>
    <xf numFmtId="166" fontId="0" fillId="0" borderId="302" xfId="0" applyNumberFormat="1" applyFont="1" applyFill="1" applyBorder="1" applyAlignment="1">
      <alignment horizontal="left" vertical="center" wrapText="1" indent="1"/>
    </xf>
    <xf numFmtId="1" fontId="0" fillId="0" borderId="302" xfId="0" applyNumberFormat="1" applyFont="1" applyFill="1" applyBorder="1" applyAlignment="1">
      <alignment horizontal="center" vertical="center" wrapText="1"/>
    </xf>
    <xf numFmtId="166" fontId="1" fillId="0" borderId="306" xfId="0" applyNumberFormat="1" applyFont="1" applyFill="1" applyBorder="1" applyAlignment="1">
      <alignment horizontal="left" vertical="center" wrapText="1" indent="1"/>
    </xf>
    <xf numFmtId="166" fontId="0" fillId="0" borderId="310" xfId="0" applyNumberFormat="1" applyFont="1" applyFill="1" applyBorder="1" applyAlignment="1">
      <alignment horizontal="left" vertical="center" wrapText="1" indent="1"/>
    </xf>
    <xf numFmtId="183" fontId="0" fillId="0" borderId="309" xfId="0" applyNumberFormat="1" applyFill="1" applyBorder="1" applyAlignment="1">
      <alignment vertical="center" wrapText="1"/>
    </xf>
    <xf numFmtId="183" fontId="0" fillId="0" borderId="308" xfId="0" applyNumberFormat="1" applyFill="1" applyBorder="1" applyAlignment="1">
      <alignment vertical="center" wrapText="1"/>
    </xf>
    <xf numFmtId="183" fontId="0" fillId="0" borderId="302" xfId="0" applyNumberFormat="1" applyFill="1" applyBorder="1" applyAlignment="1">
      <alignment vertical="center" wrapText="1"/>
    </xf>
    <xf numFmtId="183" fontId="0" fillId="0" borderId="310" xfId="0" applyNumberFormat="1" applyFill="1" applyBorder="1" applyAlignment="1">
      <alignment vertical="center" wrapText="1"/>
    </xf>
    <xf numFmtId="166" fontId="37" fillId="0" borderId="309" xfId="0" applyNumberFormat="1" applyFont="1" applyFill="1" applyBorder="1" applyAlignment="1">
      <alignment horizontal="left" vertical="center" wrapText="1" indent="1"/>
    </xf>
    <xf numFmtId="166" fontId="0" fillId="0" borderId="308" xfId="0" applyNumberFormat="1" applyFill="1" applyBorder="1" applyAlignment="1">
      <alignment horizontal="left" vertical="center" wrapText="1" indent="1"/>
    </xf>
    <xf numFmtId="4" fontId="0" fillId="0" borderId="302" xfId="0" applyNumberFormat="1" applyFill="1" applyBorder="1" applyAlignment="1">
      <alignment horizontal="right" vertical="center" wrapText="1" indent="1"/>
    </xf>
    <xf numFmtId="173" fontId="0" fillId="0" borderId="310" xfId="0" applyNumberFormat="1" applyFill="1" applyBorder="1" applyAlignment="1">
      <alignment horizontal="right" vertical="center" wrapText="1" indent="1"/>
    </xf>
    <xf numFmtId="166" fontId="0" fillId="0" borderId="309" xfId="0" applyNumberFormat="1" applyFill="1" applyBorder="1" applyAlignment="1">
      <alignment horizontal="left" vertical="center" wrapText="1" indent="1"/>
    </xf>
    <xf numFmtId="1" fontId="0" fillId="0" borderId="308" xfId="0" applyNumberFormat="1" applyFill="1" applyBorder="1" applyAlignment="1">
      <alignment horizontal="center" vertical="center" wrapText="1"/>
    </xf>
    <xf numFmtId="166" fontId="0" fillId="0" borderId="310" xfId="0" applyNumberFormat="1" applyFill="1" applyBorder="1" applyAlignment="1">
      <alignment horizontal="left" vertical="center" wrapText="1" indent="1"/>
    </xf>
    <xf numFmtId="183" fontId="48" fillId="0" borderId="307" xfId="0" applyNumberFormat="1" applyFont="1" applyFill="1" applyBorder="1" applyAlignment="1">
      <alignment horizontal="right" vertical="center" wrapText="1" indent="1"/>
    </xf>
    <xf numFmtId="183" fontId="62" fillId="0" borderId="288" xfId="0" applyNumberFormat="1" applyFont="1" applyFill="1" applyBorder="1" applyAlignment="1">
      <alignment horizontal="right" vertical="center" wrapText="1" indent="1"/>
    </xf>
    <xf numFmtId="183" fontId="57" fillId="0" borderId="309" xfId="0" applyNumberFormat="1" applyFont="1" applyFill="1" applyBorder="1" applyAlignment="1">
      <alignment horizontal="right" vertical="center" wrapText="1" indent="1"/>
    </xf>
    <xf numFmtId="183" fontId="65" fillId="0" borderId="308" xfId="0" applyNumberFormat="1" applyFont="1" applyFill="1" applyBorder="1" applyAlignment="1">
      <alignment horizontal="right" vertical="center" wrapText="1" indent="1"/>
    </xf>
    <xf numFmtId="183" fontId="13" fillId="0" borderId="308" xfId="0" applyNumberFormat="1" applyFont="1" applyFill="1" applyBorder="1" applyAlignment="1">
      <alignment horizontal="right" vertical="center" wrapText="1" indent="1"/>
    </xf>
    <xf numFmtId="183" fontId="13" fillId="0" borderId="310" xfId="0" applyNumberFormat="1" applyFont="1" applyFill="1" applyBorder="1" applyAlignment="1">
      <alignment horizontal="right" vertical="center" wrapText="1" indent="1"/>
    </xf>
    <xf numFmtId="183" fontId="13" fillId="0" borderId="307" xfId="0" applyNumberFormat="1" applyFont="1" applyFill="1" applyBorder="1" applyAlignment="1">
      <alignment horizontal="right" vertical="center" wrapText="1" indent="1"/>
    </xf>
    <xf numFmtId="183" fontId="13" fillId="0" borderId="302" xfId="0" applyNumberFormat="1" applyFont="1" applyFill="1" applyBorder="1" applyAlignment="1">
      <alignment horizontal="right" vertical="center" wrapText="1" indent="1"/>
    </xf>
    <xf numFmtId="183" fontId="0" fillId="0" borderId="310" xfId="0" applyNumberFormat="1" applyFont="1" applyFill="1" applyBorder="1" applyAlignment="1">
      <alignment horizontal="right" vertical="center" wrapText="1" indent="1"/>
    </xf>
    <xf numFmtId="183" fontId="0" fillId="0" borderId="309" xfId="0" applyNumberFormat="1" applyFont="1" applyFill="1" applyBorder="1" applyAlignment="1">
      <alignment horizontal="right" vertical="center" wrapText="1" indent="1"/>
    </xf>
    <xf numFmtId="183" fontId="0" fillId="0" borderId="302" xfId="0" applyNumberFormat="1" applyFont="1" applyFill="1" applyBorder="1" applyAlignment="1">
      <alignment horizontal="right" vertical="center" wrapText="1" indent="1"/>
    </xf>
    <xf numFmtId="183" fontId="48" fillId="0" borderId="312" xfId="0" applyNumberFormat="1" applyFont="1" applyFill="1" applyBorder="1" applyAlignment="1">
      <alignment horizontal="right" vertical="center" wrapText="1" indent="1"/>
    </xf>
    <xf numFmtId="183" fontId="0" fillId="0" borderId="290" xfId="0" applyNumberFormat="1" applyFont="1" applyFill="1" applyBorder="1" applyAlignment="1">
      <alignment horizontal="right" vertical="center" wrapText="1" indent="1"/>
    </xf>
    <xf numFmtId="2" fontId="0" fillId="0" borderId="302" xfId="0" applyNumberFormat="1" applyFont="1" applyFill="1" applyBorder="1" applyAlignment="1">
      <alignment horizontal="right" vertical="center" wrapText="1" indent="1"/>
    </xf>
    <xf numFmtId="183" fontId="48" fillId="0" borderId="310" xfId="0" applyNumberFormat="1" applyFont="1" applyFill="1" applyBorder="1" applyAlignment="1">
      <alignment horizontal="right" vertical="center" wrapText="1" indent="1"/>
    </xf>
    <xf numFmtId="183" fontId="13" fillId="0" borderId="309" xfId="0" applyNumberFormat="1" applyFont="1" applyFill="1" applyBorder="1" applyAlignment="1">
      <alignment horizontal="right" vertical="center" wrapText="1" indent="1"/>
    </xf>
    <xf numFmtId="183" fontId="0" fillId="0" borderId="304" xfId="0" applyNumberFormat="1" applyFont="1" applyFill="1" applyBorder="1" applyAlignment="1">
      <alignment horizontal="right" vertical="center" wrapText="1" indent="1"/>
    </xf>
    <xf numFmtId="183" fontId="37" fillId="0" borderId="312" xfId="0" applyNumberFormat="1" applyFont="1" applyFill="1" applyBorder="1" applyAlignment="1">
      <alignment horizontal="right" vertical="center" wrapText="1" indent="1"/>
    </xf>
    <xf numFmtId="183" fontId="37" fillId="0" borderId="309" xfId="0" applyNumberFormat="1" applyFont="1" applyFill="1" applyBorder="1" applyAlignment="1">
      <alignment horizontal="right" vertical="center" wrapText="1" indent="1"/>
    </xf>
    <xf numFmtId="183" fontId="37" fillId="0" borderId="310" xfId="0" applyNumberFormat="1" applyFont="1" applyFill="1" applyBorder="1" applyAlignment="1">
      <alignment horizontal="right" vertical="center" wrapText="1" indent="1"/>
    </xf>
    <xf numFmtId="183" fontId="37" fillId="0" borderId="307" xfId="0" applyNumberFormat="1" applyFont="1" applyFill="1" applyBorder="1" applyAlignment="1">
      <alignment horizontal="right" vertical="center" wrapText="1" indent="1"/>
    </xf>
    <xf numFmtId="183" fontId="37" fillId="0" borderId="302" xfId="0" applyNumberFormat="1" applyFont="1" applyFill="1" applyBorder="1" applyAlignment="1">
      <alignment horizontal="right" vertical="center" wrapText="1" indent="1"/>
    </xf>
    <xf numFmtId="183" fontId="48" fillId="0" borderId="290" xfId="0" applyNumberFormat="1" applyFont="1" applyFill="1" applyBorder="1" applyAlignment="1">
      <alignment horizontal="right" vertical="center" wrapText="1" indent="1"/>
    </xf>
    <xf numFmtId="183" fontId="56" fillId="0" borderId="308" xfId="0" applyNumberFormat="1" applyFont="1" applyFill="1" applyBorder="1" applyAlignment="1">
      <alignment horizontal="right" vertical="center" wrapText="1" indent="1"/>
    </xf>
    <xf numFmtId="173" fontId="56" fillId="0" borderId="308" xfId="0" applyNumberFormat="1" applyFont="1" applyFill="1" applyBorder="1" applyAlignment="1">
      <alignment horizontal="right" vertical="center" wrapText="1" indent="1"/>
    </xf>
    <xf numFmtId="173" fontId="56" fillId="0" borderId="302" xfId="0" applyNumberFormat="1" applyFont="1" applyFill="1" applyBorder="1" applyAlignment="1">
      <alignment horizontal="right" vertical="center" wrapText="1" indent="1"/>
    </xf>
    <xf numFmtId="183" fontId="56" fillId="0" borderId="312" xfId="0" applyNumberFormat="1" applyFont="1" applyFill="1" applyBorder="1" applyAlignment="1">
      <alignment horizontal="right" vertical="center" wrapText="1" indent="1"/>
    </xf>
    <xf numFmtId="173" fontId="13" fillId="0" borderId="310" xfId="0" applyNumberFormat="1" applyFont="1" applyFill="1" applyBorder="1" applyAlignment="1">
      <alignment horizontal="left" vertical="center" wrapText="1" indent="1"/>
    </xf>
    <xf numFmtId="183" fontId="56" fillId="0" borderId="312" xfId="0" applyNumberFormat="1" applyFont="1" applyFill="1" applyBorder="1" applyAlignment="1">
      <alignment horizontal="left" vertical="center" wrapText="1" indent="3"/>
    </xf>
    <xf numFmtId="183" fontId="56" fillId="0" borderId="308" xfId="0" applyNumberFormat="1" applyFont="1" applyFill="1" applyBorder="1" applyAlignment="1">
      <alignment vertical="center" wrapText="1"/>
    </xf>
    <xf numFmtId="9" fontId="56" fillId="0" borderId="308" xfId="0" applyNumberFormat="1" applyFont="1" applyFill="1" applyBorder="1" applyAlignment="1">
      <alignment horizontal="right" vertical="center" wrapText="1" indent="2"/>
    </xf>
    <xf numFmtId="183" fontId="56" fillId="0" borderId="302" xfId="0" applyNumberFormat="1" applyFont="1" applyFill="1" applyBorder="1" applyAlignment="1">
      <alignment vertical="center" wrapText="1"/>
    </xf>
    <xf numFmtId="183" fontId="66" fillId="0" borderId="308" xfId="0" applyNumberFormat="1" applyFont="1" applyFill="1" applyBorder="1" applyAlignment="1">
      <alignment horizontal="right" vertical="center" wrapText="1" indent="1"/>
    </xf>
    <xf numFmtId="173" fontId="0" fillId="0" borderId="304" xfId="0" applyNumberFormat="1" applyFont="1" applyFill="1" applyBorder="1" applyAlignment="1">
      <alignment horizontal="right" vertical="center" wrapText="1" indent="3"/>
    </xf>
    <xf numFmtId="183" fontId="37" fillId="0" borderId="304" xfId="0" applyNumberFormat="1" applyFont="1" applyFill="1" applyBorder="1" applyAlignment="1">
      <alignment horizontal="right" vertical="center" wrapText="1" indent="1"/>
    </xf>
    <xf numFmtId="173" fontId="0" fillId="0" borderId="307" xfId="0" applyNumberFormat="1" applyFont="1" applyFill="1" applyBorder="1" applyAlignment="1">
      <alignment horizontal="right" vertical="center" wrapText="1" indent="2"/>
    </xf>
    <xf numFmtId="183" fontId="0" fillId="0" borderId="309" xfId="0" applyNumberFormat="1" applyFill="1" applyBorder="1" applyAlignment="1">
      <alignment horizontal="right" vertical="center" wrapText="1" indent="1"/>
    </xf>
    <xf numFmtId="183" fontId="0" fillId="0" borderId="310" xfId="0" applyNumberFormat="1" applyFill="1" applyBorder="1" applyAlignment="1">
      <alignment horizontal="right" vertical="center" wrapText="1" indent="1"/>
    </xf>
    <xf numFmtId="183" fontId="0" fillId="0" borderId="312" xfId="0" applyNumberFormat="1" applyFont="1" applyFill="1" applyBorder="1" applyAlignment="1">
      <alignment horizontal="right" vertical="center" wrapText="1" indent="1"/>
    </xf>
    <xf numFmtId="183" fontId="0" fillId="0" borderId="312" xfId="0" applyNumberFormat="1" applyFill="1" applyBorder="1" applyAlignment="1">
      <alignment horizontal="right" vertical="center" wrapText="1" indent="1"/>
    </xf>
    <xf numFmtId="183" fontId="0" fillId="0" borderId="302" xfId="0" applyNumberFormat="1" applyFill="1" applyBorder="1" applyAlignment="1">
      <alignment horizontal="right" vertical="center" wrapText="1" indent="1"/>
    </xf>
    <xf numFmtId="183" fontId="0" fillId="0" borderId="307" xfId="0" applyNumberFormat="1" applyFill="1" applyBorder="1" applyAlignment="1">
      <alignment horizontal="right" vertical="center" wrapText="1" indent="1"/>
    </xf>
    <xf numFmtId="183" fontId="0" fillId="0" borderId="308" xfId="0" applyNumberFormat="1" applyFill="1" applyBorder="1" applyAlignment="1">
      <alignment horizontal="right" vertical="center" wrapText="1" indent="1"/>
    </xf>
    <xf numFmtId="10" fontId="0" fillId="0" borderId="310" xfId="0" applyNumberFormat="1" applyFill="1" applyBorder="1" applyAlignment="1">
      <alignment horizontal="right" vertical="center" wrapText="1" indent="1"/>
    </xf>
    <xf numFmtId="183" fontId="48" fillId="0" borderId="302" xfId="0" applyNumberFormat="1" applyFont="1" applyFill="1" applyBorder="1" applyAlignment="1">
      <alignment horizontal="right" vertical="center" wrapText="1" indent="1"/>
    </xf>
    <xf numFmtId="1" fontId="0" fillId="0" borderId="307" xfId="0" applyNumberFormat="1" applyFill="1" applyBorder="1" applyAlignment="1">
      <alignment horizontal="center" vertical="center" wrapText="1"/>
    </xf>
    <xf numFmtId="183" fontId="57" fillId="0" borderId="309" xfId="0" applyNumberFormat="1" applyFont="1" applyFill="1" applyBorder="1" applyAlignment="1">
      <alignment horizontal="right" vertical="center" wrapText="1" indent="2"/>
    </xf>
    <xf numFmtId="183" fontId="48" fillId="0" borderId="310" xfId="0" applyNumberFormat="1" applyFont="1" applyFill="1" applyBorder="1" applyAlignment="1">
      <alignment horizontal="right" vertical="center" wrapText="1" indent="2"/>
    </xf>
    <xf numFmtId="183" fontId="37" fillId="0" borderId="312" xfId="0" applyNumberFormat="1" applyFont="1" applyFill="1" applyBorder="1" applyAlignment="1">
      <alignment horizontal="right" vertical="center" wrapText="1" indent="2"/>
    </xf>
    <xf numFmtId="183" fontId="13" fillId="0" borderId="304" xfId="0" applyNumberFormat="1" applyFont="1" applyFill="1" applyBorder="1" applyAlignment="1">
      <alignment horizontal="right" vertical="center" wrapText="1" indent="1"/>
    </xf>
    <xf numFmtId="183" fontId="13" fillId="0" borderId="309" xfId="0" applyNumberFormat="1" applyFont="1" applyFill="1" applyBorder="1" applyAlignment="1">
      <alignment horizontal="right" vertical="center" wrapText="1" indent="2"/>
    </xf>
    <xf numFmtId="183" fontId="13" fillId="0" borderId="310" xfId="0" applyNumberFormat="1" applyFont="1" applyFill="1" applyBorder="1" applyAlignment="1">
      <alignment horizontal="right" vertical="center" wrapText="1" indent="2"/>
    </xf>
    <xf numFmtId="183" fontId="9" fillId="0" borderId="309" xfId="0" applyNumberFormat="1" applyFont="1" applyFill="1" applyBorder="1" applyAlignment="1">
      <alignment horizontal="right" vertical="center" wrapText="1" indent="2"/>
    </xf>
    <xf numFmtId="183" fontId="13" fillId="0" borderId="302" xfId="0" applyNumberFormat="1" applyFont="1" applyFill="1" applyBorder="1" applyAlignment="1">
      <alignment horizontal="right" vertical="center" wrapText="1" indent="2"/>
    </xf>
    <xf numFmtId="183" fontId="0" fillId="0" borderId="304" xfId="0" applyNumberFormat="1" applyFont="1" applyFill="1" applyBorder="1" applyAlignment="1">
      <alignment horizontal="right" vertical="center" wrapText="1" indent="2"/>
    </xf>
    <xf numFmtId="183" fontId="57" fillId="0" borderId="312" xfId="0" applyNumberFormat="1" applyFont="1" applyFill="1" applyBorder="1" applyAlignment="1">
      <alignment horizontal="right" vertical="center" wrapText="1" indent="2"/>
    </xf>
    <xf numFmtId="183" fontId="0" fillId="0" borderId="309" xfId="0" applyNumberFormat="1" applyFill="1" applyBorder="1" applyAlignment="1">
      <alignment horizontal="right" vertical="center" wrapText="1" indent="2"/>
    </xf>
    <xf numFmtId="183" fontId="0" fillId="0" borderId="302" xfId="0" applyNumberFormat="1" applyFill="1" applyBorder="1" applyAlignment="1">
      <alignment horizontal="right" vertical="center" wrapText="1" indent="2"/>
    </xf>
    <xf numFmtId="183" fontId="0" fillId="0" borderId="304" xfId="0" applyNumberFormat="1" applyFill="1" applyBorder="1" applyAlignment="1">
      <alignment horizontal="right" vertical="center" wrapText="1" indent="2"/>
    </xf>
    <xf numFmtId="183" fontId="0" fillId="0" borderId="310" xfId="0" applyNumberFormat="1" applyFill="1" applyBorder="1" applyAlignment="1">
      <alignment horizontal="right" vertical="center" wrapText="1" indent="2"/>
    </xf>
    <xf numFmtId="0" fontId="0" fillId="25" borderId="23" xfId="0" applyFill="1" applyBorder="1" applyAlignment="1">
      <alignment horizontal="center" vertical="center"/>
    </xf>
    <xf numFmtId="0" fontId="0" fillId="25" borderId="52" xfId="0" applyFill="1" applyBorder="1" applyAlignment="1">
      <alignment horizontal="right" indent="1"/>
    </xf>
    <xf numFmtId="0" fontId="0" fillId="25" borderId="23" xfId="0" applyFill="1" applyBorder="1" applyAlignment="1">
      <alignment horizontal="left" vertical="center" wrapText="1" indent="1"/>
    </xf>
    <xf numFmtId="0" fontId="0" fillId="25" borderId="34" xfId="0" applyFill="1" applyBorder="1" applyAlignment="1">
      <alignment horizontal="left" vertical="center" wrapText="1" indent="1"/>
    </xf>
    <xf numFmtId="0" fontId="0" fillId="25" borderId="52" xfId="0" applyFill="1" applyBorder="1"/>
    <xf numFmtId="0" fontId="0" fillId="25" borderId="23" xfId="0" applyFill="1" applyBorder="1"/>
    <xf numFmtId="0" fontId="0" fillId="25" borderId="34" xfId="0" applyFill="1" applyBorder="1"/>
    <xf numFmtId="0" fontId="37" fillId="25" borderId="52" xfId="0" applyFont="1" applyFill="1" applyBorder="1" applyAlignment="1">
      <alignment horizontal="left" vertical="center" wrapText="1" indent="1"/>
    </xf>
    <xf numFmtId="0" fontId="0" fillId="25" borderId="23" xfId="0" applyFill="1" applyBorder="1" applyAlignment="1">
      <alignment vertical="center"/>
    </xf>
    <xf numFmtId="173" fontId="0" fillId="25" borderId="34" xfId="0" applyNumberFormat="1" applyFill="1" applyBorder="1" applyAlignment="1">
      <alignment horizontal="right" vertical="center" indent="1"/>
    </xf>
    <xf numFmtId="0" fontId="0" fillId="25" borderId="7" xfId="0" applyFill="1" applyBorder="1"/>
    <xf numFmtId="1" fontId="0" fillId="25" borderId="7" xfId="0" applyNumberFormat="1" applyFill="1" applyBorder="1" applyAlignment="1">
      <alignment horizontal="center"/>
    </xf>
    <xf numFmtId="0" fontId="0" fillId="25" borderId="38" xfId="0" applyFill="1" applyBorder="1" applyAlignment="1">
      <alignment horizontal="left" vertical="center" wrapText="1" indent="1"/>
    </xf>
    <xf numFmtId="0" fontId="0" fillId="25" borderId="31" xfId="0" applyFill="1" applyBorder="1"/>
    <xf numFmtId="183" fontId="48" fillId="25" borderId="0" xfId="0" applyNumberFormat="1" applyFont="1" applyFill="1" applyBorder="1" applyAlignment="1">
      <alignment horizontal="right" vertical="center" wrapText="1" indent="1"/>
    </xf>
    <xf numFmtId="183" fontId="62" fillId="25" borderId="67" xfId="0" applyNumberFormat="1" applyFont="1" applyFill="1" applyBorder="1" applyAlignment="1">
      <alignment horizontal="right" vertical="center" wrapText="1" indent="1"/>
    </xf>
    <xf numFmtId="183" fontId="57" fillId="25" borderId="38" xfId="0" applyNumberFormat="1" applyFont="1" applyFill="1" applyBorder="1" applyAlignment="1">
      <alignment horizontal="right" vertical="center" wrapText="1" indent="1"/>
    </xf>
    <xf numFmtId="183" fontId="65" fillId="25" borderId="2" xfId="0" applyNumberFormat="1" applyFont="1" applyFill="1" applyBorder="1" applyAlignment="1">
      <alignment horizontal="right" vertical="center" wrapText="1" indent="1"/>
    </xf>
    <xf numFmtId="183" fontId="13" fillId="25" borderId="2" xfId="0" applyNumberFormat="1" applyFont="1" applyFill="1" applyBorder="1" applyAlignment="1">
      <alignment horizontal="right" vertical="center" wrapText="1" indent="1"/>
    </xf>
    <xf numFmtId="183" fontId="13" fillId="25" borderId="31" xfId="0" applyNumberFormat="1" applyFont="1" applyFill="1" applyBorder="1" applyAlignment="1">
      <alignment horizontal="right" vertical="center" wrapText="1" indent="1"/>
    </xf>
    <xf numFmtId="183" fontId="13" fillId="25" borderId="0" xfId="0" applyNumberFormat="1" applyFont="1" applyFill="1" applyBorder="1" applyAlignment="1">
      <alignment horizontal="right" vertical="center" wrapText="1" indent="1"/>
    </xf>
    <xf numFmtId="183" fontId="13" fillId="25" borderId="3" xfId="0" applyNumberFormat="1" applyFont="1" applyFill="1" applyBorder="1" applyAlignment="1">
      <alignment horizontal="right" vertical="center" wrapText="1" indent="1"/>
    </xf>
    <xf numFmtId="183" fontId="0" fillId="25" borderId="31" xfId="0" applyNumberFormat="1" applyFont="1" applyFill="1" applyBorder="1" applyAlignment="1">
      <alignment horizontal="right" vertical="center" wrapText="1" indent="1"/>
    </xf>
    <xf numFmtId="183" fontId="0" fillId="25" borderId="38" xfId="0" applyNumberFormat="1" applyFont="1" applyFill="1" applyBorder="1" applyAlignment="1">
      <alignment horizontal="right" vertical="center" wrapText="1" indent="1"/>
    </xf>
    <xf numFmtId="183" fontId="0" fillId="25" borderId="3" xfId="0" applyNumberFormat="1" applyFont="1" applyFill="1" applyBorder="1" applyAlignment="1">
      <alignment horizontal="right" vertical="center" wrapText="1" indent="1"/>
    </xf>
    <xf numFmtId="183" fontId="48" fillId="25" borderId="57" xfId="0" applyNumberFormat="1" applyFont="1" applyFill="1" applyBorder="1" applyAlignment="1">
      <alignment horizontal="right" vertical="center" wrapText="1" indent="1"/>
    </xf>
    <xf numFmtId="183" fontId="0" fillId="25" borderId="45" xfId="0" applyNumberFormat="1" applyFont="1" applyFill="1" applyBorder="1" applyAlignment="1">
      <alignment horizontal="right" vertical="center" wrapText="1" indent="1"/>
    </xf>
    <xf numFmtId="2" fontId="0" fillId="25" borderId="3" xfId="0" applyNumberFormat="1" applyFont="1" applyFill="1" applyBorder="1" applyAlignment="1">
      <alignment horizontal="right" vertical="center" wrapText="1" indent="1"/>
    </xf>
    <xf numFmtId="183" fontId="48" fillId="25" borderId="31" xfId="0" applyNumberFormat="1" applyFont="1" applyFill="1" applyBorder="1" applyAlignment="1">
      <alignment horizontal="right" vertical="center" wrapText="1" indent="1"/>
    </xf>
    <xf numFmtId="183" fontId="0" fillId="25" borderId="1" xfId="0" applyNumberFormat="1" applyFont="1" applyFill="1" applyBorder="1" applyAlignment="1">
      <alignment horizontal="right" vertical="center" wrapText="1" indent="1"/>
    </xf>
    <xf numFmtId="183" fontId="37" fillId="25" borderId="57" xfId="0" applyNumberFormat="1" applyFont="1" applyFill="1" applyBorder="1" applyAlignment="1">
      <alignment horizontal="right" vertical="center" wrapText="1" indent="1"/>
    </xf>
    <xf numFmtId="183" fontId="37" fillId="25" borderId="38" xfId="0" applyNumberFormat="1" applyFont="1" applyFill="1" applyBorder="1" applyAlignment="1">
      <alignment horizontal="right" vertical="center" wrapText="1" indent="1"/>
    </xf>
    <xf numFmtId="183" fontId="37" fillId="25" borderId="31" xfId="0" applyNumberFormat="1" applyFont="1" applyFill="1" applyBorder="1" applyAlignment="1">
      <alignment horizontal="right" vertical="center" wrapText="1" indent="1"/>
    </xf>
    <xf numFmtId="183" fontId="37" fillId="25" borderId="45" xfId="0" applyNumberFormat="1" applyFont="1" applyFill="1" applyBorder="1" applyAlignment="1">
      <alignment horizontal="right" vertical="center" wrapText="1" indent="1"/>
    </xf>
    <xf numFmtId="183" fontId="37" fillId="25" borderId="0" xfId="0" applyNumberFormat="1" applyFont="1" applyFill="1" applyBorder="1" applyAlignment="1">
      <alignment horizontal="right" vertical="center" wrapText="1" indent="1"/>
    </xf>
    <xf numFmtId="183" fontId="37" fillId="25" borderId="3" xfId="0" applyNumberFormat="1" applyFont="1" applyFill="1" applyBorder="1" applyAlignment="1">
      <alignment horizontal="right" vertical="center" wrapText="1" indent="1"/>
    </xf>
    <xf numFmtId="183" fontId="48" fillId="25" borderId="164" xfId="0" applyNumberFormat="1" applyFont="1" applyFill="1" applyBorder="1" applyAlignment="1">
      <alignment horizontal="right" vertical="center" wrapText="1" indent="1"/>
    </xf>
    <xf numFmtId="183" fontId="57" fillId="25" borderId="165" xfId="0" applyNumberFormat="1" applyFont="1" applyFill="1" applyBorder="1" applyAlignment="1">
      <alignment horizontal="left" vertical="center" wrapText="1" indent="3"/>
    </xf>
    <xf numFmtId="183" fontId="56" fillId="25" borderId="153" xfId="0" applyNumberFormat="1" applyFont="1" applyFill="1" applyBorder="1" applyAlignment="1">
      <alignment vertical="center" wrapText="1"/>
    </xf>
    <xf numFmtId="9" fontId="56" fillId="25" borderId="154" xfId="0" applyNumberFormat="1" applyFont="1" applyFill="1" applyBorder="1" applyAlignment="1">
      <alignment horizontal="right" vertical="center" wrapText="1" indent="2"/>
    </xf>
    <xf numFmtId="183" fontId="56" fillId="25" borderId="154" xfId="0" applyNumberFormat="1" applyFont="1" applyFill="1" applyBorder="1" applyAlignment="1">
      <alignment vertical="center" wrapText="1"/>
    </xf>
    <xf numFmtId="173" fontId="13" fillId="25" borderId="167" xfId="0" applyNumberFormat="1" applyFont="1" applyFill="1" applyBorder="1" applyAlignment="1">
      <alignment horizontal="right" vertical="center" wrapText="1" indent="2"/>
    </xf>
    <xf numFmtId="183" fontId="37" fillId="25" borderId="165" xfId="0" applyNumberFormat="1" applyFont="1" applyFill="1" applyBorder="1" applyAlignment="1">
      <alignment horizontal="right" vertical="center" wrapText="1" indent="1"/>
    </xf>
    <xf numFmtId="183" fontId="0" fillId="25" borderId="165" xfId="0" applyNumberFormat="1" applyFont="1" applyFill="1" applyBorder="1" applyAlignment="1">
      <alignment horizontal="right" vertical="center" wrapText="1" indent="1"/>
    </xf>
    <xf numFmtId="10" fontId="0" fillId="25" borderId="155" xfId="0" applyNumberFormat="1" applyFill="1" applyBorder="1" applyAlignment="1">
      <alignment horizontal="right" vertical="center" wrapText="1" indent="2"/>
    </xf>
    <xf numFmtId="183" fontId="13" fillId="25" borderId="166" xfId="0" applyNumberFormat="1" applyFont="1" applyFill="1" applyBorder="1" applyAlignment="1">
      <alignment horizontal="right" vertical="center" wrapText="1" indent="1"/>
    </xf>
    <xf numFmtId="183" fontId="57" fillId="25" borderId="165" xfId="0" applyNumberFormat="1" applyFont="1" applyFill="1" applyBorder="1" applyAlignment="1">
      <alignment horizontal="right" vertical="center" wrapText="1" indent="2"/>
    </xf>
    <xf numFmtId="183" fontId="57" fillId="0" borderId="66" xfId="0" applyNumberFormat="1" applyFont="1" applyFill="1" applyBorder="1" applyAlignment="1">
      <alignment horizontal="right" vertical="center" wrapText="1" indent="1"/>
    </xf>
    <xf numFmtId="183" fontId="57" fillId="0" borderId="290" xfId="0" applyNumberFormat="1" applyFont="1" applyFill="1" applyBorder="1" applyAlignment="1">
      <alignment horizontal="right" vertical="center" wrapText="1" indent="1"/>
    </xf>
    <xf numFmtId="183" fontId="48" fillId="0" borderId="49" xfId="0" applyNumberFormat="1" applyFont="1" applyFill="1" applyBorder="1" applyAlignment="1">
      <alignment horizontal="right" vertical="center" wrapText="1" indent="1"/>
    </xf>
    <xf numFmtId="183" fontId="48" fillId="25" borderId="166" xfId="0" applyNumberFormat="1" applyFont="1" applyFill="1" applyBorder="1" applyAlignment="1">
      <alignment horizontal="right" vertical="center" wrapText="1" indent="1"/>
    </xf>
    <xf numFmtId="183" fontId="48" fillId="0" borderId="304" xfId="0" applyNumberFormat="1" applyFont="1" applyFill="1" applyBorder="1" applyAlignment="1">
      <alignment horizontal="right" vertical="center" wrapText="1" indent="1"/>
    </xf>
    <xf numFmtId="183" fontId="48" fillId="12" borderId="29" xfId="0" applyNumberFormat="1" applyFont="1" applyFill="1" applyBorder="1" applyAlignment="1">
      <alignment horizontal="right" vertical="center" wrapText="1" indent="1"/>
    </xf>
    <xf numFmtId="183" fontId="56" fillId="25" borderId="202" xfId="0" applyNumberFormat="1" applyFont="1" applyFill="1" applyBorder="1" applyAlignment="1">
      <alignment horizontal="right" vertical="center" wrapText="1" indent="1"/>
    </xf>
    <xf numFmtId="183" fontId="56" fillId="0" borderId="208" xfId="0" applyNumberFormat="1" applyFont="1" applyFill="1" applyBorder="1" applyAlignment="1">
      <alignment horizontal="right" vertical="center" wrapText="1" indent="1"/>
    </xf>
    <xf numFmtId="183" fontId="56" fillId="24" borderId="208" xfId="0" applyNumberFormat="1" applyFont="1" applyFill="1" applyBorder="1" applyAlignment="1">
      <alignment horizontal="right" vertical="center" wrapText="1" indent="1"/>
    </xf>
    <xf numFmtId="183" fontId="56" fillId="27" borderId="208" xfId="0" applyNumberFormat="1" applyFont="1" applyFill="1" applyBorder="1" applyAlignment="1">
      <alignment horizontal="right" vertical="center" wrapText="1" indent="1"/>
    </xf>
    <xf numFmtId="183" fontId="56" fillId="27" borderId="214" xfId="0" applyNumberFormat="1" applyFont="1" applyFill="1" applyBorder="1" applyAlignment="1">
      <alignment horizontal="right" vertical="center" wrapText="1" indent="1"/>
    </xf>
    <xf numFmtId="4" fontId="0" fillId="12" borderId="320" xfId="0" applyNumberFormat="1" applyFill="1" applyBorder="1" applyAlignment="1">
      <alignment horizontal="right" vertical="center" wrapText="1" indent="1"/>
    </xf>
    <xf numFmtId="4" fontId="56" fillId="25" borderId="302" xfId="0" applyNumberFormat="1" applyFont="1" applyFill="1" applyBorder="1" applyAlignment="1">
      <alignment horizontal="right" vertical="center" wrapText="1" indent="1"/>
    </xf>
    <xf numFmtId="4" fontId="0" fillId="12" borderId="302" xfId="0" applyNumberFormat="1" applyFill="1" applyBorder="1" applyAlignment="1">
      <alignment horizontal="right" vertical="center" wrapText="1" indent="1"/>
    </xf>
    <xf numFmtId="4" fontId="0" fillId="12" borderId="303" xfId="0" applyNumberFormat="1" applyFill="1" applyBorder="1" applyAlignment="1">
      <alignment horizontal="right" vertical="center" wrapText="1" indent="1"/>
    </xf>
    <xf numFmtId="4" fontId="28" fillId="12" borderId="303" xfId="0" applyNumberFormat="1" applyFont="1" applyFill="1" applyBorder="1" applyAlignment="1">
      <alignment horizontal="right" vertical="center" wrapText="1" indent="1"/>
    </xf>
    <xf numFmtId="4" fontId="0" fillId="0" borderId="304" xfId="0" applyNumberFormat="1" applyBorder="1" applyAlignment="1">
      <alignment horizontal="right" vertical="center" wrapText="1" indent="1"/>
    </xf>
    <xf numFmtId="4" fontId="0" fillId="0" borderId="302" xfId="0" applyNumberFormat="1" applyBorder="1" applyAlignment="1">
      <alignment horizontal="right" vertical="center" wrapText="1" indent="1"/>
    </xf>
    <xf numFmtId="166" fontId="48" fillId="25" borderId="130" xfId="0" applyNumberFormat="1" applyFont="1" applyFill="1" applyBorder="1" applyAlignment="1">
      <alignment horizontal="right" vertical="center" wrapText="1" indent="1"/>
    </xf>
    <xf numFmtId="166" fontId="48" fillId="0" borderId="205" xfId="0" applyNumberFormat="1" applyFont="1" applyFill="1" applyBorder="1" applyAlignment="1">
      <alignment horizontal="right" vertical="center" wrapText="1" indent="1"/>
    </xf>
    <xf numFmtId="166" fontId="48" fillId="24" borderId="205" xfId="0" applyNumberFormat="1" applyFont="1" applyFill="1" applyBorder="1" applyAlignment="1">
      <alignment horizontal="right" vertical="center" wrapText="1" indent="1"/>
    </xf>
    <xf numFmtId="166" fontId="48" fillId="27" borderId="205" xfId="0" applyNumberFormat="1" applyFont="1" applyFill="1" applyBorder="1" applyAlignment="1">
      <alignment horizontal="right" vertical="center" wrapText="1" indent="1"/>
    </xf>
    <xf numFmtId="166" fontId="48" fillId="27" borderId="210" xfId="0" applyNumberFormat="1" applyFont="1" applyFill="1" applyBorder="1" applyAlignment="1">
      <alignment horizontal="right" vertical="center" wrapText="1" indent="1"/>
    </xf>
    <xf numFmtId="166" fontId="4" fillId="0" borderId="150" xfId="0" applyNumberFormat="1" applyFont="1" applyFill="1" applyBorder="1" applyAlignment="1">
      <alignment horizontal="right" vertical="center" wrapText="1" indent="1"/>
    </xf>
    <xf numFmtId="166" fontId="4" fillId="0" borderId="154" xfId="0" applyNumberFormat="1" applyFont="1" applyFill="1" applyBorder="1" applyAlignment="1">
      <alignment horizontal="right" vertical="center" wrapText="1" indent="1"/>
    </xf>
    <xf numFmtId="166" fontId="4" fillId="25" borderId="154" xfId="0" applyNumberFormat="1" applyFont="1" applyFill="1" applyBorder="1" applyAlignment="1">
      <alignment horizontal="right" vertical="center" wrapText="1" indent="1"/>
    </xf>
    <xf numFmtId="166" fontId="4" fillId="24" borderId="154" xfId="0" applyNumberFormat="1" applyFont="1" applyFill="1" applyBorder="1" applyAlignment="1">
      <alignment horizontal="right" vertical="center" wrapText="1" indent="1"/>
    </xf>
    <xf numFmtId="166" fontId="4" fillId="15" borderId="154" xfId="0" applyNumberFormat="1" applyFont="1" applyFill="1" applyBorder="1" applyAlignment="1">
      <alignment horizontal="right" vertical="center" wrapText="1" indent="1"/>
    </xf>
    <xf numFmtId="166" fontId="4" fillId="15" borderId="295" xfId="0" applyNumberFormat="1" applyFont="1" applyFill="1" applyBorder="1" applyAlignment="1">
      <alignment horizontal="right" vertical="center" wrapText="1" indent="1"/>
    </xf>
    <xf numFmtId="166" fontId="4" fillId="27" borderId="158" xfId="0" applyNumberFormat="1" applyFont="1" applyFill="1" applyBorder="1" applyAlignment="1">
      <alignment horizontal="right" vertical="center" wrapText="1" indent="1"/>
    </xf>
    <xf numFmtId="166" fontId="4" fillId="25" borderId="150" xfId="0" applyNumberFormat="1" applyFont="1" applyFill="1" applyBorder="1" applyAlignment="1">
      <alignment horizontal="right" vertical="center" wrapText="1" indent="1"/>
    </xf>
    <xf numFmtId="166" fontId="0" fillId="12" borderId="320" xfId="0" applyNumberFormat="1" applyFill="1" applyBorder="1" applyAlignment="1">
      <alignment horizontal="right" vertical="center" wrapText="1" indent="1"/>
    </xf>
    <xf numFmtId="166" fontId="0" fillId="12" borderId="205" xfId="0" applyNumberFormat="1" applyFill="1" applyBorder="1" applyAlignment="1">
      <alignment horizontal="right" vertical="center" wrapText="1" indent="1"/>
    </xf>
    <xf numFmtId="166" fontId="0" fillId="12" borderId="117" xfId="0" applyNumberFormat="1" applyFill="1" applyBorder="1" applyAlignment="1">
      <alignment horizontal="right" vertical="center" wrapText="1" indent="1"/>
    </xf>
    <xf numFmtId="166" fontId="56" fillId="25" borderId="302" xfId="0" applyNumberFormat="1" applyFont="1" applyFill="1" applyBorder="1" applyAlignment="1">
      <alignment horizontal="right" vertical="center" wrapText="1" indent="1"/>
    </xf>
    <xf numFmtId="166" fontId="0" fillId="25" borderId="302" xfId="0" applyNumberFormat="1" applyFill="1" applyBorder="1" applyAlignment="1">
      <alignment horizontal="right" vertical="center" wrapText="1" indent="1"/>
    </xf>
    <xf numFmtId="166" fontId="0" fillId="12" borderId="302" xfId="0" applyNumberFormat="1" applyFill="1" applyBorder="1" applyAlignment="1">
      <alignment horizontal="right" vertical="center" wrapText="1" indent="1"/>
    </xf>
    <xf numFmtId="166" fontId="0" fillId="12" borderId="303" xfId="0" applyNumberFormat="1" applyFill="1" applyBorder="1" applyAlignment="1">
      <alignment horizontal="right" vertical="center" wrapText="1" indent="1"/>
    </xf>
    <xf numFmtId="166" fontId="28" fillId="25" borderId="26" xfId="0" applyNumberFormat="1" applyFont="1" applyFill="1" applyBorder="1" applyAlignment="1">
      <alignment horizontal="right" vertical="center" wrapText="1" indent="1"/>
    </xf>
    <xf numFmtId="166" fontId="28" fillId="12" borderId="303" xfId="0" applyNumberFormat="1" applyFont="1" applyFill="1" applyBorder="1" applyAlignment="1">
      <alignment horizontal="right" vertical="center" wrapText="1" indent="1"/>
    </xf>
    <xf numFmtId="166" fontId="0" fillId="0" borderId="26" xfId="0" applyNumberFormat="1" applyBorder="1" applyAlignment="1">
      <alignment horizontal="right" vertical="center" wrapText="1" indent="1"/>
    </xf>
    <xf numFmtId="166" fontId="0" fillId="0" borderId="304" xfId="0" applyNumberFormat="1" applyBorder="1" applyAlignment="1">
      <alignment horizontal="right" vertical="center" wrapText="1" indent="1"/>
    </xf>
    <xf numFmtId="166" fontId="0" fillId="0" borderId="7" xfId="0" applyNumberFormat="1" applyBorder="1" applyAlignment="1">
      <alignment horizontal="right" vertical="center" wrapText="1" indent="1"/>
    </xf>
    <xf numFmtId="166" fontId="0" fillId="0" borderId="302" xfId="0" applyNumberFormat="1" applyBorder="1" applyAlignment="1">
      <alignment horizontal="right" vertical="center" wrapText="1" indent="1"/>
    </xf>
    <xf numFmtId="166" fontId="0" fillId="0" borderId="302" xfId="0" applyNumberFormat="1" applyFill="1" applyBorder="1" applyAlignment="1">
      <alignment horizontal="right" vertical="center" wrapText="1" indent="1"/>
    </xf>
    <xf numFmtId="166" fontId="4" fillId="25" borderId="145" xfId="0" applyNumberFormat="1" applyFont="1" applyFill="1" applyBorder="1" applyAlignment="1">
      <alignment horizontal="center" vertical="center" wrapText="1"/>
    </xf>
    <xf numFmtId="166" fontId="47" fillId="25" borderId="130" xfId="0" applyNumberFormat="1" applyFont="1" applyFill="1" applyBorder="1" applyAlignment="1">
      <alignment horizontal="right" vertical="center" wrapText="1" indent="1"/>
    </xf>
    <xf numFmtId="166" fontId="47" fillId="0" borderId="205" xfId="0" applyNumberFormat="1" applyFont="1" applyFill="1" applyBorder="1" applyAlignment="1">
      <alignment horizontal="right" vertical="center" wrapText="1" indent="1"/>
    </xf>
    <xf numFmtId="166" fontId="47" fillId="24" borderId="205" xfId="0" applyNumberFormat="1" applyFont="1" applyFill="1" applyBorder="1" applyAlignment="1">
      <alignment horizontal="right" vertical="center" wrapText="1" indent="1"/>
    </xf>
    <xf numFmtId="166" fontId="56" fillId="25" borderId="199" xfId="0" applyNumberFormat="1" applyFont="1" applyFill="1" applyBorder="1" applyAlignment="1">
      <alignment horizontal="right" vertical="center" wrapText="1" indent="1"/>
    </xf>
    <xf numFmtId="166" fontId="56" fillId="0" borderId="32" xfId="0" applyNumberFormat="1" applyFont="1" applyFill="1" applyBorder="1" applyAlignment="1">
      <alignment horizontal="right" vertical="center" wrapText="1" indent="1"/>
    </xf>
    <xf numFmtId="166" fontId="56" fillId="0" borderId="206" xfId="0" applyNumberFormat="1" applyFont="1" applyFill="1" applyBorder="1" applyAlignment="1">
      <alignment horizontal="right" vertical="center" wrapText="1" indent="1"/>
    </xf>
    <xf numFmtId="166" fontId="56" fillId="24" borderId="206" xfId="0" applyNumberFormat="1" applyFont="1" applyFill="1" applyBorder="1" applyAlignment="1">
      <alignment horizontal="right" vertical="center" wrapText="1" indent="1"/>
    </xf>
    <xf numFmtId="166" fontId="56" fillId="27" borderId="206" xfId="0" applyNumberFormat="1" applyFont="1" applyFill="1" applyBorder="1" applyAlignment="1">
      <alignment horizontal="right" vertical="center" wrapText="1" indent="1"/>
    </xf>
    <xf numFmtId="166" fontId="56" fillId="27" borderId="211" xfId="0" applyNumberFormat="1" applyFont="1" applyFill="1" applyBorder="1" applyAlignment="1">
      <alignment horizontal="right" vertical="center" wrapText="1" indent="1"/>
    </xf>
    <xf numFmtId="166" fontId="56" fillId="0" borderId="151" xfId="0" applyNumberFormat="1" applyFont="1" applyFill="1" applyBorder="1" applyAlignment="1">
      <alignment horizontal="right" vertical="center" wrapText="1" indent="1"/>
    </xf>
    <xf numFmtId="166" fontId="56" fillId="0" borderId="155" xfId="0" applyNumberFormat="1" applyFont="1" applyFill="1" applyBorder="1" applyAlignment="1">
      <alignment horizontal="right" vertical="center" wrapText="1" indent="1"/>
    </xf>
    <xf numFmtId="166" fontId="56" fillId="25" borderId="155" xfId="0" applyNumberFormat="1" applyFont="1" applyFill="1" applyBorder="1" applyAlignment="1">
      <alignment horizontal="right" vertical="center" wrapText="1" indent="1"/>
    </xf>
    <xf numFmtId="166" fontId="56" fillId="24" borderId="155" xfId="0" applyNumberFormat="1" applyFont="1" applyFill="1" applyBorder="1" applyAlignment="1">
      <alignment horizontal="right" vertical="center" wrapText="1" indent="1"/>
    </xf>
    <xf numFmtId="166" fontId="56" fillId="15" borderId="155" xfId="0" applyNumberFormat="1" applyFont="1" applyFill="1" applyBorder="1" applyAlignment="1">
      <alignment horizontal="right" vertical="center" wrapText="1" indent="1"/>
    </xf>
    <xf numFmtId="166" fontId="56" fillId="15" borderId="297" xfId="0" applyNumberFormat="1" applyFont="1" applyFill="1" applyBorder="1" applyAlignment="1">
      <alignment horizontal="right" vertical="center" wrapText="1" indent="1"/>
    </xf>
    <xf numFmtId="166" fontId="56" fillId="27" borderId="159" xfId="0" applyNumberFormat="1" applyFont="1" applyFill="1" applyBorder="1" applyAlignment="1">
      <alignment horizontal="right" vertical="center" wrapText="1" indent="2"/>
    </xf>
    <xf numFmtId="166" fontId="56" fillId="25" borderId="151" xfId="0" applyNumberFormat="1" applyFont="1" applyFill="1" applyBorder="1" applyAlignment="1">
      <alignment horizontal="right" vertical="center" wrapText="1" indent="1"/>
    </xf>
    <xf numFmtId="166" fontId="56" fillId="27" borderId="159" xfId="0" applyNumberFormat="1" applyFont="1" applyFill="1" applyBorder="1" applyAlignment="1">
      <alignment horizontal="right" vertical="center" wrapText="1" indent="1"/>
    </xf>
    <xf numFmtId="166" fontId="56" fillId="24" borderId="44" xfId="0" applyNumberFormat="1" applyFont="1" applyFill="1" applyBorder="1" applyAlignment="1">
      <alignment horizontal="right" vertical="center" wrapText="1" indent="1"/>
    </xf>
    <xf numFmtId="166" fontId="56" fillId="12" borderId="325" xfId="0" applyNumberFormat="1" applyFont="1" applyFill="1" applyBorder="1" applyAlignment="1">
      <alignment horizontal="right" vertical="center" wrapText="1" indent="1"/>
    </xf>
    <xf numFmtId="166" fontId="56" fillId="12" borderId="206" xfId="0" applyNumberFormat="1" applyFont="1" applyFill="1" applyBorder="1" applyAlignment="1">
      <alignment horizontal="right" vertical="center" wrapText="1" indent="1"/>
    </xf>
    <xf numFmtId="166" fontId="56" fillId="12" borderId="189" xfId="0" applyNumberFormat="1" applyFont="1" applyFill="1" applyBorder="1" applyAlignment="1">
      <alignment horizontal="right" vertical="center" wrapText="1" indent="1"/>
    </xf>
    <xf numFmtId="166" fontId="56" fillId="24" borderId="310" xfId="0" applyNumberFormat="1" applyFont="1" applyFill="1" applyBorder="1" applyAlignment="1">
      <alignment horizontal="right" vertical="center" wrapText="1" indent="1"/>
    </xf>
    <xf numFmtId="166" fontId="56" fillId="25" borderId="310" xfId="0" applyNumberFormat="1" applyFont="1" applyFill="1" applyBorder="1" applyAlignment="1">
      <alignment horizontal="right" vertical="center" wrapText="1" indent="1"/>
    </xf>
    <xf numFmtId="166" fontId="56" fillId="12" borderId="310" xfId="0" applyNumberFormat="1" applyFont="1" applyFill="1" applyBorder="1" applyAlignment="1">
      <alignment horizontal="right" vertical="center" wrapText="1" indent="1"/>
    </xf>
    <xf numFmtId="166" fontId="56" fillId="12" borderId="60" xfId="0" applyNumberFormat="1" applyFont="1" applyFill="1" applyBorder="1" applyAlignment="1">
      <alignment horizontal="right" vertical="center" wrapText="1" indent="1"/>
    </xf>
    <xf numFmtId="166" fontId="56" fillId="25" borderId="44" xfId="0" applyNumberFormat="1" applyFont="1" applyFill="1" applyBorder="1" applyAlignment="1">
      <alignment horizontal="right" vertical="center" wrapText="1" indent="1"/>
    </xf>
    <xf numFmtId="166" fontId="56" fillId="0" borderId="310" xfId="0" applyNumberFormat="1" applyFont="1" applyFill="1" applyBorder="1" applyAlignment="1">
      <alignment horizontal="right" vertical="center" wrapText="1" indent="1"/>
    </xf>
    <xf numFmtId="166" fontId="56" fillId="0" borderId="125" xfId="0" applyNumberFormat="1" applyFont="1" applyFill="1" applyBorder="1" applyAlignment="1">
      <alignment horizontal="right" vertical="center" wrapText="1" indent="1"/>
    </xf>
    <xf numFmtId="166" fontId="56" fillId="0" borderId="33" xfId="0" applyNumberFormat="1" applyFont="1" applyFill="1" applyBorder="1" applyAlignment="1">
      <alignment horizontal="right" vertical="center" wrapText="1" indent="1"/>
    </xf>
    <xf numFmtId="183" fontId="0" fillId="25" borderId="0" xfId="0" applyNumberFormat="1" applyFill="1" applyBorder="1" applyAlignment="1">
      <alignment horizontal="center"/>
    </xf>
    <xf numFmtId="10" fontId="0" fillId="25" borderId="199" xfId="0" applyNumberFormat="1" applyFill="1" applyBorder="1" applyAlignment="1">
      <alignment horizontal="right" vertical="center" wrapText="1" indent="1"/>
    </xf>
    <xf numFmtId="10" fontId="0" fillId="0" borderId="206" xfId="0" applyNumberFormat="1" applyFill="1" applyBorder="1" applyAlignment="1">
      <alignment horizontal="right" vertical="center" wrapText="1" indent="1"/>
    </xf>
    <xf numFmtId="10" fontId="0" fillId="24" borderId="206" xfId="0" applyNumberFormat="1" applyFill="1" applyBorder="1" applyAlignment="1">
      <alignment horizontal="right" vertical="center" wrapText="1" indent="1"/>
    </xf>
    <xf numFmtId="10" fontId="0" fillId="27" borderId="206" xfId="0" applyNumberFormat="1" applyFill="1" applyBorder="1" applyAlignment="1">
      <alignment horizontal="right" vertical="center" wrapText="1" indent="1"/>
    </xf>
    <xf numFmtId="10" fontId="0" fillId="27" borderId="211" xfId="0" applyNumberFormat="1" applyFill="1" applyBorder="1" applyAlignment="1">
      <alignment horizontal="right" vertical="center" wrapText="1" indent="1"/>
    </xf>
    <xf numFmtId="10" fontId="0" fillId="0" borderId="151" xfId="0" applyNumberFormat="1" applyFill="1" applyBorder="1" applyAlignment="1">
      <alignment horizontal="right" vertical="center" wrapText="1" indent="1"/>
    </xf>
    <xf numFmtId="10" fontId="0" fillId="25" borderId="155" xfId="0" applyNumberFormat="1" applyFill="1" applyBorder="1" applyAlignment="1">
      <alignment horizontal="right" vertical="center" wrapText="1" indent="1"/>
    </xf>
    <xf numFmtId="10" fontId="0" fillId="24" borderId="155" xfId="0" applyNumberFormat="1" applyFill="1" applyBorder="1" applyAlignment="1">
      <alignment horizontal="right" vertical="center" wrapText="1" indent="1"/>
    </xf>
    <xf numFmtId="10" fontId="0" fillId="15" borderId="155" xfId="0" applyNumberFormat="1" applyFill="1" applyBorder="1" applyAlignment="1">
      <alignment horizontal="right" vertical="center" wrapText="1" indent="1"/>
    </xf>
    <xf numFmtId="10" fontId="0" fillId="15" borderId="297" xfId="0" applyNumberFormat="1" applyFill="1" applyBorder="1" applyAlignment="1">
      <alignment horizontal="right" vertical="center" wrapText="1" indent="1"/>
    </xf>
    <xf numFmtId="10" fontId="0" fillId="27" borderId="159" xfId="0" applyNumberFormat="1" applyFill="1" applyBorder="1" applyAlignment="1">
      <alignment horizontal="right" vertical="center" wrapText="1" indent="1"/>
    </xf>
    <xf numFmtId="10" fontId="0" fillId="25" borderId="151" xfId="0" applyNumberFormat="1" applyFill="1" applyBorder="1" applyAlignment="1">
      <alignment horizontal="right" vertical="center" wrapText="1" indent="1"/>
    </xf>
    <xf numFmtId="183" fontId="9" fillId="25" borderId="161" xfId="0" applyNumberFormat="1" applyFont="1" applyFill="1" applyBorder="1" applyAlignment="1">
      <alignment horizontal="right" vertical="center" wrapText="1" indent="1"/>
    </xf>
    <xf numFmtId="183" fontId="9" fillId="24" borderId="165" xfId="0" applyNumberFormat="1" applyFont="1" applyFill="1" applyBorder="1" applyAlignment="1">
      <alignment horizontal="right" vertical="center" wrapText="1" indent="1"/>
    </xf>
    <xf numFmtId="183" fontId="9" fillId="27" borderId="169" xfId="0" applyNumberFormat="1" applyFont="1" applyFill="1" applyBorder="1" applyAlignment="1">
      <alignment horizontal="right" vertical="center" wrapText="1" indent="1"/>
    </xf>
    <xf numFmtId="0" fontId="0" fillId="0" borderId="19"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0" xfId="0" applyFont="1" applyFill="1" applyBorder="1" applyAlignment="1">
      <alignment vertical="center" wrapText="1"/>
    </xf>
    <xf numFmtId="211" fontId="0" fillId="0" borderId="150" xfId="0" applyNumberFormat="1" applyFill="1" applyBorder="1" applyAlignment="1">
      <alignment horizontal="left" vertical="center" wrapText="1" indent="1"/>
    </xf>
    <xf numFmtId="211" fontId="0" fillId="0" borderId="154" xfId="0" applyNumberFormat="1" applyFill="1" applyBorder="1" applyAlignment="1">
      <alignment horizontal="left" vertical="center" wrapText="1" indent="1"/>
    </xf>
    <xf numFmtId="211" fontId="0" fillId="25" borderId="154" xfId="0" applyNumberFormat="1" applyFill="1" applyBorder="1" applyAlignment="1">
      <alignment horizontal="left" vertical="center" wrapText="1" indent="1"/>
    </xf>
    <xf numFmtId="211" fontId="0" fillId="24" borderId="154" xfId="0" applyNumberFormat="1" applyFill="1" applyBorder="1" applyAlignment="1">
      <alignment horizontal="left" vertical="center" wrapText="1" indent="1"/>
    </xf>
    <xf numFmtId="211" fontId="0" fillId="15" borderId="154" xfId="0" applyNumberFormat="1" applyFill="1" applyBorder="1" applyAlignment="1">
      <alignment horizontal="left" vertical="center" wrapText="1" indent="1"/>
    </xf>
    <xf numFmtId="0" fontId="0" fillId="0" borderId="331" xfId="0" applyBorder="1"/>
    <xf numFmtId="0" fontId="0" fillId="0" borderId="243" xfId="0" applyBorder="1" applyAlignment="1">
      <alignment horizontal="center" vertical="center"/>
    </xf>
    <xf numFmtId="0" fontId="0" fillId="0" borderId="244" xfId="0" applyBorder="1" applyAlignment="1">
      <alignment horizontal="center" vertical="center"/>
    </xf>
    <xf numFmtId="0" fontId="0" fillId="0" borderId="275" xfId="0" applyBorder="1"/>
    <xf numFmtId="0" fontId="0" fillId="0" borderId="275" xfId="0" applyBorder="1" applyAlignment="1">
      <alignment horizontal="center" vertical="center"/>
    </xf>
    <xf numFmtId="0" fontId="0" fillId="0" borderId="275" xfId="0" applyBorder="1" applyAlignment="1">
      <alignment horizontal="left" indent="1"/>
    </xf>
    <xf numFmtId="183" fontId="0" fillId="0" borderId="275" xfId="0" applyNumberFormat="1" applyBorder="1"/>
    <xf numFmtId="0" fontId="0" fillId="0" borderId="250" xfId="0" applyBorder="1"/>
    <xf numFmtId="0" fontId="0" fillId="0" borderId="245" xfId="0" applyBorder="1" applyAlignment="1">
      <alignment horizontal="center" vertical="center"/>
    </xf>
    <xf numFmtId="0" fontId="0" fillId="0" borderId="244" xfId="0" applyBorder="1"/>
    <xf numFmtId="0" fontId="0" fillId="0" borderId="332" xfId="0" applyBorder="1"/>
    <xf numFmtId="0" fontId="0" fillId="0" borderId="332" xfId="0" applyBorder="1" applyAlignment="1">
      <alignment horizontal="center"/>
    </xf>
    <xf numFmtId="0" fontId="0" fillId="0" borderId="332" xfId="0" applyBorder="1" applyAlignment="1">
      <alignment horizontal="center" vertical="center"/>
    </xf>
    <xf numFmtId="183" fontId="0" fillId="0" borderId="332" xfId="0" applyNumberFormat="1" applyBorder="1"/>
    <xf numFmtId="0" fontId="0" fillId="0" borderId="333" xfId="0" applyBorder="1" applyAlignment="1">
      <alignment horizontal="center" vertical="center"/>
    </xf>
    <xf numFmtId="0" fontId="0" fillId="0" borderId="333" xfId="0" applyBorder="1" applyAlignment="1">
      <alignment horizontal="left" indent="1"/>
    </xf>
    <xf numFmtId="0" fontId="0" fillId="0" borderId="333" xfId="0" applyFill="1" applyBorder="1"/>
    <xf numFmtId="0" fontId="0" fillId="0" borderId="19" xfId="0" applyFill="1" applyBorder="1"/>
    <xf numFmtId="3" fontId="0" fillId="0" borderId="0" xfId="0" applyNumberFormat="1" applyBorder="1" applyAlignment="1">
      <alignment horizontal="right" indent="1"/>
    </xf>
    <xf numFmtId="3" fontId="0" fillId="0" borderId="19" xfId="0" applyNumberFormat="1" applyBorder="1" applyAlignment="1">
      <alignment horizontal="right" indent="1"/>
    </xf>
    <xf numFmtId="0" fontId="0" fillId="0" borderId="333" xfId="0" applyBorder="1" applyAlignment="1">
      <alignment horizontal="right" indent="1"/>
    </xf>
    <xf numFmtId="2" fontId="0" fillId="0" borderId="0" xfId="0" applyNumberFormat="1" applyAlignment="1">
      <alignment horizontal="right" indent="1"/>
    </xf>
    <xf numFmtId="1" fontId="0" fillId="0" borderId="333" xfId="0" applyNumberFormat="1" applyBorder="1" applyAlignment="1">
      <alignment horizontal="right" vertical="center" wrapText="1" indent="1"/>
    </xf>
    <xf numFmtId="1" fontId="0" fillId="0" borderId="0" xfId="0" applyNumberFormat="1" applyBorder="1" applyAlignment="1">
      <alignment horizontal="right" vertical="center" wrapText="1" indent="1"/>
    </xf>
    <xf numFmtId="173" fontId="0" fillId="0" borderId="333" xfId="0" applyNumberFormat="1" applyBorder="1" applyAlignment="1">
      <alignment horizontal="right" vertical="center" wrapText="1" indent="1"/>
    </xf>
    <xf numFmtId="173" fontId="0" fillId="0" borderId="0" xfId="0" applyNumberFormat="1" applyBorder="1" applyAlignment="1">
      <alignment horizontal="right" vertical="center" wrapText="1" indent="1"/>
    </xf>
    <xf numFmtId="166" fontId="0" fillId="0" borderId="333" xfId="0" applyNumberFormat="1" applyBorder="1" applyAlignment="1">
      <alignment horizontal="right" vertical="center" wrapText="1" indent="1"/>
    </xf>
    <xf numFmtId="166" fontId="0" fillId="0" borderId="0" xfId="0" applyNumberFormat="1" applyBorder="1" applyAlignment="1">
      <alignment horizontal="right" vertical="center" wrapText="1" indent="1"/>
    </xf>
    <xf numFmtId="2" fontId="0" fillId="0" borderId="333" xfId="0" applyNumberFormat="1" applyBorder="1" applyAlignment="1">
      <alignment horizontal="right" vertical="center" wrapText="1" indent="1"/>
    </xf>
    <xf numFmtId="2" fontId="0" fillId="0" borderId="0" xfId="0" applyNumberFormat="1" applyBorder="1" applyAlignment="1">
      <alignment horizontal="right" vertical="center" wrapText="1" indent="1"/>
    </xf>
    <xf numFmtId="4" fontId="0" fillId="0" borderId="19" xfId="0" applyNumberFormat="1" applyFill="1" applyBorder="1" applyAlignment="1">
      <alignment horizontal="right" indent="1"/>
    </xf>
    <xf numFmtId="0" fontId="13" fillId="0" borderId="336" xfId="0" applyFont="1" applyFill="1" applyBorder="1" applyAlignment="1">
      <alignment horizontal="center"/>
    </xf>
    <xf numFmtId="0" fontId="13" fillId="0" borderId="337" xfId="0" applyFont="1" applyFill="1" applyBorder="1" applyAlignment="1">
      <alignment horizontal="center"/>
    </xf>
    <xf numFmtId="183" fontId="1" fillId="25" borderId="203" xfId="0" applyNumberFormat="1" applyFont="1" applyFill="1" applyBorder="1" applyAlignment="1">
      <alignment horizontal="right" vertical="center" wrapText="1" indent="2"/>
    </xf>
    <xf numFmtId="183" fontId="1" fillId="0" borderId="209" xfId="0" applyNumberFormat="1" applyFont="1" applyFill="1" applyBorder="1" applyAlignment="1">
      <alignment horizontal="right" vertical="center" wrapText="1" indent="2"/>
    </xf>
    <xf numFmtId="183" fontId="1" fillId="24" borderId="209" xfId="0" applyNumberFormat="1" applyFont="1" applyFill="1" applyBorder="1" applyAlignment="1">
      <alignment horizontal="right" vertical="center" wrapText="1" indent="2"/>
    </xf>
    <xf numFmtId="183" fontId="1" fillId="27" borderId="209" xfId="0" applyNumberFormat="1" applyFont="1" applyFill="1" applyBorder="1" applyAlignment="1">
      <alignment horizontal="right" vertical="center" wrapText="1" indent="2"/>
    </xf>
    <xf numFmtId="166" fontId="13" fillId="15" borderId="301" xfId="0" applyNumberFormat="1" applyFont="1" applyFill="1" applyBorder="1" applyAlignment="1">
      <alignment horizontal="right" vertical="center" wrapText="1" indent="2"/>
    </xf>
    <xf numFmtId="0" fontId="1" fillId="38" borderId="8" xfId="0" applyFont="1" applyFill="1" applyBorder="1" applyAlignment="1">
      <alignment horizontal="center" vertical="center" wrapText="1"/>
    </xf>
    <xf numFmtId="0" fontId="1" fillId="39" borderId="42" xfId="0" applyFont="1" applyFill="1" applyBorder="1" applyAlignment="1">
      <alignment horizontal="center" vertical="center" wrapText="1"/>
    </xf>
    <xf numFmtId="0" fontId="1" fillId="39" borderId="8" xfId="0" applyFont="1" applyFill="1" applyBorder="1" applyAlignment="1">
      <alignment horizontal="center" vertical="center" wrapText="1"/>
    </xf>
    <xf numFmtId="0" fontId="1" fillId="39" borderId="80" xfId="0" applyFont="1" applyFill="1" applyBorder="1" applyAlignment="1">
      <alignment horizontal="center" vertical="center" wrapText="1"/>
    </xf>
    <xf numFmtId="171" fontId="0" fillId="40" borderId="39" xfId="0" applyNumberFormat="1" applyFont="1" applyFill="1" applyBorder="1" applyAlignment="1">
      <alignment horizontal="left" vertical="center" wrapText="1" indent="1"/>
    </xf>
    <xf numFmtId="171" fontId="0" fillId="40" borderId="17" xfId="0" applyNumberFormat="1" applyFont="1" applyFill="1" applyBorder="1" applyAlignment="1">
      <alignment horizontal="right" vertical="center" wrapText="1" indent="1"/>
    </xf>
    <xf numFmtId="171" fontId="0" fillId="40" borderId="18" xfId="0" applyNumberFormat="1" applyFont="1" applyFill="1" applyBorder="1" applyAlignment="1">
      <alignment horizontal="right" vertical="center" wrapText="1" indent="1"/>
    </xf>
    <xf numFmtId="166" fontId="0" fillId="40" borderId="18" xfId="0" applyNumberFormat="1" applyFont="1" applyFill="1" applyBorder="1" applyAlignment="1">
      <alignment horizontal="right" vertical="center" wrapText="1" indent="1"/>
    </xf>
    <xf numFmtId="171" fontId="0" fillId="40" borderId="32" xfId="0" applyNumberFormat="1" applyFont="1" applyFill="1" applyBorder="1" applyAlignment="1">
      <alignment horizontal="right" vertical="center" wrapText="1" indent="1"/>
    </xf>
    <xf numFmtId="3" fontId="0" fillId="40" borderId="8" xfId="0" applyNumberFormat="1" applyFont="1" applyFill="1" applyBorder="1" applyAlignment="1">
      <alignment horizontal="right" vertical="center" wrapText="1" indent="1"/>
    </xf>
    <xf numFmtId="166" fontId="0" fillId="40" borderId="8" xfId="0" applyNumberFormat="1" applyFont="1" applyFill="1" applyBorder="1" applyAlignment="1">
      <alignment horizontal="right" vertical="center" wrapText="1" indent="1"/>
    </xf>
    <xf numFmtId="183" fontId="0" fillId="40" borderId="52" xfId="0" applyNumberFormat="1" applyFont="1" applyFill="1" applyBorder="1" applyAlignment="1">
      <alignment vertical="center" wrapText="1"/>
    </xf>
    <xf numFmtId="183" fontId="0" fillId="40" borderId="23" xfId="0" applyNumberFormat="1" applyFont="1" applyFill="1" applyBorder="1" applyAlignment="1">
      <alignment horizontal="right" vertical="center" wrapText="1" indent="1"/>
    </xf>
    <xf numFmtId="183" fontId="0" fillId="40" borderId="114" xfId="0" applyNumberFormat="1" applyFont="1" applyFill="1" applyBorder="1" applyAlignment="1">
      <alignment horizontal="right" vertical="center" wrapText="1" indent="1"/>
    </xf>
    <xf numFmtId="166" fontId="0" fillId="40" borderId="114" xfId="0" applyNumberFormat="1" applyFont="1" applyFill="1" applyBorder="1" applyAlignment="1">
      <alignment horizontal="right" vertical="center" wrapText="1" indent="1"/>
    </xf>
    <xf numFmtId="2" fontId="0" fillId="40" borderId="34" xfId="0" applyNumberFormat="1" applyFont="1" applyFill="1" applyBorder="1" applyAlignment="1">
      <alignment horizontal="right" vertical="center" wrapText="1" indent="1"/>
    </xf>
    <xf numFmtId="183" fontId="0" fillId="40" borderId="127" xfId="0" applyNumberFormat="1" applyFont="1" applyFill="1" applyBorder="1" applyAlignment="1">
      <alignment vertical="center" wrapText="1"/>
    </xf>
    <xf numFmtId="183" fontId="0" fillId="40" borderId="181" xfId="0" applyNumberFormat="1" applyFont="1" applyFill="1" applyBorder="1" applyAlignment="1">
      <alignment horizontal="right" vertical="center" wrapText="1" indent="1"/>
    </xf>
    <xf numFmtId="183" fontId="0" fillId="40" borderId="182" xfId="0" applyNumberFormat="1" applyFont="1" applyFill="1" applyBorder="1" applyAlignment="1">
      <alignment horizontal="right" vertical="center" wrapText="1" indent="1"/>
    </xf>
    <xf numFmtId="166" fontId="0" fillId="40" borderId="182" xfId="0" applyNumberFormat="1" applyFont="1" applyFill="1" applyBorder="1" applyAlignment="1">
      <alignment horizontal="right" vertical="center" wrapText="1" indent="1"/>
    </xf>
    <xf numFmtId="2" fontId="0" fillId="40" borderId="183" xfId="0" applyNumberFormat="1" applyFont="1" applyFill="1" applyBorder="1" applyAlignment="1">
      <alignment horizontal="right" vertical="center" wrapText="1" indent="1"/>
    </xf>
    <xf numFmtId="183" fontId="0" fillId="40" borderId="187" xfId="0" applyNumberFormat="1" applyFont="1" applyFill="1" applyBorder="1" applyAlignment="1">
      <alignment vertical="center" wrapText="1"/>
    </xf>
    <xf numFmtId="183" fontId="0" fillId="40" borderId="117" xfId="0" applyNumberFormat="1" applyFont="1" applyFill="1" applyBorder="1" applyAlignment="1">
      <alignment horizontal="right" vertical="center" wrapText="1" indent="1"/>
    </xf>
    <xf numFmtId="183" fontId="0" fillId="40" borderId="188" xfId="0" applyNumberFormat="1" applyFont="1" applyFill="1" applyBorder="1" applyAlignment="1">
      <alignment horizontal="right" vertical="center" wrapText="1" indent="1"/>
    </xf>
    <xf numFmtId="166" fontId="0" fillId="40" borderId="188" xfId="0" applyNumberFormat="1" applyFont="1" applyFill="1" applyBorder="1" applyAlignment="1">
      <alignment horizontal="right" vertical="center" wrapText="1" indent="1"/>
    </xf>
    <xf numFmtId="2" fontId="0" fillId="40" borderId="189" xfId="0" applyNumberFormat="1" applyFont="1" applyFill="1" applyBorder="1" applyAlignment="1">
      <alignment horizontal="right" vertical="center" wrapText="1" indent="1"/>
    </xf>
    <xf numFmtId="183" fontId="4" fillId="40" borderId="52" xfId="0" applyNumberFormat="1" applyFont="1" applyFill="1" applyBorder="1" applyAlignment="1">
      <alignment horizontal="left" vertical="center" wrapText="1" indent="1"/>
    </xf>
    <xf numFmtId="183" fontId="4" fillId="40" borderId="38" xfId="0" applyNumberFormat="1" applyFont="1" applyFill="1" applyBorder="1" applyAlignment="1">
      <alignment horizontal="left" vertical="center" wrapText="1" indent="1"/>
    </xf>
    <xf numFmtId="183" fontId="4" fillId="40" borderId="51" xfId="0" applyNumberFormat="1" applyFont="1" applyFill="1" applyBorder="1" applyAlignment="1">
      <alignment horizontal="left" vertical="center" wrapText="1" indent="1"/>
    </xf>
    <xf numFmtId="181" fontId="0" fillId="40" borderId="26" xfId="0" applyNumberFormat="1" applyFont="1" applyFill="1" applyBorder="1" applyAlignment="1">
      <alignment horizontal="right" vertical="center" wrapText="1" indent="1"/>
    </xf>
    <xf numFmtId="181" fontId="0" fillId="40" borderId="49" xfId="0" applyNumberFormat="1" applyFont="1" applyFill="1" applyBorder="1" applyAlignment="1">
      <alignment horizontal="right" vertical="center" wrapText="1" indent="1"/>
    </xf>
    <xf numFmtId="166" fontId="0" fillId="40" borderId="49" xfId="0" applyNumberFormat="1" applyFont="1" applyFill="1" applyBorder="1" applyAlignment="1">
      <alignment horizontal="right" vertical="center" wrapText="1" indent="1"/>
    </xf>
    <xf numFmtId="2" fontId="48" fillId="40" borderId="33" xfId="0" applyNumberFormat="1" applyFont="1" applyFill="1" applyBorder="1" applyAlignment="1">
      <alignment horizontal="right" vertical="center" wrapText="1" indent="1"/>
    </xf>
    <xf numFmtId="183" fontId="4" fillId="40" borderId="53" xfId="0" applyNumberFormat="1" applyFont="1" applyFill="1" applyBorder="1" applyAlignment="1">
      <alignment horizontal="left" vertical="center" wrapText="1" indent="1"/>
    </xf>
    <xf numFmtId="181" fontId="0" fillId="40" borderId="27" xfId="0" applyNumberFormat="1" applyFont="1" applyFill="1" applyBorder="1" applyAlignment="1">
      <alignment horizontal="right" vertical="center" wrapText="1" indent="1"/>
    </xf>
    <xf numFmtId="181" fontId="0" fillId="40" borderId="29" xfId="0" applyNumberFormat="1" applyFont="1" applyFill="1" applyBorder="1" applyAlignment="1">
      <alignment horizontal="right" vertical="center" wrapText="1" indent="1"/>
    </xf>
    <xf numFmtId="166" fontId="0" fillId="40" borderId="29" xfId="0" applyNumberFormat="1" applyFont="1" applyFill="1" applyBorder="1" applyAlignment="1">
      <alignment horizontal="right" vertical="center" wrapText="1" indent="1"/>
    </xf>
    <xf numFmtId="2" fontId="48" fillId="40" borderId="60" xfId="0" applyNumberFormat="1" applyFont="1" applyFill="1" applyBorder="1" applyAlignment="1">
      <alignment horizontal="right" vertical="center" wrapText="1" indent="1"/>
    </xf>
    <xf numFmtId="0" fontId="0" fillId="0" borderId="0" xfId="0" applyProtection="1">
      <protection locked="0"/>
    </xf>
    <xf numFmtId="0" fontId="0" fillId="0" borderId="0" xfId="0" applyProtection="1"/>
    <xf numFmtId="0" fontId="0" fillId="0" borderId="310" xfId="0" applyFill="1" applyBorder="1" applyAlignment="1" applyProtection="1">
      <alignment horizontal="center" vertical="center" wrapText="1"/>
    </xf>
    <xf numFmtId="0" fontId="1" fillId="0" borderId="310" xfId="0" applyFont="1" applyFill="1" applyBorder="1" applyAlignment="1" applyProtection="1">
      <alignment horizontal="center" vertical="center" wrapText="1"/>
    </xf>
    <xf numFmtId="0" fontId="5" fillId="0" borderId="47" xfId="0" applyFont="1" applyFill="1" applyBorder="1" applyAlignment="1" applyProtection="1">
      <alignment horizontal="center" vertical="center" wrapText="1"/>
    </xf>
    <xf numFmtId="0" fontId="0" fillId="0" borderId="17" xfId="0" applyFill="1" applyBorder="1" applyAlignment="1" applyProtection="1">
      <alignment horizontal="center" vertical="center" wrapText="1"/>
    </xf>
    <xf numFmtId="0" fontId="0" fillId="0" borderId="17" xfId="0" applyFill="1" applyBorder="1" applyAlignment="1" applyProtection="1">
      <alignment horizontal="left" vertical="center" wrapText="1" indent="1"/>
    </xf>
    <xf numFmtId="0" fontId="1" fillId="0" borderId="17" xfId="0" applyFont="1" applyFill="1" applyBorder="1" applyAlignment="1" applyProtection="1">
      <alignment horizontal="left" vertical="center" wrapText="1" indent="1"/>
    </xf>
    <xf numFmtId="0" fontId="0" fillId="0" borderId="18" xfId="0" applyFill="1" applyBorder="1" applyAlignment="1" applyProtection="1">
      <alignment horizontal="center" vertical="center" wrapText="1"/>
    </xf>
    <xf numFmtId="187" fontId="0" fillId="0" borderId="39" xfId="0" applyNumberFormat="1" applyFill="1" applyBorder="1" applyAlignment="1" applyProtection="1">
      <alignment vertical="center" wrapText="1"/>
    </xf>
    <xf numFmtId="187" fontId="0" fillId="0" borderId="17" xfId="0" applyNumberFormat="1" applyFill="1" applyBorder="1" applyAlignment="1" applyProtection="1">
      <alignment horizontal="left" vertical="center" wrapText="1" indent="1"/>
    </xf>
    <xf numFmtId="187" fontId="0" fillId="0" borderId="32" xfId="0" applyNumberFormat="1" applyFill="1" applyBorder="1" applyAlignment="1" applyProtection="1">
      <alignment horizontal="left" vertical="center" wrapText="1" indent="1"/>
    </xf>
    <xf numFmtId="166" fontId="0" fillId="0" borderId="39" xfId="0" applyNumberFormat="1" applyFill="1" applyBorder="1" applyAlignment="1" applyProtection="1">
      <alignment horizontal="center" vertical="center" wrapText="1"/>
    </xf>
    <xf numFmtId="166" fontId="1" fillId="0" borderId="153" xfId="0" applyNumberFormat="1"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left" vertical="center" wrapText="1" indent="1"/>
    </xf>
    <xf numFmtId="166" fontId="0" fillId="0" borderId="39" xfId="0" applyNumberFormat="1" applyFont="1" applyFill="1" applyBorder="1" applyAlignment="1" applyProtection="1">
      <alignment horizontal="center" vertical="center" wrapText="1"/>
    </xf>
    <xf numFmtId="211" fontId="0" fillId="0" borderId="17" xfId="0" applyNumberFormat="1" applyFont="1" applyFill="1" applyBorder="1" applyAlignment="1" applyProtection="1">
      <alignment horizontal="center" vertical="center" wrapText="1"/>
    </xf>
    <xf numFmtId="9" fontId="0" fillId="0" borderId="32" xfId="0" applyNumberFormat="1" applyFont="1" applyFill="1" applyBorder="1" applyAlignment="1" applyProtection="1">
      <alignment horizontal="center" vertical="center" wrapText="1"/>
    </xf>
    <xf numFmtId="0" fontId="1" fillId="0" borderId="26" xfId="0" applyFont="1" applyFill="1" applyBorder="1" applyAlignment="1" applyProtection="1">
      <alignment horizontal="left" vertical="center" wrapText="1" indent="1"/>
    </xf>
    <xf numFmtId="0" fontId="1" fillId="0" borderId="23" xfId="0" applyFont="1" applyFill="1" applyBorder="1" applyAlignment="1" applyProtection="1">
      <alignment horizontal="left" vertical="center" wrapText="1" indent="1"/>
    </xf>
    <xf numFmtId="1" fontId="1" fillId="0" borderId="302" xfId="0" applyNumberFormat="1" applyFont="1" applyFill="1" applyBorder="1" applyAlignment="1" applyProtection="1">
      <alignment horizontal="center" vertical="center" wrapText="1"/>
    </xf>
    <xf numFmtId="166" fontId="1" fillId="0" borderId="304" xfId="0" applyNumberFormat="1" applyFont="1" applyFill="1" applyBorder="1" applyAlignment="1" applyProtection="1">
      <alignment horizontal="left" vertical="center" wrapText="1" indent="1"/>
    </xf>
    <xf numFmtId="166" fontId="1" fillId="0" borderId="309" xfId="0" applyNumberFormat="1" applyFont="1" applyFill="1" applyBorder="1" applyAlignment="1" applyProtection="1">
      <alignment horizontal="center" vertical="center" wrapText="1"/>
    </xf>
    <xf numFmtId="211" fontId="1" fillId="0" borderId="302" xfId="0" applyNumberFormat="1" applyFont="1" applyFill="1" applyBorder="1" applyAlignment="1" applyProtection="1">
      <alignment horizontal="center" vertical="center" wrapText="1"/>
    </xf>
    <xf numFmtId="9" fontId="1" fillId="0" borderId="310" xfId="0" applyNumberFormat="1" applyFont="1" applyFill="1" applyBorder="1" applyAlignment="1" applyProtection="1">
      <alignment horizontal="center" vertical="center" wrapText="1"/>
    </xf>
    <xf numFmtId="0" fontId="0" fillId="0" borderId="0" xfId="0" applyFill="1" applyProtection="1"/>
    <xf numFmtId="1" fontId="1" fillId="37" borderId="302" xfId="0" applyNumberFormat="1" applyFont="1" applyFill="1" applyBorder="1" applyAlignment="1" applyProtection="1">
      <alignment horizontal="center" vertical="center" wrapText="1"/>
    </xf>
    <xf numFmtId="166" fontId="1" fillId="37" borderId="309" xfId="0" applyNumberFormat="1" applyFont="1" applyFill="1" applyBorder="1" applyAlignment="1" applyProtection="1">
      <alignment horizontal="center" vertical="center" wrapText="1"/>
    </xf>
    <xf numFmtId="9" fontId="1" fillId="37" borderId="310" xfId="0" applyNumberFormat="1" applyFont="1" applyFill="1" applyBorder="1" applyAlignment="1" applyProtection="1">
      <alignment horizontal="center" vertical="center" wrapText="1"/>
    </xf>
    <xf numFmtId="211" fontId="1" fillId="37" borderId="302" xfId="0" applyNumberFormat="1" applyFont="1" applyFill="1" applyBorder="1" applyAlignment="1" applyProtection="1">
      <alignment horizontal="right" vertical="center" wrapText="1" indent="1"/>
    </xf>
    <xf numFmtId="0" fontId="1" fillId="0" borderId="27" xfId="0" applyFont="1" applyFill="1" applyBorder="1" applyAlignment="1" applyProtection="1">
      <alignment horizontal="left" vertical="center" wrapText="1" indent="1"/>
    </xf>
    <xf numFmtId="1" fontId="1" fillId="37" borderId="303" xfId="0" applyNumberFormat="1" applyFont="1" applyFill="1" applyBorder="1" applyAlignment="1" applyProtection="1">
      <alignment horizontal="center" vertical="center" wrapText="1"/>
    </xf>
    <xf numFmtId="166" fontId="1" fillId="37" borderId="285" xfId="0" applyNumberFormat="1" applyFont="1" applyFill="1" applyBorder="1" applyAlignment="1" applyProtection="1">
      <alignment horizontal="center" vertical="center" wrapText="1"/>
    </xf>
    <xf numFmtId="211" fontId="1" fillId="37" borderId="303" xfId="0" applyNumberFormat="1" applyFont="1" applyFill="1" applyBorder="1" applyAlignment="1" applyProtection="1">
      <alignment horizontal="right" vertical="center" wrapText="1" indent="1"/>
    </xf>
    <xf numFmtId="9" fontId="1" fillId="37" borderId="60" xfId="0" applyNumberFormat="1" applyFont="1" applyFill="1" applyBorder="1" applyAlignment="1" applyProtection="1">
      <alignment horizontal="center" vertical="center" wrapText="1"/>
    </xf>
    <xf numFmtId="1" fontId="1" fillId="0" borderId="26" xfId="0" applyNumberFormat="1" applyFont="1" applyFill="1" applyBorder="1" applyAlignment="1" applyProtection="1">
      <alignment horizontal="center" vertical="center" wrapText="1"/>
    </xf>
    <xf numFmtId="166" fontId="1" fillId="0" borderId="49" xfId="0" applyNumberFormat="1" applyFont="1" applyFill="1" applyBorder="1" applyAlignment="1" applyProtection="1">
      <alignment horizontal="left" vertical="center" wrapText="1" indent="1"/>
    </xf>
    <xf numFmtId="166" fontId="1" fillId="0" borderId="51" xfId="0" applyNumberFormat="1" applyFont="1" applyFill="1" applyBorder="1" applyAlignment="1" applyProtection="1">
      <alignment horizontal="center" vertical="center" wrapText="1"/>
    </xf>
    <xf numFmtId="211" fontId="1" fillId="0" borderId="26" xfId="0" applyNumberFormat="1" applyFont="1" applyFill="1" applyBorder="1" applyAlignment="1" applyProtection="1">
      <alignment horizontal="right" vertical="center" wrapText="1" indent="1"/>
    </xf>
    <xf numFmtId="9" fontId="1" fillId="0" borderId="33" xfId="0" applyNumberFormat="1" applyFont="1" applyFill="1" applyBorder="1" applyAlignment="1" applyProtection="1">
      <alignment horizontal="center" vertical="center" wrapText="1"/>
    </xf>
    <xf numFmtId="211" fontId="1" fillId="0" borderId="302" xfId="0" applyNumberFormat="1" applyFont="1" applyFill="1" applyBorder="1" applyAlignment="1" applyProtection="1">
      <alignment horizontal="right" vertical="center" wrapText="1" indent="1"/>
    </xf>
    <xf numFmtId="1" fontId="1" fillId="15" borderId="302" xfId="0" applyNumberFormat="1" applyFont="1" applyFill="1" applyBorder="1" applyAlignment="1" applyProtection="1">
      <alignment horizontal="center" vertical="center" wrapText="1"/>
    </xf>
    <xf numFmtId="166" fontId="1" fillId="15" borderId="304" xfId="0" applyNumberFormat="1" applyFont="1" applyFill="1" applyBorder="1" applyAlignment="1" applyProtection="1">
      <alignment horizontal="left" vertical="center" wrapText="1" indent="1"/>
    </xf>
    <xf numFmtId="166" fontId="1" fillId="15" borderId="309" xfId="0" applyNumberFormat="1" applyFont="1" applyFill="1" applyBorder="1" applyAlignment="1" applyProtection="1">
      <alignment horizontal="center" vertical="center" wrapText="1"/>
    </xf>
    <xf numFmtId="211" fontId="1" fillId="15" borderId="302" xfId="0" applyNumberFormat="1" applyFont="1" applyFill="1" applyBorder="1" applyAlignment="1" applyProtection="1">
      <alignment horizontal="right" vertical="center" wrapText="1" indent="1"/>
    </xf>
    <xf numFmtId="9" fontId="1" fillId="15" borderId="310" xfId="0" applyNumberFormat="1" applyFont="1" applyFill="1" applyBorder="1" applyAlignment="1" applyProtection="1">
      <alignment horizontal="center" vertical="center" wrapText="1"/>
    </xf>
    <xf numFmtId="166" fontId="1" fillId="37" borderId="305" xfId="0" applyNumberFormat="1" applyFont="1" applyFill="1" applyBorder="1" applyAlignment="1" applyProtection="1">
      <alignment horizontal="left" vertical="center" wrapText="1" indent="1"/>
    </xf>
    <xf numFmtId="1" fontId="1" fillId="27" borderId="303" xfId="0" applyNumberFormat="1" applyFont="1" applyFill="1" applyBorder="1" applyAlignment="1" applyProtection="1">
      <alignment horizontal="center" vertical="center" wrapText="1"/>
    </xf>
    <xf numFmtId="166" fontId="1" fillId="27" borderId="305" xfId="0" applyNumberFormat="1" applyFont="1" applyFill="1" applyBorder="1" applyAlignment="1" applyProtection="1">
      <alignment horizontal="left" vertical="center" wrapText="1" indent="1"/>
    </xf>
    <xf numFmtId="166" fontId="1" fillId="27" borderId="285" xfId="0" applyNumberFormat="1" applyFont="1" applyFill="1" applyBorder="1" applyAlignment="1" applyProtection="1">
      <alignment horizontal="center" vertical="center" wrapText="1"/>
    </xf>
    <xf numFmtId="211" fontId="1" fillId="27" borderId="303" xfId="0" applyNumberFormat="1" applyFont="1" applyFill="1" applyBorder="1" applyAlignment="1" applyProtection="1">
      <alignment horizontal="right" vertical="center" wrapText="1" indent="1"/>
    </xf>
    <xf numFmtId="9" fontId="1" fillId="27" borderId="60" xfId="0" applyNumberFormat="1" applyFont="1" applyFill="1" applyBorder="1" applyAlignment="1" applyProtection="1">
      <alignment horizontal="center" vertical="center" wrapText="1"/>
    </xf>
    <xf numFmtId="0" fontId="0" fillId="0" borderId="304" xfId="0" applyFill="1" applyBorder="1" applyAlignment="1" applyProtection="1">
      <alignment horizontal="center" vertical="center" wrapText="1"/>
    </xf>
    <xf numFmtId="1" fontId="0" fillId="37" borderId="181" xfId="0" applyNumberFormat="1" applyFont="1" applyFill="1" applyBorder="1" applyAlignment="1" applyProtection="1">
      <alignment horizontal="center" vertical="center" wrapText="1"/>
    </xf>
    <xf numFmtId="166" fontId="0" fillId="37" borderId="322" xfId="0" applyNumberFormat="1" applyFont="1" applyFill="1" applyBorder="1" applyAlignment="1" applyProtection="1">
      <alignment horizontal="left" vertical="center" wrapText="1" indent="1"/>
    </xf>
    <xf numFmtId="166" fontId="0" fillId="37" borderId="324" xfId="0" applyNumberFormat="1" applyFont="1" applyFill="1" applyBorder="1" applyAlignment="1" applyProtection="1">
      <alignment horizontal="center" vertical="center" wrapText="1"/>
    </xf>
    <xf numFmtId="211" fontId="0" fillId="37" borderId="320" xfId="0" applyNumberFormat="1" applyFont="1" applyFill="1" applyBorder="1" applyAlignment="1" applyProtection="1">
      <alignment horizontal="right" vertical="center" wrapText="1" indent="1"/>
    </xf>
    <xf numFmtId="9" fontId="0" fillId="37" borderId="325" xfId="0" applyNumberFormat="1" applyFont="1" applyFill="1" applyBorder="1" applyAlignment="1" applyProtection="1">
      <alignment horizontal="center" vertical="center" wrapText="1"/>
    </xf>
    <xf numFmtId="1" fontId="0" fillId="37" borderId="205" xfId="0" applyNumberFormat="1" applyFont="1" applyFill="1" applyBorder="1" applyAlignment="1" applyProtection="1">
      <alignment horizontal="center" vertical="center" wrapText="1"/>
    </xf>
    <xf numFmtId="166" fontId="0" fillId="37" borderId="209" xfId="0" applyNumberFormat="1" applyFont="1" applyFill="1" applyBorder="1" applyAlignment="1" applyProtection="1">
      <alignment horizontal="left" vertical="center" wrapText="1" indent="1"/>
    </xf>
    <xf numFmtId="166" fontId="0" fillId="37" borderId="146" xfId="0" applyNumberFormat="1" applyFont="1" applyFill="1" applyBorder="1" applyAlignment="1" applyProtection="1">
      <alignment horizontal="center" vertical="center" wrapText="1"/>
    </xf>
    <xf numFmtId="211" fontId="0" fillId="37" borderId="205" xfId="0" applyNumberFormat="1" applyFont="1" applyFill="1" applyBorder="1" applyAlignment="1" applyProtection="1">
      <alignment horizontal="right" vertical="center" wrapText="1" indent="1"/>
    </xf>
    <xf numFmtId="9" fontId="0" fillId="37" borderId="206" xfId="0" applyNumberFormat="1" applyFont="1" applyFill="1" applyBorder="1" applyAlignment="1" applyProtection="1">
      <alignment horizontal="center" vertical="center" wrapText="1"/>
    </xf>
    <xf numFmtId="1" fontId="0" fillId="37" borderId="117" xfId="0" applyNumberFormat="1" applyFont="1" applyFill="1" applyBorder="1" applyAlignment="1" applyProtection="1">
      <alignment horizontal="center" vertical="center" wrapText="1"/>
    </xf>
    <xf numFmtId="166" fontId="0" fillId="37" borderId="188" xfId="0" applyNumberFormat="1" applyFont="1" applyFill="1" applyBorder="1" applyAlignment="1" applyProtection="1">
      <alignment horizontal="left" vertical="center" wrapText="1" indent="1"/>
    </xf>
    <xf numFmtId="166" fontId="0" fillId="37" borderId="187" xfId="0" applyNumberFormat="1" applyFont="1" applyFill="1" applyBorder="1" applyAlignment="1" applyProtection="1">
      <alignment horizontal="center" vertical="center" wrapText="1"/>
    </xf>
    <xf numFmtId="211" fontId="0" fillId="37" borderId="117" xfId="0" applyNumberFormat="1" applyFont="1" applyFill="1" applyBorder="1" applyAlignment="1" applyProtection="1">
      <alignment horizontal="right" vertical="center" wrapText="1" indent="1"/>
    </xf>
    <xf numFmtId="9" fontId="0" fillId="37" borderId="189" xfId="0" applyNumberFormat="1" applyFont="1" applyFill="1" applyBorder="1" applyAlignment="1" applyProtection="1">
      <alignment horizontal="center" vertical="center" wrapText="1"/>
    </xf>
    <xf numFmtId="0" fontId="0" fillId="0" borderId="23" xfId="0" applyFill="1" applyBorder="1" applyAlignment="1" applyProtection="1">
      <alignment horizontal="left" vertical="center" wrapText="1" indent="1"/>
    </xf>
    <xf numFmtId="175" fontId="1" fillId="0" borderId="23" xfId="0" applyNumberFormat="1" applyFont="1" applyFill="1" applyBorder="1" applyAlignment="1" applyProtection="1">
      <alignment horizontal="left" vertical="center" wrapText="1" indent="1"/>
    </xf>
    <xf numFmtId="1" fontId="0" fillId="25" borderId="23" xfId="0" applyNumberFormat="1" applyFont="1" applyFill="1" applyBorder="1" applyAlignment="1" applyProtection="1">
      <alignment horizontal="center" vertical="center" wrapText="1"/>
    </xf>
    <xf numFmtId="166" fontId="1" fillId="25" borderId="323" xfId="0" applyNumberFormat="1" applyFont="1" applyFill="1" applyBorder="1" applyAlignment="1" applyProtection="1">
      <alignment horizontal="left" vertical="center" wrapText="1" indent="1"/>
    </xf>
    <xf numFmtId="166" fontId="0" fillId="25" borderId="309" xfId="0" applyNumberFormat="1" applyFont="1" applyFill="1" applyBorder="1" applyAlignment="1" applyProtection="1">
      <alignment horizontal="center" vertical="center" wrapText="1"/>
    </xf>
    <xf numFmtId="211" fontId="0" fillId="25" borderId="302" xfId="0" applyNumberFormat="1" applyFont="1" applyFill="1" applyBorder="1" applyAlignment="1" applyProtection="1">
      <alignment horizontal="right" vertical="center" wrapText="1" indent="1"/>
    </xf>
    <xf numFmtId="9" fontId="0" fillId="25" borderId="310" xfId="0" applyNumberFormat="1" applyFont="1" applyFill="1" applyBorder="1" applyAlignment="1" applyProtection="1">
      <alignment horizontal="center" vertical="center" wrapText="1"/>
    </xf>
    <xf numFmtId="1" fontId="0" fillId="37" borderId="23" xfId="0" applyNumberFormat="1" applyFont="1" applyFill="1" applyBorder="1" applyAlignment="1" applyProtection="1">
      <alignment horizontal="center" vertical="center" wrapText="1"/>
    </xf>
    <xf numFmtId="166" fontId="0" fillId="37" borderId="304" xfId="0" applyNumberFormat="1" applyFont="1" applyFill="1" applyBorder="1" applyAlignment="1" applyProtection="1">
      <alignment horizontal="left" vertical="center" wrapText="1" indent="1"/>
    </xf>
    <xf numFmtId="166" fontId="0" fillId="37" borderId="309" xfId="0" applyNumberFormat="1" applyFont="1" applyFill="1" applyBorder="1" applyAlignment="1" applyProtection="1">
      <alignment horizontal="center" vertical="center" wrapText="1"/>
    </xf>
    <xf numFmtId="211" fontId="0" fillId="37" borderId="302" xfId="0" applyNumberFormat="1" applyFont="1" applyFill="1" applyBorder="1" applyAlignment="1" applyProtection="1">
      <alignment horizontal="right" vertical="center" wrapText="1" indent="1"/>
    </xf>
    <xf numFmtId="9" fontId="0" fillId="37" borderId="310" xfId="0" applyNumberFormat="1" applyFont="1" applyFill="1" applyBorder="1" applyAlignment="1" applyProtection="1">
      <alignment horizontal="center" vertical="center" wrapText="1"/>
    </xf>
    <xf numFmtId="0" fontId="0" fillId="0" borderId="24" xfId="0" applyFill="1" applyBorder="1" applyAlignment="1" applyProtection="1">
      <alignment horizontal="center" vertical="center" wrapText="1"/>
    </xf>
    <xf numFmtId="1" fontId="0" fillId="37" borderId="27" xfId="0" applyNumberFormat="1" applyFont="1" applyFill="1" applyBorder="1" applyAlignment="1" applyProtection="1">
      <alignment horizontal="center" vertical="center" wrapText="1"/>
    </xf>
    <xf numFmtId="166" fontId="0" fillId="37" borderId="305" xfId="0" applyNumberFormat="1" applyFont="1" applyFill="1" applyBorder="1" applyAlignment="1" applyProtection="1">
      <alignment horizontal="left" vertical="center" wrapText="1" indent="1"/>
    </xf>
    <xf numFmtId="166" fontId="0" fillId="37" borderId="285" xfId="0" applyNumberFormat="1" applyFont="1" applyFill="1" applyBorder="1" applyAlignment="1" applyProtection="1">
      <alignment horizontal="center" vertical="center" wrapText="1"/>
    </xf>
    <xf numFmtId="211" fontId="0" fillId="37" borderId="303" xfId="0" applyNumberFormat="1" applyFont="1" applyFill="1" applyBorder="1" applyAlignment="1" applyProtection="1">
      <alignment horizontal="right" vertical="center" wrapText="1" indent="1"/>
    </xf>
    <xf numFmtId="9" fontId="0" fillId="37" borderId="60" xfId="0" applyNumberFormat="1" applyFont="1" applyFill="1" applyBorder="1" applyAlignment="1" applyProtection="1">
      <alignment horizontal="center" vertical="center" wrapText="1"/>
    </xf>
    <xf numFmtId="0" fontId="0" fillId="0" borderId="49" xfId="0" applyFill="1" applyBorder="1" applyAlignment="1" applyProtection="1">
      <alignment horizontal="center" vertical="center" wrapText="1"/>
    </xf>
    <xf numFmtId="0" fontId="0" fillId="0" borderId="305" xfId="0" applyFill="1" applyBorder="1" applyAlignment="1" applyProtection="1">
      <alignment horizontal="center" vertical="center" wrapText="1"/>
    </xf>
    <xf numFmtId="1" fontId="1" fillId="37" borderId="27" xfId="0" applyNumberFormat="1" applyFont="1" applyFill="1" applyBorder="1" applyAlignment="1" applyProtection="1">
      <alignment horizontal="center" vertical="center" wrapText="1"/>
    </xf>
    <xf numFmtId="0" fontId="0" fillId="0" borderId="49" xfId="0" applyBorder="1" applyAlignment="1" applyProtection="1">
      <alignment horizontal="left" vertical="center" wrapText="1" indent="1"/>
    </xf>
    <xf numFmtId="166" fontId="0" fillId="0" borderId="51" xfId="0" applyNumberFormat="1" applyFill="1" applyBorder="1" applyAlignment="1" applyProtection="1">
      <alignment horizontal="center" vertical="center"/>
    </xf>
    <xf numFmtId="211" fontId="0" fillId="0" borderId="26" xfId="0" applyNumberFormat="1" applyFill="1" applyBorder="1" applyAlignment="1" applyProtection="1">
      <alignment horizontal="right" vertical="center" indent="1"/>
    </xf>
    <xf numFmtId="9" fontId="0" fillId="0" borderId="33" xfId="0" applyNumberFormat="1" applyFill="1" applyBorder="1" applyAlignment="1" applyProtection="1">
      <alignment horizontal="center" vertical="center"/>
    </xf>
    <xf numFmtId="0" fontId="0" fillId="0" borderId="7" xfId="0" applyFill="1" applyBorder="1" applyAlignment="1" applyProtection="1">
      <alignment horizontal="center" vertical="center"/>
    </xf>
    <xf numFmtId="0" fontId="0" fillId="0" borderId="8" xfId="0" applyBorder="1" applyAlignment="1" applyProtection="1">
      <alignment horizontal="left" vertical="center" wrapText="1" indent="1"/>
    </xf>
    <xf numFmtId="166" fontId="0" fillId="0" borderId="42" xfId="0" applyNumberFormat="1" applyFill="1" applyBorder="1" applyAlignment="1" applyProtection="1">
      <alignment horizontal="center" vertical="center"/>
    </xf>
    <xf numFmtId="211" fontId="0" fillId="0" borderId="7" xfId="0" applyNumberFormat="1" applyFill="1" applyBorder="1" applyAlignment="1" applyProtection="1">
      <alignment horizontal="right" vertical="center" indent="1"/>
    </xf>
    <xf numFmtId="9" fontId="0" fillId="0" borderId="44" xfId="0" applyNumberFormat="1" applyFill="1" applyBorder="1" applyAlignment="1" applyProtection="1">
      <alignment horizontal="center" vertical="center"/>
    </xf>
    <xf numFmtId="0" fontId="0" fillId="0" borderId="7" xfId="0" applyBorder="1" applyAlignment="1" applyProtection="1">
      <alignment horizontal="center" vertical="center"/>
    </xf>
    <xf numFmtId="166" fontId="0" fillId="0" borderId="42" xfId="0" applyNumberFormat="1" applyBorder="1" applyAlignment="1" applyProtection="1">
      <alignment horizontal="center" vertical="center"/>
    </xf>
    <xf numFmtId="211" fontId="0" fillId="0" borderId="7" xfId="0" applyNumberFormat="1" applyBorder="1" applyAlignment="1" applyProtection="1">
      <alignment horizontal="right" vertical="center" indent="1"/>
    </xf>
    <xf numFmtId="9" fontId="0" fillId="0" borderId="44" xfId="0" applyNumberFormat="1" applyBorder="1" applyAlignment="1" applyProtection="1">
      <alignment horizontal="center" vertical="center"/>
    </xf>
    <xf numFmtId="0" fontId="0" fillId="0" borderId="23" xfId="0" applyBorder="1" applyAlignment="1" applyProtection="1">
      <alignment horizontal="center" vertical="center"/>
    </xf>
    <xf numFmtId="0" fontId="0" fillId="0" borderId="304" xfId="0" applyBorder="1" applyAlignment="1" applyProtection="1">
      <alignment horizontal="left" vertical="center" wrapText="1" indent="1"/>
    </xf>
    <xf numFmtId="166" fontId="0" fillId="0" borderId="309" xfId="0" applyNumberFormat="1" applyBorder="1" applyAlignment="1" applyProtection="1">
      <alignment horizontal="center" vertical="center"/>
    </xf>
    <xf numFmtId="211" fontId="0" fillId="0" borderId="302" xfId="0" applyNumberFormat="1" applyBorder="1" applyAlignment="1" applyProtection="1">
      <alignment horizontal="right" vertical="center" indent="1"/>
    </xf>
    <xf numFmtId="9" fontId="0" fillId="0" borderId="310" xfId="0" applyNumberFormat="1" applyBorder="1" applyAlignment="1" applyProtection="1">
      <alignment horizontal="center" vertical="center"/>
    </xf>
    <xf numFmtId="0" fontId="0" fillId="0" borderId="26" xfId="0" applyBorder="1" applyAlignment="1" applyProtection="1">
      <alignment horizontal="center" vertical="center"/>
    </xf>
    <xf numFmtId="166" fontId="0" fillId="0" borderId="51" xfId="0" applyNumberFormat="1" applyBorder="1" applyAlignment="1" applyProtection="1">
      <alignment horizontal="center" vertical="center"/>
    </xf>
    <xf numFmtId="211" fontId="0" fillId="0" borderId="26" xfId="0" applyNumberFormat="1" applyBorder="1" applyAlignment="1" applyProtection="1">
      <alignment horizontal="right" vertical="center" indent="1"/>
    </xf>
    <xf numFmtId="9" fontId="0" fillId="0" borderId="33" xfId="0" applyNumberFormat="1" applyBorder="1" applyAlignment="1" applyProtection="1">
      <alignment horizontal="center" vertical="center"/>
    </xf>
    <xf numFmtId="1" fontId="0" fillId="0" borderId="23" xfId="0" applyNumberFormat="1" applyFont="1" applyFill="1" applyBorder="1" applyAlignment="1" applyProtection="1">
      <alignment horizontal="center" vertical="center" wrapText="1"/>
    </xf>
    <xf numFmtId="166" fontId="1" fillId="0" borderId="323" xfId="0" applyNumberFormat="1" applyFont="1" applyFill="1" applyBorder="1" applyAlignment="1" applyProtection="1">
      <alignment horizontal="left" vertical="center" wrapText="1" indent="1"/>
    </xf>
    <xf numFmtId="166" fontId="0" fillId="0" borderId="309" xfId="0" applyNumberFormat="1" applyFont="1" applyFill="1" applyBorder="1" applyAlignment="1" applyProtection="1">
      <alignment horizontal="center" vertical="center" wrapText="1"/>
    </xf>
    <xf numFmtId="211" fontId="0" fillId="0" borderId="302" xfId="0" applyNumberFormat="1" applyFont="1" applyFill="1" applyBorder="1" applyAlignment="1" applyProtection="1">
      <alignment horizontal="right" vertical="center" wrapText="1" indent="1"/>
    </xf>
    <xf numFmtId="9" fontId="0" fillId="0" borderId="310" xfId="0" applyNumberFormat="1" applyFont="1" applyFill="1" applyBorder="1" applyAlignment="1" applyProtection="1">
      <alignment horizontal="center" vertical="center" wrapText="1"/>
    </xf>
    <xf numFmtId="1" fontId="0" fillId="0" borderId="302" xfId="0" applyNumberFormat="1" applyFont="1" applyFill="1" applyBorder="1" applyAlignment="1" applyProtection="1">
      <alignment horizontal="center" vertical="center" wrapText="1"/>
    </xf>
    <xf numFmtId="166" fontId="1" fillId="0" borderId="330" xfId="0" applyNumberFormat="1" applyFont="1" applyFill="1" applyBorder="1" applyAlignment="1" applyProtection="1">
      <alignment horizontal="left" vertical="center" wrapText="1" indent="1"/>
    </xf>
    <xf numFmtId="0" fontId="0" fillId="0" borderId="79" xfId="0" applyBorder="1" applyProtection="1"/>
    <xf numFmtId="0" fontId="0" fillId="0" borderId="17" xfId="0" applyNumberFormat="1" applyFont="1" applyFill="1" applyBorder="1" applyAlignment="1" applyProtection="1">
      <alignment horizontal="left" vertical="center" wrapText="1" indent="1"/>
    </xf>
    <xf numFmtId="0" fontId="1" fillId="25" borderId="26" xfId="0" applyNumberFormat="1" applyFont="1" applyFill="1" applyBorder="1" applyAlignment="1" applyProtection="1">
      <alignment horizontal="left" vertical="center" wrapText="1" indent="1"/>
    </xf>
    <xf numFmtId="0" fontId="1" fillId="0" borderId="302" xfId="0" applyNumberFormat="1" applyFont="1" applyFill="1" applyBorder="1" applyAlignment="1" applyProtection="1">
      <alignment horizontal="left" vertical="center" wrapText="1" indent="1"/>
    </xf>
    <xf numFmtId="0" fontId="1" fillId="24" borderId="302" xfId="0" applyNumberFormat="1" applyFont="1" applyFill="1" applyBorder="1" applyAlignment="1" applyProtection="1">
      <alignment horizontal="left" vertical="center" wrapText="1" indent="1"/>
    </xf>
    <xf numFmtId="0" fontId="1" fillId="37" borderId="302" xfId="0" applyNumberFormat="1" applyFont="1" applyFill="1" applyBorder="1" applyAlignment="1" applyProtection="1">
      <alignment horizontal="left" vertical="center" wrapText="1" indent="1"/>
    </xf>
    <xf numFmtId="0" fontId="1" fillId="37" borderId="303" xfId="0" applyNumberFormat="1" applyFont="1" applyFill="1" applyBorder="1" applyAlignment="1" applyProtection="1">
      <alignment horizontal="left" vertical="center" wrapText="1" indent="1"/>
    </xf>
    <xf numFmtId="0" fontId="1" fillId="0" borderId="26" xfId="0" applyNumberFormat="1" applyFont="1" applyFill="1" applyBorder="1" applyAlignment="1" applyProtection="1">
      <alignment horizontal="left" vertical="center" wrapText="1" indent="1"/>
    </xf>
    <xf numFmtId="0" fontId="1" fillId="25" borderId="302" xfId="0" applyNumberFormat="1" applyFont="1" applyFill="1" applyBorder="1" applyAlignment="1" applyProtection="1">
      <alignment horizontal="left" vertical="center" wrapText="1" indent="1"/>
    </xf>
    <xf numFmtId="0" fontId="1" fillId="15" borderId="302" xfId="0" applyNumberFormat="1" applyFont="1" applyFill="1" applyBorder="1" applyAlignment="1" applyProtection="1">
      <alignment horizontal="left" vertical="center" wrapText="1" indent="1"/>
    </xf>
    <xf numFmtId="0" fontId="1" fillId="27" borderId="303" xfId="0" applyNumberFormat="1" applyFont="1" applyFill="1" applyBorder="1" applyAlignment="1" applyProtection="1">
      <alignment horizontal="left" vertical="center" wrapText="1" indent="1"/>
    </xf>
    <xf numFmtId="0" fontId="0" fillId="37" borderId="320" xfId="0" applyNumberFormat="1" applyFont="1" applyFill="1" applyBorder="1" applyAlignment="1" applyProtection="1">
      <alignment horizontal="left" vertical="center" wrapText="1" indent="1"/>
    </xf>
    <xf numFmtId="0" fontId="0" fillId="37" borderId="117" xfId="0" applyNumberFormat="1" applyFont="1" applyFill="1" applyBorder="1" applyAlignment="1" applyProtection="1">
      <alignment horizontal="left" vertical="center" wrapText="1" indent="1"/>
    </xf>
    <xf numFmtId="0" fontId="1" fillId="25" borderId="23" xfId="0" applyNumberFormat="1" applyFont="1" applyFill="1" applyBorder="1" applyAlignment="1" applyProtection="1">
      <alignment horizontal="left" vertical="center" wrapText="1" indent="1"/>
    </xf>
    <xf numFmtId="0" fontId="1" fillId="24" borderId="23" xfId="0" applyNumberFormat="1" applyFont="1" applyFill="1" applyBorder="1" applyAlignment="1" applyProtection="1">
      <alignment horizontal="left" vertical="center" wrapText="1" indent="1"/>
    </xf>
    <xf numFmtId="0" fontId="0" fillId="25" borderId="23" xfId="0" applyNumberFormat="1" applyFont="1" applyFill="1" applyBorder="1" applyAlignment="1" applyProtection="1">
      <alignment horizontal="left" vertical="center" wrapText="1" indent="1"/>
    </xf>
    <xf numFmtId="0" fontId="0" fillId="37" borderId="23" xfId="0" applyNumberFormat="1" applyFont="1" applyFill="1" applyBorder="1" applyAlignment="1" applyProtection="1">
      <alignment horizontal="left" vertical="center" wrapText="1" indent="1"/>
    </xf>
    <xf numFmtId="0" fontId="0" fillId="37" borderId="27" xfId="0" applyNumberFormat="1" applyFont="1" applyFill="1" applyBorder="1" applyAlignment="1" applyProtection="1">
      <alignment horizontal="left" vertical="center" wrapText="1" indent="1"/>
    </xf>
    <xf numFmtId="0" fontId="1" fillId="37" borderId="27" xfId="0" applyNumberFormat="1" applyFont="1" applyFill="1" applyBorder="1" applyAlignment="1" applyProtection="1">
      <alignment horizontal="left" vertical="center" wrapText="1" indent="1"/>
    </xf>
    <xf numFmtId="0" fontId="0" fillId="0" borderId="26" xfId="0" applyNumberFormat="1" applyFill="1" applyBorder="1" applyAlignment="1" applyProtection="1">
      <alignment horizontal="left" vertical="center" indent="1"/>
    </xf>
    <xf numFmtId="0" fontId="0" fillId="0" borderId="7" xfId="0" applyNumberFormat="1" applyFill="1" applyBorder="1" applyAlignment="1" applyProtection="1">
      <alignment horizontal="left" vertical="center" indent="1"/>
    </xf>
    <xf numFmtId="0" fontId="0" fillId="0" borderId="7" xfId="0" applyNumberFormat="1" applyBorder="1" applyAlignment="1" applyProtection="1">
      <alignment horizontal="left" vertical="center" indent="1"/>
    </xf>
    <xf numFmtId="0" fontId="0" fillId="0" borderId="23" xfId="0" applyNumberFormat="1" applyBorder="1" applyAlignment="1" applyProtection="1">
      <alignment horizontal="left" vertical="center" indent="1"/>
    </xf>
    <xf numFmtId="0" fontId="0" fillId="0" borderId="26" xfId="0" applyNumberFormat="1" applyBorder="1" applyAlignment="1" applyProtection="1">
      <alignment horizontal="left" vertical="center" indent="1"/>
    </xf>
    <xf numFmtId="166" fontId="47" fillId="24" borderId="6" xfId="0" applyNumberFormat="1" applyFont="1" applyFill="1" applyBorder="1" applyAlignment="1">
      <alignment horizontal="right" vertical="center" wrapText="1" indent="1"/>
    </xf>
    <xf numFmtId="166" fontId="47" fillId="12" borderId="181" xfId="0" applyNumberFormat="1" applyFont="1" applyFill="1" applyBorder="1" applyAlignment="1">
      <alignment horizontal="right" vertical="center" wrapText="1" indent="1"/>
    </xf>
    <xf numFmtId="166" fontId="47" fillId="12" borderId="205" xfId="0" applyNumberFormat="1" applyFont="1" applyFill="1" applyBorder="1" applyAlignment="1">
      <alignment horizontal="right" vertical="center" wrapText="1" indent="1"/>
    </xf>
    <xf numFmtId="166" fontId="47" fillId="12" borderId="117" xfId="0" applyNumberFormat="1" applyFont="1" applyFill="1" applyBorder="1" applyAlignment="1">
      <alignment horizontal="right" vertical="center" wrapText="1" indent="1"/>
    </xf>
    <xf numFmtId="166" fontId="47" fillId="24" borderId="23" xfId="0" applyNumberFormat="1" applyFont="1" applyFill="1" applyBorder="1" applyAlignment="1">
      <alignment horizontal="right" vertical="center" wrapText="1" indent="1"/>
    </xf>
    <xf numFmtId="166" fontId="47" fillId="24" borderId="7" xfId="0" applyNumberFormat="1" applyFont="1" applyFill="1" applyBorder="1" applyAlignment="1">
      <alignment horizontal="right" vertical="center" wrapText="1" indent="1"/>
    </xf>
    <xf numFmtId="166" fontId="47" fillId="25" borderId="23" xfId="0" applyNumberFormat="1" applyFont="1" applyFill="1" applyBorder="1" applyAlignment="1">
      <alignment horizontal="right" vertical="center" wrapText="1" indent="1"/>
    </xf>
    <xf numFmtId="166" fontId="47" fillId="12" borderId="23" xfId="0" applyNumberFormat="1" applyFont="1" applyFill="1" applyBorder="1" applyAlignment="1">
      <alignment horizontal="right" vertical="center" wrapText="1" indent="1"/>
    </xf>
    <xf numFmtId="166" fontId="47" fillId="12" borderId="27" xfId="0" applyNumberFormat="1" applyFont="1" applyFill="1" applyBorder="1" applyAlignment="1">
      <alignment horizontal="right" vertical="center" wrapText="1" indent="1"/>
    </xf>
    <xf numFmtId="166" fontId="47" fillId="25" borderId="26" xfId="0" applyNumberFormat="1" applyFont="1" applyFill="1" applyBorder="1" applyAlignment="1">
      <alignment horizontal="right" vertical="center" wrapText="1" indent="1"/>
    </xf>
    <xf numFmtId="166" fontId="47" fillId="0" borderId="26" xfId="0" applyNumberFormat="1" applyFont="1" applyBorder="1" applyAlignment="1">
      <alignment horizontal="right" vertical="center" indent="1"/>
    </xf>
    <xf numFmtId="166" fontId="47" fillId="0" borderId="23" xfId="0" applyNumberFormat="1" applyFont="1" applyBorder="1" applyAlignment="1">
      <alignment horizontal="right" vertical="center" indent="1"/>
    </xf>
    <xf numFmtId="166" fontId="47" fillId="0" borderId="7" xfId="0" applyNumberFormat="1" applyFont="1" applyBorder="1" applyAlignment="1">
      <alignment horizontal="right" vertical="center" indent="1"/>
    </xf>
    <xf numFmtId="166" fontId="47" fillId="12" borderId="23" xfId="0" applyNumberFormat="1" applyFont="1" applyFill="1" applyBorder="1" applyAlignment="1">
      <alignment horizontal="right" vertical="center" indent="1"/>
    </xf>
    <xf numFmtId="166" fontId="47" fillId="25" borderId="23" xfId="0" applyNumberFormat="1" applyFont="1" applyFill="1" applyBorder="1" applyAlignment="1">
      <alignment horizontal="right" vertical="center" indent="1"/>
    </xf>
    <xf numFmtId="166" fontId="47" fillId="0" borderId="302" xfId="0" applyNumberFormat="1" applyFont="1" applyFill="1" applyBorder="1" applyAlignment="1">
      <alignment horizontal="right" vertical="center" wrapText="1" indent="1"/>
    </xf>
    <xf numFmtId="166" fontId="47" fillId="12" borderId="27" xfId="0" applyNumberFormat="1" applyFont="1" applyFill="1" applyBorder="1" applyAlignment="1">
      <alignment horizontal="right" vertical="center" indent="1"/>
    </xf>
    <xf numFmtId="166" fontId="1" fillId="0" borderId="150" xfId="0" applyNumberFormat="1" applyFont="1" applyFill="1" applyBorder="1" applyAlignment="1">
      <alignment horizontal="right" vertical="center" wrapText="1" indent="1"/>
    </xf>
    <xf numFmtId="166" fontId="1" fillId="0" borderId="154" xfId="0" applyNumberFormat="1" applyFont="1" applyFill="1" applyBorder="1" applyAlignment="1">
      <alignment horizontal="right" vertical="center" wrapText="1" indent="1"/>
    </xf>
    <xf numFmtId="166" fontId="1" fillId="25" borderId="154" xfId="0" applyNumberFormat="1" applyFont="1" applyFill="1" applyBorder="1" applyAlignment="1">
      <alignment horizontal="right" vertical="center" wrapText="1" indent="1"/>
    </xf>
    <xf numFmtId="166" fontId="1" fillId="24" borderId="154" xfId="0" applyNumberFormat="1" applyFont="1" applyFill="1" applyBorder="1" applyAlignment="1">
      <alignment horizontal="right" vertical="center" wrapText="1" indent="1"/>
    </xf>
    <xf numFmtId="166" fontId="1" fillId="15" borderId="154" xfId="0" applyNumberFormat="1" applyFont="1" applyFill="1" applyBorder="1" applyAlignment="1">
      <alignment horizontal="right" vertical="center" wrapText="1" indent="1"/>
    </xf>
    <xf numFmtId="166" fontId="1" fillId="27" borderId="210" xfId="0" applyNumberFormat="1" applyFont="1" applyFill="1" applyBorder="1" applyAlignment="1">
      <alignment horizontal="right" vertical="center" wrapText="1" indent="1"/>
    </xf>
    <xf numFmtId="166" fontId="1" fillId="15" borderId="295" xfId="0" applyNumberFormat="1" applyFont="1" applyFill="1" applyBorder="1" applyAlignment="1">
      <alignment horizontal="right" vertical="center" wrapText="1" indent="1"/>
    </xf>
    <xf numFmtId="166" fontId="1" fillId="27" borderId="158" xfId="0" applyNumberFormat="1" applyFont="1" applyFill="1" applyBorder="1" applyAlignment="1">
      <alignment horizontal="right" vertical="center" wrapText="1" indent="1"/>
    </xf>
    <xf numFmtId="166" fontId="1" fillId="25" borderId="150" xfId="0" applyNumberFormat="1" applyFont="1" applyFill="1" applyBorder="1" applyAlignment="1">
      <alignment horizontal="right" vertical="center" wrapText="1" indent="1"/>
    </xf>
    <xf numFmtId="166" fontId="1" fillId="24" borderId="153" xfId="0" applyNumberFormat="1" applyFont="1" applyFill="1" applyBorder="1" applyAlignment="1">
      <alignment horizontal="right" vertical="center" wrapText="1" indent="1"/>
    </xf>
    <xf numFmtId="166" fontId="1" fillId="27" borderId="157" xfId="0" applyNumberFormat="1" applyFont="1" applyFill="1" applyBorder="1" applyAlignment="1">
      <alignment horizontal="right" vertical="center" wrapText="1" indent="1"/>
    </xf>
    <xf numFmtId="166" fontId="1" fillId="25" borderId="130" xfId="0" applyNumberFormat="1" applyFont="1" applyFill="1" applyBorder="1" applyAlignment="1">
      <alignment horizontal="right" vertical="center" wrapText="1" indent="1"/>
    </xf>
    <xf numFmtId="166" fontId="1" fillId="0" borderId="205" xfId="0" applyNumberFormat="1" applyFont="1" applyFill="1" applyBorder="1" applyAlignment="1">
      <alignment horizontal="right" vertical="center" wrapText="1" indent="1"/>
    </xf>
    <xf numFmtId="166" fontId="1" fillId="24" borderId="205" xfId="0" applyNumberFormat="1" applyFont="1" applyFill="1" applyBorder="1" applyAlignment="1">
      <alignment horizontal="right" vertical="center" wrapText="1" indent="1"/>
    </xf>
    <xf numFmtId="166" fontId="1" fillId="27" borderId="205" xfId="0" applyNumberFormat="1" applyFont="1" applyFill="1" applyBorder="1" applyAlignment="1">
      <alignment horizontal="right" vertical="center" wrapText="1" indent="1"/>
    </xf>
    <xf numFmtId="171" fontId="0" fillId="0" borderId="17" xfId="0" applyNumberFormat="1" applyFont="1" applyFill="1" applyBorder="1" applyAlignment="1">
      <alignment horizontal="right" vertical="center" wrapText="1" indent="1"/>
    </xf>
    <xf numFmtId="171" fontId="1" fillId="25" borderId="130" xfId="0" applyNumberFormat="1" applyFont="1" applyFill="1" applyBorder="1" applyAlignment="1">
      <alignment horizontal="right" vertical="center" wrapText="1" indent="1"/>
    </xf>
    <xf numFmtId="171" fontId="1" fillId="0" borderId="205" xfId="0" applyNumberFormat="1" applyFont="1" applyFill="1" applyBorder="1" applyAlignment="1">
      <alignment horizontal="right" vertical="center" wrapText="1" indent="1"/>
    </xf>
    <xf numFmtId="171" fontId="1" fillId="24" borderId="205" xfId="0" applyNumberFormat="1" applyFont="1" applyFill="1" applyBorder="1" applyAlignment="1">
      <alignment horizontal="right" vertical="center" wrapText="1" indent="1"/>
    </xf>
    <xf numFmtId="171" fontId="1" fillId="27" borderId="205" xfId="0" applyNumberFormat="1" applyFont="1" applyFill="1" applyBorder="1" applyAlignment="1">
      <alignment horizontal="right" vertical="center" wrapText="1" indent="1"/>
    </xf>
    <xf numFmtId="171" fontId="1" fillId="27" borderId="210" xfId="0" applyNumberFormat="1" applyFont="1" applyFill="1" applyBorder="1" applyAlignment="1">
      <alignment horizontal="right" vertical="center" wrapText="1" indent="1"/>
    </xf>
    <xf numFmtId="171" fontId="1" fillId="0" borderId="150" xfId="0" applyNumberFormat="1" applyFont="1" applyFill="1" applyBorder="1" applyAlignment="1">
      <alignment horizontal="right" vertical="center" wrapText="1" indent="1"/>
    </xf>
    <xf numFmtId="171" fontId="1" fillId="0" borderId="154" xfId="0" applyNumberFormat="1" applyFont="1" applyFill="1" applyBorder="1" applyAlignment="1">
      <alignment horizontal="right" vertical="center" wrapText="1" indent="1"/>
    </xf>
    <xf numFmtId="171" fontId="1" fillId="25" borderId="154" xfId="0" applyNumberFormat="1" applyFont="1" applyFill="1" applyBorder="1" applyAlignment="1">
      <alignment horizontal="right" vertical="center" wrapText="1" indent="1"/>
    </xf>
    <xf numFmtId="171" fontId="1" fillId="24" borderId="154" xfId="0" applyNumberFormat="1" applyFont="1" applyFill="1" applyBorder="1" applyAlignment="1">
      <alignment horizontal="right" vertical="center" wrapText="1" indent="1"/>
    </xf>
    <xf numFmtId="171" fontId="1" fillId="15" borderId="154" xfId="0" applyNumberFormat="1" applyFont="1" applyFill="1" applyBorder="1" applyAlignment="1">
      <alignment horizontal="right" vertical="center" wrapText="1" indent="1"/>
    </xf>
    <xf numFmtId="171" fontId="1" fillId="15" borderId="295" xfId="0" applyNumberFormat="1" applyFont="1" applyFill="1" applyBorder="1" applyAlignment="1">
      <alignment horizontal="right" vertical="center" wrapText="1" indent="1"/>
    </xf>
    <xf numFmtId="171" fontId="1" fillId="27" borderId="158" xfId="0" applyNumberFormat="1" applyFont="1" applyFill="1" applyBorder="1" applyAlignment="1">
      <alignment horizontal="right" vertical="center" wrapText="1" indent="1"/>
    </xf>
    <xf numFmtId="171" fontId="1" fillId="25" borderId="150" xfId="0" applyNumberFormat="1" applyFont="1" applyFill="1" applyBorder="1" applyAlignment="1">
      <alignment horizontal="right" vertical="center" wrapText="1" indent="1"/>
    </xf>
    <xf numFmtId="171" fontId="0" fillId="24" borderId="7" xfId="0" applyNumberFormat="1" applyFont="1" applyFill="1" applyBorder="1" applyAlignment="1">
      <alignment horizontal="right" vertical="center" wrapText="1" indent="1"/>
    </xf>
    <xf numFmtId="171" fontId="0" fillId="12" borderId="181" xfId="0" applyNumberFormat="1" applyFont="1" applyFill="1" applyBorder="1" applyAlignment="1">
      <alignment horizontal="right" vertical="center" wrapText="1" indent="1"/>
    </xf>
    <xf numFmtId="171" fontId="0" fillId="12" borderId="205" xfId="0" applyNumberFormat="1" applyFont="1" applyFill="1" applyBorder="1" applyAlignment="1">
      <alignment horizontal="right" vertical="center" wrapText="1" indent="1"/>
    </xf>
    <xf numFmtId="171" fontId="0" fillId="12" borderId="117" xfId="0" applyNumberFormat="1" applyFont="1" applyFill="1" applyBorder="1" applyAlignment="1">
      <alignment horizontal="right" vertical="center" wrapText="1" indent="1"/>
    </xf>
    <xf numFmtId="171" fontId="0" fillId="25" borderId="23" xfId="0" applyNumberFormat="1" applyFont="1" applyFill="1" applyBorder="1" applyAlignment="1">
      <alignment horizontal="right" vertical="center" wrapText="1" indent="1"/>
    </xf>
    <xf numFmtId="171" fontId="0" fillId="12" borderId="23" xfId="0" applyNumberFormat="1" applyFont="1" applyFill="1" applyBorder="1" applyAlignment="1">
      <alignment horizontal="right" vertical="center" wrapText="1" indent="1"/>
    </xf>
    <xf numFmtId="171" fontId="0" fillId="12" borderId="27" xfId="0" applyNumberFormat="1" applyFont="1" applyFill="1" applyBorder="1" applyAlignment="1">
      <alignment horizontal="right" vertical="center" wrapText="1" indent="1"/>
    </xf>
    <xf numFmtId="171" fontId="1" fillId="25" borderId="26" xfId="0" applyNumberFormat="1" applyFont="1" applyFill="1" applyBorder="1" applyAlignment="1">
      <alignment horizontal="right" vertical="center" wrapText="1" indent="1"/>
    </xf>
    <xf numFmtId="171" fontId="1" fillId="12" borderId="27" xfId="0" applyNumberFormat="1" applyFont="1" applyFill="1" applyBorder="1" applyAlignment="1">
      <alignment horizontal="right" vertical="center" wrapText="1" indent="1"/>
    </xf>
    <xf numFmtId="171" fontId="0" fillId="0" borderId="26" xfId="0" applyNumberFormat="1" applyFont="1" applyBorder="1" applyAlignment="1">
      <alignment horizontal="right" vertical="center" indent="1"/>
    </xf>
    <xf numFmtId="171" fontId="0" fillId="0" borderId="23" xfId="0" applyNumberFormat="1" applyFont="1" applyBorder="1" applyAlignment="1">
      <alignment horizontal="right" vertical="center" indent="1"/>
    </xf>
    <xf numFmtId="171" fontId="0" fillId="0" borderId="7" xfId="0" applyNumberFormat="1" applyFont="1" applyBorder="1" applyAlignment="1">
      <alignment horizontal="right" vertical="center" indent="1"/>
    </xf>
    <xf numFmtId="171" fontId="0" fillId="12" borderId="23" xfId="0" applyNumberFormat="1" applyFont="1" applyFill="1" applyBorder="1" applyAlignment="1">
      <alignment horizontal="right" vertical="center" indent="1"/>
    </xf>
    <xf numFmtId="171" fontId="0" fillId="25" borderId="23" xfId="0" applyNumberFormat="1" applyFont="1" applyFill="1" applyBorder="1" applyAlignment="1">
      <alignment horizontal="right" vertical="center" indent="1"/>
    </xf>
    <xf numFmtId="171" fontId="0" fillId="0" borderId="302" xfId="0" applyNumberFormat="1" applyFont="1" applyFill="1" applyBorder="1" applyAlignment="1">
      <alignment horizontal="right" vertical="center" wrapText="1" indent="1"/>
    </xf>
    <xf numFmtId="171" fontId="0" fillId="12" borderId="27" xfId="0" applyNumberFormat="1" applyFont="1" applyFill="1" applyBorder="1" applyAlignment="1">
      <alignment horizontal="right" vertical="center" indent="1"/>
    </xf>
    <xf numFmtId="166" fontId="47" fillId="0" borderId="150" xfId="0" applyNumberFormat="1" applyFont="1" applyFill="1" applyBorder="1" applyAlignment="1">
      <alignment horizontal="right" vertical="center" wrapText="1" indent="1"/>
    </xf>
    <xf numFmtId="166" fontId="47" fillId="0" borderId="154" xfId="0" applyNumberFormat="1" applyFont="1" applyFill="1" applyBorder="1" applyAlignment="1">
      <alignment horizontal="right" vertical="center" wrapText="1" indent="1"/>
    </xf>
    <xf numFmtId="166" fontId="47" fillId="25" borderId="154" xfId="0" applyNumberFormat="1" applyFont="1" applyFill="1" applyBorder="1" applyAlignment="1">
      <alignment horizontal="right" vertical="center" wrapText="1" indent="1"/>
    </xf>
    <xf numFmtId="166" fontId="47" fillId="24" borderId="154" xfId="0" applyNumberFormat="1" applyFont="1" applyFill="1" applyBorder="1" applyAlignment="1">
      <alignment horizontal="right" vertical="center" wrapText="1" indent="1"/>
    </xf>
    <xf numFmtId="166" fontId="47" fillId="15" borderId="154" xfId="0" applyNumberFormat="1" applyFont="1" applyFill="1" applyBorder="1" applyAlignment="1">
      <alignment horizontal="right" vertical="center" wrapText="1" indent="1"/>
    </xf>
    <xf numFmtId="4" fontId="1" fillId="0" borderId="150" xfId="0" applyNumberFormat="1" applyFont="1" applyFill="1" applyBorder="1" applyAlignment="1">
      <alignment horizontal="right" vertical="center" wrapText="1" indent="1"/>
    </xf>
    <xf numFmtId="4" fontId="1" fillId="0" borderId="154" xfId="0" applyNumberFormat="1" applyFont="1" applyFill="1" applyBorder="1" applyAlignment="1">
      <alignment horizontal="right" vertical="center" wrapText="1" indent="1"/>
    </xf>
    <xf numFmtId="4" fontId="1" fillId="25" borderId="154" xfId="0" applyNumberFormat="1" applyFont="1" applyFill="1" applyBorder="1" applyAlignment="1">
      <alignment horizontal="right" vertical="center" wrapText="1" indent="1"/>
    </xf>
    <xf numFmtId="4" fontId="1" fillId="24" borderId="154" xfId="0" applyNumberFormat="1" applyFont="1" applyFill="1" applyBorder="1" applyAlignment="1">
      <alignment horizontal="right" vertical="center" wrapText="1" indent="1"/>
    </xf>
    <xf numFmtId="4" fontId="1" fillId="15" borderId="154" xfId="0" applyNumberFormat="1" applyFont="1" applyFill="1" applyBorder="1" applyAlignment="1">
      <alignment horizontal="right" vertical="center" wrapText="1" indent="1"/>
    </xf>
    <xf numFmtId="4" fontId="1" fillId="27" borderId="210" xfId="0" applyNumberFormat="1" applyFont="1" applyFill="1" applyBorder="1" applyAlignment="1">
      <alignment horizontal="right" vertical="center" wrapText="1" indent="1"/>
    </xf>
    <xf numFmtId="166" fontId="47" fillId="15" borderId="295" xfId="0" applyNumberFormat="1" applyFont="1" applyFill="1" applyBorder="1" applyAlignment="1">
      <alignment horizontal="right" vertical="center" wrapText="1" indent="1"/>
    </xf>
    <xf numFmtId="2" fontId="47" fillId="24" borderId="7" xfId="0" applyNumberFormat="1" applyFont="1" applyFill="1" applyBorder="1" applyAlignment="1">
      <alignment horizontal="right" vertical="center" wrapText="1" indent="1"/>
    </xf>
    <xf numFmtId="2" fontId="47" fillId="25" borderId="23" xfId="0" applyNumberFormat="1" applyFont="1" applyFill="1" applyBorder="1" applyAlignment="1">
      <alignment horizontal="right" vertical="center" wrapText="1" indent="1"/>
    </xf>
    <xf numFmtId="2" fontId="47" fillId="25" borderId="26" xfId="0" applyNumberFormat="1" applyFont="1" applyFill="1" applyBorder="1" applyAlignment="1">
      <alignment horizontal="right" vertical="center" wrapText="1" indent="1"/>
    </xf>
    <xf numFmtId="2" fontId="47" fillId="0" borderId="26" xfId="0" applyNumberFormat="1" applyFont="1" applyBorder="1" applyAlignment="1">
      <alignment horizontal="right" vertical="center" indent="1"/>
    </xf>
    <xf numFmtId="2" fontId="47" fillId="0" borderId="23" xfId="0" applyNumberFormat="1" applyFont="1" applyBorder="1" applyAlignment="1">
      <alignment horizontal="right" vertical="center" indent="1"/>
    </xf>
    <xf numFmtId="2" fontId="47" fillId="0" borderId="7" xfId="0" applyNumberFormat="1" applyFont="1" applyBorder="1" applyAlignment="1">
      <alignment horizontal="right" vertical="center" indent="1"/>
    </xf>
    <xf numFmtId="2" fontId="47" fillId="12" borderId="23" xfId="0" applyNumberFormat="1" applyFont="1" applyFill="1" applyBorder="1" applyAlignment="1">
      <alignment horizontal="right" vertical="center" indent="1"/>
    </xf>
    <xf numFmtId="2" fontId="47" fillId="25" borderId="23" xfId="0" applyNumberFormat="1" applyFont="1" applyFill="1" applyBorder="1" applyAlignment="1">
      <alignment horizontal="right" vertical="center" indent="1"/>
    </xf>
    <xf numFmtId="2" fontId="47" fillId="0" borderId="302" xfId="0" applyNumberFormat="1" applyFont="1" applyFill="1" applyBorder="1" applyAlignment="1">
      <alignment horizontal="right" vertical="center" wrapText="1" indent="1"/>
    </xf>
    <xf numFmtId="2" fontId="47" fillId="12" borderId="27" xfId="0" applyNumberFormat="1" applyFont="1" applyFill="1" applyBorder="1" applyAlignment="1">
      <alignment horizontal="right" vertical="center" indent="1"/>
    </xf>
    <xf numFmtId="166" fontId="13" fillId="0" borderId="150" xfId="0" applyNumberFormat="1" applyFont="1" applyFill="1" applyBorder="1" applyAlignment="1">
      <alignment horizontal="right" vertical="center" wrapText="1" indent="1"/>
    </xf>
    <xf numFmtId="166" fontId="13" fillId="0" borderId="154" xfId="0" applyNumberFormat="1" applyFont="1" applyFill="1" applyBorder="1" applyAlignment="1">
      <alignment horizontal="right" vertical="center" wrapText="1" indent="1"/>
    </xf>
    <xf numFmtId="166" fontId="13" fillId="25" borderId="154" xfId="0" applyNumberFormat="1" applyFont="1" applyFill="1" applyBorder="1" applyAlignment="1">
      <alignment horizontal="right" vertical="center" wrapText="1" indent="1"/>
    </xf>
    <xf numFmtId="166" fontId="13" fillId="24" borderId="154" xfId="0" applyNumberFormat="1" applyFont="1" applyFill="1" applyBorder="1" applyAlignment="1">
      <alignment horizontal="right" vertical="center" wrapText="1" indent="1"/>
    </xf>
    <xf numFmtId="166" fontId="13" fillId="15" borderId="154" xfId="0" applyNumberFormat="1" applyFont="1" applyFill="1" applyBorder="1" applyAlignment="1">
      <alignment horizontal="right" vertical="center" wrapText="1" indent="1"/>
    </xf>
    <xf numFmtId="166" fontId="13" fillId="27" borderId="210" xfId="0" applyNumberFormat="1" applyFont="1" applyFill="1" applyBorder="1" applyAlignment="1">
      <alignment horizontal="right" vertical="center" wrapText="1" indent="1"/>
    </xf>
    <xf numFmtId="2" fontId="13" fillId="12" borderId="23" xfId="0" applyNumberFormat="1" applyFont="1" applyFill="1" applyBorder="1" applyAlignment="1">
      <alignment horizontal="right" vertical="center" wrapText="1" indent="1"/>
    </xf>
    <xf numFmtId="2" fontId="13" fillId="12" borderId="27" xfId="0" applyNumberFormat="1" applyFont="1" applyFill="1" applyBorder="1" applyAlignment="1">
      <alignment horizontal="right" vertical="center" wrapText="1" indent="1"/>
    </xf>
    <xf numFmtId="166" fontId="13" fillId="25" borderId="130" xfId="0" applyNumberFormat="1" applyFont="1" applyFill="1" applyBorder="1" applyAlignment="1">
      <alignment horizontal="center" vertical="center" wrapText="1"/>
    </xf>
    <xf numFmtId="166" fontId="13" fillId="0" borderId="205" xfId="0" applyNumberFormat="1" applyFont="1" applyFill="1" applyBorder="1" applyAlignment="1">
      <alignment horizontal="center" vertical="center" wrapText="1"/>
    </xf>
    <xf numFmtId="166" fontId="13" fillId="24" borderId="205" xfId="0" applyNumberFormat="1" applyFont="1" applyFill="1" applyBorder="1" applyAlignment="1">
      <alignment horizontal="center" vertical="center" wrapText="1"/>
    </xf>
    <xf numFmtId="166" fontId="13" fillId="27" borderId="205" xfId="0" applyNumberFormat="1" applyFont="1" applyFill="1" applyBorder="1" applyAlignment="1">
      <alignment horizontal="center" vertical="center" wrapText="1"/>
    </xf>
    <xf numFmtId="166" fontId="13" fillId="27" borderId="210" xfId="0" applyNumberFormat="1" applyFont="1" applyFill="1" applyBorder="1" applyAlignment="1">
      <alignment horizontal="center" vertical="center" wrapText="1"/>
    </xf>
    <xf numFmtId="2" fontId="13" fillId="25" borderId="26" xfId="0" applyNumberFormat="1" applyFont="1" applyFill="1" applyBorder="1" applyAlignment="1">
      <alignment horizontal="right" vertical="center" wrapText="1" indent="1"/>
    </xf>
    <xf numFmtId="2" fontId="13" fillId="0" borderId="26" xfId="0" applyNumberFormat="1" applyFont="1" applyBorder="1" applyAlignment="1">
      <alignment horizontal="right" vertical="center" indent="1"/>
    </xf>
    <xf numFmtId="2" fontId="13" fillId="0" borderId="23" xfId="0" applyNumberFormat="1" applyFont="1" applyBorder="1" applyAlignment="1">
      <alignment horizontal="right" vertical="center" indent="1"/>
    </xf>
    <xf numFmtId="2" fontId="13" fillId="0" borderId="7" xfId="0" applyNumberFormat="1" applyFont="1" applyBorder="1" applyAlignment="1">
      <alignment horizontal="right" vertical="center" indent="1"/>
    </xf>
    <xf numFmtId="2" fontId="13" fillId="12" borderId="23" xfId="0" applyNumberFormat="1" applyFont="1" applyFill="1" applyBorder="1" applyAlignment="1">
      <alignment horizontal="right" vertical="center" indent="1"/>
    </xf>
    <xf numFmtId="2" fontId="13" fillId="25" borderId="23" xfId="0" applyNumberFormat="1" applyFont="1" applyFill="1" applyBorder="1" applyAlignment="1">
      <alignment horizontal="right" vertical="center" indent="1"/>
    </xf>
    <xf numFmtId="2" fontId="13" fillId="0" borderId="302" xfId="0" applyNumberFormat="1" applyFont="1" applyFill="1" applyBorder="1" applyAlignment="1">
      <alignment horizontal="right" vertical="center" wrapText="1" indent="1"/>
    </xf>
    <xf numFmtId="2" fontId="13" fillId="12" borderId="27" xfId="0" applyNumberFormat="1" applyFont="1" applyFill="1" applyBorder="1" applyAlignment="1">
      <alignment horizontal="right" vertical="center" indent="1"/>
    </xf>
    <xf numFmtId="4" fontId="56" fillId="0" borderId="17" xfId="0" applyNumberFormat="1" applyFont="1" applyFill="1" applyBorder="1" applyAlignment="1">
      <alignment horizontal="right" vertical="center" wrapText="1" indent="1"/>
    </xf>
    <xf numFmtId="4" fontId="56" fillId="0" borderId="150" xfId="0" applyNumberFormat="1" applyFont="1" applyFill="1" applyBorder="1" applyAlignment="1">
      <alignment horizontal="right" vertical="center" wrapText="1" indent="1"/>
    </xf>
    <xf numFmtId="4" fontId="56" fillId="0" borderId="154" xfId="0" applyNumberFormat="1" applyFont="1" applyFill="1" applyBorder="1" applyAlignment="1">
      <alignment horizontal="right" vertical="center" wrapText="1" indent="1"/>
    </xf>
    <xf numFmtId="4" fontId="56" fillId="25" borderId="154" xfId="0" applyNumberFormat="1" applyFont="1" applyFill="1" applyBorder="1" applyAlignment="1">
      <alignment horizontal="right" vertical="center" wrapText="1" indent="1"/>
    </xf>
    <xf numFmtId="4" fontId="56" fillId="24" borderId="154" xfId="0" applyNumberFormat="1" applyFont="1" applyFill="1" applyBorder="1" applyAlignment="1">
      <alignment horizontal="right" vertical="center" wrapText="1" indent="1"/>
    </xf>
    <xf numFmtId="4" fontId="56" fillId="15" borderId="154" xfId="0" applyNumberFormat="1" applyFont="1" applyFill="1" applyBorder="1" applyAlignment="1">
      <alignment horizontal="right" vertical="center" wrapText="1" indent="1"/>
    </xf>
    <xf numFmtId="4" fontId="56" fillId="27" borderId="210" xfId="0" applyNumberFormat="1" applyFont="1" applyFill="1" applyBorder="1" applyAlignment="1">
      <alignment horizontal="right" vertical="center" wrapText="1" indent="1"/>
    </xf>
    <xf numFmtId="4" fontId="56" fillId="12" borderId="181" xfId="0" applyNumberFormat="1" applyFont="1" applyFill="1" applyBorder="1" applyAlignment="1">
      <alignment horizontal="right" vertical="center" wrapText="1" indent="1"/>
    </xf>
    <xf numFmtId="4" fontId="56" fillId="12" borderId="205" xfId="0" applyNumberFormat="1" applyFont="1" applyFill="1" applyBorder="1" applyAlignment="1">
      <alignment horizontal="right" vertical="center" wrapText="1" indent="1"/>
    </xf>
    <xf numFmtId="4" fontId="56" fillId="12" borderId="117" xfId="0" applyNumberFormat="1" applyFont="1" applyFill="1" applyBorder="1" applyAlignment="1">
      <alignment horizontal="right" vertical="center" wrapText="1" indent="1"/>
    </xf>
    <xf numFmtId="4" fontId="56" fillId="12" borderId="23" xfId="0" applyNumberFormat="1" applyFont="1" applyFill="1" applyBorder="1" applyAlignment="1">
      <alignment horizontal="right" vertical="center" wrapText="1" indent="1"/>
    </xf>
    <xf numFmtId="4" fontId="56" fillId="12" borderId="27" xfId="0" applyNumberFormat="1" applyFont="1" applyFill="1" applyBorder="1" applyAlignment="1">
      <alignment horizontal="right" vertical="center" wrapText="1" indent="1"/>
    </xf>
    <xf numFmtId="4" fontId="56" fillId="0" borderId="26" xfId="0" applyNumberFormat="1" applyFont="1" applyBorder="1" applyAlignment="1">
      <alignment horizontal="right" vertical="center" wrapText="1" indent="1"/>
    </xf>
    <xf numFmtId="4" fontId="56" fillId="0" borderId="114" xfId="0" applyNumberFormat="1" applyFont="1" applyBorder="1" applyAlignment="1">
      <alignment horizontal="right" vertical="center" wrapText="1" indent="1"/>
    </xf>
    <xf numFmtId="4" fontId="56" fillId="0" borderId="7" xfId="0" applyNumberFormat="1" applyFont="1" applyBorder="1" applyAlignment="1">
      <alignment horizontal="right" vertical="center" wrapText="1" indent="1"/>
    </xf>
    <xf numFmtId="4" fontId="56" fillId="0" borderId="23" xfId="0" applyNumberFormat="1" applyFont="1" applyBorder="1" applyAlignment="1">
      <alignment horizontal="right" vertical="center" wrapText="1" indent="1"/>
    </xf>
    <xf numFmtId="4" fontId="56" fillId="0" borderId="302" xfId="0" applyNumberFormat="1" applyFont="1" applyFill="1" applyBorder="1" applyAlignment="1">
      <alignment horizontal="right" vertical="center" wrapText="1" indent="1"/>
    </xf>
    <xf numFmtId="4" fontId="56" fillId="25" borderId="130" xfId="0" applyNumberFormat="1" applyFont="1" applyFill="1" applyBorder="1" applyAlignment="1">
      <alignment horizontal="right" vertical="center" wrapText="1" indent="1"/>
    </xf>
    <xf numFmtId="4" fontId="56" fillId="0" borderId="205" xfId="0" applyNumberFormat="1" applyFont="1" applyFill="1" applyBorder="1" applyAlignment="1">
      <alignment horizontal="right" vertical="center" wrapText="1" indent="1"/>
    </xf>
    <xf numFmtId="4" fontId="56" fillId="24" borderId="205" xfId="0" applyNumberFormat="1" applyFont="1" applyFill="1" applyBorder="1" applyAlignment="1">
      <alignment horizontal="right" vertical="center" wrapText="1" indent="1"/>
    </xf>
    <xf numFmtId="4" fontId="56" fillId="27" borderId="205" xfId="0" applyNumberFormat="1" applyFont="1" applyFill="1" applyBorder="1" applyAlignment="1">
      <alignment horizontal="right" vertical="center" wrapText="1" indent="1"/>
    </xf>
    <xf numFmtId="4" fontId="56" fillId="15" borderId="295" xfId="0" applyNumberFormat="1" applyFont="1" applyFill="1" applyBorder="1" applyAlignment="1">
      <alignment horizontal="right" vertical="center" wrapText="1" indent="1"/>
    </xf>
    <xf numFmtId="4" fontId="56" fillId="27" borderId="158" xfId="0" applyNumberFormat="1" applyFont="1" applyFill="1" applyBorder="1" applyAlignment="1">
      <alignment horizontal="right" vertical="center" wrapText="1" indent="1"/>
    </xf>
    <xf numFmtId="4" fontId="56" fillId="25" borderId="150" xfId="0" applyNumberFormat="1" applyFont="1" applyFill="1" applyBorder="1" applyAlignment="1">
      <alignment horizontal="right" vertical="center" wrapText="1" indent="1"/>
    </xf>
    <xf numFmtId="4" fontId="56" fillId="25" borderId="26" xfId="0" applyNumberFormat="1" applyFont="1" applyFill="1" applyBorder="1" applyAlignment="1">
      <alignment horizontal="right" vertical="center" wrapText="1" indent="1"/>
    </xf>
    <xf numFmtId="166" fontId="13" fillId="15" borderId="295" xfId="0" applyNumberFormat="1" applyFont="1" applyFill="1" applyBorder="1" applyAlignment="1">
      <alignment horizontal="right" vertical="center" wrapText="1" indent="1"/>
    </xf>
    <xf numFmtId="166" fontId="13" fillId="27" borderId="158" xfId="0" applyNumberFormat="1" applyFont="1" applyFill="1" applyBorder="1" applyAlignment="1">
      <alignment horizontal="right" vertical="center" wrapText="1" indent="1"/>
    </xf>
    <xf numFmtId="166" fontId="13" fillId="25" borderId="150" xfId="0" applyNumberFormat="1" applyFont="1" applyFill="1" applyBorder="1" applyAlignment="1">
      <alignment horizontal="right" vertical="center" wrapText="1" indent="1"/>
    </xf>
    <xf numFmtId="166" fontId="57" fillId="25" borderId="130" xfId="0" applyNumberFormat="1" applyFont="1" applyFill="1" applyBorder="1" applyAlignment="1">
      <alignment horizontal="right" vertical="center" wrapText="1" indent="1"/>
    </xf>
    <xf numFmtId="166" fontId="57" fillId="0" borderId="205" xfId="0" applyNumberFormat="1" applyFont="1" applyFill="1" applyBorder="1" applyAlignment="1">
      <alignment horizontal="right" vertical="center" wrapText="1" indent="1"/>
    </xf>
    <xf numFmtId="166" fontId="57" fillId="24" borderId="205" xfId="0" applyNumberFormat="1" applyFont="1" applyFill="1" applyBorder="1" applyAlignment="1">
      <alignment horizontal="right" vertical="center" wrapText="1" indent="1"/>
    </xf>
    <xf numFmtId="166" fontId="57" fillId="27" borderId="205" xfId="0" applyNumberFormat="1" applyFont="1" applyFill="1" applyBorder="1" applyAlignment="1">
      <alignment horizontal="right" vertical="center" wrapText="1" indent="1"/>
    </xf>
    <xf numFmtId="166" fontId="57" fillId="27" borderId="210" xfId="0" applyNumberFormat="1" applyFont="1" applyFill="1" applyBorder="1" applyAlignment="1">
      <alignment horizontal="right" vertical="center" wrapText="1" indent="1"/>
    </xf>
    <xf numFmtId="166" fontId="57" fillId="0" borderId="150" xfId="0" applyNumberFormat="1" applyFont="1" applyFill="1" applyBorder="1" applyAlignment="1">
      <alignment horizontal="right" vertical="center" wrapText="1" indent="1"/>
    </xf>
    <xf numFmtId="166" fontId="57" fillId="0" borderId="154" xfId="0" applyNumberFormat="1" applyFont="1" applyFill="1" applyBorder="1" applyAlignment="1">
      <alignment horizontal="right" vertical="center" wrapText="1" indent="1"/>
    </xf>
    <xf numFmtId="166" fontId="57" fillId="25" borderId="154" xfId="0" applyNumberFormat="1" applyFont="1" applyFill="1" applyBorder="1" applyAlignment="1">
      <alignment horizontal="right" vertical="center" wrapText="1" indent="1"/>
    </xf>
    <xf numFmtId="166" fontId="57" fillId="24" borderId="154" xfId="0" applyNumberFormat="1" applyFont="1" applyFill="1" applyBorder="1" applyAlignment="1">
      <alignment horizontal="right" vertical="center" wrapText="1" indent="1"/>
    </xf>
    <xf numFmtId="166" fontId="57" fillId="15" borderId="154" xfId="0" applyNumberFormat="1" applyFont="1" applyFill="1" applyBorder="1" applyAlignment="1">
      <alignment horizontal="right" vertical="center" wrapText="1" indent="1"/>
    </xf>
    <xf numFmtId="166" fontId="57" fillId="15" borderId="295" xfId="0" applyNumberFormat="1" applyFont="1" applyFill="1" applyBorder="1" applyAlignment="1">
      <alignment horizontal="right" vertical="center" wrapText="1" indent="1"/>
    </xf>
    <xf numFmtId="166" fontId="57" fillId="27" borderId="158" xfId="0" applyNumberFormat="1" applyFont="1" applyFill="1" applyBorder="1" applyAlignment="1">
      <alignment horizontal="right" vertical="center" wrapText="1" indent="1"/>
    </xf>
    <xf numFmtId="166" fontId="57" fillId="25" borderId="150" xfId="0" applyNumberFormat="1" applyFont="1" applyFill="1" applyBorder="1" applyAlignment="1">
      <alignment horizontal="right" vertical="center" wrapText="1" indent="1"/>
    </xf>
    <xf numFmtId="166" fontId="57" fillId="12" borderId="23" xfId="0" applyNumberFormat="1" applyFont="1" applyFill="1" applyBorder="1" applyAlignment="1">
      <alignment horizontal="right" vertical="center" wrapText="1" indent="1"/>
    </xf>
    <xf numFmtId="166" fontId="57" fillId="12" borderId="27" xfId="0" applyNumberFormat="1" applyFont="1" applyFill="1" applyBorder="1" applyAlignment="1">
      <alignment horizontal="right" vertical="center" wrapText="1" indent="1"/>
    </xf>
    <xf numFmtId="166" fontId="57" fillId="25" borderId="26" xfId="0" applyNumberFormat="1" applyFont="1" applyFill="1" applyBorder="1" applyAlignment="1">
      <alignment horizontal="right" vertical="center" wrapText="1" indent="1"/>
    </xf>
    <xf numFmtId="166" fontId="57" fillId="0" borderId="26" xfId="0" applyNumberFormat="1" applyFont="1" applyBorder="1" applyAlignment="1">
      <alignment horizontal="right" vertical="center" wrapText="1" indent="1"/>
    </xf>
    <xf numFmtId="166" fontId="57" fillId="0" borderId="114" xfId="0" applyNumberFormat="1" applyFont="1" applyBorder="1" applyAlignment="1">
      <alignment horizontal="right" vertical="center" wrapText="1" indent="1"/>
    </xf>
    <xf numFmtId="166" fontId="57" fillId="0" borderId="7" xfId="0" applyNumberFormat="1" applyFont="1" applyBorder="1" applyAlignment="1">
      <alignment horizontal="right" vertical="center" indent="1"/>
    </xf>
    <xf numFmtId="166" fontId="57" fillId="0" borderId="23" xfId="0" applyNumberFormat="1" applyFont="1" applyBorder="1" applyAlignment="1">
      <alignment horizontal="right" vertical="center" indent="1"/>
    </xf>
    <xf numFmtId="166" fontId="57" fillId="12" borderId="23" xfId="0" applyNumberFormat="1" applyFont="1" applyFill="1" applyBorder="1" applyAlignment="1">
      <alignment horizontal="right" vertical="center" indent="1"/>
    </xf>
    <xf numFmtId="166" fontId="57" fillId="25" borderId="23" xfId="0" applyNumberFormat="1" applyFont="1" applyFill="1" applyBorder="1" applyAlignment="1">
      <alignment horizontal="right" vertical="center" indent="1"/>
    </xf>
    <xf numFmtId="166" fontId="57" fillId="0" borderId="302" xfId="0" applyNumberFormat="1" applyFont="1" applyFill="1" applyBorder="1" applyAlignment="1">
      <alignment horizontal="right" vertical="center" wrapText="1" indent="1"/>
    </xf>
    <xf numFmtId="166" fontId="57" fillId="12" borderId="27" xfId="0" applyNumberFormat="1" applyFont="1" applyFill="1" applyBorder="1" applyAlignment="1">
      <alignment horizontal="right" vertical="center" indent="1"/>
    </xf>
    <xf numFmtId="173" fontId="13" fillId="0" borderId="150" xfId="0" applyNumberFormat="1" applyFont="1" applyFill="1" applyBorder="1" applyAlignment="1">
      <alignment horizontal="right" vertical="center" wrapText="1" indent="1"/>
    </xf>
    <xf numFmtId="173" fontId="13" fillId="0" borderId="154" xfId="0" applyNumberFormat="1" applyFont="1" applyFill="1" applyBorder="1" applyAlignment="1">
      <alignment horizontal="right" vertical="center" wrapText="1" indent="1"/>
    </xf>
    <xf numFmtId="173" fontId="13" fillId="25" borderId="154" xfId="0" applyNumberFormat="1" applyFont="1" applyFill="1" applyBorder="1" applyAlignment="1">
      <alignment horizontal="right" vertical="center" wrapText="1" indent="1"/>
    </xf>
    <xf numFmtId="173" fontId="13" fillId="24" borderId="154" xfId="0" applyNumberFormat="1" applyFont="1" applyFill="1" applyBorder="1" applyAlignment="1">
      <alignment horizontal="right" vertical="center" wrapText="1" indent="1"/>
    </xf>
    <xf numFmtId="173" fontId="13" fillId="15" borderId="154" xfId="0" applyNumberFormat="1" applyFont="1" applyFill="1" applyBorder="1" applyAlignment="1">
      <alignment horizontal="right" vertical="center" wrapText="1" indent="1"/>
    </xf>
    <xf numFmtId="173" fontId="13" fillId="27" borderId="210" xfId="0" applyNumberFormat="1" applyFont="1" applyFill="1" applyBorder="1" applyAlignment="1">
      <alignment horizontal="right" vertical="center" wrapText="1" indent="1"/>
    </xf>
    <xf numFmtId="173" fontId="13" fillId="24" borderId="23" xfId="0" applyNumberFormat="1" applyFont="1" applyFill="1" applyBorder="1" applyAlignment="1">
      <alignment horizontal="right" vertical="center" wrapText="1" indent="1"/>
    </xf>
    <xf numFmtId="173" fontId="13" fillId="25" borderId="23" xfId="0" applyNumberFormat="1" applyFont="1" applyFill="1" applyBorder="1" applyAlignment="1">
      <alignment horizontal="right" vertical="center" wrapText="1" indent="1"/>
    </xf>
    <xf numFmtId="173" fontId="13" fillId="24" borderId="7" xfId="0" applyNumberFormat="1" applyFont="1" applyFill="1" applyBorder="1" applyAlignment="1">
      <alignment horizontal="right" vertical="center" wrapText="1" indent="1"/>
    </xf>
    <xf numFmtId="173" fontId="13" fillId="12" borderId="23" xfId="0" applyNumberFormat="1" applyFont="1" applyFill="1" applyBorder="1" applyAlignment="1">
      <alignment horizontal="right" vertical="center" wrapText="1" indent="1"/>
    </xf>
    <xf numFmtId="173" fontId="13" fillId="12" borderId="27" xfId="0" applyNumberFormat="1" applyFont="1" applyFill="1" applyBorder="1" applyAlignment="1">
      <alignment horizontal="right" vertical="center" wrapText="1" indent="1"/>
    </xf>
    <xf numFmtId="173" fontId="13" fillId="25" borderId="26" xfId="0" applyNumberFormat="1" applyFont="1" applyFill="1" applyBorder="1" applyAlignment="1">
      <alignment horizontal="right" vertical="center" wrapText="1" indent="1"/>
    </xf>
    <xf numFmtId="173" fontId="13" fillId="0" borderId="26" xfId="0" applyNumberFormat="1" applyFont="1" applyBorder="1" applyAlignment="1">
      <alignment horizontal="right" vertical="center" wrapText="1" indent="1"/>
    </xf>
    <xf numFmtId="173" fontId="13" fillId="0" borderId="116" xfId="0" applyNumberFormat="1" applyFont="1" applyBorder="1" applyAlignment="1">
      <alignment horizontal="right" vertical="center" indent="1"/>
    </xf>
    <xf numFmtId="173" fontId="13" fillId="0" borderId="23" xfId="0" applyNumberFormat="1" applyFont="1" applyBorder="1" applyAlignment="1">
      <alignment horizontal="right" vertical="center" wrapText="1" indent="1"/>
    </xf>
    <xf numFmtId="173" fontId="13" fillId="0" borderId="23" xfId="0" applyNumberFormat="1" applyFont="1" applyBorder="1" applyAlignment="1">
      <alignment horizontal="right" vertical="center" indent="1"/>
    </xf>
    <xf numFmtId="173" fontId="13" fillId="12" borderId="23" xfId="0" applyNumberFormat="1" applyFont="1" applyFill="1" applyBorder="1" applyAlignment="1">
      <alignment horizontal="right" vertical="center" indent="1"/>
    </xf>
    <xf numFmtId="173" fontId="13" fillId="25" borderId="23" xfId="0" applyNumberFormat="1" applyFont="1" applyFill="1" applyBorder="1" applyAlignment="1">
      <alignment horizontal="right" vertical="center" indent="1"/>
    </xf>
    <xf numFmtId="173" fontId="13" fillId="0" borderId="302" xfId="0" applyNumberFormat="1" applyFont="1" applyFill="1" applyBorder="1" applyAlignment="1">
      <alignment horizontal="right" vertical="center" wrapText="1" indent="1"/>
    </xf>
    <xf numFmtId="173" fontId="13" fillId="12" borderId="27" xfId="0" applyNumberFormat="1" applyFont="1" applyFill="1" applyBorder="1" applyAlignment="1">
      <alignment horizontal="right" vertical="center" indent="1"/>
    </xf>
    <xf numFmtId="173" fontId="13" fillId="0" borderId="17" xfId="0" applyNumberFormat="1" applyFont="1" applyFill="1" applyBorder="1" applyAlignment="1">
      <alignment horizontal="right" vertical="center" wrapText="1" indent="1"/>
    </xf>
    <xf numFmtId="173" fontId="13" fillId="15" borderId="295" xfId="0" applyNumberFormat="1" applyFont="1" applyFill="1" applyBorder="1" applyAlignment="1">
      <alignment horizontal="right" vertical="center" wrapText="1" indent="1"/>
    </xf>
    <xf numFmtId="173" fontId="13" fillId="27" borderId="158" xfId="0" applyNumberFormat="1" applyFont="1" applyFill="1" applyBorder="1" applyAlignment="1">
      <alignment horizontal="right" vertical="center" wrapText="1" indent="1"/>
    </xf>
    <xf numFmtId="173" fontId="13" fillId="25" borderId="150" xfId="0" applyNumberFormat="1" applyFont="1" applyFill="1" applyBorder="1" applyAlignment="1">
      <alignment horizontal="right" vertical="center" wrapText="1" indent="1"/>
    </xf>
    <xf numFmtId="173" fontId="13" fillId="12" borderId="181" xfId="0" applyNumberFormat="1" applyFont="1" applyFill="1" applyBorder="1" applyAlignment="1">
      <alignment horizontal="right" vertical="center" wrapText="1" indent="1"/>
    </xf>
    <xf numFmtId="173" fontId="13" fillId="12" borderId="205" xfId="0" applyNumberFormat="1" applyFont="1" applyFill="1" applyBorder="1" applyAlignment="1">
      <alignment horizontal="right" vertical="center" wrapText="1" indent="1"/>
    </xf>
    <xf numFmtId="173" fontId="13" fillId="12" borderId="117" xfId="0" applyNumberFormat="1" applyFont="1" applyFill="1" applyBorder="1" applyAlignment="1">
      <alignment horizontal="right" vertical="center" wrapText="1" indent="1"/>
    </xf>
    <xf numFmtId="173" fontId="13" fillId="25" borderId="130" xfId="0" applyNumberFormat="1" applyFont="1" applyFill="1" applyBorder="1" applyAlignment="1">
      <alignment horizontal="right" vertical="center" wrapText="1" indent="1"/>
    </xf>
    <xf numFmtId="173" fontId="13" fillId="0" borderId="205" xfId="0" applyNumberFormat="1" applyFont="1" applyFill="1" applyBorder="1" applyAlignment="1">
      <alignment horizontal="right" vertical="center" wrapText="1" indent="1"/>
    </xf>
    <xf numFmtId="173" fontId="13" fillId="24" borderId="205" xfId="0" applyNumberFormat="1" applyFont="1" applyFill="1" applyBorder="1" applyAlignment="1">
      <alignment horizontal="right" vertical="center" wrapText="1" indent="1"/>
    </xf>
    <xf numFmtId="173" fontId="13" fillId="27" borderId="205" xfId="0" applyNumberFormat="1" applyFont="1" applyFill="1" applyBorder="1" applyAlignment="1">
      <alignment horizontal="right" vertical="center" wrapText="1" indent="1"/>
    </xf>
    <xf numFmtId="173" fontId="13" fillId="0" borderId="7" xfId="0" applyNumberFormat="1" applyFont="1" applyBorder="1" applyAlignment="1">
      <alignment horizontal="right" vertical="center" indent="1"/>
    </xf>
    <xf numFmtId="173" fontId="13" fillId="24" borderId="31" xfId="0" applyNumberFormat="1" applyFont="1" applyFill="1" applyBorder="1" applyAlignment="1">
      <alignment horizontal="right" vertical="center" wrapText="1" indent="1"/>
    </xf>
    <xf numFmtId="173" fontId="13" fillId="0" borderId="32" xfId="0" applyNumberFormat="1" applyFont="1" applyFill="1" applyBorder="1" applyAlignment="1">
      <alignment horizontal="right" vertical="center" wrapText="1" indent="1"/>
    </xf>
    <xf numFmtId="173" fontId="13" fillId="25" borderId="199" xfId="0" applyNumberFormat="1" applyFont="1" applyFill="1" applyBorder="1" applyAlignment="1">
      <alignment horizontal="right" vertical="center" wrapText="1"/>
    </xf>
    <xf numFmtId="173" fontId="13" fillId="0" borderId="206" xfId="0" applyNumberFormat="1" applyFont="1" applyFill="1" applyBorder="1" applyAlignment="1">
      <alignment horizontal="right" vertical="center" wrapText="1"/>
    </xf>
    <xf numFmtId="173" fontId="13" fillId="24" borderId="206" xfId="0" applyNumberFormat="1" applyFont="1" applyFill="1" applyBorder="1" applyAlignment="1">
      <alignment horizontal="right" vertical="center" wrapText="1"/>
    </xf>
    <xf numFmtId="173" fontId="13" fillId="27" borderId="206" xfId="0" applyNumberFormat="1" applyFont="1" applyFill="1" applyBorder="1" applyAlignment="1">
      <alignment horizontal="right" vertical="center" wrapText="1"/>
    </xf>
    <xf numFmtId="173" fontId="13" fillId="27" borderId="211" xfId="0" applyNumberFormat="1" applyFont="1" applyFill="1" applyBorder="1" applyAlignment="1">
      <alignment horizontal="right" vertical="center" wrapText="1"/>
    </xf>
    <xf numFmtId="173" fontId="13" fillId="27" borderId="211" xfId="0" applyNumberFormat="1" applyFont="1" applyFill="1" applyBorder="1" applyAlignment="1">
      <alignment horizontal="right" vertical="center" wrapText="1" indent="1"/>
    </xf>
    <xf numFmtId="173" fontId="13" fillId="15" borderId="297" xfId="0" applyNumberFormat="1" applyFont="1" applyFill="1" applyBorder="1" applyAlignment="1">
      <alignment horizontal="right" vertical="center" wrapText="1" indent="1"/>
    </xf>
    <xf numFmtId="173" fontId="13" fillId="27" borderId="159" xfId="0" applyNumberFormat="1" applyFont="1" applyFill="1" applyBorder="1" applyAlignment="1">
      <alignment horizontal="right" vertical="center" wrapText="1" indent="1"/>
    </xf>
    <xf numFmtId="173" fontId="13" fillId="25" borderId="36" xfId="0" applyNumberFormat="1" applyFont="1" applyFill="1" applyBorder="1" applyAlignment="1">
      <alignment horizontal="right" vertical="center" wrapText="1" indent="1"/>
    </xf>
    <xf numFmtId="173" fontId="13" fillId="27" borderId="35" xfId="0" applyNumberFormat="1" applyFont="1" applyFill="1" applyBorder="1" applyAlignment="1">
      <alignment horizontal="right" vertical="center" wrapText="1" indent="1"/>
    </xf>
    <xf numFmtId="173" fontId="13" fillId="24" borderId="44" xfId="0" applyNumberFormat="1" applyFont="1" applyFill="1" applyBorder="1" applyAlignment="1">
      <alignment horizontal="right" vertical="center" wrapText="1" indent="1"/>
    </xf>
    <xf numFmtId="173" fontId="13" fillId="12" borderId="183" xfId="0" applyNumberFormat="1" applyFont="1" applyFill="1" applyBorder="1" applyAlignment="1">
      <alignment horizontal="right" vertical="center" wrapText="1" indent="1"/>
    </xf>
    <xf numFmtId="173" fontId="13" fillId="12" borderId="206" xfId="0" applyNumberFormat="1" applyFont="1" applyFill="1" applyBorder="1" applyAlignment="1">
      <alignment horizontal="right" vertical="center" wrapText="1" indent="1"/>
    </xf>
    <xf numFmtId="173" fontId="13" fillId="12" borderId="189" xfId="0" applyNumberFormat="1" applyFont="1" applyFill="1" applyBorder="1" applyAlignment="1">
      <alignment horizontal="right" vertical="center" wrapText="1" indent="1"/>
    </xf>
    <xf numFmtId="173" fontId="0" fillId="0" borderId="44" xfId="0" applyNumberFormat="1" applyBorder="1" applyAlignment="1">
      <alignment horizontal="right" vertical="center" indent="1"/>
    </xf>
    <xf numFmtId="173" fontId="1" fillId="24" borderId="19" xfId="0" applyNumberFormat="1" applyFont="1" applyFill="1" applyBorder="1" applyAlignment="1">
      <alignment horizontal="right" vertical="center" wrapText="1" indent="1"/>
    </xf>
    <xf numFmtId="0" fontId="1" fillId="20" borderId="80" xfId="0" applyFont="1" applyFill="1" applyBorder="1" applyAlignment="1">
      <alignment horizontal="center" vertical="center" wrapText="1"/>
    </xf>
    <xf numFmtId="166" fontId="57" fillId="25" borderId="23" xfId="0" applyNumberFormat="1" applyFont="1" applyFill="1" applyBorder="1" applyAlignment="1">
      <alignment horizontal="right" vertical="center" wrapText="1"/>
    </xf>
    <xf numFmtId="166" fontId="57" fillId="12" borderId="23" xfId="0" applyNumberFormat="1" applyFont="1" applyFill="1" applyBorder="1" applyAlignment="1">
      <alignment horizontal="right" vertical="center" wrapText="1"/>
    </xf>
    <xf numFmtId="166" fontId="57" fillId="12" borderId="27" xfId="0" applyNumberFormat="1" applyFont="1" applyFill="1" applyBorder="1" applyAlignment="1">
      <alignment horizontal="right" vertical="center" wrapText="1"/>
    </xf>
    <xf numFmtId="166" fontId="57" fillId="0" borderId="302" xfId="0" applyNumberFormat="1" applyFont="1" applyFill="1" applyBorder="1" applyAlignment="1">
      <alignment horizontal="right" vertical="center" wrapText="1"/>
    </xf>
    <xf numFmtId="166" fontId="57" fillId="0" borderId="17" xfId="0" applyNumberFormat="1" applyFont="1" applyFill="1" applyBorder="1" applyAlignment="1">
      <alignment horizontal="right" vertical="center" wrapText="1" indent="1"/>
    </xf>
    <xf numFmtId="166" fontId="48" fillId="0" borderId="17" xfId="0" applyNumberFormat="1" applyFont="1" applyFill="1" applyBorder="1" applyAlignment="1">
      <alignment horizontal="right" vertical="center" wrapText="1" indent="1"/>
    </xf>
    <xf numFmtId="166" fontId="48" fillId="0" borderId="150" xfId="0" applyNumberFormat="1" applyFont="1" applyFill="1" applyBorder="1" applyAlignment="1">
      <alignment horizontal="right" vertical="center" wrapText="1" indent="1"/>
    </xf>
    <xf numFmtId="166" fontId="48" fillId="0" borderId="154" xfId="0" applyNumberFormat="1" applyFont="1" applyFill="1" applyBorder="1" applyAlignment="1">
      <alignment horizontal="right" vertical="center" wrapText="1" indent="1"/>
    </xf>
    <xf numFmtId="166" fontId="48" fillId="25" borderId="154" xfId="0" applyNumberFormat="1" applyFont="1" applyFill="1" applyBorder="1" applyAlignment="1">
      <alignment horizontal="right" vertical="center" wrapText="1" indent="1"/>
    </xf>
    <xf numFmtId="166" fontId="48" fillId="24" borderId="154" xfId="0" applyNumberFormat="1" applyFont="1" applyFill="1" applyBorder="1" applyAlignment="1">
      <alignment horizontal="right" vertical="center" wrapText="1" indent="1"/>
    </xf>
    <xf numFmtId="166" fontId="48" fillId="15" borderId="154" xfId="0" applyNumberFormat="1" applyFont="1" applyFill="1" applyBorder="1" applyAlignment="1">
      <alignment horizontal="right" vertical="center" wrapText="1" indent="1"/>
    </xf>
    <xf numFmtId="166" fontId="48" fillId="15" borderId="295" xfId="0" applyNumberFormat="1" applyFont="1" applyFill="1" applyBorder="1" applyAlignment="1">
      <alignment horizontal="right" vertical="center" wrapText="1" indent="1"/>
    </xf>
    <xf numFmtId="166" fontId="48" fillId="27" borderId="158" xfId="0" applyNumberFormat="1" applyFont="1" applyFill="1" applyBorder="1" applyAlignment="1">
      <alignment horizontal="right" vertical="center" wrapText="1" indent="1"/>
    </xf>
    <xf numFmtId="166" fontId="48" fillId="25" borderId="150" xfId="0" applyNumberFormat="1" applyFont="1" applyFill="1" applyBorder="1" applyAlignment="1">
      <alignment horizontal="right" vertical="center" wrapText="1" indent="1"/>
    </xf>
    <xf numFmtId="166" fontId="48" fillId="24" borderId="7" xfId="0" applyNumberFormat="1" applyFont="1" applyFill="1" applyBorder="1" applyAlignment="1">
      <alignment horizontal="right" vertical="center" wrapText="1" indent="1"/>
    </xf>
    <xf numFmtId="166" fontId="48" fillId="12" borderId="181" xfId="0" applyNumberFormat="1" applyFont="1" applyFill="1" applyBorder="1" applyAlignment="1">
      <alignment horizontal="right" vertical="center" wrapText="1" indent="1"/>
    </xf>
    <xf numFmtId="166" fontId="48" fillId="12" borderId="205" xfId="0" applyNumberFormat="1" applyFont="1" applyFill="1" applyBorder="1" applyAlignment="1">
      <alignment horizontal="right" vertical="center" wrapText="1" indent="1"/>
    </xf>
    <xf numFmtId="166" fontId="48" fillId="12" borderId="117" xfId="0" applyNumberFormat="1" applyFont="1" applyFill="1" applyBorder="1" applyAlignment="1">
      <alignment horizontal="right" vertical="center" wrapText="1" indent="1"/>
    </xf>
    <xf numFmtId="166" fontId="48" fillId="24" borderId="23" xfId="0" applyNumberFormat="1" applyFont="1" applyFill="1" applyBorder="1" applyAlignment="1">
      <alignment horizontal="right" vertical="center" wrapText="1" indent="1"/>
    </xf>
    <xf numFmtId="166" fontId="48" fillId="12" borderId="23" xfId="0" applyNumberFormat="1" applyFont="1" applyFill="1" applyBorder="1" applyAlignment="1">
      <alignment horizontal="right" vertical="center" wrapText="1" indent="1"/>
    </xf>
    <xf numFmtId="166" fontId="48" fillId="12" borderId="27" xfId="0" applyNumberFormat="1" applyFont="1" applyFill="1" applyBorder="1" applyAlignment="1">
      <alignment horizontal="right" vertical="center" wrapText="1" indent="1"/>
    </xf>
    <xf numFmtId="173" fontId="0" fillId="0" borderId="17" xfId="0" applyNumberFormat="1" applyFont="1" applyFill="1" applyBorder="1" applyAlignment="1">
      <alignment horizontal="right" vertical="center" wrapText="1" indent="1"/>
    </xf>
    <xf numFmtId="173" fontId="0" fillId="0" borderId="32" xfId="0" applyNumberFormat="1" applyFont="1" applyFill="1" applyBorder="1" applyAlignment="1">
      <alignment horizontal="right" vertical="center" wrapText="1" indent="1"/>
    </xf>
    <xf numFmtId="173" fontId="0" fillId="0" borderId="22" xfId="0" applyNumberFormat="1" applyFont="1" applyFill="1" applyBorder="1" applyAlignment="1">
      <alignment horizontal="right" vertical="center" wrapText="1" indent="1"/>
    </xf>
    <xf numFmtId="173" fontId="1" fillId="0" borderId="150" xfId="0" applyNumberFormat="1" applyFont="1" applyFill="1" applyBorder="1" applyAlignment="1">
      <alignment horizontal="right" vertical="center" wrapText="1" indent="1"/>
    </xf>
    <xf numFmtId="173" fontId="1" fillId="0" borderId="151" xfId="0" applyNumberFormat="1" applyFont="1" applyFill="1" applyBorder="1" applyAlignment="1">
      <alignment horizontal="right" vertical="center" wrapText="1" indent="1"/>
    </xf>
    <xf numFmtId="173" fontId="1" fillId="0" borderId="163" xfId="0" applyNumberFormat="1" applyFont="1" applyFill="1" applyBorder="1" applyAlignment="1">
      <alignment horizontal="right" vertical="center" wrapText="1" indent="1"/>
    </xf>
    <xf numFmtId="173" fontId="1" fillId="0" borderId="154" xfId="0" applyNumberFormat="1" applyFont="1" applyFill="1" applyBorder="1" applyAlignment="1">
      <alignment horizontal="right" vertical="center" wrapText="1" indent="1"/>
    </xf>
    <xf numFmtId="173" fontId="1" fillId="0" borderId="155" xfId="0" applyNumberFormat="1" applyFont="1" applyFill="1" applyBorder="1" applyAlignment="1">
      <alignment horizontal="right" vertical="center" wrapText="1" indent="1"/>
    </xf>
    <xf numFmtId="173" fontId="1" fillId="0" borderId="167" xfId="0" applyNumberFormat="1" applyFont="1" applyFill="1" applyBorder="1" applyAlignment="1">
      <alignment horizontal="right" vertical="center" wrapText="1" indent="1"/>
    </xf>
    <xf numFmtId="173" fontId="1" fillId="25" borderId="154" xfId="0" applyNumberFormat="1" applyFont="1" applyFill="1" applyBorder="1" applyAlignment="1">
      <alignment horizontal="right" vertical="center" wrapText="1" indent="1"/>
    </xf>
    <xf numFmtId="173" fontId="1" fillId="25" borderId="155" xfId="0" applyNumberFormat="1" applyFont="1" applyFill="1" applyBorder="1" applyAlignment="1">
      <alignment horizontal="right" vertical="center" wrapText="1" indent="1"/>
    </xf>
    <xf numFmtId="173" fontId="1" fillId="25" borderId="167" xfId="0" applyNumberFormat="1" applyFont="1" applyFill="1" applyBorder="1" applyAlignment="1">
      <alignment horizontal="right" vertical="center" wrapText="1" indent="1"/>
    </xf>
    <xf numFmtId="173" fontId="1" fillId="24" borderId="154" xfId="0" applyNumberFormat="1" applyFont="1" applyFill="1" applyBorder="1" applyAlignment="1">
      <alignment horizontal="right" vertical="center" wrapText="1" indent="1"/>
    </xf>
    <xf numFmtId="173" fontId="1" fillId="24" borderId="155" xfId="0" applyNumberFormat="1" applyFont="1" applyFill="1" applyBorder="1" applyAlignment="1">
      <alignment horizontal="right" vertical="center" wrapText="1" indent="1"/>
    </xf>
    <xf numFmtId="173" fontId="1" fillId="24" borderId="167" xfId="0" applyNumberFormat="1" applyFont="1" applyFill="1" applyBorder="1" applyAlignment="1">
      <alignment horizontal="right" vertical="center" wrapText="1" indent="1"/>
    </xf>
    <xf numFmtId="173" fontId="1" fillId="15" borderId="154" xfId="0" applyNumberFormat="1" applyFont="1" applyFill="1" applyBorder="1" applyAlignment="1">
      <alignment horizontal="right" vertical="center" wrapText="1" indent="1"/>
    </xf>
    <xf numFmtId="173" fontId="1" fillId="15" borderId="155" xfId="0" applyNumberFormat="1" applyFont="1" applyFill="1" applyBorder="1" applyAlignment="1">
      <alignment horizontal="right" vertical="center" wrapText="1" indent="1"/>
    </xf>
    <xf numFmtId="173" fontId="1" fillId="15" borderId="167" xfId="0" applyNumberFormat="1" applyFont="1" applyFill="1" applyBorder="1" applyAlignment="1">
      <alignment horizontal="right" vertical="center" wrapText="1" indent="1"/>
    </xf>
    <xf numFmtId="173" fontId="1" fillId="27" borderId="210" xfId="0" applyNumberFormat="1" applyFont="1" applyFill="1" applyBorder="1" applyAlignment="1">
      <alignment horizontal="right" vertical="center" wrapText="1" indent="1"/>
    </xf>
    <xf numFmtId="173" fontId="1" fillId="27" borderId="211" xfId="0" applyNumberFormat="1" applyFont="1" applyFill="1" applyBorder="1" applyAlignment="1">
      <alignment horizontal="right" vertical="center" wrapText="1" indent="1"/>
    </xf>
    <xf numFmtId="173" fontId="1" fillId="27" borderId="216" xfId="0" applyNumberFormat="1" applyFont="1" applyFill="1" applyBorder="1" applyAlignment="1">
      <alignment horizontal="right" vertical="center" wrapText="1" indent="1"/>
    </xf>
    <xf numFmtId="173" fontId="1" fillId="15" borderId="295" xfId="0" applyNumberFormat="1" applyFont="1" applyFill="1" applyBorder="1" applyAlignment="1">
      <alignment horizontal="right" vertical="center" wrapText="1" indent="1"/>
    </xf>
    <xf numFmtId="173" fontId="1" fillId="15" borderId="297" xfId="0" applyNumberFormat="1" applyFont="1" applyFill="1" applyBorder="1" applyAlignment="1">
      <alignment horizontal="right" vertical="center" wrapText="1" indent="1"/>
    </xf>
    <xf numFmtId="173" fontId="1" fillId="15" borderId="299" xfId="0" applyNumberFormat="1" applyFont="1" applyFill="1" applyBorder="1" applyAlignment="1">
      <alignment horizontal="right" vertical="center" wrapText="1" indent="1"/>
    </xf>
    <xf numFmtId="173" fontId="1" fillId="27" borderId="158" xfId="0" applyNumberFormat="1" applyFont="1" applyFill="1" applyBorder="1" applyAlignment="1">
      <alignment horizontal="right" vertical="center" wrapText="1" indent="1"/>
    </xf>
    <xf numFmtId="173" fontId="1" fillId="27" borderId="159" xfId="0" applyNumberFormat="1" applyFont="1" applyFill="1" applyBorder="1" applyAlignment="1">
      <alignment horizontal="right" vertical="center" wrapText="1" indent="1"/>
    </xf>
    <xf numFmtId="173" fontId="1" fillId="27" borderId="171" xfId="0" applyNumberFormat="1" applyFont="1" applyFill="1" applyBorder="1" applyAlignment="1">
      <alignment horizontal="right" vertical="center" wrapText="1" indent="1"/>
    </xf>
    <xf numFmtId="173" fontId="1" fillId="25" borderId="150" xfId="0" applyNumberFormat="1" applyFont="1" applyFill="1" applyBorder="1" applyAlignment="1">
      <alignment horizontal="right" vertical="center" wrapText="1" indent="1"/>
    </xf>
    <xf numFmtId="173" fontId="1" fillId="25" borderId="151" xfId="0" applyNumberFormat="1" applyFont="1" applyFill="1" applyBorder="1" applyAlignment="1">
      <alignment horizontal="right" vertical="center" wrapText="1" indent="1"/>
    </xf>
    <xf numFmtId="173" fontId="1" fillId="25" borderId="163" xfId="0" applyNumberFormat="1" applyFont="1" applyFill="1" applyBorder="1" applyAlignment="1">
      <alignment horizontal="right" vertical="center" wrapText="1" indent="1"/>
    </xf>
    <xf numFmtId="173" fontId="0" fillId="12" borderId="181" xfId="0" applyNumberFormat="1" applyFont="1" applyFill="1" applyBorder="1" applyAlignment="1">
      <alignment horizontal="right" vertical="center" wrapText="1" indent="1"/>
    </xf>
    <xf numFmtId="173" fontId="0" fillId="12" borderId="183" xfId="0" applyNumberFormat="1" applyFont="1" applyFill="1" applyBorder="1" applyAlignment="1">
      <alignment horizontal="right" vertical="center" wrapText="1" indent="1"/>
    </xf>
    <xf numFmtId="173" fontId="0" fillId="12" borderId="186" xfId="0" applyNumberFormat="1" applyFont="1" applyFill="1" applyBorder="1" applyAlignment="1">
      <alignment horizontal="right" vertical="center" wrapText="1" indent="1"/>
    </xf>
    <xf numFmtId="173" fontId="0" fillId="12" borderId="205" xfId="0" applyNumberFormat="1" applyFont="1" applyFill="1" applyBorder="1" applyAlignment="1">
      <alignment horizontal="right" vertical="center" wrapText="1" indent="1"/>
    </xf>
    <xf numFmtId="173" fontId="0" fillId="12" borderId="206" xfId="0" applyNumberFormat="1" applyFont="1" applyFill="1" applyBorder="1" applyAlignment="1">
      <alignment horizontal="right" vertical="center" wrapText="1" indent="1"/>
    </xf>
    <xf numFmtId="173" fontId="0" fillId="12" borderId="195" xfId="0" applyNumberFormat="1" applyFont="1" applyFill="1" applyBorder="1" applyAlignment="1">
      <alignment horizontal="right" vertical="center" wrapText="1" indent="1"/>
    </xf>
    <xf numFmtId="173" fontId="0" fillId="12" borderId="117" xfId="0" applyNumberFormat="1" applyFont="1" applyFill="1" applyBorder="1" applyAlignment="1">
      <alignment horizontal="right" vertical="center" wrapText="1" indent="1"/>
    </xf>
    <xf numFmtId="173" fontId="0" fillId="12" borderId="189" xfId="0" applyNumberFormat="1" applyFont="1" applyFill="1" applyBorder="1" applyAlignment="1">
      <alignment horizontal="right" vertical="center" wrapText="1" indent="1"/>
    </xf>
    <xf numFmtId="173" fontId="0" fillId="12" borderId="193" xfId="0" applyNumberFormat="1" applyFont="1" applyFill="1" applyBorder="1" applyAlignment="1">
      <alignment horizontal="right" vertical="center" wrapText="1" indent="1"/>
    </xf>
    <xf numFmtId="173" fontId="1" fillId="24" borderId="34" xfId="0" applyNumberFormat="1" applyFont="1" applyFill="1" applyBorder="1" applyAlignment="1">
      <alignment horizontal="right" vertical="center" wrapText="1" indent="1"/>
    </xf>
    <xf numFmtId="173" fontId="1" fillId="24" borderId="307" xfId="0" applyNumberFormat="1" applyFont="1" applyFill="1" applyBorder="1" applyAlignment="1">
      <alignment horizontal="right" vertical="center" wrapText="1" indent="1"/>
    </xf>
    <xf numFmtId="173" fontId="1" fillId="25" borderId="307" xfId="0" applyNumberFormat="1" applyFont="1" applyFill="1" applyBorder="1" applyAlignment="1">
      <alignment horizontal="right" vertical="center" wrapText="1" indent="1"/>
    </xf>
    <xf numFmtId="173" fontId="0" fillId="12" borderId="23" xfId="0" applyNumberFormat="1" applyFont="1" applyFill="1" applyBorder="1" applyAlignment="1">
      <alignment horizontal="right" vertical="center" wrapText="1" indent="1"/>
    </xf>
    <xf numFmtId="173" fontId="0" fillId="12" borderId="34" xfId="0" applyNumberFormat="1" applyFont="1" applyFill="1" applyBorder="1" applyAlignment="1">
      <alignment horizontal="right" vertical="center" wrapText="1" indent="1"/>
    </xf>
    <xf numFmtId="173" fontId="0" fillId="12" borderId="307" xfId="0" applyNumberFormat="1" applyFont="1" applyFill="1" applyBorder="1" applyAlignment="1">
      <alignment horizontal="right" vertical="center" wrapText="1" indent="1"/>
    </xf>
    <xf numFmtId="173" fontId="0" fillId="12" borderId="27" xfId="0" applyNumberFormat="1" applyFont="1" applyFill="1" applyBorder="1" applyAlignment="1">
      <alignment horizontal="right" vertical="center" wrapText="1" indent="1"/>
    </xf>
    <xf numFmtId="173" fontId="0" fillId="12" borderId="60" xfId="0" applyNumberFormat="1" applyFont="1" applyFill="1" applyBorder="1" applyAlignment="1">
      <alignment horizontal="right" vertical="center" wrapText="1" indent="1"/>
    </xf>
    <xf numFmtId="173" fontId="0" fillId="12" borderId="311" xfId="0" applyNumberFormat="1" applyFont="1" applyFill="1" applyBorder="1" applyAlignment="1">
      <alignment horizontal="right" vertical="center" wrapText="1" indent="1"/>
    </xf>
    <xf numFmtId="173" fontId="1" fillId="12" borderId="27" xfId="0" applyNumberFormat="1" applyFont="1" applyFill="1" applyBorder="1" applyAlignment="1">
      <alignment horizontal="right" vertical="center" wrapText="1" indent="1"/>
    </xf>
    <xf numFmtId="173" fontId="1" fillId="12" borderId="60" xfId="0" applyNumberFormat="1" applyFont="1" applyFill="1" applyBorder="1" applyAlignment="1">
      <alignment horizontal="right" vertical="center" wrapText="1" indent="1"/>
    </xf>
    <xf numFmtId="173" fontId="1" fillId="12" borderId="311" xfId="0" applyNumberFormat="1" applyFont="1" applyFill="1" applyBorder="1" applyAlignment="1">
      <alignment horizontal="right" vertical="center" wrapText="1" indent="1"/>
    </xf>
    <xf numFmtId="173" fontId="0" fillId="0" borderId="26" xfId="0" applyNumberFormat="1" applyFont="1" applyBorder="1" applyAlignment="1">
      <alignment horizontal="right" vertical="center"/>
    </xf>
    <xf numFmtId="173" fontId="0" fillId="0" borderId="33" xfId="0" applyNumberFormat="1" applyFont="1" applyBorder="1" applyAlignment="1">
      <alignment horizontal="right" vertical="center"/>
    </xf>
    <xf numFmtId="173" fontId="0" fillId="0" borderId="0" xfId="0" applyNumberFormat="1" applyFont="1" applyBorder="1" applyAlignment="1">
      <alignment horizontal="right" vertical="center"/>
    </xf>
    <xf numFmtId="173" fontId="1" fillId="25" borderId="130" xfId="0" applyNumberFormat="1" applyFont="1" applyFill="1" applyBorder="1" applyAlignment="1">
      <alignment horizontal="right" vertical="center" wrapText="1" indent="1"/>
    </xf>
    <xf numFmtId="173" fontId="1" fillId="25" borderId="199" xfId="0" applyNumberFormat="1" applyFont="1" applyFill="1" applyBorder="1" applyAlignment="1">
      <alignment horizontal="right" vertical="center" wrapText="1" indent="1"/>
    </xf>
    <xf numFmtId="173" fontId="1" fillId="25" borderId="204" xfId="0" applyNumberFormat="1" applyFont="1" applyFill="1" applyBorder="1" applyAlignment="1">
      <alignment horizontal="right" vertical="center" wrapText="1" indent="1"/>
    </xf>
    <xf numFmtId="173" fontId="1" fillId="0" borderId="205" xfId="0" applyNumberFormat="1" applyFont="1" applyFill="1" applyBorder="1" applyAlignment="1">
      <alignment horizontal="right" vertical="center" wrapText="1" indent="1"/>
    </xf>
    <xf numFmtId="173" fontId="1" fillId="0" borderId="206" xfId="0" applyNumberFormat="1" applyFont="1" applyFill="1" applyBorder="1" applyAlignment="1">
      <alignment horizontal="right" vertical="center" wrapText="1" indent="1"/>
    </xf>
    <xf numFmtId="173" fontId="1" fillId="0" borderId="195" xfId="0" applyNumberFormat="1" applyFont="1" applyFill="1" applyBorder="1" applyAlignment="1">
      <alignment horizontal="right" vertical="center" wrapText="1" indent="1"/>
    </xf>
    <xf numFmtId="173" fontId="1" fillId="24" borderId="205" xfId="0" applyNumberFormat="1" applyFont="1" applyFill="1" applyBorder="1" applyAlignment="1">
      <alignment horizontal="right" vertical="center" wrapText="1" indent="1"/>
    </xf>
    <xf numFmtId="173" fontId="1" fillId="24" borderId="206" xfId="0" applyNumberFormat="1" applyFont="1" applyFill="1" applyBorder="1" applyAlignment="1">
      <alignment horizontal="right" vertical="center" wrapText="1" indent="1"/>
    </xf>
    <xf numFmtId="173" fontId="1" fillId="24" borderId="195" xfId="0" applyNumberFormat="1" applyFont="1" applyFill="1" applyBorder="1" applyAlignment="1">
      <alignment horizontal="right" vertical="center" wrapText="1" indent="1"/>
    </xf>
    <xf numFmtId="173" fontId="1" fillId="27" borderId="205" xfId="0" applyNumberFormat="1" applyFont="1" applyFill="1" applyBorder="1" applyAlignment="1">
      <alignment horizontal="right" vertical="center" wrapText="1" indent="1"/>
    </xf>
    <xf numFmtId="173" fontId="1" fillId="27" borderId="206" xfId="0" applyNumberFormat="1" applyFont="1" applyFill="1" applyBorder="1" applyAlignment="1">
      <alignment horizontal="right" vertical="center" wrapText="1" indent="1"/>
    </xf>
    <xf numFmtId="173" fontId="1" fillId="27" borderId="195" xfId="0" applyNumberFormat="1" applyFont="1" applyFill="1" applyBorder="1" applyAlignment="1">
      <alignment horizontal="right" vertical="center" wrapText="1" indent="1"/>
    </xf>
    <xf numFmtId="173" fontId="1" fillId="25" borderId="19" xfId="0" applyNumberFormat="1" applyFont="1" applyFill="1" applyBorder="1" applyAlignment="1">
      <alignment horizontal="right" vertical="center" wrapText="1" indent="1"/>
    </xf>
    <xf numFmtId="166" fontId="57" fillId="0" borderId="26" xfId="0" applyNumberFormat="1" applyFont="1" applyBorder="1" applyAlignment="1">
      <alignment horizontal="right" vertical="center"/>
    </xf>
    <xf numFmtId="166" fontId="48" fillId="0" borderId="26" xfId="0" applyNumberFormat="1" applyFont="1" applyBorder="1" applyAlignment="1">
      <alignment horizontal="right" vertical="center"/>
    </xf>
    <xf numFmtId="166" fontId="48" fillId="25" borderId="23" xfId="0" applyNumberFormat="1" applyFont="1" applyFill="1" applyBorder="1" applyAlignment="1">
      <alignment horizontal="right" vertical="center" wrapText="1"/>
    </xf>
    <xf numFmtId="173" fontId="0" fillId="25" borderId="23" xfId="0" applyNumberFormat="1" applyFont="1" applyFill="1" applyBorder="1" applyAlignment="1">
      <alignment horizontal="right" vertical="center" wrapText="1"/>
    </xf>
    <xf numFmtId="173" fontId="0" fillId="25" borderId="34" xfId="0" applyNumberFormat="1" applyFont="1" applyFill="1" applyBorder="1" applyAlignment="1">
      <alignment horizontal="right" vertical="center" wrapText="1"/>
    </xf>
    <xf numFmtId="173" fontId="0" fillId="25" borderId="307" xfId="0" applyNumberFormat="1" applyFont="1" applyFill="1" applyBorder="1" applyAlignment="1">
      <alignment horizontal="right" vertical="center" wrapText="1"/>
    </xf>
    <xf numFmtId="166" fontId="48" fillId="12" borderId="23" xfId="0" applyNumberFormat="1" applyFont="1" applyFill="1" applyBorder="1" applyAlignment="1">
      <alignment horizontal="right" vertical="center" wrapText="1"/>
    </xf>
    <xf numFmtId="173" fontId="0" fillId="12" borderId="23" xfId="0" applyNumberFormat="1" applyFont="1" applyFill="1" applyBorder="1" applyAlignment="1">
      <alignment horizontal="right" vertical="center" wrapText="1"/>
    </xf>
    <xf numFmtId="173" fontId="0" fillId="12" borderId="34" xfId="0" applyNumberFormat="1" applyFont="1" applyFill="1" applyBorder="1" applyAlignment="1">
      <alignment horizontal="right" vertical="center" wrapText="1"/>
    </xf>
    <xf numFmtId="173" fontId="0" fillId="12" borderId="307" xfId="0" applyNumberFormat="1" applyFont="1" applyFill="1" applyBorder="1" applyAlignment="1">
      <alignment horizontal="right" vertical="center" wrapText="1"/>
    </xf>
    <xf numFmtId="166" fontId="57" fillId="0" borderId="23" xfId="0" applyNumberFormat="1" applyFont="1" applyBorder="1" applyAlignment="1">
      <alignment horizontal="right" vertical="center"/>
    </xf>
    <xf numFmtId="166" fontId="48" fillId="0" borderId="23" xfId="0" applyNumberFormat="1" applyFont="1" applyBorder="1" applyAlignment="1">
      <alignment horizontal="right" vertical="center"/>
    </xf>
    <xf numFmtId="173" fontId="0" fillId="0" borderId="23" xfId="0" applyNumberFormat="1" applyFont="1" applyBorder="1" applyAlignment="1">
      <alignment horizontal="right" vertical="center"/>
    </xf>
    <xf numFmtId="173" fontId="0" fillId="0" borderId="34" xfId="0" applyNumberFormat="1" applyFont="1" applyBorder="1" applyAlignment="1">
      <alignment horizontal="right" vertical="center"/>
    </xf>
    <xf numFmtId="173" fontId="0" fillId="0" borderId="307" xfId="0" applyNumberFormat="1" applyFont="1" applyBorder="1" applyAlignment="1">
      <alignment horizontal="right" vertical="center"/>
    </xf>
    <xf numFmtId="166" fontId="48" fillId="12" borderId="27" xfId="0" applyNumberFormat="1" applyFont="1" applyFill="1" applyBorder="1" applyAlignment="1">
      <alignment horizontal="right" vertical="center" wrapText="1"/>
    </xf>
    <xf numFmtId="173" fontId="0" fillId="12" borderId="27" xfId="0" applyNumberFormat="1" applyFont="1" applyFill="1" applyBorder="1" applyAlignment="1">
      <alignment horizontal="right" vertical="center" wrapText="1"/>
    </xf>
    <xf numFmtId="173" fontId="0" fillId="12" borderId="60" xfId="0" applyNumberFormat="1" applyFont="1" applyFill="1" applyBorder="1" applyAlignment="1">
      <alignment horizontal="right" vertical="center" wrapText="1"/>
    </xf>
    <xf numFmtId="173" fontId="0" fillId="12" borderId="311" xfId="0" applyNumberFormat="1" applyFont="1" applyFill="1" applyBorder="1" applyAlignment="1">
      <alignment horizontal="right" vertical="center" wrapText="1"/>
    </xf>
    <xf numFmtId="173" fontId="0" fillId="0" borderId="48" xfId="0" applyNumberFormat="1" applyFont="1" applyBorder="1" applyAlignment="1">
      <alignment horizontal="right" vertical="center"/>
    </xf>
    <xf numFmtId="166" fontId="57" fillId="12" borderId="23" xfId="0" applyNumberFormat="1" applyFont="1" applyFill="1" applyBorder="1" applyAlignment="1">
      <alignment horizontal="right" vertical="center"/>
    </xf>
    <xf numFmtId="166" fontId="48" fillId="12" borderId="23" xfId="0" applyNumberFormat="1" applyFont="1" applyFill="1" applyBorder="1" applyAlignment="1">
      <alignment horizontal="right" vertical="center"/>
    </xf>
    <xf numFmtId="173" fontId="0" fillId="12" borderId="23" xfId="0" applyNumberFormat="1" applyFont="1" applyFill="1" applyBorder="1" applyAlignment="1">
      <alignment horizontal="right" vertical="center"/>
    </xf>
    <xf numFmtId="173" fontId="0" fillId="12" borderId="34" xfId="0" applyNumberFormat="1" applyFont="1" applyFill="1" applyBorder="1" applyAlignment="1">
      <alignment horizontal="right" vertical="center"/>
    </xf>
    <xf numFmtId="173" fontId="0" fillId="12" borderId="307" xfId="0" applyNumberFormat="1" applyFont="1" applyFill="1" applyBorder="1" applyAlignment="1">
      <alignment horizontal="right" vertical="center"/>
    </xf>
    <xf numFmtId="166" fontId="57" fillId="25" borderId="7" xfId="0" applyNumberFormat="1" applyFont="1" applyFill="1" applyBorder="1" applyAlignment="1">
      <alignment horizontal="right" vertical="center"/>
    </xf>
    <xf numFmtId="166" fontId="48" fillId="25" borderId="7" xfId="0" applyNumberFormat="1" applyFont="1" applyFill="1" applyBorder="1" applyAlignment="1">
      <alignment horizontal="right" vertical="center"/>
    </xf>
    <xf numFmtId="173" fontId="0" fillId="25" borderId="7" xfId="0" applyNumberFormat="1" applyFont="1" applyFill="1" applyBorder="1" applyAlignment="1">
      <alignment horizontal="right" vertical="center"/>
    </xf>
    <xf numFmtId="173" fontId="0" fillId="25" borderId="44" xfId="0" applyNumberFormat="1" applyFont="1" applyFill="1" applyBorder="1" applyAlignment="1">
      <alignment horizontal="right" vertical="center"/>
    </xf>
    <xf numFmtId="173" fontId="0" fillId="25" borderId="0" xfId="0" applyNumberFormat="1" applyFont="1" applyFill="1" applyBorder="1" applyAlignment="1">
      <alignment horizontal="right" vertical="center"/>
    </xf>
    <xf numFmtId="166" fontId="48" fillId="0" borderId="302" xfId="0" applyNumberFormat="1" applyFont="1" applyFill="1" applyBorder="1" applyAlignment="1">
      <alignment horizontal="right" vertical="center" wrapText="1"/>
    </xf>
    <xf numFmtId="173" fontId="0" fillId="0" borderId="302" xfId="0" applyNumberFormat="1" applyFont="1" applyFill="1" applyBorder="1" applyAlignment="1">
      <alignment horizontal="right" vertical="center" wrapText="1"/>
    </xf>
    <xf numFmtId="173" fontId="0" fillId="0" borderId="310" xfId="0" applyNumberFormat="1" applyFont="1" applyFill="1" applyBorder="1" applyAlignment="1">
      <alignment horizontal="right" vertical="center" wrapText="1"/>
    </xf>
    <xf numFmtId="173" fontId="0" fillId="0" borderId="307" xfId="0" applyNumberFormat="1" applyFont="1" applyFill="1" applyBorder="1" applyAlignment="1">
      <alignment horizontal="right" vertical="center" wrapText="1"/>
    </xf>
    <xf numFmtId="166" fontId="57" fillId="12" borderId="27" xfId="0" applyNumberFormat="1" applyFont="1" applyFill="1" applyBorder="1" applyAlignment="1">
      <alignment horizontal="right" vertical="center"/>
    </xf>
    <xf numFmtId="166" fontId="48" fillId="12" borderId="27" xfId="0" applyNumberFormat="1" applyFont="1" applyFill="1" applyBorder="1" applyAlignment="1">
      <alignment horizontal="right" vertical="center"/>
    </xf>
    <xf numFmtId="173" fontId="0" fillId="12" borderId="27" xfId="0" applyNumberFormat="1" applyFont="1" applyFill="1" applyBorder="1" applyAlignment="1">
      <alignment horizontal="right" vertical="center"/>
    </xf>
    <xf numFmtId="173" fontId="0" fillId="12" borderId="60" xfId="0" applyNumberFormat="1" applyFont="1" applyFill="1" applyBorder="1" applyAlignment="1">
      <alignment horizontal="right" vertical="center"/>
    </xf>
    <xf numFmtId="173" fontId="0" fillId="12" borderId="311" xfId="0" applyNumberFormat="1" applyFont="1" applyFill="1" applyBorder="1" applyAlignment="1">
      <alignment horizontal="right" vertical="center"/>
    </xf>
    <xf numFmtId="0" fontId="61" fillId="25" borderId="58" xfId="0" applyFont="1" applyFill="1" applyBorder="1" applyAlignment="1">
      <alignment horizontal="center" vertical="center" wrapText="1"/>
    </xf>
    <xf numFmtId="3" fontId="0" fillId="40" borderId="18" xfId="0" applyNumberFormat="1" applyFont="1" applyFill="1" applyBorder="1" applyAlignment="1">
      <alignment horizontal="right" vertical="center" wrapText="1" indent="1"/>
    </xf>
    <xf numFmtId="3" fontId="0" fillId="40" borderId="12" xfId="0" applyNumberFormat="1" applyFont="1" applyFill="1" applyBorder="1" applyAlignment="1">
      <alignment horizontal="right" vertical="center" wrapText="1" indent="1"/>
    </xf>
    <xf numFmtId="3" fontId="0" fillId="40" borderId="114" xfId="0" applyNumberFormat="1" applyFont="1" applyFill="1" applyBorder="1" applyAlignment="1">
      <alignment horizontal="right" vertical="center" wrapText="1" indent="1"/>
    </xf>
    <xf numFmtId="3" fontId="0" fillId="40" borderId="182" xfId="0" applyNumberFormat="1" applyFont="1" applyFill="1" applyBorder="1" applyAlignment="1">
      <alignment horizontal="right" vertical="center" wrapText="1" indent="1"/>
    </xf>
    <xf numFmtId="3" fontId="0" fillId="40" borderId="188" xfId="0" applyNumberFormat="1" applyFont="1" applyFill="1" applyBorder="1" applyAlignment="1">
      <alignment horizontal="right" vertical="center" wrapText="1" indent="1"/>
    </xf>
    <xf numFmtId="3" fontId="0" fillId="40" borderId="49" xfId="0" applyNumberFormat="1" applyFont="1" applyFill="1" applyBorder="1" applyAlignment="1">
      <alignment horizontal="right" vertical="center" wrapText="1" indent="1"/>
    </xf>
    <xf numFmtId="3" fontId="0" fillId="40" borderId="29" xfId="0" applyNumberFormat="1" applyFont="1" applyFill="1" applyBorder="1" applyAlignment="1">
      <alignment horizontal="right" vertical="center" wrapText="1" indent="1"/>
    </xf>
    <xf numFmtId="2" fontId="0" fillId="40" borderId="8" xfId="0" applyNumberFormat="1" applyFont="1" applyFill="1" applyBorder="1" applyAlignment="1">
      <alignment horizontal="right" vertical="center" wrapText="1" indent="1"/>
    </xf>
    <xf numFmtId="2" fontId="0" fillId="40" borderId="114" xfId="0" applyNumberFormat="1" applyFont="1" applyFill="1" applyBorder="1" applyAlignment="1">
      <alignment horizontal="right" vertical="center" wrapText="1" indent="1"/>
    </xf>
    <xf numFmtId="2" fontId="0" fillId="40" borderId="182" xfId="0" applyNumberFormat="1" applyFont="1" applyFill="1" applyBorder="1" applyAlignment="1">
      <alignment horizontal="right" vertical="center" wrapText="1" indent="1"/>
    </xf>
    <xf numFmtId="2" fontId="0" fillId="40" borderId="188" xfId="0" applyNumberFormat="1" applyFont="1" applyFill="1" applyBorder="1" applyAlignment="1">
      <alignment horizontal="right" vertical="center" wrapText="1" indent="1"/>
    </xf>
    <xf numFmtId="2" fontId="0" fillId="40" borderId="49" xfId="0" applyNumberFormat="1" applyFont="1" applyFill="1" applyBorder="1" applyAlignment="1">
      <alignment horizontal="right" vertical="center" wrapText="1" indent="1"/>
    </xf>
    <xf numFmtId="2" fontId="0" fillId="40" borderId="29" xfId="0" applyNumberFormat="1" applyFont="1" applyFill="1" applyBorder="1" applyAlignment="1">
      <alignment horizontal="right" vertical="center" wrapText="1" indent="1"/>
    </xf>
    <xf numFmtId="171" fontId="56" fillId="0" borderId="150" xfId="0" applyNumberFormat="1" applyFont="1" applyFill="1" applyBorder="1" applyAlignment="1">
      <alignment horizontal="center" vertical="center" wrapText="1"/>
    </xf>
    <xf numFmtId="171" fontId="56" fillId="0" borderId="154" xfId="0" applyNumberFormat="1" applyFont="1" applyFill="1" applyBorder="1" applyAlignment="1">
      <alignment horizontal="center" vertical="center" wrapText="1"/>
    </xf>
    <xf numFmtId="171" fontId="56" fillId="25" borderId="154" xfId="0" applyNumberFormat="1" applyFont="1" applyFill="1" applyBorder="1" applyAlignment="1">
      <alignment horizontal="center" vertical="center" wrapText="1"/>
    </xf>
    <xf numFmtId="171" fontId="56" fillId="24" borderId="154" xfId="0" applyNumberFormat="1" applyFont="1" applyFill="1" applyBorder="1" applyAlignment="1">
      <alignment horizontal="center" vertical="center" wrapText="1"/>
    </xf>
    <xf numFmtId="171" fontId="56" fillId="15" borderId="154" xfId="0" applyNumberFormat="1" applyFont="1" applyFill="1" applyBorder="1" applyAlignment="1">
      <alignment horizontal="center" vertical="center" wrapText="1"/>
    </xf>
    <xf numFmtId="171" fontId="56" fillId="25" borderId="130" xfId="0" applyNumberFormat="1" applyFont="1" applyFill="1" applyBorder="1" applyAlignment="1">
      <alignment horizontal="center" vertical="center" wrapText="1"/>
    </xf>
    <xf numFmtId="171" fontId="56" fillId="0" borderId="205" xfId="0" applyNumberFormat="1" applyFont="1" applyFill="1" applyBorder="1" applyAlignment="1">
      <alignment horizontal="center" vertical="center" wrapText="1"/>
    </xf>
    <xf numFmtId="171" fontId="56" fillId="24" borderId="205" xfId="0" applyNumberFormat="1" applyFont="1" applyFill="1" applyBorder="1" applyAlignment="1">
      <alignment horizontal="center" vertical="center" wrapText="1"/>
    </xf>
    <xf numFmtId="171" fontId="56" fillId="15" borderId="295" xfId="0" applyNumberFormat="1" applyFont="1" applyFill="1" applyBorder="1" applyAlignment="1">
      <alignment horizontal="center" vertical="center" wrapText="1"/>
    </xf>
    <xf numFmtId="171" fontId="56" fillId="27" borderId="158" xfId="0" applyNumberFormat="1" applyFont="1" applyFill="1" applyBorder="1" applyAlignment="1">
      <alignment horizontal="center" vertical="center" wrapText="1"/>
    </xf>
    <xf numFmtId="171" fontId="56" fillId="0" borderId="23" xfId="0" applyNumberFormat="1" applyFont="1" applyBorder="1" applyAlignment="1">
      <alignment horizontal="center" vertical="center"/>
    </xf>
    <xf numFmtId="171" fontId="56" fillId="25" borderId="150" xfId="0" applyNumberFormat="1" applyFont="1" applyFill="1" applyBorder="1" applyAlignment="1">
      <alignment horizontal="center" vertical="center" wrapText="1"/>
    </xf>
    <xf numFmtId="171" fontId="56" fillId="24" borderId="7" xfId="0" applyNumberFormat="1" applyFont="1" applyFill="1" applyBorder="1" applyAlignment="1">
      <alignment horizontal="center" vertical="center" wrapText="1"/>
    </xf>
    <xf numFmtId="171" fontId="56" fillId="12" borderId="181" xfId="0" applyNumberFormat="1" applyFont="1" applyFill="1" applyBorder="1" applyAlignment="1">
      <alignment horizontal="center" vertical="center" wrapText="1"/>
    </xf>
    <xf numFmtId="171" fontId="56" fillId="12" borderId="205" xfId="0" applyNumberFormat="1" applyFont="1" applyFill="1" applyBorder="1" applyAlignment="1">
      <alignment horizontal="center" vertical="center" wrapText="1"/>
    </xf>
    <xf numFmtId="171" fontId="56" fillId="12" borderId="117" xfId="0" applyNumberFormat="1" applyFont="1" applyFill="1" applyBorder="1" applyAlignment="1">
      <alignment horizontal="center" vertical="center" wrapText="1"/>
    </xf>
    <xf numFmtId="171" fontId="56" fillId="24" borderId="23" xfId="0" applyNumberFormat="1" applyFont="1" applyFill="1" applyBorder="1" applyAlignment="1">
      <alignment horizontal="center" vertical="center" wrapText="1"/>
    </xf>
    <xf numFmtId="171" fontId="56" fillId="25" borderId="23" xfId="0" applyNumberFormat="1" applyFont="1" applyFill="1" applyBorder="1" applyAlignment="1">
      <alignment horizontal="center" vertical="center" wrapText="1"/>
    </xf>
    <xf numFmtId="171" fontId="56" fillId="12" borderId="23" xfId="0" applyNumberFormat="1" applyFont="1" applyFill="1" applyBorder="1" applyAlignment="1">
      <alignment horizontal="center" vertical="center" wrapText="1"/>
    </xf>
    <xf numFmtId="171" fontId="56" fillId="12" borderId="27" xfId="0" applyNumberFormat="1" applyFont="1" applyFill="1" applyBorder="1" applyAlignment="1">
      <alignment horizontal="center" vertical="center" wrapText="1"/>
    </xf>
    <xf numFmtId="171" fontId="56" fillId="0" borderId="26" xfId="0" applyNumberFormat="1" applyFont="1" applyBorder="1" applyAlignment="1">
      <alignment horizontal="center" vertical="center"/>
    </xf>
    <xf numFmtId="171" fontId="56" fillId="12" borderId="23" xfId="0" applyNumberFormat="1" applyFont="1" applyFill="1" applyBorder="1" applyAlignment="1">
      <alignment horizontal="center" vertical="center"/>
    </xf>
    <xf numFmtId="171" fontId="56" fillId="25" borderId="7" xfId="0" applyNumberFormat="1" applyFont="1" applyFill="1" applyBorder="1" applyAlignment="1">
      <alignment horizontal="center" vertical="center"/>
    </xf>
    <xf numFmtId="171" fontId="56" fillId="0" borderId="302" xfId="0" applyNumberFormat="1" applyFont="1" applyFill="1" applyBorder="1" applyAlignment="1">
      <alignment horizontal="center" vertical="center" wrapText="1"/>
    </xf>
    <xf numFmtId="171" fontId="56" fillId="12" borderId="27" xfId="0" applyNumberFormat="1" applyFont="1" applyFill="1" applyBorder="1" applyAlignment="1">
      <alignment horizontal="center" vertical="center"/>
    </xf>
    <xf numFmtId="171" fontId="56" fillId="12" borderId="306" xfId="0" applyNumberFormat="1" applyFont="1" applyFill="1" applyBorder="1" applyAlignment="1">
      <alignment horizontal="center" vertical="center" wrapText="1"/>
    </xf>
    <xf numFmtId="171" fontId="56" fillId="0" borderId="7" xfId="0" applyNumberFormat="1" applyFont="1" applyBorder="1" applyAlignment="1">
      <alignment horizontal="center" vertical="center"/>
    </xf>
    <xf numFmtId="171" fontId="56" fillId="0" borderId="302" xfId="0" applyNumberFormat="1" applyFont="1" applyBorder="1" applyAlignment="1">
      <alignment horizontal="center" vertical="center"/>
    </xf>
    <xf numFmtId="171" fontId="56" fillId="25" borderId="302" xfId="0" applyNumberFormat="1" applyFont="1" applyFill="1" applyBorder="1" applyAlignment="1">
      <alignment horizontal="center" vertical="center" wrapText="1"/>
    </xf>
    <xf numFmtId="171" fontId="56" fillId="12" borderId="302" xfId="0" applyNumberFormat="1" applyFont="1" applyFill="1" applyBorder="1" applyAlignment="1">
      <alignment horizontal="center" vertical="center" wrapText="1"/>
    </xf>
    <xf numFmtId="166" fontId="57" fillId="34" borderId="26" xfId="0" applyNumberFormat="1" applyFont="1" applyFill="1" applyBorder="1" applyAlignment="1">
      <alignment horizontal="right" vertical="center" wrapText="1" indent="1"/>
    </xf>
    <xf numFmtId="171" fontId="56" fillId="34" borderId="26" xfId="0" applyNumberFormat="1" applyFont="1" applyFill="1" applyBorder="1" applyAlignment="1">
      <alignment horizontal="center" vertical="center" wrapText="1"/>
    </xf>
    <xf numFmtId="166" fontId="48" fillId="34" borderId="26" xfId="0" applyNumberFormat="1" applyFont="1" applyFill="1" applyBorder="1" applyAlignment="1">
      <alignment horizontal="right" vertical="center" wrapText="1" indent="1"/>
    </xf>
    <xf numFmtId="173" fontId="56" fillId="34" borderId="26" xfId="0" applyNumberFormat="1" applyFont="1" applyFill="1" applyBorder="1" applyAlignment="1">
      <alignment horizontal="right" vertical="center" wrapText="1" indent="1"/>
    </xf>
    <xf numFmtId="173" fontId="1" fillId="34" borderId="26" xfId="0" applyNumberFormat="1" applyFont="1" applyFill="1" applyBorder="1" applyAlignment="1">
      <alignment horizontal="right" vertical="center" wrapText="1" indent="1"/>
    </xf>
    <xf numFmtId="183" fontId="56" fillId="12" borderId="320" xfId="0" applyNumberFormat="1" applyFont="1" applyFill="1" applyBorder="1" applyAlignment="1">
      <alignment horizontal="right" vertical="center" wrapText="1" indent="2"/>
    </xf>
    <xf numFmtId="183" fontId="48" fillId="25" borderId="302" xfId="0" applyNumberFormat="1" applyFont="1" applyFill="1" applyBorder="1" applyAlignment="1">
      <alignment horizontal="right" vertical="center" wrapText="1" indent="2"/>
    </xf>
    <xf numFmtId="183" fontId="0" fillId="25" borderId="302" xfId="0" applyNumberFormat="1" applyFill="1" applyBorder="1" applyAlignment="1">
      <alignment horizontal="right" vertical="center" wrapText="1" indent="2"/>
    </xf>
    <xf numFmtId="183" fontId="0" fillId="12" borderId="302" xfId="0" applyNumberFormat="1" applyFill="1" applyBorder="1" applyAlignment="1">
      <alignment horizontal="right" vertical="center" wrapText="1" indent="2"/>
    </xf>
    <xf numFmtId="183" fontId="0" fillId="12" borderId="303" xfId="0" applyNumberFormat="1" applyFill="1" applyBorder="1" applyAlignment="1">
      <alignment horizontal="right" vertical="center" wrapText="1" indent="2"/>
    </xf>
    <xf numFmtId="183" fontId="0" fillId="25" borderId="7" xfId="0" applyNumberFormat="1" applyFill="1" applyBorder="1" applyAlignment="1">
      <alignment horizontal="right" vertical="center" wrapText="1" indent="2"/>
    </xf>
    <xf numFmtId="0" fontId="4" fillId="26" borderId="309" xfId="0" applyFont="1" applyFill="1" applyBorder="1" applyAlignment="1">
      <alignment vertical="center" wrapText="1"/>
    </xf>
    <xf numFmtId="0" fontId="1" fillId="26" borderId="309" xfId="0" applyFont="1" applyFill="1" applyBorder="1" applyAlignment="1">
      <alignment horizontal="center" vertical="center" wrapText="1"/>
    </xf>
    <xf numFmtId="0" fontId="1" fillId="26" borderId="302" xfId="0" applyFont="1" applyFill="1" applyBorder="1" applyAlignment="1">
      <alignment horizontal="center" vertical="center" wrapText="1"/>
    </xf>
    <xf numFmtId="166" fontId="9" fillId="0" borderId="162" xfId="0" applyNumberFormat="1" applyFont="1" applyFill="1" applyBorder="1" applyAlignment="1">
      <alignment horizontal="right" vertical="center" wrapText="1" indent="2"/>
    </xf>
    <xf numFmtId="166" fontId="9" fillId="0" borderId="166" xfId="0" applyNumberFormat="1" applyFont="1" applyFill="1" applyBorder="1" applyAlignment="1">
      <alignment horizontal="right" vertical="center" wrapText="1" indent="2"/>
    </xf>
    <xf numFmtId="166" fontId="9" fillId="25" borderId="166" xfId="0" applyNumberFormat="1" applyFont="1" applyFill="1" applyBorder="1" applyAlignment="1">
      <alignment horizontal="right" vertical="center" wrapText="1" indent="2"/>
    </xf>
    <xf numFmtId="166" fontId="9" fillId="15" borderId="166" xfId="0" applyNumberFormat="1" applyFont="1" applyFill="1" applyBorder="1" applyAlignment="1">
      <alignment horizontal="right" vertical="center" wrapText="1" indent="2"/>
    </xf>
    <xf numFmtId="166" fontId="9" fillId="15" borderId="301" xfId="0" applyNumberFormat="1" applyFont="1" applyFill="1" applyBorder="1" applyAlignment="1">
      <alignment horizontal="right" vertical="center" wrapText="1" indent="2"/>
    </xf>
    <xf numFmtId="183" fontId="57" fillId="24" borderId="8" xfId="0" applyNumberFormat="1" applyFont="1" applyFill="1" applyBorder="1" applyAlignment="1">
      <alignment horizontal="right" vertical="center" wrapText="1" indent="2"/>
    </xf>
    <xf numFmtId="183" fontId="56" fillId="12" borderId="322" xfId="0" applyNumberFormat="1" applyFont="1" applyFill="1" applyBorder="1" applyAlignment="1">
      <alignment horizontal="right" vertical="center" wrapText="1" indent="2"/>
    </xf>
    <xf numFmtId="183" fontId="48" fillId="24" borderId="304" xfId="0" applyNumberFormat="1" applyFont="1" applyFill="1" applyBorder="1" applyAlignment="1">
      <alignment horizontal="right" vertical="center" wrapText="1" indent="2"/>
    </xf>
    <xf numFmtId="183" fontId="48" fillId="25" borderId="304" xfId="0" applyNumberFormat="1" applyFont="1" applyFill="1" applyBorder="1" applyAlignment="1">
      <alignment horizontal="right" vertical="center" wrapText="1" indent="2"/>
    </xf>
    <xf numFmtId="183" fontId="0" fillId="25" borderId="304" xfId="0" applyNumberFormat="1" applyFill="1" applyBorder="1" applyAlignment="1">
      <alignment horizontal="right" vertical="center" wrapText="1" indent="2"/>
    </xf>
    <xf numFmtId="183" fontId="0" fillId="12" borderId="304" xfId="0" applyNumberFormat="1" applyFill="1" applyBorder="1" applyAlignment="1">
      <alignment horizontal="right" vertical="center" wrapText="1" indent="2"/>
    </xf>
    <xf numFmtId="183" fontId="0" fillId="12" borderId="305" xfId="0" applyNumberFormat="1" applyFill="1" applyBorder="1" applyAlignment="1">
      <alignment horizontal="right" vertical="center" wrapText="1" indent="2"/>
    </xf>
    <xf numFmtId="183" fontId="0" fillId="25" borderId="49" xfId="0" applyNumberFormat="1" applyFill="1" applyBorder="1" applyAlignment="1">
      <alignment horizontal="right" vertical="center" wrapText="1" indent="2"/>
    </xf>
    <xf numFmtId="166" fontId="9" fillId="0" borderId="304" xfId="0" applyNumberFormat="1" applyFont="1" applyFill="1" applyBorder="1" applyAlignment="1">
      <alignment horizontal="right" vertical="center" wrapText="1" indent="2"/>
    </xf>
    <xf numFmtId="166" fontId="9" fillId="0" borderId="238" xfId="0" applyNumberFormat="1" applyFont="1" applyFill="1" applyBorder="1" applyAlignment="1">
      <alignment horizontal="right" vertical="center" wrapText="1" indent="2"/>
    </xf>
    <xf numFmtId="166" fontId="9" fillId="0" borderId="49" xfId="0" applyNumberFormat="1" applyFont="1" applyFill="1" applyBorder="1" applyAlignment="1">
      <alignment horizontal="right" vertical="center" wrapText="1" indent="2"/>
    </xf>
    <xf numFmtId="183" fontId="56" fillId="12" borderId="324" xfId="0" applyNumberFormat="1" applyFont="1" applyFill="1" applyBorder="1" applyAlignment="1">
      <alignment horizontal="right" vertical="center" wrapText="1" indent="2"/>
    </xf>
    <xf numFmtId="183" fontId="57" fillId="25" borderId="309" xfId="0" applyNumberFormat="1" applyFont="1" applyFill="1" applyBorder="1" applyAlignment="1">
      <alignment horizontal="right" vertical="center" wrapText="1" indent="2"/>
    </xf>
    <xf numFmtId="183" fontId="0" fillId="12" borderId="309" xfId="0" applyNumberFormat="1" applyFill="1" applyBorder="1" applyAlignment="1">
      <alignment horizontal="right" vertical="center" wrapText="1" indent="2"/>
    </xf>
    <xf numFmtId="183" fontId="0" fillId="12" borderId="285" xfId="0" applyNumberFormat="1" applyFill="1" applyBorder="1" applyAlignment="1">
      <alignment horizontal="right" vertical="center" wrapText="1" indent="2"/>
    </xf>
    <xf numFmtId="183" fontId="0" fillId="25" borderId="309" xfId="0" applyNumberFormat="1" applyFill="1" applyBorder="1" applyAlignment="1">
      <alignment horizontal="right" vertical="center" wrapText="1" indent="2"/>
    </xf>
    <xf numFmtId="166" fontId="9" fillId="0" borderId="310" xfId="0" applyNumberFormat="1" applyFont="1" applyFill="1" applyBorder="1" applyAlignment="1">
      <alignment horizontal="right" vertical="center" wrapText="1" indent="2"/>
    </xf>
    <xf numFmtId="183" fontId="57" fillId="25" borderId="312" xfId="0" applyNumberFormat="1" applyFont="1" applyFill="1" applyBorder="1" applyAlignment="1">
      <alignment horizontal="right" vertical="center" wrapText="1" indent="2"/>
    </xf>
    <xf numFmtId="183" fontId="57" fillId="25" borderId="304" xfId="0" applyNumberFormat="1" applyFont="1" applyFill="1" applyBorder="1" applyAlignment="1">
      <alignment horizontal="right" vertical="center" wrapText="1" indent="2"/>
    </xf>
    <xf numFmtId="0" fontId="1" fillId="26" borderId="304" xfId="0" applyFont="1" applyFill="1" applyBorder="1" applyAlignment="1">
      <alignment horizontal="center" vertical="center" wrapText="1"/>
    </xf>
    <xf numFmtId="1" fontId="32" fillId="25" borderId="145" xfId="0" applyNumberFormat="1" applyFont="1" applyFill="1" applyBorder="1" applyAlignment="1">
      <alignment horizontal="center" vertical="center" wrapText="1"/>
    </xf>
    <xf numFmtId="1" fontId="32" fillId="0" borderId="146" xfId="0" applyNumberFormat="1" applyFont="1" applyFill="1" applyBorder="1" applyAlignment="1">
      <alignment horizontal="center" vertical="center" wrapText="1"/>
    </xf>
    <xf numFmtId="1" fontId="32" fillId="24" borderId="146" xfId="0" applyNumberFormat="1" applyFont="1" applyFill="1" applyBorder="1" applyAlignment="1">
      <alignment horizontal="center" vertical="center" wrapText="1"/>
    </xf>
    <xf numFmtId="1" fontId="32" fillId="27" borderId="146" xfId="0" applyNumberFormat="1" applyFont="1" applyFill="1" applyBorder="1" applyAlignment="1">
      <alignment horizontal="center" vertical="center" wrapText="1"/>
    </xf>
    <xf numFmtId="1" fontId="32" fillId="27" borderId="147" xfId="0" applyNumberFormat="1" applyFont="1" applyFill="1" applyBorder="1" applyAlignment="1">
      <alignment horizontal="center" vertical="center" wrapText="1"/>
    </xf>
    <xf numFmtId="1" fontId="9" fillId="0" borderId="148" xfId="0" applyNumberFormat="1" applyFont="1" applyFill="1" applyBorder="1" applyAlignment="1">
      <alignment horizontal="center" vertical="center" wrapText="1"/>
    </xf>
    <xf numFmtId="1" fontId="9" fillId="0" borderId="152" xfId="0" applyNumberFormat="1" applyFont="1" applyFill="1" applyBorder="1" applyAlignment="1">
      <alignment horizontal="center" vertical="center" wrapText="1"/>
    </xf>
    <xf numFmtId="1" fontId="9" fillId="25" borderId="152" xfId="0" applyNumberFormat="1" applyFont="1" applyFill="1" applyBorder="1" applyAlignment="1">
      <alignment horizontal="center" vertical="center" wrapText="1"/>
    </xf>
    <xf numFmtId="1" fontId="9" fillId="24" borderId="152" xfId="0" applyNumberFormat="1" applyFont="1" applyFill="1" applyBorder="1" applyAlignment="1">
      <alignment horizontal="center" vertical="center" wrapText="1"/>
    </xf>
    <xf numFmtId="1" fontId="9" fillId="15" borderId="152" xfId="0" applyNumberFormat="1" applyFont="1" applyFill="1" applyBorder="1" applyAlignment="1">
      <alignment horizontal="center" vertical="center" wrapText="1"/>
    </xf>
    <xf numFmtId="1" fontId="9" fillId="27" borderId="147" xfId="0" applyNumberFormat="1" applyFont="1" applyFill="1" applyBorder="1" applyAlignment="1">
      <alignment horizontal="center" vertical="center" wrapText="1"/>
    </xf>
    <xf numFmtId="1" fontId="9" fillId="15" borderId="296" xfId="0" applyNumberFormat="1" applyFont="1" applyFill="1" applyBorder="1" applyAlignment="1">
      <alignment horizontal="center" vertical="center" wrapText="1"/>
    </xf>
    <xf numFmtId="1" fontId="9" fillId="27" borderId="156" xfId="0" applyNumberFormat="1" applyFont="1" applyFill="1" applyBorder="1" applyAlignment="1">
      <alignment horizontal="center" vertical="center" wrapText="1"/>
    </xf>
    <xf numFmtId="1" fontId="9" fillId="25" borderId="148" xfId="0" applyNumberFormat="1" applyFont="1" applyFill="1" applyBorder="1" applyAlignment="1">
      <alignment horizontal="center" vertical="center" wrapText="1"/>
    </xf>
    <xf numFmtId="1" fontId="57" fillId="24" borderId="42" xfId="0" applyNumberFormat="1" applyFont="1" applyFill="1" applyBorder="1" applyAlignment="1">
      <alignment horizontal="center" vertical="center" wrapText="1"/>
    </xf>
    <xf numFmtId="1" fontId="56" fillId="12" borderId="127" xfId="0" applyNumberFormat="1" applyFont="1" applyFill="1" applyBorder="1" applyAlignment="1">
      <alignment horizontal="center" vertical="center" wrapText="1"/>
    </xf>
    <xf numFmtId="1" fontId="56" fillId="12" borderId="146" xfId="0" applyNumberFormat="1" applyFont="1" applyFill="1" applyBorder="1" applyAlignment="1">
      <alignment horizontal="center" vertical="center" wrapText="1"/>
    </xf>
    <xf numFmtId="1" fontId="56" fillId="12" borderId="187" xfId="0" applyNumberFormat="1" applyFont="1" applyFill="1" applyBorder="1" applyAlignment="1">
      <alignment horizontal="center" vertical="center" wrapText="1"/>
    </xf>
    <xf numFmtId="1" fontId="48" fillId="24" borderId="52" xfId="0" applyNumberFormat="1" applyFont="1" applyFill="1" applyBorder="1" applyAlignment="1">
      <alignment horizontal="center" vertical="center" wrapText="1"/>
    </xf>
    <xf numFmtId="1" fontId="48" fillId="25" borderId="52" xfId="0" applyNumberFormat="1" applyFont="1" applyFill="1" applyBorder="1" applyAlignment="1">
      <alignment horizontal="center" vertical="center" wrapText="1"/>
    </xf>
    <xf numFmtId="1" fontId="48" fillId="24" borderId="42" xfId="0" applyNumberFormat="1" applyFont="1" applyFill="1" applyBorder="1" applyAlignment="1">
      <alignment horizontal="center" vertical="center" wrapText="1"/>
    </xf>
    <xf numFmtId="1" fontId="0" fillId="25" borderId="52" xfId="0" applyNumberFormat="1" applyFill="1" applyBorder="1" applyAlignment="1">
      <alignment horizontal="center" vertical="center" wrapText="1"/>
    </xf>
    <xf numFmtId="1" fontId="0" fillId="12" borderId="52" xfId="0" applyNumberFormat="1" applyFill="1" applyBorder="1" applyAlignment="1">
      <alignment horizontal="center" vertical="center" wrapText="1"/>
    </xf>
    <xf numFmtId="1" fontId="0" fillId="12" borderId="53" xfId="0" applyNumberFormat="1" applyFill="1" applyBorder="1" applyAlignment="1">
      <alignment horizontal="center" vertical="center" wrapText="1"/>
    </xf>
    <xf numFmtId="1" fontId="0" fillId="25" borderId="51" xfId="0" applyNumberFormat="1" applyFill="1" applyBorder="1" applyAlignment="1">
      <alignment horizontal="center" vertical="center" wrapText="1"/>
    </xf>
    <xf numFmtId="1" fontId="9" fillId="0" borderId="52" xfId="0" applyNumberFormat="1" applyFont="1" applyFill="1" applyBorder="1" applyAlignment="1">
      <alignment horizontal="center" vertical="center" wrapText="1"/>
    </xf>
    <xf numFmtId="1" fontId="9" fillId="0" borderId="123" xfId="0" applyNumberFormat="1" applyFont="1" applyFill="1" applyBorder="1" applyAlignment="1">
      <alignment horizontal="center" vertical="center" wrapText="1"/>
    </xf>
    <xf numFmtId="1" fontId="9" fillId="0" borderId="51" xfId="0" applyNumberFormat="1" applyFont="1" applyFill="1" applyBorder="1" applyAlignment="1">
      <alignment horizontal="center" vertical="center" wrapText="1"/>
    </xf>
    <xf numFmtId="1" fontId="0" fillId="0" borderId="309" xfId="0" applyNumberFormat="1" applyFill="1" applyBorder="1" applyAlignment="1">
      <alignment horizontal="center" vertical="center" wrapText="1"/>
    </xf>
    <xf numFmtId="0" fontId="4" fillId="26" borderId="302" xfId="0" applyFont="1" applyFill="1" applyBorder="1" applyAlignment="1">
      <alignment vertical="center" wrapText="1"/>
    </xf>
    <xf numFmtId="0" fontId="4" fillId="26" borderId="310" xfId="0" applyFont="1" applyFill="1" applyBorder="1" applyAlignment="1">
      <alignment vertical="center" wrapText="1"/>
    </xf>
    <xf numFmtId="0" fontId="4" fillId="26" borderId="310" xfId="0" applyFont="1" applyFill="1" applyBorder="1" applyAlignment="1">
      <alignment horizontal="center" vertical="center" wrapText="1"/>
    </xf>
    <xf numFmtId="0" fontId="13" fillId="0" borderId="70" xfId="0" applyFont="1" applyFill="1" applyBorder="1" applyAlignment="1">
      <alignment horizontal="right" vertical="center" wrapText="1" indent="2"/>
    </xf>
    <xf numFmtId="183" fontId="56" fillId="12" borderId="325" xfId="0" applyNumberFormat="1" applyFont="1" applyFill="1" applyBorder="1" applyAlignment="1">
      <alignment horizontal="right" vertical="center" wrapText="1" indent="2"/>
    </xf>
    <xf numFmtId="183" fontId="56" fillId="25" borderId="310" xfId="0" applyNumberFormat="1" applyFont="1" applyFill="1" applyBorder="1" applyAlignment="1">
      <alignment vertical="center" wrapText="1"/>
    </xf>
    <xf numFmtId="9" fontId="56" fillId="25" borderId="310" xfId="0" applyNumberFormat="1" applyFont="1" applyFill="1" applyBorder="1" applyAlignment="1">
      <alignment vertical="center" wrapText="1"/>
    </xf>
    <xf numFmtId="183" fontId="0" fillId="12" borderId="310" xfId="0" applyNumberFormat="1" applyFill="1" applyBorder="1" applyAlignment="1">
      <alignment horizontal="right" vertical="center" wrapText="1" indent="2"/>
    </xf>
    <xf numFmtId="183" fontId="0" fillId="25" borderId="310" xfId="0" applyNumberFormat="1" applyFill="1" applyBorder="1" applyAlignment="1">
      <alignment horizontal="right" vertical="center" wrapText="1" indent="2"/>
    </xf>
    <xf numFmtId="173" fontId="56" fillId="25" borderId="288" xfId="0" applyNumberFormat="1" applyFont="1" applyFill="1" applyBorder="1" applyAlignment="1">
      <alignment horizontal="right" vertical="center" wrapText="1" indent="1"/>
    </xf>
    <xf numFmtId="183" fontId="13" fillId="0" borderId="39" xfId="0" applyNumberFormat="1" applyFont="1" applyFill="1" applyBorder="1" applyAlignment="1">
      <alignment horizontal="right" vertical="center" wrapText="1" indent="2"/>
    </xf>
    <xf numFmtId="183" fontId="13" fillId="0" borderId="18" xfId="0" applyNumberFormat="1" applyFont="1" applyFill="1" applyBorder="1" applyAlignment="1">
      <alignment horizontal="right" vertical="center" wrapText="1" indent="2"/>
    </xf>
    <xf numFmtId="183" fontId="9" fillId="0" borderId="150" xfId="0" applyNumberFormat="1" applyFont="1" applyFill="1" applyBorder="1" applyAlignment="1">
      <alignment horizontal="right" vertical="center" wrapText="1" indent="2"/>
    </xf>
    <xf numFmtId="183" fontId="9" fillId="0" borderId="162" xfId="0" applyNumberFormat="1" applyFont="1" applyFill="1" applyBorder="1" applyAlignment="1">
      <alignment horizontal="right" vertical="center" wrapText="1" indent="2"/>
    </xf>
    <xf numFmtId="183" fontId="9" fillId="0" borderId="154" xfId="0" applyNumberFormat="1" applyFont="1" applyFill="1" applyBorder="1" applyAlignment="1">
      <alignment horizontal="right" vertical="center" wrapText="1" indent="2"/>
    </xf>
    <xf numFmtId="183" fontId="9" fillId="0" borderId="166" xfId="0" applyNumberFormat="1" applyFont="1" applyFill="1" applyBorder="1" applyAlignment="1">
      <alignment horizontal="right" vertical="center" wrapText="1" indent="2"/>
    </xf>
    <xf numFmtId="183" fontId="9" fillId="25" borderId="154" xfId="0" applyNumberFormat="1" applyFont="1" applyFill="1" applyBorder="1" applyAlignment="1">
      <alignment horizontal="right" vertical="center" wrapText="1" indent="2"/>
    </xf>
    <xf numFmtId="183" fontId="9" fillId="25" borderId="166" xfId="0" applyNumberFormat="1" applyFont="1" applyFill="1" applyBorder="1" applyAlignment="1">
      <alignment horizontal="right" vertical="center" wrapText="1" indent="2"/>
    </xf>
    <xf numFmtId="183" fontId="9" fillId="24" borderId="154" xfId="0" applyNumberFormat="1" applyFont="1" applyFill="1" applyBorder="1" applyAlignment="1">
      <alignment horizontal="right" vertical="center" wrapText="1" indent="2"/>
    </xf>
    <xf numFmtId="183" fontId="9" fillId="24" borderId="166" xfId="0" applyNumberFormat="1" applyFont="1" applyFill="1" applyBorder="1" applyAlignment="1">
      <alignment horizontal="right" vertical="center" wrapText="1" indent="2"/>
    </xf>
    <xf numFmtId="183" fontId="9" fillId="15" borderId="154" xfId="0" applyNumberFormat="1" applyFont="1" applyFill="1" applyBorder="1" applyAlignment="1">
      <alignment horizontal="right" vertical="center" wrapText="1" indent="2"/>
    </xf>
    <xf numFmtId="183" fontId="9" fillId="15" borderId="166" xfId="0" applyNumberFormat="1" applyFont="1" applyFill="1" applyBorder="1" applyAlignment="1">
      <alignment horizontal="right" vertical="center" wrapText="1" indent="2"/>
    </xf>
    <xf numFmtId="183" fontId="9" fillId="27" borderId="210" xfId="0" applyNumberFormat="1" applyFont="1" applyFill="1" applyBorder="1" applyAlignment="1">
      <alignment horizontal="right" vertical="center" wrapText="1" indent="2"/>
    </xf>
    <xf numFmtId="183" fontId="9" fillId="27" borderId="215" xfId="0" applyNumberFormat="1" applyFont="1" applyFill="1" applyBorder="1" applyAlignment="1">
      <alignment horizontal="right" vertical="center" wrapText="1" indent="2"/>
    </xf>
    <xf numFmtId="183" fontId="9" fillId="15" borderId="295" xfId="0" applyNumberFormat="1" applyFont="1" applyFill="1" applyBorder="1" applyAlignment="1">
      <alignment horizontal="right" vertical="center" wrapText="1" indent="2"/>
    </xf>
    <xf numFmtId="183" fontId="9" fillId="15" borderId="301" xfId="0" applyNumberFormat="1" applyFont="1" applyFill="1" applyBorder="1" applyAlignment="1">
      <alignment horizontal="right" vertical="center" wrapText="1" indent="2"/>
    </xf>
    <xf numFmtId="183" fontId="9" fillId="27" borderId="158" xfId="0" applyNumberFormat="1" applyFont="1" applyFill="1" applyBorder="1" applyAlignment="1">
      <alignment horizontal="right" vertical="center" wrapText="1" indent="2"/>
    </xf>
    <xf numFmtId="183" fontId="9" fillId="27" borderId="170" xfId="0" applyNumberFormat="1" applyFont="1" applyFill="1" applyBorder="1" applyAlignment="1">
      <alignment horizontal="right" vertical="center" wrapText="1" indent="2"/>
    </xf>
    <xf numFmtId="183" fontId="9" fillId="25" borderId="150" xfId="0" applyNumberFormat="1" applyFont="1" applyFill="1" applyBorder="1" applyAlignment="1">
      <alignment horizontal="right" vertical="center" wrapText="1" indent="2"/>
    </xf>
    <xf numFmtId="183" fontId="9" fillId="25" borderId="162" xfId="0" applyNumberFormat="1" applyFont="1" applyFill="1" applyBorder="1" applyAlignment="1">
      <alignment horizontal="right" vertical="center" wrapText="1" indent="2"/>
    </xf>
    <xf numFmtId="183" fontId="9" fillId="0" borderId="302" xfId="0" applyNumberFormat="1" applyFont="1" applyFill="1" applyBorder="1" applyAlignment="1">
      <alignment horizontal="right" vertical="center" wrapText="1" indent="2"/>
    </xf>
    <xf numFmtId="183" fontId="9" fillId="0" borderId="304" xfId="0" applyNumberFormat="1" applyFont="1" applyFill="1" applyBorder="1" applyAlignment="1">
      <alignment horizontal="right" vertical="center" wrapText="1" indent="2"/>
    </xf>
    <xf numFmtId="183" fontId="9" fillId="0" borderId="124" xfId="0" applyNumberFormat="1" applyFont="1" applyFill="1" applyBorder="1" applyAlignment="1">
      <alignment horizontal="right" vertical="center" wrapText="1" indent="2"/>
    </xf>
    <xf numFmtId="183" fontId="9" fillId="0" borderId="238" xfId="0" applyNumberFormat="1" applyFont="1" applyFill="1" applyBorder="1" applyAlignment="1">
      <alignment horizontal="right" vertical="center" wrapText="1" indent="2"/>
    </xf>
    <xf numFmtId="183" fontId="9" fillId="0" borderId="26" xfId="0" applyNumberFormat="1" applyFont="1" applyFill="1" applyBorder="1" applyAlignment="1">
      <alignment horizontal="right" vertical="center" wrapText="1" indent="2"/>
    </xf>
    <xf numFmtId="183" fontId="9" fillId="0" borderId="49" xfId="0" applyNumberFormat="1" applyFont="1" applyFill="1" applyBorder="1" applyAlignment="1">
      <alignment horizontal="right" vertical="center" wrapText="1" indent="2"/>
    </xf>
    <xf numFmtId="183" fontId="9" fillId="25" borderId="161" xfId="0" applyNumberFormat="1" applyFont="1" applyFill="1" applyBorder="1" applyAlignment="1">
      <alignment horizontal="right" vertical="center" wrapText="1" indent="2"/>
    </xf>
    <xf numFmtId="183" fontId="37" fillId="25" borderId="312" xfId="0" applyNumberFormat="1" applyFont="1" applyFill="1" applyBorder="1" applyAlignment="1">
      <alignment horizontal="right" vertical="center" wrapText="1" indent="1"/>
    </xf>
    <xf numFmtId="183" fontId="37" fillId="12" borderId="312" xfId="0" applyNumberFormat="1" applyFont="1" applyFill="1" applyBorder="1" applyAlignment="1">
      <alignment horizontal="right" vertical="center" wrapText="1" indent="1"/>
    </xf>
    <xf numFmtId="183" fontId="9" fillId="0" borderId="165" xfId="0" applyNumberFormat="1" applyFont="1" applyFill="1" applyBorder="1" applyAlignment="1">
      <alignment horizontal="right" vertical="center" wrapText="1" indent="1"/>
    </xf>
    <xf numFmtId="183" fontId="9" fillId="0" borderId="312" xfId="0" applyNumberFormat="1" applyFont="1" applyFill="1" applyBorder="1" applyAlignment="1">
      <alignment horizontal="right" vertical="center" wrapText="1" indent="1"/>
    </xf>
    <xf numFmtId="183" fontId="9" fillId="0" borderId="236" xfId="0" applyNumberFormat="1" applyFont="1" applyFill="1" applyBorder="1" applyAlignment="1">
      <alignment horizontal="right" vertical="center" wrapText="1" indent="1"/>
    </xf>
    <xf numFmtId="183" fontId="9" fillId="0" borderId="77" xfId="0" applyNumberFormat="1" applyFont="1" applyFill="1" applyBorder="1" applyAlignment="1">
      <alignment horizontal="right" vertical="center" wrapText="1" indent="1"/>
    </xf>
    <xf numFmtId="183" fontId="9" fillId="25" borderId="165" xfId="0" applyNumberFormat="1" applyFont="1" applyFill="1" applyBorder="1" applyAlignment="1">
      <alignment horizontal="right" vertical="center" wrapText="1" indent="1"/>
    </xf>
    <xf numFmtId="183" fontId="0" fillId="25" borderId="302" xfId="0" applyNumberFormat="1" applyFont="1" applyFill="1" applyBorder="1" applyAlignment="1">
      <alignment horizontal="right" vertical="center" wrapText="1" indent="1"/>
    </xf>
    <xf numFmtId="183" fontId="0" fillId="25" borderId="310" xfId="0" applyNumberFormat="1" applyFont="1" applyFill="1" applyBorder="1" applyAlignment="1">
      <alignment horizontal="right" vertical="center" wrapText="1" indent="1"/>
    </xf>
    <xf numFmtId="183" fontId="0" fillId="12" borderId="302" xfId="0" applyNumberFormat="1" applyFont="1" applyFill="1" applyBorder="1" applyAlignment="1">
      <alignment horizontal="right" vertical="center" wrapText="1" indent="1"/>
    </xf>
    <xf numFmtId="183" fontId="0" fillId="12" borderId="310" xfId="0" applyNumberFormat="1" applyFont="1" applyFill="1" applyBorder="1" applyAlignment="1">
      <alignment horizontal="right" vertical="center" wrapText="1" indent="1"/>
    </xf>
    <xf numFmtId="183" fontId="0" fillId="12" borderId="303" xfId="0" applyNumberFormat="1" applyFont="1" applyFill="1" applyBorder="1" applyAlignment="1">
      <alignment horizontal="right" vertical="center" wrapText="1" indent="1"/>
    </xf>
    <xf numFmtId="183" fontId="0" fillId="12" borderId="320" xfId="0" applyNumberFormat="1" applyFont="1" applyFill="1" applyBorder="1" applyAlignment="1">
      <alignment horizontal="right" vertical="center" wrapText="1" indent="1"/>
    </xf>
    <xf numFmtId="183" fontId="0" fillId="12" borderId="325" xfId="0" applyNumberFormat="1" applyFont="1" applyFill="1" applyBorder="1" applyAlignment="1">
      <alignment horizontal="right" vertical="center" wrapText="1" indent="1"/>
    </xf>
    <xf numFmtId="183" fontId="0" fillId="12" borderId="205" xfId="0" applyNumberFormat="1" applyFont="1" applyFill="1" applyBorder="1" applyAlignment="1">
      <alignment horizontal="right" vertical="center" wrapText="1" indent="1"/>
    </xf>
    <xf numFmtId="183" fontId="0" fillId="12" borderId="206" xfId="0" applyNumberFormat="1" applyFont="1" applyFill="1" applyBorder="1" applyAlignment="1">
      <alignment horizontal="right" vertical="center" wrapText="1" indent="1"/>
    </xf>
    <xf numFmtId="183" fontId="0" fillId="12" borderId="117" xfId="0" applyNumberFormat="1" applyFont="1" applyFill="1" applyBorder="1" applyAlignment="1">
      <alignment horizontal="right" vertical="center" wrapText="1" indent="1"/>
    </xf>
    <xf numFmtId="183" fontId="0" fillId="12" borderId="189" xfId="0" applyNumberFormat="1" applyFont="1" applyFill="1" applyBorder="1" applyAlignment="1">
      <alignment horizontal="right" vertical="center" wrapText="1" indent="1"/>
    </xf>
    <xf numFmtId="0" fontId="13" fillId="0" borderId="17" xfId="0" applyFont="1" applyFill="1" applyBorder="1" applyAlignment="1">
      <alignment horizontal="right" vertical="center" wrapText="1" indent="1"/>
    </xf>
    <xf numFmtId="0" fontId="13" fillId="0" borderId="32" xfId="0" applyFont="1" applyFill="1" applyBorder="1" applyAlignment="1">
      <alignment horizontal="right" vertical="center" wrapText="1" indent="1"/>
    </xf>
    <xf numFmtId="183" fontId="56" fillId="25" borderId="302" xfId="0" applyNumberFormat="1" applyFont="1" applyFill="1" applyBorder="1" applyAlignment="1">
      <alignment horizontal="right" vertical="center" wrapText="1" indent="1"/>
    </xf>
    <xf numFmtId="183" fontId="56" fillId="25" borderId="310" xfId="0" applyNumberFormat="1" applyFont="1" applyFill="1" applyBorder="1" applyAlignment="1">
      <alignment horizontal="right" vertical="center" wrapText="1" indent="1"/>
    </xf>
    <xf numFmtId="0" fontId="9" fillId="0" borderId="55" xfId="0" applyFont="1" applyFill="1" applyBorder="1" applyAlignment="1">
      <alignment horizontal="right" vertical="center" wrapText="1" indent="2"/>
    </xf>
    <xf numFmtId="183" fontId="4" fillId="25" borderId="202" xfId="0" applyNumberFormat="1" applyFont="1" applyFill="1" applyBorder="1" applyAlignment="1">
      <alignment horizontal="right" vertical="center" wrapText="1" indent="2"/>
    </xf>
    <xf numFmtId="183" fontId="4" fillId="0" borderId="208" xfId="0" applyNumberFormat="1" applyFont="1" applyFill="1" applyBorder="1" applyAlignment="1">
      <alignment horizontal="right" vertical="center" wrapText="1" indent="2"/>
    </xf>
    <xf numFmtId="183" fontId="4" fillId="24" borderId="208" xfId="0" applyNumberFormat="1" applyFont="1" applyFill="1" applyBorder="1" applyAlignment="1">
      <alignment horizontal="right" vertical="center" wrapText="1" indent="2"/>
    </xf>
    <xf numFmtId="183" fontId="4" fillId="27" borderId="208" xfId="0" applyNumberFormat="1" applyFont="1" applyFill="1" applyBorder="1" applyAlignment="1">
      <alignment horizontal="right" vertical="center" wrapText="1" indent="2"/>
    </xf>
    <xf numFmtId="183" fontId="4" fillId="27" borderId="214" xfId="0" applyNumberFormat="1" applyFont="1" applyFill="1" applyBorder="1" applyAlignment="1">
      <alignment horizontal="right" vertical="center" wrapText="1" indent="2"/>
    </xf>
    <xf numFmtId="183" fontId="37" fillId="12" borderId="208" xfId="0" applyNumberFormat="1" applyFont="1" applyFill="1" applyBorder="1" applyAlignment="1">
      <alignment horizontal="right" vertical="center" wrapText="1" indent="1"/>
    </xf>
    <xf numFmtId="183" fontId="37" fillId="12" borderId="192" xfId="0" applyNumberFormat="1" applyFont="1" applyFill="1" applyBorder="1" applyAlignment="1">
      <alignment horizontal="right" vertical="center" wrapText="1" indent="1"/>
    </xf>
    <xf numFmtId="183" fontId="37" fillId="12" borderId="185" xfId="0" applyNumberFormat="1" applyFont="1" applyFill="1" applyBorder="1" applyAlignment="1">
      <alignment horizontal="right" vertical="center" wrapText="1" indent="1"/>
    </xf>
    <xf numFmtId="183" fontId="0" fillId="12" borderId="184" xfId="0" applyNumberFormat="1" applyFont="1" applyFill="1" applyBorder="1" applyAlignment="1">
      <alignment horizontal="right" vertical="center" wrapText="1" indent="1"/>
    </xf>
    <xf numFmtId="183" fontId="0" fillId="12" borderId="207" xfId="0" applyNumberFormat="1" applyFont="1" applyFill="1" applyBorder="1" applyAlignment="1">
      <alignment horizontal="right" vertical="center" wrapText="1" indent="1"/>
    </xf>
    <xf numFmtId="183" fontId="0" fillId="12" borderId="191" xfId="0" applyNumberFormat="1" applyFont="1" applyFill="1" applyBorder="1" applyAlignment="1">
      <alignment horizontal="right" vertical="center" wrapText="1" indent="1"/>
    </xf>
    <xf numFmtId="183" fontId="0" fillId="12" borderId="290" xfId="0" applyNumberFormat="1" applyFont="1" applyFill="1" applyBorder="1" applyAlignment="1">
      <alignment horizontal="right" vertical="center" wrapText="1" indent="1"/>
    </xf>
    <xf numFmtId="183" fontId="0" fillId="25" borderId="290" xfId="0" applyNumberFormat="1" applyFont="1" applyFill="1" applyBorder="1" applyAlignment="1">
      <alignment horizontal="right" vertical="center" wrapText="1" indent="1"/>
    </xf>
    <xf numFmtId="0" fontId="13" fillId="0" borderId="37" xfId="0" applyFont="1" applyFill="1" applyBorder="1" applyAlignment="1">
      <alignment horizontal="right" vertical="center" wrapText="1" indent="1"/>
    </xf>
    <xf numFmtId="183" fontId="13" fillId="0" borderId="160" xfId="0" applyNumberFormat="1" applyFont="1" applyFill="1" applyBorder="1" applyAlignment="1">
      <alignment horizontal="right" vertical="center" wrapText="1" indent="1"/>
    </xf>
    <xf numFmtId="183" fontId="13" fillId="0" borderId="164" xfId="0" applyNumberFormat="1" applyFont="1" applyFill="1" applyBorder="1" applyAlignment="1">
      <alignment horizontal="right" vertical="center" wrapText="1" indent="1"/>
    </xf>
    <xf numFmtId="183" fontId="13" fillId="25" borderId="164" xfId="0" applyNumberFormat="1" applyFont="1" applyFill="1" applyBorder="1" applyAlignment="1">
      <alignment horizontal="right" vertical="center" wrapText="1" indent="1"/>
    </xf>
    <xf numFmtId="183" fontId="13" fillId="24" borderId="164" xfId="0" applyNumberFormat="1" applyFont="1" applyFill="1" applyBorder="1" applyAlignment="1">
      <alignment horizontal="right" vertical="center" wrapText="1" indent="1"/>
    </xf>
    <xf numFmtId="183" fontId="13" fillId="15" borderId="164" xfId="0" applyNumberFormat="1" applyFont="1" applyFill="1" applyBorder="1" applyAlignment="1">
      <alignment horizontal="right" vertical="center" wrapText="1" indent="1"/>
    </xf>
    <xf numFmtId="183" fontId="13" fillId="27" borderId="213" xfId="0" applyNumberFormat="1" applyFont="1" applyFill="1" applyBorder="1" applyAlignment="1">
      <alignment horizontal="right" vertical="center" wrapText="1" indent="1"/>
    </xf>
    <xf numFmtId="183" fontId="13" fillId="15" borderId="226" xfId="0" applyNumberFormat="1" applyFont="1" applyFill="1" applyBorder="1" applyAlignment="1">
      <alignment horizontal="right" vertical="center" wrapText="1" indent="1"/>
    </xf>
    <xf numFmtId="183" fontId="13" fillId="27" borderId="168" xfId="0" applyNumberFormat="1" applyFont="1" applyFill="1" applyBorder="1" applyAlignment="1">
      <alignment horizontal="right" vertical="center" wrapText="1" indent="1"/>
    </xf>
    <xf numFmtId="183" fontId="13" fillId="25" borderId="160" xfId="0" applyNumberFormat="1" applyFont="1" applyFill="1" applyBorder="1" applyAlignment="1">
      <alignment horizontal="right" vertical="center" wrapText="1" indent="1"/>
    </xf>
    <xf numFmtId="183" fontId="56" fillId="24" borderId="80" xfId="0" applyNumberFormat="1" applyFont="1" applyFill="1" applyBorder="1" applyAlignment="1">
      <alignment horizontal="right" vertical="center" wrapText="1" indent="1"/>
    </xf>
    <xf numFmtId="183" fontId="56" fillId="25" borderId="290" xfId="0" applyNumberFormat="1" applyFont="1" applyFill="1" applyBorder="1" applyAlignment="1">
      <alignment horizontal="right" vertical="center" wrapText="1" indent="1"/>
    </xf>
    <xf numFmtId="183" fontId="13" fillId="0" borderId="290" xfId="0" applyNumberFormat="1" applyFont="1" applyFill="1" applyBorder="1" applyAlignment="1">
      <alignment horizontal="right" vertical="center" wrapText="1" indent="1"/>
    </xf>
    <xf numFmtId="183" fontId="13" fillId="0" borderId="239" xfId="0" applyNumberFormat="1" applyFont="1" applyFill="1" applyBorder="1" applyAlignment="1">
      <alignment horizontal="right" vertical="center" wrapText="1" indent="1"/>
    </xf>
    <xf numFmtId="183" fontId="13" fillId="0" borderId="66" xfId="0" applyNumberFormat="1" applyFont="1" applyFill="1" applyBorder="1" applyAlignment="1">
      <alignment horizontal="right" vertical="center" wrapText="1" indent="1"/>
    </xf>
    <xf numFmtId="183" fontId="47" fillId="25" borderId="130" xfId="0" applyNumberFormat="1" applyFont="1" applyFill="1" applyBorder="1" applyAlignment="1">
      <alignment horizontal="right" vertical="center" wrapText="1" indent="1"/>
    </xf>
    <xf numFmtId="183" fontId="47" fillId="0" borderId="205" xfId="0" applyNumberFormat="1" applyFont="1" applyFill="1" applyBorder="1" applyAlignment="1">
      <alignment horizontal="right" vertical="center" wrapText="1" indent="1"/>
    </xf>
    <xf numFmtId="183" fontId="47" fillId="24" borderId="205" xfId="0" applyNumberFormat="1" applyFont="1" applyFill="1" applyBorder="1" applyAlignment="1">
      <alignment horizontal="right" vertical="center" wrapText="1" indent="1"/>
    </xf>
    <xf numFmtId="183" fontId="47" fillId="27" borderId="205" xfId="0" applyNumberFormat="1" applyFont="1" applyFill="1" applyBorder="1" applyAlignment="1">
      <alignment horizontal="right" vertical="center" wrapText="1" indent="1"/>
    </xf>
    <xf numFmtId="183" fontId="47" fillId="27" borderId="210" xfId="0" applyNumberFormat="1" applyFont="1" applyFill="1" applyBorder="1" applyAlignment="1">
      <alignment horizontal="right" vertical="center" wrapText="1" indent="1"/>
    </xf>
    <xf numFmtId="183" fontId="47" fillId="0" borderId="150" xfId="0" applyNumberFormat="1" applyFont="1" applyFill="1" applyBorder="1" applyAlignment="1">
      <alignment horizontal="right" vertical="center" wrapText="1" indent="1"/>
    </xf>
    <xf numFmtId="183" fontId="47" fillId="0" borderId="154" xfId="0" applyNumberFormat="1" applyFont="1" applyFill="1" applyBorder="1" applyAlignment="1">
      <alignment horizontal="right" vertical="center" wrapText="1" indent="1"/>
    </xf>
    <xf numFmtId="183" fontId="47" fillId="25" borderId="154" xfId="0" applyNumberFormat="1" applyFont="1" applyFill="1" applyBorder="1" applyAlignment="1">
      <alignment horizontal="right" vertical="center" wrapText="1" indent="1"/>
    </xf>
    <xf numFmtId="183" fontId="47" fillId="24" borderId="154" xfId="0" applyNumberFormat="1" applyFont="1" applyFill="1" applyBorder="1" applyAlignment="1">
      <alignment horizontal="right" vertical="center" wrapText="1" indent="1"/>
    </xf>
    <xf numFmtId="183" fontId="47" fillId="15" borderId="154" xfId="0" applyNumberFormat="1" applyFont="1" applyFill="1" applyBorder="1" applyAlignment="1">
      <alignment horizontal="right" vertical="center" wrapText="1" indent="1"/>
    </xf>
    <xf numFmtId="183" fontId="47" fillId="15" borderId="295" xfId="0" applyNumberFormat="1" applyFont="1" applyFill="1" applyBorder="1" applyAlignment="1">
      <alignment horizontal="right" vertical="center" wrapText="1" indent="1"/>
    </xf>
    <xf numFmtId="183" fontId="47" fillId="27" borderId="158" xfId="0" applyNumberFormat="1" applyFont="1" applyFill="1" applyBorder="1" applyAlignment="1">
      <alignment horizontal="right" vertical="center" wrapText="1" indent="1"/>
    </xf>
    <xf numFmtId="183" fontId="47" fillId="25" borderId="150" xfId="0" applyNumberFormat="1" applyFont="1" applyFill="1" applyBorder="1" applyAlignment="1">
      <alignment horizontal="right" vertical="center" wrapText="1" indent="1"/>
    </xf>
    <xf numFmtId="183" fontId="47" fillId="24" borderId="7" xfId="0" applyNumberFormat="1" applyFont="1" applyFill="1" applyBorder="1" applyAlignment="1">
      <alignment horizontal="right" vertical="center" wrapText="1" indent="1"/>
    </xf>
    <xf numFmtId="183" fontId="47" fillId="12" borderId="320" xfId="0" applyNumberFormat="1" applyFont="1" applyFill="1" applyBorder="1" applyAlignment="1">
      <alignment horizontal="right" vertical="center" wrapText="1" indent="1"/>
    </xf>
    <xf numFmtId="183" fontId="47" fillId="12" borderId="205" xfId="0" applyNumberFormat="1" applyFont="1" applyFill="1" applyBorder="1" applyAlignment="1">
      <alignment horizontal="right" vertical="center" wrapText="1" indent="1"/>
    </xf>
    <xf numFmtId="183" fontId="47" fillId="12" borderId="117" xfId="0" applyNumberFormat="1" applyFont="1" applyFill="1" applyBorder="1" applyAlignment="1">
      <alignment horizontal="right" vertical="center" wrapText="1" indent="1"/>
    </xf>
    <xf numFmtId="183" fontId="47" fillId="25" borderId="302" xfId="0" applyNumberFormat="1" applyFont="1" applyFill="1" applyBorder="1" applyAlignment="1">
      <alignment horizontal="right" vertical="center" wrapText="1" indent="1"/>
    </xf>
    <xf numFmtId="183" fontId="47" fillId="12" borderId="302" xfId="0" applyNumberFormat="1" applyFont="1" applyFill="1" applyBorder="1" applyAlignment="1">
      <alignment horizontal="right" vertical="center" wrapText="1" indent="1"/>
    </xf>
    <xf numFmtId="183" fontId="47" fillId="12" borderId="303" xfId="0" applyNumberFormat="1" applyFont="1" applyFill="1" applyBorder="1" applyAlignment="1">
      <alignment horizontal="right" vertical="center" wrapText="1" indent="1"/>
    </xf>
    <xf numFmtId="183" fontId="47" fillId="25" borderId="7" xfId="0" applyNumberFormat="1" applyFont="1" applyFill="1" applyBorder="1" applyAlignment="1">
      <alignment horizontal="right" vertical="center" wrapText="1" indent="1"/>
    </xf>
    <xf numFmtId="183" fontId="47" fillId="0" borderId="302" xfId="0" applyNumberFormat="1" applyFont="1" applyFill="1" applyBorder="1" applyAlignment="1">
      <alignment horizontal="right" vertical="center" wrapText="1" indent="1"/>
    </xf>
    <xf numFmtId="183" fontId="47" fillId="0" borderId="124" xfId="0" applyNumberFormat="1" applyFont="1" applyFill="1" applyBorder="1" applyAlignment="1">
      <alignment horizontal="right" vertical="center" wrapText="1" indent="1"/>
    </xf>
    <xf numFmtId="183" fontId="47" fillId="0" borderId="26" xfId="0" applyNumberFormat="1" applyFont="1" applyFill="1" applyBorder="1" applyAlignment="1">
      <alignment horizontal="right" vertical="center" wrapText="1" indent="1"/>
    </xf>
    <xf numFmtId="173" fontId="1" fillId="25" borderId="203" xfId="0" applyNumberFormat="1" applyFont="1" applyFill="1" applyBorder="1" applyAlignment="1">
      <alignment horizontal="right" vertical="center" wrapText="1" indent="1"/>
    </xf>
    <xf numFmtId="173" fontId="1" fillId="25" borderId="262" xfId="0" applyNumberFormat="1" applyFont="1" applyFill="1" applyBorder="1" applyAlignment="1">
      <alignment horizontal="right" vertical="center" wrapText="1" indent="1"/>
    </xf>
    <xf numFmtId="173" fontId="1" fillId="0" borderId="209" xfId="0" applyNumberFormat="1" applyFont="1" applyFill="1" applyBorder="1" applyAlignment="1">
      <alignment horizontal="right" vertical="center" wrapText="1" indent="1"/>
    </xf>
    <xf numFmtId="173" fontId="1" fillId="0" borderId="263" xfId="0" applyNumberFormat="1" applyFont="1" applyFill="1" applyBorder="1" applyAlignment="1">
      <alignment horizontal="right" vertical="center" wrapText="1" indent="1"/>
    </xf>
    <xf numFmtId="173" fontId="1" fillId="24" borderId="209" xfId="0" applyNumberFormat="1" applyFont="1" applyFill="1" applyBorder="1" applyAlignment="1">
      <alignment horizontal="right" vertical="center" wrapText="1" indent="1"/>
    </xf>
    <xf numFmtId="173" fontId="1" fillId="24" borderId="263" xfId="0" applyNumberFormat="1" applyFont="1" applyFill="1" applyBorder="1" applyAlignment="1">
      <alignment horizontal="right" vertical="center" wrapText="1" indent="1"/>
    </xf>
    <xf numFmtId="173" fontId="1" fillId="27" borderId="209" xfId="0" applyNumberFormat="1" applyFont="1" applyFill="1" applyBorder="1" applyAlignment="1">
      <alignment horizontal="right" vertical="center" wrapText="1" indent="1"/>
    </xf>
    <xf numFmtId="173" fontId="1" fillId="27" borderId="263" xfId="0" applyNumberFormat="1" applyFont="1" applyFill="1" applyBorder="1" applyAlignment="1">
      <alignment horizontal="right" vertical="center" wrapText="1" indent="1"/>
    </xf>
    <xf numFmtId="173" fontId="1" fillId="27" borderId="215" xfId="0" applyNumberFormat="1" applyFont="1" applyFill="1" applyBorder="1" applyAlignment="1">
      <alignment horizontal="right" vertical="center" wrapText="1" indent="1"/>
    </xf>
    <xf numFmtId="173" fontId="1" fillId="27" borderId="264" xfId="0" applyNumberFormat="1" applyFont="1" applyFill="1" applyBorder="1" applyAlignment="1">
      <alignment horizontal="right" vertical="center" wrapText="1" indent="1"/>
    </xf>
    <xf numFmtId="173" fontId="13" fillId="0" borderId="162" xfId="0" applyNumberFormat="1" applyFont="1" applyFill="1" applyBorder="1" applyAlignment="1">
      <alignment horizontal="right" vertical="center" wrapText="1" indent="1"/>
    </xf>
    <xf numFmtId="173" fontId="13" fillId="0" borderId="265" xfId="0" applyNumberFormat="1" applyFont="1" applyFill="1" applyBorder="1" applyAlignment="1">
      <alignment horizontal="right" vertical="center" wrapText="1" indent="1"/>
    </xf>
    <xf numFmtId="173" fontId="13" fillId="0" borderId="166" xfId="0" applyNumberFormat="1" applyFont="1" applyFill="1" applyBorder="1" applyAlignment="1">
      <alignment horizontal="right" vertical="center" wrapText="1" indent="1"/>
    </xf>
    <xf numFmtId="173" fontId="13" fillId="0" borderId="172" xfId="0" applyNumberFormat="1" applyFont="1" applyFill="1" applyBorder="1" applyAlignment="1">
      <alignment horizontal="right" vertical="center" wrapText="1" indent="1"/>
    </xf>
    <xf numFmtId="173" fontId="13" fillId="25" borderId="166" xfId="0" applyNumberFormat="1" applyFont="1" applyFill="1" applyBorder="1" applyAlignment="1">
      <alignment horizontal="right" vertical="center" wrapText="1" indent="1"/>
    </xf>
    <xf numFmtId="173" fontId="13" fillId="25" borderId="172" xfId="0" applyNumberFormat="1" applyFont="1" applyFill="1" applyBorder="1" applyAlignment="1">
      <alignment horizontal="right" vertical="center" wrapText="1" indent="1"/>
    </xf>
    <xf numFmtId="173" fontId="13" fillId="24" borderId="166" xfId="0" applyNumberFormat="1" applyFont="1" applyFill="1" applyBorder="1" applyAlignment="1">
      <alignment horizontal="right" vertical="center" wrapText="1" indent="1"/>
    </xf>
    <xf numFmtId="173" fontId="13" fillId="24" borderId="172" xfId="0" applyNumberFormat="1" applyFont="1" applyFill="1" applyBorder="1" applyAlignment="1">
      <alignment horizontal="right" vertical="center" wrapText="1" indent="1"/>
    </xf>
    <xf numFmtId="173" fontId="13" fillId="15" borderId="166" xfId="0" applyNumberFormat="1" applyFont="1" applyFill="1" applyBorder="1" applyAlignment="1">
      <alignment horizontal="right" vertical="center" wrapText="1" indent="1"/>
    </xf>
    <xf numFmtId="173" fontId="13" fillId="15" borderId="172" xfId="0" applyNumberFormat="1" applyFont="1" applyFill="1" applyBorder="1" applyAlignment="1">
      <alignment horizontal="right" vertical="center" wrapText="1" indent="1"/>
    </xf>
    <xf numFmtId="173" fontId="13" fillId="27" borderId="215" xfId="0" applyNumberFormat="1" applyFont="1" applyFill="1" applyBorder="1" applyAlignment="1">
      <alignment horizontal="right" vertical="center" wrapText="1" indent="1"/>
    </xf>
    <xf numFmtId="173" fontId="13" fillId="27" borderId="264" xfId="0" applyNumberFormat="1" applyFont="1" applyFill="1" applyBorder="1" applyAlignment="1">
      <alignment horizontal="right" vertical="center" wrapText="1" indent="1"/>
    </xf>
    <xf numFmtId="173" fontId="13" fillId="15" borderId="301" xfId="0" applyNumberFormat="1" applyFont="1" applyFill="1" applyBorder="1" applyAlignment="1">
      <alignment horizontal="right" vertical="center" wrapText="1" indent="1"/>
    </xf>
    <xf numFmtId="173" fontId="13" fillId="15" borderId="298" xfId="0" applyNumberFormat="1" applyFont="1" applyFill="1" applyBorder="1" applyAlignment="1">
      <alignment horizontal="right" vertical="center" wrapText="1" indent="1"/>
    </xf>
    <xf numFmtId="173" fontId="13" fillId="27" borderId="170" xfId="0" applyNumberFormat="1" applyFont="1" applyFill="1" applyBorder="1" applyAlignment="1">
      <alignment horizontal="right" vertical="center" wrapText="1" indent="1"/>
    </xf>
    <xf numFmtId="173" fontId="13" fillId="27" borderId="173" xfId="0" applyNumberFormat="1" applyFont="1" applyFill="1" applyBorder="1" applyAlignment="1">
      <alignment horizontal="right" vertical="center" wrapText="1" indent="1"/>
    </xf>
    <xf numFmtId="173" fontId="13" fillId="25" borderId="162" xfId="0" applyNumberFormat="1" applyFont="1" applyFill="1" applyBorder="1" applyAlignment="1">
      <alignment horizontal="right" vertical="center" wrapText="1" indent="1"/>
    </xf>
    <xf numFmtId="173" fontId="13" fillId="25" borderId="265" xfId="0" applyNumberFormat="1" applyFont="1" applyFill="1" applyBorder="1" applyAlignment="1">
      <alignment horizontal="right" vertical="center" wrapText="1" indent="1"/>
    </xf>
    <xf numFmtId="173" fontId="56" fillId="24" borderId="8" xfId="0" applyNumberFormat="1" applyFont="1" applyFill="1" applyBorder="1" applyAlignment="1">
      <alignment horizontal="right" vertical="center" wrapText="1" indent="1"/>
    </xf>
    <xf numFmtId="173" fontId="56" fillId="24" borderId="89" xfId="0" applyNumberFormat="1" applyFont="1" applyFill="1" applyBorder="1" applyAlignment="1">
      <alignment horizontal="right" vertical="center" wrapText="1" indent="1"/>
    </xf>
    <xf numFmtId="173" fontId="56" fillId="12" borderId="322" xfId="0" applyNumberFormat="1" applyFont="1" applyFill="1" applyBorder="1" applyAlignment="1">
      <alignment horizontal="right" vertical="center" wrapText="1" indent="1"/>
    </xf>
    <xf numFmtId="173" fontId="56" fillId="12" borderId="266" xfId="0" applyNumberFormat="1" applyFont="1" applyFill="1" applyBorder="1" applyAlignment="1">
      <alignment horizontal="right" vertical="center" wrapText="1" indent="1"/>
    </xf>
    <xf numFmtId="173" fontId="56" fillId="12" borderId="209" xfId="0" applyNumberFormat="1" applyFont="1" applyFill="1" applyBorder="1" applyAlignment="1">
      <alignment horizontal="right" vertical="center" wrapText="1" indent="1"/>
    </xf>
    <xf numFmtId="173" fontId="56" fillId="12" borderId="263" xfId="0" applyNumberFormat="1" applyFont="1" applyFill="1" applyBorder="1" applyAlignment="1">
      <alignment horizontal="right" vertical="center" wrapText="1" indent="1"/>
    </xf>
    <xf numFmtId="173" fontId="56" fillId="12" borderId="188" xfId="0" applyNumberFormat="1" applyFont="1" applyFill="1" applyBorder="1" applyAlignment="1">
      <alignment horizontal="right" vertical="center" wrapText="1" indent="1"/>
    </xf>
    <xf numFmtId="173" fontId="56" fillId="12" borderId="267" xfId="0" applyNumberFormat="1" applyFont="1" applyFill="1" applyBorder="1" applyAlignment="1">
      <alignment horizontal="right" vertical="center" wrapText="1" indent="1"/>
    </xf>
    <xf numFmtId="173" fontId="47" fillId="24" borderId="8" xfId="0" applyNumberFormat="1" applyFont="1" applyFill="1" applyBorder="1" applyAlignment="1">
      <alignment horizontal="right" vertical="center" wrapText="1" indent="1"/>
    </xf>
    <xf numFmtId="173" fontId="47" fillId="25" borderId="304" xfId="0" applyNumberFormat="1" applyFont="1" applyFill="1" applyBorder="1" applyAlignment="1">
      <alignment horizontal="right" vertical="center" wrapText="1" indent="1"/>
    </xf>
    <xf numFmtId="173" fontId="0" fillId="25" borderId="304" xfId="0" applyNumberFormat="1" applyFont="1" applyFill="1" applyBorder="1" applyAlignment="1">
      <alignment horizontal="right" vertical="center" wrapText="1" indent="1"/>
    </xf>
    <xf numFmtId="173" fontId="0" fillId="12" borderId="304" xfId="0" applyNumberFormat="1" applyFont="1" applyFill="1" applyBorder="1" applyAlignment="1">
      <alignment horizontal="right" vertical="center" wrapText="1" indent="1"/>
    </xf>
    <xf numFmtId="173" fontId="0" fillId="12" borderId="288" xfId="0" applyNumberFormat="1" applyFont="1" applyFill="1" applyBorder="1" applyAlignment="1">
      <alignment horizontal="right" vertical="center" wrapText="1" indent="1"/>
    </xf>
    <xf numFmtId="173" fontId="0" fillId="12" borderId="305" xfId="0" applyNumberFormat="1" applyFont="1" applyFill="1" applyBorder="1" applyAlignment="1">
      <alignment horizontal="right" vertical="center" wrapText="1" indent="1"/>
    </xf>
    <xf numFmtId="173" fontId="0" fillId="12" borderId="62" xfId="0" applyNumberFormat="1" applyFont="1" applyFill="1" applyBorder="1" applyAlignment="1">
      <alignment horizontal="right" vertical="center" wrapText="1" indent="1"/>
    </xf>
    <xf numFmtId="173" fontId="0" fillId="25" borderId="8" xfId="0" applyNumberFormat="1" applyFont="1" applyFill="1" applyBorder="1" applyAlignment="1">
      <alignment horizontal="right" vertical="center" wrapText="1" indent="1"/>
    </xf>
    <xf numFmtId="173" fontId="0" fillId="25" borderId="288" xfId="0" applyNumberFormat="1" applyFont="1" applyFill="1" applyBorder="1" applyAlignment="1">
      <alignment horizontal="right" vertical="center" wrapText="1" indent="1"/>
    </xf>
    <xf numFmtId="173" fontId="13" fillId="0" borderId="304" xfId="0" applyNumberFormat="1" applyFont="1" applyFill="1" applyBorder="1" applyAlignment="1">
      <alignment horizontal="right" vertical="center" wrapText="1" indent="1"/>
    </xf>
    <xf numFmtId="173" fontId="13" fillId="0" borderId="288" xfId="0" applyNumberFormat="1" applyFont="1" applyFill="1" applyBorder="1" applyAlignment="1">
      <alignment horizontal="right" vertical="center" wrapText="1" indent="1"/>
    </xf>
    <xf numFmtId="173" fontId="13" fillId="0" borderId="238" xfId="0" applyNumberFormat="1" applyFont="1" applyFill="1" applyBorder="1" applyAlignment="1">
      <alignment horizontal="right" vertical="center" wrapText="1" indent="1"/>
    </xf>
    <xf numFmtId="173" fontId="13" fillId="0" borderId="341" xfId="0" applyNumberFormat="1" applyFont="1" applyFill="1" applyBorder="1" applyAlignment="1">
      <alignment horizontal="right" vertical="center" wrapText="1" indent="1"/>
    </xf>
    <xf numFmtId="173" fontId="13" fillId="0" borderId="49" xfId="0" applyNumberFormat="1" applyFont="1" applyFill="1" applyBorder="1" applyAlignment="1">
      <alignment horizontal="right" vertical="center" wrapText="1" indent="1"/>
    </xf>
    <xf numFmtId="173" fontId="13" fillId="0" borderId="73" xfId="0" applyNumberFormat="1" applyFont="1" applyFill="1" applyBorder="1" applyAlignment="1">
      <alignment horizontal="right" vertical="center" wrapText="1" indent="1"/>
    </xf>
    <xf numFmtId="173" fontId="0" fillId="0" borderId="304" xfId="0" applyNumberFormat="1" applyFont="1" applyFill="1" applyBorder="1" applyAlignment="1">
      <alignment horizontal="right" vertical="center" wrapText="1" indent="1"/>
    </xf>
    <xf numFmtId="173" fontId="0" fillId="0" borderId="288" xfId="0" applyNumberFormat="1" applyFont="1" applyFill="1" applyBorder="1" applyAlignment="1">
      <alignment horizontal="right" vertical="center" wrapText="1" indent="1"/>
    </xf>
    <xf numFmtId="183" fontId="9" fillId="0" borderId="16" xfId="0" applyNumberFormat="1" applyFont="1" applyFill="1" applyBorder="1" applyAlignment="1">
      <alignment horizontal="right" vertical="center" wrapText="1" indent="1"/>
    </xf>
    <xf numFmtId="183" fontId="4" fillId="25" borderId="200" xfId="0" applyNumberFormat="1" applyFont="1" applyFill="1" applyBorder="1" applyAlignment="1">
      <alignment horizontal="right" vertical="center" wrapText="1" indent="1"/>
    </xf>
    <xf numFmtId="183" fontId="4" fillId="0" borderId="144" xfId="0" applyNumberFormat="1" applyFont="1" applyFill="1" applyBorder="1" applyAlignment="1">
      <alignment horizontal="right" vertical="center" wrapText="1" indent="1"/>
    </xf>
    <xf numFmtId="183" fontId="4" fillId="24" borderId="144" xfId="0" applyNumberFormat="1" applyFont="1" applyFill="1" applyBorder="1" applyAlignment="1">
      <alignment horizontal="right" vertical="center" wrapText="1" indent="1"/>
    </xf>
    <xf numFmtId="183" fontId="4" fillId="27" borderId="144" xfId="0" applyNumberFormat="1" applyFont="1" applyFill="1" applyBorder="1" applyAlignment="1">
      <alignment horizontal="right" vertical="center" wrapText="1" indent="1"/>
    </xf>
    <xf numFmtId="183" fontId="4" fillId="27" borderId="212" xfId="0" applyNumberFormat="1" applyFont="1" applyFill="1" applyBorder="1" applyAlignment="1">
      <alignment horizontal="right" vertical="center" wrapText="1" indent="1"/>
    </xf>
    <xf numFmtId="183" fontId="9" fillId="0" borderId="149" xfId="0" applyNumberFormat="1" applyFont="1" applyFill="1" applyBorder="1" applyAlignment="1">
      <alignment horizontal="right" vertical="center" wrapText="1" indent="1"/>
    </xf>
    <xf numFmtId="183" fontId="9" fillId="0" borderId="153" xfId="0" applyNumberFormat="1" applyFont="1" applyFill="1" applyBorder="1" applyAlignment="1">
      <alignment horizontal="right" vertical="center" wrapText="1" indent="1"/>
    </xf>
    <xf numFmtId="183" fontId="9" fillId="25" borderId="153" xfId="0" applyNumberFormat="1" applyFont="1" applyFill="1" applyBorder="1" applyAlignment="1">
      <alignment horizontal="right" vertical="center" wrapText="1" indent="1"/>
    </xf>
    <xf numFmtId="183" fontId="9" fillId="24" borderId="153" xfId="0" applyNumberFormat="1" applyFont="1" applyFill="1" applyBorder="1" applyAlignment="1">
      <alignment horizontal="right" vertical="center" wrapText="1" indent="1"/>
    </xf>
    <xf numFmtId="183" fontId="9" fillId="15" borderId="153" xfId="0" applyNumberFormat="1" applyFont="1" applyFill="1" applyBorder="1" applyAlignment="1">
      <alignment horizontal="right" vertical="center" wrapText="1" indent="1"/>
    </xf>
    <xf numFmtId="183" fontId="9" fillId="27" borderId="212" xfId="0" applyNumberFormat="1" applyFont="1" applyFill="1" applyBorder="1" applyAlignment="1">
      <alignment horizontal="right" vertical="center" wrapText="1" indent="1"/>
    </xf>
    <xf numFmtId="183" fontId="9" fillId="15" borderId="224" xfId="0" applyNumberFormat="1" applyFont="1" applyFill="1" applyBorder="1" applyAlignment="1">
      <alignment horizontal="right" vertical="center" wrapText="1" indent="1"/>
    </xf>
    <xf numFmtId="183" fontId="9" fillId="27" borderId="157" xfId="0" applyNumberFormat="1" applyFont="1" applyFill="1" applyBorder="1" applyAlignment="1">
      <alignment horizontal="right" vertical="center" wrapText="1" indent="1"/>
    </xf>
    <xf numFmtId="183" fontId="9" fillId="25" borderId="149" xfId="0" applyNumberFormat="1" applyFont="1" applyFill="1" applyBorder="1" applyAlignment="1">
      <alignment horizontal="right" vertical="center" wrapText="1" indent="1"/>
    </xf>
    <xf numFmtId="183" fontId="57" fillId="12" borderId="126" xfId="0" applyNumberFormat="1" applyFont="1" applyFill="1" applyBorder="1" applyAlignment="1">
      <alignment horizontal="right" vertical="center" wrapText="1" indent="1"/>
    </xf>
    <xf numFmtId="183" fontId="57" fillId="12" borderId="183" xfId="0" applyNumberFormat="1" applyFont="1" applyFill="1" applyBorder="1" applyAlignment="1">
      <alignment horizontal="right" vertical="center" wrapText="1" indent="1"/>
    </xf>
    <xf numFmtId="183" fontId="57" fillId="12" borderId="144" xfId="0" applyNumberFormat="1" applyFont="1" applyFill="1" applyBorder="1" applyAlignment="1">
      <alignment horizontal="right" vertical="center" wrapText="1" indent="1"/>
    </xf>
    <xf numFmtId="183" fontId="57" fillId="12" borderId="206" xfId="0" applyNumberFormat="1" applyFont="1" applyFill="1" applyBorder="1" applyAlignment="1">
      <alignment horizontal="right" vertical="center" wrapText="1" indent="1"/>
    </xf>
    <xf numFmtId="183" fontId="57" fillId="12" borderId="190" xfId="0" applyNumberFormat="1" applyFont="1" applyFill="1" applyBorder="1" applyAlignment="1">
      <alignment horizontal="right" vertical="center" wrapText="1" indent="1"/>
    </xf>
    <xf numFmtId="183" fontId="57" fillId="12" borderId="189" xfId="0" applyNumberFormat="1" applyFont="1" applyFill="1" applyBorder="1" applyAlignment="1">
      <alignment horizontal="right" vertical="center" wrapText="1" indent="1"/>
    </xf>
    <xf numFmtId="183" fontId="57" fillId="24" borderId="34" xfId="0" applyNumberFormat="1" applyFont="1" applyFill="1" applyBorder="1" applyAlignment="1">
      <alignment horizontal="right" vertical="center" wrapText="1" indent="1"/>
    </xf>
    <xf numFmtId="183" fontId="57" fillId="25" borderId="34" xfId="0" applyNumberFormat="1" applyFont="1" applyFill="1" applyBorder="1" applyAlignment="1">
      <alignment horizontal="right" vertical="center" wrapText="1" indent="1"/>
    </xf>
    <xf numFmtId="183" fontId="37" fillId="25" borderId="116" xfId="0" applyNumberFormat="1" applyFont="1" applyFill="1" applyBorder="1" applyAlignment="1">
      <alignment horizontal="right" vertical="center" wrapText="1" indent="1"/>
    </xf>
    <xf numFmtId="183" fontId="37" fillId="12" borderId="116" xfId="0" applyNumberFormat="1" applyFont="1" applyFill="1" applyBorder="1" applyAlignment="1">
      <alignment horizontal="right" vertical="center" wrapText="1" indent="1"/>
    </xf>
    <xf numFmtId="183" fontId="37" fillId="12" borderId="30" xfId="0" applyNumberFormat="1" applyFont="1" applyFill="1" applyBorder="1" applyAlignment="1">
      <alignment horizontal="right" vertical="center" wrapText="1" indent="1"/>
    </xf>
    <xf numFmtId="183" fontId="37" fillId="25" borderId="72" xfId="0" applyNumberFormat="1" applyFont="1" applyFill="1" applyBorder="1" applyAlignment="1">
      <alignment horizontal="right" vertical="center" wrapText="1" indent="1"/>
    </xf>
    <xf numFmtId="183" fontId="9" fillId="0" borderId="116" xfId="0" applyNumberFormat="1" applyFont="1" applyFill="1" applyBorder="1" applyAlignment="1">
      <alignment horizontal="right" vertical="center" wrapText="1" indent="1"/>
    </xf>
    <xf numFmtId="183" fontId="9" fillId="0" borderId="237" xfId="0" applyNumberFormat="1" applyFont="1" applyFill="1" applyBorder="1" applyAlignment="1">
      <alignment horizontal="right" vertical="center" wrapText="1" indent="1"/>
    </xf>
    <xf numFmtId="183" fontId="9" fillId="0" borderId="72" xfId="0" applyNumberFormat="1" applyFont="1" applyFill="1" applyBorder="1" applyAlignment="1">
      <alignment horizontal="right" vertical="center" wrapText="1" indent="1"/>
    </xf>
    <xf numFmtId="183" fontId="37" fillId="0" borderId="308" xfId="0" applyNumberFormat="1" applyFont="1" applyFill="1" applyBorder="1" applyAlignment="1">
      <alignment horizontal="right" vertical="center" wrapText="1" indent="1"/>
    </xf>
    <xf numFmtId="183" fontId="48" fillId="0" borderId="17" xfId="0" applyNumberFormat="1" applyFont="1" applyFill="1" applyBorder="1" applyAlignment="1">
      <alignment horizontal="right" vertical="center" wrapText="1" indent="1"/>
    </xf>
    <xf numFmtId="183" fontId="48" fillId="12" borderId="181" xfId="0" applyNumberFormat="1" applyFont="1" applyFill="1" applyBorder="1" applyAlignment="1">
      <alignment horizontal="right" vertical="center" wrapText="1" indent="1"/>
    </xf>
    <xf numFmtId="183" fontId="48" fillId="12" borderId="205" xfId="0" applyNumberFormat="1" applyFont="1" applyFill="1" applyBorder="1" applyAlignment="1">
      <alignment horizontal="right" vertical="center" wrapText="1" indent="1"/>
    </xf>
    <xf numFmtId="183" fontId="48" fillId="12" borderId="117" xfId="0" applyNumberFormat="1" applyFont="1" applyFill="1" applyBorder="1" applyAlignment="1">
      <alignment horizontal="right" vertical="center" wrapText="1" indent="1"/>
    </xf>
    <xf numFmtId="183" fontId="57" fillId="0" borderId="32" xfId="0" applyNumberFormat="1" applyFont="1" applyFill="1" applyBorder="1" applyAlignment="1">
      <alignment horizontal="right" vertical="center" wrapText="1" indent="1"/>
    </xf>
    <xf numFmtId="183" fontId="57" fillId="25" borderId="199" xfId="0" applyNumberFormat="1" applyFont="1" applyFill="1" applyBorder="1" applyAlignment="1">
      <alignment horizontal="right" vertical="center" wrapText="1" indent="1"/>
    </xf>
    <xf numFmtId="183" fontId="57" fillId="0" borderId="206" xfId="0" applyNumberFormat="1" applyFont="1" applyFill="1" applyBorder="1" applyAlignment="1">
      <alignment horizontal="right" vertical="center" wrapText="1" indent="1"/>
    </xf>
    <xf numFmtId="183" fontId="57" fillId="24" borderId="206" xfId="0" applyNumberFormat="1" applyFont="1" applyFill="1" applyBorder="1" applyAlignment="1">
      <alignment horizontal="right" vertical="center" wrapText="1" indent="1"/>
    </xf>
    <xf numFmtId="183" fontId="57" fillId="27" borderId="206" xfId="0" applyNumberFormat="1" applyFont="1" applyFill="1" applyBorder="1" applyAlignment="1">
      <alignment horizontal="right" vertical="center" wrapText="1" indent="1"/>
    </xf>
    <xf numFmtId="183" fontId="57" fillId="27" borderId="211" xfId="0" applyNumberFormat="1" applyFont="1" applyFill="1" applyBorder="1" applyAlignment="1">
      <alignment horizontal="right" vertical="center" wrapText="1" indent="1"/>
    </xf>
    <xf numFmtId="183" fontId="57" fillId="0" borderId="151" xfId="0" applyNumberFormat="1" applyFont="1" applyFill="1" applyBorder="1" applyAlignment="1">
      <alignment horizontal="right" vertical="center" wrapText="1" indent="1"/>
    </xf>
    <xf numFmtId="183" fontId="57" fillId="0" borderId="155" xfId="0" applyNumberFormat="1" applyFont="1" applyFill="1" applyBorder="1" applyAlignment="1">
      <alignment horizontal="right" vertical="center" wrapText="1" indent="1"/>
    </xf>
    <xf numFmtId="183" fontId="57" fillId="25" borderId="155" xfId="0" applyNumberFormat="1" applyFont="1" applyFill="1" applyBorder="1" applyAlignment="1">
      <alignment horizontal="right" vertical="center" wrapText="1" indent="1"/>
    </xf>
    <xf numFmtId="183" fontId="57" fillId="24" borderId="155" xfId="0" applyNumberFormat="1" applyFont="1" applyFill="1" applyBorder="1" applyAlignment="1">
      <alignment horizontal="right" vertical="center" wrapText="1" indent="1"/>
    </xf>
    <xf numFmtId="183" fontId="57" fillId="15" borderId="155" xfId="0" applyNumberFormat="1" applyFont="1" applyFill="1" applyBorder="1" applyAlignment="1">
      <alignment horizontal="right" vertical="center" wrapText="1" indent="1"/>
    </xf>
    <xf numFmtId="183" fontId="57" fillId="15" borderId="297" xfId="0" applyNumberFormat="1" applyFont="1" applyFill="1" applyBorder="1" applyAlignment="1">
      <alignment horizontal="right" vertical="center" wrapText="1" indent="1"/>
    </xf>
    <xf numFmtId="183" fontId="57" fillId="27" borderId="159" xfId="0" applyNumberFormat="1" applyFont="1" applyFill="1" applyBorder="1" applyAlignment="1">
      <alignment horizontal="right" vertical="center" wrapText="1" indent="1"/>
    </xf>
    <xf numFmtId="183" fontId="57" fillId="25" borderId="151" xfId="0" applyNumberFormat="1" applyFont="1" applyFill="1" applyBorder="1" applyAlignment="1">
      <alignment horizontal="right" vertical="center" wrapText="1" indent="1"/>
    </xf>
    <xf numFmtId="183" fontId="57" fillId="12" borderId="34" xfId="0" applyNumberFormat="1" applyFont="1" applyFill="1" applyBorder="1" applyAlignment="1">
      <alignment horizontal="right" vertical="center" wrapText="1" indent="1"/>
    </xf>
    <xf numFmtId="183" fontId="57" fillId="12" borderId="60" xfId="0" applyNumberFormat="1" applyFont="1" applyFill="1" applyBorder="1" applyAlignment="1">
      <alignment horizontal="right" vertical="center" wrapText="1" indent="1"/>
    </xf>
    <xf numFmtId="183" fontId="57" fillId="0" borderId="34" xfId="0" applyNumberFormat="1" applyFont="1" applyFill="1" applyBorder="1" applyAlignment="1">
      <alignment horizontal="right" vertical="center" wrapText="1" indent="1"/>
    </xf>
    <xf numFmtId="183" fontId="57" fillId="0" borderId="125" xfId="0" applyNumberFormat="1" applyFont="1" applyFill="1" applyBorder="1" applyAlignment="1">
      <alignment horizontal="right" vertical="center" wrapText="1" indent="1"/>
    </xf>
    <xf numFmtId="183" fontId="57" fillId="0" borderId="33" xfId="0" applyNumberFormat="1" applyFont="1" applyFill="1" applyBorder="1" applyAlignment="1">
      <alignment horizontal="right" vertical="center" wrapText="1" indent="1"/>
    </xf>
    <xf numFmtId="183" fontId="57" fillId="0" borderId="310" xfId="0" applyNumberFormat="1" applyFont="1" applyFill="1" applyBorder="1" applyAlignment="1">
      <alignment horizontal="right" vertical="center" wrapText="1" indent="1"/>
    </xf>
    <xf numFmtId="0" fontId="0" fillId="0" borderId="0" xfId="0" applyFill="1" applyAlignment="1">
      <alignment horizontal="right" vertical="center"/>
    </xf>
    <xf numFmtId="0" fontId="0" fillId="0" borderId="0" xfId="0" applyFill="1" applyAlignment="1">
      <alignment horizontal="left" vertical="center" indent="1"/>
    </xf>
    <xf numFmtId="0" fontId="0" fillId="0" borderId="9" xfId="0" applyFont="1" applyBorder="1" applyAlignment="1">
      <alignment vertical="center" wrapText="1"/>
    </xf>
    <xf numFmtId="0" fontId="0" fillId="0" borderId="35" xfId="0" applyFont="1" applyBorder="1" applyAlignment="1">
      <alignment vertical="center" wrapText="1"/>
    </xf>
    <xf numFmtId="14" fontId="0" fillId="0" borderId="1" xfId="0" applyNumberFormat="1" applyFont="1" applyBorder="1" applyAlignment="1">
      <alignment horizontal="left" vertical="center" wrapText="1"/>
    </xf>
    <xf numFmtId="14" fontId="0" fillId="0" borderId="8" xfId="0" applyNumberFormat="1" applyFont="1" applyBorder="1" applyAlignment="1">
      <alignment horizontal="left" vertical="center" wrapText="1"/>
    </xf>
    <xf numFmtId="14" fontId="0" fillId="0" borderId="13" xfId="0" applyNumberFormat="1" applyFont="1" applyBorder="1" applyAlignment="1">
      <alignment horizontal="left" vertical="center" wrapText="1"/>
    </xf>
    <xf numFmtId="14" fontId="0" fillId="0" borderId="15" xfId="0" applyNumberFormat="1" applyFont="1" applyBorder="1" applyAlignment="1">
      <alignment horizontal="left" vertical="center" wrapText="1"/>
    </xf>
    <xf numFmtId="0" fontId="51" fillId="0" borderId="0" xfId="0" applyFont="1" applyFill="1" applyAlignment="1">
      <alignment vertical="center"/>
    </xf>
    <xf numFmtId="3" fontId="0" fillId="0" borderId="302" xfId="0" applyNumberFormat="1" applyFont="1" applyFill="1" applyBorder="1" applyAlignment="1">
      <alignment horizontal="center" vertical="center" wrapText="1"/>
    </xf>
    <xf numFmtId="3" fontId="0" fillId="0" borderId="303" xfId="0" applyNumberFormat="1" applyFont="1" applyFill="1" applyBorder="1" applyAlignment="1">
      <alignment horizontal="center" vertical="center" wrapText="1"/>
    </xf>
    <xf numFmtId="3" fontId="0" fillId="0" borderId="309" xfId="0" applyNumberFormat="1" applyFont="1" applyFill="1" applyBorder="1" applyAlignment="1">
      <alignment horizontal="center" vertical="center" wrapText="1"/>
    </xf>
    <xf numFmtId="189" fontId="0" fillId="0" borderId="310" xfId="0" applyNumberFormat="1" applyFont="1" applyFill="1" applyBorder="1" applyAlignment="1">
      <alignment horizontal="center" vertical="center" wrapText="1"/>
    </xf>
    <xf numFmtId="1" fontId="0" fillId="0" borderId="309" xfId="0" applyNumberFormat="1" applyFont="1" applyFill="1" applyBorder="1" applyAlignment="1">
      <alignment horizontal="center" vertical="center" wrapText="1"/>
    </xf>
    <xf numFmtId="0" fontId="0" fillId="0" borderId="26" xfId="0" applyFont="1" applyFill="1" applyBorder="1" applyAlignment="1">
      <alignment horizontal="center" vertical="center" wrapText="1"/>
    </xf>
    <xf numFmtId="0" fontId="4" fillId="0" borderId="23" xfId="0" applyFont="1" applyFill="1" applyBorder="1" applyAlignment="1">
      <alignment horizontal="left" vertical="center" wrapText="1" indent="1"/>
    </xf>
    <xf numFmtId="2" fontId="0" fillId="0" borderId="359" xfId="0" applyNumberFormat="1" applyFont="1" applyFill="1" applyBorder="1" applyAlignment="1">
      <alignment horizontal="center" vertical="center" wrapText="1"/>
    </xf>
    <xf numFmtId="2" fontId="0" fillId="0" borderId="363" xfId="0" applyNumberFormat="1" applyFont="1" applyFill="1" applyBorder="1" applyAlignment="1">
      <alignment horizontal="center" vertical="center" wrapText="1"/>
    </xf>
    <xf numFmtId="2" fontId="0" fillId="0" borderId="364" xfId="0" applyNumberFormat="1" applyFont="1" applyFill="1" applyBorder="1" applyAlignment="1">
      <alignment horizontal="center" vertical="center" wrapText="1"/>
    </xf>
    <xf numFmtId="166" fontId="0" fillId="0" borderId="22" xfId="0" applyNumberFormat="1" applyFont="1" applyFill="1" applyBorder="1" applyAlignment="1">
      <alignment horizontal="center" vertical="center" wrapText="1"/>
    </xf>
    <xf numFmtId="166" fontId="0" fillId="0" borderId="359" xfId="0" applyNumberFormat="1" applyFont="1" applyFill="1" applyBorder="1" applyAlignment="1">
      <alignment horizontal="center" vertical="center" wrapText="1"/>
    </xf>
    <xf numFmtId="166" fontId="0" fillId="0" borderId="48" xfId="0" applyNumberFormat="1" applyFont="1" applyFill="1" applyBorder="1" applyAlignment="1">
      <alignment horizontal="center" vertical="center" wrapText="1"/>
    </xf>
    <xf numFmtId="166" fontId="0" fillId="0" borderId="361" xfId="0" applyNumberFormat="1" applyFont="1" applyFill="1" applyBorder="1" applyAlignment="1">
      <alignment horizontal="center" vertical="center" wrapText="1"/>
    </xf>
    <xf numFmtId="166" fontId="0" fillId="0" borderId="19" xfId="0" applyNumberFormat="1" applyFont="1" applyFill="1" applyBorder="1" applyAlignment="1">
      <alignment horizontal="center" vertical="center" wrapText="1"/>
    </xf>
    <xf numFmtId="166" fontId="0" fillId="0" borderId="360" xfId="0" applyNumberFormat="1" applyFont="1" applyFill="1" applyBorder="1" applyAlignment="1">
      <alignment horizontal="center" vertical="center" wrapText="1"/>
    </xf>
    <xf numFmtId="2" fontId="0" fillId="0" borderId="365" xfId="0" applyNumberFormat="1" applyFont="1" applyFill="1" applyBorder="1" applyAlignment="1">
      <alignment horizontal="center" vertical="center" wrapText="1"/>
    </xf>
    <xf numFmtId="166" fontId="0" fillId="0" borderId="363" xfId="0" applyNumberFormat="1" applyFont="1" applyFill="1" applyBorder="1" applyAlignment="1">
      <alignment horizontal="center" vertical="center" wrapText="1"/>
    </xf>
    <xf numFmtId="166" fontId="0" fillId="0" borderId="364" xfId="0" applyNumberFormat="1" applyFont="1" applyFill="1" applyBorder="1" applyAlignment="1">
      <alignment horizontal="center" vertical="center" wrapText="1"/>
    </xf>
    <xf numFmtId="0" fontId="0" fillId="0" borderId="362" xfId="0" applyFont="1" applyFill="1" applyBorder="1" applyAlignment="1">
      <alignment horizontal="center" vertical="center" wrapText="1"/>
    </xf>
    <xf numFmtId="0" fontId="0" fillId="0" borderId="367" xfId="0" applyFont="1" applyFill="1" applyBorder="1" applyAlignment="1">
      <alignment horizontal="center" vertical="center" wrapText="1"/>
    </xf>
    <xf numFmtId="0" fontId="0" fillId="0" borderId="369" xfId="0" applyFont="1" applyFill="1" applyBorder="1" applyAlignment="1">
      <alignment horizontal="center" vertical="center" wrapText="1"/>
    </xf>
    <xf numFmtId="1" fontId="13" fillId="0" borderId="17" xfId="0" applyNumberFormat="1" applyFont="1" applyFill="1" applyBorder="1" applyAlignment="1">
      <alignment horizontal="right" vertical="center" wrapText="1" indent="2"/>
    </xf>
    <xf numFmtId="1" fontId="13" fillId="0" borderId="12" xfId="0" applyNumberFormat="1" applyFont="1" applyFill="1" applyBorder="1" applyAlignment="1">
      <alignment horizontal="right" vertical="center" wrapText="1" indent="2"/>
    </xf>
    <xf numFmtId="166" fontId="13" fillId="0" borderId="12" xfId="0" applyNumberFormat="1" applyFont="1" applyFill="1" applyBorder="1" applyAlignment="1">
      <alignment horizontal="left" vertical="center" wrapText="1" indent="1"/>
    </xf>
    <xf numFmtId="166" fontId="13" fillId="0" borderId="40" xfId="0" applyNumberFormat="1" applyFont="1" applyFill="1" applyBorder="1" applyAlignment="1">
      <alignment horizontal="left" vertical="center" wrapText="1" indent="1"/>
    </xf>
    <xf numFmtId="166" fontId="13" fillId="0" borderId="36" xfId="0" applyNumberFormat="1" applyFont="1" applyFill="1" applyBorder="1" applyAlignment="1">
      <alignment horizontal="left" vertical="center" wrapText="1" indent="1"/>
    </xf>
    <xf numFmtId="166" fontId="13" fillId="0" borderId="17" xfId="0" applyNumberFormat="1" applyFont="1" applyFill="1" applyBorder="1" applyAlignment="1">
      <alignment horizontal="left" vertical="center" wrapText="1" indent="1"/>
    </xf>
    <xf numFmtId="166" fontId="13" fillId="0" borderId="39" xfId="0" applyNumberFormat="1" applyFont="1" applyFill="1" applyBorder="1" applyAlignment="1">
      <alignment horizontal="left" vertical="center" wrapText="1" indent="1"/>
    </xf>
    <xf numFmtId="166" fontId="13" fillId="0" borderId="32" xfId="0" applyNumberFormat="1" applyFont="1" applyFill="1" applyBorder="1" applyAlignment="1">
      <alignment horizontal="left" vertical="center" wrapText="1" indent="1"/>
    </xf>
    <xf numFmtId="1" fontId="13" fillId="0" borderId="121" xfId="0" applyNumberFormat="1" applyFont="1" applyFill="1" applyBorder="1" applyAlignment="1">
      <alignment horizontal="right" vertical="center" wrapText="1" indent="2"/>
    </xf>
    <xf numFmtId="166" fontId="13" fillId="0" borderId="121" xfId="0" applyNumberFormat="1" applyFont="1" applyFill="1" applyBorder="1" applyAlignment="1">
      <alignment horizontal="left" vertical="center" wrapText="1" indent="1"/>
    </xf>
    <xf numFmtId="166" fontId="13" fillId="0" borderId="104" xfId="0" applyNumberFormat="1" applyFont="1" applyFill="1" applyBorder="1" applyAlignment="1">
      <alignment horizontal="left" vertical="center" wrapText="1" indent="1"/>
    </xf>
    <xf numFmtId="166" fontId="13" fillId="0" borderId="122" xfId="0" applyNumberFormat="1" applyFont="1" applyFill="1" applyBorder="1" applyAlignment="1">
      <alignment horizontal="left" vertical="center" wrapText="1" indent="1"/>
    </xf>
    <xf numFmtId="1" fontId="13" fillId="0" borderId="7" xfId="0" applyNumberFormat="1" applyFont="1" applyFill="1" applyBorder="1" applyAlignment="1">
      <alignment horizontal="right" vertical="center" wrapText="1" indent="2"/>
    </xf>
    <xf numFmtId="166" fontId="13" fillId="0" borderId="7" xfId="0" applyNumberFormat="1" applyFont="1" applyFill="1" applyBorder="1" applyAlignment="1">
      <alignment horizontal="left" vertical="center" wrapText="1" indent="1"/>
    </xf>
    <xf numFmtId="166" fontId="13" fillId="0" borderId="42" xfId="0" applyNumberFormat="1" applyFont="1" applyFill="1" applyBorder="1" applyAlignment="1">
      <alignment horizontal="left" vertical="center" wrapText="1" indent="1"/>
    </xf>
    <xf numFmtId="166" fontId="13" fillId="0" borderId="44" xfId="0" applyNumberFormat="1" applyFont="1" applyFill="1" applyBorder="1" applyAlignment="1">
      <alignment horizontal="left" vertical="center" wrapText="1" indent="1"/>
    </xf>
    <xf numFmtId="1" fontId="13" fillId="0" borderId="23" xfId="0" applyNumberFormat="1" applyFont="1" applyFill="1" applyBorder="1" applyAlignment="1">
      <alignment horizontal="right" vertical="center" wrapText="1" indent="2"/>
    </xf>
    <xf numFmtId="166" fontId="13" fillId="0" borderId="23" xfId="0" applyNumberFormat="1" applyFont="1" applyFill="1" applyBorder="1" applyAlignment="1">
      <alignment horizontal="left" vertical="center" wrapText="1" indent="1"/>
    </xf>
    <xf numFmtId="166" fontId="13" fillId="0" borderId="52" xfId="0" applyNumberFormat="1" applyFont="1" applyFill="1" applyBorder="1" applyAlignment="1">
      <alignment horizontal="left" vertical="center" wrapText="1" indent="1"/>
    </xf>
    <xf numFmtId="166" fontId="13" fillId="0" borderId="34" xfId="0" applyNumberFormat="1" applyFont="1" applyFill="1" applyBorder="1" applyAlignment="1">
      <alignment horizontal="left" vertical="center" wrapText="1" indent="1"/>
    </xf>
    <xf numFmtId="1" fontId="13" fillId="0" borderId="26" xfId="0" applyNumberFormat="1" applyFont="1" applyFill="1" applyBorder="1" applyAlignment="1">
      <alignment horizontal="right" vertical="center" wrapText="1" indent="2"/>
    </xf>
    <xf numFmtId="166" fontId="13" fillId="0" borderId="26" xfId="0" applyNumberFormat="1" applyFont="1" applyFill="1" applyBorder="1" applyAlignment="1">
      <alignment horizontal="left" vertical="center" wrapText="1" indent="1"/>
    </xf>
    <xf numFmtId="166" fontId="13" fillId="0" borderId="51" xfId="0" applyNumberFormat="1" applyFont="1" applyFill="1" applyBorder="1" applyAlignment="1">
      <alignment horizontal="left" vertical="center" wrapText="1" indent="1"/>
    </xf>
    <xf numFmtId="166" fontId="13" fillId="0" borderId="33" xfId="0" applyNumberFormat="1" applyFont="1" applyFill="1" applyBorder="1" applyAlignment="1">
      <alignment horizontal="left" vertical="center" wrapText="1" indent="1"/>
    </xf>
    <xf numFmtId="1" fontId="13" fillId="0" borderId="27" xfId="0" applyNumberFormat="1" applyFont="1" applyFill="1" applyBorder="1" applyAlignment="1">
      <alignment horizontal="right" vertical="center" wrapText="1" indent="2"/>
    </xf>
    <xf numFmtId="166" fontId="13" fillId="0" borderId="27" xfId="0" applyNumberFormat="1" applyFont="1" applyFill="1" applyBorder="1" applyAlignment="1">
      <alignment horizontal="left" vertical="center" wrapText="1" indent="1"/>
    </xf>
    <xf numFmtId="166" fontId="13" fillId="0" borderId="53" xfId="0" applyNumberFormat="1" applyFont="1" applyFill="1" applyBorder="1" applyAlignment="1">
      <alignment horizontal="left" vertical="center" wrapText="1" indent="1"/>
    </xf>
    <xf numFmtId="166" fontId="13" fillId="0" borderId="60" xfId="0" applyNumberFormat="1" applyFont="1" applyFill="1" applyBorder="1" applyAlignment="1">
      <alignment horizontal="left" vertical="center" wrapText="1" indent="1"/>
    </xf>
    <xf numFmtId="1" fontId="13" fillId="0" borderId="101" xfId="0" applyNumberFormat="1" applyFont="1" applyFill="1" applyBorder="1" applyAlignment="1">
      <alignment horizontal="right" vertical="center" wrapText="1" indent="2"/>
    </xf>
    <xf numFmtId="166" fontId="13" fillId="0" borderId="101" xfId="0" applyNumberFormat="1" applyFont="1" applyFill="1" applyBorder="1" applyAlignment="1">
      <alignment horizontal="left" vertical="center" wrapText="1" indent="1"/>
    </xf>
    <xf numFmtId="166" fontId="13" fillId="0" borderId="105" xfId="0" applyNumberFormat="1" applyFont="1" applyFill="1" applyBorder="1" applyAlignment="1">
      <alignment horizontal="left" vertical="center" wrapText="1" indent="1"/>
    </xf>
    <xf numFmtId="166" fontId="13" fillId="0" borderId="13" xfId="0" applyNumberFormat="1" applyFont="1" applyFill="1" applyBorder="1" applyAlignment="1">
      <alignment horizontal="left" vertical="center" wrapText="1" indent="1"/>
    </xf>
    <xf numFmtId="166" fontId="13" fillId="0" borderId="18" xfId="0" applyNumberFormat="1" applyFont="1" applyFill="1" applyBorder="1" applyAlignment="1">
      <alignment horizontal="left" vertical="center" wrapText="1" indent="1"/>
    </xf>
    <xf numFmtId="166" fontId="13" fillId="0" borderId="366" xfId="0" applyNumberFormat="1" applyFont="1" applyFill="1" applyBorder="1" applyAlignment="1">
      <alignment horizontal="left" vertical="center" wrapText="1" indent="1"/>
    </xf>
    <xf numFmtId="166" fontId="13" fillId="0" borderId="8" xfId="0" applyNumberFormat="1" applyFont="1" applyFill="1" applyBorder="1" applyAlignment="1">
      <alignment horizontal="left" vertical="center" wrapText="1" indent="1"/>
    </xf>
    <xf numFmtId="166" fontId="13" fillId="0" borderId="365" xfId="0" applyNumberFormat="1" applyFont="1" applyFill="1" applyBorder="1" applyAlignment="1">
      <alignment horizontal="left" vertical="center" wrapText="1" indent="1"/>
    </xf>
    <xf numFmtId="166" fontId="13" fillId="0" borderId="356" xfId="0" applyNumberFormat="1" applyFont="1" applyFill="1" applyBorder="1" applyAlignment="1">
      <alignment horizontal="left" vertical="center" wrapText="1" indent="1"/>
    </xf>
    <xf numFmtId="166" fontId="13" fillId="0" borderId="368" xfId="0" applyNumberFormat="1" applyFont="1" applyFill="1" applyBorder="1" applyAlignment="1">
      <alignment horizontal="left" vertical="center" wrapText="1" indent="1"/>
    </xf>
    <xf numFmtId="166" fontId="13" fillId="0" borderId="49" xfId="0" applyNumberFormat="1" applyFont="1" applyFill="1" applyBorder="1" applyAlignment="1">
      <alignment horizontal="left" vertical="center" wrapText="1" indent="1"/>
    </xf>
    <xf numFmtId="166" fontId="13" fillId="0" borderId="373" xfId="0" applyNumberFormat="1" applyFont="1" applyFill="1" applyBorder="1" applyAlignment="1">
      <alignment horizontal="left" vertical="center" wrapText="1" indent="1"/>
    </xf>
    <xf numFmtId="166" fontId="13" fillId="0" borderId="370" xfId="0" applyNumberFormat="1" applyFont="1" applyFill="1" applyBorder="1" applyAlignment="1">
      <alignment horizontal="left" vertical="center" wrapText="1" indent="1"/>
    </xf>
    <xf numFmtId="0" fontId="18" fillId="0" borderId="0" xfId="0" applyFont="1" applyBorder="1" applyAlignment="1">
      <alignment vertical="center"/>
    </xf>
    <xf numFmtId="0" fontId="1" fillId="0" borderId="0" xfId="0" applyFont="1" applyBorder="1" applyAlignment="1">
      <alignment vertical="center"/>
    </xf>
    <xf numFmtId="0" fontId="69" fillId="0" borderId="56" xfId="0" applyFont="1" applyFill="1" applyBorder="1" applyAlignment="1">
      <alignment horizontal="center" vertical="center" wrapText="1"/>
    </xf>
    <xf numFmtId="0" fontId="69" fillId="0" borderId="57" xfId="0" applyFont="1" applyFill="1" applyBorder="1" applyAlignment="1">
      <alignment horizontal="center" vertical="center" wrapText="1"/>
    </xf>
    <xf numFmtId="0" fontId="69" fillId="0" borderId="58" xfId="0" applyFont="1" applyFill="1" applyBorder="1" applyAlignment="1">
      <alignment horizontal="center" vertical="center" wrapText="1"/>
    </xf>
    <xf numFmtId="0" fontId="70" fillId="0" borderId="0" xfId="0" applyFont="1" applyAlignment="1">
      <alignment vertical="center"/>
    </xf>
    <xf numFmtId="0" fontId="1" fillId="0" borderId="0" xfId="0" applyFont="1" applyAlignment="1">
      <alignment vertical="center"/>
    </xf>
    <xf numFmtId="0" fontId="0" fillId="0" borderId="167" xfId="0" applyBorder="1" applyAlignment="1">
      <alignment vertical="center"/>
    </xf>
    <xf numFmtId="0" fontId="0" fillId="0" borderId="18" xfId="0" applyFill="1" applyBorder="1" applyAlignment="1">
      <alignment horizontal="center" vertical="center" wrapText="1"/>
    </xf>
    <xf numFmtId="0" fontId="41" fillId="0" borderId="9" xfId="0" applyFont="1" applyFill="1" applyBorder="1" applyAlignment="1">
      <alignment horizontal="left" vertical="center" wrapText="1" indent="1"/>
    </xf>
    <xf numFmtId="0" fontId="30" fillId="0" borderId="0" xfId="0" applyFont="1" applyBorder="1" applyAlignment="1">
      <alignment vertical="center"/>
    </xf>
    <xf numFmtId="0" fontId="0" fillId="0" borderId="363" xfId="0" applyBorder="1" applyAlignment="1">
      <alignment horizontal="center" vertical="center"/>
    </xf>
    <xf numFmtId="0" fontId="0" fillId="0" borderId="26" xfId="0" applyBorder="1" applyAlignment="1">
      <alignment horizontal="left" vertical="center" indent="1"/>
    </xf>
    <xf numFmtId="0" fontId="0" fillId="0" borderId="7" xfId="0" applyBorder="1" applyAlignment="1">
      <alignment horizontal="left" vertical="center" indent="1"/>
    </xf>
    <xf numFmtId="0" fontId="0" fillId="25" borderId="23" xfId="0" applyFill="1" applyBorder="1" applyAlignment="1">
      <alignment horizontal="left" vertical="center" indent="1"/>
    </xf>
    <xf numFmtId="195" fontId="4" fillId="0" borderId="88" xfId="0" applyNumberFormat="1" applyFont="1" applyBorder="1" applyAlignment="1">
      <alignment horizontal="center" vertical="center"/>
    </xf>
    <xf numFmtId="0" fontId="0" fillId="0" borderId="49" xfId="0" applyFill="1" applyBorder="1" applyAlignment="1">
      <alignment horizontal="center" vertical="center" wrapText="1"/>
    </xf>
    <xf numFmtId="0" fontId="0" fillId="0" borderId="365" xfId="0" applyFill="1" applyBorder="1" applyAlignment="1">
      <alignment horizontal="center" vertical="center" wrapText="1"/>
    </xf>
    <xf numFmtId="0" fontId="0" fillId="0" borderId="373" xfId="0" applyFill="1" applyBorder="1" applyAlignment="1">
      <alignment horizontal="center" vertical="center" wrapText="1"/>
    </xf>
    <xf numFmtId="0" fontId="0" fillId="2" borderId="8" xfId="0" applyFill="1" applyBorder="1" applyAlignment="1">
      <alignment horizontal="center" vertical="center" wrapText="1"/>
    </xf>
    <xf numFmtId="0" fontId="0" fillId="2" borderId="42" xfId="0" applyFill="1" applyBorder="1" applyAlignment="1">
      <alignment horizontal="left" vertical="center" wrapText="1" indent="1"/>
    </xf>
    <xf numFmtId="0" fontId="0" fillId="2" borderId="44" xfId="0" applyFill="1" applyBorder="1" applyAlignment="1">
      <alignment horizontal="left" vertical="center" wrapText="1" indent="1"/>
    </xf>
    <xf numFmtId="0" fontId="0" fillId="0" borderId="374" xfId="0" applyFill="1" applyBorder="1" applyAlignment="1">
      <alignment horizontal="left" vertical="center" wrapText="1" indent="1"/>
    </xf>
    <xf numFmtId="0" fontId="0" fillId="0" borderId="368" xfId="0" applyFill="1" applyBorder="1" applyAlignment="1">
      <alignment horizontal="left" vertical="center" wrapText="1" indent="1"/>
    </xf>
    <xf numFmtId="166" fontId="0" fillId="12" borderId="374" xfId="0" applyNumberFormat="1" applyFont="1" applyFill="1" applyBorder="1" applyAlignment="1">
      <alignment horizontal="left" vertical="center" wrapText="1" indent="1"/>
    </xf>
    <xf numFmtId="1" fontId="0" fillId="12" borderId="363" xfId="0" applyNumberFormat="1" applyFont="1" applyFill="1" applyBorder="1" applyAlignment="1">
      <alignment horizontal="center" vertical="center" wrapText="1"/>
    </xf>
    <xf numFmtId="166" fontId="0" fillId="12" borderId="363" xfId="0" applyNumberFormat="1" applyFont="1" applyFill="1" applyBorder="1" applyAlignment="1">
      <alignment horizontal="left" vertical="center" wrapText="1" indent="1"/>
    </xf>
    <xf numFmtId="166" fontId="0" fillId="12" borderId="368" xfId="0" applyNumberFormat="1" applyFont="1" applyFill="1" applyBorder="1" applyAlignment="1">
      <alignment horizontal="left" vertical="center" wrapText="1" indent="1"/>
    </xf>
    <xf numFmtId="166" fontId="0" fillId="12" borderId="375" xfId="0" applyNumberFormat="1" applyFont="1" applyFill="1" applyBorder="1" applyAlignment="1">
      <alignment horizontal="left" vertical="center" wrapText="1" indent="1"/>
    </xf>
    <xf numFmtId="1" fontId="0" fillId="12" borderId="364" xfId="0" applyNumberFormat="1" applyFont="1" applyFill="1" applyBorder="1" applyAlignment="1">
      <alignment horizontal="center" vertical="center" wrapText="1"/>
    </xf>
    <xf numFmtId="166" fontId="0" fillId="12" borderId="364" xfId="0" applyNumberFormat="1" applyFont="1" applyFill="1" applyBorder="1" applyAlignment="1">
      <alignment horizontal="left" vertical="center" wrapText="1" indent="1"/>
    </xf>
    <xf numFmtId="166" fontId="0" fillId="12" borderId="370" xfId="0" applyNumberFormat="1" applyFont="1" applyFill="1" applyBorder="1" applyAlignment="1">
      <alignment horizontal="left" vertical="center" wrapText="1" indent="1"/>
    </xf>
    <xf numFmtId="166" fontId="1" fillId="12" borderId="375" xfId="0" applyNumberFormat="1" applyFont="1" applyFill="1" applyBorder="1" applyAlignment="1">
      <alignment horizontal="left" vertical="center" wrapText="1" indent="1"/>
    </xf>
    <xf numFmtId="1" fontId="1" fillId="12" borderId="364" xfId="0" applyNumberFormat="1" applyFont="1" applyFill="1" applyBorder="1" applyAlignment="1">
      <alignment horizontal="center" vertical="center" wrapText="1"/>
    </xf>
    <xf numFmtId="166" fontId="1" fillId="12" borderId="364" xfId="0" applyNumberFormat="1" applyFont="1" applyFill="1" applyBorder="1" applyAlignment="1">
      <alignment horizontal="left" vertical="center" wrapText="1" indent="1"/>
    </xf>
    <xf numFmtId="166" fontId="1" fillId="12" borderId="370" xfId="0" applyNumberFormat="1" applyFont="1" applyFill="1" applyBorder="1" applyAlignment="1">
      <alignment horizontal="left" vertical="center" wrapText="1" indent="1"/>
    </xf>
    <xf numFmtId="0" fontId="0" fillId="0" borderId="51" xfId="0" applyBorder="1" applyAlignment="1">
      <alignment horizontal="left" vertical="center" indent="1"/>
    </xf>
    <xf numFmtId="0" fontId="0" fillId="0" borderId="42" xfId="0" applyBorder="1" applyAlignment="1">
      <alignment horizontal="left" vertical="center" indent="1"/>
    </xf>
    <xf numFmtId="0" fontId="0" fillId="0" borderId="374" xfId="0" applyBorder="1" applyAlignment="1">
      <alignment horizontal="left" vertical="center" indent="1"/>
    </xf>
    <xf numFmtId="0" fontId="0" fillId="0" borderId="363" xfId="0" applyBorder="1" applyAlignment="1">
      <alignment horizontal="left" vertical="center" wrapText="1" indent="1"/>
    </xf>
    <xf numFmtId="0" fontId="0" fillId="0" borderId="368" xfId="0" applyBorder="1" applyAlignment="1">
      <alignment horizontal="left" vertical="center" wrapText="1" indent="1"/>
    </xf>
    <xf numFmtId="166" fontId="0" fillId="0" borderId="374" xfId="0" applyNumberFormat="1" applyFont="1" applyFill="1" applyBorder="1" applyAlignment="1">
      <alignment horizontal="left" vertical="center" wrapText="1" indent="1"/>
    </xf>
    <xf numFmtId="1" fontId="0" fillId="0" borderId="363" xfId="0" applyNumberFormat="1" applyFont="1" applyFill="1" applyBorder="1" applyAlignment="1">
      <alignment horizontal="center" vertical="center" wrapText="1"/>
    </xf>
    <xf numFmtId="166" fontId="1" fillId="0" borderId="355" xfId="0" applyNumberFormat="1" applyFont="1" applyFill="1" applyBorder="1" applyAlignment="1">
      <alignment horizontal="left" vertical="center" wrapText="1" indent="1"/>
    </xf>
    <xf numFmtId="166" fontId="1" fillId="0" borderId="356" xfId="0" applyNumberFormat="1" applyFont="1" applyFill="1" applyBorder="1" applyAlignment="1">
      <alignment horizontal="left" vertical="center" wrapText="1" indent="1"/>
    </xf>
    <xf numFmtId="166" fontId="1" fillId="0" borderId="124" xfId="0" applyNumberFormat="1" applyFont="1" applyFill="1" applyBorder="1" applyAlignment="1">
      <alignment horizontal="center" vertical="center" wrapText="1"/>
    </xf>
    <xf numFmtId="171" fontId="71" fillId="18" borderId="251" xfId="0" applyNumberFormat="1" applyFont="1" applyFill="1" applyBorder="1" applyAlignment="1">
      <alignment horizontal="right" vertical="center" wrapText="1"/>
    </xf>
    <xf numFmtId="171" fontId="0" fillId="18" borderId="251" xfId="0" applyNumberFormat="1" applyFont="1" applyFill="1" applyBorder="1" applyAlignment="1">
      <alignment horizontal="right" vertical="center" wrapText="1"/>
    </xf>
    <xf numFmtId="9" fontId="1" fillId="21" borderId="251" xfId="0" applyNumberFormat="1" applyFont="1" applyFill="1" applyBorder="1" applyAlignment="1">
      <alignment horizontal="center" vertical="center" wrapText="1"/>
    </xf>
    <xf numFmtId="166" fontId="1" fillId="0" borderId="251" xfId="0" applyNumberFormat="1" applyFont="1" applyFill="1" applyBorder="1" applyAlignment="1">
      <alignment horizontal="left" vertical="center" wrapText="1" indent="1"/>
    </xf>
    <xf numFmtId="9" fontId="4" fillId="21" borderId="251" xfId="0" applyNumberFormat="1" applyFont="1" applyFill="1" applyBorder="1" applyAlignment="1">
      <alignment horizontal="center" vertical="center" wrapText="1"/>
    </xf>
    <xf numFmtId="0" fontId="13" fillId="0" borderId="251" xfId="0" applyFont="1" applyFill="1" applyBorder="1" applyAlignment="1">
      <alignment horizontal="center"/>
    </xf>
    <xf numFmtId="175" fontId="4" fillId="0" borderId="23" xfId="0" applyNumberFormat="1" applyFont="1" applyFill="1" applyBorder="1" applyAlignment="1">
      <alignment horizontal="center" vertical="center" wrapText="1"/>
    </xf>
    <xf numFmtId="0" fontId="67" fillId="0" borderId="56" xfId="0" applyFont="1" applyFill="1" applyBorder="1" applyAlignment="1">
      <alignment horizontal="center" vertical="center" wrapText="1"/>
    </xf>
    <xf numFmtId="0" fontId="67" fillId="0" borderId="57" xfId="0" applyFont="1" applyFill="1" applyBorder="1" applyAlignment="1">
      <alignment horizontal="center" vertical="center" wrapText="1"/>
    </xf>
    <xf numFmtId="0" fontId="67" fillId="0" borderId="58" xfId="0" applyFont="1" applyFill="1" applyBorder="1" applyAlignment="1">
      <alignment horizontal="center" vertical="center" wrapText="1"/>
    </xf>
    <xf numFmtId="0" fontId="67" fillId="0" borderId="56" xfId="0" applyFont="1" applyFill="1" applyBorder="1" applyAlignment="1" applyProtection="1">
      <alignment horizontal="center" vertical="center" wrapText="1"/>
    </xf>
    <xf numFmtId="0" fontId="67" fillId="0" borderId="57" xfId="0" applyFont="1" applyFill="1" applyBorder="1" applyAlignment="1" applyProtection="1">
      <alignment horizontal="center" vertical="center" wrapText="1"/>
    </xf>
    <xf numFmtId="0" fontId="67" fillId="0" borderId="58" xfId="0" applyFont="1" applyFill="1" applyBorder="1" applyAlignment="1" applyProtection="1">
      <alignment horizontal="center" vertical="center" wrapText="1"/>
    </xf>
    <xf numFmtId="0" fontId="0" fillId="0" borderId="1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9" xfId="0" applyFont="1" applyFill="1" applyBorder="1" applyAlignment="1">
      <alignment horizontal="center" vertical="center"/>
    </xf>
    <xf numFmtId="0" fontId="1" fillId="0" borderId="2" xfId="0" applyFont="1" applyBorder="1" applyAlignment="1">
      <alignment horizontal="center" vertical="center" wrapText="1"/>
    </xf>
    <xf numFmtId="14" fontId="0" fillId="0" borderId="12" xfId="0" applyNumberFormat="1" applyFont="1" applyFill="1" applyBorder="1" applyAlignment="1">
      <alignment horizontal="left" vertical="center" wrapText="1" indent="1"/>
    </xf>
    <xf numFmtId="14" fontId="0" fillId="0" borderId="3" xfId="0" applyNumberFormat="1" applyFont="1" applyFill="1" applyBorder="1" applyAlignment="1">
      <alignment horizontal="left" vertical="center" wrapText="1" indent="1"/>
    </xf>
    <xf numFmtId="14" fontId="0" fillId="0" borderId="9" xfId="0" applyNumberFormat="1" applyFont="1" applyFill="1" applyBorder="1" applyAlignment="1">
      <alignment horizontal="left" vertical="center" wrapText="1" indent="1"/>
    </xf>
    <xf numFmtId="1" fontId="13" fillId="0" borderId="12" xfId="0" applyNumberFormat="1" applyFont="1" applyFill="1" applyBorder="1" applyAlignment="1">
      <alignment horizontal="center" vertical="center" wrapText="1"/>
    </xf>
    <xf numFmtId="14" fontId="0" fillId="0" borderId="3" xfId="0" applyNumberFormat="1" applyFont="1" applyFill="1" applyBorder="1" applyAlignment="1">
      <alignment horizontal="center" vertical="center"/>
    </xf>
    <xf numFmtId="14" fontId="0" fillId="0" borderId="9" xfId="0" applyNumberFormat="1" applyFont="1" applyFill="1" applyBorder="1" applyAlignment="1">
      <alignment horizontal="center" vertical="center"/>
    </xf>
    <xf numFmtId="0" fontId="13" fillId="17" borderId="363" xfId="0" applyFont="1" applyFill="1" applyBorder="1" applyAlignment="1">
      <alignment horizontal="center" vertical="center" wrapText="1"/>
    </xf>
    <xf numFmtId="0" fontId="1" fillId="0" borderId="374" xfId="0" applyFont="1" applyFill="1" applyBorder="1" applyAlignment="1">
      <alignment horizontal="center" vertical="center" wrapText="1"/>
    </xf>
    <xf numFmtId="0" fontId="1" fillId="0" borderId="363" xfId="0" applyFont="1" applyFill="1" applyBorder="1" applyAlignment="1">
      <alignment horizontal="center" vertical="center" wrapText="1"/>
    </xf>
    <xf numFmtId="0" fontId="1" fillId="0" borderId="380" xfId="0" applyFont="1" applyFill="1" applyBorder="1" applyAlignment="1">
      <alignment vertical="center" wrapText="1"/>
    </xf>
    <xf numFmtId="0" fontId="48" fillId="0" borderId="363" xfId="0" applyFont="1" applyFill="1" applyBorder="1" applyAlignment="1">
      <alignment horizontal="center" vertical="center" wrapText="1"/>
    </xf>
    <xf numFmtId="0" fontId="1" fillId="0" borderId="368" xfId="0" applyFont="1" applyFill="1" applyBorder="1" applyAlignment="1">
      <alignment horizontal="center" vertical="center" wrapText="1"/>
    </xf>
    <xf numFmtId="0" fontId="1" fillId="0" borderId="47" xfId="0" applyFont="1" applyBorder="1" applyAlignment="1">
      <alignment horizontal="center" vertical="center" wrapText="1"/>
    </xf>
    <xf numFmtId="0" fontId="1" fillId="16" borderId="41" xfId="0" applyFont="1" applyFill="1" applyBorder="1" applyAlignment="1">
      <alignment horizontal="center" vertical="center" wrapText="1"/>
    </xf>
    <xf numFmtId="0" fontId="1" fillId="16" borderId="364" xfId="0" applyFont="1" applyFill="1" applyBorder="1" applyAlignment="1">
      <alignment horizontal="center" vertical="center" wrapText="1"/>
    </xf>
    <xf numFmtId="0" fontId="1" fillId="16" borderId="9" xfId="0" applyFont="1" applyFill="1" applyBorder="1" applyAlignment="1">
      <alignment horizontal="center" vertical="center" wrapText="1"/>
    </xf>
    <xf numFmtId="0" fontId="1" fillId="16" borderId="370" xfId="0" applyFont="1" applyFill="1" applyBorder="1" applyAlignment="1">
      <alignment horizontal="center" vertical="center" wrapText="1"/>
    </xf>
    <xf numFmtId="0" fontId="13" fillId="17" borderId="41" xfId="0" applyFont="1" applyFill="1" applyBorder="1" applyAlignment="1">
      <alignment horizontal="center" vertical="center" wrapText="1"/>
    </xf>
    <xf numFmtId="0" fontId="13" fillId="17" borderId="364" xfId="0" applyFont="1" applyFill="1" applyBorder="1" applyAlignment="1">
      <alignment horizontal="center" vertical="center" wrapText="1"/>
    </xf>
    <xf numFmtId="0" fontId="13" fillId="17" borderId="9" xfId="0" applyFont="1" applyFill="1" applyBorder="1" applyAlignment="1">
      <alignment horizontal="center" vertical="center" wrapText="1"/>
    </xf>
    <xf numFmtId="0" fontId="13" fillId="17" borderId="373" xfId="0" applyFont="1" applyFill="1" applyBorder="1" applyAlignment="1">
      <alignment horizontal="center" vertical="center" wrapText="1"/>
    </xf>
    <xf numFmtId="0" fontId="9" fillId="0" borderId="12" xfId="0" applyNumberFormat="1" applyFont="1" applyFill="1" applyBorder="1" applyAlignment="1">
      <alignment horizontal="left" vertical="center" wrapText="1" indent="1"/>
    </xf>
    <xf numFmtId="1" fontId="1" fillId="0" borderId="12" xfId="0" applyNumberFormat="1" applyFont="1" applyFill="1" applyBorder="1" applyAlignment="1">
      <alignment horizontal="right" vertical="center" wrapText="1" indent="1"/>
    </xf>
    <xf numFmtId="14" fontId="9" fillId="0" borderId="12" xfId="0" applyNumberFormat="1" applyFont="1" applyFill="1" applyBorder="1" applyAlignment="1">
      <alignment horizontal="left" vertical="center" wrapText="1" indent="1"/>
    </xf>
    <xf numFmtId="0" fontId="13" fillId="0" borderId="12" xfId="0" applyFont="1" applyFill="1" applyBorder="1" applyAlignment="1">
      <alignment horizontal="center" vertical="center" wrapText="1"/>
    </xf>
    <xf numFmtId="1" fontId="0" fillId="0" borderId="40" xfId="0" applyNumberFormat="1" applyFont="1" applyBorder="1" applyAlignment="1">
      <alignment horizontal="center" vertical="center" wrapText="1"/>
    </xf>
    <xf numFmtId="14" fontId="0" fillId="0" borderId="36" xfId="0" applyNumberFormat="1" applyFont="1" applyBorder="1" applyAlignment="1">
      <alignment vertical="center" wrapText="1"/>
    </xf>
    <xf numFmtId="0" fontId="0" fillId="0" borderId="56" xfId="0" applyFont="1" applyBorder="1" applyAlignment="1">
      <alignment vertical="center" wrapText="1"/>
    </xf>
    <xf numFmtId="14" fontId="0" fillId="0" borderId="380" xfId="0" applyNumberFormat="1" applyFont="1" applyBorder="1" applyAlignment="1">
      <alignment vertical="center" wrapText="1"/>
    </xf>
    <xf numFmtId="0" fontId="1" fillId="0" borderId="380" xfId="0" applyNumberFormat="1" applyFont="1" applyFill="1" applyBorder="1" applyAlignment="1">
      <alignment horizontal="right" vertical="center" wrapText="1" indent="1"/>
    </xf>
    <xf numFmtId="14" fontId="0" fillId="0" borderId="380" xfId="0" applyNumberFormat="1" applyFont="1" applyBorder="1" applyAlignment="1">
      <alignment horizontal="left" vertical="center" wrapText="1" indent="1"/>
    </xf>
    <xf numFmtId="14" fontId="37" fillId="0" borderId="380" xfId="0" applyNumberFormat="1" applyFont="1" applyFill="1" applyBorder="1" applyAlignment="1">
      <alignment horizontal="left" vertical="center" indent="1"/>
    </xf>
    <xf numFmtId="0" fontId="0" fillId="0" borderId="380" xfId="0" applyFont="1" applyFill="1" applyBorder="1" applyAlignment="1">
      <alignment vertical="center" wrapText="1"/>
    </xf>
    <xf numFmtId="0" fontId="0" fillId="0" borderId="380" xfId="0" applyFont="1" applyFill="1" applyBorder="1" applyAlignment="1">
      <alignment horizontal="center" vertical="center"/>
    </xf>
    <xf numFmtId="0" fontId="0" fillId="0" borderId="357" xfId="0" applyFont="1" applyBorder="1" applyAlignment="1">
      <alignment horizontal="center" vertical="center"/>
    </xf>
    <xf numFmtId="0" fontId="0" fillId="0" borderId="383" xfId="0" applyFont="1" applyBorder="1" applyAlignment="1">
      <alignment horizontal="center" vertical="center"/>
    </xf>
    <xf numFmtId="0" fontId="0" fillId="0" borderId="385" xfId="0" applyFont="1" applyBorder="1" applyAlignment="1">
      <alignment horizontal="center" vertical="center"/>
    </xf>
    <xf numFmtId="164" fontId="0" fillId="0" borderId="380" xfId="0" applyNumberFormat="1" applyFont="1" applyBorder="1" applyAlignment="1">
      <alignment horizontal="center" vertical="center"/>
    </xf>
    <xf numFmtId="1" fontId="0" fillId="0" borderId="382" xfId="0" applyNumberFormat="1" applyFont="1" applyBorder="1" applyAlignment="1">
      <alignment vertical="center"/>
    </xf>
    <xf numFmtId="0" fontId="0" fillId="0" borderId="357" xfId="0" applyNumberFormat="1" applyFont="1" applyBorder="1" applyAlignment="1">
      <alignment horizontal="center" vertical="center" wrapText="1"/>
    </xf>
    <xf numFmtId="14" fontId="0" fillId="0" borderId="380" xfId="0" applyNumberFormat="1" applyFont="1" applyFill="1" applyBorder="1" applyAlignment="1">
      <alignment horizontal="left" vertical="center" wrapText="1" indent="1"/>
    </xf>
    <xf numFmtId="14" fontId="0" fillId="0" borderId="380" xfId="0" applyNumberFormat="1" applyFont="1" applyBorder="1" applyAlignment="1">
      <alignment vertical="center"/>
    </xf>
    <xf numFmtId="14" fontId="1" fillId="0" borderId="380" xfId="0" applyNumberFormat="1" applyFont="1" applyBorder="1" applyAlignment="1">
      <alignment vertical="center" wrapText="1"/>
    </xf>
    <xf numFmtId="14" fontId="0" fillId="0" borderId="382" xfId="0" applyNumberFormat="1" applyFont="1" applyBorder="1" applyAlignment="1">
      <alignment vertical="center"/>
    </xf>
    <xf numFmtId="168" fontId="0" fillId="0" borderId="380" xfId="0" applyNumberFormat="1" applyFont="1" applyBorder="1" applyAlignment="1">
      <alignment vertical="center"/>
    </xf>
    <xf numFmtId="14" fontId="0" fillId="0" borderId="380" xfId="0" applyNumberFormat="1" applyFont="1" applyBorder="1" applyAlignment="1">
      <alignment horizontal="center" vertical="center"/>
    </xf>
    <xf numFmtId="14" fontId="0" fillId="0" borderId="386" xfId="0" applyNumberFormat="1" applyFont="1" applyBorder="1" applyAlignment="1">
      <alignment horizontal="left" vertical="center" wrapText="1"/>
    </xf>
    <xf numFmtId="0" fontId="0" fillId="0" borderId="380" xfId="0" applyFont="1" applyBorder="1" applyAlignment="1">
      <alignment vertical="center" wrapText="1"/>
    </xf>
    <xf numFmtId="0" fontId="0" fillId="0" borderId="382" xfId="0" applyFont="1" applyBorder="1" applyAlignment="1">
      <alignment vertical="center" wrapText="1"/>
    </xf>
    <xf numFmtId="174" fontId="0" fillId="0" borderId="380" xfId="0" applyNumberFormat="1" applyFont="1" applyBorder="1" applyAlignment="1">
      <alignment vertical="center" wrapText="1"/>
    </xf>
    <xf numFmtId="0" fontId="0" fillId="0" borderId="383" xfId="0" applyFont="1" applyBorder="1" applyAlignment="1">
      <alignment vertical="center" wrapText="1"/>
    </xf>
    <xf numFmtId="0" fontId="0" fillId="0" borderId="384" xfId="0" applyFont="1" applyBorder="1" applyAlignment="1">
      <alignment vertical="center" wrapText="1"/>
    </xf>
    <xf numFmtId="178" fontId="0" fillId="0" borderId="380" xfId="0" applyNumberFormat="1" applyFont="1" applyFill="1" applyBorder="1" applyAlignment="1">
      <alignment vertical="center" wrapText="1"/>
    </xf>
    <xf numFmtId="176" fontId="0" fillId="0" borderId="371" xfId="0" applyNumberFormat="1" applyFont="1" applyFill="1" applyBorder="1" applyAlignment="1">
      <alignment horizontal="center" vertical="center" wrapText="1"/>
    </xf>
    <xf numFmtId="0" fontId="0" fillId="0" borderId="374" xfId="0" applyFont="1" applyFill="1" applyBorder="1" applyAlignment="1">
      <alignment horizontal="center" vertical="center"/>
    </xf>
    <xf numFmtId="14" fontId="0" fillId="0" borderId="363" xfId="0" applyNumberFormat="1" applyFont="1" applyBorder="1" applyAlignment="1">
      <alignment horizontal="left" vertical="center" wrapText="1" indent="1"/>
    </xf>
    <xf numFmtId="0" fontId="1" fillId="0" borderId="363" xfId="0" applyNumberFormat="1" applyFont="1" applyFill="1" applyBorder="1" applyAlignment="1">
      <alignment horizontal="right" vertical="center" wrapText="1" indent="1"/>
    </xf>
    <xf numFmtId="0" fontId="37" fillId="0" borderId="363" xfId="0" applyNumberFormat="1" applyFont="1" applyFill="1" applyBorder="1" applyAlignment="1">
      <alignment horizontal="left" vertical="center" indent="1"/>
    </xf>
    <xf numFmtId="0" fontId="0" fillId="0" borderId="363" xfId="0" applyFont="1" applyFill="1" applyBorder="1" applyAlignment="1">
      <alignment vertical="center" wrapText="1"/>
    </xf>
    <xf numFmtId="0" fontId="0" fillId="0" borderId="363" xfId="0" applyFont="1" applyFill="1" applyBorder="1" applyAlignment="1">
      <alignment horizontal="center" vertical="center"/>
    </xf>
    <xf numFmtId="0" fontId="0" fillId="0" borderId="367" xfId="0" applyFont="1" applyBorder="1" applyAlignment="1">
      <alignment horizontal="center" vertical="center"/>
    </xf>
    <xf numFmtId="164" fontId="0" fillId="0" borderId="368" xfId="0" applyNumberFormat="1" applyFont="1" applyBorder="1" applyAlignment="1">
      <alignment vertical="center"/>
    </xf>
    <xf numFmtId="0" fontId="0" fillId="0" borderId="374" xfId="0" applyFont="1" applyBorder="1" applyAlignment="1">
      <alignment horizontal="center" vertical="center"/>
    </xf>
    <xf numFmtId="0" fontId="0" fillId="0" borderId="290" xfId="0" applyFont="1" applyBorder="1" applyAlignment="1">
      <alignment horizontal="center" vertical="center"/>
    </xf>
    <xf numFmtId="164" fontId="0" fillId="0" borderId="363" xfId="0" applyNumberFormat="1" applyFont="1" applyBorder="1" applyAlignment="1">
      <alignment vertical="center"/>
    </xf>
    <xf numFmtId="0" fontId="0" fillId="0" borderId="363" xfId="0" applyFont="1" applyBorder="1" applyAlignment="1">
      <alignment horizontal="left" vertical="center" indent="1"/>
    </xf>
    <xf numFmtId="14" fontId="0" fillId="0" borderId="374" xfId="0" applyNumberFormat="1" applyFont="1" applyBorder="1" applyAlignment="1">
      <alignment horizontal="center" vertical="center" wrapText="1"/>
    </xf>
    <xf numFmtId="14" fontId="0" fillId="0" borderId="363" xfId="0" applyNumberFormat="1" applyFont="1" applyFill="1" applyBorder="1" applyAlignment="1">
      <alignment horizontal="left" vertical="center" wrapText="1" indent="1"/>
    </xf>
    <xf numFmtId="14" fontId="0" fillId="0" borderId="363" xfId="0" applyNumberFormat="1" applyFont="1" applyBorder="1" applyAlignment="1">
      <alignment vertical="center"/>
    </xf>
    <xf numFmtId="14" fontId="0" fillId="0" borderId="363" xfId="0" applyNumberFormat="1" applyFont="1" applyBorder="1" applyAlignment="1">
      <alignment horizontal="left" vertical="center" indent="1"/>
    </xf>
    <xf numFmtId="14" fontId="1" fillId="0" borderId="363" xfId="0" applyNumberFormat="1" applyFont="1" applyBorder="1" applyAlignment="1">
      <alignment vertical="center" wrapText="1"/>
    </xf>
    <xf numFmtId="14" fontId="0" fillId="0" borderId="368" xfId="0" applyNumberFormat="1" applyFont="1" applyBorder="1" applyAlignment="1">
      <alignment vertical="center"/>
    </xf>
    <xf numFmtId="168" fontId="0" fillId="0" borderId="363" xfId="0" applyNumberFormat="1" applyFont="1" applyBorder="1" applyAlignment="1">
      <alignment horizontal="left" vertical="center" indent="1"/>
    </xf>
    <xf numFmtId="14" fontId="0" fillId="0" borderId="365" xfId="0" applyNumberFormat="1" applyFont="1" applyBorder="1" applyAlignment="1">
      <alignment horizontal="left" vertical="center" wrapText="1"/>
    </xf>
    <xf numFmtId="0" fontId="0" fillId="0" borderId="363" xfId="0" applyFont="1" applyBorder="1" applyAlignment="1">
      <alignment vertical="center" wrapText="1"/>
    </xf>
    <xf numFmtId="0" fontId="0" fillId="0" borderId="368" xfId="0" applyFont="1" applyBorder="1" applyAlignment="1">
      <alignment vertical="center" wrapText="1"/>
    </xf>
    <xf numFmtId="0" fontId="0" fillId="0" borderId="363" xfId="0" applyFont="1" applyBorder="1" applyAlignment="1">
      <alignment vertical="center"/>
    </xf>
    <xf numFmtId="0" fontId="0" fillId="0" borderId="312" xfId="0" applyFont="1" applyBorder="1" applyAlignment="1">
      <alignment vertical="center" wrapText="1"/>
    </xf>
    <xf numFmtId="0" fontId="0" fillId="0" borderId="368" xfId="0" applyFont="1" applyBorder="1" applyAlignment="1">
      <alignment horizontal="center" vertical="center"/>
    </xf>
    <xf numFmtId="14" fontId="0" fillId="0" borderId="363" xfId="0" applyNumberFormat="1" applyFont="1" applyBorder="1" applyAlignment="1">
      <alignment horizontal="center" vertical="center"/>
    </xf>
    <xf numFmtId="174" fontId="0" fillId="0" borderId="363" xfId="0" applyNumberFormat="1" applyFont="1" applyBorder="1" applyAlignment="1">
      <alignment vertical="center" wrapText="1"/>
    </xf>
    <xf numFmtId="0" fontId="0" fillId="0" borderId="367" xfId="0" applyFont="1" applyBorder="1" applyAlignment="1">
      <alignment vertical="center" wrapText="1"/>
    </xf>
    <xf numFmtId="0" fontId="0" fillId="0" borderId="359" xfId="0" applyFont="1" applyBorder="1" applyAlignment="1">
      <alignment vertical="center" wrapText="1"/>
    </xf>
    <xf numFmtId="178" fontId="0" fillId="0" borderId="363" xfId="0" applyNumberFormat="1" applyFont="1" applyBorder="1" applyAlignment="1">
      <alignment vertical="center" wrapText="1"/>
    </xf>
    <xf numFmtId="0" fontId="0" fillId="0" borderId="374" xfId="0" applyFont="1" applyBorder="1" applyAlignment="1">
      <alignment horizontal="center" vertical="center" wrapText="1"/>
    </xf>
    <xf numFmtId="0" fontId="37" fillId="0" borderId="363" xfId="0" applyFont="1" applyFill="1" applyBorder="1" applyAlignment="1">
      <alignment horizontal="left" vertical="center" indent="1"/>
    </xf>
    <xf numFmtId="164" fontId="0" fillId="0" borderId="368" xfId="0" applyNumberFormat="1" applyFont="1" applyBorder="1" applyAlignment="1">
      <alignment horizontal="left" vertical="center" indent="1"/>
    </xf>
    <xf numFmtId="14" fontId="0" fillId="0" borderId="363" xfId="0" applyNumberFormat="1" applyFont="1" applyBorder="1" applyAlignment="1">
      <alignment vertical="center" wrapText="1"/>
    </xf>
    <xf numFmtId="1" fontId="0" fillId="0" borderId="368" xfId="0" applyNumberFormat="1" applyFont="1" applyBorder="1" applyAlignment="1">
      <alignment horizontal="center" vertical="center"/>
    </xf>
    <xf numFmtId="0" fontId="4" fillId="0" borderId="363" xfId="0" applyFont="1" applyFill="1" applyBorder="1" applyAlignment="1">
      <alignment horizontal="left" vertical="center" indent="1"/>
    </xf>
    <xf numFmtId="1" fontId="0" fillId="0" borderId="374" xfId="0" applyNumberFormat="1" applyFont="1" applyBorder="1" applyAlignment="1">
      <alignment horizontal="center" vertical="center" wrapText="1"/>
    </xf>
    <xf numFmtId="14" fontId="0" fillId="0" borderId="368" xfId="0" applyNumberFormat="1" applyFont="1" applyFill="1" applyBorder="1" applyAlignment="1">
      <alignment horizontal="left" vertical="center" wrapText="1" indent="1"/>
    </xf>
    <xf numFmtId="14" fontId="0" fillId="0" borderId="367" xfId="0" applyNumberFormat="1" applyFont="1" applyFill="1" applyBorder="1" applyAlignment="1">
      <alignment vertical="center" wrapText="1"/>
    </xf>
    <xf numFmtId="0" fontId="4" fillId="0" borderId="380" xfId="0" applyFont="1" applyFill="1" applyBorder="1" applyAlignment="1">
      <alignment horizontal="left" vertical="center" indent="1"/>
    </xf>
    <xf numFmtId="164" fontId="0" fillId="0" borderId="380" xfId="0" applyNumberFormat="1" applyFont="1" applyBorder="1" applyAlignment="1">
      <alignment vertical="center"/>
    </xf>
    <xf numFmtId="164" fontId="0" fillId="0" borderId="382" xfId="0" applyNumberFormat="1" applyFont="1" applyBorder="1" applyAlignment="1">
      <alignment vertical="center"/>
    </xf>
    <xf numFmtId="1" fontId="0" fillId="0" borderId="357" xfId="0" applyNumberFormat="1" applyFont="1" applyBorder="1" applyAlignment="1">
      <alignment horizontal="center" vertical="center" wrapText="1"/>
    </xf>
    <xf numFmtId="14" fontId="0" fillId="0" borderId="380" xfId="0" applyNumberFormat="1" applyFont="1" applyBorder="1" applyAlignment="1">
      <alignment horizontal="left" vertical="center" indent="1"/>
    </xf>
    <xf numFmtId="168" fontId="0" fillId="0" borderId="380" xfId="0" applyNumberFormat="1" applyFont="1" applyBorder="1" applyAlignment="1">
      <alignment horizontal="left" vertical="center" indent="1"/>
    </xf>
    <xf numFmtId="14" fontId="13" fillId="0" borderId="363" xfId="0" applyNumberFormat="1" applyFont="1" applyFill="1" applyBorder="1" applyAlignment="1">
      <alignment horizontal="left" vertical="center" wrapText="1" indent="1"/>
    </xf>
    <xf numFmtId="14" fontId="0" fillId="0" borderId="357" xfId="0" applyNumberFormat="1" applyFont="1" applyBorder="1" applyAlignment="1">
      <alignment horizontal="center" vertical="center" wrapText="1"/>
    </xf>
    <xf numFmtId="0" fontId="0" fillId="0" borderId="363" xfId="0" applyFont="1" applyFill="1" applyBorder="1" applyAlignment="1">
      <alignment horizontal="left" vertical="center" wrapText="1" indent="1"/>
    </xf>
    <xf numFmtId="0" fontId="0" fillId="0" borderId="368" xfId="0" applyFont="1" applyBorder="1" applyAlignment="1">
      <alignment vertical="center"/>
    </xf>
    <xf numFmtId="0" fontId="0" fillId="0" borderId="365" xfId="0" applyFont="1" applyBorder="1" applyAlignment="1">
      <alignment horizontal="left" vertical="center" wrapText="1"/>
    </xf>
    <xf numFmtId="0" fontId="37" fillId="0" borderId="363" xfId="0" applyFont="1" applyFill="1" applyBorder="1" applyAlignment="1">
      <alignment horizontal="left" vertical="center" wrapText="1" indent="1"/>
    </xf>
    <xf numFmtId="164" fontId="0" fillId="0" borderId="363" xfId="0" applyNumberFormat="1" applyFont="1" applyBorder="1" applyAlignment="1">
      <alignment horizontal="center" vertical="center"/>
    </xf>
    <xf numFmtId="168" fontId="0" fillId="0" borderId="363" xfId="0" applyNumberFormat="1" applyFont="1" applyBorder="1" applyAlignment="1">
      <alignment vertical="center"/>
    </xf>
    <xf numFmtId="0" fontId="0" fillId="0" borderId="367" xfId="0" applyFont="1" applyBorder="1" applyAlignment="1">
      <alignment horizontal="center" vertical="center" wrapText="1"/>
    </xf>
    <xf numFmtId="0" fontId="0" fillId="0" borderId="290" xfId="0" applyFont="1" applyBorder="1" applyAlignment="1">
      <alignment horizontal="center" vertical="center" wrapText="1"/>
    </xf>
    <xf numFmtId="1" fontId="0" fillId="0" borderId="368" xfId="0" applyNumberFormat="1" applyFont="1" applyBorder="1" applyAlignment="1">
      <alignment horizontal="center" vertical="center" wrapText="1"/>
    </xf>
    <xf numFmtId="0" fontId="0" fillId="0" borderId="375" xfId="0" applyFont="1" applyFill="1" applyBorder="1" applyAlignment="1">
      <alignment horizontal="center" vertical="center"/>
    </xf>
    <xf numFmtId="0" fontId="1" fillId="0" borderId="364" xfId="0" applyNumberFormat="1" applyFont="1" applyFill="1" applyBorder="1" applyAlignment="1">
      <alignment horizontal="right" vertical="center" wrapText="1" indent="1"/>
    </xf>
    <xf numFmtId="0" fontId="37" fillId="0" borderId="364" xfId="0" applyFont="1" applyFill="1" applyBorder="1" applyAlignment="1">
      <alignment horizontal="left" vertical="center" wrapText="1" indent="1"/>
    </xf>
    <xf numFmtId="0" fontId="0" fillId="0" borderId="364" xfId="0" applyFont="1" applyFill="1" applyBorder="1" applyAlignment="1">
      <alignment vertical="center" wrapText="1"/>
    </xf>
    <xf numFmtId="0" fontId="0" fillId="0" borderId="364" xfId="0" applyFont="1" applyFill="1" applyBorder="1" applyAlignment="1">
      <alignment horizontal="center" vertical="center"/>
    </xf>
    <xf numFmtId="0" fontId="0" fillId="0" borderId="375" xfId="0" applyFont="1" applyBorder="1" applyAlignment="1">
      <alignment horizontal="center" vertical="center"/>
    </xf>
    <xf numFmtId="0" fontId="0" fillId="0" borderId="369" xfId="0" applyFont="1" applyBorder="1" applyAlignment="1">
      <alignment horizontal="center" vertical="center"/>
    </xf>
    <xf numFmtId="0" fontId="0" fillId="0" borderId="375" xfId="0" applyFont="1" applyBorder="1" applyAlignment="1">
      <alignment horizontal="center" vertical="center" wrapText="1"/>
    </xf>
    <xf numFmtId="0" fontId="0" fillId="0" borderId="364" xfId="0" applyFont="1" applyBorder="1" applyAlignment="1">
      <alignment horizontal="left" vertical="center" indent="1"/>
    </xf>
    <xf numFmtId="164" fontId="0" fillId="0" borderId="364" xfId="0" applyNumberFormat="1" applyFont="1" applyBorder="1" applyAlignment="1">
      <alignment horizontal="center" vertical="center"/>
    </xf>
    <xf numFmtId="1" fontId="0" fillId="0" borderId="370" xfId="0" applyNumberFormat="1" applyFont="1" applyBorder="1" applyAlignment="1">
      <alignment horizontal="center" vertical="center"/>
    </xf>
    <xf numFmtId="0" fontId="0" fillId="0" borderId="364" xfId="0" applyFont="1" applyFill="1" applyBorder="1" applyAlignment="1">
      <alignment horizontal="left" vertical="center" wrapText="1" indent="1"/>
    </xf>
    <xf numFmtId="0" fontId="0" fillId="0" borderId="364" xfId="0" applyFont="1" applyBorder="1" applyAlignment="1">
      <alignment vertical="center"/>
    </xf>
    <xf numFmtId="0" fontId="0" fillId="0" borderId="364" xfId="0" applyFont="1" applyBorder="1" applyAlignment="1">
      <alignment horizontal="center" vertical="center"/>
    </xf>
    <xf numFmtId="0" fontId="0" fillId="0" borderId="364" xfId="0" applyFont="1" applyBorder="1" applyAlignment="1">
      <alignment vertical="center" wrapText="1"/>
    </xf>
    <xf numFmtId="0" fontId="0" fillId="0" borderId="370" xfId="0" applyFont="1" applyBorder="1" applyAlignment="1">
      <alignment vertical="center"/>
    </xf>
    <xf numFmtId="168" fontId="0" fillId="0" borderId="364" xfId="0" applyNumberFormat="1" applyFont="1" applyBorder="1" applyAlignment="1">
      <alignment vertical="center"/>
    </xf>
    <xf numFmtId="0" fontId="0" fillId="0" borderId="373" xfId="0" applyFont="1" applyBorder="1" applyAlignment="1">
      <alignment horizontal="left" vertical="center" wrapText="1"/>
    </xf>
    <xf numFmtId="0" fontId="0" fillId="0" borderId="364" xfId="0" applyFont="1" applyBorder="1" applyAlignment="1">
      <alignment horizontal="left" vertical="center" wrapText="1"/>
    </xf>
    <xf numFmtId="0" fontId="0" fillId="0" borderId="370" xfId="0" applyFont="1" applyBorder="1" applyAlignment="1">
      <alignment horizontal="left" vertical="center" wrapText="1"/>
    </xf>
    <xf numFmtId="0" fontId="57" fillId="0" borderId="56" xfId="0" applyFont="1" applyFill="1" applyBorder="1" applyAlignment="1">
      <alignment horizontal="center" vertical="center" wrapText="1"/>
    </xf>
    <xf numFmtId="0" fontId="57" fillId="0" borderId="57" xfId="0" applyFont="1" applyFill="1" applyBorder="1" applyAlignment="1">
      <alignment horizontal="center" vertical="center"/>
    </xf>
    <xf numFmtId="0" fontId="57" fillId="0" borderId="58" xfId="0" applyFont="1" applyFill="1" applyBorder="1" applyAlignment="1">
      <alignment horizontal="center" vertical="center"/>
    </xf>
    <xf numFmtId="0" fontId="0" fillId="0" borderId="12" xfId="0" applyNumberFormat="1" applyFont="1" applyFill="1" applyBorder="1" applyAlignment="1">
      <alignment horizontal="left" vertical="center" wrapText="1" indent="1"/>
    </xf>
    <xf numFmtId="14" fontId="0" fillId="0" borderId="36" xfId="0" applyNumberFormat="1" applyFont="1" applyFill="1" applyBorder="1" applyAlignment="1">
      <alignment horizontal="left" vertical="center" wrapText="1" indent="1"/>
    </xf>
    <xf numFmtId="164" fontId="0" fillId="0" borderId="12" xfId="0" applyNumberFormat="1" applyFont="1" applyFill="1" applyBorder="1" applyAlignment="1">
      <alignment vertical="center" wrapText="1"/>
    </xf>
    <xf numFmtId="164" fontId="0" fillId="0" borderId="36" xfId="0" applyNumberFormat="1" applyFont="1" applyFill="1" applyBorder="1" applyAlignment="1">
      <alignment horizontal="center" vertical="center" wrapText="1"/>
    </xf>
    <xf numFmtId="164" fontId="0" fillId="0" borderId="40" xfId="0" applyNumberFormat="1" applyFont="1" applyFill="1" applyBorder="1" applyAlignment="1">
      <alignment horizontal="center" vertical="center" wrapText="1"/>
    </xf>
    <xf numFmtId="164" fontId="0" fillId="0" borderId="46" xfId="0" applyNumberFormat="1" applyFont="1" applyFill="1" applyBorder="1" applyAlignment="1">
      <alignment horizontal="center" vertical="center" wrapText="1"/>
    </xf>
    <xf numFmtId="0" fontId="4" fillId="0" borderId="380" xfId="0" applyNumberFormat="1" applyFont="1" applyFill="1" applyBorder="1" applyAlignment="1">
      <alignment horizontal="left" vertical="center" wrapText="1" indent="1"/>
    </xf>
    <xf numFmtId="14" fontId="0" fillId="0" borderId="380" xfId="0" applyNumberFormat="1" applyFont="1" applyFill="1" applyBorder="1" applyAlignment="1">
      <alignment vertical="center" wrapText="1"/>
    </xf>
    <xf numFmtId="14" fontId="0" fillId="0" borderId="382" xfId="0" applyNumberFormat="1" applyFont="1" applyFill="1" applyBorder="1" applyAlignment="1">
      <alignment horizontal="left" vertical="center" wrapText="1" indent="1"/>
    </xf>
    <xf numFmtId="0" fontId="0" fillId="0" borderId="383" xfId="0" applyFont="1" applyFill="1" applyBorder="1" applyAlignment="1">
      <alignment horizontal="left" vertical="center" indent="1"/>
    </xf>
    <xf numFmtId="14" fontId="0" fillId="0" borderId="383" xfId="0" applyNumberFormat="1" applyFont="1" applyFill="1" applyBorder="1" applyAlignment="1">
      <alignment horizontal="left" vertical="center" indent="1"/>
    </xf>
    <xf numFmtId="164" fontId="0" fillId="0" borderId="382" xfId="0" applyNumberFormat="1" applyFont="1" applyFill="1" applyBorder="1" applyAlignment="1">
      <alignment horizontal="center" vertical="center"/>
    </xf>
    <xf numFmtId="164" fontId="0" fillId="0" borderId="357" xfId="0" applyNumberFormat="1" applyFont="1" applyFill="1" applyBorder="1" applyAlignment="1">
      <alignment horizontal="center" vertical="center"/>
    </xf>
    <xf numFmtId="164" fontId="0" fillId="0" borderId="384" xfId="0" applyNumberFormat="1" applyFont="1" applyFill="1" applyBorder="1" applyAlignment="1">
      <alignment horizontal="center" vertical="center"/>
    </xf>
    <xf numFmtId="0" fontId="4" fillId="0" borderId="3" xfId="0" applyNumberFormat="1" applyFont="1" applyFill="1" applyBorder="1" applyAlignment="1">
      <alignment horizontal="left" vertical="center" wrapText="1" indent="1"/>
    </xf>
    <xf numFmtId="14" fontId="0" fillId="0" borderId="3" xfId="0" applyNumberFormat="1" applyFont="1" applyFill="1" applyBorder="1" applyAlignment="1">
      <alignment vertical="center" wrapText="1"/>
    </xf>
    <xf numFmtId="14" fontId="0" fillId="0" borderId="31" xfId="0" applyNumberFormat="1" applyFont="1" applyFill="1" applyBorder="1" applyAlignment="1">
      <alignment horizontal="left" vertical="center" wrapText="1" indent="1"/>
    </xf>
    <xf numFmtId="0" fontId="0" fillId="0" borderId="2" xfId="0" applyFont="1" applyFill="1" applyBorder="1" applyAlignment="1">
      <alignment horizontal="left" vertical="center" indent="1"/>
    </xf>
    <xf numFmtId="164" fontId="0" fillId="0" borderId="31" xfId="0" applyNumberFormat="1" applyFont="1" applyFill="1" applyBorder="1" applyAlignment="1">
      <alignment horizontal="center" vertical="center"/>
    </xf>
    <xf numFmtId="164" fontId="0" fillId="0" borderId="38" xfId="0" applyNumberFormat="1" applyFont="1" applyFill="1" applyBorder="1" applyAlignment="1">
      <alignment horizontal="center" vertical="center"/>
    </xf>
    <xf numFmtId="164" fontId="0" fillId="0" borderId="0" xfId="0" applyNumberFormat="1" applyFont="1" applyFill="1" applyBorder="1" applyAlignment="1">
      <alignment horizontal="center" vertical="center"/>
    </xf>
    <xf numFmtId="164" fontId="0" fillId="0" borderId="38" xfId="0" applyNumberFormat="1" applyFont="1" applyFill="1" applyBorder="1" applyAlignment="1">
      <alignment horizontal="left" vertical="center" indent="1"/>
    </xf>
    <xf numFmtId="0" fontId="4" fillId="0" borderId="7" xfId="0" applyNumberFormat="1" applyFont="1" applyFill="1" applyBorder="1" applyAlignment="1">
      <alignment horizontal="left" vertical="center" wrapText="1" indent="1"/>
    </xf>
    <xf numFmtId="14" fontId="0" fillId="0" borderId="7" xfId="0" applyNumberFormat="1" applyFont="1" applyFill="1" applyBorder="1" applyAlignment="1">
      <alignment vertical="center" wrapText="1"/>
    </xf>
    <xf numFmtId="14" fontId="0" fillId="0" borderId="44" xfId="0" applyNumberFormat="1" applyFont="1" applyFill="1" applyBorder="1" applyAlignment="1">
      <alignment horizontal="left" vertical="center" wrapText="1" indent="1"/>
    </xf>
    <xf numFmtId="0" fontId="0" fillId="0" borderId="6" xfId="0" applyFont="1" applyFill="1" applyBorder="1" applyAlignment="1">
      <alignment horizontal="left" vertical="center" indent="1"/>
    </xf>
    <xf numFmtId="164" fontId="0" fillId="0" borderId="44" xfId="0" applyNumberFormat="1" applyFont="1" applyFill="1" applyBorder="1" applyAlignment="1">
      <alignment horizontal="center" vertical="center"/>
    </xf>
    <xf numFmtId="164" fontId="0" fillId="0" borderId="42" xfId="0" applyNumberFormat="1" applyFont="1" applyFill="1" applyBorder="1" applyAlignment="1">
      <alignment horizontal="left" vertical="center" indent="1"/>
    </xf>
    <xf numFmtId="164" fontId="0" fillId="0" borderId="19" xfId="0" applyNumberFormat="1" applyFont="1" applyFill="1" applyBorder="1" applyAlignment="1">
      <alignment horizontal="center" vertical="center"/>
    </xf>
    <xf numFmtId="0" fontId="4" fillId="0" borderId="363" xfId="0" applyNumberFormat="1" applyFont="1" applyFill="1" applyBorder="1" applyAlignment="1">
      <alignment horizontal="left" vertical="center" wrapText="1" indent="1"/>
    </xf>
    <xf numFmtId="0" fontId="0" fillId="0" borderId="367" xfId="0" applyFont="1" applyFill="1" applyBorder="1" applyAlignment="1">
      <alignment horizontal="center" vertical="center"/>
    </xf>
    <xf numFmtId="164" fontId="0" fillId="0" borderId="368" xfId="0" applyNumberFormat="1" applyFont="1" applyFill="1" applyBorder="1" applyAlignment="1">
      <alignment vertical="center"/>
    </xf>
    <xf numFmtId="164" fontId="0" fillId="0" borderId="374" xfId="0" applyNumberFormat="1" applyFont="1" applyFill="1" applyBorder="1" applyAlignment="1">
      <alignment horizontal="left" vertical="center" indent="1"/>
    </xf>
    <xf numFmtId="164" fontId="0" fillId="0" borderId="359" xfId="0" applyNumberFormat="1" applyFont="1" applyFill="1" applyBorder="1" applyAlignment="1">
      <alignment vertical="center"/>
    </xf>
    <xf numFmtId="0" fontId="0" fillId="0" borderId="367" xfId="0" applyFont="1" applyFill="1" applyBorder="1" applyAlignment="1">
      <alignment horizontal="left" vertical="center" indent="1"/>
    </xf>
    <xf numFmtId="164" fontId="0" fillId="0" borderId="368" xfId="0" applyNumberFormat="1" applyFont="1" applyFill="1" applyBorder="1" applyAlignment="1">
      <alignment horizontal="center" vertical="center"/>
    </xf>
    <xf numFmtId="164" fontId="0" fillId="0" borderId="359" xfId="0" applyNumberFormat="1" applyFont="1" applyFill="1" applyBorder="1" applyAlignment="1">
      <alignment horizontal="center" vertical="center"/>
    </xf>
    <xf numFmtId="0" fontId="9" fillId="0" borderId="363" xfId="0" applyNumberFormat="1" applyFont="1" applyFill="1" applyBorder="1" applyAlignment="1">
      <alignment horizontal="left" vertical="center" wrapText="1" indent="1"/>
    </xf>
    <xf numFmtId="0" fontId="56" fillId="0" borderId="374" xfId="0" applyFont="1" applyFill="1" applyBorder="1" applyAlignment="1">
      <alignment horizontal="left" vertical="center" indent="1"/>
    </xf>
    <xf numFmtId="0" fontId="9" fillId="0" borderId="380" xfId="0" applyNumberFormat="1" applyFont="1" applyFill="1" applyBorder="1" applyAlignment="1">
      <alignment horizontal="left" vertical="center" wrapText="1" indent="1"/>
    </xf>
    <xf numFmtId="0" fontId="0" fillId="0" borderId="383" xfId="0" applyFont="1" applyFill="1" applyBorder="1" applyAlignment="1">
      <alignment horizontal="center" vertical="center"/>
    </xf>
    <xf numFmtId="0" fontId="56" fillId="0" borderId="357" xfId="0" applyFont="1" applyFill="1" applyBorder="1" applyAlignment="1">
      <alignment horizontal="left" vertical="center" indent="1"/>
    </xf>
    <xf numFmtId="0" fontId="0" fillId="0" borderId="3" xfId="0" applyNumberFormat="1" applyFont="1" applyFill="1" applyBorder="1" applyAlignment="1">
      <alignment horizontal="left" vertical="center" wrapText="1" indent="1"/>
    </xf>
    <xf numFmtId="0" fontId="0" fillId="0" borderId="2" xfId="0" applyFont="1" applyFill="1" applyBorder="1" applyAlignment="1">
      <alignment horizontal="center" vertical="center"/>
    </xf>
    <xf numFmtId="0" fontId="56" fillId="0" borderId="38" xfId="0" applyFont="1" applyFill="1" applyBorder="1" applyAlignment="1">
      <alignment horizontal="left" vertical="center" indent="1"/>
    </xf>
    <xf numFmtId="0" fontId="0" fillId="0" borderId="7" xfId="0" applyNumberFormat="1" applyFont="1" applyFill="1" applyBorder="1" applyAlignment="1">
      <alignment horizontal="left" vertical="center" wrapText="1" indent="1"/>
    </xf>
    <xf numFmtId="0" fontId="0" fillId="0" borderId="6" xfId="0" applyFont="1" applyFill="1" applyBorder="1" applyAlignment="1">
      <alignment horizontal="center" vertical="center"/>
    </xf>
    <xf numFmtId="0" fontId="56" fillId="0" borderId="42" xfId="0" applyFont="1" applyFill="1" applyBorder="1" applyAlignment="1">
      <alignment horizontal="left" vertical="center" indent="1"/>
    </xf>
    <xf numFmtId="0" fontId="0" fillId="0" borderId="363" xfId="0" applyNumberFormat="1" applyFont="1" applyFill="1" applyBorder="1" applyAlignment="1">
      <alignment horizontal="left" vertical="center" wrapText="1" indent="1"/>
    </xf>
    <xf numFmtId="0" fontId="56" fillId="0" borderId="367" xfId="0" applyFont="1" applyFill="1" applyBorder="1" applyAlignment="1">
      <alignment horizontal="left" vertical="center" indent="1"/>
    </xf>
    <xf numFmtId="164" fontId="56" fillId="0" borderId="374" xfId="0" applyNumberFormat="1" applyFont="1" applyFill="1" applyBorder="1" applyAlignment="1">
      <alignment horizontal="left" vertical="center" indent="1"/>
    </xf>
    <xf numFmtId="0" fontId="0" fillId="0" borderId="380" xfId="0" applyNumberFormat="1" applyFont="1" applyFill="1" applyBorder="1" applyAlignment="1">
      <alignment horizontal="left" vertical="center" wrapText="1" indent="1"/>
    </xf>
    <xf numFmtId="0" fontId="56" fillId="0" borderId="41" xfId="0" applyFont="1" applyFill="1" applyBorder="1" applyAlignment="1">
      <alignment horizontal="left" vertical="center" indent="1"/>
    </xf>
    <xf numFmtId="0" fontId="4" fillId="0" borderId="12" xfId="0" applyNumberFormat="1" applyFont="1" applyFill="1" applyBorder="1" applyAlignment="1">
      <alignment horizontal="left" vertical="center" wrapText="1" indent="1"/>
    </xf>
    <xf numFmtId="0" fontId="0" fillId="0" borderId="11" xfId="0" applyFont="1" applyFill="1" applyBorder="1" applyAlignment="1">
      <alignment horizontal="center" vertical="center"/>
    </xf>
    <xf numFmtId="164" fontId="0" fillId="0" borderId="36" xfId="0" applyNumberFormat="1" applyFont="1" applyFill="1" applyBorder="1" applyAlignment="1">
      <alignment horizontal="center" vertical="center"/>
    </xf>
    <xf numFmtId="0" fontId="56" fillId="0" borderId="40" xfId="0" applyFont="1" applyFill="1" applyBorder="1" applyAlignment="1">
      <alignment horizontal="left" vertical="center" indent="1"/>
    </xf>
    <xf numFmtId="164" fontId="0" fillId="0" borderId="46" xfId="0" applyNumberFormat="1" applyFont="1" applyFill="1" applyBorder="1" applyAlignment="1">
      <alignment horizontal="center" vertical="center"/>
    </xf>
    <xf numFmtId="0" fontId="4" fillId="0" borderId="9" xfId="0" applyNumberFormat="1" applyFont="1" applyFill="1" applyBorder="1" applyAlignment="1">
      <alignment horizontal="left" vertical="center" wrapText="1" indent="1"/>
    </xf>
    <xf numFmtId="0" fontId="0" fillId="0" borderId="9" xfId="0" applyNumberFormat="1" applyFont="1" applyFill="1" applyBorder="1" applyAlignment="1">
      <alignment horizontal="left" vertical="center" wrapText="1" indent="1"/>
    </xf>
    <xf numFmtId="14" fontId="0" fillId="0" borderId="35" xfId="0" applyNumberFormat="1" applyFont="1" applyFill="1" applyBorder="1" applyAlignment="1">
      <alignment horizontal="left" vertical="center" wrapText="1" indent="1"/>
    </xf>
    <xf numFmtId="0" fontId="0" fillId="0" borderId="14" xfId="0" applyFont="1" applyFill="1" applyBorder="1" applyAlignment="1">
      <alignment horizontal="center" vertical="center"/>
    </xf>
    <xf numFmtId="164" fontId="0" fillId="0" borderId="35" xfId="0" applyNumberFormat="1" applyFont="1" applyFill="1" applyBorder="1" applyAlignment="1">
      <alignment horizontal="center" vertical="center"/>
    </xf>
    <xf numFmtId="164" fontId="0" fillId="0" borderId="47" xfId="0" applyNumberFormat="1" applyFont="1" applyFill="1" applyBorder="1" applyAlignment="1">
      <alignment horizontal="center" vertical="center"/>
    </xf>
    <xf numFmtId="0" fontId="0" fillId="0" borderId="7" xfId="0" applyFont="1" applyFill="1" applyBorder="1" applyAlignment="1">
      <alignment horizontal="left" vertical="center" indent="1"/>
    </xf>
    <xf numFmtId="164" fontId="0" fillId="0" borderId="44" xfId="0" applyNumberFormat="1" applyFont="1" applyFill="1" applyBorder="1" applyAlignment="1">
      <alignment vertical="center"/>
    </xf>
    <xf numFmtId="164" fontId="0" fillId="0" borderId="19" xfId="0" applyNumberFormat="1" applyFont="1" applyFill="1" applyBorder="1" applyAlignment="1">
      <alignment vertical="center"/>
    </xf>
    <xf numFmtId="0" fontId="0" fillId="0" borderId="368" xfId="0" applyFont="1" applyFill="1" applyBorder="1" applyAlignment="1">
      <alignment horizontal="left" vertical="center" wrapText="1" indent="1"/>
    </xf>
    <xf numFmtId="0" fontId="0" fillId="0" borderId="363" xfId="0" applyFont="1" applyFill="1" applyBorder="1" applyAlignment="1">
      <alignment horizontal="left" vertical="center" indent="1"/>
    </xf>
    <xf numFmtId="164" fontId="0" fillId="0" borderId="374" xfId="0" applyNumberFormat="1" applyFont="1" applyFill="1" applyBorder="1" applyAlignment="1">
      <alignment vertical="center"/>
    </xf>
    <xf numFmtId="0" fontId="0" fillId="0" borderId="367" xfId="0" applyFont="1" applyFill="1" applyBorder="1" applyAlignment="1">
      <alignment horizontal="left" vertical="center" wrapText="1" indent="1"/>
    </xf>
    <xf numFmtId="0" fontId="4" fillId="0" borderId="364" xfId="0" applyNumberFormat="1" applyFont="1" applyFill="1" applyBorder="1" applyAlignment="1">
      <alignment horizontal="left" vertical="center" wrapText="1" indent="1"/>
    </xf>
    <xf numFmtId="0" fontId="0" fillId="0" borderId="370" xfId="0" applyFont="1" applyFill="1" applyBorder="1" applyAlignment="1">
      <alignment horizontal="left" vertical="center" wrapText="1" indent="1"/>
    </xf>
    <xf numFmtId="0" fontId="0" fillId="0" borderId="369" xfId="0" applyFont="1" applyFill="1" applyBorder="1" applyAlignment="1">
      <alignment horizontal="left" vertical="center" indent="1"/>
    </xf>
    <xf numFmtId="164" fontId="0" fillId="0" borderId="370" xfId="0" applyNumberFormat="1" applyFont="1" applyFill="1" applyBorder="1" applyAlignment="1">
      <alignment vertical="center"/>
    </xf>
    <xf numFmtId="164" fontId="0" fillId="0" borderId="375" xfId="0" applyNumberFormat="1" applyFont="1" applyFill="1" applyBorder="1" applyAlignment="1">
      <alignment vertical="center"/>
    </xf>
    <xf numFmtId="164" fontId="0" fillId="0" borderId="360" xfId="0" applyNumberFormat="1" applyFont="1" applyFill="1" applyBorder="1" applyAlignment="1">
      <alignment vertical="center"/>
    </xf>
    <xf numFmtId="0" fontId="41" fillId="0" borderId="142" xfId="0" applyFont="1" applyBorder="1" applyAlignment="1">
      <alignment horizontal="left" vertical="center" indent="1"/>
    </xf>
    <xf numFmtId="0" fontId="41" fillId="0" borderId="227" xfId="0" applyFont="1" applyBorder="1" applyAlignment="1">
      <alignment horizontal="left" vertical="center" indent="1"/>
    </xf>
    <xf numFmtId="0" fontId="41" fillId="0" borderId="396" xfId="0" applyFont="1" applyBorder="1" applyAlignment="1">
      <alignment horizontal="left" indent="1"/>
    </xf>
    <xf numFmtId="0" fontId="41" fillId="0" borderId="401" xfId="0" applyFont="1" applyBorder="1" applyAlignment="1">
      <alignment horizontal="left" indent="1"/>
    </xf>
    <xf numFmtId="0" fontId="41" fillId="0" borderId="402" xfId="0" applyFont="1" applyBorder="1" applyAlignment="1">
      <alignment horizontal="left" indent="1"/>
    </xf>
    <xf numFmtId="0" fontId="41" fillId="0" borderId="404" xfId="0" applyFont="1" applyBorder="1" applyAlignment="1">
      <alignment horizontal="left" indent="1"/>
    </xf>
    <xf numFmtId="0" fontId="41" fillId="0" borderId="405" xfId="0" applyFont="1" applyBorder="1" applyAlignment="1">
      <alignment horizontal="left" indent="1"/>
    </xf>
    <xf numFmtId="0" fontId="41" fillId="0" borderId="404" xfId="0" applyFont="1" applyBorder="1" applyAlignment="1">
      <alignment horizontal="left" vertical="center" indent="1"/>
    </xf>
    <xf numFmtId="0" fontId="41" fillId="0" borderId="405" xfId="0" applyFont="1" applyBorder="1" applyAlignment="1">
      <alignment horizontal="left" vertical="center" indent="1"/>
    </xf>
    <xf numFmtId="0" fontId="41" fillId="0" borderId="391" xfId="0" applyFont="1" applyBorder="1" applyAlignment="1">
      <alignment horizontal="left" vertical="center" indent="1"/>
    </xf>
    <xf numFmtId="0" fontId="41" fillId="0" borderId="228" xfId="0" applyFont="1" applyBorder="1" applyAlignment="1">
      <alignment horizontal="left" vertical="center" indent="1"/>
    </xf>
    <xf numFmtId="0" fontId="0" fillId="0" borderId="387" xfId="0" applyFill="1" applyBorder="1" applyAlignment="1">
      <alignment horizontal="center" vertical="center" wrapText="1"/>
    </xf>
    <xf numFmtId="0" fontId="41" fillId="0" borderId="403" xfId="0" applyFont="1" applyBorder="1" applyAlignment="1">
      <alignment horizontal="right" vertical="center" indent="2"/>
    </xf>
    <xf numFmtId="0" fontId="41" fillId="0" borderId="406" xfId="0" applyFont="1" applyBorder="1" applyAlignment="1">
      <alignment horizontal="right" vertical="center" indent="2"/>
    </xf>
    <xf numFmtId="0" fontId="41" fillId="0" borderId="392" xfId="0" applyFont="1" applyBorder="1" applyAlignment="1">
      <alignment horizontal="right" vertical="center" indent="2"/>
    </xf>
    <xf numFmtId="0" fontId="41" fillId="0" borderId="143" xfId="0" applyFont="1" applyBorder="1" applyAlignment="1">
      <alignment horizontal="right" vertical="center" indent="2"/>
    </xf>
    <xf numFmtId="0" fontId="41" fillId="0" borderId="221" xfId="0" applyFont="1" applyBorder="1" applyAlignment="1">
      <alignment horizontal="right" vertical="center" indent="2"/>
    </xf>
    <xf numFmtId="0" fontId="41" fillId="0" borderId="397" xfId="0" applyFont="1" applyBorder="1" applyAlignment="1">
      <alignment horizontal="right" vertical="center" indent="2"/>
    </xf>
    <xf numFmtId="0" fontId="41" fillId="0" borderId="410" xfId="0" applyFont="1" applyBorder="1" applyAlignment="1">
      <alignment horizontal="right" vertical="center" indent="2"/>
    </xf>
    <xf numFmtId="0" fontId="13" fillId="0" borderId="12" xfId="0" applyNumberFormat="1" applyFont="1" applyFill="1" applyBorder="1" applyAlignment="1">
      <alignment horizontal="left" vertical="center" wrapText="1" indent="1"/>
    </xf>
    <xf numFmtId="14" fontId="13" fillId="0" borderId="12" xfId="0" applyNumberFormat="1" applyFont="1" applyFill="1" applyBorder="1" applyAlignment="1">
      <alignment horizontal="left" vertical="center" wrapText="1" indent="1"/>
    </xf>
    <xf numFmtId="0" fontId="1" fillId="0" borderId="380" xfId="0" applyNumberFormat="1" applyFont="1" applyFill="1" applyBorder="1" applyAlignment="1">
      <alignment horizontal="left" vertical="center" wrapText="1" indent="1"/>
    </xf>
    <xf numFmtId="14" fontId="1" fillId="0" borderId="380" xfId="0" applyNumberFormat="1" applyFont="1" applyFill="1" applyBorder="1" applyAlignment="1">
      <alignment horizontal="left" vertical="center" wrapText="1" indent="1"/>
    </xf>
    <xf numFmtId="0" fontId="1" fillId="0" borderId="3" xfId="0" applyNumberFormat="1" applyFont="1" applyFill="1" applyBorder="1" applyAlignment="1">
      <alignment horizontal="left" vertical="center" wrapText="1" indent="1"/>
    </xf>
    <xf numFmtId="0" fontId="1" fillId="0" borderId="7" xfId="0" applyNumberFormat="1" applyFont="1" applyFill="1" applyBorder="1" applyAlignment="1">
      <alignment horizontal="left" vertical="center" wrapText="1" indent="1"/>
    </xf>
    <xf numFmtId="164" fontId="1" fillId="0" borderId="363" xfId="0" applyNumberFormat="1" applyFont="1" applyFill="1" applyBorder="1" applyAlignment="1">
      <alignment horizontal="left" vertical="center" wrapText="1" indent="1"/>
    </xf>
    <xf numFmtId="0" fontId="1" fillId="0" borderId="363" xfId="0" applyNumberFormat="1" applyFont="1" applyFill="1" applyBorder="1" applyAlignment="1">
      <alignment horizontal="left" vertical="center" wrapText="1" indent="1"/>
    </xf>
    <xf numFmtId="14" fontId="1" fillId="0" borderId="363" xfId="0" applyNumberFormat="1" applyFont="1" applyFill="1" applyBorder="1" applyAlignment="1">
      <alignment horizontal="left" vertical="center" wrapText="1" indent="1"/>
    </xf>
    <xf numFmtId="1" fontId="1" fillId="0" borderId="363" xfId="0" applyNumberFormat="1" applyFont="1" applyFill="1" applyBorder="1" applyAlignment="1">
      <alignment horizontal="left" vertical="center" indent="1"/>
    </xf>
    <xf numFmtId="164" fontId="1" fillId="0" borderId="363" xfId="0" applyNumberFormat="1" applyFont="1" applyFill="1" applyBorder="1" applyAlignment="1">
      <alignment horizontal="left" vertical="center" indent="1"/>
    </xf>
    <xf numFmtId="0" fontId="13" fillId="0" borderId="363" xfId="0" applyNumberFormat="1" applyFont="1" applyFill="1" applyBorder="1" applyAlignment="1">
      <alignment horizontal="left" vertical="center" wrapText="1" indent="1"/>
    </xf>
    <xf numFmtId="164" fontId="1" fillId="0" borderId="380" xfId="0" applyNumberFormat="1" applyFont="1" applyFill="1" applyBorder="1" applyAlignment="1">
      <alignment horizontal="left" vertical="center" indent="1"/>
    </xf>
    <xf numFmtId="0" fontId="13" fillId="0" borderId="380" xfId="0" applyNumberFormat="1" applyFont="1" applyFill="1" applyBorder="1" applyAlignment="1">
      <alignment horizontal="left" vertical="center" wrapText="1" indent="1"/>
    </xf>
    <xf numFmtId="0" fontId="13" fillId="0" borderId="380" xfId="0" applyFont="1" applyFill="1" applyBorder="1" applyAlignment="1">
      <alignment horizontal="left" vertical="center" wrapText="1" indent="1"/>
    </xf>
    <xf numFmtId="164" fontId="1" fillId="0" borderId="7" xfId="0" applyNumberFormat="1" applyFont="1" applyFill="1" applyBorder="1" applyAlignment="1">
      <alignment horizontal="left" vertical="center" indent="1"/>
    </xf>
    <xf numFmtId="0" fontId="1" fillId="0" borderId="12" xfId="0" applyNumberFormat="1" applyFont="1" applyFill="1" applyBorder="1" applyAlignment="1">
      <alignment horizontal="left" vertical="center" wrapText="1" indent="1"/>
    </xf>
    <xf numFmtId="0" fontId="1" fillId="0" borderId="9" xfId="0" applyNumberFormat="1" applyFont="1" applyFill="1" applyBorder="1" applyAlignment="1">
      <alignment horizontal="left" vertical="center" wrapText="1" indent="1"/>
    </xf>
    <xf numFmtId="164" fontId="1" fillId="0" borderId="26" xfId="0" applyNumberFormat="1" applyFont="1" applyFill="1" applyBorder="1" applyAlignment="1">
      <alignment horizontal="left" vertical="center" wrapText="1" indent="1"/>
    </xf>
    <xf numFmtId="0" fontId="1" fillId="0" borderId="363" xfId="0" applyFont="1" applyFill="1" applyBorder="1" applyAlignment="1">
      <alignment horizontal="left" vertical="center" wrapText="1" indent="1"/>
    </xf>
    <xf numFmtId="1" fontId="1" fillId="0" borderId="363" xfId="0" applyNumberFormat="1" applyFont="1" applyFill="1" applyBorder="1" applyAlignment="1">
      <alignment horizontal="left" vertical="center" wrapText="1" indent="1"/>
    </xf>
    <xf numFmtId="1" fontId="1" fillId="0" borderId="364" xfId="0" applyNumberFormat="1" applyFont="1" applyFill="1" applyBorder="1" applyAlignment="1">
      <alignment horizontal="left" vertical="center" wrapText="1" indent="1"/>
    </xf>
    <xf numFmtId="0" fontId="1" fillId="0" borderId="364" xfId="0" applyNumberFormat="1" applyFont="1" applyFill="1" applyBorder="1" applyAlignment="1">
      <alignment horizontal="left" vertical="center" wrapText="1" indent="1"/>
    </xf>
    <xf numFmtId="0" fontId="1" fillId="0" borderId="364" xfId="0" applyFont="1" applyFill="1" applyBorder="1" applyAlignment="1">
      <alignment horizontal="left" vertical="center" wrapText="1" indent="1"/>
    </xf>
    <xf numFmtId="164" fontId="13" fillId="0" borderId="12" xfId="0" applyNumberFormat="1" applyFont="1" applyFill="1" applyBorder="1" applyAlignment="1">
      <alignment vertical="center" wrapText="1"/>
    </xf>
    <xf numFmtId="164" fontId="13" fillId="0" borderId="36" xfId="0" applyNumberFormat="1" applyFont="1" applyFill="1" applyBorder="1" applyAlignment="1">
      <alignment horizontal="center" vertical="center" wrapText="1"/>
    </xf>
    <xf numFmtId="0" fontId="13" fillId="0" borderId="40" xfId="0" applyFont="1" applyFill="1" applyBorder="1" applyAlignment="1">
      <alignment horizontal="left" vertical="center" wrapText="1" indent="1"/>
    </xf>
    <xf numFmtId="0" fontId="13" fillId="0" borderId="12" xfId="0" applyFont="1" applyFill="1" applyBorder="1" applyAlignment="1">
      <alignment horizontal="left" vertical="center" wrapText="1" indent="1"/>
    </xf>
    <xf numFmtId="164" fontId="13" fillId="0" borderId="12" xfId="0" applyNumberFormat="1" applyFont="1" applyFill="1" applyBorder="1" applyAlignment="1">
      <alignment horizontal="left" vertical="center" wrapText="1" indent="1"/>
    </xf>
    <xf numFmtId="0" fontId="13" fillId="0" borderId="357" xfId="0" applyFont="1" applyFill="1" applyBorder="1" applyAlignment="1">
      <alignment horizontal="center" vertical="center"/>
    </xf>
    <xf numFmtId="164" fontId="13" fillId="0" borderId="380" xfId="0" applyNumberFormat="1" applyFont="1" applyFill="1" applyBorder="1" applyAlignment="1">
      <alignment vertical="center"/>
    </xf>
    <xf numFmtId="164" fontId="13" fillId="0" borderId="382" xfId="0" applyNumberFormat="1" applyFont="1" applyFill="1" applyBorder="1" applyAlignment="1">
      <alignment vertical="center"/>
    </xf>
    <xf numFmtId="0" fontId="13" fillId="0" borderId="357" xfId="0" applyFont="1" applyFill="1" applyBorder="1" applyAlignment="1">
      <alignment horizontal="left" vertical="center" wrapText="1" indent="1"/>
    </xf>
    <xf numFmtId="164" fontId="13" fillId="0" borderId="380" xfId="0" applyNumberFormat="1" applyFont="1" applyFill="1" applyBorder="1" applyAlignment="1">
      <alignment horizontal="left" vertical="center" indent="1"/>
    </xf>
    <xf numFmtId="1" fontId="13" fillId="0" borderId="380" xfId="0" applyNumberFormat="1" applyFont="1" applyFill="1" applyBorder="1" applyAlignment="1">
      <alignment horizontal="left" vertical="center" indent="1"/>
    </xf>
    <xf numFmtId="164" fontId="13" fillId="0" borderId="380" xfId="0" applyNumberFormat="1" applyFont="1" applyFill="1" applyBorder="1" applyAlignment="1">
      <alignment horizontal="center" vertical="center"/>
    </xf>
    <xf numFmtId="0" fontId="13" fillId="0" borderId="38" xfId="0" applyFont="1" applyFill="1" applyBorder="1" applyAlignment="1">
      <alignment horizontal="center" vertical="center"/>
    </xf>
    <xf numFmtId="164" fontId="13" fillId="0" borderId="3" xfId="0" applyNumberFormat="1" applyFont="1" applyFill="1" applyBorder="1" applyAlignment="1">
      <alignment vertical="center"/>
    </xf>
    <xf numFmtId="164" fontId="13" fillId="0" borderId="31" xfId="0" applyNumberFormat="1" applyFont="1" applyFill="1" applyBorder="1" applyAlignment="1">
      <alignment vertical="center"/>
    </xf>
    <xf numFmtId="0" fontId="13" fillId="0" borderId="38" xfId="0" applyFont="1" applyFill="1" applyBorder="1" applyAlignment="1">
      <alignment horizontal="left" vertical="center" wrapText="1" indent="1"/>
    </xf>
    <xf numFmtId="164" fontId="13" fillId="0" borderId="3" xfId="0" applyNumberFormat="1" applyFont="1" applyFill="1" applyBorder="1" applyAlignment="1">
      <alignment horizontal="left" vertical="center" indent="1"/>
    </xf>
    <xf numFmtId="1" fontId="13" fillId="0" borderId="3" xfId="0" applyNumberFormat="1" applyFont="1" applyFill="1" applyBorder="1" applyAlignment="1">
      <alignment horizontal="left" vertical="center" indent="1"/>
    </xf>
    <xf numFmtId="164" fontId="13" fillId="0" borderId="3" xfId="0" applyNumberFormat="1" applyFont="1" applyFill="1" applyBorder="1" applyAlignment="1">
      <alignment horizontal="center" vertical="center"/>
    </xf>
    <xf numFmtId="0" fontId="13" fillId="0" borderId="42" xfId="0" applyFont="1" applyFill="1" applyBorder="1" applyAlignment="1">
      <alignment horizontal="center" vertical="center"/>
    </xf>
    <xf numFmtId="164" fontId="13" fillId="0" borderId="7" xfId="0" applyNumberFormat="1" applyFont="1" applyFill="1" applyBorder="1" applyAlignment="1">
      <alignment vertical="center"/>
    </xf>
    <xf numFmtId="164" fontId="13" fillId="0" borderId="44" xfId="0" applyNumberFormat="1" applyFont="1" applyFill="1" applyBorder="1" applyAlignment="1">
      <alignment vertical="center"/>
    </xf>
    <xf numFmtId="0" fontId="13" fillId="0" borderId="42" xfId="0" applyFont="1" applyFill="1" applyBorder="1" applyAlignment="1">
      <alignment horizontal="left" vertical="center" wrapText="1" indent="1"/>
    </xf>
    <xf numFmtId="164" fontId="13" fillId="0" borderId="7" xfId="0" applyNumberFormat="1" applyFont="1" applyFill="1" applyBorder="1" applyAlignment="1">
      <alignment horizontal="left" vertical="center" indent="1"/>
    </xf>
    <xf numFmtId="1" fontId="13" fillId="0" borderId="7" xfId="0" applyNumberFormat="1" applyFont="1" applyFill="1" applyBorder="1" applyAlignment="1">
      <alignment horizontal="left" vertical="center" indent="1"/>
    </xf>
    <xf numFmtId="164" fontId="13" fillId="0" borderId="7" xfId="0" applyNumberFormat="1" applyFont="1" applyFill="1" applyBorder="1" applyAlignment="1">
      <alignment horizontal="center" vertical="center"/>
    </xf>
    <xf numFmtId="0" fontId="13" fillId="0" borderId="374" xfId="0" applyFont="1" applyFill="1" applyBorder="1" applyAlignment="1">
      <alignment horizontal="center" vertical="center"/>
    </xf>
    <xf numFmtId="164" fontId="13" fillId="0" borderId="363" xfId="0" applyNumberFormat="1" applyFont="1" applyFill="1" applyBorder="1" applyAlignment="1">
      <alignment vertical="center"/>
    </xf>
    <xf numFmtId="164" fontId="13" fillId="0" borderId="368" xfId="0" applyNumberFormat="1" applyFont="1" applyFill="1" applyBorder="1" applyAlignment="1">
      <alignment vertical="center"/>
    </xf>
    <xf numFmtId="0" fontId="13" fillId="0" borderId="374" xfId="0" applyFont="1" applyFill="1" applyBorder="1" applyAlignment="1">
      <alignment horizontal="left" vertical="center" wrapText="1" indent="1"/>
    </xf>
    <xf numFmtId="0" fontId="13" fillId="0" borderId="363" xfId="0" applyFont="1" applyFill="1" applyBorder="1" applyAlignment="1">
      <alignment horizontal="left" vertical="center" indent="1"/>
    </xf>
    <xf numFmtId="164" fontId="13" fillId="0" borderId="363" xfId="0" applyNumberFormat="1" applyFont="1" applyFill="1" applyBorder="1" applyAlignment="1">
      <alignment horizontal="left" vertical="center" indent="1"/>
    </xf>
    <xf numFmtId="1" fontId="13" fillId="0" borderId="363" xfId="0" applyNumberFormat="1" applyFont="1" applyFill="1" applyBorder="1" applyAlignment="1">
      <alignment horizontal="center" vertical="center"/>
    </xf>
    <xf numFmtId="0" fontId="13" fillId="0" borderId="380" xfId="0" applyFont="1" applyFill="1" applyBorder="1" applyAlignment="1">
      <alignment horizontal="left" vertical="center" indent="1"/>
    </xf>
    <xf numFmtId="0" fontId="13" fillId="0" borderId="3" xfId="0" applyFont="1" applyFill="1" applyBorder="1" applyAlignment="1">
      <alignment horizontal="left" vertical="center" indent="1"/>
    </xf>
    <xf numFmtId="0" fontId="13" fillId="0" borderId="7" xfId="0" applyFont="1" applyFill="1" applyBorder="1" applyAlignment="1">
      <alignment horizontal="left" vertical="center" indent="1"/>
    </xf>
    <xf numFmtId="0" fontId="13" fillId="0" borderId="40" xfId="0" applyFont="1" applyFill="1" applyBorder="1" applyAlignment="1">
      <alignment horizontal="center" vertical="center"/>
    </xf>
    <xf numFmtId="164" fontId="13" fillId="0" borderId="12" xfId="0" applyNumberFormat="1" applyFont="1" applyFill="1" applyBorder="1" applyAlignment="1">
      <alignment vertical="center"/>
    </xf>
    <xf numFmtId="164" fontId="13" fillId="0" borderId="36" xfId="0" applyNumberFormat="1" applyFont="1" applyFill="1" applyBorder="1" applyAlignment="1">
      <alignment vertical="center"/>
    </xf>
    <xf numFmtId="0" fontId="13" fillId="0" borderId="12" xfId="0" applyFont="1" applyFill="1" applyBorder="1" applyAlignment="1">
      <alignment horizontal="left" vertical="center" indent="1"/>
    </xf>
    <xf numFmtId="164" fontId="13" fillId="0" borderId="12" xfId="0" applyNumberFormat="1" applyFont="1" applyFill="1" applyBorder="1" applyAlignment="1">
      <alignment horizontal="left" vertical="center" indent="1"/>
    </xf>
    <xf numFmtId="0" fontId="13" fillId="0" borderId="41" xfId="0" applyFont="1" applyFill="1" applyBorder="1" applyAlignment="1">
      <alignment horizontal="center" vertical="center"/>
    </xf>
    <xf numFmtId="164" fontId="13" fillId="0" borderId="9" xfId="0" applyNumberFormat="1" applyFont="1" applyFill="1" applyBorder="1" applyAlignment="1">
      <alignment vertical="center"/>
    </xf>
    <xf numFmtId="164" fontId="13" fillId="0" borderId="35" xfId="0" applyNumberFormat="1" applyFont="1" applyFill="1" applyBorder="1" applyAlignment="1">
      <alignment vertical="center"/>
    </xf>
    <xf numFmtId="0" fontId="13" fillId="0" borderId="41" xfId="0" applyFont="1" applyFill="1" applyBorder="1" applyAlignment="1">
      <alignment horizontal="left" vertical="center" wrapText="1" indent="1"/>
    </xf>
    <xf numFmtId="0" fontId="13" fillId="0" borderId="9" xfId="0" applyFont="1" applyFill="1" applyBorder="1" applyAlignment="1">
      <alignment horizontal="left" vertical="center" indent="1"/>
    </xf>
    <xf numFmtId="164" fontId="13" fillId="0" borderId="9" xfId="0" applyNumberFormat="1" applyFont="1" applyFill="1" applyBorder="1" applyAlignment="1">
      <alignment horizontal="left" vertical="center" indent="1"/>
    </xf>
    <xf numFmtId="0" fontId="13" fillId="0" borderId="374" xfId="0" applyFont="1" applyFill="1" applyBorder="1" applyAlignment="1">
      <alignment horizontal="left" vertical="center" indent="1"/>
    </xf>
    <xf numFmtId="0" fontId="13" fillId="0" borderId="374" xfId="0" applyFont="1" applyFill="1" applyBorder="1" applyAlignment="1">
      <alignment horizontal="center" vertical="center" wrapText="1"/>
    </xf>
    <xf numFmtId="164" fontId="13" fillId="0" borderId="363" xfId="0" applyNumberFormat="1" applyFont="1" applyFill="1" applyBorder="1" applyAlignment="1">
      <alignment horizontal="center" vertical="center"/>
    </xf>
    <xf numFmtId="1" fontId="13" fillId="0" borderId="363" xfId="0" applyNumberFormat="1" applyFont="1" applyFill="1" applyBorder="1" applyAlignment="1">
      <alignment horizontal="center" vertical="center" wrapText="1"/>
    </xf>
    <xf numFmtId="0" fontId="13" fillId="0" borderId="375" xfId="0" applyFont="1" applyFill="1" applyBorder="1" applyAlignment="1">
      <alignment horizontal="left" vertical="center" indent="1"/>
    </xf>
    <xf numFmtId="164" fontId="13" fillId="0" borderId="364" xfId="0" applyNumberFormat="1" applyFont="1" applyFill="1" applyBorder="1" applyAlignment="1">
      <alignment vertical="center"/>
    </xf>
    <xf numFmtId="164" fontId="13" fillId="0" borderId="370" xfId="0" applyNumberFormat="1" applyFont="1" applyFill="1" applyBorder="1" applyAlignment="1">
      <alignment vertical="center"/>
    </xf>
    <xf numFmtId="0" fontId="13" fillId="0" borderId="375" xfId="0" applyFont="1" applyFill="1" applyBorder="1" applyAlignment="1">
      <alignment horizontal="center" vertical="center" wrapText="1"/>
    </xf>
    <xf numFmtId="0" fontId="13" fillId="0" borderId="364" xfId="0" applyFont="1" applyFill="1" applyBorder="1" applyAlignment="1">
      <alignment horizontal="left" vertical="center" indent="1"/>
    </xf>
    <xf numFmtId="164" fontId="13" fillId="0" borderId="364" xfId="0" applyNumberFormat="1" applyFont="1" applyFill="1" applyBorder="1" applyAlignment="1">
      <alignment horizontal="left" vertical="center" indent="1"/>
    </xf>
    <xf numFmtId="1" fontId="13" fillId="0" borderId="364" xfId="0" applyNumberFormat="1" applyFont="1" applyFill="1" applyBorder="1" applyAlignment="1">
      <alignment horizontal="center" vertical="center"/>
    </xf>
    <xf numFmtId="164" fontId="13" fillId="0" borderId="364" xfId="0" applyNumberFormat="1" applyFont="1" applyFill="1" applyBorder="1" applyAlignment="1">
      <alignment horizontal="center" vertical="center"/>
    </xf>
    <xf numFmtId="1" fontId="0" fillId="0" borderId="12" xfId="0" applyNumberFormat="1" applyFont="1" applyFill="1" applyBorder="1" applyAlignment="1">
      <alignment horizontal="right" vertical="center" wrapText="1" indent="1"/>
    </xf>
    <xf numFmtId="14" fontId="0" fillId="0" borderId="36" xfId="0" applyNumberFormat="1" applyFont="1" applyFill="1" applyBorder="1" applyAlignment="1">
      <alignment horizontal="left" vertical="center" wrapText="1"/>
    </xf>
    <xf numFmtId="0" fontId="0" fillId="0" borderId="12" xfId="0" applyNumberFormat="1" applyFont="1" applyFill="1" applyBorder="1" applyAlignment="1">
      <alignment vertical="center" wrapText="1"/>
    </xf>
    <xf numFmtId="14" fontId="0" fillId="0" borderId="383" xfId="0" applyNumberFormat="1" applyFont="1" applyFill="1" applyBorder="1" applyAlignment="1">
      <alignment vertical="center" wrapText="1"/>
    </xf>
    <xf numFmtId="1" fontId="0" fillId="0" borderId="380" xfId="0" applyNumberFormat="1" applyFont="1" applyFill="1" applyBorder="1" applyAlignment="1">
      <alignment horizontal="right" vertical="center" wrapText="1" indent="1"/>
    </xf>
    <xf numFmtId="0" fontId="0" fillId="0" borderId="380" xfId="0" applyNumberFormat="1" applyFont="1" applyFill="1" applyBorder="1" applyAlignment="1">
      <alignment horizontal="center" vertical="center"/>
    </xf>
    <xf numFmtId="14" fontId="0" fillId="0" borderId="2" xfId="0" applyNumberFormat="1" applyFont="1" applyFill="1" applyBorder="1" applyAlignment="1">
      <alignment vertical="center" wrapText="1"/>
    </xf>
    <xf numFmtId="0" fontId="0" fillId="0" borderId="3" xfId="0" applyNumberFormat="1" applyFont="1" applyFill="1" applyBorder="1" applyAlignment="1">
      <alignment horizontal="center" vertical="center"/>
    </xf>
    <xf numFmtId="14" fontId="0" fillId="0" borderId="6" xfId="0" applyNumberFormat="1" applyFont="1" applyFill="1" applyBorder="1" applyAlignment="1">
      <alignment vertical="center" wrapText="1"/>
    </xf>
    <xf numFmtId="0" fontId="0" fillId="0" borderId="7" xfId="0" applyNumberFormat="1" applyFont="1" applyFill="1" applyBorder="1" applyAlignment="1">
      <alignment horizontal="center" vertical="center"/>
    </xf>
    <xf numFmtId="1" fontId="0" fillId="0" borderId="363" xfId="0" applyNumberFormat="1" applyFont="1" applyFill="1" applyBorder="1" applyAlignment="1">
      <alignment horizontal="right" vertical="center" wrapText="1" indent="1"/>
    </xf>
    <xf numFmtId="14" fontId="0" fillId="0" borderId="363" xfId="0" applyNumberFormat="1" applyFont="1" applyFill="1" applyBorder="1" applyAlignment="1">
      <alignment vertical="center" wrapText="1"/>
    </xf>
    <xf numFmtId="14" fontId="0" fillId="0" borderId="363" xfId="0" applyNumberFormat="1" applyFont="1" applyFill="1" applyBorder="1" applyAlignment="1">
      <alignment horizontal="center" vertical="center"/>
    </xf>
    <xf numFmtId="14" fontId="0" fillId="0" borderId="367" xfId="0" applyNumberFormat="1" applyFont="1" applyFill="1" applyBorder="1" applyAlignment="1">
      <alignment vertical="center"/>
    </xf>
    <xf numFmtId="14" fontId="0" fillId="0" borderId="383" xfId="0" applyNumberFormat="1" applyFont="1" applyFill="1" applyBorder="1" applyAlignment="1">
      <alignment vertical="center"/>
    </xf>
    <xf numFmtId="14" fontId="0" fillId="0" borderId="380" xfId="0" applyNumberFormat="1" applyFont="1" applyFill="1" applyBorder="1" applyAlignment="1">
      <alignment horizontal="center" vertical="center"/>
    </xf>
    <xf numFmtId="14" fontId="0" fillId="0" borderId="2" xfId="0" applyNumberFormat="1" applyFont="1" applyFill="1" applyBorder="1" applyAlignment="1">
      <alignment vertical="center"/>
    </xf>
    <xf numFmtId="14" fontId="0" fillId="0" borderId="6" xfId="0" applyNumberFormat="1" applyFont="1" applyFill="1" applyBorder="1" applyAlignment="1">
      <alignment vertical="center"/>
    </xf>
    <xf numFmtId="14" fontId="0" fillId="0" borderId="7" xfId="0" applyNumberFormat="1" applyFont="1" applyFill="1" applyBorder="1" applyAlignment="1">
      <alignment horizontal="center" vertical="center"/>
    </xf>
    <xf numFmtId="14" fontId="0" fillId="0" borderId="11" xfId="0" applyNumberFormat="1" applyFont="1" applyFill="1" applyBorder="1" applyAlignment="1">
      <alignment vertical="center"/>
    </xf>
    <xf numFmtId="14" fontId="0" fillId="0" borderId="12" xfId="0" applyNumberFormat="1" applyFont="1" applyFill="1" applyBorder="1" applyAlignment="1">
      <alignment vertical="center" wrapText="1"/>
    </xf>
    <xf numFmtId="14" fontId="0" fillId="0" borderId="12" xfId="0" applyNumberFormat="1" applyFont="1" applyFill="1" applyBorder="1" applyAlignment="1">
      <alignment horizontal="center" vertical="center"/>
    </xf>
    <xf numFmtId="14" fontId="0" fillId="0" borderId="14" xfId="0" applyNumberFormat="1" applyFont="1" applyFill="1" applyBorder="1" applyAlignment="1">
      <alignment vertical="center" wrapText="1"/>
    </xf>
    <xf numFmtId="1" fontId="0" fillId="0" borderId="9" xfId="0" applyNumberFormat="1" applyFont="1" applyFill="1" applyBorder="1" applyAlignment="1">
      <alignment horizontal="right" vertical="center" wrapText="1" indent="1"/>
    </xf>
    <xf numFmtId="14" fontId="0" fillId="0" borderId="14" xfId="0" applyNumberFormat="1" applyFont="1" applyFill="1" applyBorder="1" applyAlignment="1">
      <alignment vertical="center"/>
    </xf>
    <xf numFmtId="14" fontId="0" fillId="0" borderId="9" xfId="0" applyNumberFormat="1" applyFont="1" applyFill="1" applyBorder="1" applyAlignment="1">
      <alignment vertical="center" wrapText="1"/>
    </xf>
    <xf numFmtId="0" fontId="0" fillId="0" borderId="367" xfId="0" applyFont="1" applyFill="1" applyBorder="1" applyAlignment="1">
      <alignment vertical="center" wrapText="1"/>
    </xf>
    <xf numFmtId="0" fontId="0" fillId="0" borderId="367" xfId="0" applyFont="1" applyFill="1" applyBorder="1" applyAlignment="1">
      <alignment vertical="center"/>
    </xf>
    <xf numFmtId="0" fontId="0" fillId="0" borderId="369" xfId="0" applyFont="1" applyFill="1" applyBorder="1" applyAlignment="1">
      <alignment vertical="center" wrapText="1"/>
    </xf>
    <xf numFmtId="1" fontId="0" fillId="0" borderId="364" xfId="0" applyNumberFormat="1" applyFont="1" applyFill="1" applyBorder="1" applyAlignment="1">
      <alignment horizontal="right" vertical="center" wrapText="1" indent="1"/>
    </xf>
    <xf numFmtId="0" fontId="0" fillId="0" borderId="369" xfId="0" applyFont="1" applyFill="1" applyBorder="1" applyAlignment="1">
      <alignment vertical="center"/>
    </xf>
    <xf numFmtId="14" fontId="0" fillId="40" borderId="11" xfId="0" applyNumberFormat="1" applyFont="1" applyFill="1" applyBorder="1" applyAlignment="1">
      <alignment horizontal="center" vertical="center" wrapText="1"/>
    </xf>
    <xf numFmtId="14" fontId="0" fillId="40" borderId="383" xfId="0" applyNumberFormat="1" applyFont="1" applyFill="1" applyBorder="1" applyAlignment="1">
      <alignment horizontal="center" vertical="center" wrapText="1"/>
    </xf>
    <xf numFmtId="14" fontId="0" fillId="40" borderId="2" xfId="0" applyNumberFormat="1" applyFont="1" applyFill="1" applyBorder="1" applyAlignment="1">
      <alignment horizontal="center" vertical="center" wrapText="1"/>
    </xf>
    <xf numFmtId="14" fontId="0" fillId="40" borderId="6" xfId="0" applyNumberFormat="1" applyFont="1" applyFill="1" applyBorder="1" applyAlignment="1">
      <alignment horizontal="center" vertical="center" wrapText="1"/>
    </xf>
    <xf numFmtId="14" fontId="0" fillId="40" borderId="367" xfId="0" applyNumberFormat="1" applyFont="1" applyFill="1" applyBorder="1" applyAlignment="1">
      <alignment horizontal="center" vertical="center" wrapText="1"/>
    </xf>
    <xf numFmtId="14" fontId="0" fillId="40" borderId="14" xfId="0" applyNumberFormat="1" applyFont="1" applyFill="1" applyBorder="1" applyAlignment="1">
      <alignment horizontal="center" vertical="center" wrapText="1"/>
    </xf>
    <xf numFmtId="14" fontId="0" fillId="40" borderId="369" xfId="0" applyNumberFormat="1" applyFont="1" applyFill="1" applyBorder="1" applyAlignment="1">
      <alignment horizontal="center" vertical="center" wrapText="1"/>
    </xf>
    <xf numFmtId="14" fontId="0" fillId="0" borderId="40" xfId="0" applyNumberFormat="1" applyFont="1" applyFill="1" applyBorder="1" applyAlignment="1">
      <alignment vertical="center" wrapText="1"/>
    </xf>
    <xf numFmtId="14" fontId="0" fillId="0" borderId="357" xfId="0" applyNumberFormat="1" applyFont="1" applyFill="1" applyBorder="1" applyAlignment="1">
      <alignment horizontal="left" vertical="center" wrapText="1"/>
    </xf>
    <xf numFmtId="0" fontId="0" fillId="0" borderId="380" xfId="0" applyFont="1" applyFill="1" applyBorder="1" applyAlignment="1">
      <alignment horizontal="left" vertical="center" indent="1"/>
    </xf>
    <xf numFmtId="14" fontId="0" fillId="0" borderId="38" xfId="0" applyNumberFormat="1" applyFont="1" applyFill="1" applyBorder="1" applyAlignment="1">
      <alignment horizontal="left" vertical="center" wrapText="1"/>
    </xf>
    <xf numFmtId="14" fontId="0" fillId="0" borderId="42" xfId="0" applyNumberFormat="1" applyFont="1" applyFill="1" applyBorder="1" applyAlignment="1">
      <alignment horizontal="left" vertical="center" wrapText="1"/>
    </xf>
    <xf numFmtId="14" fontId="0" fillId="0" borderId="374" xfId="0" applyNumberFormat="1" applyFont="1" applyFill="1" applyBorder="1" applyAlignment="1">
      <alignment vertical="center" wrapText="1"/>
    </xf>
    <xf numFmtId="14" fontId="0" fillId="0" borderId="357" xfId="0" applyNumberFormat="1" applyFont="1" applyFill="1" applyBorder="1" applyAlignment="1">
      <alignment vertical="center" wrapText="1"/>
    </xf>
    <xf numFmtId="14" fontId="0" fillId="0" borderId="38" xfId="0" applyNumberFormat="1" applyFont="1" applyFill="1" applyBorder="1" applyAlignment="1">
      <alignment vertical="center" wrapText="1"/>
    </xf>
    <xf numFmtId="14" fontId="0" fillId="0" borderId="42" xfId="0" applyNumberFormat="1" applyFont="1" applyFill="1" applyBorder="1" applyAlignment="1">
      <alignment vertical="center" wrapText="1"/>
    </xf>
    <xf numFmtId="0" fontId="0" fillId="0" borderId="11" xfId="0" applyFont="1" applyFill="1" applyBorder="1" applyAlignment="1">
      <alignment horizontal="left" vertical="center" indent="1"/>
    </xf>
    <xf numFmtId="14" fontId="0" fillId="0" borderId="41" xfId="0" applyNumberFormat="1" applyFont="1" applyFill="1" applyBorder="1" applyAlignment="1">
      <alignment vertical="center" wrapText="1"/>
    </xf>
    <xf numFmtId="0" fontId="0" fillId="0" borderId="14" xfId="0" applyFont="1" applyFill="1" applyBorder="1" applyAlignment="1">
      <alignment horizontal="left" vertical="center" indent="1"/>
    </xf>
    <xf numFmtId="0" fontId="0" fillId="0" borderId="374" xfId="0" applyFont="1" applyFill="1" applyBorder="1" applyAlignment="1">
      <alignment vertical="center" wrapText="1"/>
    </xf>
    <xf numFmtId="0" fontId="0" fillId="0" borderId="375" xfId="0" applyFont="1" applyFill="1" applyBorder="1" applyAlignment="1">
      <alignment vertical="center" wrapText="1"/>
    </xf>
    <xf numFmtId="0" fontId="0" fillId="0" borderId="364" xfId="0" applyFont="1" applyFill="1" applyBorder="1" applyAlignment="1">
      <alignment horizontal="left" vertical="center" indent="1"/>
    </xf>
    <xf numFmtId="0" fontId="0" fillId="0" borderId="11" xfId="0" applyFont="1" applyFill="1" applyBorder="1" applyAlignment="1">
      <alignment vertical="center" wrapText="1"/>
    </xf>
    <xf numFmtId="0" fontId="0" fillId="0" borderId="56" xfId="0" applyFont="1" applyFill="1" applyBorder="1" applyAlignment="1">
      <alignment vertical="center" wrapText="1"/>
    </xf>
    <xf numFmtId="0" fontId="0" fillId="0" borderId="371" xfId="0" applyFont="1" applyFill="1" applyBorder="1" applyAlignment="1">
      <alignment vertical="center" wrapText="1"/>
    </xf>
    <xf numFmtId="0" fontId="0" fillId="0" borderId="57" xfId="0" applyFont="1" applyFill="1" applyBorder="1" applyAlignment="1">
      <alignment vertical="center" wrapText="1"/>
    </xf>
    <xf numFmtId="0" fontId="0" fillId="0" borderId="79" xfId="0" applyFont="1" applyFill="1" applyBorder="1" applyAlignment="1">
      <alignment vertical="center" wrapText="1"/>
    </xf>
    <xf numFmtId="0" fontId="0" fillId="0" borderId="312" xfId="0" applyFont="1" applyFill="1" applyBorder="1" applyAlignment="1">
      <alignment vertical="center" wrapText="1"/>
    </xf>
    <xf numFmtId="0" fontId="13" fillId="0" borderId="11" xfId="0" applyFont="1" applyFill="1" applyBorder="1" applyAlignment="1">
      <alignment vertical="center" wrapText="1"/>
    </xf>
    <xf numFmtId="0" fontId="13" fillId="0" borderId="12" xfId="0" applyFont="1" applyFill="1" applyBorder="1" applyAlignment="1">
      <alignment vertical="center" wrapText="1"/>
    </xf>
    <xf numFmtId="172" fontId="13" fillId="0" borderId="12" xfId="0" applyNumberFormat="1" applyFont="1" applyFill="1" applyBorder="1" applyAlignment="1">
      <alignment vertical="center" wrapText="1"/>
    </xf>
    <xf numFmtId="174" fontId="13" fillId="0" borderId="13" xfId="0" applyNumberFormat="1" applyFont="1" applyFill="1" applyBorder="1" applyAlignment="1">
      <alignment vertical="center" wrapText="1"/>
    </xf>
    <xf numFmtId="0" fontId="13" fillId="0" borderId="56" xfId="0" applyFont="1" applyFill="1" applyBorder="1" applyAlignment="1">
      <alignment vertical="center" wrapText="1"/>
    </xf>
    <xf numFmtId="0" fontId="13" fillId="0" borderId="383" xfId="0" applyFont="1" applyFill="1" applyBorder="1" applyAlignment="1">
      <alignment vertical="center"/>
    </xf>
    <xf numFmtId="0" fontId="13" fillId="0" borderId="380" xfId="0" applyFont="1" applyFill="1" applyBorder="1" applyAlignment="1">
      <alignment horizontal="center" vertical="center"/>
    </xf>
    <xf numFmtId="0" fontId="13" fillId="0" borderId="380" xfId="0" applyFont="1" applyFill="1" applyBorder="1" applyAlignment="1">
      <alignment vertical="center"/>
    </xf>
    <xf numFmtId="0" fontId="13" fillId="0" borderId="380" xfId="0" applyFont="1" applyFill="1" applyBorder="1" applyAlignment="1">
      <alignment vertical="center" wrapText="1"/>
    </xf>
    <xf numFmtId="174" fontId="13" fillId="0" borderId="386" xfId="0" applyNumberFormat="1" applyFont="1" applyFill="1" applyBorder="1" applyAlignment="1">
      <alignment vertical="center"/>
    </xf>
    <xf numFmtId="0" fontId="13" fillId="0" borderId="371" xfId="0" applyFont="1" applyFill="1" applyBorder="1" applyAlignment="1">
      <alignment vertical="center" wrapText="1"/>
    </xf>
    <xf numFmtId="0" fontId="13" fillId="0" borderId="2" xfId="0" applyFont="1" applyFill="1" applyBorder="1" applyAlignment="1">
      <alignment vertical="center"/>
    </xf>
    <xf numFmtId="0" fontId="13" fillId="0" borderId="3" xfId="0" applyFont="1" applyFill="1" applyBorder="1" applyAlignment="1">
      <alignment horizontal="center" vertical="center"/>
    </xf>
    <xf numFmtId="0" fontId="13" fillId="0" borderId="3" xfId="0" applyFont="1" applyFill="1" applyBorder="1" applyAlignment="1">
      <alignment vertical="center"/>
    </xf>
    <xf numFmtId="174" fontId="13" fillId="0" borderId="1" xfId="0" applyNumberFormat="1" applyFont="1" applyFill="1" applyBorder="1" applyAlignment="1">
      <alignment vertical="center"/>
    </xf>
    <xf numFmtId="0" fontId="13" fillId="0" borderId="57" xfId="0" applyFont="1" applyFill="1" applyBorder="1" applyAlignment="1">
      <alignment vertical="center" wrapText="1"/>
    </xf>
    <xf numFmtId="0" fontId="13" fillId="0" borderId="6" xfId="0" applyFont="1" applyFill="1" applyBorder="1" applyAlignment="1">
      <alignment vertical="center"/>
    </xf>
    <xf numFmtId="0" fontId="13" fillId="0" borderId="7" xfId="0" applyFont="1" applyFill="1" applyBorder="1" applyAlignment="1">
      <alignment horizontal="center" vertical="center"/>
    </xf>
    <xf numFmtId="0" fontId="13" fillId="0" borderId="7" xfId="0" applyFont="1" applyFill="1" applyBorder="1" applyAlignment="1">
      <alignment vertical="center"/>
    </xf>
    <xf numFmtId="174" fontId="13" fillId="0" borderId="8" xfId="0" applyNumberFormat="1" applyFont="1" applyFill="1" applyBorder="1" applyAlignment="1">
      <alignment vertical="center"/>
    </xf>
    <xf numFmtId="0" fontId="13" fillId="0" borderId="79" xfId="0" applyFont="1" applyFill="1" applyBorder="1" applyAlignment="1">
      <alignment vertical="center" wrapText="1"/>
    </xf>
    <xf numFmtId="0" fontId="13" fillId="0" borderId="367" xfId="0" applyFont="1" applyFill="1" applyBorder="1" applyAlignment="1">
      <alignment vertical="center"/>
    </xf>
    <xf numFmtId="0" fontId="13" fillId="0" borderId="363" xfId="0" applyFont="1" applyFill="1" applyBorder="1" applyAlignment="1">
      <alignment horizontal="center" vertical="center"/>
    </xf>
    <xf numFmtId="0" fontId="13" fillId="0" borderId="363" xfId="0" applyFont="1" applyFill="1" applyBorder="1" applyAlignment="1">
      <alignment vertical="center" wrapText="1"/>
    </xf>
    <xf numFmtId="0" fontId="13" fillId="0" borderId="363" xfId="0" applyFont="1" applyFill="1" applyBorder="1" applyAlignment="1">
      <alignment vertical="center"/>
    </xf>
    <xf numFmtId="172" fontId="13" fillId="0" borderId="363" xfId="0" applyNumberFormat="1" applyFont="1" applyFill="1" applyBorder="1" applyAlignment="1">
      <alignment horizontal="center" vertical="center"/>
    </xf>
    <xf numFmtId="174" fontId="13" fillId="0" borderId="365" xfId="0" applyNumberFormat="1" applyFont="1" applyFill="1" applyBorder="1" applyAlignment="1">
      <alignment vertical="center"/>
    </xf>
    <xf numFmtId="0" fontId="13" fillId="0" borderId="312" xfId="0" applyFont="1" applyFill="1" applyBorder="1" applyAlignment="1">
      <alignment vertical="center" wrapText="1"/>
    </xf>
    <xf numFmtId="200" fontId="13" fillId="0" borderId="363" xfId="0" applyNumberFormat="1" applyFont="1" applyFill="1" applyBorder="1" applyAlignment="1">
      <alignment horizontal="center" vertical="center"/>
    </xf>
    <xf numFmtId="0" fontId="13" fillId="0" borderId="11" xfId="0" applyFont="1" applyFill="1" applyBorder="1" applyAlignment="1">
      <alignment vertical="center"/>
    </xf>
    <xf numFmtId="0" fontId="13" fillId="0" borderId="12" xfId="0" applyFont="1" applyFill="1" applyBorder="1" applyAlignment="1">
      <alignment vertical="center"/>
    </xf>
    <xf numFmtId="174" fontId="13" fillId="0" borderId="13" xfId="0" applyNumberFormat="1" applyFont="1" applyFill="1" applyBorder="1" applyAlignment="1">
      <alignment vertical="center"/>
    </xf>
    <xf numFmtId="0" fontId="13" fillId="0" borderId="14" xfId="0" applyFont="1" applyFill="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vertical="center" wrapText="1"/>
    </xf>
    <xf numFmtId="174" fontId="13" fillId="0" borderId="15" xfId="0" applyNumberFormat="1" applyFont="1" applyFill="1" applyBorder="1" applyAlignment="1">
      <alignment vertical="center"/>
    </xf>
    <xf numFmtId="0" fontId="13" fillId="0" borderId="58" xfId="0" applyFont="1" applyFill="1" applyBorder="1" applyAlignment="1">
      <alignment vertical="center" wrapText="1"/>
    </xf>
    <xf numFmtId="0" fontId="13" fillId="0" borderId="7" xfId="0" applyFont="1" applyFill="1" applyBorder="1" applyAlignment="1">
      <alignment vertical="center" wrapText="1"/>
    </xf>
    <xf numFmtId="172" fontId="13" fillId="0" borderId="363" xfId="0" applyNumberFormat="1" applyFont="1" applyFill="1" applyBorder="1" applyAlignment="1">
      <alignment horizontal="left" vertical="center" wrapText="1" indent="1"/>
    </xf>
    <xf numFmtId="174" fontId="13" fillId="0" borderId="365" xfId="0" applyNumberFormat="1" applyFont="1" applyFill="1" applyBorder="1" applyAlignment="1">
      <alignment horizontal="left" vertical="center" wrapText="1" indent="1"/>
    </xf>
    <xf numFmtId="0" fontId="13" fillId="0" borderId="312" xfId="0" applyFont="1" applyFill="1" applyBorder="1" applyAlignment="1">
      <alignment horizontal="left" vertical="center" wrapText="1"/>
    </xf>
    <xf numFmtId="0" fontId="13" fillId="0" borderId="369" xfId="0" applyFont="1" applyFill="1" applyBorder="1" applyAlignment="1">
      <alignment vertical="center"/>
    </xf>
    <xf numFmtId="0" fontId="13" fillId="0" borderId="364" xfId="0" applyFont="1" applyFill="1" applyBorder="1" applyAlignment="1">
      <alignment horizontal="left" vertical="center" wrapText="1" indent="1"/>
    </xf>
    <xf numFmtId="0" fontId="13" fillId="0" borderId="364" xfId="0" applyFont="1" applyFill="1" applyBorder="1" applyAlignment="1">
      <alignment vertical="center"/>
    </xf>
    <xf numFmtId="0" fontId="13" fillId="0" borderId="364" xfId="0" applyFont="1" applyFill="1" applyBorder="1" applyAlignment="1">
      <alignment vertical="center" wrapText="1"/>
    </xf>
    <xf numFmtId="172" fontId="13" fillId="0" borderId="364" xfId="0" applyNumberFormat="1" applyFont="1" applyFill="1" applyBorder="1" applyAlignment="1">
      <alignment horizontal="left" vertical="center" indent="1"/>
    </xf>
    <xf numFmtId="174" fontId="13" fillId="0" borderId="373" xfId="0" applyNumberFormat="1" applyFont="1" applyFill="1" applyBorder="1" applyAlignment="1">
      <alignment horizontal="left" vertical="center" indent="1"/>
    </xf>
    <xf numFmtId="0" fontId="13" fillId="0" borderId="61" xfId="0" applyFont="1" applyFill="1" applyBorder="1" applyAlignment="1">
      <alignment horizontal="left" vertical="center" wrapText="1"/>
    </xf>
    <xf numFmtId="14" fontId="9" fillId="0" borderId="36" xfId="0" applyNumberFormat="1" applyFont="1" applyFill="1" applyBorder="1" applyAlignment="1">
      <alignment horizontal="center" vertical="center" wrapText="1"/>
    </xf>
    <xf numFmtId="14" fontId="13" fillId="0" borderId="40" xfId="0" quotePrefix="1" applyNumberFormat="1" applyFont="1" applyFill="1" applyBorder="1" applyAlignment="1">
      <alignment horizontal="left" vertical="center" wrapText="1"/>
    </xf>
    <xf numFmtId="0" fontId="13" fillId="0" borderId="3" xfId="0" applyFont="1" applyFill="1" applyBorder="1" applyAlignment="1">
      <alignment vertical="center" wrapText="1"/>
    </xf>
    <xf numFmtId="0" fontId="13" fillId="0" borderId="36"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36" xfId="0" applyFont="1" applyFill="1" applyBorder="1" applyAlignment="1">
      <alignment vertical="center" wrapText="1"/>
    </xf>
    <xf numFmtId="14" fontId="13" fillId="0" borderId="12" xfId="0" applyNumberFormat="1" applyFont="1" applyFill="1" applyBorder="1" applyAlignment="1">
      <alignment horizontal="center" vertical="center" wrapText="1"/>
    </xf>
    <xf numFmtId="175" fontId="13" fillId="0" borderId="382" xfId="0" applyNumberFormat="1" applyFont="1" applyFill="1" applyBorder="1" applyAlignment="1">
      <alignment horizontal="center" vertical="center"/>
    </xf>
    <xf numFmtId="0" fontId="13" fillId="0" borderId="383" xfId="0" applyFont="1" applyFill="1" applyBorder="1" applyAlignment="1">
      <alignment horizontal="center" vertical="center"/>
    </xf>
    <xf numFmtId="0" fontId="13" fillId="0" borderId="382" xfId="0" applyFont="1" applyFill="1" applyBorder="1" applyAlignment="1">
      <alignment vertical="center" wrapText="1"/>
    </xf>
    <xf numFmtId="170" fontId="13" fillId="0" borderId="380" xfId="0" applyNumberFormat="1" applyFont="1" applyFill="1" applyBorder="1" applyAlignment="1">
      <alignment horizontal="center" vertical="center"/>
    </xf>
    <xf numFmtId="1" fontId="13" fillId="0" borderId="380" xfId="0" applyNumberFormat="1" applyFont="1" applyFill="1" applyBorder="1" applyAlignment="1">
      <alignment horizontal="center" vertical="center"/>
    </xf>
    <xf numFmtId="0" fontId="13" fillId="0" borderId="3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1" xfId="0" applyFont="1" applyFill="1" applyBorder="1" applyAlignment="1">
      <alignment vertical="center" wrapText="1"/>
    </xf>
    <xf numFmtId="170" fontId="13" fillId="0" borderId="3" xfId="0" applyNumberFormat="1" applyFont="1" applyFill="1" applyBorder="1" applyAlignment="1">
      <alignment horizontal="center" vertical="center"/>
    </xf>
    <xf numFmtId="1" fontId="13" fillId="0" borderId="3" xfId="0" applyNumberFormat="1" applyFont="1" applyFill="1" applyBorder="1" applyAlignment="1">
      <alignment horizontal="center" vertical="center"/>
    </xf>
    <xf numFmtId="0" fontId="13" fillId="0" borderId="44"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44" xfId="0" applyFont="1" applyFill="1" applyBorder="1" applyAlignment="1">
      <alignment vertical="center" wrapText="1"/>
    </xf>
    <xf numFmtId="170" fontId="13" fillId="0" borderId="7" xfId="0" applyNumberFormat="1" applyFont="1" applyFill="1" applyBorder="1" applyAlignment="1">
      <alignment horizontal="center" vertical="center"/>
    </xf>
    <xf numFmtId="1" fontId="13" fillId="0" borderId="7" xfId="0" applyNumberFormat="1" applyFont="1" applyFill="1" applyBorder="1" applyAlignment="1">
      <alignment horizontal="center" vertical="center"/>
    </xf>
    <xf numFmtId="0" fontId="13" fillId="0" borderId="368" xfId="0" applyFont="1" applyFill="1" applyBorder="1" applyAlignment="1">
      <alignment horizontal="center" vertical="center"/>
    </xf>
    <xf numFmtId="0" fontId="13" fillId="0" borderId="367" xfId="0" applyFont="1" applyFill="1" applyBorder="1" applyAlignment="1">
      <alignment horizontal="center" vertical="center"/>
    </xf>
    <xf numFmtId="0" fontId="13" fillId="0" borderId="368" xfId="0" applyFont="1" applyFill="1" applyBorder="1" applyAlignment="1">
      <alignment vertical="center" wrapText="1"/>
    </xf>
    <xf numFmtId="14" fontId="13" fillId="0" borderId="363" xfId="0" applyNumberFormat="1" applyFont="1" applyFill="1" applyBorder="1" applyAlignment="1">
      <alignment horizontal="center" vertical="center"/>
    </xf>
    <xf numFmtId="172" fontId="13" fillId="0" borderId="367" xfId="0" applyNumberFormat="1" applyFont="1" applyFill="1" applyBorder="1" applyAlignment="1">
      <alignment horizontal="center" vertical="center"/>
    </xf>
    <xf numFmtId="0" fontId="13" fillId="0" borderId="290" xfId="0" applyFont="1" applyFill="1" applyBorder="1" applyAlignment="1">
      <alignment horizontal="center" vertical="center"/>
    </xf>
    <xf numFmtId="0" fontId="13" fillId="0" borderId="382" xfId="0" applyFont="1" applyFill="1" applyBorder="1" applyAlignment="1">
      <alignment horizontal="center" vertical="center"/>
    </xf>
    <xf numFmtId="14" fontId="13" fillId="0" borderId="380" xfId="0" applyNumberFormat="1" applyFont="1" applyFill="1" applyBorder="1" applyAlignment="1">
      <alignment horizontal="center" vertical="center"/>
    </xf>
    <xf numFmtId="14" fontId="13" fillId="0" borderId="3" xfId="0" applyNumberFormat="1" applyFont="1" applyFill="1" applyBorder="1" applyAlignment="1">
      <alignment horizontal="center" vertical="center"/>
    </xf>
    <xf numFmtId="14" fontId="13" fillId="0" borderId="7" xfId="0" applyNumberFormat="1" applyFont="1" applyFill="1" applyBorder="1" applyAlignment="1">
      <alignment horizontal="center" vertical="center"/>
    </xf>
    <xf numFmtId="175" fontId="13" fillId="0" borderId="357" xfId="0" applyNumberFormat="1" applyFont="1" applyFill="1" applyBorder="1" applyAlignment="1">
      <alignment horizontal="center" vertical="center"/>
    </xf>
    <xf numFmtId="175" fontId="13" fillId="0" borderId="383" xfId="0" applyNumberFormat="1" applyFont="1" applyFill="1" applyBorder="1" applyAlignment="1">
      <alignment horizontal="center" vertical="center"/>
    </xf>
    <xf numFmtId="0" fontId="13" fillId="0" borderId="382" xfId="0" applyFont="1" applyFill="1" applyBorder="1" applyAlignment="1">
      <alignment horizontal="center" vertical="center" wrapText="1"/>
    </xf>
    <xf numFmtId="175" fontId="13" fillId="0" borderId="38" xfId="0" applyNumberFormat="1" applyFont="1" applyFill="1" applyBorder="1" applyAlignment="1">
      <alignment horizontal="center" vertical="center"/>
    </xf>
    <xf numFmtId="175" fontId="13" fillId="0" borderId="31" xfId="0" applyNumberFormat="1" applyFont="1" applyFill="1" applyBorder="1" applyAlignment="1">
      <alignment horizontal="center" vertical="center"/>
    </xf>
    <xf numFmtId="175" fontId="13" fillId="0" borderId="2" xfId="0" applyNumberFormat="1" applyFont="1" applyFill="1" applyBorder="1" applyAlignment="1">
      <alignment horizontal="center" vertical="center"/>
    </xf>
    <xf numFmtId="0" fontId="13" fillId="0" borderId="31" xfId="0" applyFont="1" applyFill="1" applyBorder="1" applyAlignment="1">
      <alignment horizontal="center" vertical="center" wrapText="1"/>
    </xf>
    <xf numFmtId="184" fontId="13" fillId="0" borderId="40" xfId="0" applyNumberFormat="1" applyFont="1" applyFill="1" applyBorder="1" applyAlignment="1">
      <alignment horizontal="center" vertical="center"/>
    </xf>
    <xf numFmtId="175" fontId="13" fillId="0" borderId="36" xfId="0" applyNumberFormat="1" applyFont="1" applyFill="1" applyBorder="1" applyAlignment="1">
      <alignment horizontal="center" vertical="center"/>
    </xf>
    <xf numFmtId="184" fontId="13" fillId="0" borderId="64" xfId="0" applyNumberFormat="1" applyFont="1" applyFill="1" applyBorder="1" applyAlignment="1">
      <alignment horizontal="center" vertical="center"/>
    </xf>
    <xf numFmtId="0" fontId="13" fillId="0" borderId="64" xfId="0" applyFont="1" applyFill="1" applyBorder="1" applyAlignment="1">
      <alignment horizontal="center" vertical="center" wrapText="1"/>
    </xf>
    <xf numFmtId="0" fontId="13" fillId="0" borderId="12" xfId="0" applyFont="1" applyFill="1" applyBorder="1" applyAlignment="1">
      <alignment horizontal="center" vertical="center"/>
    </xf>
    <xf numFmtId="14" fontId="13" fillId="0" borderId="12" xfId="0" applyNumberFormat="1" applyFont="1" applyFill="1" applyBorder="1" applyAlignment="1">
      <alignment horizontal="center" vertical="center"/>
    </xf>
    <xf numFmtId="1" fontId="13" fillId="0" borderId="12" xfId="0" applyNumberFormat="1" applyFont="1" applyFill="1" applyBorder="1" applyAlignment="1">
      <alignment horizontal="center" vertical="center"/>
    </xf>
    <xf numFmtId="184" fontId="13" fillId="0" borderId="41" xfId="0" applyNumberFormat="1" applyFont="1" applyFill="1" applyBorder="1" applyAlignment="1">
      <alignment horizontal="center" vertical="center"/>
    </xf>
    <xf numFmtId="175" fontId="13" fillId="0" borderId="35" xfId="0" applyNumberFormat="1" applyFont="1" applyFill="1" applyBorder="1" applyAlignment="1">
      <alignment horizontal="center" vertical="center"/>
    </xf>
    <xf numFmtId="184" fontId="13" fillId="0" borderId="65" xfId="0" applyNumberFormat="1" applyFont="1" applyFill="1" applyBorder="1" applyAlignment="1">
      <alignment horizontal="center" vertical="center"/>
    </xf>
    <xf numFmtId="0" fontId="13" fillId="0" borderId="35" xfId="0" applyFont="1" applyFill="1" applyBorder="1" applyAlignment="1">
      <alignment horizontal="center" vertical="center" wrapText="1"/>
    </xf>
    <xf numFmtId="0" fontId="13" fillId="0" borderId="9" xfId="0" applyFont="1" applyFill="1" applyBorder="1" applyAlignment="1">
      <alignment horizontal="center" vertical="center"/>
    </xf>
    <xf numFmtId="14" fontId="13" fillId="0" borderId="9" xfId="0" applyNumberFormat="1" applyFont="1" applyFill="1" applyBorder="1" applyAlignment="1">
      <alignment horizontal="center" vertical="center"/>
    </xf>
    <xf numFmtId="1" fontId="13" fillId="0" borderId="9" xfId="0" applyNumberFormat="1" applyFont="1" applyFill="1" applyBorder="1" applyAlignment="1">
      <alignment horizontal="center" vertical="center"/>
    </xf>
    <xf numFmtId="0" fontId="13" fillId="0" borderId="42" xfId="0" applyFont="1" applyFill="1" applyBorder="1" applyAlignment="1">
      <alignment horizontal="left" vertical="center" wrapText="1"/>
    </xf>
    <xf numFmtId="184" fontId="13" fillId="0" borderId="374" xfId="0" applyNumberFormat="1" applyFont="1" applyFill="1" applyBorder="1" applyAlignment="1">
      <alignment horizontal="center" vertical="center"/>
    </xf>
    <xf numFmtId="175" fontId="13" fillId="0" borderId="368" xfId="0" applyNumberFormat="1" applyFont="1" applyFill="1" applyBorder="1" applyAlignment="1">
      <alignment horizontal="center" vertical="center"/>
    </xf>
    <xf numFmtId="0" fontId="13" fillId="0" borderId="374" xfId="0" applyFont="1" applyFill="1" applyBorder="1" applyAlignment="1">
      <alignment vertical="center"/>
    </xf>
    <xf numFmtId="0" fontId="13" fillId="0" borderId="368" xfId="0" applyFont="1" applyFill="1" applyBorder="1" applyAlignment="1">
      <alignment vertical="center"/>
    </xf>
    <xf numFmtId="0" fontId="13" fillId="0" borderId="374" xfId="0" applyFont="1" applyFill="1" applyBorder="1" applyAlignment="1">
      <alignment vertical="center" wrapText="1"/>
    </xf>
    <xf numFmtId="0" fontId="13" fillId="0" borderId="368" xfId="0" applyFont="1" applyFill="1" applyBorder="1" applyAlignment="1">
      <alignment horizontal="left" vertical="center" wrapText="1"/>
    </xf>
    <xf numFmtId="0" fontId="13" fillId="0" borderId="375" xfId="0" applyFont="1" applyFill="1" applyBorder="1" applyAlignment="1">
      <alignment vertical="center"/>
    </xf>
    <xf numFmtId="0" fontId="13" fillId="0" borderId="370" xfId="0" applyFont="1" applyFill="1" applyBorder="1" applyAlignment="1">
      <alignment vertical="center"/>
    </xf>
    <xf numFmtId="0" fontId="13" fillId="0" borderId="370" xfId="0" applyFont="1" applyFill="1" applyBorder="1" applyAlignment="1">
      <alignment horizontal="left" vertical="center" wrapText="1"/>
    </xf>
    <xf numFmtId="0" fontId="13" fillId="0" borderId="375" xfId="0" applyFont="1" applyFill="1" applyBorder="1" applyAlignment="1">
      <alignment horizontal="center" vertical="center"/>
    </xf>
    <xf numFmtId="0" fontId="13" fillId="0" borderId="364" xfId="0" applyFont="1" applyFill="1" applyBorder="1" applyAlignment="1">
      <alignment horizontal="center" vertical="center"/>
    </xf>
    <xf numFmtId="14" fontId="13" fillId="0" borderId="364" xfId="0" applyNumberFormat="1" applyFont="1" applyFill="1" applyBorder="1" applyAlignment="1">
      <alignment horizontal="center" vertical="center"/>
    </xf>
    <xf numFmtId="0" fontId="0" fillId="0" borderId="380" xfId="0" applyBorder="1" applyAlignment="1">
      <alignment vertical="center" wrapText="1"/>
    </xf>
    <xf numFmtId="224" fontId="0" fillId="0" borderId="12" xfId="0" applyNumberFormat="1" applyFont="1" applyBorder="1" applyAlignment="1">
      <alignment vertical="center" wrapText="1"/>
    </xf>
    <xf numFmtId="0" fontId="13" fillId="0" borderId="363"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0" fillId="0" borderId="363" xfId="0" applyFont="1" applyFill="1" applyBorder="1" applyAlignment="1">
      <alignment horizontal="left" vertical="center" wrapText="1"/>
    </xf>
    <xf numFmtId="0" fontId="0" fillId="0" borderId="368" xfId="0" applyFont="1" applyFill="1" applyBorder="1" applyAlignment="1">
      <alignment horizontal="left" vertical="center" wrapText="1"/>
    </xf>
    <xf numFmtId="0" fontId="48" fillId="0" borderId="40" xfId="0" applyFont="1" applyBorder="1" applyAlignment="1">
      <alignment horizontal="center" vertical="center" wrapText="1"/>
    </xf>
    <xf numFmtId="0" fontId="57" fillId="0" borderId="40" xfId="0" applyFont="1" applyBorder="1" applyAlignment="1">
      <alignment horizontal="center" vertical="center" wrapText="1"/>
    </xf>
    <xf numFmtId="174" fontId="0" fillId="0" borderId="363" xfId="0" applyNumberFormat="1" applyFont="1" applyFill="1" applyBorder="1" applyAlignment="1">
      <alignment vertical="center" wrapText="1"/>
    </xf>
    <xf numFmtId="0" fontId="0" fillId="0" borderId="368" xfId="0" applyFont="1" applyFill="1" applyBorder="1" applyAlignment="1">
      <alignment vertical="center" wrapText="1"/>
    </xf>
    <xf numFmtId="0" fontId="0" fillId="0" borderId="359" xfId="0" applyFont="1" applyFill="1" applyBorder="1" applyAlignment="1">
      <alignment vertical="center" wrapText="1"/>
    </xf>
    <xf numFmtId="178" fontId="0" fillId="0" borderId="363" xfId="0" applyNumberFormat="1" applyFont="1" applyFill="1" applyBorder="1" applyAlignment="1">
      <alignment vertical="center" wrapText="1"/>
    </xf>
    <xf numFmtId="176" fontId="0" fillId="0" borderId="312" xfId="0" applyNumberFormat="1" applyFont="1" applyFill="1" applyBorder="1" applyAlignment="1">
      <alignment horizontal="center" vertical="center" wrapText="1"/>
    </xf>
    <xf numFmtId="174" fontId="0" fillId="0" borderId="380" xfId="0" applyNumberFormat="1" applyFont="1" applyFill="1" applyBorder="1" applyAlignment="1">
      <alignment vertical="center" wrapText="1"/>
    </xf>
    <xf numFmtId="0" fontId="0" fillId="0" borderId="382" xfId="0" applyFont="1" applyFill="1" applyBorder="1" applyAlignment="1">
      <alignment vertical="center" wrapText="1"/>
    </xf>
    <xf numFmtId="0" fontId="0" fillId="0" borderId="383" xfId="0" applyFont="1" applyFill="1" applyBorder="1" applyAlignment="1">
      <alignment vertical="center" wrapText="1"/>
    </xf>
    <xf numFmtId="0" fontId="0" fillId="0" borderId="384" xfId="0" applyFont="1" applyFill="1" applyBorder="1" applyAlignment="1">
      <alignment vertical="center" wrapText="1"/>
    </xf>
    <xf numFmtId="174" fontId="0" fillId="0" borderId="3" xfId="0" applyNumberFormat="1" applyFont="1" applyFill="1" applyBorder="1" applyAlignment="1">
      <alignment vertical="center" wrapText="1"/>
    </xf>
    <xf numFmtId="0" fontId="0" fillId="0" borderId="31" xfId="0" applyFont="1" applyFill="1" applyBorder="1" applyAlignment="1">
      <alignment vertical="center" wrapText="1"/>
    </xf>
    <xf numFmtId="0" fontId="0" fillId="0" borderId="2" xfId="0" applyFont="1" applyFill="1" applyBorder="1" applyAlignment="1">
      <alignment vertical="center" wrapText="1"/>
    </xf>
    <xf numFmtId="174" fontId="0" fillId="0" borderId="7" xfId="0" applyNumberFormat="1" applyFont="1" applyFill="1" applyBorder="1" applyAlignment="1">
      <alignment vertical="center" wrapText="1"/>
    </xf>
    <xf numFmtId="0" fontId="0" fillId="0" borderId="44" xfId="0" applyFont="1" applyFill="1" applyBorder="1" applyAlignment="1">
      <alignment vertical="center" wrapText="1"/>
    </xf>
    <xf numFmtId="0" fontId="0" fillId="0" borderId="6" xfId="0" applyFont="1" applyFill="1" applyBorder="1" applyAlignment="1">
      <alignment vertical="center" wrapText="1"/>
    </xf>
    <xf numFmtId="0" fontId="0" fillId="0" borderId="19" xfId="0" applyFont="1" applyFill="1" applyBorder="1" applyAlignment="1">
      <alignment vertical="center" wrapText="1"/>
    </xf>
    <xf numFmtId="174" fontId="0" fillId="0" borderId="12" xfId="0" applyNumberFormat="1" applyFont="1" applyFill="1" applyBorder="1" applyAlignment="1">
      <alignment vertical="center" wrapText="1"/>
    </xf>
    <xf numFmtId="0" fontId="0" fillId="0" borderId="36" xfId="0" applyFont="1" applyFill="1" applyBorder="1" applyAlignment="1">
      <alignment vertical="center" wrapText="1"/>
    </xf>
    <xf numFmtId="0" fontId="0" fillId="0" borderId="46" xfId="0" applyFont="1" applyFill="1" applyBorder="1" applyAlignment="1">
      <alignment vertical="center" wrapText="1"/>
    </xf>
    <xf numFmtId="178" fontId="0" fillId="0" borderId="12" xfId="0" applyNumberFormat="1" applyFont="1" applyFill="1" applyBorder="1" applyAlignment="1">
      <alignment vertical="center" wrapText="1"/>
    </xf>
    <xf numFmtId="174" fontId="0" fillId="0" borderId="9" xfId="0" applyNumberFormat="1" applyFont="1" applyFill="1" applyBorder="1" applyAlignment="1">
      <alignment vertical="center" wrapText="1"/>
    </xf>
    <xf numFmtId="0" fontId="0" fillId="0" borderId="35" xfId="0" applyFont="1" applyFill="1" applyBorder="1" applyAlignment="1">
      <alignment vertical="center" wrapText="1"/>
    </xf>
    <xf numFmtId="0" fontId="0" fillId="0" borderId="14" xfId="0" applyFont="1" applyFill="1" applyBorder="1" applyAlignment="1">
      <alignment vertical="center" wrapText="1"/>
    </xf>
    <xf numFmtId="0" fontId="0" fillId="0" borderId="47" xfId="0" applyFont="1" applyFill="1" applyBorder="1" applyAlignment="1">
      <alignment vertical="center" wrapText="1"/>
    </xf>
    <xf numFmtId="178" fontId="0" fillId="0" borderId="9" xfId="0" applyNumberFormat="1" applyFont="1" applyFill="1" applyBorder="1" applyAlignment="1">
      <alignment vertical="center" wrapText="1"/>
    </xf>
    <xf numFmtId="0" fontId="0" fillId="0" borderId="58" xfId="0" applyFont="1" applyFill="1" applyBorder="1" applyAlignment="1">
      <alignment vertical="center" wrapText="1"/>
    </xf>
    <xf numFmtId="180" fontId="0" fillId="0" borderId="368" xfId="0" applyNumberFormat="1" applyFont="1" applyFill="1" applyBorder="1" applyAlignment="1">
      <alignment vertical="center" wrapText="1"/>
    </xf>
    <xf numFmtId="174" fontId="0" fillId="0" borderId="364" xfId="0" applyNumberFormat="1" applyFont="1" applyFill="1" applyBorder="1" applyAlignment="1">
      <alignment vertical="center" wrapText="1"/>
    </xf>
    <xf numFmtId="0" fontId="0" fillId="0" borderId="370" xfId="0" applyFont="1" applyFill="1" applyBorder="1" applyAlignment="1">
      <alignment vertical="center" wrapText="1"/>
    </xf>
    <xf numFmtId="0" fontId="0" fillId="0" borderId="360" xfId="0" applyFont="1" applyFill="1" applyBorder="1" applyAlignment="1">
      <alignment vertical="center" wrapText="1"/>
    </xf>
    <xf numFmtId="178" fontId="0" fillId="0" borderId="364" xfId="0" applyNumberFormat="1" applyFont="1" applyFill="1" applyBorder="1" applyAlignment="1">
      <alignment vertical="center" wrapText="1"/>
    </xf>
    <xf numFmtId="0" fontId="0" fillId="0" borderId="61" xfId="0" applyFont="1" applyFill="1" applyBorder="1" applyAlignment="1">
      <alignment vertical="center" wrapText="1"/>
    </xf>
    <xf numFmtId="176" fontId="60" fillId="0" borderId="312" xfId="0" applyNumberFormat="1" applyFont="1" applyFill="1" applyBorder="1" applyAlignment="1">
      <alignment horizontal="left" vertical="center" wrapText="1"/>
    </xf>
    <xf numFmtId="178" fontId="13" fillId="0" borderId="380" xfId="0" applyNumberFormat="1" applyFont="1" applyFill="1" applyBorder="1" applyAlignment="1">
      <alignment vertical="center" wrapText="1"/>
    </xf>
    <xf numFmtId="179" fontId="13" fillId="0" borderId="380" xfId="0" applyNumberFormat="1" applyFont="1" applyFill="1" applyBorder="1" applyAlignment="1">
      <alignment vertical="center" wrapText="1"/>
    </xf>
    <xf numFmtId="178" fontId="13" fillId="0" borderId="3" xfId="0" applyNumberFormat="1" applyFont="1" applyFill="1" applyBorder="1" applyAlignment="1">
      <alignment vertical="center" wrapText="1"/>
    </xf>
    <xf numFmtId="179" fontId="13" fillId="0" borderId="3" xfId="0" applyNumberFormat="1" applyFont="1" applyFill="1" applyBorder="1" applyAlignment="1">
      <alignment vertical="center" wrapText="1"/>
    </xf>
    <xf numFmtId="178" fontId="13" fillId="0" borderId="7" xfId="0" applyNumberFormat="1" applyFont="1" applyFill="1" applyBorder="1" applyAlignment="1">
      <alignment vertical="center" wrapText="1"/>
    </xf>
    <xf numFmtId="179" fontId="13" fillId="0" borderId="7" xfId="0" applyNumberFormat="1" applyFont="1" applyFill="1" applyBorder="1" applyAlignment="1">
      <alignment vertical="center" wrapText="1"/>
    </xf>
    <xf numFmtId="179" fontId="13" fillId="0" borderId="363" xfId="0" applyNumberFormat="1" applyFont="1" applyFill="1" applyBorder="1" applyAlignment="1">
      <alignment vertical="center" wrapText="1"/>
    </xf>
    <xf numFmtId="177" fontId="13" fillId="0" borderId="363" xfId="0" applyNumberFormat="1" applyFont="1" applyFill="1" applyBorder="1" applyAlignment="1">
      <alignment vertical="center" wrapText="1"/>
    </xf>
    <xf numFmtId="0" fontId="13" fillId="0" borderId="374" xfId="0" applyFont="1" applyFill="1" applyBorder="1" applyAlignment="1">
      <alignment horizontal="left" vertical="center" wrapText="1"/>
    </xf>
    <xf numFmtId="0" fontId="13" fillId="0" borderId="357" xfId="0" applyFont="1" applyFill="1" applyBorder="1" applyAlignment="1">
      <alignment vertical="center" wrapText="1"/>
    </xf>
    <xf numFmtId="177" fontId="13" fillId="0" borderId="380" xfId="0" applyNumberFormat="1" applyFont="1" applyFill="1" applyBorder="1" applyAlignment="1">
      <alignment vertical="center" wrapText="1"/>
    </xf>
    <xf numFmtId="0" fontId="13" fillId="0" borderId="38" xfId="0" applyFont="1" applyFill="1" applyBorder="1" applyAlignment="1">
      <alignment vertical="center" wrapText="1"/>
    </xf>
    <xf numFmtId="177" fontId="13" fillId="0" borderId="3" xfId="0" applyNumberFormat="1" applyFont="1" applyFill="1" applyBorder="1" applyAlignment="1">
      <alignment vertical="center" wrapText="1"/>
    </xf>
    <xf numFmtId="0" fontId="13" fillId="0" borderId="42" xfId="0" applyFont="1" applyFill="1" applyBorder="1" applyAlignment="1">
      <alignment vertical="center" wrapText="1"/>
    </xf>
    <xf numFmtId="177" fontId="13" fillId="0" borderId="7" xfId="0" applyNumberFormat="1" applyFont="1" applyFill="1" applyBorder="1" applyAlignment="1">
      <alignment vertical="center" wrapText="1"/>
    </xf>
    <xf numFmtId="0" fontId="13" fillId="0" borderId="40" xfId="0" applyFont="1" applyFill="1" applyBorder="1" applyAlignment="1">
      <alignment vertical="center" wrapText="1"/>
    </xf>
    <xf numFmtId="179" fontId="13" fillId="0" borderId="12" xfId="0" applyNumberFormat="1" applyFont="1" applyFill="1" applyBorder="1" applyAlignment="1">
      <alignment vertical="center" wrapText="1"/>
    </xf>
    <xf numFmtId="177" fontId="13" fillId="0" borderId="12" xfId="0" applyNumberFormat="1" applyFont="1" applyFill="1" applyBorder="1" applyAlignment="1">
      <alignment vertical="center" wrapText="1"/>
    </xf>
    <xf numFmtId="0" fontId="13" fillId="0" borderId="41" xfId="0" applyFont="1" applyFill="1" applyBorder="1" applyAlignment="1">
      <alignment vertical="center" wrapText="1"/>
    </xf>
    <xf numFmtId="179" fontId="13" fillId="0" borderId="9" xfId="0" applyNumberFormat="1" applyFont="1" applyFill="1" applyBorder="1" applyAlignment="1">
      <alignment vertical="center" wrapText="1"/>
    </xf>
    <xf numFmtId="177" fontId="13" fillId="0" borderId="9" xfId="0" applyNumberFormat="1" applyFont="1" applyFill="1" applyBorder="1" applyAlignment="1">
      <alignment vertical="center" wrapText="1"/>
    </xf>
    <xf numFmtId="0" fontId="13" fillId="0" borderId="375" xfId="0" applyFont="1" applyFill="1" applyBorder="1" applyAlignment="1">
      <alignment vertical="center" wrapText="1"/>
    </xf>
    <xf numFmtId="179" fontId="13" fillId="0" borderId="364" xfId="0" applyNumberFormat="1" applyFont="1" applyFill="1" applyBorder="1" applyAlignment="1">
      <alignment vertical="center" wrapText="1"/>
    </xf>
    <xf numFmtId="177" fontId="13" fillId="0" borderId="364" xfId="0" applyNumberFormat="1" applyFont="1" applyFill="1" applyBorder="1" applyAlignment="1">
      <alignment vertical="center" wrapText="1"/>
    </xf>
    <xf numFmtId="166" fontId="13" fillId="0" borderId="3" xfId="0" applyNumberFormat="1" applyFont="1" applyFill="1" applyBorder="1" applyAlignment="1">
      <alignment horizontal="justify" vertical="center" wrapText="1"/>
    </xf>
    <xf numFmtId="178" fontId="13" fillId="0" borderId="363" xfId="0" applyNumberFormat="1" applyFont="1" applyFill="1" applyBorder="1" applyAlignment="1">
      <alignment vertical="center" wrapText="1"/>
    </xf>
    <xf numFmtId="178" fontId="13" fillId="0" borderId="12" xfId="0" applyNumberFormat="1" applyFont="1" applyFill="1" applyBorder="1" applyAlignment="1">
      <alignment vertical="center" wrapText="1"/>
    </xf>
    <xf numFmtId="178" fontId="13" fillId="0" borderId="9" xfId="0" applyNumberFormat="1" applyFont="1" applyFill="1" applyBorder="1" applyAlignment="1">
      <alignment vertical="center" wrapText="1"/>
    </xf>
    <xf numFmtId="178" fontId="13" fillId="0" borderId="364" xfId="0" applyNumberFormat="1" applyFont="1" applyFill="1" applyBorder="1" applyAlignment="1">
      <alignment vertical="center" wrapText="1"/>
    </xf>
    <xf numFmtId="180" fontId="13" fillId="0" borderId="12" xfId="0" applyNumberFormat="1" applyFont="1" applyFill="1" applyBorder="1" applyAlignment="1">
      <alignment vertical="center" wrapText="1"/>
    </xf>
    <xf numFmtId="0" fontId="13" fillId="0" borderId="13" xfId="0" applyFont="1" applyFill="1" applyBorder="1" applyAlignment="1">
      <alignment vertical="center" wrapText="1"/>
    </xf>
    <xf numFmtId="180" fontId="13" fillId="0" borderId="380" xfId="0" applyNumberFormat="1" applyFont="1" applyFill="1" applyBorder="1" applyAlignment="1">
      <alignment vertical="center" wrapText="1"/>
    </xf>
    <xf numFmtId="14" fontId="13" fillId="0" borderId="380" xfId="0" applyNumberFormat="1" applyFont="1" applyFill="1" applyBorder="1" applyAlignment="1">
      <alignment vertical="center" wrapText="1"/>
    </xf>
    <xf numFmtId="176" fontId="13" fillId="0" borderId="386" xfId="0" applyNumberFormat="1" applyFont="1" applyFill="1" applyBorder="1" applyAlignment="1">
      <alignment horizontal="center" vertical="center" wrapText="1"/>
    </xf>
    <xf numFmtId="180" fontId="13" fillId="0" borderId="3" xfId="0" applyNumberFormat="1" applyFont="1" applyFill="1" applyBorder="1" applyAlignment="1">
      <alignment vertical="center" wrapText="1"/>
    </xf>
    <xf numFmtId="14" fontId="13" fillId="0" borderId="3" xfId="0" applyNumberFormat="1" applyFont="1" applyFill="1" applyBorder="1" applyAlignment="1">
      <alignment vertical="center" wrapText="1"/>
    </xf>
    <xf numFmtId="176" fontId="13" fillId="0" borderId="1" xfId="0" applyNumberFormat="1" applyFont="1" applyFill="1" applyBorder="1" applyAlignment="1">
      <alignment horizontal="center" vertical="center" wrapText="1"/>
    </xf>
    <xf numFmtId="180" fontId="13" fillId="0" borderId="7" xfId="0" applyNumberFormat="1" applyFont="1" applyFill="1" applyBorder="1" applyAlignment="1">
      <alignment vertical="center" wrapText="1"/>
    </xf>
    <xf numFmtId="14" fontId="13" fillId="0" borderId="7" xfId="0" applyNumberFormat="1" applyFont="1" applyFill="1" applyBorder="1" applyAlignment="1">
      <alignment vertical="center" wrapText="1"/>
    </xf>
    <xf numFmtId="176" fontId="13" fillId="0" borderId="8" xfId="0" applyNumberFormat="1" applyFont="1" applyFill="1" applyBorder="1" applyAlignment="1">
      <alignment horizontal="center" vertical="center" wrapText="1"/>
    </xf>
    <xf numFmtId="180" fontId="13" fillId="0" borderId="363" xfId="0" applyNumberFormat="1" applyFont="1" applyFill="1" applyBorder="1" applyAlignment="1">
      <alignment vertical="center" wrapText="1"/>
    </xf>
    <xf numFmtId="14" fontId="13" fillId="0" borderId="363" xfId="0" applyNumberFormat="1" applyFont="1" applyFill="1" applyBorder="1" applyAlignment="1">
      <alignment vertical="center" wrapText="1"/>
    </xf>
    <xf numFmtId="176" fontId="13" fillId="0" borderId="365" xfId="0" applyNumberFormat="1" applyFont="1" applyFill="1" applyBorder="1" applyAlignment="1">
      <alignment horizontal="center" vertical="center" wrapText="1"/>
    </xf>
    <xf numFmtId="164" fontId="13" fillId="0" borderId="3" xfId="0" applyNumberFormat="1" applyFont="1" applyFill="1" applyBorder="1" applyAlignment="1">
      <alignment vertical="center" wrapText="1"/>
    </xf>
    <xf numFmtId="164" fontId="13" fillId="0" borderId="7" xfId="0" applyNumberFormat="1" applyFont="1" applyFill="1" applyBorder="1" applyAlignment="1">
      <alignment vertical="center" wrapText="1"/>
    </xf>
    <xf numFmtId="164" fontId="13" fillId="0" borderId="380" xfId="0" applyNumberFormat="1" applyFont="1" applyFill="1" applyBorder="1" applyAlignment="1">
      <alignment vertical="center" wrapText="1"/>
    </xf>
    <xf numFmtId="0" fontId="13" fillId="0" borderId="386" xfId="0" applyFont="1" applyFill="1" applyBorder="1" applyAlignment="1">
      <alignment vertical="center" wrapText="1"/>
    </xf>
    <xf numFmtId="0" fontId="13" fillId="0" borderId="1" xfId="0" applyFont="1" applyFill="1" applyBorder="1" applyAlignment="1">
      <alignment vertical="center" wrapText="1"/>
    </xf>
    <xf numFmtId="14" fontId="13" fillId="0" borderId="12" xfId="0" applyNumberFormat="1" applyFont="1" applyFill="1" applyBorder="1" applyAlignment="1">
      <alignment vertical="center" wrapText="1"/>
    </xf>
    <xf numFmtId="176" fontId="13" fillId="0" borderId="13" xfId="0" applyNumberFormat="1" applyFont="1" applyFill="1" applyBorder="1" applyAlignment="1">
      <alignment horizontal="center" vertical="center" wrapText="1"/>
    </xf>
    <xf numFmtId="180" fontId="13" fillId="0" borderId="9" xfId="0" applyNumberFormat="1" applyFont="1" applyFill="1" applyBorder="1" applyAlignment="1">
      <alignment vertical="center" wrapText="1"/>
    </xf>
    <xf numFmtId="14" fontId="13" fillId="0" borderId="9" xfId="0" applyNumberFormat="1" applyFont="1" applyFill="1" applyBorder="1" applyAlignment="1">
      <alignment vertical="center" wrapText="1"/>
    </xf>
    <xf numFmtId="176" fontId="13" fillId="0" borderId="15" xfId="0" applyNumberFormat="1" applyFont="1" applyFill="1" applyBorder="1" applyAlignment="1">
      <alignment horizontal="center" vertical="center" wrapText="1"/>
    </xf>
    <xf numFmtId="0" fontId="13" fillId="0" borderId="365" xfId="0" applyFont="1" applyFill="1" applyBorder="1" applyAlignment="1">
      <alignment vertical="center" wrapText="1"/>
    </xf>
    <xf numFmtId="180" fontId="13" fillId="0" borderId="364" xfId="0" applyNumberFormat="1" applyFont="1" applyFill="1" applyBorder="1" applyAlignment="1">
      <alignment vertical="center" wrapText="1"/>
    </xf>
    <xf numFmtId="0" fontId="13" fillId="0" borderId="373" xfId="0" applyFont="1" applyFill="1" applyBorder="1" applyAlignment="1">
      <alignment vertical="center" wrapText="1"/>
    </xf>
    <xf numFmtId="176" fontId="0" fillId="0" borderId="312" xfId="0" applyNumberFormat="1" applyFont="1" applyFill="1" applyBorder="1" applyAlignment="1">
      <alignment horizontal="left" vertical="center" wrapText="1"/>
    </xf>
    <xf numFmtId="0" fontId="13" fillId="0" borderId="357" xfId="0" applyFont="1" applyFill="1" applyBorder="1" applyAlignment="1">
      <alignment horizontal="left" vertical="center" wrapText="1"/>
    </xf>
    <xf numFmtId="0" fontId="13" fillId="0" borderId="380" xfId="0" applyFont="1" applyFill="1" applyBorder="1" applyAlignment="1">
      <alignment horizontal="center" vertical="center" wrapText="1"/>
    </xf>
    <xf numFmtId="0" fontId="13" fillId="0" borderId="380" xfId="0" applyFont="1" applyFill="1" applyBorder="1" applyAlignment="1">
      <alignment horizontal="left" vertical="center" wrapText="1"/>
    </xf>
    <xf numFmtId="0" fontId="13" fillId="0" borderId="382"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31" xfId="0" applyFont="1" applyFill="1" applyBorder="1" applyAlignment="1">
      <alignment horizontal="left" vertical="center" wrapText="1"/>
    </xf>
    <xf numFmtId="0" fontId="13" fillId="0" borderId="7" xfId="0" applyFont="1" applyFill="1" applyBorder="1" applyAlignment="1">
      <alignment horizontal="center" vertical="center" wrapText="1"/>
    </xf>
    <xf numFmtId="0" fontId="13" fillId="0" borderId="7" xfId="0" applyFont="1" applyFill="1" applyBorder="1" applyAlignment="1">
      <alignment horizontal="left" vertical="center" wrapText="1"/>
    </xf>
    <xf numFmtId="0" fontId="13" fillId="0" borderId="44" xfId="0" applyFont="1" applyFill="1" applyBorder="1" applyAlignment="1">
      <alignment horizontal="left" vertical="center" wrapText="1"/>
    </xf>
    <xf numFmtId="0" fontId="13" fillId="0" borderId="368" xfId="0" applyFont="1" applyFill="1" applyBorder="1" applyAlignment="1">
      <alignment horizontal="center" vertical="center" wrapText="1"/>
    </xf>
    <xf numFmtId="0" fontId="13" fillId="0" borderId="363" xfId="0" applyFont="1" applyFill="1" applyBorder="1" applyAlignment="1">
      <alignment horizontal="left" vertical="center" wrapText="1"/>
    </xf>
    <xf numFmtId="0" fontId="13" fillId="0" borderId="44" xfId="0" applyFont="1" applyFill="1" applyBorder="1" applyAlignment="1">
      <alignment horizontal="center" vertical="center" wrapText="1"/>
    </xf>
    <xf numFmtId="0" fontId="13" fillId="0" borderId="357" xfId="0" applyFont="1" applyFill="1" applyBorder="1" applyAlignment="1">
      <alignment horizontal="center" vertical="center" wrapText="1"/>
    </xf>
    <xf numFmtId="0" fontId="13" fillId="0" borderId="40"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364" xfId="0" applyFont="1" applyFill="1" applyBorder="1" applyAlignment="1">
      <alignment horizontal="left" vertical="center" wrapText="1"/>
    </xf>
    <xf numFmtId="0" fontId="13" fillId="0" borderId="370" xfId="0" applyFont="1" applyFill="1" applyBorder="1" applyAlignment="1">
      <alignment vertical="center" wrapText="1"/>
    </xf>
    <xf numFmtId="10" fontId="13" fillId="0" borderId="364" xfId="0" applyNumberFormat="1" applyFont="1" applyFill="1" applyBorder="1" applyAlignment="1">
      <alignment horizontal="center" vertical="center" wrapText="1"/>
    </xf>
    <xf numFmtId="0" fontId="0" fillId="0" borderId="26" xfId="0" applyFont="1" applyFill="1" applyBorder="1" applyAlignment="1">
      <alignment horizontal="left" vertical="center" indent="1"/>
    </xf>
    <xf numFmtId="14" fontId="1" fillId="0" borderId="435" xfId="0" applyNumberFormat="1" applyFont="1" applyFill="1" applyBorder="1" applyAlignment="1">
      <alignment horizontal="left" vertical="center" wrapText="1" indent="1"/>
    </xf>
    <xf numFmtId="0" fontId="0" fillId="0" borderId="435" xfId="0" applyFont="1" applyFill="1" applyBorder="1" applyAlignment="1">
      <alignment horizontal="left" vertical="center" indent="1"/>
    </xf>
    <xf numFmtId="0" fontId="1" fillId="0" borderId="435" xfId="0" applyFont="1" applyFill="1" applyBorder="1" applyAlignment="1">
      <alignment horizontal="left" vertical="center" wrapText="1" indent="1"/>
    </xf>
    <xf numFmtId="0" fontId="0" fillId="0" borderId="49" xfId="0" applyFont="1" applyFill="1" applyBorder="1" applyAlignment="1">
      <alignment horizontal="left" vertical="center" wrapText="1" indent="1"/>
    </xf>
    <xf numFmtId="0" fontId="0" fillId="0" borderId="435" xfId="0" applyFont="1" applyFill="1" applyBorder="1" applyAlignment="1">
      <alignment horizontal="left" vertical="center" wrapText="1" indent="1"/>
    </xf>
    <xf numFmtId="0" fontId="13" fillId="0" borderId="12" xfId="0" applyFont="1" applyFill="1" applyBorder="1" applyAlignment="1">
      <alignment horizontal="left" vertical="center" wrapText="1"/>
    </xf>
    <xf numFmtId="0" fontId="13" fillId="0" borderId="9" xfId="0" applyFont="1" applyFill="1" applyBorder="1" applyAlignment="1">
      <alignment horizontal="left" vertical="center" wrapText="1"/>
    </xf>
    <xf numFmtId="0" fontId="0" fillId="14" borderId="299" xfId="0" applyFill="1" applyBorder="1"/>
    <xf numFmtId="0" fontId="0" fillId="14" borderId="346" xfId="0" applyFill="1" applyBorder="1"/>
    <xf numFmtId="0" fontId="0" fillId="14" borderId="0" xfId="0" applyFill="1" applyBorder="1"/>
    <xf numFmtId="0" fontId="0" fillId="14" borderId="354" xfId="0" applyFill="1" applyBorder="1"/>
    <xf numFmtId="0" fontId="0" fillId="14" borderId="194" xfId="0" applyFill="1" applyBorder="1"/>
    <xf numFmtId="0" fontId="0" fillId="14" borderId="0" xfId="0" applyFill="1" applyBorder="1" applyAlignment="1">
      <alignment vertical="center"/>
    </xf>
    <xf numFmtId="171" fontId="0" fillId="14" borderId="0" xfId="0" applyNumberFormat="1" applyFill="1" applyBorder="1" applyAlignment="1">
      <alignment vertical="center"/>
    </xf>
    <xf numFmtId="0" fontId="0" fillId="14" borderId="349" xfId="0" applyFill="1" applyBorder="1"/>
    <xf numFmtId="0" fontId="0" fillId="14" borderId="240" xfId="0" applyFill="1" applyBorder="1"/>
    <xf numFmtId="0" fontId="0" fillId="14" borderId="350" xfId="0" applyFill="1" applyBorder="1"/>
    <xf numFmtId="0" fontId="0" fillId="0" borderId="44" xfId="0" applyFont="1" applyBorder="1" applyAlignment="1">
      <alignment vertical="center"/>
    </xf>
    <xf numFmtId="0" fontId="68" fillId="14" borderId="0" xfId="0" applyFont="1" applyFill="1" applyBorder="1" applyAlignment="1">
      <alignment vertical="center"/>
    </xf>
    <xf numFmtId="0" fontId="0" fillId="14" borderId="0" xfId="0" applyFill="1" applyBorder="1" applyAlignment="1">
      <alignment horizontal="right" vertical="center"/>
    </xf>
    <xf numFmtId="171" fontId="0" fillId="14" borderId="0" xfId="0" applyNumberFormat="1" applyFill="1" applyBorder="1" applyAlignment="1">
      <alignment horizontal="center" vertical="center"/>
    </xf>
    <xf numFmtId="0" fontId="2" fillId="14" borderId="0" xfId="2" applyFill="1" applyBorder="1" applyAlignment="1" applyProtection="1">
      <alignment horizontal="right" vertical="center" wrapText="1"/>
    </xf>
    <xf numFmtId="0" fontId="0" fillId="14" borderId="0" xfId="0" applyFill="1" applyAlignment="1">
      <alignment vertical="center"/>
    </xf>
    <xf numFmtId="0" fontId="0" fillId="43" borderId="0" xfId="0" applyFill="1"/>
    <xf numFmtId="0" fontId="0" fillId="14" borderId="0" xfId="0" applyFill="1"/>
    <xf numFmtId="0" fontId="0" fillId="43" borderId="0" xfId="0" applyFill="1" applyAlignment="1">
      <alignment vertical="center"/>
    </xf>
    <xf numFmtId="0" fontId="0" fillId="43" borderId="0" xfId="0" applyFill="1" applyBorder="1"/>
    <xf numFmtId="0" fontId="0" fillId="43" borderId="0" xfId="0" applyFill="1" applyAlignment="1">
      <alignment horizontal="right" indent="1"/>
    </xf>
    <xf numFmtId="0" fontId="0" fillId="43" borderId="0" xfId="0" quotePrefix="1" applyFill="1" applyAlignment="1">
      <alignment vertical="center"/>
    </xf>
    <xf numFmtId="0" fontId="0" fillId="43" borderId="0" xfId="0" applyFill="1" applyAlignment="1">
      <alignment horizontal="left"/>
    </xf>
    <xf numFmtId="169" fontId="0" fillId="43" borderId="0" xfId="0" applyNumberFormat="1" applyFont="1" applyFill="1" applyAlignment="1">
      <alignment horizontal="left" vertical="center"/>
    </xf>
    <xf numFmtId="14" fontId="0" fillId="0" borderId="363" xfId="0" applyNumberFormat="1" applyBorder="1" applyAlignment="1">
      <alignment horizontal="left" vertical="center" wrapText="1" indent="1"/>
    </xf>
    <xf numFmtId="225" fontId="0" fillId="43" borderId="0" xfId="0" applyNumberFormat="1" applyFill="1" applyBorder="1" applyAlignment="1">
      <alignment horizontal="left" vertical="center"/>
    </xf>
    <xf numFmtId="0" fontId="0" fillId="43" borderId="0" xfId="0" applyFill="1" applyAlignment="1">
      <alignment horizontal="center" vertical="center"/>
    </xf>
    <xf numFmtId="0" fontId="0" fillId="43" borderId="0" xfId="0" applyFill="1" applyBorder="1" applyAlignment="1">
      <alignment vertical="center"/>
    </xf>
    <xf numFmtId="0" fontId="0" fillId="40" borderId="343" xfId="0" applyFill="1" applyBorder="1" applyAlignment="1">
      <alignment vertical="center"/>
    </xf>
    <xf numFmtId="0" fontId="17" fillId="40" borderId="343" xfId="0" applyFont="1" applyFill="1" applyBorder="1" applyAlignment="1">
      <alignment vertical="center"/>
    </xf>
    <xf numFmtId="0" fontId="14" fillId="18" borderId="23" xfId="0" applyFont="1" applyFill="1" applyBorder="1" applyAlignment="1">
      <alignment horizontal="center" vertical="center"/>
    </xf>
    <xf numFmtId="14" fontId="13" fillId="0" borderId="435" xfId="0" applyNumberFormat="1" applyFont="1" applyFill="1" applyBorder="1" applyAlignment="1">
      <alignment horizontal="left" vertical="center" wrapText="1" indent="1"/>
    </xf>
    <xf numFmtId="166" fontId="1" fillId="45" borderId="154" xfId="0" applyNumberFormat="1" applyFont="1" applyFill="1" applyBorder="1" applyAlignment="1">
      <alignment horizontal="center" vertical="center" wrapText="1"/>
    </xf>
    <xf numFmtId="0" fontId="0" fillId="0" borderId="6" xfId="0" applyFont="1" applyBorder="1" applyAlignment="1">
      <alignment horizontal="center" vertical="center"/>
    </xf>
    <xf numFmtId="1" fontId="1" fillId="0" borderId="7" xfId="0" applyNumberFormat="1" applyFont="1" applyFill="1" applyBorder="1" applyAlignment="1">
      <alignment horizontal="left" vertical="center" wrapText="1" indent="1"/>
    </xf>
    <xf numFmtId="0" fontId="0" fillId="0" borderId="80" xfId="0" applyFont="1" applyBorder="1" applyAlignment="1">
      <alignment horizontal="center" vertical="center"/>
    </xf>
    <xf numFmtId="0" fontId="0" fillId="43" borderId="0" xfId="0" applyFill="1" applyAlignment="1">
      <alignment horizontal="center"/>
    </xf>
    <xf numFmtId="0" fontId="1" fillId="0" borderId="66"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26" xfId="0" applyFill="1" applyBorder="1" applyAlignment="1">
      <alignment horizontal="center" vertical="center"/>
    </xf>
    <xf numFmtId="0" fontId="0" fillId="0" borderId="9" xfId="0" applyFill="1" applyBorder="1"/>
    <xf numFmtId="0" fontId="0" fillId="0" borderId="24" xfId="0" applyFill="1" applyBorder="1" applyAlignment="1">
      <alignment horizontal="center" vertical="center" wrapText="1"/>
    </xf>
    <xf numFmtId="0" fontId="0" fillId="40" borderId="167" xfId="0" applyFill="1" applyBorder="1" applyAlignment="1">
      <alignment vertical="center"/>
    </xf>
    <xf numFmtId="2" fontId="14" fillId="40" borderId="230" xfId="0" applyNumberFormat="1" applyFont="1" applyFill="1" applyBorder="1" applyAlignment="1">
      <alignment vertical="center"/>
    </xf>
    <xf numFmtId="2" fontId="14" fillId="40" borderId="343" xfId="0" applyNumberFormat="1" applyFont="1" applyFill="1" applyBorder="1" applyAlignment="1">
      <alignment vertical="center"/>
    </xf>
    <xf numFmtId="0" fontId="0" fillId="0" borderId="167" xfId="0" applyFill="1" applyBorder="1" applyAlignment="1">
      <alignment vertical="center"/>
    </xf>
    <xf numFmtId="0" fontId="0" fillId="0" borderId="167" xfId="0" applyBorder="1"/>
    <xf numFmtId="0" fontId="0" fillId="40" borderId="348" xfId="0" applyFill="1" applyBorder="1" applyAlignment="1">
      <alignment vertical="center"/>
    </xf>
    <xf numFmtId="0" fontId="0" fillId="40" borderId="197" xfId="0" applyFill="1" applyBorder="1" applyAlignment="1">
      <alignment vertical="center"/>
    </xf>
    <xf numFmtId="0" fontId="0" fillId="40" borderId="197" xfId="0" applyFill="1" applyBorder="1" applyAlignment="1">
      <alignment horizontal="left" vertical="center"/>
    </xf>
    <xf numFmtId="166" fontId="0" fillId="40" borderId="197" xfId="0" applyNumberFormat="1" applyFill="1" applyBorder="1" applyAlignment="1">
      <alignment horizontal="left" vertical="center"/>
    </xf>
    <xf numFmtId="166" fontId="0" fillId="40" borderId="347" xfId="0" applyNumberFormat="1" applyFill="1" applyBorder="1" applyAlignment="1">
      <alignment horizontal="left" vertical="center"/>
    </xf>
    <xf numFmtId="0" fontId="17" fillId="40" borderId="347" xfId="0" applyFont="1" applyFill="1" applyBorder="1" applyAlignment="1">
      <alignment horizontal="left" vertical="center"/>
    </xf>
    <xf numFmtId="0" fontId="17" fillId="40" borderId="348" xfId="0" applyFont="1" applyFill="1" applyBorder="1" applyAlignment="1">
      <alignment vertical="center"/>
    </xf>
    <xf numFmtId="171" fontId="0" fillId="40" borderId="347" xfId="0" applyNumberFormat="1" applyFill="1" applyBorder="1" applyAlignment="1">
      <alignment horizontal="left" vertical="top" wrapText="1"/>
    </xf>
    <xf numFmtId="3" fontId="0" fillId="40" borderId="347" xfId="0" applyNumberFormat="1" applyFill="1" applyBorder="1" applyAlignment="1">
      <alignment horizontal="left" vertical="top" wrapText="1"/>
    </xf>
    <xf numFmtId="166" fontId="0" fillId="40" borderId="347" xfId="0" applyNumberFormat="1" applyFill="1" applyBorder="1" applyAlignment="1">
      <alignment horizontal="left"/>
    </xf>
    <xf numFmtId="171" fontId="0" fillId="40" borderId="347" xfId="0" applyNumberFormat="1" applyFill="1" applyBorder="1" applyAlignment="1">
      <alignment horizontal="left"/>
    </xf>
    <xf numFmtId="0" fontId="70" fillId="0" borderId="223" xfId="0" applyFont="1" applyBorder="1" applyAlignment="1">
      <alignment horizontal="left" vertical="center" indent="1"/>
    </xf>
    <xf numFmtId="0" fontId="0" fillId="0" borderId="299" xfId="0" applyBorder="1" applyAlignment="1">
      <alignment vertical="center"/>
    </xf>
    <xf numFmtId="0" fontId="0" fillId="0" borderId="299" xfId="0" applyBorder="1"/>
    <xf numFmtId="0" fontId="0" fillId="0" borderId="346" xfId="0" applyBorder="1"/>
    <xf numFmtId="0" fontId="38" fillId="0" borderId="194" xfId="0" applyFont="1" applyBorder="1" applyAlignment="1">
      <alignment horizontal="right" vertical="center"/>
    </xf>
    <xf numFmtId="0" fontId="0" fillId="0" borderId="354" xfId="0" applyBorder="1"/>
    <xf numFmtId="0" fontId="0" fillId="0" borderId="194" xfId="0" applyBorder="1"/>
    <xf numFmtId="0" fontId="38" fillId="0" borderId="349" xfId="0" applyFont="1" applyBorder="1" applyAlignment="1">
      <alignment horizontal="right" vertical="center"/>
    </xf>
    <xf numFmtId="0" fontId="0" fillId="0" borderId="240" xfId="0" applyFill="1" applyBorder="1" applyAlignment="1">
      <alignment horizontal="left" vertical="center"/>
    </xf>
    <xf numFmtId="0" fontId="0" fillId="0" borderId="240" xfId="0" applyBorder="1"/>
    <xf numFmtId="0" fontId="0" fillId="0" borderId="350" xfId="0" applyBorder="1"/>
    <xf numFmtId="0" fontId="37" fillId="14" borderId="223" xfId="0" applyFont="1" applyFill="1" applyBorder="1" applyAlignment="1">
      <alignment horizontal="left" vertical="center" indent="1"/>
    </xf>
    <xf numFmtId="0" fontId="0" fillId="14" borderId="194" xfId="0" applyFill="1" applyBorder="1" applyAlignment="1">
      <alignment horizontal="left" vertical="center" indent="1"/>
    </xf>
    <xf numFmtId="0" fontId="0" fillId="14" borderId="299" xfId="0" applyFill="1" applyBorder="1" applyAlignment="1">
      <alignment vertical="center"/>
    </xf>
    <xf numFmtId="0" fontId="37" fillId="0" borderId="7" xfId="0" applyFont="1" applyFill="1" applyBorder="1" applyAlignment="1">
      <alignment horizontal="left" vertical="center" wrapText="1" indent="1"/>
    </xf>
    <xf numFmtId="164" fontId="0" fillId="0" borderId="42" xfId="0" applyNumberFormat="1" applyFont="1" applyFill="1" applyBorder="1" applyAlignment="1">
      <alignment vertical="center"/>
    </xf>
    <xf numFmtId="164" fontId="13" fillId="0" borderId="42" xfId="0" applyNumberFormat="1" applyFont="1" applyFill="1" applyBorder="1" applyAlignment="1">
      <alignment horizontal="left" vertical="center" indent="1"/>
    </xf>
    <xf numFmtId="1" fontId="0" fillId="0" borderId="44" xfId="0" applyNumberFormat="1" applyFont="1" applyBorder="1" applyAlignment="1">
      <alignment horizontal="center" vertical="center"/>
    </xf>
    <xf numFmtId="0" fontId="0" fillId="0" borderId="42" xfId="0" applyFont="1" applyBorder="1" applyAlignment="1">
      <alignment horizontal="center" vertical="center" wrapText="1"/>
    </xf>
    <xf numFmtId="0" fontId="0" fillId="0" borderId="6" xfId="0" applyFont="1" applyFill="1" applyBorder="1" applyAlignment="1">
      <alignment vertical="center"/>
    </xf>
    <xf numFmtId="0" fontId="0" fillId="0" borderId="7" xfId="0" applyFont="1" applyBorder="1" applyAlignment="1">
      <alignment vertical="center"/>
    </xf>
    <xf numFmtId="0" fontId="0" fillId="0" borderId="7" xfId="0" applyFont="1" applyBorder="1" applyAlignment="1">
      <alignment horizontal="left" vertical="center" indent="1"/>
    </xf>
    <xf numFmtId="0" fontId="0" fillId="0" borderId="8" xfId="0" applyFont="1" applyBorder="1" applyAlignment="1">
      <alignment horizontal="left" vertical="center" wrapText="1"/>
    </xf>
    <xf numFmtId="0" fontId="0" fillId="0" borderId="42" xfId="0" applyFont="1" applyFill="1" applyBorder="1" applyAlignment="1">
      <alignment vertical="center" wrapText="1"/>
    </xf>
    <xf numFmtId="0" fontId="0" fillId="0" borderId="6" xfId="0" applyFont="1" applyFill="1" applyBorder="1" applyAlignment="1">
      <alignment horizontal="left" vertical="center" wrapText="1" indent="1"/>
    </xf>
    <xf numFmtId="0" fontId="0" fillId="0" borderId="7" xfId="0" applyFont="1" applyBorder="1" applyAlignment="1">
      <alignment horizontal="left" vertical="center" wrapText="1"/>
    </xf>
    <xf numFmtId="0" fontId="0" fillId="0" borderId="44" xfId="0" applyFont="1" applyBorder="1" applyAlignment="1">
      <alignment horizontal="left" vertical="center" wrapText="1"/>
    </xf>
    <xf numFmtId="172" fontId="13" fillId="0" borderId="7" xfId="0" applyNumberFormat="1" applyFont="1" applyFill="1" applyBorder="1" applyAlignment="1">
      <alignment horizontal="center" vertical="center" wrapText="1"/>
    </xf>
    <xf numFmtId="172" fontId="13" fillId="0" borderId="7" xfId="0" applyNumberFormat="1" applyFont="1" applyFill="1" applyBorder="1" applyAlignment="1">
      <alignment horizontal="left" vertical="center" wrapText="1" indent="1"/>
    </xf>
    <xf numFmtId="174" fontId="13" fillId="0" borderId="8" xfId="0" applyNumberFormat="1" applyFont="1" applyFill="1" applyBorder="1" applyAlignment="1">
      <alignment horizontal="left" vertical="center" wrapText="1" indent="1"/>
    </xf>
    <xf numFmtId="0" fontId="13" fillId="0" borderId="79" xfId="0" applyFont="1" applyFill="1" applyBorder="1" applyAlignment="1">
      <alignment horizontal="left" vertical="center" wrapText="1"/>
    </xf>
    <xf numFmtId="0" fontId="13" fillId="0" borderId="42" xfId="0" applyFont="1" applyFill="1" applyBorder="1" applyAlignment="1">
      <alignment vertical="center"/>
    </xf>
    <xf numFmtId="0" fontId="13" fillId="0" borderId="44" xfId="0" applyFont="1" applyFill="1" applyBorder="1" applyAlignment="1">
      <alignment vertical="center"/>
    </xf>
    <xf numFmtId="206" fontId="13" fillId="0" borderId="7" xfId="0" applyNumberFormat="1" applyFont="1" applyFill="1" applyBorder="1" applyAlignment="1">
      <alignment horizontal="center" vertical="center" wrapText="1"/>
    </xf>
    <xf numFmtId="10" fontId="13" fillId="0" borderId="7" xfId="0" applyNumberFormat="1" applyFont="1" applyFill="1" applyBorder="1" applyAlignment="1">
      <alignment horizontal="center" vertical="center" wrapText="1"/>
    </xf>
    <xf numFmtId="0" fontId="0" fillId="0" borderId="51" xfId="0" applyFont="1" applyFill="1" applyBorder="1" applyAlignment="1">
      <alignment horizontal="center" vertical="center"/>
    </xf>
    <xf numFmtId="0" fontId="1" fillId="0" borderId="26" xfId="0" applyNumberFormat="1" applyFont="1" applyFill="1" applyBorder="1" applyAlignment="1">
      <alignment horizontal="left" vertical="center" wrapText="1" indent="1"/>
    </xf>
    <xf numFmtId="14" fontId="0" fillId="0" borderId="26" xfId="0" applyNumberFormat="1" applyFont="1" applyFill="1" applyBorder="1" applyAlignment="1">
      <alignment horizontal="left" vertical="center" wrapText="1" indent="1"/>
    </xf>
    <xf numFmtId="0" fontId="1" fillId="0" borderId="26" xfId="0" applyNumberFormat="1" applyFont="1" applyFill="1" applyBorder="1" applyAlignment="1">
      <alignment horizontal="right" vertical="center" wrapText="1" indent="1"/>
    </xf>
    <xf numFmtId="0" fontId="0" fillId="0" borderId="26" xfId="0" applyNumberFormat="1" applyFont="1" applyFill="1" applyBorder="1" applyAlignment="1">
      <alignment horizontal="left" vertical="center" wrapText="1" indent="1"/>
    </xf>
    <xf numFmtId="0" fontId="37" fillId="0" borderId="26" xfId="0" applyFont="1" applyFill="1" applyBorder="1" applyAlignment="1">
      <alignment horizontal="left" vertical="center" indent="1"/>
    </xf>
    <xf numFmtId="0" fontId="0" fillId="0" borderId="26" xfId="0" applyFont="1" applyFill="1" applyBorder="1" applyAlignment="1">
      <alignment vertical="center" wrapText="1"/>
    </xf>
    <xf numFmtId="0" fontId="0" fillId="0" borderId="26" xfId="0" applyFont="1" applyFill="1" applyBorder="1" applyAlignment="1">
      <alignment horizontal="center" vertical="center"/>
    </xf>
    <xf numFmtId="0" fontId="4" fillId="0" borderId="26" xfId="0" applyNumberFormat="1" applyFont="1" applyFill="1" applyBorder="1" applyAlignment="1">
      <alignment horizontal="left" vertical="center" wrapText="1" indent="1"/>
    </xf>
    <xf numFmtId="14" fontId="0" fillId="0" borderId="33" xfId="0" applyNumberFormat="1" applyFont="1" applyFill="1" applyBorder="1" applyAlignment="1">
      <alignment horizontal="left" vertical="center" wrapText="1" indent="1"/>
    </xf>
    <xf numFmtId="164" fontId="0" fillId="0" borderId="33" xfId="0" applyNumberFormat="1" applyFont="1" applyFill="1" applyBorder="1" applyAlignment="1">
      <alignment vertical="center"/>
    </xf>
    <xf numFmtId="164" fontId="56" fillId="0" borderId="51" xfId="0" applyNumberFormat="1" applyFont="1" applyFill="1" applyBorder="1" applyAlignment="1">
      <alignment horizontal="left" vertical="center" indent="1"/>
    </xf>
    <xf numFmtId="164" fontId="0" fillId="0" borderId="48" xfId="0" applyNumberFormat="1" applyFont="1" applyFill="1" applyBorder="1" applyAlignment="1">
      <alignment vertical="center"/>
    </xf>
    <xf numFmtId="0" fontId="0" fillId="0" borderId="51" xfId="0" applyFont="1" applyBorder="1" applyAlignment="1">
      <alignment horizontal="center" vertical="center"/>
    </xf>
    <xf numFmtId="0" fontId="0" fillId="0" borderId="33" xfId="0" applyFont="1" applyBorder="1" applyAlignment="1">
      <alignment horizontal="center" vertical="center"/>
    </xf>
    <xf numFmtId="0" fontId="13" fillId="0" borderId="51" xfId="0" applyFont="1" applyFill="1" applyBorder="1" applyAlignment="1">
      <alignment horizontal="center" vertical="center"/>
    </xf>
    <xf numFmtId="164" fontId="13" fillId="0" borderId="26" xfId="0" applyNumberFormat="1" applyFont="1" applyFill="1" applyBorder="1" applyAlignment="1">
      <alignment vertical="center"/>
    </xf>
    <xf numFmtId="164" fontId="13" fillId="0" borderId="33" xfId="0" applyNumberFormat="1" applyFont="1" applyFill="1" applyBorder="1" applyAlignment="1">
      <alignment vertical="center"/>
    </xf>
    <xf numFmtId="0" fontId="13" fillId="0" borderId="51" xfId="0" applyFont="1" applyFill="1" applyBorder="1" applyAlignment="1">
      <alignment horizontal="left" vertical="center" wrapText="1" indent="1"/>
    </xf>
    <xf numFmtId="0" fontId="13" fillId="0" borderId="26" xfId="0" applyFont="1" applyFill="1" applyBorder="1" applyAlignment="1">
      <alignment horizontal="left" vertical="center" indent="2"/>
    </xf>
    <xf numFmtId="164" fontId="13" fillId="0" borderId="26" xfId="0" applyNumberFormat="1" applyFont="1" applyFill="1" applyBorder="1" applyAlignment="1">
      <alignment horizontal="left" vertical="center" indent="1"/>
    </xf>
    <xf numFmtId="164" fontId="0" fillId="0" borderId="26" xfId="0" applyNumberFormat="1" applyFont="1" applyBorder="1" applyAlignment="1">
      <alignment vertical="center"/>
    </xf>
    <xf numFmtId="164" fontId="0" fillId="0" borderId="33" xfId="0" applyNumberFormat="1" applyFont="1" applyBorder="1" applyAlignment="1">
      <alignment vertical="center"/>
    </xf>
    <xf numFmtId="14" fontId="0" fillId="0" borderId="51" xfId="0" applyNumberFormat="1" applyFont="1" applyBorder="1" applyAlignment="1">
      <alignment horizontal="center" vertical="center" wrapText="1"/>
    </xf>
    <xf numFmtId="14" fontId="0" fillId="0" borderId="72" xfId="0" applyNumberFormat="1" applyFont="1" applyFill="1" applyBorder="1" applyAlignment="1">
      <alignment vertical="center" wrapText="1"/>
    </xf>
    <xf numFmtId="14" fontId="0" fillId="0" borderId="72" xfId="0" applyNumberFormat="1" applyFont="1" applyFill="1" applyBorder="1" applyAlignment="1">
      <alignment vertical="center"/>
    </xf>
    <xf numFmtId="14" fontId="0" fillId="0" borderId="26" xfId="0" applyNumberFormat="1" applyFont="1" applyFill="1" applyBorder="1" applyAlignment="1">
      <alignment vertical="center" wrapText="1"/>
    </xf>
    <xf numFmtId="14" fontId="0" fillId="0" borderId="26" xfId="0" applyNumberFormat="1" applyFont="1" applyFill="1" applyBorder="1" applyAlignment="1">
      <alignment horizontal="center" vertical="center"/>
    </xf>
    <xf numFmtId="14" fontId="0" fillId="0" borderId="26" xfId="0" applyNumberFormat="1" applyFont="1" applyBorder="1" applyAlignment="1">
      <alignment vertical="center"/>
    </xf>
    <xf numFmtId="14" fontId="0" fillId="0" borderId="26" xfId="0" applyNumberFormat="1" applyFont="1" applyBorder="1" applyAlignment="1">
      <alignment horizontal="left" vertical="center" indent="1"/>
    </xf>
    <xf numFmtId="14" fontId="1" fillId="0" borderId="26" xfId="0" applyNumberFormat="1" applyFont="1" applyBorder="1" applyAlignment="1">
      <alignment vertical="center" wrapText="1"/>
    </xf>
    <xf numFmtId="14" fontId="0" fillId="0" borderId="26" xfId="0" applyNumberFormat="1" applyFont="1" applyBorder="1" applyAlignment="1">
      <alignment horizontal="left" vertical="center" wrapText="1"/>
    </xf>
    <xf numFmtId="14" fontId="0" fillId="0" borderId="33" xfId="0" applyNumberFormat="1" applyFont="1" applyBorder="1" applyAlignment="1">
      <alignment vertical="center"/>
    </xf>
    <xf numFmtId="14" fontId="0" fillId="40" borderId="72" xfId="0" applyNumberFormat="1" applyFont="1" applyFill="1" applyBorder="1" applyAlignment="1">
      <alignment horizontal="center" vertical="center"/>
    </xf>
    <xf numFmtId="168" fontId="0" fillId="0" borderId="26" xfId="0" applyNumberFormat="1" applyFont="1" applyBorder="1" applyAlignment="1">
      <alignment horizontal="left" vertical="center" indent="1"/>
    </xf>
    <xf numFmtId="14" fontId="0" fillId="0" borderId="49" xfId="0" applyNumberFormat="1" applyFont="1" applyBorder="1" applyAlignment="1">
      <alignment horizontal="left" vertical="center" wrapText="1"/>
    </xf>
    <xf numFmtId="14" fontId="0" fillId="0" borderId="51" xfId="0" applyNumberFormat="1" applyFont="1" applyFill="1" applyBorder="1" applyAlignment="1">
      <alignment vertical="center" wrapText="1"/>
    </xf>
    <xf numFmtId="0" fontId="0" fillId="0" borderId="72" xfId="0" applyFont="1" applyFill="1" applyBorder="1" applyAlignment="1">
      <alignment horizontal="left" vertical="center" indent="1"/>
    </xf>
    <xf numFmtId="0" fontId="0" fillId="0" borderId="26" xfId="0" applyFont="1" applyBorder="1" applyAlignment="1">
      <alignment vertical="center" wrapText="1"/>
    </xf>
    <xf numFmtId="0" fontId="0" fillId="0" borderId="33" xfId="0" applyFont="1" applyBorder="1" applyAlignment="1">
      <alignment vertical="center" wrapText="1"/>
    </xf>
    <xf numFmtId="0" fontId="13" fillId="0" borderId="72" xfId="0" applyFont="1" applyFill="1" applyBorder="1" applyAlignment="1">
      <alignment vertical="center"/>
    </xf>
    <xf numFmtId="0" fontId="13" fillId="0" borderId="26" xfId="0" applyFont="1" applyFill="1" applyBorder="1" applyAlignment="1">
      <alignment horizontal="left" vertical="center" indent="1"/>
    </xf>
    <xf numFmtId="0" fontId="13" fillId="0" borderId="26" xfId="0" applyFont="1" applyFill="1" applyBorder="1" applyAlignment="1">
      <alignment vertical="center"/>
    </xf>
    <xf numFmtId="0" fontId="13" fillId="0" borderId="26" xfId="0" applyFont="1" applyFill="1" applyBorder="1" applyAlignment="1">
      <alignment vertical="center" wrapText="1"/>
    </xf>
    <xf numFmtId="172" fontId="13" fillId="0" borderId="26" xfId="0" applyNumberFormat="1" applyFont="1" applyFill="1" applyBorder="1" applyAlignment="1">
      <alignment horizontal="center" vertical="center"/>
    </xf>
    <xf numFmtId="174" fontId="13" fillId="0" borderId="49" xfId="0" applyNumberFormat="1" applyFont="1" applyFill="1" applyBorder="1" applyAlignment="1">
      <alignment vertical="center"/>
    </xf>
    <xf numFmtId="0" fontId="13" fillId="0" borderId="77" xfId="0" applyFont="1" applyFill="1" applyBorder="1" applyAlignment="1">
      <alignment vertical="center" wrapText="1"/>
    </xf>
    <xf numFmtId="184" fontId="13" fillId="0" borderId="51" xfId="0" applyNumberFormat="1" applyFont="1" applyFill="1" applyBorder="1" applyAlignment="1">
      <alignment horizontal="center" vertical="center"/>
    </xf>
    <xf numFmtId="175" fontId="13" fillId="0" borderId="33" xfId="0" applyNumberFormat="1" applyFont="1" applyFill="1" applyBorder="1" applyAlignment="1">
      <alignment horizontal="center" vertical="center"/>
    </xf>
    <xf numFmtId="184" fontId="13" fillId="0" borderId="66" xfId="0" applyNumberFormat="1" applyFont="1" applyFill="1" applyBorder="1" applyAlignment="1">
      <alignment horizontal="center" vertical="center"/>
    </xf>
    <xf numFmtId="0" fontId="13" fillId="0" borderId="66" xfId="0" applyFont="1" applyFill="1" applyBorder="1" applyAlignment="1">
      <alignment horizontal="center" vertical="center" wrapText="1"/>
    </xf>
    <xf numFmtId="0" fontId="13" fillId="0" borderId="26" xfId="0" applyFont="1" applyFill="1" applyBorder="1" applyAlignment="1">
      <alignment horizontal="center" vertical="center"/>
    </xf>
    <xf numFmtId="0" fontId="13" fillId="0" borderId="51" xfId="0" applyFont="1" applyFill="1" applyBorder="1" applyAlignment="1">
      <alignment horizontal="left" vertical="center" wrapText="1"/>
    </xf>
    <xf numFmtId="174" fontId="0" fillId="0" borderId="26" xfId="0" applyNumberFormat="1" applyFont="1" applyFill="1" applyBorder="1" applyAlignment="1">
      <alignment vertical="center" wrapText="1"/>
    </xf>
    <xf numFmtId="180" fontId="0" fillId="0" borderId="33" xfId="0" applyNumberFormat="1" applyFont="1" applyFill="1" applyBorder="1" applyAlignment="1">
      <alignment vertical="center" wrapText="1"/>
    </xf>
    <xf numFmtId="0" fontId="0" fillId="0" borderId="72" xfId="0" applyFont="1" applyFill="1" applyBorder="1" applyAlignment="1">
      <alignment vertical="center" wrapText="1"/>
    </xf>
    <xf numFmtId="180" fontId="0" fillId="0" borderId="66" xfId="0" applyNumberFormat="1" applyFont="1" applyFill="1" applyBorder="1" applyAlignment="1">
      <alignment vertical="center" wrapText="1"/>
    </xf>
    <xf numFmtId="0" fontId="13" fillId="0" borderId="51" xfId="0" applyFont="1" applyFill="1" applyBorder="1" applyAlignment="1">
      <alignment vertical="center" wrapText="1"/>
    </xf>
    <xf numFmtId="179" fontId="13" fillId="0" borderId="26" xfId="0" applyNumberFormat="1" applyFont="1" applyFill="1" applyBorder="1" applyAlignment="1">
      <alignment vertical="center" wrapText="1"/>
    </xf>
    <xf numFmtId="177" fontId="13" fillId="0" borderId="26" xfId="0" applyNumberFormat="1" applyFont="1" applyFill="1" applyBorder="1" applyAlignment="1">
      <alignment vertical="center" wrapText="1"/>
    </xf>
    <xf numFmtId="178" fontId="13" fillId="0" borderId="26" xfId="0" applyNumberFormat="1" applyFont="1" applyFill="1" applyBorder="1" applyAlignment="1">
      <alignment vertical="center" wrapText="1"/>
    </xf>
    <xf numFmtId="178" fontId="56" fillId="0" borderId="26" xfId="0" applyNumberFormat="1" applyFont="1" applyFill="1" applyBorder="1" applyAlignment="1">
      <alignment vertical="center" wrapText="1"/>
    </xf>
    <xf numFmtId="180" fontId="13" fillId="0" borderId="26" xfId="0" applyNumberFormat="1" applyFont="1" applyFill="1" applyBorder="1" applyAlignment="1">
      <alignment vertical="center" wrapText="1"/>
    </xf>
    <xf numFmtId="0" fontId="13" fillId="0" borderId="49" xfId="0" applyFont="1" applyFill="1" applyBorder="1" applyAlignment="1">
      <alignment vertical="center" wrapText="1"/>
    </xf>
    <xf numFmtId="0" fontId="0" fillId="0" borderId="77" xfId="0" applyFont="1" applyFill="1" applyBorder="1" applyAlignment="1">
      <alignment vertical="center" wrapText="1"/>
    </xf>
    <xf numFmtId="0" fontId="13" fillId="0" borderId="26" xfId="0" applyFont="1" applyFill="1" applyBorder="1" applyAlignment="1">
      <alignment horizontal="center" vertical="center" wrapText="1"/>
    </xf>
    <xf numFmtId="0" fontId="13" fillId="0" borderId="26" xfId="0" applyFont="1" applyFill="1" applyBorder="1" applyAlignment="1">
      <alignment horizontal="left" vertical="center" wrapText="1"/>
    </xf>
    <xf numFmtId="0" fontId="13" fillId="0" borderId="33" xfId="0" applyFont="1" applyFill="1" applyBorder="1" applyAlignment="1">
      <alignment horizontal="center" vertical="center" wrapText="1"/>
    </xf>
    <xf numFmtId="164" fontId="1" fillId="0" borderId="435" xfId="0" applyNumberFormat="1" applyFont="1" applyFill="1" applyBorder="1" applyAlignment="1">
      <alignment horizontal="left" vertical="center" indent="1"/>
    </xf>
    <xf numFmtId="0" fontId="1" fillId="0" borderId="435" xfId="0" applyNumberFormat="1" applyFont="1" applyFill="1" applyBorder="1" applyAlignment="1">
      <alignment horizontal="left" vertical="center" wrapText="1" indent="1"/>
    </xf>
    <xf numFmtId="14" fontId="0" fillId="0" borderId="435" xfId="0" applyNumberFormat="1" applyFont="1" applyFill="1" applyBorder="1" applyAlignment="1">
      <alignment horizontal="left" vertical="center" wrapText="1" indent="1"/>
    </xf>
    <xf numFmtId="0" fontId="0" fillId="0" borderId="435" xfId="0" applyFont="1" applyFill="1" applyBorder="1" applyAlignment="1">
      <alignment vertical="center" wrapText="1"/>
    </xf>
    <xf numFmtId="0" fontId="1" fillId="0" borderId="435" xfId="0" applyNumberFormat="1" applyFont="1" applyFill="1" applyBorder="1" applyAlignment="1">
      <alignment horizontal="right" vertical="center" wrapText="1" indent="1"/>
    </xf>
    <xf numFmtId="0" fontId="37" fillId="0" borderId="435" xfId="0" applyFont="1" applyFill="1" applyBorder="1" applyAlignment="1">
      <alignment horizontal="left" vertical="center" indent="1"/>
    </xf>
    <xf numFmtId="0" fontId="0" fillId="0" borderId="435" xfId="0" applyFont="1" applyFill="1" applyBorder="1" applyAlignment="1">
      <alignment horizontal="center" vertical="center"/>
    </xf>
    <xf numFmtId="0" fontId="4" fillId="0" borderId="435" xfId="0" applyNumberFormat="1" applyFont="1" applyFill="1" applyBorder="1" applyAlignment="1">
      <alignment horizontal="left" vertical="center" wrapText="1" indent="1"/>
    </xf>
    <xf numFmtId="164" fontId="0" fillId="0" borderId="443" xfId="0" applyNumberFormat="1" applyFont="1" applyFill="1" applyBorder="1" applyAlignment="1">
      <alignment vertical="center"/>
    </xf>
    <xf numFmtId="0" fontId="0" fillId="0" borderId="435" xfId="0" applyFont="1" applyBorder="1" applyAlignment="1">
      <alignment horizontal="center" vertical="center"/>
    </xf>
    <xf numFmtId="164" fontId="13" fillId="0" borderId="435" xfId="0" applyNumberFormat="1" applyFont="1" applyFill="1" applyBorder="1" applyAlignment="1">
      <alignment vertical="center"/>
    </xf>
    <xf numFmtId="0" fontId="13" fillId="0" borderId="435" xfId="0" applyFont="1" applyFill="1" applyBorder="1" applyAlignment="1">
      <alignment horizontal="left" vertical="center" indent="2"/>
    </xf>
    <xf numFmtId="164" fontId="13" fillId="0" borderId="435" xfId="0" applyNumberFormat="1" applyFont="1" applyFill="1" applyBorder="1" applyAlignment="1">
      <alignment horizontal="left" vertical="center" indent="1"/>
    </xf>
    <xf numFmtId="164" fontId="0" fillId="0" borderId="435" xfId="0" applyNumberFormat="1" applyFont="1" applyBorder="1" applyAlignment="1">
      <alignment vertical="center"/>
    </xf>
    <xf numFmtId="0" fontId="0" fillId="0" borderId="390" xfId="0" applyFont="1" applyFill="1" applyBorder="1" applyAlignment="1">
      <alignment vertical="center" wrapText="1"/>
    </xf>
    <xf numFmtId="1" fontId="0" fillId="0" borderId="435" xfId="0" applyNumberFormat="1" applyFont="1" applyFill="1" applyBorder="1" applyAlignment="1">
      <alignment horizontal="right" vertical="center" wrapText="1" indent="1"/>
    </xf>
    <xf numFmtId="0" fontId="0" fillId="0" borderId="390" xfId="0" applyFont="1" applyFill="1" applyBorder="1" applyAlignment="1">
      <alignment vertical="center"/>
    </xf>
    <xf numFmtId="0" fontId="0" fillId="0" borderId="435" xfId="0" applyFont="1" applyBorder="1" applyAlignment="1">
      <alignment vertical="center"/>
    </xf>
    <xf numFmtId="0" fontId="0" fillId="0" borderId="435" xfId="0" applyFont="1" applyBorder="1" applyAlignment="1">
      <alignment horizontal="left" vertical="center" indent="1"/>
    </xf>
    <xf numFmtId="0" fontId="0" fillId="0" borderId="435" xfId="0" applyFont="1" applyBorder="1" applyAlignment="1">
      <alignment vertical="center" wrapText="1"/>
    </xf>
    <xf numFmtId="0" fontId="0" fillId="0" borderId="435" xfId="0" applyFont="1" applyBorder="1" applyAlignment="1">
      <alignment horizontal="left" vertical="center" wrapText="1"/>
    </xf>
    <xf numFmtId="0" fontId="0" fillId="40" borderId="390" xfId="0" applyFont="1" applyFill="1" applyBorder="1" applyAlignment="1">
      <alignment horizontal="center" vertical="center"/>
    </xf>
    <xf numFmtId="168" fontId="0" fillId="0" borderId="435" xfId="0" applyNumberFormat="1" applyFont="1" applyBorder="1" applyAlignment="1">
      <alignment horizontal="left" vertical="center" indent="1"/>
    </xf>
    <xf numFmtId="0" fontId="0" fillId="0" borderId="437" xfId="0" applyFont="1" applyBorder="1" applyAlignment="1">
      <alignment horizontal="left" vertical="center" wrapText="1"/>
    </xf>
    <xf numFmtId="0" fontId="0" fillId="0" borderId="390" xfId="0" applyFont="1" applyFill="1" applyBorder="1" applyAlignment="1">
      <alignment horizontal="left" vertical="center" indent="1"/>
    </xf>
    <xf numFmtId="0" fontId="13" fillId="0" borderId="390" xfId="0" applyFont="1" applyFill="1" applyBorder="1" applyAlignment="1">
      <alignment vertical="center"/>
    </xf>
    <xf numFmtId="0" fontId="13" fillId="0" borderId="435" xfId="0" applyFont="1" applyFill="1" applyBorder="1" applyAlignment="1">
      <alignment horizontal="left" vertical="center" indent="1"/>
    </xf>
    <xf numFmtId="0" fontId="13" fillId="0" borderId="435" xfId="0" applyFont="1" applyFill="1" applyBorder="1" applyAlignment="1">
      <alignment vertical="center"/>
    </xf>
    <xf numFmtId="0" fontId="13" fillId="0" borderId="435" xfId="0" applyFont="1" applyFill="1" applyBorder="1" applyAlignment="1">
      <alignment vertical="center" wrapText="1"/>
    </xf>
    <xf numFmtId="172" fontId="13" fillId="0" borderId="435" xfId="0" applyNumberFormat="1" applyFont="1" applyFill="1" applyBorder="1" applyAlignment="1">
      <alignment horizontal="center" vertical="center"/>
    </xf>
    <xf numFmtId="174" fontId="13" fillId="0" borderId="437" xfId="0" applyNumberFormat="1" applyFont="1" applyFill="1" applyBorder="1" applyAlignment="1">
      <alignment vertical="center"/>
    </xf>
    <xf numFmtId="184" fontId="13" fillId="0" borderId="418" xfId="0" applyNumberFormat="1" applyFont="1" applyFill="1" applyBorder="1" applyAlignment="1">
      <alignment horizontal="center" vertical="center"/>
    </xf>
    <xf numFmtId="0" fontId="13" fillId="0" borderId="418" xfId="0" applyFont="1" applyFill="1" applyBorder="1" applyAlignment="1">
      <alignment horizontal="center" vertical="center" wrapText="1"/>
    </xf>
    <xf numFmtId="174" fontId="0" fillId="0" borderId="435" xfId="0" applyNumberFormat="1" applyFont="1" applyFill="1" applyBorder="1" applyAlignment="1">
      <alignment vertical="center" wrapText="1"/>
    </xf>
    <xf numFmtId="180" fontId="0" fillId="0" borderId="418" xfId="0" applyNumberFormat="1" applyFont="1" applyFill="1" applyBorder="1" applyAlignment="1">
      <alignment vertical="center" wrapText="1"/>
    </xf>
    <xf numFmtId="179" fontId="13" fillId="0" borderId="435" xfId="0" applyNumberFormat="1" applyFont="1" applyFill="1" applyBorder="1" applyAlignment="1">
      <alignment vertical="center" wrapText="1"/>
    </xf>
    <xf numFmtId="177" fontId="13" fillId="0" borderId="435" xfId="0" applyNumberFormat="1" applyFont="1" applyFill="1" applyBorder="1" applyAlignment="1">
      <alignment vertical="center" wrapText="1"/>
    </xf>
    <xf numFmtId="178" fontId="13" fillId="0" borderId="435" xfId="0" applyNumberFormat="1" applyFont="1" applyFill="1" applyBorder="1" applyAlignment="1">
      <alignment vertical="center" wrapText="1"/>
    </xf>
    <xf numFmtId="178" fontId="56" fillId="0" borderId="435" xfId="0" applyNumberFormat="1" applyFont="1" applyFill="1" applyBorder="1" applyAlignment="1">
      <alignment vertical="center" wrapText="1"/>
    </xf>
    <xf numFmtId="180" fontId="13" fillId="0" borderId="435" xfId="0" applyNumberFormat="1" applyFont="1" applyFill="1" applyBorder="1" applyAlignment="1">
      <alignment vertical="center" wrapText="1"/>
    </xf>
    <xf numFmtId="0" fontId="13" fillId="0" borderId="437" xfId="0" applyFont="1" applyFill="1" applyBorder="1" applyAlignment="1">
      <alignment vertical="center" wrapText="1"/>
    </xf>
    <xf numFmtId="0" fontId="13" fillId="0" borderId="435" xfId="0" applyFont="1" applyFill="1" applyBorder="1" applyAlignment="1">
      <alignment horizontal="left" vertical="center" wrapText="1"/>
    </xf>
    <xf numFmtId="0" fontId="1" fillId="0" borderId="435" xfId="0" applyFont="1" applyFill="1" applyBorder="1" applyAlignment="1">
      <alignment horizontal="right" vertical="center" wrapText="1" indent="1"/>
    </xf>
    <xf numFmtId="0" fontId="13" fillId="0" borderId="435" xfId="0" applyFont="1" applyFill="1" applyBorder="1" applyAlignment="1">
      <alignment horizontal="left" vertical="center" wrapText="1" indent="1"/>
    </xf>
    <xf numFmtId="0" fontId="0" fillId="0" borderId="418" xfId="0" applyFont="1" applyFill="1" applyBorder="1" applyAlignment="1">
      <alignment vertical="center" wrapText="1"/>
    </xf>
    <xf numFmtId="179" fontId="13" fillId="0" borderId="435" xfId="0" applyNumberFormat="1" applyFont="1" applyFill="1" applyBorder="1" applyAlignment="1">
      <alignment horizontal="center" vertical="center" wrapText="1"/>
    </xf>
    <xf numFmtId="164" fontId="1" fillId="0" borderId="364" xfId="0" applyNumberFormat="1" applyFont="1" applyFill="1" applyBorder="1" applyAlignment="1">
      <alignment horizontal="left" vertical="center" indent="1"/>
    </xf>
    <xf numFmtId="0" fontId="1" fillId="0" borderId="364" xfId="0" applyFont="1" applyFill="1" applyBorder="1" applyAlignment="1">
      <alignment horizontal="right" vertical="center" wrapText="1" indent="1"/>
    </xf>
    <xf numFmtId="0" fontId="37" fillId="0" borderId="364" xfId="0" applyFont="1" applyFill="1" applyBorder="1" applyAlignment="1">
      <alignment horizontal="left" vertical="center" indent="1"/>
    </xf>
    <xf numFmtId="164" fontId="56" fillId="0" borderId="375" xfId="0" applyNumberFormat="1" applyFont="1" applyFill="1" applyBorder="1" applyAlignment="1">
      <alignment horizontal="left" vertical="center" indent="1"/>
    </xf>
    <xf numFmtId="0" fontId="0" fillId="0" borderId="370" xfId="0" applyFont="1" applyBorder="1" applyAlignment="1">
      <alignment horizontal="center" vertical="center"/>
    </xf>
    <xf numFmtId="0" fontId="13" fillId="0" borderId="375" xfId="0" applyFont="1" applyFill="1" applyBorder="1" applyAlignment="1">
      <alignment horizontal="left" vertical="center" wrapText="1" indent="1"/>
    </xf>
    <xf numFmtId="0" fontId="13" fillId="0" borderId="364" xfId="0" applyFont="1" applyFill="1" applyBorder="1" applyAlignment="1">
      <alignment horizontal="left" vertical="center" indent="2"/>
    </xf>
    <xf numFmtId="164" fontId="0" fillId="0" borderId="364" xfId="0" applyNumberFormat="1" applyFont="1" applyBorder="1" applyAlignment="1">
      <alignment vertical="center"/>
    </xf>
    <xf numFmtId="164" fontId="0" fillId="0" borderId="370" xfId="0" applyNumberFormat="1" applyFont="1" applyBorder="1" applyAlignment="1">
      <alignment vertical="center"/>
    </xf>
    <xf numFmtId="0" fontId="0" fillId="40" borderId="369" xfId="0" applyFont="1" applyFill="1" applyBorder="1" applyAlignment="1">
      <alignment horizontal="center" vertical="center"/>
    </xf>
    <xf numFmtId="168" fontId="0" fillId="0" borderId="364" xfId="0" applyNumberFormat="1" applyFont="1" applyBorder="1" applyAlignment="1">
      <alignment horizontal="left" vertical="center" indent="1"/>
    </xf>
    <xf numFmtId="0" fontId="0" fillId="0" borderId="370" xfId="0" applyFont="1" applyBorder="1" applyAlignment="1">
      <alignment vertical="center" wrapText="1"/>
    </xf>
    <xf numFmtId="172" fontId="13" fillId="0" borderId="364" xfId="0" applyNumberFormat="1" applyFont="1" applyFill="1" applyBorder="1" applyAlignment="1">
      <alignment horizontal="center" vertical="center"/>
    </xf>
    <xf numFmtId="174" fontId="13" fillId="0" borderId="373" xfId="0" applyNumberFormat="1" applyFont="1" applyFill="1" applyBorder="1" applyAlignment="1">
      <alignment vertical="center"/>
    </xf>
    <xf numFmtId="0" fontId="13" fillId="0" borderId="61" xfId="0" applyFont="1" applyFill="1" applyBorder="1" applyAlignment="1">
      <alignment vertical="center" wrapText="1"/>
    </xf>
    <xf numFmtId="184" fontId="13" fillId="0" borderId="375" xfId="0" applyNumberFormat="1" applyFont="1" applyFill="1" applyBorder="1" applyAlignment="1">
      <alignment horizontal="center" vertical="center"/>
    </xf>
    <xf numFmtId="175" fontId="13" fillId="0" borderId="370" xfId="0" applyNumberFormat="1" applyFont="1" applyFill="1" applyBorder="1" applyAlignment="1">
      <alignment horizontal="center" vertical="center"/>
    </xf>
    <xf numFmtId="184" fontId="13" fillId="0" borderId="440" xfId="0" applyNumberFormat="1" applyFont="1" applyFill="1" applyBorder="1" applyAlignment="1">
      <alignment horizontal="center" vertical="center"/>
    </xf>
    <xf numFmtId="0" fontId="13" fillId="0" borderId="440" xfId="0" applyFont="1" applyFill="1" applyBorder="1" applyAlignment="1">
      <alignment horizontal="center" vertical="center" wrapText="1"/>
    </xf>
    <xf numFmtId="180" fontId="0" fillId="0" borderId="370" xfId="0" applyNumberFormat="1" applyFont="1" applyFill="1" applyBorder="1" applyAlignment="1">
      <alignment vertical="center" wrapText="1"/>
    </xf>
    <xf numFmtId="0" fontId="0" fillId="0" borderId="440" xfId="0" applyFont="1" applyFill="1" applyBorder="1" applyAlignment="1">
      <alignment vertical="center" wrapText="1"/>
    </xf>
    <xf numFmtId="179" fontId="13" fillId="0" borderId="364" xfId="0" applyNumberFormat="1" applyFont="1" applyFill="1" applyBorder="1" applyAlignment="1">
      <alignment horizontal="center" vertical="center" wrapText="1"/>
    </xf>
    <xf numFmtId="178" fontId="56" fillId="0" borderId="364" xfId="0" applyNumberFormat="1" applyFont="1" applyFill="1" applyBorder="1" applyAlignment="1">
      <alignment vertical="center" wrapText="1"/>
    </xf>
    <xf numFmtId="0" fontId="0" fillId="0" borderId="353" xfId="0" applyBorder="1" applyAlignment="1">
      <alignment vertical="center"/>
    </xf>
    <xf numFmtId="0" fontId="0" fillId="0" borderId="446" xfId="0" applyBorder="1"/>
    <xf numFmtId="0" fontId="0" fillId="43" borderId="0" xfId="0" applyFont="1" applyFill="1"/>
    <xf numFmtId="0" fontId="0" fillId="43" borderId="0" xfId="0" applyFont="1" applyFill="1" applyAlignment="1">
      <alignment vertical="center"/>
    </xf>
    <xf numFmtId="0" fontId="0" fillId="43" borderId="0" xfId="0" applyFont="1" applyFill="1" applyBorder="1" applyAlignment="1"/>
    <xf numFmtId="0" fontId="4" fillId="43" borderId="0" xfId="0" applyFont="1" applyFill="1" applyBorder="1" applyAlignment="1">
      <alignment vertical="center"/>
    </xf>
    <xf numFmtId="171" fontId="0" fillId="43" borderId="0" xfId="0" applyNumberFormat="1" applyFill="1"/>
    <xf numFmtId="0" fontId="0" fillId="14" borderId="0" xfId="0" applyFill="1" applyAlignment="1">
      <alignment horizontal="center"/>
    </xf>
    <xf numFmtId="0" fontId="0" fillId="14" borderId="0" xfId="0" quotePrefix="1" applyFill="1"/>
    <xf numFmtId="0" fontId="4" fillId="14" borderId="0" xfId="0" applyFont="1" applyFill="1" applyAlignment="1">
      <alignment horizontal="center"/>
    </xf>
    <xf numFmtId="0" fontId="0" fillId="14" borderId="0" xfId="0" applyFont="1" applyFill="1"/>
    <xf numFmtId="0" fontId="0" fillId="14" borderId="0" xfId="0" applyFont="1" applyFill="1" applyAlignment="1">
      <alignment vertical="center"/>
    </xf>
    <xf numFmtId="0" fontId="0" fillId="14" borderId="67" xfId="0" applyFont="1" applyFill="1" applyBorder="1" applyAlignment="1"/>
    <xf numFmtId="0" fontId="4" fillId="14" borderId="0" xfId="0" applyFont="1" applyFill="1" applyBorder="1" applyAlignment="1">
      <alignment vertical="center"/>
    </xf>
    <xf numFmtId="0" fontId="0" fillId="14" borderId="16" xfId="0" applyFont="1" applyFill="1" applyBorder="1" applyAlignment="1">
      <alignment horizontal="center" vertical="center" wrapText="1"/>
    </xf>
    <xf numFmtId="0" fontId="41" fillId="14" borderId="17" xfId="0" applyFont="1" applyFill="1" applyBorder="1" applyAlignment="1">
      <alignment vertical="center" wrapText="1"/>
    </xf>
    <xf numFmtId="0" fontId="0" fillId="14" borderId="72" xfId="0" applyFont="1" applyFill="1" applyBorder="1" applyAlignment="1">
      <alignment horizontal="center" vertical="center" wrapText="1"/>
    </xf>
    <xf numFmtId="0" fontId="37" fillId="14" borderId="72" xfId="0" applyFont="1" applyFill="1" applyBorder="1" applyAlignment="1">
      <alignment horizontal="center" vertical="center" wrapText="1"/>
    </xf>
    <xf numFmtId="0" fontId="0" fillId="14" borderId="367" xfId="0" applyFont="1" applyFill="1" applyBorder="1" applyAlignment="1">
      <alignment horizontal="center" vertical="center" wrapText="1"/>
    </xf>
    <xf numFmtId="0" fontId="37" fillId="14" borderId="367" xfId="0" applyFont="1" applyFill="1" applyBorder="1" applyAlignment="1">
      <alignment horizontal="center" vertical="center" wrapText="1"/>
    </xf>
    <xf numFmtId="0" fontId="0" fillId="14" borderId="369" xfId="0" applyFont="1" applyFill="1" applyBorder="1" applyAlignment="1">
      <alignment horizontal="center" vertical="center" wrapText="1"/>
    </xf>
    <xf numFmtId="0" fontId="37" fillId="14" borderId="369"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37" fillId="14" borderId="6" xfId="0" applyFont="1" applyFill="1" applyBorder="1" applyAlignment="1">
      <alignment horizontal="center" vertical="center" wrapText="1"/>
    </xf>
    <xf numFmtId="0" fontId="0" fillId="14" borderId="362" xfId="0" applyFont="1" applyFill="1" applyBorder="1" applyAlignment="1">
      <alignment horizontal="center" vertical="center" wrapText="1"/>
    </xf>
    <xf numFmtId="0" fontId="37" fillId="14" borderId="362" xfId="0" applyFont="1" applyFill="1" applyBorder="1" applyAlignment="1">
      <alignment horizontal="center" vertical="center" wrapText="1"/>
    </xf>
    <xf numFmtId="0" fontId="41" fillId="14" borderId="26" xfId="0" applyFont="1" applyFill="1" applyBorder="1" applyAlignment="1">
      <alignment vertical="center" wrapText="1"/>
    </xf>
    <xf numFmtId="0" fontId="72" fillId="14" borderId="0" xfId="0" applyFont="1" applyFill="1"/>
    <xf numFmtId="2" fontId="0" fillId="14" borderId="0" xfId="0" applyNumberFormat="1" applyFont="1" applyFill="1"/>
    <xf numFmtId="3" fontId="0" fillId="14" borderId="0" xfId="0" applyNumberFormat="1" applyFill="1"/>
    <xf numFmtId="166" fontId="0" fillId="14" borderId="0" xfId="0" applyNumberFormat="1" applyFill="1"/>
    <xf numFmtId="0" fontId="4" fillId="14" borderId="0" xfId="0" applyFont="1" applyFill="1"/>
    <xf numFmtId="0" fontId="34" fillId="14" borderId="0" xfId="0" applyFont="1" applyFill="1"/>
    <xf numFmtId="0" fontId="35" fillId="14" borderId="0" xfId="0" applyFont="1" applyFill="1" applyAlignment="1">
      <alignment horizontal="center" vertical="center"/>
    </xf>
    <xf numFmtId="0" fontId="1" fillId="7" borderId="26" xfId="0" applyFont="1" applyFill="1" applyBorder="1" applyAlignment="1">
      <alignment horizontal="center" vertical="center" wrapText="1"/>
    </xf>
    <xf numFmtId="0" fontId="23" fillId="14" borderId="0" xfId="0" applyFont="1" applyFill="1" applyAlignment="1">
      <alignment horizontal="center" vertical="center"/>
    </xf>
    <xf numFmtId="41" fontId="33" fillId="6" borderId="23" xfId="1" applyNumberFormat="1" applyFont="1" applyFill="1" applyBorder="1" applyAlignment="1">
      <alignment horizontal="center"/>
    </xf>
    <xf numFmtId="41" fontId="33" fillId="6" borderId="23" xfId="1" applyNumberFormat="1" applyFont="1" applyFill="1" applyBorder="1"/>
    <xf numFmtId="0" fontId="1" fillId="46" borderId="26" xfId="0" applyFont="1" applyFill="1" applyBorder="1" applyAlignment="1">
      <alignment horizontal="center" vertical="center" wrapText="1"/>
    </xf>
    <xf numFmtId="0" fontId="4" fillId="46" borderId="26" xfId="0" applyFont="1" applyFill="1" applyBorder="1" applyAlignment="1">
      <alignment horizontal="center" vertical="center" wrapText="1"/>
    </xf>
    <xf numFmtId="0" fontId="1" fillId="46" borderId="9" xfId="0" applyFont="1" applyFill="1" applyBorder="1" applyAlignment="1">
      <alignment horizontal="center" vertical="center" wrapText="1"/>
    </xf>
    <xf numFmtId="0" fontId="1" fillId="47" borderId="9" xfId="0" applyFont="1" applyFill="1" applyBorder="1" applyAlignment="1">
      <alignment horizontal="center" vertical="center" wrapText="1"/>
    </xf>
    <xf numFmtId="1" fontId="0" fillId="47" borderId="17" xfId="0" applyNumberFormat="1" applyFont="1" applyFill="1" applyBorder="1" applyAlignment="1">
      <alignment horizontal="right" vertical="center" wrapText="1" indent="1"/>
    </xf>
    <xf numFmtId="1" fontId="0" fillId="47" borderId="12" xfId="0" applyNumberFormat="1" applyFont="1" applyFill="1" applyBorder="1" applyAlignment="1">
      <alignment horizontal="right" vertical="center" wrapText="1" indent="1"/>
    </xf>
    <xf numFmtId="1" fontId="0" fillId="47" borderId="121" xfId="0" applyNumberFormat="1" applyFont="1" applyFill="1" applyBorder="1" applyAlignment="1">
      <alignment horizontal="right" vertical="center" wrapText="1" indent="1"/>
    </xf>
    <xf numFmtId="1" fontId="0" fillId="47" borderId="7" xfId="0" applyNumberFormat="1" applyFont="1" applyFill="1" applyBorder="1" applyAlignment="1">
      <alignment horizontal="right" vertical="center" wrapText="1" indent="1"/>
    </xf>
    <xf numFmtId="1" fontId="0" fillId="47" borderId="23" xfId="0" applyNumberFormat="1" applyFont="1" applyFill="1" applyBorder="1" applyAlignment="1">
      <alignment horizontal="right" vertical="center" wrapText="1" indent="1"/>
    </xf>
    <xf numFmtId="1" fontId="0" fillId="47" borderId="26" xfId="0" applyNumberFormat="1" applyFont="1" applyFill="1" applyBorder="1" applyAlignment="1">
      <alignment horizontal="right" vertical="center" wrapText="1" indent="1"/>
    </xf>
    <xf numFmtId="1" fontId="0" fillId="47" borderId="27" xfId="0" applyNumberFormat="1" applyFont="1" applyFill="1" applyBorder="1" applyAlignment="1">
      <alignment horizontal="right" vertical="center" wrapText="1" indent="1"/>
    </xf>
    <xf numFmtId="1" fontId="0" fillId="47" borderId="101" xfId="0" applyNumberFormat="1" applyFont="1" applyFill="1" applyBorder="1" applyAlignment="1">
      <alignment horizontal="right" vertical="center" wrapText="1" indent="1"/>
    </xf>
    <xf numFmtId="0" fontId="1" fillId="48" borderId="9" xfId="0" applyFont="1" applyFill="1" applyBorder="1" applyAlignment="1">
      <alignment horizontal="center" vertical="center" wrapText="1"/>
    </xf>
    <xf numFmtId="227" fontId="78" fillId="0" borderId="26" xfId="0" applyNumberFormat="1" applyFont="1" applyFill="1" applyBorder="1" applyAlignment="1">
      <alignment horizontal="center" vertical="center" wrapText="1"/>
    </xf>
    <xf numFmtId="227" fontId="78" fillId="0" borderId="364" xfId="0" applyNumberFormat="1" applyFont="1" applyFill="1" applyBorder="1" applyAlignment="1">
      <alignment horizontal="center" vertical="center" wrapText="1"/>
    </xf>
    <xf numFmtId="227" fontId="78" fillId="0" borderId="48" xfId="0" applyNumberFormat="1" applyFont="1" applyFill="1" applyBorder="1" applyAlignment="1">
      <alignment horizontal="center" vertical="center" wrapText="1"/>
    </xf>
    <xf numFmtId="227" fontId="78" fillId="0" borderId="28" xfId="0" applyNumberFormat="1" applyFont="1" applyFill="1" applyBorder="1" applyAlignment="1">
      <alignment horizontal="center" vertical="center" wrapText="1"/>
    </xf>
    <xf numFmtId="0" fontId="1" fillId="47" borderId="26" xfId="0" applyFont="1" applyFill="1" applyBorder="1" applyAlignment="1">
      <alignment horizontal="center" vertical="center" wrapText="1"/>
    </xf>
    <xf numFmtId="0" fontId="4" fillId="47" borderId="26" xfId="0" applyFont="1" applyFill="1" applyBorder="1" applyAlignment="1">
      <alignment horizontal="center" vertical="center" wrapText="1"/>
    </xf>
    <xf numFmtId="0" fontId="1" fillId="48" borderId="26" xfId="0" applyFont="1" applyFill="1" applyBorder="1" applyAlignment="1">
      <alignment horizontal="center" vertical="center" wrapText="1"/>
    </xf>
    <xf numFmtId="0" fontId="4" fillId="48" borderId="26" xfId="0" applyFont="1" applyFill="1" applyBorder="1" applyAlignment="1">
      <alignment horizontal="center" vertical="center" wrapText="1"/>
    </xf>
    <xf numFmtId="0" fontId="1" fillId="0" borderId="33" xfId="0" applyFont="1" applyFill="1" applyBorder="1" applyAlignment="1">
      <alignment horizontal="center" vertical="center" wrapText="1"/>
    </xf>
    <xf numFmtId="0" fontId="0" fillId="0" borderId="41" xfId="0" applyFill="1" applyBorder="1" applyAlignment="1">
      <alignment horizontal="center"/>
    </xf>
    <xf numFmtId="0" fontId="0" fillId="0" borderId="35" xfId="0" applyFill="1" applyBorder="1" applyAlignment="1">
      <alignment horizontal="center"/>
    </xf>
    <xf numFmtId="0" fontId="0" fillId="0" borderId="65" xfId="0" applyFill="1" applyBorder="1"/>
    <xf numFmtId="0" fontId="0" fillId="0" borderId="35" xfId="0" applyFill="1" applyBorder="1"/>
    <xf numFmtId="0" fontId="0" fillId="14" borderId="0" xfId="0" applyFont="1" applyFill="1" applyBorder="1" applyAlignment="1"/>
    <xf numFmtId="187" fontId="0" fillId="0" borderId="364" xfId="0" applyNumberFormat="1" applyFont="1" applyFill="1" applyBorder="1" applyAlignment="1">
      <alignment horizontal="center" vertical="center" wrapText="1"/>
    </xf>
    <xf numFmtId="187" fontId="0" fillId="0" borderId="364" xfId="0" applyNumberFormat="1" applyFont="1" applyFill="1" applyBorder="1" applyAlignment="1">
      <alignment horizontal="right" vertical="center" wrapText="1" indent="1"/>
    </xf>
    <xf numFmtId="0" fontId="48" fillId="14" borderId="0" xfId="0" applyFont="1" applyFill="1"/>
    <xf numFmtId="0" fontId="78" fillId="14" borderId="0" xfId="0" applyFont="1" applyFill="1"/>
    <xf numFmtId="0" fontId="0" fillId="14" borderId="0" xfId="0" applyFont="1" applyFill="1" applyBorder="1"/>
    <xf numFmtId="0" fontId="1" fillId="14" borderId="0" xfId="0" applyFont="1" applyFill="1" applyBorder="1" applyAlignment="1">
      <alignment horizontal="center" vertical="center" wrapText="1"/>
    </xf>
    <xf numFmtId="0" fontId="0" fillId="14" borderId="129" xfId="0" applyFont="1" applyFill="1" applyBorder="1"/>
    <xf numFmtId="0" fontId="0" fillId="14" borderId="19" xfId="0" applyFont="1" applyFill="1" applyBorder="1"/>
    <xf numFmtId="0" fontId="0" fillId="14" borderId="115" xfId="0" applyFont="1" applyFill="1" applyBorder="1"/>
    <xf numFmtId="0" fontId="1" fillId="0" borderId="130" xfId="0" applyFont="1" applyFill="1" applyBorder="1" applyAlignment="1">
      <alignment horizontal="left" vertical="center" wrapText="1" indent="1"/>
    </xf>
    <xf numFmtId="0" fontId="1" fillId="0" borderId="130" xfId="0" applyFont="1" applyFill="1" applyBorder="1" applyAlignment="1">
      <alignment horizontal="left" vertical="center" wrapText="1"/>
    </xf>
    <xf numFmtId="0" fontId="0" fillId="0" borderId="130" xfId="0" applyFont="1" applyFill="1" applyBorder="1" applyAlignment="1">
      <alignment horizontal="right" vertical="center" wrapText="1" indent="1"/>
    </xf>
    <xf numFmtId="192" fontId="0" fillId="0" borderId="130" xfId="0" applyNumberFormat="1" applyFont="1" applyFill="1" applyBorder="1" applyAlignment="1">
      <alignment horizontal="left" vertical="center" wrapText="1" indent="1"/>
    </xf>
    <xf numFmtId="0" fontId="0" fillId="0" borderId="130" xfId="0" applyFont="1" applyFill="1" applyBorder="1" applyAlignment="1">
      <alignment horizontal="left" vertical="center" wrapText="1" indent="1"/>
    </xf>
    <xf numFmtId="1" fontId="13" fillId="0" borderId="130" xfId="0" applyNumberFormat="1" applyFont="1" applyFill="1" applyBorder="1" applyAlignment="1">
      <alignment horizontal="right" vertical="center" wrapText="1" indent="2"/>
    </xf>
    <xf numFmtId="166" fontId="13" fillId="0" borderId="130" xfId="0" applyNumberFormat="1" applyFont="1" applyFill="1" applyBorder="1" applyAlignment="1">
      <alignment horizontal="left" vertical="center" wrapText="1" indent="1"/>
    </xf>
    <xf numFmtId="166" fontId="13" fillId="0" borderId="203" xfId="0" applyNumberFormat="1" applyFont="1" applyFill="1" applyBorder="1" applyAlignment="1">
      <alignment horizontal="left" vertical="center" wrapText="1" indent="1"/>
    </xf>
    <xf numFmtId="166" fontId="13" fillId="0" borderId="199" xfId="0" applyNumberFormat="1" applyFont="1" applyFill="1" applyBorder="1" applyAlignment="1">
      <alignment horizontal="left" vertical="center" wrapText="1" indent="1"/>
    </xf>
    <xf numFmtId="166" fontId="13" fillId="0" borderId="145" xfId="0" applyNumberFormat="1" applyFont="1" applyFill="1" applyBorder="1" applyAlignment="1">
      <alignment horizontal="left" vertical="center" wrapText="1" indent="1"/>
    </xf>
    <xf numFmtId="171" fontId="0" fillId="0" borderId="200" xfId="0" applyNumberFormat="1" applyFont="1" applyFill="1" applyBorder="1" applyAlignment="1">
      <alignment horizontal="left" vertical="center" wrapText="1" indent="1"/>
    </xf>
    <xf numFmtId="171" fontId="0" fillId="0" borderId="199" xfId="0" applyNumberFormat="1" applyFont="1" applyFill="1" applyBorder="1" applyAlignment="1">
      <alignment horizontal="left" vertical="center" wrapText="1" indent="1"/>
    </xf>
    <xf numFmtId="0" fontId="0" fillId="0" borderId="145" xfId="0" applyFont="1" applyFill="1" applyBorder="1" applyAlignment="1">
      <alignment horizontal="center" vertical="center" wrapText="1"/>
    </xf>
    <xf numFmtId="3" fontId="0" fillId="0" borderId="130" xfId="0" applyNumberFormat="1" applyFont="1" applyFill="1" applyBorder="1" applyAlignment="1">
      <alignment horizontal="center" vertical="center" wrapText="1"/>
    </xf>
    <xf numFmtId="0" fontId="0" fillId="0" borderId="130" xfId="0" applyFont="1" applyFill="1" applyBorder="1" applyAlignment="1">
      <alignment horizontal="center" vertical="center" wrapText="1"/>
    </xf>
    <xf numFmtId="0" fontId="0" fillId="0" borderId="199" xfId="0" applyFont="1" applyFill="1" applyBorder="1" applyAlignment="1">
      <alignment horizontal="center" vertical="center" wrapText="1"/>
    </xf>
    <xf numFmtId="1" fontId="0" fillId="47" borderId="130" xfId="0" applyNumberFormat="1" applyFont="1" applyFill="1" applyBorder="1" applyAlignment="1">
      <alignment horizontal="right" vertical="center" wrapText="1" indent="1"/>
    </xf>
    <xf numFmtId="0" fontId="13" fillId="0" borderId="145" xfId="0" applyFont="1" applyFill="1" applyBorder="1" applyAlignment="1">
      <alignment horizontal="center" vertical="center" wrapText="1"/>
    </xf>
    <xf numFmtId="3" fontId="0" fillId="0" borderId="202" xfId="0" applyNumberFormat="1" applyFont="1" applyFill="1" applyBorder="1" applyAlignment="1">
      <alignment horizontal="center" vertical="center" wrapText="1"/>
    </xf>
    <xf numFmtId="0" fontId="1" fillId="0" borderId="205" xfId="0" applyFont="1" applyFill="1" applyBorder="1" applyAlignment="1">
      <alignment horizontal="left" vertical="center" wrapText="1" indent="1"/>
    </xf>
    <xf numFmtId="0" fontId="1" fillId="0" borderId="205" xfId="0" applyFont="1" applyFill="1" applyBorder="1" applyAlignment="1">
      <alignment horizontal="left" vertical="center" wrapText="1"/>
    </xf>
    <xf numFmtId="0" fontId="0" fillId="0" borderId="205" xfId="0" applyFont="1" applyFill="1" applyBorder="1" applyAlignment="1">
      <alignment horizontal="right" vertical="center" wrapText="1" indent="1"/>
    </xf>
    <xf numFmtId="192" fontId="0" fillId="0" borderId="205" xfId="0" applyNumberFormat="1" applyFont="1" applyFill="1" applyBorder="1" applyAlignment="1">
      <alignment horizontal="left" vertical="center" wrapText="1" indent="1"/>
    </xf>
    <xf numFmtId="0" fontId="0" fillId="0" borderId="205" xfId="0" applyFont="1" applyFill="1" applyBorder="1" applyAlignment="1">
      <alignment horizontal="left" vertical="center" wrapText="1" indent="1"/>
    </xf>
    <xf numFmtId="1" fontId="13" fillId="0" borderId="205" xfId="0" applyNumberFormat="1" applyFont="1" applyFill="1" applyBorder="1" applyAlignment="1">
      <alignment horizontal="right" vertical="center" wrapText="1" indent="2"/>
    </xf>
    <xf numFmtId="166" fontId="13" fillId="0" borderId="205" xfId="0" applyNumberFormat="1" applyFont="1" applyFill="1" applyBorder="1" applyAlignment="1">
      <alignment horizontal="left" vertical="center" wrapText="1" indent="1"/>
    </xf>
    <xf numFmtId="166" fontId="13" fillId="0" borderId="209" xfId="0" applyNumberFormat="1" applyFont="1" applyFill="1" applyBorder="1" applyAlignment="1">
      <alignment horizontal="left" vertical="center" wrapText="1" indent="1"/>
    </xf>
    <xf numFmtId="166" fontId="13" fillId="0" borderId="206" xfId="0" applyNumberFormat="1" applyFont="1" applyFill="1" applyBorder="1" applyAlignment="1">
      <alignment horizontal="left" vertical="center" wrapText="1" indent="1"/>
    </xf>
    <xf numFmtId="166" fontId="13" fillId="0" borderId="146" xfId="0" applyNumberFormat="1" applyFont="1" applyFill="1" applyBorder="1" applyAlignment="1">
      <alignment horizontal="left" vertical="center" wrapText="1" indent="1"/>
    </xf>
    <xf numFmtId="171" fontId="0" fillId="0" borderId="144" xfId="0" applyNumberFormat="1" applyFont="1" applyFill="1" applyBorder="1" applyAlignment="1">
      <alignment horizontal="left" vertical="center" wrapText="1" indent="1"/>
    </xf>
    <xf numFmtId="171" fontId="0" fillId="0" borderId="206" xfId="0" applyNumberFormat="1" applyFont="1" applyFill="1" applyBorder="1" applyAlignment="1">
      <alignment horizontal="left" vertical="center" wrapText="1" indent="1"/>
    </xf>
    <xf numFmtId="0" fontId="0" fillId="0" borderId="146" xfId="0" applyFont="1" applyFill="1" applyBorder="1" applyAlignment="1">
      <alignment horizontal="center" vertical="center" wrapText="1"/>
    </xf>
    <xf numFmtId="3" fontId="0" fillId="0" borderId="205" xfId="0" applyNumberFormat="1" applyFont="1" applyFill="1" applyBorder="1" applyAlignment="1">
      <alignment horizontal="center" vertical="center" wrapText="1"/>
    </xf>
    <xf numFmtId="0" fontId="0" fillId="0" borderId="205" xfId="0" applyFont="1" applyFill="1" applyBorder="1" applyAlignment="1">
      <alignment horizontal="center" vertical="center" wrapText="1"/>
    </xf>
    <xf numFmtId="0" fontId="0" fillId="0" borderId="206" xfId="0" applyFont="1" applyFill="1" applyBorder="1" applyAlignment="1">
      <alignment horizontal="center" vertical="center" wrapText="1"/>
    </xf>
    <xf numFmtId="1" fontId="0" fillId="47" borderId="205" xfId="0" applyNumberFormat="1" applyFont="1" applyFill="1" applyBorder="1" applyAlignment="1">
      <alignment horizontal="right" vertical="center" wrapText="1" indent="1"/>
    </xf>
    <xf numFmtId="0" fontId="13" fillId="0" borderId="146" xfId="0" applyFont="1" applyFill="1" applyBorder="1" applyAlignment="1">
      <alignment horizontal="center" vertical="center" wrapText="1"/>
    </xf>
    <xf numFmtId="3" fontId="0" fillId="0" borderId="208" xfId="0" applyNumberFormat="1" applyFont="1" applyFill="1" applyBorder="1" applyAlignment="1">
      <alignment horizontal="center" vertical="center" wrapText="1"/>
    </xf>
    <xf numFmtId="0" fontId="1" fillId="0" borderId="210" xfId="0" applyFont="1" applyFill="1" applyBorder="1" applyAlignment="1">
      <alignment horizontal="left" vertical="center" wrapText="1" indent="1"/>
    </xf>
    <xf numFmtId="0" fontId="1" fillId="0" borderId="210" xfId="0" applyFont="1" applyFill="1" applyBorder="1" applyAlignment="1">
      <alignment horizontal="left" vertical="center" wrapText="1"/>
    </xf>
    <xf numFmtId="0" fontId="0" fillId="0" borderId="210" xfId="0" applyFont="1" applyFill="1" applyBorder="1" applyAlignment="1">
      <alignment horizontal="right" vertical="center" wrapText="1" indent="1"/>
    </xf>
    <xf numFmtId="192" fontId="0" fillId="0" borderId="210" xfId="0" applyNumberFormat="1" applyFont="1" applyFill="1" applyBorder="1" applyAlignment="1">
      <alignment horizontal="left" vertical="center" wrapText="1" indent="1"/>
    </xf>
    <xf numFmtId="0" fontId="0" fillId="0" borderId="210" xfId="0" applyFont="1" applyFill="1" applyBorder="1" applyAlignment="1">
      <alignment horizontal="left" vertical="center" wrapText="1" indent="1"/>
    </xf>
    <xf numFmtId="1" fontId="13" fillId="0" borderId="210" xfId="0" applyNumberFormat="1" applyFont="1" applyFill="1" applyBorder="1" applyAlignment="1">
      <alignment horizontal="right" vertical="center" wrapText="1" indent="2"/>
    </xf>
    <xf numFmtId="166" fontId="13" fillId="0" borderId="210" xfId="0" applyNumberFormat="1" applyFont="1" applyFill="1" applyBorder="1" applyAlignment="1">
      <alignment horizontal="left" vertical="center" wrapText="1" indent="1"/>
    </xf>
    <xf numFmtId="166" fontId="13" fillId="0" borderId="215" xfId="0" applyNumberFormat="1" applyFont="1" applyFill="1" applyBorder="1" applyAlignment="1">
      <alignment horizontal="left" vertical="center" wrapText="1" indent="1"/>
    </xf>
    <xf numFmtId="166" fontId="13" fillId="0" borderId="211" xfId="0" applyNumberFormat="1" applyFont="1" applyFill="1" applyBorder="1" applyAlignment="1">
      <alignment horizontal="left" vertical="center" wrapText="1" indent="1"/>
    </xf>
    <xf numFmtId="166" fontId="13" fillId="0" borderId="147" xfId="0" applyNumberFormat="1" applyFont="1" applyFill="1" applyBorder="1" applyAlignment="1">
      <alignment horizontal="left" vertical="center" wrapText="1" indent="1"/>
    </xf>
    <xf numFmtId="171" fontId="0" fillId="0" borderId="212" xfId="0" applyNumberFormat="1" applyFont="1" applyFill="1" applyBorder="1" applyAlignment="1">
      <alignment horizontal="left" vertical="center" wrapText="1" indent="1"/>
    </xf>
    <xf numFmtId="171" fontId="0" fillId="0" borderId="211" xfId="0" applyNumberFormat="1" applyFont="1" applyFill="1" applyBorder="1" applyAlignment="1">
      <alignment horizontal="left" vertical="center" wrapText="1" indent="1"/>
    </xf>
    <xf numFmtId="0" fontId="0" fillId="0" borderId="147" xfId="0" applyFont="1" applyFill="1" applyBorder="1" applyAlignment="1">
      <alignment horizontal="center" vertical="center" wrapText="1"/>
    </xf>
    <xf numFmtId="3" fontId="0" fillId="0" borderId="210" xfId="0" applyNumberFormat="1" applyFont="1" applyFill="1" applyBorder="1" applyAlignment="1">
      <alignment horizontal="center" vertical="center" wrapText="1"/>
    </xf>
    <xf numFmtId="0" fontId="0" fillId="0" borderId="210" xfId="0" applyFont="1" applyFill="1" applyBorder="1" applyAlignment="1">
      <alignment horizontal="center" vertical="center" wrapText="1"/>
    </xf>
    <xf numFmtId="0" fontId="0" fillId="0" borderId="211" xfId="0" applyFont="1" applyFill="1" applyBorder="1" applyAlignment="1">
      <alignment horizontal="center" vertical="center" wrapText="1"/>
    </xf>
    <xf numFmtId="1" fontId="0" fillId="47" borderId="210" xfId="0" applyNumberFormat="1" applyFont="1" applyFill="1" applyBorder="1" applyAlignment="1">
      <alignment horizontal="right" vertical="center" wrapText="1" indent="1"/>
    </xf>
    <xf numFmtId="0" fontId="13" fillId="0" borderId="147" xfId="0" applyFont="1" applyFill="1" applyBorder="1" applyAlignment="1">
      <alignment horizontal="center" vertical="center" wrapText="1"/>
    </xf>
    <xf numFmtId="3" fontId="0" fillId="0" borderId="214" xfId="0" applyNumberFormat="1" applyFont="1" applyFill="1" applyBorder="1" applyAlignment="1">
      <alignment horizontal="center" vertical="center" wrapText="1"/>
    </xf>
    <xf numFmtId="3" fontId="0" fillId="0" borderId="161" xfId="0" applyNumberFormat="1" applyFont="1" applyFill="1" applyBorder="1" applyAlignment="1">
      <alignment horizontal="center" vertical="center" wrapText="1"/>
    </xf>
    <xf numFmtId="3" fontId="0" fillId="0" borderId="165" xfId="0" applyNumberFormat="1" applyFont="1" applyFill="1" applyBorder="1" applyAlignment="1">
      <alignment horizontal="center" vertical="center" wrapText="1"/>
    </xf>
    <xf numFmtId="3" fontId="0" fillId="0" borderId="169" xfId="0" applyNumberFormat="1" applyFont="1" applyFill="1" applyBorder="1" applyAlignment="1">
      <alignment horizontal="center" vertical="center" wrapText="1"/>
    </xf>
    <xf numFmtId="0" fontId="1" fillId="0" borderId="450" xfId="0" applyFont="1" applyFill="1" applyBorder="1" applyAlignment="1">
      <alignment horizontal="left" vertical="center" wrapText="1" indent="1"/>
    </xf>
    <xf numFmtId="0" fontId="1" fillId="0" borderId="450" xfId="0" applyFont="1" applyFill="1" applyBorder="1" applyAlignment="1">
      <alignment horizontal="left" vertical="center" wrapText="1"/>
    </xf>
    <xf numFmtId="0" fontId="0" fillId="0" borderId="450" xfId="0" applyFont="1" applyFill="1" applyBorder="1" applyAlignment="1">
      <alignment horizontal="right" vertical="center" wrapText="1" indent="1"/>
    </xf>
    <xf numFmtId="192" fontId="0" fillId="0" borderId="450" xfId="0" applyNumberFormat="1" applyFont="1" applyFill="1" applyBorder="1" applyAlignment="1">
      <alignment horizontal="left" vertical="center" wrapText="1" indent="1"/>
    </xf>
    <xf numFmtId="0" fontId="0" fillId="0" borderId="450" xfId="0" applyFont="1" applyFill="1" applyBorder="1" applyAlignment="1">
      <alignment horizontal="left" vertical="center" wrapText="1" indent="1"/>
    </xf>
    <xf numFmtId="1" fontId="13" fillId="0" borderId="450" xfId="0" applyNumberFormat="1" applyFont="1" applyFill="1" applyBorder="1" applyAlignment="1">
      <alignment horizontal="right" vertical="center" wrapText="1" indent="2"/>
    </xf>
    <xf numFmtId="166" fontId="13" fillId="0" borderId="450" xfId="0" applyNumberFormat="1" applyFont="1" applyFill="1" applyBorder="1" applyAlignment="1">
      <alignment horizontal="left" vertical="center" wrapText="1" indent="1"/>
    </xf>
    <xf numFmtId="166" fontId="13" fillId="0" borderId="451" xfId="0" applyNumberFormat="1" applyFont="1" applyFill="1" applyBorder="1" applyAlignment="1">
      <alignment horizontal="left" vertical="center" wrapText="1" indent="1"/>
    </xf>
    <xf numFmtId="166" fontId="13" fillId="0" borderId="452" xfId="0" applyNumberFormat="1" applyFont="1" applyFill="1" applyBorder="1" applyAlignment="1">
      <alignment horizontal="left" vertical="center" wrapText="1" indent="1"/>
    </xf>
    <xf numFmtId="166" fontId="13" fillId="0" borderId="453" xfId="0" applyNumberFormat="1" applyFont="1" applyFill="1" applyBorder="1" applyAlignment="1">
      <alignment horizontal="left" vertical="center" wrapText="1" indent="1"/>
    </xf>
    <xf numFmtId="171" fontId="0" fillId="0" borderId="454" xfId="0" applyNumberFormat="1" applyFont="1" applyFill="1" applyBorder="1" applyAlignment="1">
      <alignment horizontal="left" vertical="center" wrapText="1" indent="1"/>
    </xf>
    <xf numFmtId="171" fontId="0" fillId="0" borderId="452" xfId="0" applyNumberFormat="1" applyFont="1" applyFill="1" applyBorder="1" applyAlignment="1">
      <alignment horizontal="left" vertical="center" wrapText="1" indent="1"/>
    </xf>
    <xf numFmtId="0" fontId="0" fillId="0" borderId="453" xfId="0" applyFont="1" applyFill="1" applyBorder="1" applyAlignment="1">
      <alignment horizontal="center" vertical="center" wrapText="1"/>
    </xf>
    <xf numFmtId="3" fontId="0" fillId="0" borderId="450" xfId="0" applyNumberFormat="1" applyFont="1" applyFill="1" applyBorder="1" applyAlignment="1">
      <alignment horizontal="center" vertical="center" wrapText="1"/>
    </xf>
    <xf numFmtId="0" fontId="0" fillId="0" borderId="450" xfId="0" applyFont="1" applyFill="1" applyBorder="1" applyAlignment="1">
      <alignment horizontal="center" vertical="center" wrapText="1"/>
    </xf>
    <xf numFmtId="0" fontId="0" fillId="0" borderId="452" xfId="0" applyFont="1" applyFill="1" applyBorder="1" applyAlignment="1">
      <alignment horizontal="center" vertical="center" wrapText="1"/>
    </xf>
    <xf numFmtId="1" fontId="0" fillId="47" borderId="450" xfId="0" applyNumberFormat="1" applyFont="1" applyFill="1" applyBorder="1" applyAlignment="1">
      <alignment horizontal="right" vertical="center" wrapText="1" indent="1"/>
    </xf>
    <xf numFmtId="0" fontId="13" fillId="0" borderId="453" xfId="0" applyFont="1" applyFill="1" applyBorder="1" applyAlignment="1">
      <alignment horizontal="center" vertical="center" wrapText="1"/>
    </xf>
    <xf numFmtId="0" fontId="0" fillId="0" borderId="454" xfId="0" applyFont="1" applyFill="1" applyBorder="1" applyAlignment="1">
      <alignment horizontal="center" vertical="center" wrapText="1"/>
    </xf>
    <xf numFmtId="3" fontId="0" fillId="0" borderId="455" xfId="0" applyNumberFormat="1" applyFont="1" applyFill="1" applyBorder="1" applyAlignment="1">
      <alignment horizontal="center" vertical="center" wrapText="1"/>
    </xf>
    <xf numFmtId="0" fontId="1" fillId="0" borderId="154" xfId="0" applyFont="1" applyFill="1" applyBorder="1" applyAlignment="1">
      <alignment horizontal="left" vertical="center" wrapText="1" indent="1"/>
    </xf>
    <xf numFmtId="0" fontId="1" fillId="0" borderId="154" xfId="0" applyFont="1" applyFill="1" applyBorder="1" applyAlignment="1">
      <alignment horizontal="left" vertical="center" wrapText="1"/>
    </xf>
    <xf numFmtId="0" fontId="0" fillId="0" borderId="154" xfId="0" applyFont="1" applyFill="1" applyBorder="1" applyAlignment="1">
      <alignment horizontal="right" vertical="center" wrapText="1" indent="1"/>
    </xf>
    <xf numFmtId="192" fontId="0" fillId="0" borderId="154" xfId="0" applyNumberFormat="1" applyFont="1" applyFill="1" applyBorder="1" applyAlignment="1">
      <alignment horizontal="left" vertical="center" wrapText="1" indent="1"/>
    </xf>
    <xf numFmtId="0" fontId="0" fillId="0" borderId="154" xfId="0" applyFont="1" applyFill="1" applyBorder="1" applyAlignment="1">
      <alignment horizontal="left" vertical="center" wrapText="1" indent="1"/>
    </xf>
    <xf numFmtId="1" fontId="13" fillId="0" borderId="154" xfId="0" applyNumberFormat="1" applyFont="1" applyFill="1" applyBorder="1" applyAlignment="1">
      <alignment horizontal="right" vertical="center" wrapText="1" indent="2"/>
    </xf>
    <xf numFmtId="166" fontId="13" fillId="0" borderId="154" xfId="0" applyNumberFormat="1" applyFont="1" applyFill="1" applyBorder="1" applyAlignment="1">
      <alignment horizontal="left" vertical="center" wrapText="1" indent="1"/>
    </xf>
    <xf numFmtId="166" fontId="13" fillId="0" borderId="166" xfId="0" applyNumberFormat="1" applyFont="1" applyFill="1" applyBorder="1" applyAlignment="1">
      <alignment horizontal="left" vertical="center" wrapText="1" indent="1"/>
    </xf>
    <xf numFmtId="166" fontId="13" fillId="0" borderId="155" xfId="0" applyNumberFormat="1" applyFont="1" applyFill="1" applyBorder="1" applyAlignment="1">
      <alignment horizontal="left" vertical="center" wrapText="1" indent="1"/>
    </xf>
    <xf numFmtId="166" fontId="13" fillId="0" borderId="152" xfId="0" applyNumberFormat="1" applyFont="1" applyFill="1" applyBorder="1" applyAlignment="1">
      <alignment horizontal="left" vertical="center" wrapText="1" indent="1"/>
    </xf>
    <xf numFmtId="171" fontId="0" fillId="0" borderId="153" xfId="0" applyNumberFormat="1" applyFont="1" applyFill="1" applyBorder="1" applyAlignment="1">
      <alignment horizontal="left" vertical="center" wrapText="1" indent="1"/>
    </xf>
    <xf numFmtId="171" fontId="0" fillId="0" borderId="155" xfId="0" applyNumberFormat="1" applyFont="1" applyFill="1" applyBorder="1" applyAlignment="1">
      <alignment horizontal="left" vertical="center" wrapText="1" indent="1"/>
    </xf>
    <xf numFmtId="0" fontId="0" fillId="0" borderId="152" xfId="0" applyFont="1" applyFill="1" applyBorder="1" applyAlignment="1">
      <alignment horizontal="center" vertical="center" wrapText="1"/>
    </xf>
    <xf numFmtId="3" fontId="0" fillId="0" borderId="154" xfId="0" applyNumberFormat="1" applyFont="1" applyFill="1" applyBorder="1" applyAlignment="1">
      <alignment horizontal="center" vertical="center" wrapText="1"/>
    </xf>
    <xf numFmtId="0" fontId="0" fillId="0" borderId="154" xfId="0" applyFont="1" applyFill="1" applyBorder="1" applyAlignment="1">
      <alignment horizontal="center" vertical="center" wrapText="1"/>
    </xf>
    <xf numFmtId="0" fontId="0" fillId="0" borderId="155" xfId="0" applyFont="1" applyFill="1" applyBorder="1" applyAlignment="1">
      <alignment horizontal="center" vertical="center" wrapText="1"/>
    </xf>
    <xf numFmtId="1" fontId="0" fillId="47" borderId="154" xfId="0" applyNumberFormat="1" applyFont="1" applyFill="1" applyBorder="1" applyAlignment="1">
      <alignment horizontal="right" vertical="center" wrapText="1" indent="1"/>
    </xf>
    <xf numFmtId="0" fontId="13" fillId="0" borderId="152" xfId="0" applyFont="1" applyFill="1" applyBorder="1" applyAlignment="1">
      <alignment horizontal="center" vertical="center" wrapText="1"/>
    </xf>
    <xf numFmtId="0" fontId="0" fillId="0" borderId="153" xfId="0" applyFont="1" applyFill="1" applyBorder="1" applyAlignment="1">
      <alignment horizontal="center" vertical="center" wrapText="1"/>
    </xf>
    <xf numFmtId="0" fontId="1" fillId="0" borderId="456" xfId="0" applyFont="1" applyFill="1" applyBorder="1" applyAlignment="1">
      <alignment horizontal="left" vertical="center" wrapText="1" indent="1"/>
    </xf>
    <xf numFmtId="0" fontId="1" fillId="0" borderId="456" xfId="0" applyFont="1" applyFill="1" applyBorder="1" applyAlignment="1">
      <alignment horizontal="left" vertical="center" wrapText="1"/>
    </xf>
    <xf numFmtId="0" fontId="0" fillId="0" borderId="456" xfId="0" applyFont="1" applyFill="1" applyBorder="1" applyAlignment="1">
      <alignment horizontal="right" vertical="center" wrapText="1" indent="1"/>
    </xf>
    <xf numFmtId="192" fontId="0" fillId="0" borderId="456" xfId="0" applyNumberFormat="1" applyFont="1" applyFill="1" applyBorder="1" applyAlignment="1">
      <alignment horizontal="left" vertical="center" wrapText="1" indent="1"/>
    </xf>
    <xf numFmtId="0" fontId="0" fillId="0" borderId="456" xfId="0" applyFont="1" applyFill="1" applyBorder="1" applyAlignment="1">
      <alignment horizontal="left" vertical="center" wrapText="1" indent="1"/>
    </xf>
    <xf numFmtId="1" fontId="13" fillId="0" borderId="456" xfId="0" applyNumberFormat="1" applyFont="1" applyFill="1" applyBorder="1" applyAlignment="1">
      <alignment horizontal="right" vertical="center" wrapText="1" indent="2"/>
    </xf>
    <xf numFmtId="166" fontId="13" fillId="0" borderId="456" xfId="0" applyNumberFormat="1" applyFont="1" applyFill="1" applyBorder="1" applyAlignment="1">
      <alignment horizontal="left" vertical="center" wrapText="1" indent="1"/>
    </xf>
    <xf numFmtId="166" fontId="13" fillId="0" borderId="457" xfId="0" applyNumberFormat="1" applyFont="1" applyFill="1" applyBorder="1" applyAlignment="1">
      <alignment horizontal="left" vertical="center" wrapText="1" indent="1"/>
    </xf>
    <xf numFmtId="166" fontId="13" fillId="0" borderId="458" xfId="0" applyNumberFormat="1" applyFont="1" applyFill="1" applyBorder="1" applyAlignment="1">
      <alignment horizontal="left" vertical="center" wrapText="1" indent="1"/>
    </xf>
    <xf numFmtId="166" fontId="13" fillId="0" borderId="459" xfId="0" applyNumberFormat="1" applyFont="1" applyFill="1" applyBorder="1" applyAlignment="1">
      <alignment horizontal="left" vertical="center" wrapText="1" indent="1"/>
    </xf>
    <xf numFmtId="171" fontId="0" fillId="0" borderId="460" xfId="0" applyNumberFormat="1" applyFont="1" applyFill="1" applyBorder="1" applyAlignment="1">
      <alignment horizontal="left" vertical="center" wrapText="1" indent="1"/>
    </xf>
    <xf numFmtId="171" fontId="0" fillId="0" borderId="458" xfId="0" applyNumberFormat="1" applyFont="1" applyFill="1" applyBorder="1" applyAlignment="1">
      <alignment horizontal="left" vertical="center" wrapText="1" indent="1"/>
    </xf>
    <xf numFmtId="0" fontId="0" fillId="0" borderId="459" xfId="0" applyFont="1" applyFill="1" applyBorder="1" applyAlignment="1">
      <alignment horizontal="center" vertical="center" wrapText="1"/>
    </xf>
    <xf numFmtId="3" fontId="0" fillId="0" borderId="456" xfId="0" applyNumberFormat="1" applyFont="1" applyFill="1" applyBorder="1" applyAlignment="1">
      <alignment horizontal="center" vertical="center" wrapText="1"/>
    </xf>
    <xf numFmtId="0" fontId="0" fillId="0" borderId="456" xfId="0" applyFont="1" applyFill="1" applyBorder="1" applyAlignment="1">
      <alignment horizontal="center" vertical="center" wrapText="1"/>
    </xf>
    <xf numFmtId="0" fontId="0" fillId="0" borderId="458" xfId="0" applyFont="1" applyFill="1" applyBorder="1" applyAlignment="1">
      <alignment horizontal="center" vertical="center" wrapText="1"/>
    </xf>
    <xf numFmtId="1" fontId="0" fillId="47" borderId="456" xfId="0" applyNumberFormat="1" applyFont="1" applyFill="1" applyBorder="1" applyAlignment="1">
      <alignment horizontal="right" vertical="center" wrapText="1" indent="1"/>
    </xf>
    <xf numFmtId="0" fontId="13" fillId="0" borderId="459" xfId="0" applyFont="1" applyFill="1" applyBorder="1" applyAlignment="1">
      <alignment horizontal="center" vertical="center" wrapText="1"/>
    </xf>
    <xf numFmtId="0" fontId="0" fillId="0" borderId="460" xfId="0" applyFont="1" applyFill="1" applyBorder="1" applyAlignment="1">
      <alignment horizontal="center" vertical="center" wrapText="1"/>
    </xf>
    <xf numFmtId="3" fontId="0" fillId="0" borderId="461" xfId="0" applyNumberFormat="1" applyFont="1" applyFill="1" applyBorder="1" applyAlignment="1">
      <alignment horizontal="center" vertical="center" wrapText="1"/>
    </xf>
    <xf numFmtId="0" fontId="4" fillId="0" borderId="450" xfId="0" applyFont="1" applyFill="1" applyBorder="1" applyAlignment="1">
      <alignment horizontal="left" vertical="center" wrapText="1" indent="1"/>
    </xf>
    <xf numFmtId="187" fontId="0" fillId="0" borderId="450" xfId="0" applyNumberFormat="1" applyFont="1" applyFill="1" applyBorder="1" applyAlignment="1">
      <alignment horizontal="center" vertical="center" wrapText="1"/>
    </xf>
    <xf numFmtId="0" fontId="4" fillId="0" borderId="154" xfId="0" applyFont="1" applyFill="1" applyBorder="1" applyAlignment="1">
      <alignment horizontal="left" vertical="center" wrapText="1" indent="1"/>
    </xf>
    <xf numFmtId="187" fontId="0" fillId="0" borderId="154" xfId="0" applyNumberFormat="1" applyFont="1" applyFill="1" applyBorder="1" applyAlignment="1">
      <alignment horizontal="center" vertical="center" wrapText="1"/>
    </xf>
    <xf numFmtId="0" fontId="4" fillId="0" borderId="456" xfId="0" applyFont="1" applyFill="1" applyBorder="1" applyAlignment="1">
      <alignment horizontal="left" vertical="center" wrapText="1" indent="1"/>
    </xf>
    <xf numFmtId="187" fontId="0" fillId="0" borderId="456" xfId="0" applyNumberFormat="1" applyFont="1" applyFill="1" applyBorder="1" applyAlignment="1">
      <alignment horizontal="center" vertical="center" wrapText="1"/>
    </xf>
    <xf numFmtId="0" fontId="0" fillId="0" borderId="462" xfId="0" applyFont="1" applyFill="1" applyBorder="1" applyAlignment="1">
      <alignment horizontal="center" vertical="center" wrapText="1"/>
    </xf>
    <xf numFmtId="0" fontId="0" fillId="0" borderId="463" xfId="0" applyFont="1" applyFill="1" applyBorder="1" applyAlignment="1">
      <alignment horizontal="center" vertical="center" wrapText="1"/>
    </xf>
    <xf numFmtId="0" fontId="0" fillId="0" borderId="464" xfId="0" applyFont="1" applyFill="1" applyBorder="1" applyAlignment="1">
      <alignment horizontal="center" vertical="center" wrapText="1"/>
    </xf>
    <xf numFmtId="0" fontId="0" fillId="0" borderId="158" xfId="0" applyFont="1" applyFill="1" applyBorder="1" applyAlignment="1">
      <alignment horizontal="center" vertical="center" wrapText="1"/>
    </xf>
    <xf numFmtId="0" fontId="0" fillId="0" borderId="158" xfId="0" applyFont="1" applyFill="1" applyBorder="1" applyAlignment="1">
      <alignment horizontal="left" vertical="center" wrapText="1" indent="1"/>
    </xf>
    <xf numFmtId="0" fontId="4" fillId="0" borderId="158" xfId="0" applyFont="1" applyFill="1" applyBorder="1" applyAlignment="1">
      <alignment horizontal="left" vertical="center" wrapText="1" indent="1"/>
    </xf>
    <xf numFmtId="187" fontId="0" fillId="0" borderId="158" xfId="0" applyNumberFormat="1" applyFont="1" applyFill="1" applyBorder="1" applyAlignment="1">
      <alignment horizontal="center" vertical="center" wrapText="1"/>
    </xf>
    <xf numFmtId="166" fontId="13" fillId="0" borderId="450" xfId="0" applyNumberFormat="1" applyFont="1" applyFill="1" applyBorder="1" applyAlignment="1">
      <alignment horizontal="center" vertical="center" wrapText="1"/>
    </xf>
    <xf numFmtId="166" fontId="13" fillId="0" borderId="451" xfId="0" applyNumberFormat="1" applyFont="1" applyFill="1" applyBorder="1" applyAlignment="1">
      <alignment horizontal="center" vertical="center" wrapText="1"/>
    </xf>
    <xf numFmtId="166" fontId="13" fillId="0" borderId="452" xfId="0" applyNumberFormat="1" applyFont="1" applyFill="1" applyBorder="1" applyAlignment="1">
      <alignment horizontal="center" vertical="center" wrapText="1"/>
    </xf>
    <xf numFmtId="166" fontId="13" fillId="0" borderId="453" xfId="0" applyNumberFormat="1" applyFont="1" applyFill="1" applyBorder="1" applyAlignment="1">
      <alignment horizontal="center" vertical="center" wrapText="1"/>
    </xf>
    <xf numFmtId="171" fontId="0" fillId="0" borderId="454" xfId="0" applyNumberFormat="1" applyFont="1" applyFill="1" applyBorder="1" applyAlignment="1">
      <alignment horizontal="center" vertical="center" wrapText="1"/>
    </xf>
    <xf numFmtId="171" fontId="47" fillId="0" borderId="452" xfId="0" applyNumberFormat="1" applyFont="1" applyFill="1" applyBorder="1" applyAlignment="1">
      <alignment horizontal="center" vertical="center" wrapText="1"/>
    </xf>
    <xf numFmtId="166" fontId="13" fillId="0" borderId="154" xfId="0" applyNumberFormat="1" applyFont="1" applyFill="1" applyBorder="1" applyAlignment="1">
      <alignment horizontal="center" vertical="center" wrapText="1"/>
    </xf>
    <xf numFmtId="166" fontId="13" fillId="0" borderId="166" xfId="0" applyNumberFormat="1" applyFont="1" applyFill="1" applyBorder="1" applyAlignment="1">
      <alignment horizontal="center" vertical="center" wrapText="1"/>
    </xf>
    <xf numFmtId="166" fontId="13" fillId="0" borderId="155" xfId="0" applyNumberFormat="1" applyFont="1" applyFill="1" applyBorder="1" applyAlignment="1">
      <alignment horizontal="center" vertical="center" wrapText="1"/>
    </xf>
    <xf numFmtId="166" fontId="13" fillId="0" borderId="152" xfId="0" applyNumberFormat="1" applyFont="1" applyFill="1" applyBorder="1" applyAlignment="1">
      <alignment horizontal="center" vertical="center" wrapText="1"/>
    </xf>
    <xf numFmtId="171" fontId="0" fillId="0" borderId="153" xfId="0" applyNumberFormat="1" applyFont="1" applyFill="1" applyBorder="1" applyAlignment="1">
      <alignment horizontal="center" vertical="center" wrapText="1"/>
    </xf>
    <xf numFmtId="171" fontId="0" fillId="0" borderId="155" xfId="0" applyNumberFormat="1" applyFont="1" applyFill="1" applyBorder="1" applyAlignment="1">
      <alignment horizontal="center" vertical="center" wrapText="1"/>
    </xf>
    <xf numFmtId="0" fontId="1" fillId="0" borderId="158" xfId="0" applyFont="1" applyFill="1" applyBorder="1" applyAlignment="1">
      <alignment horizontal="left" vertical="center" wrapText="1" indent="1"/>
    </xf>
    <xf numFmtId="0" fontId="1" fillId="0" borderId="158" xfId="0" applyFont="1" applyFill="1" applyBorder="1" applyAlignment="1">
      <alignment horizontal="left" vertical="center" wrapText="1"/>
    </xf>
    <xf numFmtId="0" fontId="0" fillId="0" borderId="158" xfId="0" applyFont="1" applyFill="1" applyBorder="1" applyAlignment="1">
      <alignment horizontal="right" vertical="center" wrapText="1" indent="1"/>
    </xf>
    <xf numFmtId="192" fontId="0" fillId="0" borderId="158" xfId="0" applyNumberFormat="1" applyFont="1" applyFill="1" applyBorder="1" applyAlignment="1">
      <alignment horizontal="left" vertical="center" wrapText="1" indent="1"/>
    </xf>
    <xf numFmtId="1" fontId="13" fillId="0" borderId="158" xfId="0" applyNumberFormat="1" applyFont="1" applyFill="1" applyBorder="1" applyAlignment="1">
      <alignment horizontal="right" vertical="center" wrapText="1" indent="2"/>
    </xf>
    <xf numFmtId="166" fontId="13" fillId="0" borderId="158" xfId="0" applyNumberFormat="1" applyFont="1" applyFill="1" applyBorder="1" applyAlignment="1">
      <alignment horizontal="center" vertical="center" wrapText="1"/>
    </xf>
    <xf numFmtId="166" fontId="13" fillId="0" borderId="170" xfId="0" applyNumberFormat="1" applyFont="1" applyFill="1" applyBorder="1" applyAlignment="1">
      <alignment horizontal="center" vertical="center" wrapText="1"/>
    </xf>
    <xf numFmtId="166" fontId="13" fillId="0" borderId="159" xfId="0" applyNumberFormat="1" applyFont="1" applyFill="1" applyBorder="1" applyAlignment="1">
      <alignment horizontal="center" vertical="center" wrapText="1"/>
    </xf>
    <xf numFmtId="166" fontId="13" fillId="0" borderId="156" xfId="0" applyNumberFormat="1" applyFont="1" applyFill="1" applyBorder="1" applyAlignment="1">
      <alignment horizontal="center" vertical="center" wrapText="1"/>
    </xf>
    <xf numFmtId="171" fontId="0" fillId="0" borderId="157" xfId="0" applyNumberFormat="1" applyFont="1" applyFill="1" applyBorder="1" applyAlignment="1">
      <alignment horizontal="center" vertical="center" wrapText="1"/>
    </xf>
    <xf numFmtId="171" fontId="0" fillId="0" borderId="159" xfId="0" applyNumberFormat="1" applyFont="1" applyFill="1" applyBorder="1" applyAlignment="1">
      <alignment horizontal="center" vertical="center" wrapText="1"/>
    </xf>
    <xf numFmtId="0" fontId="0" fillId="0" borderId="156" xfId="0" applyFont="1" applyFill="1" applyBorder="1" applyAlignment="1">
      <alignment horizontal="center" vertical="center" wrapText="1"/>
    </xf>
    <xf numFmtId="3" fontId="0" fillId="0" borderId="158" xfId="0" applyNumberFormat="1" applyFont="1" applyFill="1" applyBorder="1" applyAlignment="1">
      <alignment horizontal="center" vertical="center" wrapText="1"/>
    </xf>
    <xf numFmtId="0" fontId="0" fillId="0" borderId="159" xfId="0" applyFont="1" applyFill="1" applyBorder="1" applyAlignment="1">
      <alignment horizontal="center" vertical="center" wrapText="1"/>
    </xf>
    <xf numFmtId="1" fontId="0" fillId="47" borderId="158" xfId="0" applyNumberFormat="1" applyFont="1" applyFill="1" applyBorder="1" applyAlignment="1">
      <alignment horizontal="right" vertical="center" wrapText="1" indent="1"/>
    </xf>
    <xf numFmtId="0" fontId="13" fillId="0" borderId="156" xfId="0" applyFont="1" applyFill="1" applyBorder="1" applyAlignment="1">
      <alignment horizontal="center" vertical="center" wrapText="1"/>
    </xf>
    <xf numFmtId="3" fontId="0" fillId="0" borderId="465" xfId="0" applyNumberFormat="1" applyFont="1" applyFill="1" applyBorder="1" applyAlignment="1">
      <alignment horizontal="center" vertical="center" wrapText="1"/>
    </xf>
    <xf numFmtId="3" fontId="0" fillId="0" borderId="26" xfId="0" applyNumberFormat="1" applyFont="1" applyFill="1" applyBorder="1" applyAlignment="1">
      <alignment vertical="center" wrapText="1"/>
    </xf>
    <xf numFmtId="3" fontId="0" fillId="0" borderId="363" xfId="0" applyNumberFormat="1" applyFont="1" applyFill="1" applyBorder="1" applyAlignment="1">
      <alignment vertical="center" wrapText="1"/>
    </xf>
    <xf numFmtId="3" fontId="0" fillId="0" borderId="364" xfId="0" applyNumberFormat="1" applyFont="1" applyFill="1" applyBorder="1" applyAlignment="1">
      <alignment horizontal="right" vertical="center" wrapText="1"/>
    </xf>
    <xf numFmtId="3" fontId="0" fillId="0" borderId="17" xfId="0" applyNumberFormat="1" applyFont="1" applyFill="1" applyBorder="1" applyAlignment="1">
      <alignment vertical="center" wrapText="1"/>
    </xf>
    <xf numFmtId="0" fontId="0" fillId="0" borderId="203" xfId="0" applyFont="1" applyFill="1" applyBorder="1" applyAlignment="1">
      <alignment horizontal="left" vertical="center" wrapText="1" indent="1"/>
    </xf>
    <xf numFmtId="0" fontId="0" fillId="0" borderId="209" xfId="0" applyFont="1" applyFill="1" applyBorder="1" applyAlignment="1">
      <alignment horizontal="left" vertical="center" wrapText="1" indent="1"/>
    </xf>
    <xf numFmtId="0" fontId="0" fillId="0" borderId="215" xfId="0" applyFont="1" applyFill="1" applyBorder="1" applyAlignment="1">
      <alignment horizontal="left" vertical="center" wrapText="1" indent="1"/>
    </xf>
    <xf numFmtId="0" fontId="0" fillId="0" borderId="13" xfId="0" applyFont="1" applyFill="1" applyBorder="1" applyAlignment="1">
      <alignment horizontal="left" vertical="center" wrapText="1" indent="1"/>
    </xf>
    <xf numFmtId="0" fontId="0" fillId="0" borderId="451" xfId="0" applyFont="1" applyFill="1" applyBorder="1" applyAlignment="1">
      <alignment horizontal="left" vertical="center" wrapText="1" indent="1"/>
    </xf>
    <xf numFmtId="0" fontId="0" fillId="0" borderId="166" xfId="0" applyFont="1" applyFill="1" applyBorder="1" applyAlignment="1">
      <alignment horizontal="left" vertical="center" wrapText="1" indent="1"/>
    </xf>
    <xf numFmtId="0" fontId="0" fillId="0" borderId="457" xfId="0" applyFont="1" applyFill="1" applyBorder="1" applyAlignment="1">
      <alignment horizontal="left" vertical="center" wrapText="1" indent="1"/>
    </xf>
    <xf numFmtId="0" fontId="0" fillId="0" borderId="50" xfId="0" applyFont="1" applyFill="1" applyBorder="1" applyAlignment="1">
      <alignment horizontal="left" vertical="center" wrapText="1" indent="1"/>
    </xf>
    <xf numFmtId="0" fontId="0" fillId="0" borderId="128" xfId="0" applyFont="1" applyFill="1" applyBorder="1" applyAlignment="1">
      <alignment horizontal="left" vertical="center" wrapText="1" indent="1"/>
    </xf>
    <xf numFmtId="0" fontId="0" fillId="0" borderId="114" xfId="0" applyFont="1" applyFill="1" applyBorder="1" applyAlignment="1">
      <alignment horizontal="left" vertical="center" wrapText="1" indent="1"/>
    </xf>
    <xf numFmtId="0" fontId="0" fillId="0" borderId="170" xfId="0" applyFont="1" applyFill="1" applyBorder="1" applyAlignment="1">
      <alignment horizontal="left" vertical="center" wrapText="1" indent="1"/>
    </xf>
    <xf numFmtId="0" fontId="0" fillId="0" borderId="29" xfId="0" applyFont="1" applyFill="1" applyBorder="1" applyAlignment="1">
      <alignment horizontal="left" vertical="center" wrapText="1" indent="1"/>
    </xf>
    <xf numFmtId="0" fontId="0" fillId="0" borderId="111" xfId="0" applyFont="1" applyFill="1" applyBorder="1" applyAlignment="1">
      <alignment horizontal="left" vertical="center" wrapText="1" indent="1"/>
    </xf>
    <xf numFmtId="0" fontId="0" fillId="0" borderId="8" xfId="0" applyFont="1" applyFill="1" applyBorder="1" applyAlignment="1">
      <alignment horizontal="left" vertical="center" wrapText="1" indent="1"/>
    </xf>
    <xf numFmtId="0" fontId="0" fillId="0" borderId="16" xfId="0" applyFont="1" applyFill="1" applyBorder="1" applyAlignment="1">
      <alignment horizontal="left" vertical="center" wrapText="1" indent="1"/>
    </xf>
    <xf numFmtId="0" fontId="0" fillId="0" borderId="200" xfId="0" applyFont="1" applyFill="1" applyBorder="1" applyAlignment="1">
      <alignment horizontal="left" vertical="center" wrapText="1" indent="1"/>
    </xf>
    <xf numFmtId="0" fontId="0" fillId="0" borderId="144" xfId="0" applyFont="1" applyFill="1" applyBorder="1" applyAlignment="1">
      <alignment horizontal="left" vertical="center" wrapText="1" indent="1"/>
    </xf>
    <xf numFmtId="0" fontId="0" fillId="0" borderId="212" xfId="0" applyFont="1" applyFill="1" applyBorder="1" applyAlignment="1">
      <alignment horizontal="left" vertical="center" wrapText="1" indent="1"/>
    </xf>
    <xf numFmtId="0" fontId="0" fillId="0" borderId="454" xfId="0" applyFont="1" applyFill="1" applyBorder="1" applyAlignment="1">
      <alignment horizontal="left" vertical="center" wrapText="1" indent="1"/>
    </xf>
    <xf numFmtId="0" fontId="0" fillId="0" borderId="153" xfId="0" applyFont="1" applyFill="1" applyBorder="1" applyAlignment="1">
      <alignment horizontal="left" vertical="center" wrapText="1" indent="1"/>
    </xf>
    <xf numFmtId="0" fontId="0" fillId="0" borderId="460" xfId="0" applyFont="1" applyFill="1" applyBorder="1" applyAlignment="1">
      <alignment horizontal="left" vertical="center" wrapText="1" indent="1"/>
    </xf>
    <xf numFmtId="0" fontId="0" fillId="0" borderId="74" xfId="0" applyFont="1" applyFill="1" applyBorder="1" applyAlignment="1">
      <alignment horizontal="left" vertical="center" wrapText="1" indent="1"/>
    </xf>
    <xf numFmtId="0" fontId="0" fillId="0" borderId="133" xfId="0" applyFont="1" applyFill="1" applyBorder="1" applyAlignment="1">
      <alignment horizontal="left" vertical="center" wrapText="1" indent="1"/>
    </xf>
    <xf numFmtId="0" fontId="0" fillId="0" borderId="116" xfId="0" applyFont="1" applyFill="1" applyBorder="1" applyAlignment="1">
      <alignment horizontal="left" vertical="center" wrapText="1" indent="1"/>
    </xf>
    <xf numFmtId="0" fontId="0" fillId="0" borderId="157" xfId="0" applyFont="1" applyFill="1" applyBorder="1" applyAlignment="1">
      <alignment horizontal="left" vertical="center" wrapText="1" indent="1"/>
    </xf>
    <xf numFmtId="0" fontId="0" fillId="0" borderId="72" xfId="0" applyFont="1" applyFill="1" applyBorder="1" applyAlignment="1">
      <alignment horizontal="left" vertical="center" wrapText="1" indent="1"/>
    </xf>
    <xf numFmtId="0" fontId="0" fillId="0" borderId="30" xfId="0" applyFont="1" applyFill="1" applyBorder="1" applyAlignment="1">
      <alignment horizontal="left" vertical="center" wrapText="1" indent="1"/>
    </xf>
    <xf numFmtId="0" fontId="0" fillId="0" borderId="113" xfId="0" applyFont="1" applyFill="1" applyBorder="1" applyAlignment="1">
      <alignment horizontal="left" vertical="center" wrapText="1" indent="1"/>
    </xf>
    <xf numFmtId="0" fontId="0" fillId="0" borderId="199" xfId="0" applyFont="1" applyFill="1" applyBorder="1" applyAlignment="1">
      <alignment horizontal="left" vertical="center" wrapText="1" indent="1"/>
    </xf>
    <xf numFmtId="0" fontId="0" fillId="0" borderId="206" xfId="0" applyFont="1" applyFill="1" applyBorder="1" applyAlignment="1">
      <alignment horizontal="left" vertical="center" wrapText="1" indent="1"/>
    </xf>
    <xf numFmtId="0" fontId="0" fillId="0" borderId="211" xfId="0" applyFont="1" applyFill="1" applyBorder="1" applyAlignment="1">
      <alignment horizontal="left" vertical="center" wrapText="1" indent="1"/>
    </xf>
    <xf numFmtId="0" fontId="0" fillId="0" borderId="452" xfId="0" applyFont="1" applyFill="1" applyBorder="1" applyAlignment="1">
      <alignment horizontal="left" vertical="center" wrapText="1" indent="1"/>
    </xf>
    <xf numFmtId="0" fontId="0" fillId="0" borderId="155" xfId="0" applyFont="1" applyFill="1" applyBorder="1" applyAlignment="1">
      <alignment horizontal="left" vertical="center" wrapText="1" indent="1"/>
    </xf>
    <xf numFmtId="0" fontId="0" fillId="0" borderId="458" xfId="0" applyFont="1" applyFill="1" applyBorder="1" applyAlignment="1">
      <alignment horizontal="left" vertical="center" wrapText="1" indent="1"/>
    </xf>
    <xf numFmtId="0" fontId="0" fillId="0" borderId="34" xfId="0" applyFont="1" applyFill="1" applyBorder="1" applyAlignment="1">
      <alignment horizontal="left" vertical="center" wrapText="1" indent="1"/>
    </xf>
    <xf numFmtId="0" fontId="0" fillId="0" borderId="362" xfId="0" applyFont="1" applyFill="1" applyBorder="1" applyAlignment="1">
      <alignment horizontal="left" vertical="center" wrapText="1" indent="1"/>
    </xf>
    <xf numFmtId="0" fontId="0" fillId="0" borderId="122" xfId="0" applyFont="1" applyFill="1" applyBorder="1" applyAlignment="1">
      <alignment horizontal="left" vertical="center" wrapText="1" indent="1"/>
    </xf>
    <xf numFmtId="0" fontId="0" fillId="0" borderId="159" xfId="0" applyFont="1" applyFill="1" applyBorder="1" applyAlignment="1">
      <alignment horizontal="left" vertical="center" wrapText="1" indent="1"/>
    </xf>
    <xf numFmtId="0" fontId="0" fillId="0" borderId="33" xfId="0" applyFont="1" applyFill="1" applyBorder="1" applyAlignment="1">
      <alignment horizontal="left" vertical="center" wrapText="1" indent="1"/>
    </xf>
    <xf numFmtId="0" fontId="0" fillId="0" borderId="369" xfId="0" applyFont="1" applyFill="1" applyBorder="1" applyAlignment="1">
      <alignment horizontal="left" vertical="center" wrapText="1" indent="1"/>
    </xf>
    <xf numFmtId="0" fontId="0" fillId="0" borderId="60" xfId="0" applyFont="1" applyFill="1" applyBorder="1" applyAlignment="1">
      <alignment horizontal="left" vertical="center" wrapText="1" indent="1"/>
    </xf>
    <xf numFmtId="0" fontId="0" fillId="0" borderId="105" xfId="0" applyFont="1" applyFill="1" applyBorder="1" applyAlignment="1">
      <alignment horizontal="left" vertical="center" wrapText="1" indent="1"/>
    </xf>
    <xf numFmtId="3" fontId="0" fillId="0" borderId="32" xfId="0" applyNumberFormat="1" applyFont="1" applyFill="1" applyBorder="1" applyAlignment="1">
      <alignment horizontal="right" vertical="center" wrapText="1" indent="1"/>
    </xf>
    <xf numFmtId="3" fontId="0" fillId="0" borderId="199" xfId="0" applyNumberFormat="1" applyFont="1" applyFill="1" applyBorder="1" applyAlignment="1">
      <alignment horizontal="right" vertical="center" wrapText="1" indent="1"/>
    </xf>
    <xf numFmtId="3" fontId="0" fillId="0" borderId="206" xfId="0" applyNumberFormat="1" applyFont="1" applyFill="1" applyBorder="1" applyAlignment="1">
      <alignment horizontal="right" vertical="center" wrapText="1" indent="1"/>
    </xf>
    <xf numFmtId="3" fontId="0" fillId="0" borderId="211" xfId="0" applyNumberFormat="1" applyFont="1" applyFill="1" applyBorder="1" applyAlignment="1">
      <alignment horizontal="right" vertical="center" wrapText="1" indent="1"/>
    </xf>
    <xf numFmtId="3" fontId="0" fillId="0" borderId="36" xfId="0" applyNumberFormat="1" applyFont="1" applyFill="1" applyBorder="1" applyAlignment="1">
      <alignment horizontal="right" vertical="center" wrapText="1" indent="1"/>
    </xf>
    <xf numFmtId="3" fontId="0" fillId="0" borderId="452" xfId="0" applyNumberFormat="1" applyFont="1" applyFill="1" applyBorder="1" applyAlignment="1">
      <alignment horizontal="right" vertical="center" wrapText="1" indent="1"/>
    </xf>
    <xf numFmtId="3" fontId="0" fillId="0" borderId="155" xfId="0" applyNumberFormat="1" applyFont="1" applyFill="1" applyBorder="1" applyAlignment="1">
      <alignment horizontal="right" vertical="center" wrapText="1" indent="1"/>
    </xf>
    <xf numFmtId="3" fontId="0" fillId="0" borderId="458" xfId="0" applyNumberFormat="1" applyFont="1" applyFill="1" applyBorder="1" applyAlignment="1">
      <alignment horizontal="right" vertical="center" wrapText="1" indent="1"/>
    </xf>
    <xf numFmtId="3" fontId="0" fillId="0" borderId="368" xfId="0" applyNumberFormat="1" applyFont="1" applyFill="1" applyBorder="1" applyAlignment="1">
      <alignment horizontal="right" vertical="center" wrapText="1" indent="1"/>
    </xf>
    <xf numFmtId="3" fontId="0" fillId="0" borderId="356" xfId="0" applyNumberFormat="1" applyFont="1" applyFill="1" applyBorder="1" applyAlignment="1">
      <alignment horizontal="right" vertical="center" wrapText="1" indent="1"/>
    </xf>
    <xf numFmtId="3" fontId="0" fillId="0" borderId="159" xfId="0" applyNumberFormat="1" applyFont="1" applyFill="1" applyBorder="1" applyAlignment="1">
      <alignment horizontal="right" vertical="center" wrapText="1" indent="1"/>
    </xf>
    <xf numFmtId="3" fontId="0" fillId="0" borderId="33" xfId="0" applyNumberFormat="1" applyFont="1" applyFill="1" applyBorder="1" applyAlignment="1">
      <alignment horizontal="right" vertical="center" wrapText="1" indent="1"/>
    </xf>
    <xf numFmtId="3" fontId="0" fillId="0" borderId="370" xfId="0" applyNumberFormat="1" applyFont="1" applyFill="1" applyBorder="1" applyAlignment="1">
      <alignment horizontal="right" vertical="center" wrapText="1" indent="1"/>
    </xf>
    <xf numFmtId="3" fontId="0" fillId="0" borderId="44" xfId="0" applyNumberFormat="1" applyFont="1" applyFill="1" applyBorder="1" applyAlignment="1">
      <alignment horizontal="right" vertical="center" wrapText="1" indent="1"/>
    </xf>
    <xf numFmtId="226" fontId="48" fillId="0" borderId="23" xfId="0" applyNumberFormat="1" applyFont="1" applyFill="1" applyBorder="1" applyAlignment="1">
      <alignment horizontal="right" vertical="center" wrapText="1" indent="1"/>
    </xf>
    <xf numFmtId="3" fontId="0" fillId="0" borderId="130" xfId="0" applyNumberFormat="1" applyFont="1" applyFill="1" applyBorder="1" applyAlignment="1">
      <alignment horizontal="right" vertical="center" wrapText="1" indent="1"/>
    </xf>
    <xf numFmtId="3" fontId="0" fillId="0" borderId="205" xfId="0" applyNumberFormat="1" applyFont="1" applyFill="1" applyBorder="1" applyAlignment="1">
      <alignment horizontal="right" vertical="center" wrapText="1" indent="1"/>
    </xf>
    <xf numFmtId="3" fontId="0" fillId="0" borderId="210" xfId="0" applyNumberFormat="1" applyFont="1" applyFill="1" applyBorder="1" applyAlignment="1">
      <alignment horizontal="right" vertical="center" wrapText="1" indent="1"/>
    </xf>
    <xf numFmtId="3" fontId="0" fillId="0" borderId="12" xfId="0" applyNumberFormat="1" applyFont="1" applyFill="1" applyBorder="1" applyAlignment="1">
      <alignment horizontal="right" vertical="center" wrapText="1" indent="1"/>
    </xf>
    <xf numFmtId="3" fontId="0" fillId="0" borderId="450" xfId="0" applyNumberFormat="1" applyFont="1" applyFill="1" applyBorder="1" applyAlignment="1">
      <alignment horizontal="right" vertical="center" wrapText="1" indent="1"/>
    </xf>
    <xf numFmtId="3" fontId="0" fillId="0" borderId="154" xfId="0" applyNumberFormat="1" applyFont="1" applyFill="1" applyBorder="1" applyAlignment="1">
      <alignment horizontal="right" vertical="center" wrapText="1" indent="1"/>
    </xf>
    <xf numFmtId="3" fontId="0" fillId="0" borderId="456" xfId="0" applyNumberFormat="1" applyFont="1" applyFill="1" applyBorder="1" applyAlignment="1">
      <alignment horizontal="right" vertical="center" wrapText="1" indent="1"/>
    </xf>
    <xf numFmtId="3" fontId="0" fillId="0" borderId="158" xfId="0" applyNumberFormat="1" applyFont="1" applyFill="1" applyBorder="1" applyAlignment="1">
      <alignment horizontal="right" vertical="center" wrapText="1" indent="1"/>
    </xf>
    <xf numFmtId="3" fontId="0" fillId="0" borderId="101" xfId="0" applyNumberFormat="1" applyFont="1" applyFill="1" applyBorder="1" applyAlignment="1">
      <alignment horizontal="right" vertical="center" wrapText="1" indent="1"/>
    </xf>
    <xf numFmtId="166" fontId="0" fillId="47" borderId="17" xfId="0" applyNumberFormat="1" applyFont="1" applyFill="1" applyBorder="1" applyAlignment="1">
      <alignment horizontal="right" vertical="center" wrapText="1" indent="1"/>
    </xf>
    <xf numFmtId="4" fontId="0" fillId="47" borderId="17" xfId="0" applyNumberFormat="1" applyFont="1" applyFill="1" applyBorder="1" applyAlignment="1">
      <alignment horizontal="right" vertical="center" wrapText="1" indent="1"/>
    </xf>
    <xf numFmtId="166" fontId="0" fillId="0" borderId="130" xfId="0" applyNumberFormat="1" applyFont="1" applyFill="1" applyBorder="1" applyAlignment="1">
      <alignment horizontal="right" vertical="center" wrapText="1" indent="1"/>
    </xf>
    <xf numFmtId="2" fontId="0" fillId="0" borderId="130" xfId="0" applyNumberFormat="1" applyFont="1" applyFill="1" applyBorder="1" applyAlignment="1">
      <alignment horizontal="right" vertical="center" wrapText="1" indent="1"/>
    </xf>
    <xf numFmtId="166" fontId="0" fillId="47" borderId="130" xfId="0" applyNumberFormat="1" applyFont="1" applyFill="1" applyBorder="1" applyAlignment="1">
      <alignment horizontal="right" vertical="center" wrapText="1" indent="1"/>
    </xf>
    <xf numFmtId="2" fontId="0" fillId="47" borderId="130" xfId="0" applyNumberFormat="1" applyFont="1" applyFill="1" applyBorder="1" applyAlignment="1">
      <alignment horizontal="right" vertical="center" wrapText="1" indent="1"/>
    </xf>
    <xf numFmtId="166" fontId="0" fillId="0" borderId="205" xfId="0" applyNumberFormat="1" applyFont="1" applyFill="1" applyBorder="1" applyAlignment="1">
      <alignment horizontal="right" vertical="center" wrapText="1" indent="1"/>
    </xf>
    <xf numFmtId="2" fontId="0" fillId="0" borderId="205" xfId="0" applyNumberFormat="1" applyFont="1" applyFill="1" applyBorder="1" applyAlignment="1">
      <alignment horizontal="right" vertical="center" wrapText="1" indent="1"/>
    </xf>
    <xf numFmtId="166" fontId="0" fillId="47" borderId="205" xfId="0" applyNumberFormat="1" applyFont="1" applyFill="1" applyBorder="1" applyAlignment="1">
      <alignment horizontal="right" vertical="center" wrapText="1" indent="1"/>
    </xf>
    <xf numFmtId="2" fontId="0" fillId="47" borderId="205" xfId="0" applyNumberFormat="1" applyFont="1" applyFill="1" applyBorder="1" applyAlignment="1">
      <alignment horizontal="right" vertical="center" wrapText="1" indent="1"/>
    </xf>
    <xf numFmtId="166" fontId="0" fillId="0" borderId="210" xfId="0" applyNumberFormat="1" applyFont="1" applyFill="1" applyBorder="1" applyAlignment="1">
      <alignment horizontal="right" vertical="center" wrapText="1" indent="1"/>
    </xf>
    <xf numFmtId="2" fontId="0" fillId="0" borderId="210" xfId="0" applyNumberFormat="1" applyFont="1" applyFill="1" applyBorder="1" applyAlignment="1">
      <alignment horizontal="right" vertical="center" wrapText="1" indent="1"/>
    </xf>
    <xf numFmtId="166" fontId="0" fillId="47" borderId="210" xfId="0" applyNumberFormat="1" applyFont="1" applyFill="1" applyBorder="1" applyAlignment="1">
      <alignment horizontal="right" vertical="center" wrapText="1" indent="1"/>
    </xf>
    <xf numFmtId="2" fontId="0" fillId="47" borderId="210" xfId="0" applyNumberFormat="1" applyFont="1" applyFill="1" applyBorder="1" applyAlignment="1">
      <alignment horizontal="right" vertical="center" wrapText="1" indent="1"/>
    </xf>
    <xf numFmtId="2" fontId="0" fillId="47" borderId="17" xfId="0" applyNumberFormat="1" applyFont="1" applyFill="1" applyBorder="1" applyAlignment="1">
      <alignment horizontal="right" vertical="center" wrapText="1" indent="1"/>
    </xf>
    <xf numFmtId="166" fontId="0" fillId="0" borderId="12" xfId="0" applyNumberFormat="1" applyFont="1" applyFill="1" applyBorder="1" applyAlignment="1">
      <alignment horizontal="right" vertical="center" wrapText="1" indent="1"/>
    </xf>
    <xf numFmtId="2" fontId="0" fillId="0" borderId="12" xfId="0" applyNumberFormat="1" applyFont="1" applyFill="1" applyBorder="1" applyAlignment="1">
      <alignment horizontal="right" vertical="center" wrapText="1" indent="1"/>
    </xf>
    <xf numFmtId="166" fontId="0" fillId="47" borderId="12" xfId="0" applyNumberFormat="1" applyFont="1" applyFill="1" applyBorder="1" applyAlignment="1">
      <alignment horizontal="right" vertical="center" wrapText="1" indent="1"/>
    </xf>
    <xf numFmtId="2" fontId="0" fillId="47" borderId="12" xfId="0" applyNumberFormat="1" applyFont="1" applyFill="1" applyBorder="1" applyAlignment="1">
      <alignment horizontal="right" vertical="center" wrapText="1" indent="1"/>
    </xf>
    <xf numFmtId="166" fontId="0" fillId="0" borderId="450" xfId="0" applyNumberFormat="1" applyFont="1" applyFill="1" applyBorder="1" applyAlignment="1">
      <alignment horizontal="right" vertical="center" wrapText="1" indent="1"/>
    </xf>
    <xf numFmtId="2" fontId="0" fillId="0" borderId="450" xfId="0" applyNumberFormat="1" applyFont="1" applyFill="1" applyBorder="1" applyAlignment="1">
      <alignment horizontal="right" vertical="center" wrapText="1" indent="1"/>
    </xf>
    <xf numFmtId="166" fontId="0" fillId="47" borderId="450" xfId="0" applyNumberFormat="1" applyFont="1" applyFill="1" applyBorder="1" applyAlignment="1">
      <alignment horizontal="right" vertical="center" wrapText="1" indent="1"/>
    </xf>
    <xf numFmtId="2" fontId="0" fillId="47" borderId="450" xfId="0" applyNumberFormat="1" applyFont="1" applyFill="1" applyBorder="1" applyAlignment="1">
      <alignment horizontal="right" vertical="center" wrapText="1" indent="1"/>
    </xf>
    <xf numFmtId="166" fontId="0" fillId="0" borderId="154" xfId="0" applyNumberFormat="1" applyFont="1" applyFill="1" applyBorder="1" applyAlignment="1">
      <alignment horizontal="right" vertical="center" wrapText="1" indent="1"/>
    </xf>
    <xf numFmtId="2" fontId="0" fillId="0" borderId="154" xfId="0" applyNumberFormat="1" applyFont="1" applyFill="1" applyBorder="1" applyAlignment="1">
      <alignment horizontal="right" vertical="center" wrapText="1" indent="1"/>
    </xf>
    <xf numFmtId="166" fontId="0" fillId="47" borderId="154" xfId="0" applyNumberFormat="1" applyFont="1" applyFill="1" applyBorder="1" applyAlignment="1">
      <alignment horizontal="right" vertical="center" wrapText="1" indent="1"/>
    </xf>
    <xf numFmtId="2" fontId="0" fillId="47" borderId="154" xfId="0" applyNumberFormat="1" applyFont="1" applyFill="1" applyBorder="1" applyAlignment="1">
      <alignment horizontal="right" vertical="center" wrapText="1" indent="1"/>
    </xf>
    <xf numFmtId="166" fontId="0" fillId="0" borderId="456" xfId="0" applyNumberFormat="1" applyFont="1" applyFill="1" applyBorder="1" applyAlignment="1">
      <alignment horizontal="right" vertical="center" wrapText="1" indent="1"/>
    </xf>
    <xf numFmtId="2" fontId="0" fillId="0" borderId="456" xfId="0" applyNumberFormat="1" applyFont="1" applyFill="1" applyBorder="1" applyAlignment="1">
      <alignment horizontal="right" vertical="center" wrapText="1" indent="1"/>
    </xf>
    <xf numFmtId="166" fontId="0" fillId="47" borderId="456" xfId="0" applyNumberFormat="1" applyFont="1" applyFill="1" applyBorder="1" applyAlignment="1">
      <alignment horizontal="right" vertical="center" wrapText="1" indent="1"/>
    </xf>
    <xf numFmtId="2" fontId="0" fillId="47" borderId="456" xfId="0" applyNumberFormat="1" applyFont="1" applyFill="1" applyBorder="1" applyAlignment="1">
      <alignment horizontal="right" vertical="center" wrapText="1" indent="1"/>
    </xf>
    <xf numFmtId="166" fontId="0" fillId="47" borderId="23" xfId="0" applyNumberFormat="1" applyFont="1" applyFill="1" applyBorder="1" applyAlignment="1">
      <alignment horizontal="right" vertical="center" wrapText="1" indent="1"/>
    </xf>
    <xf numFmtId="2" fontId="0" fillId="47" borderId="23" xfId="0" applyNumberFormat="1" applyFont="1" applyFill="1" applyBorder="1" applyAlignment="1">
      <alignment horizontal="right" vertical="center" wrapText="1" indent="1"/>
    </xf>
    <xf numFmtId="2" fontId="0" fillId="0" borderId="121" xfId="0" applyNumberFormat="1" applyFont="1" applyFill="1" applyBorder="1" applyAlignment="1">
      <alignment horizontal="right" vertical="center" wrapText="1" indent="1"/>
    </xf>
    <xf numFmtId="166" fontId="0" fillId="47" borderId="121" xfId="0" applyNumberFormat="1" applyFont="1" applyFill="1" applyBorder="1" applyAlignment="1">
      <alignment horizontal="right" vertical="center" wrapText="1" indent="1"/>
    </xf>
    <xf numFmtId="2" fontId="0" fillId="47" borderId="121" xfId="0" applyNumberFormat="1" applyFont="1" applyFill="1" applyBorder="1" applyAlignment="1">
      <alignment horizontal="right" vertical="center" wrapText="1" indent="1"/>
    </xf>
    <xf numFmtId="166" fontId="0" fillId="0" borderId="158" xfId="0" applyNumberFormat="1" applyFont="1" applyFill="1" applyBorder="1" applyAlignment="1">
      <alignment horizontal="right" vertical="center" wrapText="1" indent="1"/>
    </xf>
    <xf numFmtId="2" fontId="0" fillId="0" borderId="158" xfId="0" applyNumberFormat="1" applyFont="1" applyFill="1" applyBorder="1" applyAlignment="1">
      <alignment horizontal="right" vertical="center" wrapText="1" indent="1"/>
    </xf>
    <xf numFmtId="166" fontId="0" fillId="47" borderId="158" xfId="0" applyNumberFormat="1" applyFont="1" applyFill="1" applyBorder="1" applyAlignment="1">
      <alignment horizontal="right" vertical="center" wrapText="1" indent="1"/>
    </xf>
    <xf numFmtId="2" fontId="0" fillId="47" borderId="158" xfId="0" applyNumberFormat="1" applyFont="1" applyFill="1" applyBorder="1" applyAlignment="1">
      <alignment horizontal="right" vertical="center" wrapText="1" indent="1"/>
    </xf>
    <xf numFmtId="2" fontId="0" fillId="0" borderId="26" xfId="0" applyNumberFormat="1" applyFont="1" applyFill="1" applyBorder="1" applyAlignment="1">
      <alignment horizontal="right" vertical="center" wrapText="1" indent="1"/>
    </xf>
    <xf numFmtId="166" fontId="0" fillId="47" borderId="26" xfId="0" applyNumberFormat="1" applyFont="1" applyFill="1" applyBorder="1" applyAlignment="1">
      <alignment horizontal="right" vertical="center" wrapText="1" indent="1"/>
    </xf>
    <xf numFmtId="2" fontId="0" fillId="47" borderId="26" xfId="0" applyNumberFormat="1" applyFont="1" applyFill="1" applyBorder="1" applyAlignment="1">
      <alignment horizontal="right" vertical="center" wrapText="1" indent="1"/>
    </xf>
    <xf numFmtId="2" fontId="0" fillId="0" borderId="27" xfId="0" applyNumberFormat="1" applyFont="1" applyFill="1" applyBorder="1" applyAlignment="1">
      <alignment horizontal="right" vertical="center" wrapText="1" indent="1"/>
    </xf>
    <xf numFmtId="166" fontId="0" fillId="47" borderId="27" xfId="0" applyNumberFormat="1" applyFont="1" applyFill="1" applyBorder="1" applyAlignment="1">
      <alignment horizontal="right" vertical="center" wrapText="1" indent="1"/>
    </xf>
    <xf numFmtId="2" fontId="0" fillId="47" borderId="27" xfId="0" applyNumberFormat="1" applyFont="1" applyFill="1" applyBorder="1" applyAlignment="1">
      <alignment horizontal="right" vertical="center" wrapText="1" indent="1"/>
    </xf>
    <xf numFmtId="166" fontId="0" fillId="0" borderId="101" xfId="0" applyNumberFormat="1" applyFont="1" applyFill="1" applyBorder="1" applyAlignment="1">
      <alignment horizontal="right" vertical="center" wrapText="1" indent="1"/>
    </xf>
    <xf numFmtId="2" fontId="0" fillId="0" borderId="101" xfId="0" applyNumberFormat="1" applyFont="1" applyFill="1" applyBorder="1" applyAlignment="1">
      <alignment horizontal="right" vertical="center" wrapText="1" indent="1"/>
    </xf>
    <xf numFmtId="166" fontId="0" fillId="47" borderId="101" xfId="0" applyNumberFormat="1" applyFont="1" applyFill="1" applyBorder="1" applyAlignment="1">
      <alignment horizontal="right" vertical="center" wrapText="1" indent="1"/>
    </xf>
    <xf numFmtId="2" fontId="0" fillId="47" borderId="101" xfId="0" applyNumberFormat="1" applyFont="1" applyFill="1" applyBorder="1" applyAlignment="1">
      <alignment horizontal="right" vertical="center" wrapText="1" indent="1"/>
    </xf>
    <xf numFmtId="2" fontId="0" fillId="0" borderId="7" xfId="0" applyNumberFormat="1" applyFont="1" applyFill="1" applyBorder="1" applyAlignment="1">
      <alignment horizontal="right" vertical="center" wrapText="1" indent="1"/>
    </xf>
    <xf numFmtId="166" fontId="0" fillId="47" borderId="7" xfId="0" applyNumberFormat="1" applyFont="1" applyFill="1" applyBorder="1" applyAlignment="1">
      <alignment horizontal="right" vertical="center" wrapText="1" indent="1"/>
    </xf>
    <xf numFmtId="2" fontId="0" fillId="47" borderId="7" xfId="0" applyNumberFormat="1" applyFont="1" applyFill="1" applyBorder="1" applyAlignment="1">
      <alignment horizontal="right" vertical="center" wrapText="1" indent="1"/>
    </xf>
    <xf numFmtId="166" fontId="0" fillId="48" borderId="17" xfId="0" applyNumberFormat="1" applyFont="1" applyFill="1" applyBorder="1" applyAlignment="1">
      <alignment horizontal="right" vertical="center" wrapText="1" indent="1"/>
    </xf>
    <xf numFmtId="2" fontId="0" fillId="48" borderId="17" xfId="0" applyNumberFormat="1" applyFont="1" applyFill="1" applyBorder="1" applyAlignment="1">
      <alignment horizontal="right" vertical="center" wrapText="1" indent="1"/>
    </xf>
    <xf numFmtId="1" fontId="0" fillId="48" borderId="17" xfId="0" applyNumberFormat="1" applyFont="1" applyFill="1" applyBorder="1" applyAlignment="1">
      <alignment horizontal="right" vertical="center" wrapText="1" indent="2"/>
    </xf>
    <xf numFmtId="166" fontId="0" fillId="48" borderId="130" xfId="0" applyNumberFormat="1" applyFont="1" applyFill="1" applyBorder="1" applyAlignment="1">
      <alignment horizontal="right" vertical="center" wrapText="1" indent="1"/>
    </xf>
    <xf numFmtId="2" fontId="0" fillId="48" borderId="130" xfId="0" applyNumberFormat="1" applyFont="1" applyFill="1" applyBorder="1" applyAlignment="1">
      <alignment horizontal="right" vertical="center" wrapText="1" indent="1"/>
    </xf>
    <xf numFmtId="1" fontId="0" fillId="48" borderId="130" xfId="0" applyNumberFormat="1" applyFont="1" applyFill="1" applyBorder="1" applyAlignment="1">
      <alignment horizontal="right" vertical="center" wrapText="1" indent="2"/>
    </xf>
    <xf numFmtId="166" fontId="0" fillId="48" borderId="205" xfId="0" applyNumberFormat="1" applyFont="1" applyFill="1" applyBorder="1" applyAlignment="1">
      <alignment horizontal="right" vertical="center" wrapText="1" indent="1"/>
    </xf>
    <xf numFmtId="2" fontId="0" fillId="48" borderId="205" xfId="0" applyNumberFormat="1" applyFont="1" applyFill="1" applyBorder="1" applyAlignment="1">
      <alignment horizontal="right" vertical="center" wrapText="1" indent="1"/>
    </xf>
    <xf numFmtId="1" fontId="0" fillId="48" borderId="205" xfId="0" applyNumberFormat="1" applyFont="1" applyFill="1" applyBorder="1" applyAlignment="1">
      <alignment horizontal="right" vertical="center" wrapText="1" indent="2"/>
    </xf>
    <xf numFmtId="166" fontId="0" fillId="48" borderId="210" xfId="0" applyNumberFormat="1" applyFont="1" applyFill="1" applyBorder="1" applyAlignment="1">
      <alignment horizontal="right" vertical="center" wrapText="1" indent="1"/>
    </xf>
    <xf numFmtId="2" fontId="0" fillId="48" borderId="210" xfId="0" applyNumberFormat="1" applyFont="1" applyFill="1" applyBorder="1" applyAlignment="1">
      <alignment horizontal="right" vertical="center" wrapText="1" indent="1"/>
    </xf>
    <xf numFmtId="1" fontId="0" fillId="48" borderId="210" xfId="0" applyNumberFormat="1" applyFont="1" applyFill="1" applyBorder="1" applyAlignment="1">
      <alignment horizontal="right" vertical="center" wrapText="1" indent="2"/>
    </xf>
    <xf numFmtId="166" fontId="0" fillId="48" borderId="12" xfId="0" applyNumberFormat="1" applyFont="1" applyFill="1" applyBorder="1" applyAlignment="1">
      <alignment horizontal="right" vertical="center" wrapText="1" indent="1"/>
    </xf>
    <xf numFmtId="2" fontId="0" fillId="48" borderId="12" xfId="0" applyNumberFormat="1" applyFont="1" applyFill="1" applyBorder="1" applyAlignment="1">
      <alignment horizontal="right" vertical="center" wrapText="1" indent="1"/>
    </xf>
    <xf numFmtId="1" fontId="0" fillId="48" borderId="12" xfId="0" applyNumberFormat="1" applyFont="1" applyFill="1" applyBorder="1" applyAlignment="1">
      <alignment horizontal="right" vertical="center" wrapText="1" indent="2"/>
    </xf>
    <xf numFmtId="166" fontId="0" fillId="48" borderId="450" xfId="0" applyNumberFormat="1" applyFont="1" applyFill="1" applyBorder="1" applyAlignment="1">
      <alignment horizontal="right" vertical="center" wrapText="1" indent="1"/>
    </xf>
    <xf numFmtId="2" fontId="0" fillId="48" borderId="450" xfId="0" applyNumberFormat="1" applyFont="1" applyFill="1" applyBorder="1" applyAlignment="1">
      <alignment horizontal="right" vertical="center" wrapText="1" indent="1"/>
    </xf>
    <xf numFmtId="1" fontId="0" fillId="48" borderId="450" xfId="0" applyNumberFormat="1" applyFont="1" applyFill="1" applyBorder="1" applyAlignment="1">
      <alignment horizontal="right" vertical="center" wrapText="1" indent="2"/>
    </xf>
    <xf numFmtId="166" fontId="0" fillId="48" borderId="154" xfId="0" applyNumberFormat="1" applyFont="1" applyFill="1" applyBorder="1" applyAlignment="1">
      <alignment horizontal="right" vertical="center" wrapText="1" indent="1"/>
    </xf>
    <xf numFmtId="2" fontId="0" fillId="48" borderId="154" xfId="0" applyNumberFormat="1" applyFont="1" applyFill="1" applyBorder="1" applyAlignment="1">
      <alignment horizontal="right" vertical="center" wrapText="1" indent="1"/>
    </xf>
    <xf numFmtId="1" fontId="0" fillId="48" borderId="154" xfId="0" applyNumberFormat="1" applyFont="1" applyFill="1" applyBorder="1" applyAlignment="1">
      <alignment horizontal="right" vertical="center" wrapText="1" indent="2"/>
    </xf>
    <xf numFmtId="166" fontId="0" fillId="48" borderId="456" xfId="0" applyNumberFormat="1" applyFont="1" applyFill="1" applyBorder="1" applyAlignment="1">
      <alignment horizontal="right" vertical="center" wrapText="1" indent="1"/>
    </xf>
    <xf numFmtId="2" fontId="0" fillId="48" borderId="456" xfId="0" applyNumberFormat="1" applyFont="1" applyFill="1" applyBorder="1" applyAlignment="1">
      <alignment horizontal="right" vertical="center" wrapText="1" indent="1"/>
    </xf>
    <xf numFmtId="1" fontId="0" fillId="48" borderId="456" xfId="0" applyNumberFormat="1" applyFont="1" applyFill="1" applyBorder="1" applyAlignment="1">
      <alignment horizontal="right" vertical="center" wrapText="1" indent="2"/>
    </xf>
    <xf numFmtId="166" fontId="0" fillId="48" borderId="23" xfId="0" applyNumberFormat="1" applyFont="1" applyFill="1" applyBorder="1" applyAlignment="1">
      <alignment horizontal="right" vertical="center" wrapText="1" indent="1"/>
    </xf>
    <xf numFmtId="2" fontId="0" fillId="48" borderId="23" xfId="0" applyNumberFormat="1" applyFont="1" applyFill="1" applyBorder="1" applyAlignment="1">
      <alignment horizontal="right" vertical="center" wrapText="1" indent="1"/>
    </xf>
    <xf numFmtId="1" fontId="0" fillId="48" borderId="23" xfId="0" applyNumberFormat="1" applyFont="1" applyFill="1" applyBorder="1" applyAlignment="1">
      <alignment horizontal="right" vertical="center" wrapText="1" indent="2"/>
    </xf>
    <xf numFmtId="166" fontId="0" fillId="48" borderId="121" xfId="0" applyNumberFormat="1" applyFont="1" applyFill="1" applyBorder="1" applyAlignment="1">
      <alignment horizontal="right" vertical="center" wrapText="1" indent="1"/>
    </xf>
    <xf numFmtId="2" fontId="0" fillId="48" borderId="121" xfId="0" applyNumberFormat="1" applyFont="1" applyFill="1" applyBorder="1" applyAlignment="1">
      <alignment horizontal="right" vertical="center" wrapText="1" indent="1"/>
    </xf>
    <xf numFmtId="1" fontId="0" fillId="48" borderId="121" xfId="0" applyNumberFormat="1" applyFont="1" applyFill="1" applyBorder="1" applyAlignment="1">
      <alignment horizontal="right" vertical="center" wrapText="1" indent="2"/>
    </xf>
    <xf numFmtId="166" fontId="0" fillId="48" borderId="158" xfId="0" applyNumberFormat="1" applyFont="1" applyFill="1" applyBorder="1" applyAlignment="1">
      <alignment horizontal="right" vertical="center" wrapText="1" indent="1"/>
    </xf>
    <xf numFmtId="2" fontId="0" fillId="48" borderId="158" xfId="0" applyNumberFormat="1" applyFont="1" applyFill="1" applyBorder="1" applyAlignment="1">
      <alignment horizontal="right" vertical="center" wrapText="1" indent="1"/>
    </xf>
    <xf numFmtId="1" fontId="0" fillId="48" borderId="158" xfId="0" applyNumberFormat="1" applyFont="1" applyFill="1" applyBorder="1" applyAlignment="1">
      <alignment horizontal="right" vertical="center" wrapText="1" indent="2"/>
    </xf>
    <xf numFmtId="166" fontId="0" fillId="48" borderId="26" xfId="0" applyNumberFormat="1" applyFont="1" applyFill="1" applyBorder="1" applyAlignment="1">
      <alignment horizontal="right" vertical="center" wrapText="1" indent="1"/>
    </xf>
    <xf numFmtId="2" fontId="0" fillId="48" borderId="26" xfId="0" applyNumberFormat="1" applyFont="1" applyFill="1" applyBorder="1" applyAlignment="1">
      <alignment horizontal="right" vertical="center" wrapText="1" indent="1"/>
    </xf>
    <xf numFmtId="1" fontId="0" fillId="48" borderId="26" xfId="0" applyNumberFormat="1" applyFont="1" applyFill="1" applyBorder="1" applyAlignment="1">
      <alignment horizontal="right" vertical="center" wrapText="1" indent="2"/>
    </xf>
    <xf numFmtId="166" fontId="0" fillId="48" borderId="27" xfId="0" applyNumberFormat="1" applyFont="1" applyFill="1" applyBorder="1" applyAlignment="1">
      <alignment horizontal="right" vertical="center" wrapText="1" indent="1"/>
    </xf>
    <xf numFmtId="2" fontId="0" fillId="48" borderId="27" xfId="0" applyNumberFormat="1" applyFont="1" applyFill="1" applyBorder="1" applyAlignment="1">
      <alignment horizontal="right" vertical="center" wrapText="1" indent="1"/>
    </xf>
    <xf numFmtId="1" fontId="0" fillId="48" borderId="27" xfId="0" applyNumberFormat="1" applyFont="1" applyFill="1" applyBorder="1" applyAlignment="1">
      <alignment horizontal="right" vertical="center" wrapText="1" indent="2"/>
    </xf>
    <xf numFmtId="166" fontId="0" fillId="48" borderId="101" xfId="0" applyNumberFormat="1" applyFont="1" applyFill="1" applyBorder="1" applyAlignment="1">
      <alignment horizontal="right" vertical="center" wrapText="1" indent="1"/>
    </xf>
    <xf numFmtId="2" fontId="0" fillId="48" borderId="101" xfId="0" applyNumberFormat="1" applyFont="1" applyFill="1" applyBorder="1" applyAlignment="1">
      <alignment horizontal="right" vertical="center" wrapText="1" indent="1"/>
    </xf>
    <xf numFmtId="1" fontId="0" fillId="48" borderId="101" xfId="0" applyNumberFormat="1" applyFont="1" applyFill="1" applyBorder="1" applyAlignment="1">
      <alignment horizontal="right" vertical="center" wrapText="1" indent="2"/>
    </xf>
    <xf numFmtId="166" fontId="0" fillId="48" borderId="7" xfId="0" applyNumberFormat="1" applyFont="1" applyFill="1" applyBorder="1" applyAlignment="1">
      <alignment horizontal="right" vertical="center" wrapText="1" indent="1"/>
    </xf>
    <xf numFmtId="2" fontId="0" fillId="48" borderId="7" xfId="0" applyNumberFormat="1" applyFont="1" applyFill="1" applyBorder="1" applyAlignment="1">
      <alignment horizontal="right" vertical="center" wrapText="1" indent="1"/>
    </xf>
    <xf numFmtId="1" fontId="0" fillId="48" borderId="7" xfId="0" applyNumberFormat="1" applyFont="1" applyFill="1" applyBorder="1" applyAlignment="1">
      <alignment horizontal="right" vertical="center" wrapText="1" indent="2"/>
    </xf>
    <xf numFmtId="3" fontId="13" fillId="0" borderId="23" xfId="0" applyNumberFormat="1" applyFont="1" applyFill="1" applyBorder="1" applyAlignment="1">
      <alignment horizontal="right" vertical="center" wrapText="1" indent="1"/>
    </xf>
    <xf numFmtId="190" fontId="0" fillId="0" borderId="17" xfId="0" applyNumberFormat="1" applyFont="1" applyFill="1" applyBorder="1" applyAlignment="1">
      <alignment horizontal="right" vertical="center" wrapText="1" indent="1"/>
    </xf>
    <xf numFmtId="4" fontId="0" fillId="0" borderId="17" xfId="0" applyNumberFormat="1" applyFont="1" applyFill="1" applyBorder="1" applyAlignment="1">
      <alignment horizontal="right" vertical="center" wrapText="1" indent="1"/>
    </xf>
    <xf numFmtId="190" fontId="0" fillId="46" borderId="17" xfId="0" applyNumberFormat="1" applyFont="1" applyFill="1" applyBorder="1" applyAlignment="1">
      <alignment horizontal="right" vertical="center" wrapText="1" indent="1"/>
    </xf>
    <xf numFmtId="4" fontId="0" fillId="46" borderId="17" xfId="0" applyNumberFormat="1" applyFont="1" applyFill="1" applyBorder="1" applyAlignment="1">
      <alignment horizontal="right" vertical="center" wrapText="1" indent="1"/>
    </xf>
    <xf numFmtId="3" fontId="0" fillId="46" borderId="17" xfId="0" applyNumberFormat="1" applyFont="1" applyFill="1" applyBorder="1" applyAlignment="1">
      <alignment horizontal="right" vertical="center" wrapText="1" indent="2"/>
    </xf>
    <xf numFmtId="190" fontId="0" fillId="0" borderId="130" xfId="0" applyNumberFormat="1" applyFont="1" applyFill="1" applyBorder="1" applyAlignment="1">
      <alignment horizontal="right" vertical="center" wrapText="1" indent="1"/>
    </xf>
    <xf numFmtId="4" fontId="0" fillId="0" borderId="130" xfId="0" applyNumberFormat="1" applyFont="1" applyFill="1" applyBorder="1" applyAlignment="1">
      <alignment horizontal="right" vertical="center" wrapText="1" indent="1"/>
    </xf>
    <xf numFmtId="190" fontId="0" fillId="46" borderId="130" xfId="0" applyNumberFormat="1" applyFont="1" applyFill="1" applyBorder="1" applyAlignment="1">
      <alignment horizontal="right" vertical="center" wrapText="1" indent="1"/>
    </xf>
    <xf numFmtId="4" fontId="0" fillId="46" borderId="130" xfId="0" applyNumberFormat="1" applyFont="1" applyFill="1" applyBorder="1" applyAlignment="1">
      <alignment horizontal="right" vertical="center" wrapText="1" indent="1"/>
    </xf>
    <xf numFmtId="3" fontId="0" fillId="46" borderId="130" xfId="0" applyNumberFormat="1" applyFont="1" applyFill="1" applyBorder="1" applyAlignment="1">
      <alignment horizontal="right" vertical="center" wrapText="1" indent="2"/>
    </xf>
    <xf numFmtId="190" fontId="0" fillId="0" borderId="205" xfId="0" applyNumberFormat="1" applyFont="1" applyFill="1" applyBorder="1" applyAlignment="1">
      <alignment horizontal="right" vertical="center" wrapText="1" indent="1"/>
    </xf>
    <xf numFmtId="4" fontId="0" fillId="0" borderId="205" xfId="0" applyNumberFormat="1" applyFont="1" applyFill="1" applyBorder="1" applyAlignment="1">
      <alignment horizontal="right" vertical="center" wrapText="1" indent="1"/>
    </xf>
    <xf numFmtId="190" fontId="0" fillId="46" borderId="205" xfId="0" applyNumberFormat="1" applyFont="1" applyFill="1" applyBorder="1" applyAlignment="1">
      <alignment horizontal="right" vertical="center" wrapText="1" indent="1"/>
    </xf>
    <xf numFmtId="4" fontId="0" fillId="46" borderId="205" xfId="0" applyNumberFormat="1" applyFont="1" applyFill="1" applyBorder="1" applyAlignment="1">
      <alignment horizontal="right" vertical="center" wrapText="1" indent="1"/>
    </xf>
    <xf numFmtId="3" fontId="0" fillId="46" borderId="205" xfId="0" applyNumberFormat="1" applyFont="1" applyFill="1" applyBorder="1" applyAlignment="1">
      <alignment horizontal="right" vertical="center" wrapText="1" indent="2"/>
    </xf>
    <xf numFmtId="190" fontId="0" fillId="0" borderId="210" xfId="0" applyNumberFormat="1" applyFont="1" applyFill="1" applyBorder="1" applyAlignment="1">
      <alignment horizontal="right" vertical="center" wrapText="1" indent="1"/>
    </xf>
    <xf numFmtId="4" fontId="0" fillId="0" borderId="210" xfId="0" applyNumberFormat="1" applyFont="1" applyFill="1" applyBorder="1" applyAlignment="1">
      <alignment horizontal="right" vertical="center" wrapText="1" indent="1"/>
    </xf>
    <xf numFmtId="190" fontId="0" fillId="46" borderId="210" xfId="0" applyNumberFormat="1" applyFont="1" applyFill="1" applyBorder="1" applyAlignment="1">
      <alignment horizontal="right" vertical="center" wrapText="1" indent="1"/>
    </xf>
    <xf numFmtId="4" fontId="0" fillId="46" borderId="210" xfId="0" applyNumberFormat="1" applyFont="1" applyFill="1" applyBorder="1" applyAlignment="1">
      <alignment horizontal="right" vertical="center" wrapText="1" indent="1"/>
    </xf>
    <xf numFmtId="3" fontId="0" fillId="46" borderId="210" xfId="0" applyNumberFormat="1" applyFont="1" applyFill="1" applyBorder="1" applyAlignment="1">
      <alignment horizontal="right" vertical="center" wrapText="1" indent="2"/>
    </xf>
    <xf numFmtId="3" fontId="4" fillId="46" borderId="17" xfId="0" applyNumberFormat="1" applyFont="1" applyFill="1" applyBorder="1" applyAlignment="1">
      <alignment horizontal="right" vertical="center" wrapText="1" indent="2"/>
    </xf>
    <xf numFmtId="190" fontId="0" fillId="0" borderId="12" xfId="0" applyNumberFormat="1" applyFont="1" applyFill="1" applyBorder="1" applyAlignment="1">
      <alignment horizontal="right" vertical="center" wrapText="1" indent="1"/>
    </xf>
    <xf numFmtId="4" fontId="0" fillId="0" borderId="12" xfId="0" applyNumberFormat="1" applyFont="1" applyFill="1" applyBorder="1" applyAlignment="1">
      <alignment horizontal="right" vertical="center" wrapText="1" indent="1"/>
    </xf>
    <xf numFmtId="190" fontId="0" fillId="46" borderId="12" xfId="0" applyNumberFormat="1" applyFont="1" applyFill="1" applyBorder="1" applyAlignment="1">
      <alignment horizontal="right" vertical="center" wrapText="1" indent="1"/>
    </xf>
    <xf numFmtId="4" fontId="0" fillId="46" borderId="12" xfId="0" applyNumberFormat="1" applyFont="1" applyFill="1" applyBorder="1" applyAlignment="1">
      <alignment horizontal="right" vertical="center" wrapText="1" indent="1"/>
    </xf>
    <xf numFmtId="3" fontId="0" fillId="46" borderId="12" xfId="0" applyNumberFormat="1" applyFont="1" applyFill="1" applyBorder="1" applyAlignment="1">
      <alignment horizontal="right" vertical="center" wrapText="1" indent="2"/>
    </xf>
    <xf numFmtId="190" fontId="0" fillId="0" borderId="450" xfId="0" applyNumberFormat="1" applyFont="1" applyFill="1" applyBorder="1" applyAlignment="1">
      <alignment horizontal="right" vertical="center" wrapText="1" indent="1"/>
    </xf>
    <xf numFmtId="4" fontId="0" fillId="0" borderId="450" xfId="0" applyNumberFormat="1" applyFont="1" applyFill="1" applyBorder="1" applyAlignment="1">
      <alignment horizontal="right" vertical="center" wrapText="1" indent="1"/>
    </xf>
    <xf numFmtId="190" fontId="0" fillId="46" borderId="450" xfId="0" applyNumberFormat="1" applyFont="1" applyFill="1" applyBorder="1" applyAlignment="1">
      <alignment horizontal="right" vertical="center" wrapText="1" indent="1"/>
    </xf>
    <xf numFmtId="4" fontId="0" fillId="46" borderId="450" xfId="0" applyNumberFormat="1" applyFont="1" applyFill="1" applyBorder="1" applyAlignment="1">
      <alignment horizontal="right" vertical="center" wrapText="1" indent="1"/>
    </xf>
    <xf numFmtId="3" fontId="0" fillId="46" borderId="450" xfId="0" applyNumberFormat="1" applyFont="1" applyFill="1" applyBorder="1" applyAlignment="1">
      <alignment horizontal="right" vertical="center" wrapText="1" indent="2"/>
    </xf>
    <xf numFmtId="190" fontId="0" fillId="0" borderId="154" xfId="0" applyNumberFormat="1" applyFont="1" applyFill="1" applyBorder="1" applyAlignment="1">
      <alignment horizontal="right" vertical="center" wrapText="1" indent="1"/>
    </xf>
    <xf numFmtId="4" fontId="0" fillId="0" borderId="154" xfId="0" applyNumberFormat="1" applyFont="1" applyFill="1" applyBorder="1" applyAlignment="1">
      <alignment horizontal="right" vertical="center" wrapText="1" indent="1"/>
    </xf>
    <xf numFmtId="190" fontId="0" fillId="46" borderId="154" xfId="0" applyNumberFormat="1" applyFont="1" applyFill="1" applyBorder="1" applyAlignment="1">
      <alignment horizontal="right" vertical="center" wrapText="1" indent="1"/>
    </xf>
    <xf numFmtId="4" fontId="0" fillId="46" borderId="154" xfId="0" applyNumberFormat="1" applyFont="1" applyFill="1" applyBorder="1" applyAlignment="1">
      <alignment horizontal="right" vertical="center" wrapText="1" indent="1"/>
    </xf>
    <xf numFmtId="3" fontId="0" fillId="46" borderId="154" xfId="0" applyNumberFormat="1" applyFont="1" applyFill="1" applyBorder="1" applyAlignment="1">
      <alignment horizontal="right" vertical="center" wrapText="1" indent="2"/>
    </xf>
    <xf numFmtId="190" fontId="0" fillId="0" borderId="456" xfId="0" applyNumberFormat="1" applyFont="1" applyFill="1" applyBorder="1" applyAlignment="1">
      <alignment horizontal="right" vertical="center" wrapText="1" indent="1"/>
    </xf>
    <xf numFmtId="4" fontId="0" fillId="0" borderId="456" xfId="0" applyNumberFormat="1" applyFont="1" applyFill="1" applyBorder="1" applyAlignment="1">
      <alignment horizontal="right" vertical="center" wrapText="1" indent="1"/>
    </xf>
    <xf numFmtId="190" fontId="0" fillId="46" borderId="456" xfId="0" applyNumberFormat="1" applyFont="1" applyFill="1" applyBorder="1" applyAlignment="1">
      <alignment horizontal="right" vertical="center" wrapText="1" indent="1"/>
    </xf>
    <xf numFmtId="4" fontId="0" fillId="46" borderId="456" xfId="0" applyNumberFormat="1" applyFont="1" applyFill="1" applyBorder="1" applyAlignment="1">
      <alignment horizontal="right" vertical="center" wrapText="1" indent="1"/>
    </xf>
    <xf numFmtId="3" fontId="0" fillId="46" borderId="456" xfId="0" applyNumberFormat="1" applyFont="1" applyFill="1" applyBorder="1" applyAlignment="1">
      <alignment horizontal="right" vertical="center" wrapText="1" indent="2"/>
    </xf>
    <xf numFmtId="190" fontId="0" fillId="0" borderId="23" xfId="0" applyNumberFormat="1" applyFont="1" applyFill="1" applyBorder="1" applyAlignment="1">
      <alignment horizontal="right" vertical="center" wrapText="1" indent="1"/>
    </xf>
    <xf numFmtId="4" fontId="0" fillId="0" borderId="23" xfId="0" applyNumberFormat="1" applyFont="1" applyFill="1" applyBorder="1" applyAlignment="1">
      <alignment horizontal="right" vertical="center" wrapText="1" indent="1"/>
    </xf>
    <xf numFmtId="190" fontId="0" fillId="46" borderId="23" xfId="0" applyNumberFormat="1" applyFont="1" applyFill="1" applyBorder="1" applyAlignment="1">
      <alignment horizontal="right" vertical="center" wrapText="1" indent="1"/>
    </xf>
    <xf numFmtId="4" fontId="0" fillId="46" borderId="23" xfId="0" applyNumberFormat="1" applyFont="1" applyFill="1" applyBorder="1" applyAlignment="1">
      <alignment horizontal="right" vertical="center" wrapText="1" indent="1"/>
    </xf>
    <xf numFmtId="3" fontId="0" fillId="46" borderId="23" xfId="0" applyNumberFormat="1" applyFont="1" applyFill="1" applyBorder="1" applyAlignment="1">
      <alignment horizontal="right" vertical="center" wrapText="1" indent="2"/>
    </xf>
    <xf numFmtId="190" fontId="0" fillId="0" borderId="121" xfId="0" applyNumberFormat="1" applyFont="1" applyFill="1" applyBorder="1" applyAlignment="1">
      <alignment horizontal="right" vertical="center" wrapText="1" indent="1"/>
    </xf>
    <xf numFmtId="4" fontId="0" fillId="0" borderId="121" xfId="0" applyNumberFormat="1" applyFont="1" applyFill="1" applyBorder="1" applyAlignment="1">
      <alignment horizontal="right" vertical="center" wrapText="1" indent="1"/>
    </xf>
    <xf numFmtId="190" fontId="0" fillId="46" borderId="121" xfId="0" applyNumberFormat="1" applyFont="1" applyFill="1" applyBorder="1" applyAlignment="1">
      <alignment horizontal="right" vertical="center" wrapText="1" indent="1"/>
    </xf>
    <xf numFmtId="4" fontId="0" fillId="46" borderId="121" xfId="0" applyNumberFormat="1" applyFont="1" applyFill="1" applyBorder="1" applyAlignment="1">
      <alignment horizontal="right" vertical="center" wrapText="1" indent="1"/>
    </xf>
    <xf numFmtId="3" fontId="0" fillId="46" borderId="121" xfId="0" applyNumberFormat="1" applyFont="1" applyFill="1" applyBorder="1" applyAlignment="1">
      <alignment horizontal="right" vertical="center" wrapText="1" indent="2"/>
    </xf>
    <xf numFmtId="190" fontId="0" fillId="0" borderId="158" xfId="0" applyNumberFormat="1" applyFont="1" applyFill="1" applyBorder="1" applyAlignment="1">
      <alignment horizontal="right" vertical="center" wrapText="1" indent="1"/>
    </xf>
    <xf numFmtId="4" fontId="0" fillId="0" borderId="158" xfId="0" applyNumberFormat="1" applyFont="1" applyFill="1" applyBorder="1" applyAlignment="1">
      <alignment horizontal="right" vertical="center" wrapText="1" indent="1"/>
    </xf>
    <xf numFmtId="190" fontId="0" fillId="46" borderId="158" xfId="0" applyNumberFormat="1" applyFont="1" applyFill="1" applyBorder="1" applyAlignment="1">
      <alignment horizontal="right" vertical="center" wrapText="1" indent="1"/>
    </xf>
    <xf numFmtId="4" fontId="0" fillId="46" borderId="158" xfId="0" applyNumberFormat="1" applyFont="1" applyFill="1" applyBorder="1" applyAlignment="1">
      <alignment horizontal="right" vertical="center" wrapText="1" indent="1"/>
    </xf>
    <xf numFmtId="3" fontId="0" fillId="46" borderId="158" xfId="0" applyNumberFormat="1" applyFont="1" applyFill="1" applyBorder="1" applyAlignment="1">
      <alignment horizontal="right" vertical="center" wrapText="1" indent="2"/>
    </xf>
    <xf numFmtId="190" fontId="0" fillId="0" borderId="26" xfId="0" applyNumberFormat="1" applyFont="1" applyFill="1" applyBorder="1" applyAlignment="1">
      <alignment horizontal="right" vertical="center" wrapText="1" indent="1"/>
    </xf>
    <xf numFmtId="4" fontId="0" fillId="0" borderId="26" xfId="0" applyNumberFormat="1" applyFont="1" applyFill="1" applyBorder="1" applyAlignment="1">
      <alignment horizontal="right" vertical="center" wrapText="1" indent="1"/>
    </xf>
    <xf numFmtId="190" fontId="0" fillId="46" borderId="26" xfId="0" applyNumberFormat="1" applyFont="1" applyFill="1" applyBorder="1" applyAlignment="1">
      <alignment horizontal="right" vertical="center" wrapText="1" indent="1"/>
    </xf>
    <xf numFmtId="4" fontId="0" fillId="46" borderId="26" xfId="0" applyNumberFormat="1" applyFont="1" applyFill="1" applyBorder="1" applyAlignment="1">
      <alignment horizontal="right" vertical="center" wrapText="1" indent="1"/>
    </xf>
    <xf numFmtId="3" fontId="0" fillId="46" borderId="26" xfId="0" applyNumberFormat="1" applyFont="1" applyFill="1" applyBorder="1" applyAlignment="1">
      <alignment horizontal="right" vertical="center" wrapText="1" indent="2"/>
    </xf>
    <xf numFmtId="190" fontId="0" fillId="0" borderId="27" xfId="0" applyNumberFormat="1" applyFont="1" applyFill="1" applyBorder="1" applyAlignment="1">
      <alignment horizontal="right" vertical="center" wrapText="1" indent="1"/>
    </xf>
    <xf numFmtId="4" fontId="0" fillId="0" borderId="27" xfId="0" applyNumberFormat="1" applyFont="1" applyFill="1" applyBorder="1" applyAlignment="1">
      <alignment horizontal="right" vertical="center" wrapText="1" indent="1"/>
    </xf>
    <xf numFmtId="190" fontId="0" fillId="46" borderId="27" xfId="0" applyNumberFormat="1" applyFont="1" applyFill="1" applyBorder="1" applyAlignment="1">
      <alignment horizontal="right" vertical="center" wrapText="1" indent="1"/>
    </xf>
    <xf numFmtId="4" fontId="0" fillId="46" borderId="27" xfId="0" applyNumberFormat="1" applyFont="1" applyFill="1" applyBorder="1" applyAlignment="1">
      <alignment horizontal="right" vertical="center" wrapText="1" indent="1"/>
    </xf>
    <xf numFmtId="3" fontId="0" fillId="46" borderId="27" xfId="0" applyNumberFormat="1" applyFont="1" applyFill="1" applyBorder="1" applyAlignment="1">
      <alignment horizontal="right" vertical="center" wrapText="1" indent="2"/>
    </xf>
    <xf numFmtId="190" fontId="0" fillId="0" borderId="101" xfId="0" applyNumberFormat="1" applyFont="1" applyFill="1" applyBorder="1" applyAlignment="1">
      <alignment horizontal="right" vertical="center" wrapText="1" indent="1"/>
    </xf>
    <xf numFmtId="4" fontId="0" fillId="0" borderId="101" xfId="0" applyNumberFormat="1" applyFont="1" applyFill="1" applyBorder="1" applyAlignment="1">
      <alignment horizontal="right" vertical="center" wrapText="1" indent="1"/>
    </xf>
    <xf numFmtId="190" fontId="0" fillId="46" borderId="101" xfId="0" applyNumberFormat="1" applyFont="1" applyFill="1" applyBorder="1" applyAlignment="1">
      <alignment horizontal="right" vertical="center" wrapText="1" indent="1"/>
    </xf>
    <xf numFmtId="4" fontId="0" fillId="46" borderId="101" xfId="0" applyNumberFormat="1" applyFont="1" applyFill="1" applyBorder="1" applyAlignment="1">
      <alignment horizontal="right" vertical="center" wrapText="1" indent="1"/>
    </xf>
    <xf numFmtId="3" fontId="0" fillId="46" borderId="101" xfId="0" applyNumberFormat="1" applyFont="1" applyFill="1" applyBorder="1" applyAlignment="1">
      <alignment horizontal="right" vertical="center" wrapText="1" indent="2"/>
    </xf>
    <xf numFmtId="190" fontId="0" fillId="0" borderId="7" xfId="0" applyNumberFormat="1" applyFont="1" applyFill="1" applyBorder="1" applyAlignment="1">
      <alignment horizontal="right" vertical="center" wrapText="1" indent="1"/>
    </xf>
    <xf numFmtId="4" fontId="0" fillId="0" borderId="7" xfId="0" applyNumberFormat="1" applyFont="1" applyFill="1" applyBorder="1" applyAlignment="1">
      <alignment horizontal="right" vertical="center" wrapText="1" indent="1"/>
    </xf>
    <xf numFmtId="190" fontId="0" fillId="46" borderId="7" xfId="0" applyNumberFormat="1" applyFont="1" applyFill="1" applyBorder="1" applyAlignment="1">
      <alignment horizontal="right" vertical="center" wrapText="1" indent="1"/>
    </xf>
    <xf numFmtId="4" fontId="0" fillId="46" borderId="7" xfId="0" applyNumberFormat="1" applyFont="1" applyFill="1" applyBorder="1" applyAlignment="1">
      <alignment horizontal="right" vertical="center" wrapText="1" indent="1"/>
    </xf>
    <xf numFmtId="3" fontId="0" fillId="46" borderId="7" xfId="0" applyNumberFormat="1" applyFont="1" applyFill="1" applyBorder="1" applyAlignment="1">
      <alignment horizontal="right" vertical="center" wrapText="1" indent="2"/>
    </xf>
    <xf numFmtId="166" fontId="13" fillId="0" borderId="159" xfId="0" applyNumberFormat="1" applyFont="1" applyFill="1" applyBorder="1" applyAlignment="1">
      <alignment horizontal="left" vertical="center" wrapText="1" indent="1"/>
    </xf>
    <xf numFmtId="1" fontId="0" fillId="6" borderId="23" xfId="0" applyNumberFormat="1" applyFill="1" applyBorder="1" applyAlignment="1">
      <alignment horizontal="center"/>
    </xf>
    <xf numFmtId="166" fontId="1" fillId="14" borderId="154" xfId="0" applyNumberFormat="1" applyFont="1" applyFill="1" applyBorder="1" applyAlignment="1">
      <alignment horizontal="center" vertical="center" wrapText="1"/>
    </xf>
    <xf numFmtId="166" fontId="1" fillId="27" borderId="154" xfId="0" applyNumberFormat="1" applyFont="1" applyFill="1" applyBorder="1" applyAlignment="1">
      <alignment horizontal="center" vertical="center" wrapText="1"/>
    </xf>
    <xf numFmtId="166" fontId="0" fillId="12" borderId="154" xfId="0" applyNumberFormat="1" applyFont="1" applyFill="1" applyBorder="1" applyAlignment="1">
      <alignment horizontal="center" vertical="center" wrapText="1"/>
    </xf>
    <xf numFmtId="0" fontId="4" fillId="0" borderId="377" xfId="0" applyFont="1" applyFill="1" applyBorder="1" applyAlignment="1">
      <alignment horizontal="center" vertical="center" wrapText="1"/>
    </xf>
    <xf numFmtId="0" fontId="4" fillId="0" borderId="154" xfId="0" applyFont="1" applyFill="1" applyBorder="1" applyAlignment="1">
      <alignment horizontal="center" vertical="center" wrapText="1"/>
    </xf>
    <xf numFmtId="0" fontId="4" fillId="0" borderId="456" xfId="0" applyFont="1" applyFill="1" applyBorder="1" applyAlignment="1">
      <alignment horizontal="center" vertical="center" wrapText="1"/>
    </xf>
    <xf numFmtId="0" fontId="4" fillId="0" borderId="158" xfId="0" applyFont="1" applyFill="1" applyBorder="1" applyAlignment="1">
      <alignment horizontal="center" vertical="center" wrapText="1"/>
    </xf>
    <xf numFmtId="166" fontId="0" fillId="12" borderId="158" xfId="0" applyNumberFormat="1" applyFont="1" applyFill="1" applyBorder="1" applyAlignment="1">
      <alignment horizontal="center" vertical="center" wrapText="1"/>
    </xf>
    <xf numFmtId="166" fontId="1" fillId="12" borderId="158" xfId="0" applyNumberFormat="1" applyFont="1" applyFill="1" applyBorder="1" applyAlignment="1">
      <alignment horizontal="center" vertical="center" wrapText="1"/>
    </xf>
    <xf numFmtId="0" fontId="4" fillId="0" borderId="150" xfId="0" applyFont="1" applyFill="1" applyBorder="1" applyAlignment="1">
      <alignment horizontal="center" vertical="center" wrapText="1"/>
    </xf>
    <xf numFmtId="166" fontId="0" fillId="12" borderId="379" xfId="0" applyNumberFormat="1" applyFont="1" applyFill="1" applyBorder="1" applyAlignment="1">
      <alignment horizontal="left" vertical="center" wrapText="1" indent="1"/>
    </xf>
    <xf numFmtId="1" fontId="0" fillId="12" borderId="377" xfId="0" applyNumberFormat="1" applyFont="1" applyFill="1" applyBorder="1" applyAlignment="1">
      <alignment horizontal="center" vertical="center" wrapText="1"/>
    </xf>
    <xf numFmtId="166" fontId="0" fillId="12" borderId="377" xfId="0" applyNumberFormat="1" applyFont="1" applyFill="1" applyBorder="1" applyAlignment="1">
      <alignment horizontal="left" vertical="center" wrapText="1" indent="1"/>
    </xf>
    <xf numFmtId="166" fontId="0" fillId="12" borderId="378" xfId="0" applyNumberFormat="1" applyFont="1" applyFill="1" applyBorder="1" applyAlignment="1">
      <alignment horizontal="left" vertical="center" wrapText="1" indent="1"/>
    </xf>
    <xf numFmtId="166" fontId="0" fillId="12" borderId="152" xfId="0" applyNumberFormat="1" applyFont="1" applyFill="1" applyBorder="1" applyAlignment="1">
      <alignment horizontal="left" vertical="center" wrapText="1" indent="1"/>
    </xf>
    <xf numFmtId="1" fontId="0" fillId="12" borderId="154" xfId="0" applyNumberFormat="1" applyFont="1" applyFill="1" applyBorder="1" applyAlignment="1">
      <alignment horizontal="center" vertical="center" wrapText="1"/>
    </xf>
    <xf numFmtId="166" fontId="0" fillId="12" borderId="154" xfId="0" applyNumberFormat="1" applyFont="1" applyFill="1" applyBorder="1" applyAlignment="1">
      <alignment horizontal="left" vertical="center" wrapText="1" indent="1"/>
    </xf>
    <xf numFmtId="166" fontId="0" fillId="12" borderId="155" xfId="0" applyNumberFormat="1" applyFont="1" applyFill="1" applyBorder="1" applyAlignment="1">
      <alignment horizontal="left" vertical="center" wrapText="1" indent="1"/>
    </xf>
    <xf numFmtId="166" fontId="0" fillId="12" borderId="456" xfId="0" applyNumberFormat="1" applyFont="1" applyFill="1" applyBorder="1" applyAlignment="1">
      <alignment horizontal="left" vertical="center" wrapText="1" indent="1"/>
    </xf>
    <xf numFmtId="166" fontId="0" fillId="12" borderId="458" xfId="0" applyNumberFormat="1" applyFont="1" applyFill="1" applyBorder="1" applyAlignment="1">
      <alignment horizontal="left" vertical="center" wrapText="1" indent="1"/>
    </xf>
    <xf numFmtId="166" fontId="0" fillId="12" borderId="156" xfId="0" applyNumberFormat="1" applyFont="1" applyFill="1" applyBorder="1" applyAlignment="1">
      <alignment horizontal="left" vertical="center" wrapText="1" indent="1"/>
    </xf>
    <xf numFmtId="1" fontId="0" fillId="12" borderId="158" xfId="0" applyNumberFormat="1" applyFont="1" applyFill="1" applyBorder="1" applyAlignment="1">
      <alignment horizontal="center" vertical="center" wrapText="1"/>
    </xf>
    <xf numFmtId="166" fontId="0" fillId="12" borderId="158" xfId="0" applyNumberFormat="1" applyFont="1" applyFill="1" applyBorder="1" applyAlignment="1">
      <alignment horizontal="left" vertical="center" wrapText="1" indent="1"/>
    </xf>
    <xf numFmtId="166" fontId="0" fillId="12" borderId="159" xfId="0" applyNumberFormat="1" applyFont="1" applyFill="1" applyBorder="1" applyAlignment="1">
      <alignment horizontal="left" vertical="center" wrapText="1" indent="1"/>
    </xf>
    <xf numFmtId="166" fontId="1" fillId="27" borderId="152" xfId="0" applyNumberFormat="1" applyFont="1" applyFill="1" applyBorder="1" applyAlignment="1">
      <alignment horizontal="left" vertical="center" wrapText="1" indent="1"/>
    </xf>
    <xf numFmtId="1" fontId="1" fillId="27" borderId="154" xfId="0" applyNumberFormat="1" applyFont="1" applyFill="1" applyBorder="1" applyAlignment="1">
      <alignment horizontal="center" vertical="center" wrapText="1"/>
    </xf>
    <xf numFmtId="166" fontId="1" fillId="27" borderId="154" xfId="0" applyNumberFormat="1" applyFont="1" applyFill="1" applyBorder="1" applyAlignment="1">
      <alignment vertical="center" wrapText="1"/>
    </xf>
    <xf numFmtId="166" fontId="1" fillId="27" borderId="155" xfId="0" applyNumberFormat="1" applyFont="1" applyFill="1" applyBorder="1" applyAlignment="1">
      <alignment vertical="center" wrapText="1"/>
    </xf>
    <xf numFmtId="166" fontId="1" fillId="27" borderId="158" xfId="0" applyNumberFormat="1" applyFont="1" applyFill="1" applyBorder="1" applyAlignment="1">
      <alignment vertical="center" wrapText="1"/>
    </xf>
    <xf numFmtId="166" fontId="1" fillId="27" borderId="159" xfId="0" applyNumberFormat="1" applyFont="1" applyFill="1" applyBorder="1" applyAlignment="1">
      <alignment vertical="center" wrapText="1"/>
    </xf>
    <xf numFmtId="166" fontId="1" fillId="27" borderId="123" xfId="0" applyNumberFormat="1" applyFont="1" applyFill="1" applyBorder="1" applyAlignment="1">
      <alignment horizontal="left" vertical="center" wrapText="1" indent="1"/>
    </xf>
    <xf numFmtId="1" fontId="1" fillId="27" borderId="124" xfId="0" applyNumberFormat="1" applyFont="1" applyFill="1" applyBorder="1" applyAlignment="1">
      <alignment horizontal="center" vertical="center" wrapText="1"/>
    </xf>
    <xf numFmtId="166" fontId="1" fillId="27" borderId="124" xfId="0" applyNumberFormat="1" applyFont="1" applyFill="1" applyBorder="1" applyAlignment="1">
      <alignment vertical="center" wrapText="1"/>
    </xf>
    <xf numFmtId="166" fontId="1" fillId="27" borderId="125" xfId="0" applyNumberFormat="1" applyFont="1" applyFill="1" applyBorder="1" applyAlignment="1">
      <alignment vertical="center" wrapText="1"/>
    </xf>
    <xf numFmtId="166" fontId="1" fillId="0" borderId="374" xfId="0" applyNumberFormat="1" applyFont="1" applyFill="1" applyBorder="1" applyAlignment="1">
      <alignment horizontal="left" vertical="center" wrapText="1" indent="1"/>
    </xf>
    <xf numFmtId="1" fontId="1" fillId="0" borderId="435" xfId="0" applyNumberFormat="1" applyFont="1" applyFill="1" applyBorder="1" applyAlignment="1">
      <alignment horizontal="center" vertical="center" wrapText="1"/>
    </xf>
    <xf numFmtId="166" fontId="1" fillId="0" borderId="435" xfId="0" applyNumberFormat="1" applyFont="1" applyFill="1" applyBorder="1" applyAlignment="1">
      <alignment vertical="center" wrapText="1"/>
    </xf>
    <xf numFmtId="166" fontId="1" fillId="0" borderId="368" xfId="0" applyNumberFormat="1" applyFont="1" applyFill="1" applyBorder="1" applyAlignment="1">
      <alignment vertical="center" wrapText="1"/>
    </xf>
    <xf numFmtId="166" fontId="1" fillId="27" borderId="41" xfId="0" applyNumberFormat="1" applyFont="1" applyFill="1" applyBorder="1" applyAlignment="1">
      <alignment horizontal="left" vertical="center" wrapText="1" indent="1"/>
    </xf>
    <xf numFmtId="1" fontId="1" fillId="27" borderId="9" xfId="0" applyNumberFormat="1" applyFont="1" applyFill="1" applyBorder="1" applyAlignment="1">
      <alignment horizontal="center" vertical="center" wrapText="1"/>
    </xf>
    <xf numFmtId="166" fontId="1" fillId="27" borderId="9" xfId="0" applyNumberFormat="1" applyFont="1" applyFill="1" applyBorder="1" applyAlignment="1">
      <alignment horizontal="left" vertical="center" wrapText="1" indent="1"/>
    </xf>
    <xf numFmtId="166" fontId="1" fillId="27" borderId="35" xfId="0" applyNumberFormat="1" applyFont="1" applyFill="1" applyBorder="1" applyAlignment="1">
      <alignment horizontal="left" vertical="center" wrapText="1" indent="1"/>
    </xf>
    <xf numFmtId="166" fontId="1" fillId="0" borderId="51" xfId="0" applyNumberFormat="1" applyFont="1" applyFill="1" applyBorder="1" applyAlignment="1">
      <alignment horizontal="left" vertical="center" wrapText="1" indent="1"/>
    </xf>
    <xf numFmtId="1" fontId="1" fillId="0" borderId="26" xfId="0" applyNumberFormat="1" applyFont="1" applyFill="1" applyBorder="1" applyAlignment="1">
      <alignment horizontal="center" vertical="center" wrapText="1"/>
    </xf>
    <xf numFmtId="166" fontId="1" fillId="0" borderId="26" xfId="0" applyNumberFormat="1" applyFont="1" applyFill="1" applyBorder="1" applyAlignment="1">
      <alignment horizontal="left" vertical="center" wrapText="1" indent="1"/>
    </xf>
    <xf numFmtId="166" fontId="1" fillId="0" borderId="33" xfId="0" applyNumberFormat="1" applyFont="1" applyFill="1" applyBorder="1" applyAlignment="1">
      <alignment horizontal="left" vertical="center" wrapText="1" indent="1"/>
    </xf>
    <xf numFmtId="166" fontId="1" fillId="0" borderId="435" xfId="0" applyNumberFormat="1" applyFont="1" applyFill="1" applyBorder="1" applyAlignment="1">
      <alignment horizontal="left" vertical="center" wrapText="1" indent="1"/>
    </xf>
    <xf numFmtId="166" fontId="1" fillId="0" borderId="368" xfId="0" applyNumberFormat="1" applyFont="1" applyFill="1" applyBorder="1" applyAlignment="1">
      <alignment horizontal="left" vertical="center" wrapText="1" indent="1"/>
    </xf>
    <xf numFmtId="166" fontId="1" fillId="27" borderId="375" xfId="0" applyNumberFormat="1" applyFont="1" applyFill="1" applyBorder="1" applyAlignment="1">
      <alignment horizontal="left" vertical="center" wrapText="1" indent="1"/>
    </xf>
    <xf numFmtId="1" fontId="1" fillId="27" borderId="364" xfId="0" applyNumberFormat="1" applyFont="1" applyFill="1" applyBorder="1" applyAlignment="1">
      <alignment horizontal="center" vertical="center" wrapText="1"/>
    </xf>
    <xf numFmtId="166" fontId="1" fillId="27" borderId="364" xfId="0" applyNumberFormat="1" applyFont="1" applyFill="1" applyBorder="1" applyAlignment="1">
      <alignment horizontal="left" vertical="center" wrapText="1" indent="1"/>
    </xf>
    <xf numFmtId="166" fontId="1" fillId="27" borderId="370" xfId="0" applyNumberFormat="1" applyFont="1" applyFill="1" applyBorder="1" applyAlignment="1">
      <alignment horizontal="left" vertical="center" wrapText="1" indent="1"/>
    </xf>
    <xf numFmtId="0" fontId="0" fillId="0" borderId="7" xfId="0" applyFill="1" applyBorder="1" applyAlignment="1">
      <alignment horizontal="center" vertical="center"/>
    </xf>
    <xf numFmtId="14" fontId="1" fillId="44" borderId="150" xfId="0" applyNumberFormat="1" applyFont="1" applyFill="1" applyBorder="1" applyAlignment="1">
      <alignment horizontal="center" vertical="center" wrapText="1"/>
    </xf>
    <xf numFmtId="166" fontId="1" fillId="44" borderId="154" xfId="0" applyNumberFormat="1" applyFont="1" applyFill="1" applyBorder="1" applyAlignment="1">
      <alignment horizontal="center" vertical="center" wrapText="1"/>
    </xf>
    <xf numFmtId="166" fontId="1" fillId="44" borderId="150" xfId="0" applyNumberFormat="1" applyFont="1" applyFill="1" applyBorder="1" applyAlignment="1">
      <alignment horizontal="center" vertical="center" wrapText="1"/>
    </xf>
    <xf numFmtId="166" fontId="1" fillId="44" borderId="23" xfId="0" applyNumberFormat="1" applyFont="1" applyFill="1" applyBorder="1" applyAlignment="1">
      <alignment horizontal="center" vertical="center" wrapText="1"/>
    </xf>
    <xf numFmtId="166" fontId="0" fillId="44" borderId="377" xfId="0" applyNumberFormat="1" applyFont="1" applyFill="1" applyBorder="1" applyAlignment="1">
      <alignment horizontal="center" vertical="center" wrapText="1"/>
    </xf>
    <xf numFmtId="166" fontId="0" fillId="44" borderId="23" xfId="0" applyNumberFormat="1" applyFont="1" applyFill="1" applyBorder="1" applyAlignment="1">
      <alignment horizontal="center" vertical="center" wrapText="1"/>
    </xf>
    <xf numFmtId="0" fontId="0" fillId="44" borderId="23" xfId="0" applyFill="1" applyBorder="1" applyAlignment="1">
      <alignment horizontal="center" vertical="center"/>
    </xf>
    <xf numFmtId="14" fontId="1" fillId="44" borderId="51" xfId="0" applyNumberFormat="1" applyFont="1" applyFill="1" applyBorder="1" applyAlignment="1">
      <alignment horizontal="left" vertical="center" wrapText="1" indent="1"/>
    </xf>
    <xf numFmtId="1" fontId="1" fillId="44" borderId="26" xfId="0" applyNumberFormat="1" applyFont="1" applyFill="1" applyBorder="1" applyAlignment="1">
      <alignment horizontal="center" vertical="center" wrapText="1"/>
    </xf>
    <xf numFmtId="166" fontId="1" fillId="44" borderId="26" xfId="0" applyNumberFormat="1" applyFont="1" applyFill="1" applyBorder="1" applyAlignment="1">
      <alignment vertical="center" wrapText="1"/>
    </xf>
    <xf numFmtId="166" fontId="1" fillId="44" borderId="33" xfId="0" applyNumberFormat="1" applyFont="1" applyFill="1" applyBorder="1" applyAlignment="1">
      <alignment vertical="center" wrapText="1"/>
    </xf>
    <xf numFmtId="166" fontId="1" fillId="44" borderId="374" xfId="0" applyNumberFormat="1" applyFont="1" applyFill="1" applyBorder="1" applyAlignment="1">
      <alignment horizontal="left" vertical="center" wrapText="1" indent="1"/>
    </xf>
    <xf numFmtId="1" fontId="1" fillId="44" borderId="435" xfId="0" applyNumberFormat="1" applyFont="1" applyFill="1" applyBorder="1" applyAlignment="1">
      <alignment horizontal="center" vertical="center" wrapText="1"/>
    </xf>
    <xf numFmtId="166" fontId="1" fillId="44" borderId="435" xfId="0" applyNumberFormat="1" applyFont="1" applyFill="1" applyBorder="1" applyAlignment="1">
      <alignment horizontal="left" vertical="center" wrapText="1" indent="1"/>
    </xf>
    <xf numFmtId="166" fontId="1" fillId="44" borderId="368" xfId="0" applyNumberFormat="1" applyFont="1" applyFill="1" applyBorder="1" applyAlignment="1">
      <alignment horizontal="left" vertical="center" wrapText="1" indent="1"/>
    </xf>
    <xf numFmtId="166" fontId="1" fillId="44" borderId="51" xfId="0" applyNumberFormat="1" applyFont="1" applyFill="1" applyBorder="1" applyAlignment="1">
      <alignment horizontal="left" vertical="center" wrapText="1" indent="1"/>
    </xf>
    <xf numFmtId="166" fontId="1" fillId="44" borderId="26" xfId="0" applyNumberFormat="1" applyFont="1" applyFill="1" applyBorder="1" applyAlignment="1">
      <alignment horizontal="left" vertical="center" wrapText="1" indent="1"/>
    </xf>
    <xf numFmtId="166" fontId="1" fillId="44" borderId="33" xfId="0" applyNumberFormat="1" applyFont="1" applyFill="1" applyBorder="1" applyAlignment="1">
      <alignment horizontal="left" vertical="center" wrapText="1" indent="1"/>
    </xf>
    <xf numFmtId="1" fontId="1" fillId="44" borderId="363" xfId="0" applyNumberFormat="1" applyFont="1" applyFill="1" applyBorder="1" applyAlignment="1">
      <alignment horizontal="center" vertical="center" wrapText="1"/>
    </xf>
    <xf numFmtId="166" fontId="1" fillId="44" borderId="363" xfId="0" applyNumberFormat="1" applyFont="1" applyFill="1" applyBorder="1" applyAlignment="1">
      <alignment horizontal="left" vertical="center" wrapText="1" indent="1"/>
    </xf>
    <xf numFmtId="166" fontId="0" fillId="44" borderId="374" xfId="0" applyNumberFormat="1" applyFont="1" applyFill="1" applyBorder="1" applyAlignment="1">
      <alignment horizontal="left" vertical="center" wrapText="1" indent="1"/>
    </xf>
    <xf numFmtId="1" fontId="0" fillId="44" borderId="363" xfId="0" applyNumberFormat="1" applyFont="1" applyFill="1" applyBorder="1" applyAlignment="1">
      <alignment horizontal="center" vertical="center" wrapText="1"/>
    </xf>
    <xf numFmtId="166" fontId="1" fillId="44" borderId="377" xfId="0" applyNumberFormat="1" applyFont="1" applyFill="1" applyBorder="1" applyAlignment="1">
      <alignment horizontal="left" vertical="center" wrapText="1" indent="1"/>
    </xf>
    <xf numFmtId="166" fontId="1" fillId="44" borderId="378" xfId="0" applyNumberFormat="1" applyFont="1" applyFill="1" applyBorder="1" applyAlignment="1">
      <alignment horizontal="left" vertical="center" wrapText="1" indent="1"/>
    </xf>
    <xf numFmtId="166" fontId="1" fillId="44" borderId="379" xfId="0" applyNumberFormat="1" applyFont="1" applyFill="1" applyBorder="1" applyAlignment="1">
      <alignment horizontal="left" vertical="center" wrapText="1" indent="1"/>
    </xf>
    <xf numFmtId="1" fontId="1" fillId="44" borderId="377" xfId="0" applyNumberFormat="1" applyFont="1" applyFill="1" applyBorder="1" applyAlignment="1">
      <alignment horizontal="center" vertical="center" wrapText="1"/>
    </xf>
    <xf numFmtId="166" fontId="1" fillId="44" borderId="355" xfId="0" applyNumberFormat="1" applyFont="1" applyFill="1" applyBorder="1" applyAlignment="1">
      <alignment horizontal="left" vertical="center" wrapText="1" indent="1"/>
    </xf>
    <xf numFmtId="166" fontId="1" fillId="44" borderId="356" xfId="0" applyNumberFormat="1" applyFont="1" applyFill="1" applyBorder="1" applyAlignment="1">
      <alignment horizontal="left" vertical="center" wrapText="1" indent="1"/>
    </xf>
    <xf numFmtId="0" fontId="0" fillId="44" borderId="374" xfId="0" applyFill="1" applyBorder="1" applyAlignment="1">
      <alignment horizontal="left" vertical="center" indent="1"/>
    </xf>
    <xf numFmtId="0" fontId="0" fillId="44" borderId="363" xfId="0" applyFill="1" applyBorder="1" applyAlignment="1">
      <alignment horizontal="center" vertical="center"/>
    </xf>
    <xf numFmtId="0" fontId="0" fillId="44" borderId="363" xfId="0" applyFill="1" applyBorder="1" applyAlignment="1">
      <alignment horizontal="left" vertical="center" wrapText="1" indent="1"/>
    </xf>
    <xf numFmtId="0" fontId="0" fillId="44" borderId="368" xfId="0" applyFill="1" applyBorder="1" applyAlignment="1">
      <alignment horizontal="left" vertical="center" wrapText="1" indent="1"/>
    </xf>
    <xf numFmtId="166" fontId="1" fillId="45" borderId="23" xfId="0" applyNumberFormat="1" applyFont="1" applyFill="1" applyBorder="1" applyAlignment="1">
      <alignment horizontal="center" vertical="center" wrapText="1"/>
    </xf>
    <xf numFmtId="166" fontId="1" fillId="45" borderId="7" xfId="0" applyNumberFormat="1" applyFont="1" applyFill="1" applyBorder="1" applyAlignment="1">
      <alignment horizontal="center" vertical="center" wrapText="1"/>
    </xf>
    <xf numFmtId="166" fontId="1" fillId="45" borderId="374" xfId="0" applyNumberFormat="1" applyFont="1" applyFill="1" applyBorder="1" applyAlignment="1">
      <alignment horizontal="left" vertical="center" wrapText="1" indent="1"/>
    </xf>
    <xf numFmtId="1" fontId="1" fillId="45" borderId="363" xfId="0" applyNumberFormat="1" applyFont="1" applyFill="1" applyBorder="1" applyAlignment="1">
      <alignment horizontal="center" vertical="center" wrapText="1"/>
    </xf>
    <xf numFmtId="166" fontId="1" fillId="45" borderId="363" xfId="0" applyNumberFormat="1" applyFont="1" applyFill="1" applyBorder="1" applyAlignment="1">
      <alignment horizontal="left" vertical="center" wrapText="1" indent="1"/>
    </xf>
    <xf numFmtId="166" fontId="1" fillId="45" borderId="42" xfId="0" applyNumberFormat="1" applyFont="1" applyFill="1" applyBorder="1" applyAlignment="1">
      <alignment horizontal="left" vertical="center" wrapText="1" indent="1"/>
    </xf>
    <xf numFmtId="1" fontId="1" fillId="45" borderId="7" xfId="0" applyNumberFormat="1" applyFont="1" applyFill="1" applyBorder="1" applyAlignment="1">
      <alignment horizontal="center" vertical="center" wrapText="1"/>
    </xf>
    <xf numFmtId="166" fontId="1" fillId="45" borderId="7" xfId="0" applyNumberFormat="1" applyFont="1" applyFill="1" applyBorder="1" applyAlignment="1">
      <alignment horizontal="left" vertical="center" wrapText="1" indent="1"/>
    </xf>
    <xf numFmtId="0" fontId="0" fillId="0" borderId="51" xfId="0" applyFill="1" applyBorder="1" applyAlignment="1">
      <alignment horizontal="left" vertical="center" wrapText="1" indent="1"/>
    </xf>
    <xf numFmtId="0" fontId="0" fillId="0" borderId="33" xfId="0" applyFill="1" applyBorder="1" applyAlignment="1">
      <alignment horizontal="left" vertical="center" wrapText="1" indent="1"/>
    </xf>
    <xf numFmtId="0" fontId="0" fillId="0" borderId="375" xfId="0" applyFill="1" applyBorder="1" applyAlignment="1">
      <alignment horizontal="left" vertical="center" wrapText="1" indent="1"/>
    </xf>
    <xf numFmtId="0" fontId="0" fillId="0" borderId="370" xfId="0" applyFill="1" applyBorder="1" applyAlignment="1">
      <alignment horizontal="left" vertical="center" wrapText="1" indent="1"/>
    </xf>
    <xf numFmtId="1" fontId="1" fillId="45" borderId="435" xfId="0" applyNumberFormat="1" applyFont="1" applyFill="1" applyBorder="1" applyAlignment="1">
      <alignment horizontal="center" vertical="center" wrapText="1"/>
    </xf>
    <xf numFmtId="166" fontId="1" fillId="45" borderId="435" xfId="0" applyNumberFormat="1" applyFont="1" applyFill="1" applyBorder="1" applyAlignment="1">
      <alignment vertical="center" wrapText="1"/>
    </xf>
    <xf numFmtId="166" fontId="1" fillId="45" borderId="368" xfId="0" applyNumberFormat="1" applyFont="1" applyFill="1" applyBorder="1" applyAlignment="1">
      <alignment vertical="center" wrapText="1"/>
    </xf>
    <xf numFmtId="166" fontId="1" fillId="45" borderId="435" xfId="0" applyNumberFormat="1" applyFont="1" applyFill="1" applyBorder="1" applyAlignment="1">
      <alignment horizontal="left" vertical="center" wrapText="1" indent="1"/>
    </xf>
    <xf numFmtId="166" fontId="1" fillId="45" borderId="368" xfId="0" applyNumberFormat="1" applyFont="1" applyFill="1" applyBorder="1" applyAlignment="1">
      <alignment horizontal="left" vertical="center" wrapText="1" indent="1"/>
    </xf>
    <xf numFmtId="166" fontId="1" fillId="45" borderId="44" xfId="0" applyNumberFormat="1" applyFont="1" applyFill="1" applyBorder="1" applyAlignment="1">
      <alignment horizontal="left" vertical="center" wrapText="1" indent="1"/>
    </xf>
    <xf numFmtId="166" fontId="1" fillId="18" borderId="154" xfId="0" applyNumberFormat="1" applyFont="1" applyFill="1" applyBorder="1" applyAlignment="1">
      <alignment horizontal="center" vertical="center" wrapText="1"/>
    </xf>
    <xf numFmtId="166" fontId="1" fillId="18" borderId="374" xfId="0" applyNumberFormat="1" applyFont="1" applyFill="1" applyBorder="1" applyAlignment="1">
      <alignment horizontal="left" vertical="center" wrapText="1" indent="1"/>
    </xf>
    <xf numFmtId="1" fontId="1" fillId="18" borderId="435" xfId="0" applyNumberFormat="1" applyFont="1" applyFill="1" applyBorder="1" applyAlignment="1">
      <alignment horizontal="center" vertical="center" wrapText="1"/>
    </xf>
    <xf numFmtId="166" fontId="1" fillId="18" borderId="435" xfId="0" applyNumberFormat="1" applyFont="1" applyFill="1" applyBorder="1" applyAlignment="1">
      <alignment horizontal="left" vertical="center" wrapText="1" indent="1"/>
    </xf>
    <xf numFmtId="166" fontId="1" fillId="18" borderId="368" xfId="0" applyNumberFormat="1" applyFont="1" applyFill="1" applyBorder="1" applyAlignment="1">
      <alignment horizontal="left" vertical="center" wrapText="1" indent="1"/>
    </xf>
    <xf numFmtId="0" fontId="0" fillId="14" borderId="0" xfId="0" applyFill="1" applyAlignment="1">
      <alignment horizontal="center" vertical="center"/>
    </xf>
    <xf numFmtId="0" fontId="0" fillId="14" borderId="0" xfId="0" applyNumberFormat="1" applyFill="1"/>
    <xf numFmtId="0" fontId="37" fillId="14" borderId="0" xfId="0" applyFont="1" applyFill="1" applyAlignment="1"/>
    <xf numFmtId="0" fontId="37" fillId="14" borderId="0" xfId="0" applyFont="1" applyFill="1" applyBorder="1" applyAlignment="1">
      <alignment vertical="center"/>
    </xf>
    <xf numFmtId="0" fontId="0" fillId="14" borderId="0" xfId="0" applyFill="1" applyBorder="1" applyAlignment="1">
      <alignment horizontal="center" vertical="center"/>
    </xf>
    <xf numFmtId="0" fontId="37" fillId="14" borderId="0" xfId="0" applyFont="1" applyFill="1" applyAlignment="1">
      <alignment vertical="center"/>
    </xf>
    <xf numFmtId="0" fontId="41" fillId="14" borderId="17"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0" fillId="14" borderId="0" xfId="0" applyFill="1" applyAlignment="1">
      <alignment horizontal="left" indent="1"/>
    </xf>
    <xf numFmtId="2" fontId="0" fillId="8" borderId="0" xfId="0" applyNumberFormat="1" applyFill="1"/>
    <xf numFmtId="0" fontId="37" fillId="14" borderId="0" xfId="0" applyFont="1" applyFill="1" applyAlignment="1">
      <alignment horizontal="left" indent="1"/>
    </xf>
    <xf numFmtId="0" fontId="0" fillId="14" borderId="0" xfId="0" applyFill="1" applyBorder="1" applyAlignment="1">
      <alignment horizontal="left" indent="1"/>
    </xf>
    <xf numFmtId="0" fontId="0" fillId="14" borderId="0" xfId="0" applyFill="1" applyAlignment="1"/>
    <xf numFmtId="0" fontId="0" fillId="14" borderId="0" xfId="0" applyFill="1" applyAlignment="1">
      <alignment vertical="center" wrapText="1"/>
    </xf>
    <xf numFmtId="0" fontId="37" fillId="14" borderId="0" xfId="0" applyFont="1" applyFill="1" applyBorder="1" applyAlignment="1">
      <alignment horizontal="left" vertical="center"/>
    </xf>
    <xf numFmtId="0" fontId="0" fillId="14" borderId="0" xfId="0" applyFill="1" applyProtection="1">
      <protection locked="0"/>
    </xf>
    <xf numFmtId="0" fontId="0" fillId="14" borderId="0" xfId="0" applyFill="1" applyProtection="1"/>
    <xf numFmtId="0" fontId="0" fillId="14" borderId="72" xfId="0" applyFill="1" applyBorder="1" applyAlignment="1">
      <alignment horizontal="center" vertical="center" wrapText="1"/>
    </xf>
    <xf numFmtId="0" fontId="0" fillId="14" borderId="116" xfId="0" applyFill="1" applyBorder="1" applyAlignment="1">
      <alignment horizontal="center" vertical="center" wrapText="1"/>
    </xf>
    <xf numFmtId="0" fontId="0" fillId="14" borderId="30" xfId="0" applyFill="1" applyBorder="1" applyAlignment="1">
      <alignment horizontal="center" vertical="center" wrapText="1"/>
    </xf>
    <xf numFmtId="175" fontId="4" fillId="14" borderId="23" xfId="0" applyNumberFormat="1" applyFont="1" applyFill="1" applyBorder="1" applyAlignment="1">
      <alignment horizontal="center" vertical="center" wrapText="1"/>
    </xf>
    <xf numFmtId="0" fontId="0" fillId="14" borderId="113" xfId="0" applyFill="1" applyBorder="1" applyAlignment="1">
      <alignment horizontal="center" vertical="center" wrapText="1"/>
    </xf>
    <xf numFmtId="0" fontId="0" fillId="43" borderId="0" xfId="0" applyFill="1" applyProtection="1">
      <protection locked="0"/>
    </xf>
    <xf numFmtId="0" fontId="0" fillId="43" borderId="0" xfId="0" applyFill="1" applyProtection="1"/>
    <xf numFmtId="0" fontId="0" fillId="14" borderId="446" xfId="0" applyFill="1" applyBorder="1" applyAlignment="1">
      <alignment vertical="center"/>
    </xf>
    <xf numFmtId="0" fontId="0" fillId="14" borderId="446" xfId="0" applyFill="1" applyBorder="1"/>
    <xf numFmtId="0" fontId="0" fillId="14" borderId="0" xfId="0" applyFill="1" applyBorder="1" applyProtection="1"/>
    <xf numFmtId="0" fontId="39" fillId="14" borderId="0" xfId="0" applyFont="1" applyFill="1" applyProtection="1"/>
    <xf numFmtId="0" fontId="0" fillId="14" borderId="0" xfId="0" applyFill="1" applyAlignment="1" applyProtection="1">
      <alignment horizontal="right" indent="1"/>
    </xf>
    <xf numFmtId="0" fontId="0" fillId="14" borderId="0" xfId="0" applyFill="1" applyBorder="1" applyAlignment="1">
      <alignment vertical="center" wrapText="1"/>
    </xf>
    <xf numFmtId="0" fontId="0" fillId="14" borderId="353" xfId="0" applyFill="1" applyBorder="1"/>
    <xf numFmtId="228" fontId="0" fillId="14" borderId="0" xfId="0" applyNumberFormat="1" applyFill="1" applyBorder="1" applyAlignment="1">
      <alignment horizontal="right" vertical="center" indent="1"/>
    </xf>
    <xf numFmtId="0" fontId="80" fillId="14" borderId="0" xfId="0" applyFont="1" applyFill="1" applyBorder="1" applyAlignment="1">
      <alignment horizontal="center" vertical="center"/>
    </xf>
    <xf numFmtId="0" fontId="72" fillId="14" borderId="0" xfId="0" applyFont="1" applyFill="1" applyBorder="1" applyAlignment="1">
      <alignment horizontal="left" vertical="center" indent="3"/>
    </xf>
    <xf numFmtId="0" fontId="0" fillId="14" borderId="0" xfId="0" applyFill="1" applyBorder="1" applyAlignment="1">
      <alignment horizontal="left" vertical="center" indent="2"/>
    </xf>
    <xf numFmtId="0" fontId="0" fillId="14" borderId="0" xfId="0" applyFill="1" applyBorder="1" applyAlignment="1">
      <alignment horizontal="left" vertical="center" indent="3"/>
    </xf>
    <xf numFmtId="171" fontId="0" fillId="14" borderId="0" xfId="0" applyNumberFormat="1" applyFill="1" applyBorder="1" applyAlignment="1">
      <alignment vertical="top"/>
    </xf>
    <xf numFmtId="171" fontId="0" fillId="14" borderId="0" xfId="0" applyNumberFormat="1" applyFill="1" applyBorder="1" applyAlignment="1">
      <alignment horizontal="left" vertical="center" indent="3"/>
    </xf>
    <xf numFmtId="0" fontId="0" fillId="14" borderId="0" xfId="0" applyFill="1" applyBorder="1" applyAlignment="1">
      <alignment horizontal="right"/>
    </xf>
    <xf numFmtId="0" fontId="0" fillId="14" borderId="474" xfId="0" applyFill="1" applyBorder="1"/>
    <xf numFmtId="0" fontId="0" fillId="14" borderId="476" xfId="0" applyFill="1" applyBorder="1"/>
    <xf numFmtId="0" fontId="0" fillId="14" borderId="353" xfId="0" applyFill="1" applyBorder="1" applyAlignment="1">
      <alignment vertical="center"/>
    </xf>
    <xf numFmtId="228" fontId="0" fillId="14" borderId="353" xfId="0" applyNumberFormat="1" applyFill="1" applyBorder="1" applyAlignment="1">
      <alignment horizontal="right" vertical="center" indent="1"/>
    </xf>
    <xf numFmtId="0" fontId="0" fillId="14" borderId="477" xfId="0" applyFill="1" applyBorder="1"/>
    <xf numFmtId="0" fontId="0" fillId="43" borderId="0" xfId="0" applyFill="1" applyBorder="1" applyAlignment="1"/>
    <xf numFmtId="0" fontId="74" fillId="14" borderId="478" xfId="0" applyFont="1" applyFill="1" applyBorder="1" applyAlignment="1">
      <alignment vertical="center"/>
    </xf>
    <xf numFmtId="228" fontId="0" fillId="14" borderId="479" xfId="0" applyNumberFormat="1" applyFill="1" applyBorder="1" applyAlignment="1">
      <alignment horizontal="right" vertical="center" indent="1"/>
    </xf>
    <xf numFmtId="228" fontId="0" fillId="14" borderId="480" xfId="0" applyNumberFormat="1" applyFill="1" applyBorder="1" applyAlignment="1">
      <alignment horizontal="right" vertical="center" indent="1"/>
    </xf>
    <xf numFmtId="0" fontId="5" fillId="14" borderId="47" xfId="0" applyFont="1" applyFill="1" applyBorder="1" applyAlignment="1" applyProtection="1">
      <alignment horizontal="center" vertical="center" wrapText="1"/>
    </xf>
    <xf numFmtId="0" fontId="0" fillId="18" borderId="484" xfId="0" applyFill="1" applyBorder="1" applyAlignment="1">
      <alignment vertical="center"/>
    </xf>
    <xf numFmtId="0" fontId="0" fillId="18" borderId="484" xfId="0" applyFill="1" applyBorder="1"/>
    <xf numFmtId="0" fontId="0" fillId="14" borderId="346" xfId="0" applyFill="1" applyBorder="1" applyAlignment="1">
      <alignment vertical="center"/>
    </xf>
    <xf numFmtId="0" fontId="0" fillId="14" borderId="354" xfId="0" applyFill="1" applyBorder="1" applyAlignment="1">
      <alignment vertical="center"/>
    </xf>
    <xf numFmtId="0" fontId="0" fillId="14" borderId="194" xfId="0" applyFill="1" applyBorder="1" applyAlignment="1">
      <alignment horizontal="left" vertical="center" indent="3"/>
    </xf>
    <xf numFmtId="0" fontId="0" fillId="14" borderId="194" xfId="0" applyFont="1" applyFill="1" applyBorder="1" applyAlignment="1">
      <alignment horizontal="left" vertical="center" indent="1"/>
    </xf>
    <xf numFmtId="0" fontId="0" fillId="14" borderId="349" xfId="0" applyFill="1" applyBorder="1" applyAlignment="1">
      <alignment horizontal="left" indent="1"/>
    </xf>
    <xf numFmtId="0" fontId="0" fillId="14" borderId="240" xfId="0" applyFill="1" applyBorder="1" applyAlignment="1">
      <alignment horizontal="left" indent="1"/>
    </xf>
    <xf numFmtId="0" fontId="0" fillId="14" borderId="350" xfId="0" applyFill="1" applyBorder="1" applyAlignment="1">
      <alignment horizontal="left" indent="1"/>
    </xf>
    <xf numFmtId="0" fontId="0" fillId="14" borderId="299" xfId="0" applyFill="1" applyBorder="1" applyAlignment="1">
      <alignment horizontal="left" indent="1"/>
    </xf>
    <xf numFmtId="0" fontId="0" fillId="14" borderId="240" xfId="0" applyFill="1" applyBorder="1" applyAlignment="1">
      <alignment vertical="center"/>
    </xf>
    <xf numFmtId="0" fontId="0" fillId="14" borderId="485" xfId="0" applyFill="1" applyBorder="1"/>
    <xf numFmtId="0" fontId="37" fillId="14" borderId="0" xfId="0" applyFont="1" applyFill="1"/>
    <xf numFmtId="0" fontId="6" fillId="14" borderId="7"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1" fillId="14" borderId="44" xfId="0" applyFont="1" applyFill="1" applyBorder="1" applyAlignment="1">
      <alignment horizontal="center" vertical="center" wrapText="1"/>
    </xf>
    <xf numFmtId="0" fontId="5" fillId="14" borderId="311" xfId="0" applyFont="1" applyFill="1" applyBorder="1" applyAlignment="1">
      <alignment horizontal="center" vertical="center" wrapText="1"/>
    </xf>
    <xf numFmtId="0" fontId="5" fillId="14" borderId="28" xfId="0" applyFont="1" applyFill="1" applyBorder="1" applyAlignment="1">
      <alignment horizontal="center" vertical="center" wrapText="1"/>
    </xf>
    <xf numFmtId="14" fontId="1" fillId="14" borderId="2" xfId="0" applyNumberFormat="1" applyFont="1" applyFill="1" applyBorder="1" applyAlignment="1">
      <alignment horizontal="left" vertical="center" wrapText="1" indent="1"/>
    </xf>
    <xf numFmtId="14" fontId="13" fillId="14" borderId="3" xfId="0" applyNumberFormat="1" applyFont="1" applyFill="1" applyBorder="1" applyAlignment="1">
      <alignment horizontal="left" vertical="center" wrapText="1" indent="1"/>
    </xf>
    <xf numFmtId="14" fontId="13" fillId="14" borderId="1" xfId="0" applyNumberFormat="1" applyFont="1" applyFill="1" applyBorder="1" applyAlignment="1">
      <alignment horizontal="right" vertical="center" wrapText="1" indent="1"/>
    </xf>
    <xf numFmtId="1" fontId="13" fillId="14" borderId="1" xfId="0" applyNumberFormat="1" applyFont="1" applyFill="1" applyBorder="1" applyAlignment="1">
      <alignment horizontal="center" vertical="center" wrapText="1"/>
    </xf>
    <xf numFmtId="14" fontId="13" fillId="14" borderId="1" xfId="0" applyNumberFormat="1" applyFont="1" applyFill="1" applyBorder="1" applyAlignment="1">
      <alignment horizontal="left" vertical="center" wrapText="1" indent="1"/>
    </xf>
    <xf numFmtId="0" fontId="0" fillId="14" borderId="36" xfId="0" applyFont="1" applyFill="1" applyBorder="1" applyAlignment="1">
      <alignment horizontal="right" vertical="center" indent="1"/>
    </xf>
    <xf numFmtId="14" fontId="0" fillId="14" borderId="26" xfId="0" applyNumberFormat="1" applyFont="1" applyFill="1" applyBorder="1" applyAlignment="1">
      <alignment horizontal="left" vertical="center" indent="1"/>
    </xf>
    <xf numFmtId="0" fontId="0" fillId="14" borderId="33" xfId="0" applyFont="1" applyFill="1" applyBorder="1" applyAlignment="1">
      <alignment horizontal="right" vertical="center" indent="1"/>
    </xf>
    <xf numFmtId="0" fontId="0" fillId="14" borderId="302" xfId="0" applyFont="1" applyFill="1" applyBorder="1" applyAlignment="1">
      <alignment horizontal="left" vertical="center" indent="1"/>
    </xf>
    <xf numFmtId="0" fontId="0" fillId="14" borderId="310" xfId="0" applyFont="1" applyFill="1" applyBorder="1" applyAlignment="1">
      <alignment horizontal="right" vertical="center" indent="1"/>
    </xf>
    <xf numFmtId="0" fontId="0" fillId="14" borderId="303" xfId="0" applyFont="1" applyFill="1" applyBorder="1" applyAlignment="1">
      <alignment horizontal="left" vertical="center" indent="1"/>
    </xf>
    <xf numFmtId="0" fontId="0" fillId="14" borderId="60" xfId="0" applyFont="1" applyFill="1" applyBorder="1" applyAlignment="1">
      <alignment horizontal="right" vertical="center" indent="1"/>
    </xf>
    <xf numFmtId="0" fontId="1" fillId="14" borderId="17" xfId="0" applyNumberFormat="1" applyFont="1" applyFill="1" applyBorder="1" applyAlignment="1">
      <alignment horizontal="center" vertical="center" wrapText="1"/>
    </xf>
    <xf numFmtId="164" fontId="1" fillId="14" borderId="16" xfId="0" applyNumberFormat="1" applyFont="1" applyFill="1" applyBorder="1" applyAlignment="1">
      <alignment horizontal="left" vertical="center" wrapText="1" indent="1"/>
    </xf>
    <xf numFmtId="14" fontId="1" fillId="14" borderId="17" xfId="0" applyNumberFormat="1" applyFont="1" applyFill="1" applyBorder="1" applyAlignment="1">
      <alignment horizontal="left" vertical="center" wrapText="1" indent="1"/>
    </xf>
    <xf numFmtId="0" fontId="0" fillId="14" borderId="17" xfId="0" applyNumberFormat="1" applyFont="1" applyFill="1" applyBorder="1" applyAlignment="1">
      <alignment horizontal="left" vertical="center" indent="1"/>
    </xf>
    <xf numFmtId="187" fontId="0" fillId="14" borderId="17" xfId="0" applyNumberFormat="1" applyFill="1" applyBorder="1" applyAlignment="1">
      <alignment horizontal="right" vertical="center" wrapText="1" indent="1"/>
    </xf>
    <xf numFmtId="1" fontId="13" fillId="14" borderId="18" xfId="0" applyNumberFormat="1" applyFont="1" applyFill="1" applyBorder="1" applyAlignment="1">
      <alignment horizontal="center" vertical="center" wrapText="1"/>
    </xf>
    <xf numFmtId="0" fontId="0" fillId="14" borderId="17" xfId="0" applyFont="1" applyFill="1" applyBorder="1" applyAlignment="1">
      <alignment horizontal="left" vertical="center" wrapText="1" indent="1"/>
    </xf>
    <xf numFmtId="0" fontId="0" fillId="14" borderId="18" xfId="0" applyFont="1" applyFill="1" applyBorder="1" applyAlignment="1">
      <alignment horizontal="left" vertical="center" wrapText="1" indent="1"/>
    </xf>
    <xf numFmtId="0" fontId="0" fillId="14" borderId="32" xfId="0" applyFont="1" applyFill="1" applyBorder="1" applyAlignment="1">
      <alignment horizontal="right" vertical="center" indent="1"/>
    </xf>
    <xf numFmtId="0" fontId="0" fillId="14" borderId="17" xfId="0" applyFont="1" applyFill="1" applyBorder="1" applyAlignment="1">
      <alignment horizontal="left" vertical="center" indent="1"/>
    </xf>
    <xf numFmtId="1" fontId="1" fillId="14" borderId="16" xfId="0" applyNumberFormat="1" applyFont="1" applyFill="1" applyBorder="1" applyAlignment="1">
      <alignment horizontal="left" vertical="center" wrapText="1" indent="1"/>
    </xf>
    <xf numFmtId="1" fontId="1" fillId="14" borderId="17" xfId="0" applyNumberFormat="1" applyFont="1" applyFill="1" applyBorder="1" applyAlignment="1">
      <alignment horizontal="left" vertical="center" indent="1"/>
    </xf>
    <xf numFmtId="14" fontId="13" fillId="14" borderId="17" xfId="0" applyNumberFormat="1" applyFont="1" applyFill="1" applyBorder="1" applyAlignment="1">
      <alignment horizontal="left" vertical="center" wrapText="1" indent="1"/>
    </xf>
    <xf numFmtId="0" fontId="1" fillId="14" borderId="17" xfId="0" applyFont="1" applyFill="1" applyBorder="1" applyAlignment="1">
      <alignment horizontal="left" vertical="center" indent="1"/>
    </xf>
    <xf numFmtId="0" fontId="13" fillId="14" borderId="26" xfId="0" applyFont="1" applyFill="1" applyBorder="1" applyAlignment="1">
      <alignment horizontal="left" vertical="center" wrapText="1" indent="1"/>
    </xf>
    <xf numFmtId="0" fontId="1" fillId="14" borderId="26" xfId="0" applyFont="1" applyFill="1" applyBorder="1" applyAlignment="1">
      <alignment horizontal="left" vertical="center" indent="1"/>
    </xf>
    <xf numFmtId="14" fontId="1" fillId="14" borderId="302" xfId="0" applyNumberFormat="1" applyFont="1" applyFill="1" applyBorder="1" applyAlignment="1">
      <alignment horizontal="left" vertical="center" wrapText="1" indent="1"/>
    </xf>
    <xf numFmtId="0" fontId="1" fillId="14" borderId="302" xfId="0" applyFont="1" applyFill="1" applyBorder="1" applyAlignment="1">
      <alignment horizontal="left" vertical="center" indent="1"/>
    </xf>
    <xf numFmtId="14" fontId="1" fillId="14" borderId="303" xfId="0" applyNumberFormat="1" applyFont="1" applyFill="1" applyBorder="1" applyAlignment="1">
      <alignment horizontal="left" vertical="center" wrapText="1" indent="1"/>
    </xf>
    <xf numFmtId="0" fontId="1" fillId="14" borderId="303" xfId="0" applyFont="1" applyFill="1" applyBorder="1" applyAlignment="1">
      <alignment horizontal="left" vertical="center" indent="1"/>
    </xf>
    <xf numFmtId="14" fontId="1" fillId="14" borderId="26" xfId="0" applyNumberFormat="1" applyFont="1" applyFill="1" applyBorder="1" applyAlignment="1">
      <alignment horizontal="left" vertical="center" wrapText="1" indent="1"/>
    </xf>
    <xf numFmtId="0" fontId="0" fillId="14" borderId="89" xfId="0" applyFill="1" applyBorder="1" applyAlignment="1">
      <alignment horizontal="center" vertical="center"/>
    </xf>
    <xf numFmtId="225" fontId="0" fillId="14" borderId="19" xfId="0" applyNumberFormat="1" applyFill="1" applyBorder="1" applyAlignment="1">
      <alignment horizontal="left" vertical="center"/>
    </xf>
    <xf numFmtId="0" fontId="0" fillId="14" borderId="0" xfId="0" applyFill="1" applyAlignment="1">
      <alignment horizontal="left"/>
    </xf>
    <xf numFmtId="0" fontId="0" fillId="14" borderId="26" xfId="0" applyFont="1" applyFill="1" applyBorder="1" applyAlignment="1">
      <alignment horizontal="left" vertical="center" indent="1"/>
    </xf>
    <xf numFmtId="187" fontId="0" fillId="14" borderId="26" xfId="0" applyNumberFormat="1" applyFill="1" applyBorder="1" applyAlignment="1">
      <alignment horizontal="right" vertical="center" wrapText="1" indent="1"/>
    </xf>
    <xf numFmtId="1" fontId="13" fillId="14" borderId="49" xfId="0" applyNumberFormat="1" applyFont="1" applyFill="1" applyBorder="1" applyAlignment="1">
      <alignment horizontal="center" vertical="center" wrapText="1"/>
    </xf>
    <xf numFmtId="0" fontId="0" fillId="14" borderId="26" xfId="0" applyFont="1" applyFill="1" applyBorder="1" applyAlignment="1">
      <alignment horizontal="left" vertical="center" wrapText="1" indent="1"/>
    </xf>
    <xf numFmtId="0" fontId="0" fillId="14" borderId="49" xfId="0" applyFont="1" applyFill="1" applyBorder="1" applyAlignment="1">
      <alignment horizontal="left" vertical="center" wrapText="1" indent="1"/>
    </xf>
    <xf numFmtId="14" fontId="1" fillId="14" borderId="435" xfId="0" applyNumberFormat="1" applyFont="1" applyFill="1" applyBorder="1" applyAlignment="1">
      <alignment horizontal="left" vertical="center" wrapText="1" indent="1"/>
    </xf>
    <xf numFmtId="0" fontId="0" fillId="14" borderId="435" xfId="0" applyFont="1" applyFill="1" applyBorder="1" applyAlignment="1">
      <alignment horizontal="left" vertical="center" indent="1"/>
    </xf>
    <xf numFmtId="187" fontId="0" fillId="14" borderId="435" xfId="0" applyNumberFormat="1" applyFill="1" applyBorder="1" applyAlignment="1">
      <alignment horizontal="right" vertical="center" wrapText="1" indent="1"/>
    </xf>
    <xf numFmtId="1" fontId="13" fillId="14" borderId="437" xfId="0" applyNumberFormat="1" applyFont="1" applyFill="1" applyBorder="1" applyAlignment="1">
      <alignment horizontal="center" vertical="center" wrapText="1"/>
    </xf>
    <xf numFmtId="0" fontId="0" fillId="14" borderId="435" xfId="0" applyFont="1" applyFill="1" applyBorder="1" applyAlignment="1">
      <alignment horizontal="left" vertical="center" wrapText="1" indent="1"/>
    </xf>
    <xf numFmtId="0" fontId="0" fillId="14" borderId="437" xfId="0" applyFont="1" applyFill="1" applyBorder="1" applyAlignment="1">
      <alignment horizontal="left" vertical="center" wrapText="1" indent="1"/>
    </xf>
    <xf numFmtId="0" fontId="0" fillId="14" borderId="368" xfId="0" applyFont="1" applyFill="1" applyBorder="1" applyAlignment="1">
      <alignment horizontal="right" vertical="center" indent="1"/>
    </xf>
    <xf numFmtId="0" fontId="1" fillId="14" borderId="435" xfId="0" applyFont="1" applyFill="1" applyBorder="1" applyAlignment="1">
      <alignment horizontal="left" vertical="center" wrapText="1" indent="1"/>
    </xf>
    <xf numFmtId="0" fontId="1" fillId="14" borderId="364" xfId="0" applyFont="1" applyFill="1" applyBorder="1" applyAlignment="1">
      <alignment horizontal="left" vertical="center" wrapText="1" indent="1"/>
    </xf>
    <xf numFmtId="0" fontId="0" fillId="14" borderId="364" xfId="0" applyFont="1" applyFill="1" applyBorder="1" applyAlignment="1">
      <alignment horizontal="left" vertical="center" indent="1"/>
    </xf>
    <xf numFmtId="187" fontId="0" fillId="14" borderId="364" xfId="0" applyNumberFormat="1" applyFill="1" applyBorder="1" applyAlignment="1">
      <alignment horizontal="right" vertical="center" wrapText="1" indent="1"/>
    </xf>
    <xf numFmtId="1" fontId="13" fillId="14" borderId="373" xfId="0" applyNumberFormat="1" applyFont="1" applyFill="1" applyBorder="1" applyAlignment="1">
      <alignment horizontal="center" vertical="center" wrapText="1"/>
    </xf>
    <xf numFmtId="0" fontId="0" fillId="14" borderId="364" xfId="0" applyFont="1" applyFill="1" applyBorder="1" applyAlignment="1">
      <alignment horizontal="left" vertical="center" wrapText="1" indent="1"/>
    </xf>
    <xf numFmtId="0" fontId="0" fillId="14" borderId="373" xfId="0" applyFont="1" applyFill="1" applyBorder="1" applyAlignment="1">
      <alignment horizontal="left" vertical="center" wrapText="1" indent="1"/>
    </xf>
    <xf numFmtId="0" fontId="0" fillId="14" borderId="370" xfId="0" applyFont="1" applyFill="1" applyBorder="1" applyAlignment="1">
      <alignment horizontal="right" vertical="center" indent="1"/>
    </xf>
    <xf numFmtId="0" fontId="1" fillId="14" borderId="26" xfId="0" applyFont="1" applyFill="1" applyBorder="1" applyAlignment="1">
      <alignment horizontal="left" vertical="center" wrapText="1" indent="1"/>
    </xf>
    <xf numFmtId="0" fontId="0" fillId="43" borderId="486" xfId="0" applyFill="1" applyBorder="1"/>
    <xf numFmtId="0" fontId="0" fillId="18" borderId="484" xfId="0" applyFill="1" applyBorder="1" applyAlignment="1">
      <alignment horizontal="center"/>
    </xf>
    <xf numFmtId="0" fontId="0" fillId="14" borderId="0" xfId="0" applyFont="1" applyFill="1" applyBorder="1" applyAlignment="1">
      <alignment vertical="center"/>
    </xf>
    <xf numFmtId="0" fontId="0" fillId="14" borderId="47" xfId="0" applyFill="1" applyBorder="1" applyAlignment="1"/>
    <xf numFmtId="0" fontId="72" fillId="14" borderId="0" xfId="0" applyFont="1" applyFill="1" applyAlignment="1"/>
    <xf numFmtId="0" fontId="0" fillId="14" borderId="0" xfId="0" applyFill="1" applyBorder="1" applyAlignment="1">
      <alignment horizontal="center"/>
    </xf>
    <xf numFmtId="0" fontId="0" fillId="18" borderId="484" xfId="0" applyFill="1" applyBorder="1" applyProtection="1"/>
    <xf numFmtId="0" fontId="0" fillId="41" borderId="484" xfId="0" applyFill="1" applyBorder="1" applyProtection="1"/>
    <xf numFmtId="166" fontId="1" fillId="37" borderId="304" xfId="0" applyNumberFormat="1" applyFont="1" applyFill="1" applyBorder="1" applyAlignment="1" applyProtection="1">
      <alignment horizontal="left" vertical="center" wrapText="1" indent="1"/>
    </xf>
    <xf numFmtId="0" fontId="0" fillId="0" borderId="12" xfId="0" applyFont="1" applyFill="1" applyBorder="1" applyAlignment="1">
      <alignment vertical="center" wrapText="1"/>
    </xf>
    <xf numFmtId="0" fontId="0" fillId="0" borderId="3" xfId="0" applyFont="1" applyFill="1" applyBorder="1" applyAlignment="1">
      <alignment vertical="center" wrapText="1"/>
    </xf>
    <xf numFmtId="0" fontId="0" fillId="0" borderId="7" xfId="0" applyFont="1" applyFill="1" applyBorder="1" applyAlignment="1">
      <alignment vertical="center" wrapText="1"/>
    </xf>
    <xf numFmtId="0" fontId="0" fillId="0" borderId="9" xfId="0" applyFont="1" applyFill="1" applyBorder="1" applyAlignment="1">
      <alignment vertical="center" wrapText="1"/>
    </xf>
    <xf numFmtId="1" fontId="1" fillId="50" borderId="26" xfId="0" applyNumberFormat="1" applyFont="1" applyFill="1" applyBorder="1" applyAlignment="1" applyProtection="1">
      <alignment horizontal="center" vertical="center" wrapText="1"/>
    </xf>
    <xf numFmtId="166" fontId="1" fillId="50" borderId="49" xfId="0" applyNumberFormat="1" applyFont="1" applyFill="1" applyBorder="1" applyAlignment="1" applyProtection="1">
      <alignment horizontal="left" vertical="center" wrapText="1" indent="1"/>
    </xf>
    <xf numFmtId="166" fontId="1" fillId="50" borderId="51" xfId="0" applyNumberFormat="1" applyFont="1" applyFill="1" applyBorder="1" applyAlignment="1" applyProtection="1">
      <alignment horizontal="center" vertical="center" wrapText="1"/>
    </xf>
    <xf numFmtId="211" fontId="1" fillId="50" borderId="26" xfId="0" applyNumberFormat="1" applyFont="1" applyFill="1" applyBorder="1" applyAlignment="1" applyProtection="1">
      <alignment horizontal="center" vertical="center" wrapText="1"/>
    </xf>
    <xf numFmtId="9" fontId="1" fillId="50" borderId="33" xfId="0" applyNumberFormat="1" applyFont="1" applyFill="1" applyBorder="1" applyAlignment="1" applyProtection="1">
      <alignment horizontal="center" vertical="center" wrapText="1"/>
    </xf>
    <xf numFmtId="1" fontId="1" fillId="50" borderId="302" xfId="0" applyNumberFormat="1" applyFont="1" applyFill="1" applyBorder="1" applyAlignment="1" applyProtection="1">
      <alignment horizontal="center" vertical="center" wrapText="1"/>
    </xf>
    <xf numFmtId="166" fontId="1" fillId="50" borderId="304" xfId="0" applyNumberFormat="1" applyFont="1" applyFill="1" applyBorder="1" applyAlignment="1" applyProtection="1">
      <alignment horizontal="left" vertical="center" wrapText="1" indent="1"/>
    </xf>
    <xf numFmtId="166" fontId="1" fillId="50" borderId="309" xfId="0" applyNumberFormat="1" applyFont="1" applyFill="1" applyBorder="1" applyAlignment="1" applyProtection="1">
      <alignment horizontal="center" vertical="center" wrapText="1"/>
    </xf>
    <xf numFmtId="211" fontId="1" fillId="50" borderId="302" xfId="0" applyNumberFormat="1" applyFont="1" applyFill="1" applyBorder="1" applyAlignment="1" applyProtection="1">
      <alignment horizontal="right" vertical="center" wrapText="1" indent="1"/>
    </xf>
    <xf numFmtId="9" fontId="1" fillId="50" borderId="310" xfId="0" applyNumberFormat="1" applyFont="1" applyFill="1" applyBorder="1" applyAlignment="1" applyProtection="1">
      <alignment horizontal="center" vertical="center" wrapText="1"/>
    </xf>
    <xf numFmtId="211" fontId="1" fillId="50" borderId="26" xfId="0" applyNumberFormat="1" applyFont="1" applyFill="1" applyBorder="1" applyAlignment="1" applyProtection="1">
      <alignment horizontal="right" vertical="center" wrapText="1" indent="1"/>
    </xf>
    <xf numFmtId="1" fontId="1" fillId="50" borderId="23" xfId="0" applyNumberFormat="1" applyFont="1" applyFill="1" applyBorder="1" applyAlignment="1" applyProtection="1">
      <alignment horizontal="center" vertical="center" wrapText="1"/>
    </xf>
    <xf numFmtId="1" fontId="0" fillId="50" borderId="23" xfId="0" applyNumberFormat="1" applyFont="1" applyFill="1" applyBorder="1" applyAlignment="1" applyProtection="1">
      <alignment horizontal="center" vertical="center" wrapText="1"/>
    </xf>
    <xf numFmtId="166" fontId="1" fillId="50" borderId="323" xfId="0" applyNumberFormat="1" applyFont="1" applyFill="1" applyBorder="1" applyAlignment="1" applyProtection="1">
      <alignment horizontal="left" vertical="center" wrapText="1" indent="1"/>
    </xf>
    <xf numFmtId="166" fontId="0" fillId="50" borderId="309" xfId="0" applyNumberFormat="1" applyFont="1" applyFill="1" applyBorder="1" applyAlignment="1" applyProtection="1">
      <alignment horizontal="center" vertical="center" wrapText="1"/>
    </xf>
    <xf numFmtId="211" fontId="0" fillId="50" borderId="302" xfId="0" applyNumberFormat="1" applyFont="1" applyFill="1" applyBorder="1" applyAlignment="1" applyProtection="1">
      <alignment horizontal="right" vertical="center" wrapText="1" indent="1"/>
    </xf>
    <xf numFmtId="9" fontId="0" fillId="50" borderId="310" xfId="0" applyNumberFormat="1" applyFont="1" applyFill="1" applyBorder="1" applyAlignment="1" applyProtection="1">
      <alignment horizontal="center" vertical="center" wrapText="1"/>
    </xf>
    <xf numFmtId="1" fontId="1" fillId="50" borderId="175" xfId="0" applyNumberFormat="1" applyFont="1" applyFill="1" applyBorder="1" applyAlignment="1" applyProtection="1">
      <alignment horizontal="center" vertical="center" wrapText="1"/>
    </xf>
    <xf numFmtId="166" fontId="1" fillId="50" borderId="326" xfId="0" applyNumberFormat="1" applyFont="1" applyFill="1" applyBorder="1" applyAlignment="1" applyProtection="1">
      <alignment horizontal="center" vertical="center" wrapText="1"/>
    </xf>
    <xf numFmtId="211" fontId="1" fillId="50" borderId="321" xfId="0" applyNumberFormat="1" applyFont="1" applyFill="1" applyBorder="1" applyAlignment="1" applyProtection="1">
      <alignment horizontal="right" vertical="center" wrapText="1" indent="1"/>
    </xf>
    <xf numFmtId="9" fontId="1" fillId="50" borderId="327" xfId="0" applyNumberFormat="1" applyFont="1" applyFill="1" applyBorder="1" applyAlignment="1" applyProtection="1">
      <alignment horizontal="center" vertical="center" wrapText="1"/>
    </xf>
    <xf numFmtId="166" fontId="1" fillId="50" borderId="313" xfId="0" applyNumberFormat="1" applyFont="1" applyFill="1" applyBorder="1" applyAlignment="1" applyProtection="1">
      <alignment horizontal="left" vertical="center" wrapText="1" indent="1"/>
    </xf>
    <xf numFmtId="1" fontId="1" fillId="45" borderId="302" xfId="0" applyNumberFormat="1" applyFont="1" applyFill="1" applyBorder="1" applyAlignment="1" applyProtection="1">
      <alignment horizontal="center" vertical="center" wrapText="1"/>
    </xf>
    <xf numFmtId="166" fontId="1" fillId="45" borderId="304" xfId="0" applyNumberFormat="1" applyFont="1" applyFill="1" applyBorder="1" applyAlignment="1" applyProtection="1">
      <alignment horizontal="left" vertical="center" wrapText="1" indent="1"/>
    </xf>
    <xf numFmtId="166" fontId="1" fillId="45" borderId="309" xfId="0" applyNumberFormat="1" applyFont="1" applyFill="1" applyBorder="1" applyAlignment="1" applyProtection="1">
      <alignment horizontal="center" vertical="center" wrapText="1"/>
    </xf>
    <xf numFmtId="211" fontId="1" fillId="45" borderId="302" xfId="0" applyNumberFormat="1" applyFont="1" applyFill="1" applyBorder="1" applyAlignment="1" applyProtection="1">
      <alignment horizontal="center" vertical="center" wrapText="1"/>
    </xf>
    <xf numFmtId="9" fontId="1" fillId="45" borderId="310" xfId="0" applyNumberFormat="1" applyFont="1" applyFill="1" applyBorder="1" applyAlignment="1" applyProtection="1">
      <alignment horizontal="center" vertical="center" wrapText="1"/>
    </xf>
    <xf numFmtId="211" fontId="1" fillId="45" borderId="302" xfId="0" applyNumberFormat="1" applyFont="1" applyFill="1" applyBorder="1" applyAlignment="1" applyProtection="1">
      <alignment horizontal="right" vertical="center" wrapText="1" indent="1"/>
    </xf>
    <xf numFmtId="1" fontId="1" fillId="45" borderId="7" xfId="0" applyNumberFormat="1" applyFont="1" applyFill="1" applyBorder="1" applyAlignment="1" applyProtection="1">
      <alignment horizontal="center" vertical="center" wrapText="1"/>
    </xf>
    <xf numFmtId="166" fontId="1" fillId="45" borderId="8" xfId="0" applyNumberFormat="1" applyFont="1" applyFill="1" applyBorder="1" applyAlignment="1" applyProtection="1">
      <alignment horizontal="left" vertical="center" wrapText="1" indent="1"/>
    </xf>
    <xf numFmtId="166" fontId="1" fillId="45" borderId="42" xfId="0" applyNumberFormat="1" applyFont="1" applyFill="1" applyBorder="1" applyAlignment="1" applyProtection="1">
      <alignment horizontal="center" vertical="center" wrapText="1"/>
    </xf>
    <xf numFmtId="211" fontId="1" fillId="45" borderId="7" xfId="0" applyNumberFormat="1" applyFont="1" applyFill="1" applyBorder="1" applyAlignment="1" applyProtection="1">
      <alignment horizontal="right" vertical="center" wrapText="1" indent="1"/>
    </xf>
    <xf numFmtId="9" fontId="1" fillId="45" borderId="44" xfId="0" applyNumberFormat="1" applyFont="1" applyFill="1" applyBorder="1" applyAlignment="1" applyProtection="1">
      <alignment horizontal="center" vertical="center" wrapText="1"/>
    </xf>
    <xf numFmtId="1" fontId="1" fillId="45" borderId="23" xfId="0" applyNumberFormat="1" applyFont="1" applyFill="1" applyBorder="1" applyAlignment="1" applyProtection="1">
      <alignment horizontal="center" vertical="center" wrapText="1"/>
    </xf>
    <xf numFmtId="0" fontId="0" fillId="14" borderId="0" xfId="0" applyFill="1" applyAlignment="1" applyProtection="1">
      <alignment horizontal="center" vertical="top"/>
    </xf>
    <xf numFmtId="0" fontId="27" fillId="14" borderId="0" xfId="0" applyFont="1" applyFill="1" applyAlignment="1">
      <alignment horizontal="left" indent="1"/>
    </xf>
    <xf numFmtId="0" fontId="4" fillId="14" borderId="0" xfId="0" applyFont="1" applyFill="1" applyAlignment="1">
      <alignment horizontal="left" vertical="center" indent="1"/>
    </xf>
    <xf numFmtId="14" fontId="4" fillId="14" borderId="0" xfId="0" applyNumberFormat="1" applyFont="1" applyFill="1" applyBorder="1" applyAlignment="1">
      <alignment horizontal="left" vertical="center" indent="1"/>
    </xf>
    <xf numFmtId="0" fontId="27" fillId="43" borderId="0" xfId="0" applyFont="1" applyFill="1" applyAlignment="1">
      <alignment horizontal="left" indent="1"/>
    </xf>
    <xf numFmtId="0" fontId="0" fillId="43" borderId="0" xfId="0" applyFill="1" applyAlignment="1">
      <alignment horizontal="left" indent="1"/>
    </xf>
    <xf numFmtId="0" fontId="4" fillId="43" borderId="0" xfId="0" applyFont="1" applyFill="1" applyAlignment="1">
      <alignment horizontal="left" vertical="center" indent="1"/>
    </xf>
    <xf numFmtId="14" fontId="4" fillId="43" borderId="0" xfId="0" applyNumberFormat="1" applyFont="1" applyFill="1" applyBorder="1" applyAlignment="1">
      <alignment horizontal="left" vertical="center" indent="1"/>
    </xf>
    <xf numFmtId="0" fontId="0" fillId="14" borderId="0" xfId="0" applyFill="1" applyAlignment="1">
      <alignment horizontal="right"/>
    </xf>
    <xf numFmtId="0" fontId="7" fillId="14" borderId="0" xfId="0" applyFont="1" applyFill="1" applyAlignment="1">
      <alignment horizontal="right" indent="1"/>
    </xf>
    <xf numFmtId="0" fontId="21" fillId="14" borderId="0" xfId="0" applyFont="1" applyFill="1" applyAlignment="1">
      <alignment horizontal="center"/>
    </xf>
    <xf numFmtId="0" fontId="18" fillId="14" borderId="46" xfId="0" applyFont="1" applyFill="1" applyBorder="1" applyAlignment="1">
      <alignment vertical="center" wrapText="1"/>
    </xf>
    <xf numFmtId="0" fontId="13" fillId="14" borderId="0" xfId="0" applyFont="1" applyFill="1"/>
    <xf numFmtId="0" fontId="1" fillId="14" borderId="0" xfId="0" applyFont="1" applyFill="1" applyBorder="1" applyAlignment="1">
      <alignment horizontal="left" vertical="center" wrapText="1" indent="1"/>
    </xf>
    <xf numFmtId="0" fontId="13" fillId="43" borderId="0" xfId="0" applyFont="1" applyFill="1"/>
    <xf numFmtId="0" fontId="27" fillId="43" borderId="0" xfId="0" applyFont="1" applyFill="1"/>
    <xf numFmtId="0" fontId="0" fillId="43" borderId="0" xfId="0" applyFont="1" applyFill="1" applyAlignment="1">
      <alignment vertical="center" wrapText="1"/>
    </xf>
    <xf numFmtId="0" fontId="0" fillId="43" borderId="0" xfId="0" applyFont="1" applyFill="1" applyBorder="1" applyAlignment="1">
      <alignment vertical="center"/>
    </xf>
    <xf numFmtId="0" fontId="27" fillId="14" borderId="0" xfId="0" applyFont="1" applyFill="1"/>
    <xf numFmtId="0" fontId="0" fillId="14" borderId="0" xfId="0" applyFont="1" applyFill="1" applyAlignment="1">
      <alignment vertical="center" wrapText="1"/>
    </xf>
    <xf numFmtId="0" fontId="0" fillId="14" borderId="47" xfId="0" applyFont="1" applyFill="1" applyBorder="1" applyAlignment="1"/>
    <xf numFmtId="14" fontId="1" fillId="0" borderId="12" xfId="0" applyNumberFormat="1" applyFont="1" applyFill="1" applyBorder="1" applyAlignment="1">
      <alignment horizontal="left" vertical="center" wrapText="1"/>
    </xf>
    <xf numFmtId="164" fontId="1" fillId="0" borderId="363" xfId="0" applyNumberFormat="1" applyFont="1" applyFill="1" applyBorder="1" applyAlignment="1">
      <alignment horizontal="left" vertical="center" wrapText="1"/>
    </xf>
    <xf numFmtId="1" fontId="1" fillId="0" borderId="363" xfId="0" applyNumberFormat="1" applyFont="1" applyFill="1" applyBorder="1" applyAlignment="1">
      <alignment horizontal="left" vertical="center" wrapText="1"/>
    </xf>
    <xf numFmtId="1" fontId="0" fillId="0" borderId="380" xfId="0" applyNumberFormat="1" applyFont="1" applyFill="1" applyBorder="1" applyAlignment="1">
      <alignment horizontal="center" vertical="center"/>
    </xf>
    <xf numFmtId="1" fontId="0" fillId="0" borderId="3" xfId="0" applyNumberFormat="1" applyFont="1" applyFill="1" applyBorder="1" applyAlignment="1">
      <alignment horizontal="center" vertical="center"/>
    </xf>
    <xf numFmtId="1" fontId="0" fillId="0" borderId="7" xfId="0" applyNumberFormat="1" applyFont="1" applyFill="1" applyBorder="1" applyAlignment="1">
      <alignment horizontal="center" vertical="center"/>
    </xf>
    <xf numFmtId="1" fontId="0" fillId="0" borderId="363" xfId="0" applyNumberFormat="1" applyFont="1" applyFill="1" applyBorder="1" applyAlignment="1">
      <alignment horizontal="center" vertical="center"/>
    </xf>
    <xf numFmtId="1" fontId="0" fillId="0" borderId="12"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0" fillId="0" borderId="26" xfId="0" applyNumberFormat="1" applyFont="1" applyFill="1" applyBorder="1" applyAlignment="1">
      <alignment horizontal="center" vertical="center"/>
    </xf>
    <xf numFmtId="1" fontId="0" fillId="0" borderId="435" xfId="0" applyNumberFormat="1" applyFont="1" applyFill="1" applyBorder="1" applyAlignment="1">
      <alignment horizontal="center" vertical="center"/>
    </xf>
    <xf numFmtId="1" fontId="0" fillId="0" borderId="364" xfId="0" applyNumberFormat="1" applyFont="1" applyFill="1" applyBorder="1" applyAlignment="1">
      <alignment horizontal="center" vertical="center"/>
    </xf>
    <xf numFmtId="14" fontId="1" fillId="0" borderId="363" xfId="0" applyNumberFormat="1" applyFont="1" applyBorder="1" applyAlignment="1">
      <alignment horizontal="left" vertical="center" wrapText="1" indent="1"/>
    </xf>
    <xf numFmtId="14" fontId="1" fillId="0" borderId="380" xfId="0" applyNumberFormat="1" applyFont="1" applyBorder="1" applyAlignment="1">
      <alignment horizontal="left" vertical="center" wrapText="1" indent="1"/>
    </xf>
    <xf numFmtId="14" fontId="1" fillId="0" borderId="3" xfId="0" applyNumberFormat="1" applyFont="1" applyBorder="1" applyAlignment="1">
      <alignment horizontal="left" vertical="center" wrapText="1" indent="1"/>
    </xf>
    <xf numFmtId="14" fontId="1" fillId="0" borderId="7" xfId="0" applyNumberFormat="1" applyFont="1" applyBorder="1" applyAlignment="1">
      <alignment horizontal="left" vertical="center" wrapText="1" indent="1"/>
    </xf>
    <xf numFmtId="14" fontId="1" fillId="0" borderId="12" xfId="0" applyNumberFormat="1" applyFont="1" applyBorder="1" applyAlignment="1">
      <alignment horizontal="left" vertical="center" wrapText="1" indent="1"/>
    </xf>
    <xf numFmtId="14" fontId="1" fillId="0" borderId="9" xfId="0" applyNumberFormat="1" applyFont="1" applyBorder="1" applyAlignment="1">
      <alignment horizontal="left" vertical="center" wrapText="1" indent="1"/>
    </xf>
    <xf numFmtId="14" fontId="1" fillId="0" borderId="26" xfId="0" applyNumberFormat="1" applyFont="1" applyBorder="1" applyAlignment="1">
      <alignment horizontal="left" vertical="center" wrapText="1" indent="1"/>
    </xf>
    <xf numFmtId="0" fontId="0" fillId="0" borderId="435" xfId="0" applyFont="1" applyBorder="1" applyAlignment="1">
      <alignment horizontal="left" vertical="center" wrapText="1" indent="1"/>
    </xf>
    <xf numFmtId="0" fontId="0" fillId="0" borderId="364" xfId="0" applyFont="1" applyBorder="1" applyAlignment="1">
      <alignment horizontal="left" vertical="center" wrapText="1" indent="1"/>
    </xf>
    <xf numFmtId="165" fontId="0" fillId="0" borderId="12" xfId="0" applyNumberFormat="1" applyFont="1" applyBorder="1" applyAlignment="1">
      <alignment horizontal="left" vertical="center" wrapText="1" indent="1"/>
    </xf>
    <xf numFmtId="165" fontId="0" fillId="0" borderId="380" xfId="0" applyNumberFormat="1" applyFont="1" applyBorder="1" applyAlignment="1">
      <alignment horizontal="left" vertical="center" indent="1"/>
    </xf>
    <xf numFmtId="165" fontId="0" fillId="0" borderId="3" xfId="0" applyNumberFormat="1" applyFont="1" applyBorder="1" applyAlignment="1">
      <alignment horizontal="left" vertical="center" indent="1"/>
    </xf>
    <xf numFmtId="165" fontId="0" fillId="0" borderId="7" xfId="0" applyNumberFormat="1" applyFont="1" applyBorder="1" applyAlignment="1">
      <alignment horizontal="left" vertical="center" indent="1"/>
    </xf>
    <xf numFmtId="165" fontId="0" fillId="0" borderId="363" xfId="0" applyNumberFormat="1" applyFont="1" applyBorder="1" applyAlignment="1">
      <alignment horizontal="left" vertical="center" indent="1"/>
    </xf>
    <xf numFmtId="170" fontId="13" fillId="0" borderId="382" xfId="0" applyNumberFormat="1" applyFont="1" applyFill="1" applyBorder="1" applyAlignment="1">
      <alignment vertical="center" wrapText="1"/>
    </xf>
    <xf numFmtId="170" fontId="13" fillId="0" borderId="31" xfId="0" applyNumberFormat="1" applyFont="1" applyFill="1" applyBorder="1" applyAlignment="1">
      <alignment vertical="center" wrapText="1"/>
    </xf>
    <xf numFmtId="170" fontId="13" fillId="0" borderId="44" xfId="0" applyNumberFormat="1" applyFont="1" applyFill="1" applyBorder="1" applyAlignment="1">
      <alignment vertical="center" wrapText="1"/>
    </xf>
    <xf numFmtId="14" fontId="13" fillId="0" borderId="368" xfId="0" applyNumberFormat="1" applyFont="1" applyFill="1" applyBorder="1" applyAlignment="1">
      <alignment horizontal="center" vertical="center" wrapText="1"/>
    </xf>
    <xf numFmtId="0" fontId="13" fillId="0" borderId="370" xfId="0" applyFont="1" applyFill="1" applyBorder="1" applyAlignment="1">
      <alignment horizontal="center" vertical="center" wrapText="1"/>
    </xf>
    <xf numFmtId="0" fontId="0" fillId="14" borderId="0" xfId="0" applyFill="1" applyAlignment="1">
      <alignment wrapText="1"/>
    </xf>
    <xf numFmtId="216" fontId="13" fillId="0" borderId="380" xfId="0" applyNumberFormat="1" applyFont="1" applyFill="1" applyBorder="1" applyAlignment="1">
      <alignment horizontal="left" vertical="center" wrapText="1"/>
    </xf>
    <xf numFmtId="1" fontId="13" fillId="0" borderId="40" xfId="0" applyNumberFormat="1" applyFont="1" applyBorder="1" applyAlignment="1">
      <alignment horizontal="right" vertical="center" wrapText="1"/>
    </xf>
    <xf numFmtId="1" fontId="13" fillId="0" borderId="12" xfId="0" applyNumberFormat="1" applyFont="1" applyBorder="1" applyAlignment="1">
      <alignment horizontal="right" vertical="center" wrapText="1"/>
    </xf>
    <xf numFmtId="171" fontId="13" fillId="0" borderId="12" xfId="0" applyNumberFormat="1" applyFont="1" applyBorder="1" applyAlignment="1">
      <alignment horizontal="right" vertical="center" wrapText="1"/>
    </xf>
    <xf numFmtId="3" fontId="13" fillId="0" borderId="13" xfId="0" applyNumberFormat="1" applyFont="1" applyBorder="1" applyAlignment="1">
      <alignment horizontal="right" vertical="center" wrapText="1"/>
    </xf>
    <xf numFmtId="171" fontId="13" fillId="0" borderId="36" xfId="0" applyNumberFormat="1" applyFont="1" applyBorder="1" applyAlignment="1">
      <alignment horizontal="right" vertical="center" wrapText="1"/>
    </xf>
    <xf numFmtId="170" fontId="13" fillId="0" borderId="357" xfId="0" quotePrefix="1" applyNumberFormat="1" applyFont="1" applyFill="1" applyBorder="1" applyAlignment="1">
      <alignment horizontal="left" vertical="center" wrapText="1"/>
    </xf>
    <xf numFmtId="1" fontId="13" fillId="0" borderId="383" xfId="0" applyNumberFormat="1" applyFont="1" applyFill="1" applyBorder="1" applyAlignment="1">
      <alignment horizontal="right" vertical="center" wrapText="1"/>
    </xf>
    <xf numFmtId="1" fontId="13" fillId="0" borderId="415" xfId="0" applyNumberFormat="1" applyFont="1" applyFill="1" applyBorder="1" applyAlignment="1">
      <alignment horizontal="right" vertical="center" wrapText="1"/>
    </xf>
    <xf numFmtId="1" fontId="13" fillId="0" borderId="389" xfId="0" applyNumberFormat="1" applyFont="1" applyFill="1" applyBorder="1" applyAlignment="1">
      <alignment horizontal="right" vertical="center" wrapText="1"/>
    </xf>
    <xf numFmtId="171" fontId="13" fillId="0" borderId="389" xfId="0" applyNumberFormat="1" applyFont="1" applyFill="1" applyBorder="1" applyAlignment="1">
      <alignment horizontal="right" vertical="center" wrapText="1"/>
    </xf>
    <xf numFmtId="3" fontId="13" fillId="0" borderId="388" xfId="0" applyNumberFormat="1" applyFont="1" applyFill="1" applyBorder="1" applyAlignment="1">
      <alignment horizontal="right" vertical="center" wrapText="1"/>
    </xf>
    <xf numFmtId="3" fontId="13" fillId="0" borderId="445" xfId="0" applyNumberFormat="1" applyFont="1" applyFill="1" applyBorder="1" applyAlignment="1">
      <alignment horizontal="right" vertical="center" wrapText="1"/>
    </xf>
    <xf numFmtId="171" fontId="13" fillId="0" borderId="416" xfId="0" applyNumberFormat="1" applyFont="1" applyFill="1" applyBorder="1" applyAlignment="1">
      <alignment horizontal="right" vertical="center" wrapText="1"/>
    </xf>
    <xf numFmtId="170" fontId="13" fillId="0" borderId="38" xfId="0" quotePrefix="1" applyNumberFormat="1" applyFont="1" applyFill="1" applyBorder="1" applyAlignment="1">
      <alignment horizontal="left" vertical="center" wrapText="1"/>
    </xf>
    <xf numFmtId="1" fontId="13" fillId="0" borderId="2" xfId="0" applyNumberFormat="1" applyFont="1" applyFill="1" applyBorder="1" applyAlignment="1">
      <alignment horizontal="right" vertical="center" wrapText="1"/>
    </xf>
    <xf numFmtId="216" fontId="13" fillId="0" borderId="3" xfId="0" applyNumberFormat="1" applyFont="1" applyFill="1" applyBorder="1" applyAlignment="1">
      <alignment horizontal="left" vertical="center" wrapText="1"/>
    </xf>
    <xf numFmtId="1" fontId="13" fillId="0" borderId="38" xfId="0" applyNumberFormat="1" applyFont="1" applyFill="1" applyBorder="1" applyAlignment="1">
      <alignment horizontal="right" vertical="center" wrapText="1"/>
    </xf>
    <xf numFmtId="1" fontId="13" fillId="0" borderId="3" xfId="0" applyNumberFormat="1" applyFont="1" applyFill="1" applyBorder="1" applyAlignment="1">
      <alignment horizontal="right" vertical="center" wrapText="1"/>
    </xf>
    <xf numFmtId="171" fontId="13" fillId="0" borderId="3" xfId="0" applyNumberFormat="1" applyFont="1" applyFill="1" applyBorder="1" applyAlignment="1">
      <alignment horizontal="right" vertical="center" wrapText="1"/>
    </xf>
    <xf numFmtId="3" fontId="13" fillId="0" borderId="1" xfId="0" applyNumberFormat="1" applyFont="1" applyFill="1" applyBorder="1" applyAlignment="1">
      <alignment horizontal="right" vertical="center" wrapText="1"/>
    </xf>
    <xf numFmtId="171" fontId="13" fillId="0" borderId="31" xfId="0" applyNumberFormat="1" applyFont="1" applyFill="1" applyBorder="1" applyAlignment="1">
      <alignment horizontal="right" vertical="center" wrapText="1"/>
    </xf>
    <xf numFmtId="170" fontId="13" fillId="0" borderId="42" xfId="0" quotePrefix="1" applyNumberFormat="1" applyFont="1" applyFill="1" applyBorder="1" applyAlignment="1">
      <alignment horizontal="left" vertical="center" wrapText="1"/>
    </xf>
    <xf numFmtId="1" fontId="13" fillId="0" borderId="6" xfId="0" applyNumberFormat="1" applyFont="1" applyFill="1" applyBorder="1" applyAlignment="1">
      <alignment horizontal="right" vertical="center" wrapText="1"/>
    </xf>
    <xf numFmtId="216" fontId="13" fillId="0" borderId="7" xfId="0" applyNumberFormat="1" applyFont="1" applyFill="1" applyBorder="1" applyAlignment="1">
      <alignment horizontal="left" vertical="center" wrapText="1"/>
    </xf>
    <xf numFmtId="1" fontId="13" fillId="0" borderId="42" xfId="0" applyNumberFormat="1" applyFont="1" applyFill="1" applyBorder="1" applyAlignment="1">
      <alignment horizontal="right" vertical="center" wrapText="1"/>
    </xf>
    <xf numFmtId="1" fontId="13" fillId="0" borderId="7" xfId="0" applyNumberFormat="1" applyFont="1" applyFill="1" applyBorder="1" applyAlignment="1">
      <alignment horizontal="right" vertical="center" wrapText="1"/>
    </xf>
    <xf numFmtId="171" fontId="13" fillId="0" borderId="7" xfId="0" applyNumberFormat="1" applyFont="1" applyFill="1" applyBorder="1" applyAlignment="1">
      <alignment horizontal="right" vertical="center" wrapText="1"/>
    </xf>
    <xf numFmtId="3" fontId="13" fillId="0" borderId="8" xfId="0" applyNumberFormat="1" applyFont="1" applyFill="1" applyBorder="1" applyAlignment="1">
      <alignment horizontal="right" vertical="center" wrapText="1"/>
    </xf>
    <xf numFmtId="171" fontId="13" fillId="0" borderId="44" xfId="0" applyNumberFormat="1" applyFont="1" applyFill="1" applyBorder="1" applyAlignment="1">
      <alignment horizontal="right" vertical="center" wrapText="1"/>
    </xf>
    <xf numFmtId="1" fontId="13" fillId="0" borderId="367" xfId="0" applyNumberFormat="1" applyFont="1" applyFill="1" applyBorder="1" applyAlignment="1">
      <alignment horizontal="right" vertical="center" wrapText="1"/>
    </xf>
    <xf numFmtId="216" fontId="13" fillId="0" borderId="363" xfId="0" applyNumberFormat="1" applyFont="1" applyFill="1" applyBorder="1" applyAlignment="1">
      <alignment horizontal="left" vertical="center" wrapText="1"/>
    </xf>
    <xf numFmtId="1" fontId="13" fillId="0" borderId="374" xfId="0" applyNumberFormat="1" applyFont="1" applyBorder="1" applyAlignment="1">
      <alignment horizontal="right" vertical="center" wrapText="1"/>
    </xf>
    <xf numFmtId="1" fontId="13" fillId="0" borderId="387" xfId="0" applyNumberFormat="1" applyFont="1" applyBorder="1" applyAlignment="1">
      <alignment horizontal="right" vertical="center" wrapText="1"/>
    </xf>
    <xf numFmtId="171" fontId="13" fillId="0" borderId="387" xfId="0" applyNumberFormat="1" applyFont="1" applyBorder="1" applyAlignment="1">
      <alignment horizontal="right" vertical="center" wrapText="1"/>
    </xf>
    <xf numFmtId="3" fontId="13" fillId="0" borderId="414" xfId="0" applyNumberFormat="1" applyFont="1" applyBorder="1" applyAlignment="1">
      <alignment horizontal="right" vertical="center" wrapText="1"/>
    </xf>
    <xf numFmtId="3" fontId="13" fillId="0" borderId="437" xfId="0" applyNumberFormat="1" applyFont="1" applyBorder="1" applyAlignment="1">
      <alignment horizontal="right" vertical="center" wrapText="1"/>
    </xf>
    <xf numFmtId="171" fontId="13" fillId="0" borderId="368" xfId="0" applyNumberFormat="1" applyFont="1" applyBorder="1" applyAlignment="1">
      <alignment horizontal="right" vertical="center" wrapText="1"/>
    </xf>
    <xf numFmtId="1" fontId="13" fillId="0" borderId="374" xfId="0" applyNumberFormat="1" applyFont="1" applyFill="1" applyBorder="1" applyAlignment="1">
      <alignment horizontal="right" vertical="center" wrapText="1"/>
    </xf>
    <xf numFmtId="1" fontId="13" fillId="0" borderId="387" xfId="0" applyNumberFormat="1" applyFont="1" applyFill="1" applyBorder="1" applyAlignment="1">
      <alignment horizontal="right" vertical="center" wrapText="1"/>
    </xf>
    <xf numFmtId="171" fontId="13" fillId="0" borderId="387" xfId="0" applyNumberFormat="1" applyFont="1" applyFill="1" applyBorder="1" applyAlignment="1">
      <alignment horizontal="right" vertical="center" wrapText="1"/>
    </xf>
    <xf numFmtId="3" fontId="13" fillId="0" borderId="414" xfId="0" applyNumberFormat="1" applyFont="1" applyFill="1" applyBorder="1" applyAlignment="1">
      <alignment horizontal="right" vertical="center" wrapText="1"/>
    </xf>
    <xf numFmtId="3" fontId="13" fillId="0" borderId="437" xfId="0" applyNumberFormat="1" applyFont="1" applyFill="1" applyBorder="1" applyAlignment="1">
      <alignment horizontal="right" vertical="center" wrapText="1"/>
    </xf>
    <xf numFmtId="171" fontId="13" fillId="0" borderId="368" xfId="0" applyNumberFormat="1" applyFont="1" applyFill="1" applyBorder="1" applyAlignment="1">
      <alignment horizontal="right" vertical="center" wrapText="1"/>
    </xf>
    <xf numFmtId="14" fontId="13" fillId="0" borderId="374" xfId="0" applyNumberFormat="1" applyFont="1" applyFill="1" applyBorder="1" applyAlignment="1">
      <alignment horizontal="left" vertical="center" wrapText="1"/>
    </xf>
    <xf numFmtId="1" fontId="13" fillId="0" borderId="11" xfId="0" applyNumberFormat="1" applyFont="1" applyFill="1" applyBorder="1" applyAlignment="1">
      <alignment horizontal="right" vertical="center" wrapText="1"/>
    </xf>
    <xf numFmtId="216" fontId="13" fillId="0" borderId="12" xfId="0" applyNumberFormat="1" applyFont="1" applyFill="1" applyBorder="1" applyAlignment="1">
      <alignment horizontal="left" vertical="center" wrapText="1"/>
    </xf>
    <xf numFmtId="1" fontId="13" fillId="0" borderId="40" xfId="0" applyNumberFormat="1" applyFont="1" applyFill="1" applyBorder="1" applyAlignment="1">
      <alignment horizontal="right" vertical="center" wrapText="1"/>
    </xf>
    <xf numFmtId="1" fontId="13" fillId="0" borderId="12" xfId="0" applyNumberFormat="1" applyFont="1" applyFill="1" applyBorder="1" applyAlignment="1">
      <alignment horizontal="right" vertical="center" wrapText="1"/>
    </xf>
    <xf numFmtId="171" fontId="13" fillId="0" borderId="12" xfId="0" applyNumberFormat="1" applyFont="1" applyFill="1" applyBorder="1" applyAlignment="1">
      <alignment horizontal="right" vertical="center" wrapText="1"/>
    </xf>
    <xf numFmtId="3" fontId="13" fillId="0" borderId="13" xfId="0" applyNumberFormat="1" applyFont="1" applyFill="1" applyBorder="1" applyAlignment="1">
      <alignment horizontal="right" vertical="center" wrapText="1"/>
    </xf>
    <xf numFmtId="171" fontId="13" fillId="0" borderId="36" xfId="0" applyNumberFormat="1" applyFont="1" applyFill="1" applyBorder="1" applyAlignment="1">
      <alignment horizontal="right" vertical="center" wrapText="1"/>
    </xf>
    <xf numFmtId="1" fontId="13" fillId="0" borderId="14" xfId="0" applyNumberFormat="1" applyFont="1" applyFill="1" applyBorder="1" applyAlignment="1">
      <alignment horizontal="right" vertical="center" wrapText="1"/>
    </xf>
    <xf numFmtId="216" fontId="13" fillId="0" borderId="9" xfId="0" applyNumberFormat="1" applyFont="1" applyFill="1" applyBorder="1" applyAlignment="1">
      <alignment horizontal="left" vertical="center" wrapText="1"/>
    </xf>
    <xf numFmtId="1" fontId="13" fillId="0" borderId="41" xfId="0" applyNumberFormat="1" applyFont="1" applyFill="1" applyBorder="1" applyAlignment="1">
      <alignment horizontal="right" vertical="center" wrapText="1"/>
    </xf>
    <xf numFmtId="1" fontId="13" fillId="0" borderId="9" xfId="0" applyNumberFormat="1" applyFont="1" applyFill="1" applyBorder="1" applyAlignment="1">
      <alignment horizontal="right" vertical="center" wrapText="1"/>
    </xf>
    <xf numFmtId="171" fontId="13" fillId="0" borderId="9" xfId="0" applyNumberFormat="1" applyFont="1" applyFill="1" applyBorder="1" applyAlignment="1">
      <alignment horizontal="right" vertical="center" wrapText="1"/>
    </xf>
    <xf numFmtId="3" fontId="13" fillId="0" borderId="15" xfId="0" applyNumberFormat="1" applyFont="1" applyFill="1" applyBorder="1" applyAlignment="1">
      <alignment horizontal="right" vertical="center" wrapText="1"/>
    </xf>
    <xf numFmtId="171" fontId="13" fillId="0" borderId="35" xfId="0" applyNumberFormat="1" applyFont="1" applyFill="1" applyBorder="1" applyAlignment="1">
      <alignment horizontal="right" vertical="center" wrapText="1"/>
    </xf>
    <xf numFmtId="1" fontId="13" fillId="0" borderId="72" xfId="0" applyNumberFormat="1" applyFont="1" applyFill="1" applyBorder="1" applyAlignment="1">
      <alignment horizontal="right" vertical="center" wrapText="1"/>
    </xf>
    <xf numFmtId="216" fontId="13" fillId="0" borderId="26" xfId="0" applyNumberFormat="1" applyFont="1" applyFill="1" applyBorder="1" applyAlignment="1">
      <alignment horizontal="left" vertical="center" wrapText="1"/>
    </xf>
    <xf numFmtId="1" fontId="13" fillId="0" borderId="51" xfId="0" applyNumberFormat="1" applyFont="1" applyFill="1" applyBorder="1" applyAlignment="1">
      <alignment horizontal="right" vertical="center" wrapText="1"/>
    </xf>
    <xf numFmtId="1" fontId="13" fillId="0" borderId="26" xfId="0" applyNumberFormat="1" applyFont="1" applyFill="1" applyBorder="1" applyAlignment="1">
      <alignment horizontal="right" vertical="center" wrapText="1"/>
    </xf>
    <xf numFmtId="171" fontId="13" fillId="0" borderId="26" xfId="0" applyNumberFormat="1" applyFont="1" applyFill="1" applyBorder="1" applyAlignment="1">
      <alignment horizontal="right" vertical="center" wrapText="1"/>
    </xf>
    <xf numFmtId="3" fontId="13" fillId="0" borderId="49" xfId="0" applyNumberFormat="1" applyFont="1" applyFill="1" applyBorder="1" applyAlignment="1">
      <alignment horizontal="right" vertical="center" wrapText="1"/>
    </xf>
    <xf numFmtId="171" fontId="13" fillId="0" borderId="33" xfId="0" applyNumberFormat="1" applyFont="1" applyFill="1" applyBorder="1" applyAlignment="1">
      <alignment horizontal="right" vertical="center" wrapText="1"/>
    </xf>
    <xf numFmtId="1" fontId="13" fillId="0" borderId="390" xfId="0" applyNumberFormat="1" applyFont="1" applyFill="1" applyBorder="1" applyAlignment="1">
      <alignment horizontal="right" vertical="center" wrapText="1"/>
    </xf>
    <xf numFmtId="216" fontId="13" fillId="0" borderId="435" xfId="0" applyNumberFormat="1" applyFont="1" applyFill="1" applyBorder="1" applyAlignment="1">
      <alignment horizontal="left" vertical="center" wrapText="1"/>
    </xf>
    <xf numFmtId="1" fontId="13" fillId="0" borderId="435" xfId="0" applyNumberFormat="1" applyFont="1" applyFill="1" applyBorder="1" applyAlignment="1">
      <alignment horizontal="right" vertical="center" wrapText="1"/>
    </xf>
    <xf numFmtId="171" fontId="13" fillId="0" borderId="435" xfId="0" applyNumberFormat="1" applyFont="1" applyFill="1" applyBorder="1" applyAlignment="1">
      <alignment horizontal="right" vertical="center" wrapText="1"/>
    </xf>
    <xf numFmtId="1" fontId="13" fillId="0" borderId="369" xfId="0" applyNumberFormat="1" applyFont="1" applyFill="1" applyBorder="1" applyAlignment="1">
      <alignment horizontal="right" vertical="center" wrapText="1"/>
    </xf>
    <xf numFmtId="216" fontId="13" fillId="0" borderId="364" xfId="0" applyNumberFormat="1" applyFont="1" applyFill="1" applyBorder="1" applyAlignment="1">
      <alignment horizontal="left" vertical="center" wrapText="1"/>
    </xf>
    <xf numFmtId="1" fontId="13" fillId="0" borderId="375" xfId="0" applyNumberFormat="1" applyFont="1" applyFill="1" applyBorder="1" applyAlignment="1">
      <alignment horizontal="right" vertical="center" wrapText="1"/>
    </xf>
    <xf numFmtId="1" fontId="13" fillId="0" borderId="364" xfId="0" applyNumberFormat="1" applyFont="1" applyFill="1" applyBorder="1" applyAlignment="1">
      <alignment horizontal="right" vertical="center" wrapText="1"/>
    </xf>
    <xf numFmtId="171" fontId="13" fillId="0" borderId="364" xfId="0" applyNumberFormat="1" applyFont="1" applyFill="1" applyBorder="1" applyAlignment="1">
      <alignment horizontal="right" vertical="center" wrapText="1"/>
    </xf>
    <xf numFmtId="3" fontId="13" fillId="0" borderId="373" xfId="0" applyNumberFormat="1" applyFont="1" applyFill="1" applyBorder="1" applyAlignment="1">
      <alignment horizontal="right" vertical="center" wrapText="1"/>
    </xf>
    <xf numFmtId="171" fontId="13" fillId="0" borderId="370" xfId="0" applyNumberFormat="1" applyFont="1" applyFill="1" applyBorder="1" applyAlignment="1">
      <alignment horizontal="right" vertical="center" wrapText="1"/>
    </xf>
    <xf numFmtId="171" fontId="13" fillId="0" borderId="6" xfId="0" applyNumberFormat="1" applyFont="1" applyFill="1" applyBorder="1" applyAlignment="1">
      <alignment horizontal="right" vertical="center" wrapText="1"/>
    </xf>
    <xf numFmtId="171" fontId="13" fillId="0" borderId="40" xfId="0" applyNumberFormat="1" applyFont="1" applyFill="1" applyBorder="1" applyAlignment="1">
      <alignment horizontal="center" vertical="center" wrapText="1"/>
    </xf>
    <xf numFmtId="171" fontId="13" fillId="0" borderId="12" xfId="0" applyNumberFormat="1" applyFont="1" applyFill="1" applyBorder="1" applyAlignment="1">
      <alignment horizontal="center" vertical="center" wrapText="1"/>
    </xf>
    <xf numFmtId="10" fontId="13" fillId="0" borderId="12" xfId="0" applyNumberFormat="1" applyFont="1" applyFill="1" applyBorder="1" applyAlignment="1">
      <alignment horizontal="center" vertical="center" wrapText="1"/>
    </xf>
    <xf numFmtId="2" fontId="13" fillId="0" borderId="12" xfId="0" applyNumberFormat="1" applyFont="1" applyFill="1" applyBorder="1" applyAlignment="1">
      <alignment horizontal="center" vertical="center" wrapText="1"/>
    </xf>
    <xf numFmtId="181" fontId="13" fillId="0" borderId="36" xfId="0" applyNumberFormat="1" applyFont="1" applyFill="1" applyBorder="1" applyAlignment="1">
      <alignment horizontal="right" vertical="center" wrapText="1"/>
    </xf>
    <xf numFmtId="171" fontId="13" fillId="0" borderId="489" xfId="0" applyNumberFormat="1" applyFont="1" applyFill="1" applyBorder="1" applyAlignment="1">
      <alignment horizontal="center" vertical="center" wrapText="1"/>
    </xf>
    <xf numFmtId="171" fontId="13" fillId="0" borderId="490" xfId="0" applyNumberFormat="1" applyFont="1" applyFill="1" applyBorder="1" applyAlignment="1">
      <alignment horizontal="center" vertical="center" wrapText="1"/>
    </xf>
    <xf numFmtId="10" fontId="13" fillId="0" borderId="490" xfId="0" applyNumberFormat="1" applyFont="1" applyFill="1" applyBorder="1" applyAlignment="1">
      <alignment horizontal="center" vertical="center" wrapText="1"/>
    </xf>
    <xf numFmtId="166" fontId="13" fillId="0" borderId="490" xfId="0" applyNumberFormat="1" applyFont="1" applyFill="1" applyBorder="1" applyAlignment="1">
      <alignment horizontal="center" vertical="center" wrapText="1"/>
    </xf>
    <xf numFmtId="2" fontId="13" fillId="0" borderId="490" xfId="0" applyNumberFormat="1" applyFont="1" applyFill="1" applyBorder="1" applyAlignment="1">
      <alignment horizontal="center" vertical="center" wrapText="1"/>
    </xf>
    <xf numFmtId="181" fontId="13" fillId="0" borderId="490" xfId="0" applyNumberFormat="1" applyFont="1" applyFill="1" applyBorder="1" applyAlignment="1">
      <alignment horizontal="right" vertical="center" wrapText="1"/>
    </xf>
    <xf numFmtId="181" fontId="13" fillId="0" borderId="491" xfId="0" applyNumberFormat="1" applyFont="1" applyFill="1" applyBorder="1" applyAlignment="1">
      <alignment horizontal="right" vertical="center" wrapText="1"/>
    </xf>
    <xf numFmtId="171" fontId="13" fillId="0" borderId="38" xfId="0" applyNumberFormat="1" applyFont="1" applyFill="1" applyBorder="1" applyAlignment="1">
      <alignment horizontal="center" vertical="center" wrapText="1"/>
    </xf>
    <xf numFmtId="171" fontId="13" fillId="0" borderId="3" xfId="0" applyNumberFormat="1" applyFont="1" applyFill="1" applyBorder="1" applyAlignment="1">
      <alignment horizontal="center" vertical="center" wrapText="1"/>
    </xf>
    <xf numFmtId="10" fontId="13" fillId="0" borderId="3" xfId="0" applyNumberFormat="1" applyFont="1" applyFill="1" applyBorder="1" applyAlignment="1">
      <alignment horizontal="center" vertical="center" wrapText="1"/>
    </xf>
    <xf numFmtId="166" fontId="13" fillId="0" borderId="3" xfId="0" applyNumberFormat="1" applyFont="1" applyFill="1" applyBorder="1" applyAlignment="1">
      <alignment horizontal="center" vertical="center" wrapText="1"/>
    </xf>
    <xf numFmtId="2" fontId="13" fillId="0" borderId="3" xfId="0" applyNumberFormat="1" applyFont="1" applyFill="1" applyBorder="1" applyAlignment="1">
      <alignment horizontal="center" vertical="center" wrapText="1"/>
    </xf>
    <xf numFmtId="181" fontId="13" fillId="0" borderId="3" xfId="0" applyNumberFormat="1" applyFont="1" applyFill="1" applyBorder="1" applyAlignment="1">
      <alignment horizontal="right" vertical="center" wrapText="1"/>
    </xf>
    <xf numFmtId="181" fontId="13" fillId="0" borderId="31" xfId="0" applyNumberFormat="1" applyFont="1" applyFill="1" applyBorder="1" applyAlignment="1">
      <alignment horizontal="right" vertical="center" wrapText="1"/>
    </xf>
    <xf numFmtId="171" fontId="13" fillId="0" borderId="42" xfId="0" applyNumberFormat="1" applyFont="1" applyFill="1" applyBorder="1" applyAlignment="1">
      <alignment horizontal="center" vertical="center" wrapText="1"/>
    </xf>
    <xf numFmtId="171" fontId="13" fillId="0" borderId="7" xfId="0" applyNumberFormat="1" applyFont="1" applyFill="1" applyBorder="1" applyAlignment="1">
      <alignment horizontal="center" vertical="center" wrapText="1"/>
    </xf>
    <xf numFmtId="166" fontId="13" fillId="0" borderId="7" xfId="0" applyNumberFormat="1" applyFont="1" applyFill="1" applyBorder="1" applyAlignment="1">
      <alignment horizontal="center" vertical="center" wrapText="1"/>
    </xf>
    <xf numFmtId="2" fontId="13" fillId="0" borderId="7" xfId="0" applyNumberFormat="1" applyFont="1" applyFill="1" applyBorder="1" applyAlignment="1">
      <alignment horizontal="center" vertical="center" wrapText="1"/>
    </xf>
    <xf numFmtId="181" fontId="13" fillId="0" borderId="7" xfId="0" applyNumberFormat="1" applyFont="1" applyFill="1" applyBorder="1" applyAlignment="1">
      <alignment horizontal="right" vertical="center" wrapText="1"/>
    </xf>
    <xf numFmtId="181" fontId="13" fillId="0" borderId="44" xfId="0" applyNumberFormat="1" applyFont="1" applyFill="1" applyBorder="1" applyAlignment="1">
      <alignment horizontal="right" vertical="center" wrapText="1"/>
    </xf>
    <xf numFmtId="171" fontId="13" fillId="0" borderId="492" xfId="0" applyNumberFormat="1" applyFont="1" applyFill="1" applyBorder="1" applyAlignment="1">
      <alignment horizontal="center" vertical="center" wrapText="1"/>
    </xf>
    <xf numFmtId="171" fontId="13" fillId="0" borderId="493" xfId="0" applyNumberFormat="1" applyFont="1" applyFill="1" applyBorder="1" applyAlignment="1">
      <alignment horizontal="center" vertical="center" wrapText="1"/>
    </xf>
    <xf numFmtId="3" fontId="13" fillId="0" borderId="493" xfId="0" applyNumberFormat="1" applyFont="1" applyFill="1" applyBorder="1" applyAlignment="1">
      <alignment horizontal="center" vertical="center" wrapText="1"/>
    </xf>
    <xf numFmtId="2" fontId="13" fillId="0" borderId="493" xfId="0" applyNumberFormat="1" applyFont="1" applyFill="1" applyBorder="1" applyAlignment="1">
      <alignment horizontal="center" vertical="center" wrapText="1"/>
    </xf>
    <xf numFmtId="166" fontId="13" fillId="0" borderId="493" xfId="0" applyNumberFormat="1" applyFont="1" applyFill="1" applyBorder="1" applyAlignment="1">
      <alignment horizontal="center" vertical="center" wrapText="1"/>
    </xf>
    <xf numFmtId="181" fontId="13" fillId="0" borderId="493" xfId="0" applyNumberFormat="1" applyFont="1" applyFill="1" applyBorder="1" applyAlignment="1">
      <alignment horizontal="right" vertical="center" wrapText="1"/>
    </xf>
    <xf numFmtId="181" fontId="13" fillId="0" borderId="494" xfId="0" applyNumberFormat="1" applyFont="1" applyFill="1" applyBorder="1" applyAlignment="1">
      <alignment horizontal="right" vertical="center" wrapText="1"/>
    </xf>
    <xf numFmtId="4" fontId="13" fillId="0" borderId="493" xfId="0" applyNumberFormat="1" applyFont="1" applyFill="1" applyBorder="1" applyAlignment="1">
      <alignment horizontal="right" vertical="center" wrapText="1"/>
    </xf>
    <xf numFmtId="10" fontId="13" fillId="0" borderId="493" xfId="0" applyNumberFormat="1" applyFont="1" applyFill="1" applyBorder="1" applyAlignment="1">
      <alignment horizontal="center" vertical="center" wrapText="1"/>
    </xf>
    <xf numFmtId="1" fontId="13" fillId="0" borderId="493" xfId="0" applyNumberFormat="1" applyFont="1" applyFill="1" applyBorder="1" applyAlignment="1">
      <alignment horizontal="center" vertical="center" wrapText="1"/>
    </xf>
    <xf numFmtId="182" fontId="13" fillId="0" borderId="490" xfId="0" applyNumberFormat="1" applyFont="1" applyFill="1" applyBorder="1" applyAlignment="1">
      <alignment horizontal="center" vertical="center" wrapText="1"/>
    </xf>
    <xf numFmtId="182" fontId="13" fillId="0" borderId="3" xfId="0" applyNumberFormat="1" applyFont="1" applyFill="1" applyBorder="1" applyAlignment="1">
      <alignment horizontal="center" vertical="center" wrapText="1"/>
    </xf>
    <xf numFmtId="182" fontId="13" fillId="0" borderId="7" xfId="0" applyNumberFormat="1" applyFont="1" applyFill="1" applyBorder="1" applyAlignment="1">
      <alignment horizontal="center" vertical="center" wrapText="1"/>
    </xf>
    <xf numFmtId="171" fontId="13" fillId="0" borderId="41" xfId="0" applyNumberFormat="1" applyFont="1" applyFill="1" applyBorder="1" applyAlignment="1">
      <alignment horizontal="center" vertical="center" wrapText="1"/>
    </xf>
    <xf numFmtId="171" fontId="13" fillId="0" borderId="9" xfId="0" applyNumberFormat="1" applyFont="1" applyFill="1" applyBorder="1" applyAlignment="1">
      <alignment horizontal="center" vertical="center" wrapText="1"/>
    </xf>
    <xf numFmtId="10" fontId="13" fillId="0" borderId="9" xfId="0" applyNumberFormat="1" applyFont="1" applyFill="1" applyBorder="1" applyAlignment="1">
      <alignment horizontal="center" vertical="center" wrapText="1"/>
    </xf>
    <xf numFmtId="2" fontId="13" fillId="0" borderId="9" xfId="0" applyNumberFormat="1" applyFont="1" applyFill="1" applyBorder="1" applyAlignment="1">
      <alignment horizontal="center" vertical="center" wrapText="1"/>
    </xf>
    <xf numFmtId="181" fontId="13" fillId="0" borderId="35" xfId="0" applyNumberFormat="1" applyFont="1" applyFill="1" applyBorder="1" applyAlignment="1">
      <alignment horizontal="right" vertical="center" wrapText="1"/>
    </xf>
    <xf numFmtId="171" fontId="13" fillId="0" borderId="51" xfId="0" applyNumberFormat="1" applyFont="1" applyFill="1" applyBorder="1" applyAlignment="1">
      <alignment horizontal="center" vertical="center" wrapText="1"/>
    </xf>
    <xf numFmtId="171" fontId="13" fillId="0" borderId="26" xfId="0" applyNumberFormat="1" applyFont="1" applyFill="1" applyBorder="1" applyAlignment="1">
      <alignment horizontal="center" vertical="center" wrapText="1"/>
    </xf>
    <xf numFmtId="3" fontId="13" fillId="0" borderId="26" xfId="0" applyNumberFormat="1" applyFont="1" applyFill="1" applyBorder="1" applyAlignment="1">
      <alignment horizontal="center" vertical="center" wrapText="1"/>
    </xf>
    <xf numFmtId="2" fontId="13" fillId="0" borderId="26" xfId="0" applyNumberFormat="1" applyFont="1" applyFill="1" applyBorder="1" applyAlignment="1">
      <alignment horizontal="center" vertical="center" wrapText="1"/>
    </xf>
    <xf numFmtId="2" fontId="13" fillId="0" borderId="26" xfId="0" applyNumberFormat="1" applyFont="1" applyFill="1" applyBorder="1" applyAlignment="1">
      <alignment horizontal="right" vertical="center" wrapText="1"/>
    </xf>
    <xf numFmtId="2" fontId="13" fillId="0" borderId="33" xfId="0" applyNumberFormat="1" applyFont="1" applyFill="1" applyBorder="1" applyAlignment="1">
      <alignment horizontal="right" vertical="center" wrapText="1"/>
    </xf>
    <xf numFmtId="171" fontId="13" fillId="0" borderId="374" xfId="0" applyNumberFormat="1" applyFont="1" applyFill="1" applyBorder="1" applyAlignment="1">
      <alignment horizontal="center" vertical="center" wrapText="1"/>
    </xf>
    <xf numFmtId="2" fontId="13" fillId="0" borderId="493" xfId="0" applyNumberFormat="1" applyFont="1" applyFill="1" applyBorder="1" applyAlignment="1">
      <alignment horizontal="right" vertical="center" wrapText="1"/>
    </xf>
    <xf numFmtId="2" fontId="13" fillId="0" borderId="368" xfId="0" applyNumberFormat="1" applyFont="1" applyFill="1" applyBorder="1" applyAlignment="1">
      <alignment horizontal="right" vertical="center" wrapText="1"/>
    </xf>
    <xf numFmtId="4" fontId="13" fillId="0" borderId="368" xfId="0" applyNumberFormat="1" applyFont="1" applyFill="1" applyBorder="1" applyAlignment="1">
      <alignment horizontal="right" vertical="center" wrapText="1"/>
    </xf>
    <xf numFmtId="171" fontId="13" fillId="0" borderId="375" xfId="0" applyNumberFormat="1" applyFont="1" applyFill="1" applyBorder="1" applyAlignment="1">
      <alignment horizontal="center" vertical="center" wrapText="1"/>
    </xf>
    <xf numFmtId="171" fontId="13" fillId="0" borderId="364" xfId="0" applyNumberFormat="1" applyFont="1" applyFill="1" applyBorder="1" applyAlignment="1">
      <alignment horizontal="center" vertical="center" wrapText="1"/>
    </xf>
    <xf numFmtId="3" fontId="13" fillId="0" borderId="364" xfId="0" applyNumberFormat="1" applyFont="1" applyFill="1" applyBorder="1" applyAlignment="1">
      <alignment horizontal="center" vertical="center" wrapText="1"/>
    </xf>
    <xf numFmtId="2" fontId="13" fillId="0" borderId="364" xfId="0" applyNumberFormat="1" applyFont="1" applyFill="1" applyBorder="1" applyAlignment="1">
      <alignment horizontal="center" vertical="center" wrapText="1"/>
    </xf>
    <xf numFmtId="4" fontId="13" fillId="0" borderId="364" xfId="0" applyNumberFormat="1" applyFont="1" applyFill="1" applyBorder="1" applyAlignment="1">
      <alignment horizontal="right" vertical="center" wrapText="1"/>
    </xf>
    <xf numFmtId="4" fontId="13" fillId="0" borderId="370" xfId="0" applyNumberFormat="1" applyFont="1" applyFill="1" applyBorder="1" applyAlignment="1">
      <alignment horizontal="right" vertical="center" wrapText="1"/>
    </xf>
    <xf numFmtId="2" fontId="13" fillId="0" borderId="7" xfId="0" applyNumberFormat="1" applyFont="1" applyFill="1" applyBorder="1" applyAlignment="1">
      <alignment vertical="center" wrapText="1"/>
    </xf>
    <xf numFmtId="2" fontId="13" fillId="0" borderId="493" xfId="0" applyNumberFormat="1" applyFont="1" applyFill="1" applyBorder="1" applyAlignment="1">
      <alignment vertical="center" wrapText="1"/>
    </xf>
    <xf numFmtId="181" fontId="13" fillId="0" borderId="368" xfId="0" applyNumberFormat="1" applyFont="1" applyFill="1" applyBorder="1" applyAlignment="1">
      <alignment horizontal="right" vertical="center" wrapText="1"/>
    </xf>
    <xf numFmtId="2" fontId="13" fillId="0" borderId="364" xfId="0" applyNumberFormat="1" applyFont="1" applyFill="1" applyBorder="1" applyAlignment="1">
      <alignment vertical="center" wrapText="1"/>
    </xf>
    <xf numFmtId="181" fontId="13" fillId="0" borderId="364" xfId="0" applyNumberFormat="1" applyFont="1" applyFill="1" applyBorder="1" applyAlignment="1">
      <alignment horizontal="right" vertical="center" wrapText="1"/>
    </xf>
    <xf numFmtId="181" fontId="13" fillId="0" borderId="370" xfId="0" applyNumberFormat="1" applyFont="1" applyFill="1" applyBorder="1" applyAlignment="1">
      <alignment horizontal="right" vertical="center" wrapText="1"/>
    </xf>
    <xf numFmtId="181" fontId="13" fillId="0" borderId="12" xfId="0" applyNumberFormat="1" applyFont="1" applyFill="1" applyBorder="1" applyAlignment="1">
      <alignment horizontal="center" vertical="center" wrapText="1"/>
    </xf>
    <xf numFmtId="3" fontId="13" fillId="0" borderId="12" xfId="0" applyNumberFormat="1" applyFont="1" applyFill="1" applyBorder="1" applyAlignment="1">
      <alignment horizontal="center" vertical="center" wrapText="1"/>
    </xf>
    <xf numFmtId="3" fontId="13" fillId="0" borderId="12" xfId="0" applyNumberFormat="1" applyFont="1" applyFill="1" applyBorder="1" applyAlignment="1">
      <alignment horizontal="left" vertical="center" wrapText="1"/>
    </xf>
    <xf numFmtId="10" fontId="13" fillId="0" borderId="36" xfId="0" applyNumberFormat="1" applyFont="1" applyFill="1" applyBorder="1" applyAlignment="1">
      <alignment horizontal="center" vertical="center" wrapText="1"/>
    </xf>
    <xf numFmtId="0" fontId="13" fillId="0" borderId="489" xfId="0" applyFont="1" applyFill="1" applyBorder="1" applyAlignment="1">
      <alignment horizontal="left" vertical="center" wrapText="1"/>
    </xf>
    <xf numFmtId="181" fontId="13" fillId="0" borderId="490" xfId="0" applyNumberFormat="1" applyFont="1" applyFill="1" applyBorder="1" applyAlignment="1">
      <alignment horizontal="center" vertical="center" wrapText="1"/>
    </xf>
    <xf numFmtId="3" fontId="13" fillId="0" borderId="490" xfId="0" applyNumberFormat="1" applyFont="1" applyFill="1" applyBorder="1" applyAlignment="1">
      <alignment horizontal="left" vertical="center" wrapText="1"/>
    </xf>
    <xf numFmtId="10" fontId="13" fillId="0" borderId="491" xfId="0" applyNumberFormat="1" applyFont="1" applyFill="1" applyBorder="1" applyAlignment="1">
      <alignment horizontal="center" vertical="center" wrapText="1"/>
    </xf>
    <xf numFmtId="181" fontId="13"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left" vertical="center" wrapText="1"/>
    </xf>
    <xf numFmtId="10" fontId="13" fillId="0" borderId="31" xfId="0" applyNumberFormat="1" applyFont="1" applyFill="1" applyBorder="1" applyAlignment="1">
      <alignment horizontal="center" vertical="center" wrapText="1"/>
    </xf>
    <xf numFmtId="181" fontId="13" fillId="0" borderId="7" xfId="0" applyNumberFormat="1" applyFont="1" applyFill="1" applyBorder="1" applyAlignment="1">
      <alignment horizontal="center" vertical="center" wrapText="1"/>
    </xf>
    <xf numFmtId="3" fontId="13" fillId="0" borderId="7" xfId="0" applyNumberFormat="1" applyFont="1" applyFill="1" applyBorder="1" applyAlignment="1">
      <alignment horizontal="center" vertical="center" wrapText="1"/>
    </xf>
    <xf numFmtId="3" fontId="13" fillId="0" borderId="7" xfId="0" applyNumberFormat="1" applyFont="1" applyFill="1" applyBorder="1" applyAlignment="1">
      <alignment horizontal="left" vertical="center" wrapText="1"/>
    </xf>
    <xf numFmtId="10" fontId="13" fillId="0" borderId="44" xfId="0" applyNumberFormat="1" applyFont="1" applyFill="1" applyBorder="1" applyAlignment="1">
      <alignment horizontal="center" vertical="center" wrapText="1"/>
    </xf>
    <xf numFmtId="10" fontId="13" fillId="0" borderId="374" xfId="0" applyNumberFormat="1" applyFont="1" applyFill="1" applyBorder="1" applyAlignment="1">
      <alignment horizontal="center" vertical="center" wrapText="1"/>
    </xf>
    <xf numFmtId="181" fontId="13" fillId="0" borderId="493" xfId="0" applyNumberFormat="1" applyFont="1" applyFill="1" applyBorder="1" applyAlignment="1">
      <alignment horizontal="center" vertical="center" wrapText="1"/>
    </xf>
    <xf numFmtId="3" fontId="13" fillId="0" borderId="493" xfId="0" applyNumberFormat="1" applyFont="1" applyFill="1" applyBorder="1" applyAlignment="1">
      <alignment horizontal="left" vertical="center" wrapText="1"/>
    </xf>
    <xf numFmtId="10" fontId="13" fillId="0" borderId="368" xfId="0" applyNumberFormat="1" applyFont="1" applyFill="1" applyBorder="1" applyAlignment="1">
      <alignment horizontal="center" vertical="center" wrapText="1"/>
    </xf>
    <xf numFmtId="181" fontId="13" fillId="45" borderId="493" xfId="0" applyNumberFormat="1" applyFont="1" applyFill="1" applyBorder="1" applyAlignment="1">
      <alignment horizontal="left" vertical="center" wrapText="1"/>
    </xf>
    <xf numFmtId="3" fontId="13" fillId="45" borderId="493" xfId="0" applyNumberFormat="1" applyFont="1" applyFill="1" applyBorder="1" applyAlignment="1">
      <alignment horizontal="left" vertical="center" wrapText="1"/>
    </xf>
    <xf numFmtId="3" fontId="13" fillId="45" borderId="493" xfId="0" applyNumberFormat="1" applyFont="1" applyFill="1" applyBorder="1" applyAlignment="1">
      <alignment horizontal="center" vertical="center" wrapText="1"/>
    </xf>
    <xf numFmtId="0" fontId="13" fillId="0" borderId="489" xfId="0" applyFont="1" applyFill="1" applyBorder="1" applyAlignment="1">
      <alignment horizontal="center" vertical="center" wrapText="1"/>
    </xf>
    <xf numFmtId="182" fontId="13" fillId="0" borderId="491" xfId="0" applyNumberFormat="1" applyFont="1" applyFill="1" applyBorder="1" applyAlignment="1">
      <alignment horizontal="center" vertical="center" wrapText="1"/>
    </xf>
    <xf numFmtId="181" fontId="13" fillId="0" borderId="3" xfId="0" quotePrefix="1" applyNumberFormat="1" applyFont="1" applyFill="1" applyBorder="1" applyAlignment="1">
      <alignment horizontal="center" vertical="center" wrapText="1"/>
    </xf>
    <xf numFmtId="182" fontId="13" fillId="0" borderId="31" xfId="0" applyNumberFormat="1" applyFont="1" applyFill="1" applyBorder="1" applyAlignment="1">
      <alignment horizontal="center" vertical="center" wrapText="1"/>
    </xf>
    <xf numFmtId="182" fontId="13" fillId="0" borderId="44" xfId="0" applyNumberFormat="1" applyFont="1" applyFill="1" applyBorder="1" applyAlignment="1">
      <alignment horizontal="center" vertical="center" wrapText="1"/>
    </xf>
    <xf numFmtId="181" fontId="13" fillId="0" borderId="493" xfId="0" applyNumberFormat="1" applyFont="1" applyFill="1" applyBorder="1" applyAlignment="1">
      <alignment horizontal="left" vertical="center" wrapText="1"/>
    </xf>
    <xf numFmtId="181" fontId="13" fillId="0" borderId="490" xfId="0" applyNumberFormat="1" applyFont="1" applyFill="1" applyBorder="1" applyAlignment="1">
      <alignment horizontal="left" vertical="center" wrapText="1"/>
    </xf>
    <xf numFmtId="181" fontId="13" fillId="0" borderId="3" xfId="0" applyNumberFormat="1" applyFont="1" applyFill="1" applyBorder="1" applyAlignment="1">
      <alignment horizontal="left" vertical="center" wrapText="1"/>
    </xf>
    <xf numFmtId="0" fontId="13" fillId="0" borderId="41" xfId="0" applyFont="1" applyFill="1" applyBorder="1" applyAlignment="1">
      <alignment horizontal="center" vertical="center" wrapText="1"/>
    </xf>
    <xf numFmtId="181" fontId="13" fillId="0" borderId="9" xfId="0" applyNumberFormat="1" applyFont="1" applyFill="1" applyBorder="1" applyAlignment="1">
      <alignment horizontal="center" vertical="center" wrapText="1"/>
    </xf>
    <xf numFmtId="3" fontId="13" fillId="0" borderId="9" xfId="0" applyNumberFormat="1" applyFont="1" applyFill="1" applyBorder="1" applyAlignment="1">
      <alignment horizontal="left" vertical="center" wrapText="1"/>
    </xf>
    <xf numFmtId="10" fontId="13" fillId="0" borderId="35" xfId="0" applyNumberFormat="1" applyFont="1" applyFill="1" applyBorder="1" applyAlignment="1">
      <alignment horizontal="center" vertical="center" wrapText="1"/>
    </xf>
    <xf numFmtId="181" fontId="13" fillId="0" borderId="26" xfId="0" applyNumberFormat="1" applyFont="1" applyFill="1" applyBorder="1" applyAlignment="1">
      <alignment horizontal="center" vertical="center" wrapText="1"/>
    </xf>
    <xf numFmtId="181" fontId="13" fillId="0" borderId="26" xfId="0" applyNumberFormat="1" applyFont="1" applyFill="1" applyBorder="1" applyAlignment="1">
      <alignment horizontal="left" vertical="center" wrapText="1"/>
    </xf>
    <xf numFmtId="3" fontId="13" fillId="0" borderId="26" xfId="0" applyNumberFormat="1" applyFont="1" applyFill="1" applyBorder="1" applyAlignment="1">
      <alignment horizontal="left" vertical="center" wrapText="1"/>
    </xf>
    <xf numFmtId="10" fontId="13" fillId="0" borderId="33" xfId="0" applyNumberFormat="1" applyFont="1" applyFill="1" applyBorder="1" applyAlignment="1">
      <alignment horizontal="center" vertical="center" wrapText="1"/>
    </xf>
    <xf numFmtId="0" fontId="13" fillId="0" borderId="374" xfId="0" applyNumberFormat="1" applyFont="1" applyFill="1" applyBorder="1" applyAlignment="1">
      <alignment horizontal="center" vertical="center" wrapText="1"/>
    </xf>
    <xf numFmtId="191" fontId="13" fillId="0" borderId="493" xfId="0" applyNumberFormat="1" applyFont="1" applyFill="1" applyBorder="1" applyAlignment="1">
      <alignment horizontal="center" vertical="center" wrapText="1"/>
    </xf>
    <xf numFmtId="0" fontId="13" fillId="0" borderId="375" xfId="0" applyNumberFormat="1" applyFont="1" applyFill="1" applyBorder="1" applyAlignment="1">
      <alignment horizontal="center" vertical="center" wrapText="1"/>
    </xf>
    <xf numFmtId="181" fontId="13" fillId="0" borderId="364" xfId="0" applyNumberFormat="1" applyFont="1" applyFill="1" applyBorder="1" applyAlignment="1">
      <alignment horizontal="center" vertical="center" wrapText="1"/>
    </xf>
    <xf numFmtId="181" fontId="13" fillId="0" borderId="364" xfId="0" applyNumberFormat="1" applyFont="1" applyFill="1" applyBorder="1" applyAlignment="1">
      <alignment horizontal="left" vertical="center" wrapText="1"/>
    </xf>
    <xf numFmtId="3" fontId="13" fillId="0" borderId="364" xfId="0" applyNumberFormat="1" applyFont="1" applyFill="1" applyBorder="1" applyAlignment="1">
      <alignment horizontal="left" vertical="center" wrapText="1"/>
    </xf>
    <xf numFmtId="10" fontId="13" fillId="0" borderId="370" xfId="0" applyNumberFormat="1" applyFont="1" applyFill="1" applyBorder="1" applyAlignment="1">
      <alignment horizontal="center" vertical="center" wrapText="1"/>
    </xf>
    <xf numFmtId="10" fontId="13" fillId="0" borderId="42" xfId="0" applyNumberFormat="1" applyFont="1" applyFill="1" applyBorder="1" applyAlignment="1">
      <alignment horizontal="center" vertical="center" wrapText="1"/>
    </xf>
    <xf numFmtId="181" fontId="13" fillId="0" borderId="7" xfId="0" applyNumberFormat="1" applyFont="1" applyFill="1" applyBorder="1" applyAlignment="1">
      <alignment horizontal="left" vertical="center" wrapText="1"/>
    </xf>
    <xf numFmtId="10" fontId="13" fillId="0" borderId="375" xfId="0" applyNumberFormat="1" applyFont="1" applyFill="1" applyBorder="1" applyAlignment="1">
      <alignment horizontal="center" vertical="center" wrapText="1"/>
    </xf>
    <xf numFmtId="171" fontId="13" fillId="0" borderId="12" xfId="0" applyNumberFormat="1" applyFont="1" applyFill="1" applyBorder="1" applyAlignment="1">
      <alignment horizontal="left" vertical="center" wrapText="1"/>
    </xf>
    <xf numFmtId="171" fontId="13" fillId="0" borderId="490" xfId="0" applyNumberFormat="1" applyFont="1" applyFill="1" applyBorder="1" applyAlignment="1">
      <alignment horizontal="left" vertical="center" wrapText="1"/>
    </xf>
    <xf numFmtId="171" fontId="13" fillId="0" borderId="3" xfId="0" applyNumberFormat="1" applyFont="1" applyFill="1" applyBorder="1" applyAlignment="1">
      <alignment horizontal="left" vertical="center" wrapText="1"/>
    </xf>
    <xf numFmtId="171" fontId="13" fillId="0" borderId="7" xfId="0" applyNumberFormat="1" applyFont="1" applyFill="1" applyBorder="1" applyAlignment="1">
      <alignment horizontal="left" vertical="center" wrapText="1"/>
    </xf>
    <xf numFmtId="171" fontId="13" fillId="0" borderId="493" xfId="0" applyNumberFormat="1" applyFont="1" applyFill="1" applyBorder="1" applyAlignment="1">
      <alignment horizontal="left" vertical="center" wrapText="1"/>
    </xf>
    <xf numFmtId="171" fontId="13" fillId="0" borderId="490" xfId="0" quotePrefix="1" applyNumberFormat="1" applyFont="1" applyFill="1" applyBorder="1" applyAlignment="1">
      <alignment horizontal="center" vertical="center" wrapText="1"/>
    </xf>
    <xf numFmtId="171" fontId="13" fillId="0" borderId="3" xfId="0" quotePrefix="1" applyNumberFormat="1" applyFont="1" applyFill="1" applyBorder="1" applyAlignment="1">
      <alignment horizontal="center" vertical="center" wrapText="1"/>
    </xf>
    <xf numFmtId="4" fontId="13" fillId="0" borderId="490" xfId="0" applyNumberFormat="1" applyFont="1" applyFill="1" applyBorder="1" applyAlignment="1">
      <alignment horizontal="left" vertical="center" wrapText="1"/>
    </xf>
    <xf numFmtId="171" fontId="13" fillId="0" borderId="9" xfId="0" applyNumberFormat="1" applyFont="1" applyFill="1" applyBorder="1" applyAlignment="1">
      <alignment horizontal="left" vertical="center" wrapText="1"/>
    </xf>
    <xf numFmtId="171" fontId="13" fillId="0" borderId="26" xfId="0" applyNumberFormat="1" applyFont="1" applyFill="1" applyBorder="1" applyAlignment="1">
      <alignment horizontal="left" vertical="center" wrapText="1"/>
    </xf>
    <xf numFmtId="191" fontId="13" fillId="0" borderId="493" xfId="0" applyNumberFormat="1" applyFont="1" applyFill="1" applyBorder="1" applyAlignment="1">
      <alignment horizontal="left" vertical="center" wrapText="1"/>
    </xf>
    <xf numFmtId="171" fontId="13" fillId="0" borderId="364" xfId="0" applyNumberFormat="1" applyFont="1" applyFill="1" applyBorder="1" applyAlignment="1">
      <alignment horizontal="left" vertical="center" wrapText="1"/>
    </xf>
    <xf numFmtId="166" fontId="1" fillId="0" borderId="206" xfId="0" applyNumberFormat="1" applyFont="1" applyFill="1" applyBorder="1" applyAlignment="1">
      <alignment horizontal="left" vertical="center" wrapText="1" indent="1"/>
    </xf>
    <xf numFmtId="0" fontId="4" fillId="14" borderId="26" xfId="0" applyFont="1" applyFill="1" applyBorder="1" applyAlignment="1">
      <alignment horizontal="center" vertical="center" wrapText="1"/>
    </xf>
    <xf numFmtId="0" fontId="4" fillId="14" borderId="23" xfId="0" applyFont="1" applyFill="1" applyBorder="1" applyAlignment="1">
      <alignment horizontal="center" vertical="center" wrapText="1"/>
    </xf>
    <xf numFmtId="0" fontId="4" fillId="14" borderId="27" xfId="0" applyFont="1" applyFill="1" applyBorder="1" applyAlignment="1">
      <alignment horizontal="center" vertical="center" wrapText="1"/>
    </xf>
    <xf numFmtId="0" fontId="0" fillId="14" borderId="6" xfId="0" applyFill="1" applyBorder="1" applyAlignment="1">
      <alignment horizontal="center" vertical="center" wrapText="1"/>
    </xf>
    <xf numFmtId="166" fontId="0" fillId="12" borderId="183" xfId="0" applyNumberFormat="1" applyFont="1" applyFill="1" applyBorder="1" applyAlignment="1">
      <alignment vertical="center" wrapText="1"/>
    </xf>
    <xf numFmtId="0" fontId="0" fillId="45" borderId="0" xfId="0" applyFill="1"/>
    <xf numFmtId="0" fontId="0" fillId="14" borderId="47" xfId="0" applyFill="1" applyBorder="1"/>
    <xf numFmtId="0" fontId="37" fillId="14" borderId="0" xfId="0" applyFont="1" applyFill="1" applyBorder="1"/>
    <xf numFmtId="0" fontId="68" fillId="14" borderId="0" xfId="0" applyFont="1" applyFill="1" applyBorder="1"/>
    <xf numFmtId="0" fontId="51" fillId="14" borderId="0" xfId="0" applyFont="1" applyFill="1" applyAlignment="1">
      <alignment vertical="center"/>
    </xf>
    <xf numFmtId="9" fontId="0" fillId="14" borderId="0" xfId="0" applyNumberFormat="1" applyFill="1" applyAlignment="1">
      <alignment horizontal="center" vertical="center"/>
    </xf>
    <xf numFmtId="0" fontId="51" fillId="14" borderId="0" xfId="0" applyFont="1" applyFill="1" applyAlignment="1">
      <alignment horizontal="center" vertical="center"/>
    </xf>
    <xf numFmtId="0" fontId="51" fillId="14" borderId="0" xfId="0" applyFont="1" applyFill="1" applyAlignment="1">
      <alignment horizontal="left" vertical="center"/>
    </xf>
    <xf numFmtId="219" fontId="0" fillId="14" borderId="0" xfId="0" applyNumberFormat="1" applyFill="1" applyAlignment="1">
      <alignment horizontal="center"/>
    </xf>
    <xf numFmtId="220" fontId="0" fillId="14" borderId="0" xfId="0" applyNumberFormat="1" applyFill="1" applyAlignment="1">
      <alignment horizontal="center"/>
    </xf>
    <xf numFmtId="0" fontId="51" fillId="14" borderId="0" xfId="0" applyFont="1" applyFill="1"/>
    <xf numFmtId="0" fontId="51" fillId="14" borderId="0" xfId="0" applyFont="1" applyFill="1" applyAlignment="1">
      <alignment wrapText="1"/>
    </xf>
    <xf numFmtId="0" fontId="9" fillId="14" borderId="0" xfId="0" applyFont="1" applyFill="1" applyBorder="1" applyAlignment="1">
      <alignment horizontal="center"/>
    </xf>
    <xf numFmtId="0" fontId="13" fillId="14" borderId="0" xfId="0" applyFont="1" applyFill="1" applyBorder="1"/>
    <xf numFmtId="171" fontId="0" fillId="14" borderId="0" xfId="0" applyNumberFormat="1" applyFill="1"/>
    <xf numFmtId="0" fontId="13" fillId="14" borderId="0" xfId="0" applyFont="1" applyFill="1" applyAlignment="1">
      <alignment horizontal="right" indent="1"/>
    </xf>
    <xf numFmtId="2" fontId="0" fillId="14" borderId="0" xfId="0" applyNumberFormat="1" applyFill="1" applyAlignment="1">
      <alignment vertical="center" wrapText="1"/>
    </xf>
    <xf numFmtId="0" fontId="0" fillId="14" borderId="16" xfId="0" applyFill="1" applyBorder="1" applyAlignment="1">
      <alignment horizontal="center" vertical="center" wrapText="1"/>
    </xf>
    <xf numFmtId="0" fontId="4" fillId="14" borderId="17" xfId="0" applyFont="1" applyFill="1" applyBorder="1" applyAlignment="1">
      <alignment horizontal="center" vertical="center" wrapText="1"/>
    </xf>
    <xf numFmtId="0" fontId="4" fillId="14" borderId="435" xfId="0" applyFont="1" applyFill="1" applyBorder="1" applyAlignment="1">
      <alignment horizontal="center" vertical="center" wrapText="1"/>
    </xf>
    <xf numFmtId="0" fontId="4" fillId="14" borderId="364" xfId="0" applyFont="1" applyFill="1" applyBorder="1" applyAlignment="1">
      <alignment horizontal="center" vertical="center" wrapText="1"/>
    </xf>
    <xf numFmtId="0" fontId="28" fillId="14" borderId="0" xfId="0" applyFont="1" applyFill="1"/>
    <xf numFmtId="0" fontId="37" fillId="43" borderId="0" xfId="0" applyFont="1" applyFill="1"/>
    <xf numFmtId="166" fontId="9" fillId="14" borderId="0" xfId="0" applyNumberFormat="1" applyFont="1" applyFill="1" applyBorder="1" applyAlignment="1">
      <alignment horizontal="center" vertical="center" wrapText="1"/>
    </xf>
    <xf numFmtId="0" fontId="13" fillId="14" borderId="0" xfId="0" applyFont="1" applyFill="1" applyAlignment="1">
      <alignment horizontal="center"/>
    </xf>
    <xf numFmtId="0" fontId="0" fillId="43" borderId="0" xfId="0" applyFont="1" applyFill="1" applyAlignment="1">
      <alignment horizontal="right"/>
    </xf>
    <xf numFmtId="0" fontId="0" fillId="43" borderId="0" xfId="0" applyFont="1" applyFill="1" applyAlignment="1">
      <alignment horizontal="left"/>
    </xf>
    <xf numFmtId="0" fontId="0" fillId="43" borderId="0" xfId="0" applyFont="1" applyFill="1" applyBorder="1"/>
    <xf numFmtId="0" fontId="37" fillId="43" borderId="0" xfId="0" applyFont="1" applyFill="1" applyBorder="1"/>
    <xf numFmtId="0" fontId="9" fillId="43" borderId="0" xfId="0" applyFont="1" applyFill="1" applyBorder="1"/>
    <xf numFmtId="9" fontId="0" fillId="43" borderId="0" xfId="0" applyNumberFormat="1" applyFill="1" applyAlignment="1">
      <alignment horizontal="center" vertical="center"/>
    </xf>
    <xf numFmtId="183" fontId="13" fillId="43" borderId="0" xfId="0" applyNumberFormat="1" applyFont="1" applyFill="1"/>
    <xf numFmtId="0" fontId="13" fillId="43" borderId="0" xfId="0" applyFont="1" applyFill="1" applyBorder="1"/>
    <xf numFmtId="0" fontId="0" fillId="43" borderId="0" xfId="0" applyFill="1" applyBorder="1" applyAlignment="1">
      <alignment horizontal="center"/>
    </xf>
    <xf numFmtId="189" fontId="48" fillId="43" borderId="0" xfId="0" applyNumberFormat="1" applyFont="1" applyFill="1" applyBorder="1" applyAlignment="1">
      <alignment horizontal="right" vertical="center" wrapText="1" indent="1"/>
    </xf>
    <xf numFmtId="0" fontId="42" fillId="14" borderId="0" xfId="0" applyFont="1" applyFill="1" applyAlignment="1">
      <alignment wrapText="1"/>
    </xf>
    <xf numFmtId="0" fontId="43" fillId="14" borderId="0" xfId="0" applyFont="1" applyFill="1" applyAlignment="1">
      <alignment horizontal="left" wrapText="1"/>
    </xf>
    <xf numFmtId="15" fontId="43" fillId="14" borderId="0" xfId="0" applyNumberFormat="1" applyFont="1" applyFill="1" applyAlignment="1">
      <alignment horizontal="left" wrapText="1"/>
    </xf>
    <xf numFmtId="0" fontId="0" fillId="14" borderId="0" xfId="0" applyFill="1" applyAlignment="1">
      <alignment horizontal="left" wrapText="1"/>
    </xf>
    <xf numFmtId="0" fontId="45" fillId="14" borderId="0" xfId="0" applyFont="1" applyFill="1"/>
    <xf numFmtId="0" fontId="45" fillId="14" borderId="0" xfId="0" applyFont="1" applyFill="1" applyAlignment="1">
      <alignment horizontal="left" wrapText="1"/>
    </xf>
    <xf numFmtId="0" fontId="42" fillId="14" borderId="0" xfId="0" applyFont="1" applyFill="1" applyBorder="1" applyAlignment="1">
      <alignment wrapText="1"/>
    </xf>
    <xf numFmtId="0" fontId="45" fillId="14" borderId="12" xfId="0" applyFont="1" applyFill="1" applyBorder="1" applyAlignment="1">
      <alignment horizontal="left" indent="1"/>
    </xf>
    <xf numFmtId="0" fontId="55" fillId="14" borderId="12" xfId="0" applyFont="1" applyFill="1" applyBorder="1" applyAlignment="1">
      <alignment horizontal="left" indent="1"/>
    </xf>
    <xf numFmtId="0" fontId="42" fillId="14" borderId="3" xfId="0" applyFont="1" applyFill="1" applyBorder="1" applyAlignment="1">
      <alignment horizontal="right" vertical="top" wrapText="1" indent="1"/>
    </xf>
    <xf numFmtId="0" fontId="42" fillId="14" borderId="3" xfId="0" applyFont="1" applyFill="1" applyBorder="1" applyAlignment="1">
      <alignment horizontal="left" vertical="top" wrapText="1"/>
    </xf>
    <xf numFmtId="0" fontId="42" fillId="14" borderId="3" xfId="0" applyFont="1" applyFill="1" applyBorder="1" applyAlignment="1">
      <alignment horizontal="right" vertical="top" wrapText="1"/>
    </xf>
    <xf numFmtId="0" fontId="42" fillId="14" borderId="3" xfId="0" applyFont="1" applyFill="1" applyBorder="1" applyAlignment="1">
      <alignment horizontal="left" vertical="top" wrapText="1" indent="1"/>
    </xf>
    <xf numFmtId="0" fontId="42" fillId="14" borderId="3" xfId="0" applyFont="1" applyFill="1" applyBorder="1" applyAlignment="1">
      <alignment horizontal="center" vertical="top" wrapText="1"/>
    </xf>
    <xf numFmtId="3" fontId="42" fillId="14" borderId="3" xfId="0" applyNumberFormat="1" applyFont="1" applyFill="1" applyBorder="1" applyAlignment="1">
      <alignment horizontal="right" vertical="top" wrapText="1"/>
    </xf>
    <xf numFmtId="2" fontId="42" fillId="14" borderId="3" xfId="0" applyNumberFormat="1" applyFont="1" applyFill="1" applyBorder="1" applyAlignment="1">
      <alignment horizontal="right" vertical="top" wrapText="1"/>
    </xf>
    <xf numFmtId="181" fontId="42" fillId="14" borderId="3" xfId="0" applyNumberFormat="1" applyFont="1" applyFill="1" applyBorder="1" applyAlignment="1">
      <alignment horizontal="right" vertical="top" wrapText="1"/>
    </xf>
    <xf numFmtId="0" fontId="42" fillId="14" borderId="3" xfId="0" applyFont="1" applyFill="1" applyBorder="1" applyAlignment="1">
      <alignment vertical="top" wrapText="1"/>
    </xf>
    <xf numFmtId="0" fontId="45" fillId="14" borderId="3" xfId="0" applyFont="1" applyFill="1" applyBorder="1" applyAlignment="1">
      <alignment horizontal="left" indent="1"/>
    </xf>
    <xf numFmtId="0" fontId="55" fillId="14" borderId="3" xfId="0" applyFont="1" applyFill="1" applyBorder="1" applyAlignment="1">
      <alignment horizontal="left" indent="1"/>
    </xf>
    <xf numFmtId="0" fontId="42" fillId="14" borderId="7" xfId="0" applyFont="1" applyFill="1" applyBorder="1" applyAlignment="1">
      <alignment horizontal="right" vertical="top" wrapText="1" indent="1"/>
    </xf>
    <xf numFmtId="0" fontId="42" fillId="14" borderId="7" xfId="0" applyFont="1" applyFill="1" applyBorder="1" applyAlignment="1">
      <alignment horizontal="left" vertical="top" wrapText="1"/>
    </xf>
    <xf numFmtId="0" fontId="42" fillId="14" borderId="7" xfId="0" applyFont="1" applyFill="1" applyBorder="1" applyAlignment="1">
      <alignment horizontal="right" vertical="top" wrapText="1"/>
    </xf>
    <xf numFmtId="0" fontId="42" fillId="14" borderId="7" xfId="0" applyFont="1" applyFill="1" applyBorder="1" applyAlignment="1">
      <alignment horizontal="left" vertical="top" wrapText="1" indent="1"/>
    </xf>
    <xf numFmtId="0" fontId="42" fillId="14" borderId="7" xfId="0" applyFont="1" applyFill="1" applyBorder="1" applyAlignment="1">
      <alignment horizontal="center" vertical="top" wrapText="1"/>
    </xf>
    <xf numFmtId="3" fontId="42" fillId="14" borderId="7" xfId="0" applyNumberFormat="1" applyFont="1" applyFill="1" applyBorder="1" applyAlignment="1">
      <alignment horizontal="right" vertical="top" wrapText="1"/>
    </xf>
    <xf numFmtId="2" fontId="42" fillId="14" borderId="7" xfId="0" applyNumberFormat="1" applyFont="1" applyFill="1" applyBorder="1" applyAlignment="1">
      <alignment horizontal="right" vertical="top" wrapText="1"/>
    </xf>
    <xf numFmtId="181" fontId="42" fillId="14" borderId="7" xfId="0" applyNumberFormat="1" applyFont="1" applyFill="1" applyBorder="1" applyAlignment="1">
      <alignment horizontal="right" vertical="top" wrapText="1"/>
    </xf>
    <xf numFmtId="0" fontId="0" fillId="14" borderId="7" xfId="0" applyFill="1" applyBorder="1" applyAlignment="1">
      <alignment vertical="center" wrapText="1"/>
    </xf>
    <xf numFmtId="0" fontId="42" fillId="14" borderId="7" xfId="0" applyFont="1" applyFill="1" applyBorder="1" applyAlignment="1">
      <alignment vertical="top" wrapText="1"/>
    </xf>
    <xf numFmtId="0" fontId="42" fillId="14" borderId="101" xfId="0" applyFont="1" applyFill="1" applyBorder="1" applyAlignment="1">
      <alignment horizontal="right" vertical="top" wrapText="1" indent="1"/>
    </xf>
    <xf numFmtId="0" fontId="42" fillId="14" borderId="101" xfId="0" applyFont="1" applyFill="1" applyBorder="1" applyAlignment="1">
      <alignment horizontal="left" vertical="top" wrapText="1"/>
    </xf>
    <xf numFmtId="0" fontId="42" fillId="14" borderId="101" xfId="0" applyFont="1" applyFill="1" applyBorder="1" applyAlignment="1">
      <alignment horizontal="right" vertical="top" wrapText="1"/>
    </xf>
    <xf numFmtId="0" fontId="42" fillId="14" borderId="101" xfId="0" applyFont="1" applyFill="1" applyBorder="1" applyAlignment="1">
      <alignment horizontal="left" vertical="top" wrapText="1" indent="1"/>
    </xf>
    <xf numFmtId="0" fontId="42" fillId="14" borderId="101" xfId="0" applyFont="1" applyFill="1" applyBorder="1" applyAlignment="1">
      <alignment horizontal="center" vertical="top" wrapText="1"/>
    </xf>
    <xf numFmtId="3" fontId="42" fillId="14" borderId="101" xfId="0" applyNumberFormat="1" applyFont="1" applyFill="1" applyBorder="1" applyAlignment="1">
      <alignment horizontal="right" vertical="top" wrapText="1"/>
    </xf>
    <xf numFmtId="2" fontId="42" fillId="14" borderId="101" xfId="0" applyNumberFormat="1" applyFont="1" applyFill="1" applyBorder="1" applyAlignment="1">
      <alignment horizontal="right" vertical="top" wrapText="1"/>
    </xf>
    <xf numFmtId="181" fontId="42" fillId="14" borderId="101" xfId="0" applyNumberFormat="1" applyFont="1" applyFill="1" applyBorder="1" applyAlignment="1">
      <alignment horizontal="right" vertical="top" wrapText="1"/>
    </xf>
    <xf numFmtId="0" fontId="42" fillId="14" borderId="101" xfId="0" applyFont="1" applyFill="1" applyBorder="1" applyAlignment="1">
      <alignment vertical="top" wrapText="1"/>
    </xf>
    <xf numFmtId="0" fontId="45" fillId="14" borderId="3" xfId="0" applyFont="1" applyFill="1" applyBorder="1" applyAlignment="1">
      <alignment horizontal="left" vertical="center"/>
    </xf>
    <xf numFmtId="0" fontId="45" fillId="14" borderId="3" xfId="0" applyFont="1" applyFill="1" applyBorder="1" applyAlignment="1">
      <alignment horizontal="left" vertical="center" indent="1"/>
    </xf>
    <xf numFmtId="0" fontId="55" fillId="14" borderId="3" xfId="0" applyFont="1" applyFill="1" applyBorder="1" applyAlignment="1">
      <alignment horizontal="left" vertical="center" indent="1"/>
    </xf>
    <xf numFmtId="0" fontId="42" fillId="14" borderId="23" xfId="0" applyFont="1" applyFill="1" applyBorder="1" applyAlignment="1">
      <alignment horizontal="right" vertical="top" wrapText="1" indent="1"/>
    </xf>
    <xf numFmtId="0" fontId="42" fillId="14" borderId="23" xfId="0" applyFont="1" applyFill="1" applyBorder="1" applyAlignment="1">
      <alignment horizontal="center" vertical="top" wrapText="1"/>
    </xf>
    <xf numFmtId="0" fontId="42" fillId="14" borderId="23" xfId="0" applyFont="1" applyFill="1" applyBorder="1" applyAlignment="1">
      <alignment horizontal="left" vertical="top" wrapText="1" indent="2"/>
    </xf>
    <xf numFmtId="0" fontId="42" fillId="14" borderId="23" xfId="0" applyFont="1" applyFill="1" applyBorder="1" applyAlignment="1">
      <alignment horizontal="left" vertical="top" wrapText="1"/>
    </xf>
    <xf numFmtId="0" fontId="42" fillId="14" borderId="23" xfId="0" applyFont="1" applyFill="1" applyBorder="1" applyAlignment="1">
      <alignment horizontal="right" vertical="top" wrapText="1"/>
    </xf>
    <xf numFmtId="0" fontId="42" fillId="14" borderId="23" xfId="0" applyFont="1" applyFill="1" applyBorder="1" applyAlignment="1">
      <alignment horizontal="left" vertical="top" wrapText="1" indent="1"/>
    </xf>
    <xf numFmtId="0" fontId="42" fillId="14" borderId="23" xfId="0" applyFont="1" applyFill="1" applyBorder="1" applyAlignment="1">
      <alignment vertical="top" wrapText="1"/>
    </xf>
    <xf numFmtId="3" fontId="42" fillId="14" borderId="23" xfId="0" applyNumberFormat="1" applyFont="1" applyFill="1" applyBorder="1" applyAlignment="1">
      <alignment horizontal="right" vertical="top" wrapText="1"/>
    </xf>
    <xf numFmtId="3" fontId="42" fillId="14" borderId="23" xfId="0" applyNumberFormat="1" applyFont="1" applyFill="1" applyBorder="1" applyAlignment="1">
      <alignment vertical="top" wrapText="1"/>
    </xf>
    <xf numFmtId="2" fontId="42" fillId="14" borderId="23" xfId="0" applyNumberFormat="1" applyFont="1" applyFill="1" applyBorder="1" applyAlignment="1">
      <alignment vertical="top" wrapText="1"/>
    </xf>
    <xf numFmtId="181" fontId="42" fillId="14" borderId="23" xfId="0" applyNumberFormat="1" applyFont="1" applyFill="1" applyBorder="1" applyAlignment="1">
      <alignment vertical="top" wrapText="1"/>
    </xf>
    <xf numFmtId="181" fontId="42" fillId="14" borderId="23" xfId="0" applyNumberFormat="1" applyFont="1" applyFill="1" applyBorder="1" applyAlignment="1">
      <alignment horizontal="right" vertical="top" wrapText="1"/>
    </xf>
    <xf numFmtId="0" fontId="42" fillId="14" borderId="7" xfId="0" applyFont="1" applyFill="1" applyBorder="1" applyAlignment="1">
      <alignment horizontal="left" vertical="top" wrapText="1" indent="2"/>
    </xf>
    <xf numFmtId="3" fontId="42" fillId="14" borderId="7" xfId="0" applyNumberFormat="1" applyFont="1" applyFill="1" applyBorder="1" applyAlignment="1">
      <alignment vertical="top" wrapText="1"/>
    </xf>
    <xf numFmtId="2" fontId="42" fillId="14" borderId="7" xfId="0" applyNumberFormat="1" applyFont="1" applyFill="1" applyBorder="1" applyAlignment="1">
      <alignment vertical="top" wrapText="1"/>
    </xf>
    <xf numFmtId="181" fontId="42" fillId="14" borderId="7" xfId="0" applyNumberFormat="1" applyFont="1" applyFill="1" applyBorder="1" applyAlignment="1">
      <alignment vertical="top" wrapText="1"/>
    </xf>
    <xf numFmtId="0" fontId="45" fillId="14" borderId="9" xfId="0" applyFont="1" applyFill="1" applyBorder="1" applyAlignment="1">
      <alignment horizontal="left" vertical="center"/>
    </xf>
    <xf numFmtId="0" fontId="45" fillId="14" borderId="9" xfId="0" applyFont="1" applyFill="1" applyBorder="1" applyAlignment="1">
      <alignment horizontal="left" vertical="center" indent="1"/>
    </xf>
    <xf numFmtId="2" fontId="0" fillId="14" borderId="0" xfId="0" applyNumberFormat="1" applyFill="1"/>
    <xf numFmtId="0" fontId="22" fillId="14" borderId="0" xfId="0" applyFont="1" applyFill="1" applyAlignment="1">
      <alignment wrapText="1"/>
    </xf>
    <xf numFmtId="0" fontId="0" fillId="14" borderId="0" xfId="0" applyFill="1" applyAlignment="1">
      <alignment horizontal="center" wrapText="1"/>
    </xf>
    <xf numFmtId="0" fontId="0" fillId="14" borderId="0" xfId="0" applyFill="1" applyAlignment="1">
      <alignment horizontal="right" indent="1"/>
    </xf>
    <xf numFmtId="0" fontId="23" fillId="14" borderId="0" xfId="0" applyFont="1" applyFill="1" applyAlignment="1">
      <alignment horizontal="left" wrapText="1" indent="1"/>
    </xf>
    <xf numFmtId="0" fontId="23" fillId="14" borderId="0" xfId="0" applyFont="1" applyFill="1" applyAlignment="1">
      <alignment horizontal="center" wrapText="1"/>
    </xf>
    <xf numFmtId="0" fontId="23" fillId="14" borderId="0" xfId="0" applyFont="1" applyFill="1" applyAlignment="1">
      <alignment horizontal="right" wrapText="1" indent="1"/>
    </xf>
    <xf numFmtId="15" fontId="4" fillId="14" borderId="0" xfId="0" applyNumberFormat="1" applyFont="1" applyFill="1" applyAlignment="1">
      <alignment horizontal="left" wrapText="1"/>
    </xf>
    <xf numFmtId="15" fontId="4" fillId="14" borderId="0" xfId="0" applyNumberFormat="1" applyFont="1" applyFill="1" applyAlignment="1">
      <alignment horizontal="center" wrapText="1"/>
    </xf>
    <xf numFmtId="0" fontId="0" fillId="14" borderId="0" xfId="0" applyFont="1" applyFill="1" applyAlignment="1">
      <alignment horizontal="right" indent="1"/>
    </xf>
    <xf numFmtId="0" fontId="0" fillId="14" borderId="0" xfId="0" applyFill="1" applyAlignment="1">
      <alignment horizontal="left" vertical="center"/>
    </xf>
    <xf numFmtId="0" fontId="22" fillId="14" borderId="0" xfId="0" applyFont="1" applyFill="1" applyAlignment="1">
      <alignment horizontal="center" wrapText="1"/>
    </xf>
    <xf numFmtId="0" fontId="22" fillId="14" borderId="0" xfId="0" applyFont="1" applyFill="1" applyAlignment="1">
      <alignment horizontal="right" wrapText="1" indent="1"/>
    </xf>
    <xf numFmtId="0" fontId="22" fillId="14" borderId="0" xfId="0" applyFont="1" applyFill="1" applyAlignment="1">
      <alignment horizontal="left" wrapText="1" indent="1"/>
    </xf>
    <xf numFmtId="0" fontId="0" fillId="14" borderId="0" xfId="0" applyFill="1" applyAlignment="1">
      <alignment horizontal="center" vertical="center" wrapText="1"/>
    </xf>
    <xf numFmtId="0" fontId="0" fillId="14" borderId="0" xfId="0" applyFill="1" applyAlignment="1">
      <alignment horizontal="right" vertical="center"/>
    </xf>
    <xf numFmtId="0" fontId="22" fillId="14" borderId="7" xfId="0" applyFont="1" applyFill="1" applyBorder="1" applyAlignment="1">
      <alignment horizontal="right" vertical="center" wrapText="1" indent="1"/>
    </xf>
    <xf numFmtId="0" fontId="22" fillId="14" borderId="3" xfId="0" applyFont="1" applyFill="1" applyBorder="1" applyAlignment="1">
      <alignment horizontal="right" vertical="center" wrapText="1" indent="1"/>
    </xf>
    <xf numFmtId="0" fontId="22" fillId="14" borderId="7" xfId="0" applyFont="1" applyFill="1" applyBorder="1" applyAlignment="1">
      <alignment horizontal="left" vertical="center" wrapText="1" indent="1"/>
    </xf>
    <xf numFmtId="0" fontId="22" fillId="14" borderId="7" xfId="0" applyFont="1" applyFill="1" applyBorder="1" applyAlignment="1">
      <alignment horizontal="center" vertical="center" wrapText="1"/>
    </xf>
    <xf numFmtId="3" fontId="22" fillId="14" borderId="7" xfId="0" applyNumberFormat="1" applyFont="1" applyFill="1" applyBorder="1" applyAlignment="1">
      <alignment horizontal="right" vertical="center" wrapText="1" indent="1"/>
    </xf>
    <xf numFmtId="2" fontId="22" fillId="14" borderId="7" xfId="0" applyNumberFormat="1" applyFont="1" applyFill="1" applyBorder="1" applyAlignment="1">
      <alignment horizontal="right" vertical="center" wrapText="1" indent="1"/>
    </xf>
    <xf numFmtId="171" fontId="22" fillId="14" borderId="7" xfId="0" applyNumberFormat="1" applyFont="1" applyFill="1" applyBorder="1" applyAlignment="1">
      <alignment horizontal="right" vertical="center" wrapText="1" indent="1"/>
    </xf>
    <xf numFmtId="0" fontId="22" fillId="14" borderId="7" xfId="0" applyFont="1" applyFill="1" applyBorder="1" applyAlignment="1">
      <alignment horizontal="left" vertical="center" wrapText="1"/>
    </xf>
    <xf numFmtId="0" fontId="22" fillId="14" borderId="7" xfId="0" applyFont="1" applyFill="1" applyBorder="1" applyAlignment="1">
      <alignment vertical="center" wrapText="1"/>
    </xf>
    <xf numFmtId="0" fontId="22" fillId="14" borderId="23" xfId="0" applyFont="1" applyFill="1" applyBorder="1" applyAlignment="1">
      <alignment horizontal="right" vertical="center" wrapText="1" indent="1"/>
    </xf>
    <xf numFmtId="0" fontId="22" fillId="14" borderId="23" xfId="0" applyFont="1" applyFill="1" applyBorder="1" applyAlignment="1">
      <alignment horizontal="left" vertical="center" wrapText="1" indent="1"/>
    </xf>
    <xf numFmtId="0" fontId="22" fillId="14" borderId="23" xfId="0" applyFont="1" applyFill="1" applyBorder="1" applyAlignment="1">
      <alignment horizontal="center" vertical="center" wrapText="1"/>
    </xf>
    <xf numFmtId="3" fontId="22" fillId="14" borderId="23" xfId="0" applyNumberFormat="1" applyFont="1" applyFill="1" applyBorder="1" applyAlignment="1">
      <alignment horizontal="right" vertical="center" wrapText="1" indent="1"/>
    </xf>
    <xf numFmtId="2" fontId="22" fillId="14" borderId="23" xfId="0" applyNumberFormat="1" applyFont="1" applyFill="1" applyBorder="1" applyAlignment="1">
      <alignment horizontal="right" vertical="center" wrapText="1" indent="1"/>
    </xf>
    <xf numFmtId="171" fontId="22" fillId="14" borderId="23" xfId="0" applyNumberFormat="1" applyFont="1" applyFill="1" applyBorder="1" applyAlignment="1">
      <alignment horizontal="right" vertical="center" wrapText="1" indent="1"/>
    </xf>
    <xf numFmtId="0" fontId="22" fillId="14" borderId="23" xfId="0" applyFont="1" applyFill="1" applyBorder="1" applyAlignment="1">
      <alignment horizontal="left" vertical="center" wrapText="1"/>
    </xf>
    <xf numFmtId="0" fontId="22" fillId="14" borderId="23" xfId="0" applyFont="1" applyFill="1" applyBorder="1" applyAlignment="1">
      <alignment vertical="center" wrapText="1"/>
    </xf>
    <xf numFmtId="0" fontId="22" fillId="14" borderId="101" xfId="0" applyFont="1" applyFill="1" applyBorder="1" applyAlignment="1">
      <alignment horizontal="right" vertical="center" wrapText="1" indent="1"/>
    </xf>
    <xf numFmtId="0" fontId="22" fillId="14" borderId="24" xfId="0" applyFont="1" applyFill="1" applyBorder="1" applyAlignment="1">
      <alignment horizontal="center" vertical="center" wrapText="1"/>
    </xf>
    <xf numFmtId="0" fontId="5" fillId="14" borderId="23" xfId="0" applyFont="1" applyFill="1" applyBorder="1" applyAlignment="1">
      <alignment horizontal="left" vertical="center" wrapText="1" indent="1"/>
    </xf>
    <xf numFmtId="0" fontId="5" fillId="14" borderId="23" xfId="0" applyFont="1" applyFill="1" applyBorder="1" applyAlignment="1">
      <alignment horizontal="right" vertical="center" wrapText="1" indent="1"/>
    </xf>
    <xf numFmtId="0" fontId="0" fillId="14" borderId="0" xfId="0" applyFill="1" applyAlignment="1">
      <alignment horizontal="right" vertical="center" wrapText="1" indent="1"/>
    </xf>
    <xf numFmtId="0" fontId="0" fillId="14" borderId="0" xfId="0" applyFill="1" applyAlignment="1">
      <alignment horizontal="left" vertical="center" wrapText="1" indent="1"/>
    </xf>
    <xf numFmtId="3" fontId="0" fillId="14" borderId="0" xfId="0" applyNumberFormat="1" applyFill="1" applyAlignment="1">
      <alignment horizontal="right" vertical="center" wrapText="1" indent="1"/>
    </xf>
    <xf numFmtId="2" fontId="0" fillId="43" borderId="0" xfId="0" applyNumberFormat="1" applyFill="1"/>
    <xf numFmtId="0" fontId="22" fillId="43" borderId="0" xfId="0" applyFont="1" applyFill="1" applyAlignment="1">
      <alignment wrapText="1"/>
    </xf>
    <xf numFmtId="0" fontId="0" fillId="43" borderId="0" xfId="0" applyFill="1" applyAlignment="1">
      <alignment wrapText="1"/>
    </xf>
    <xf numFmtId="0" fontId="0" fillId="43" borderId="0" xfId="0" applyFill="1" applyAlignment="1">
      <alignment horizontal="center" wrapText="1"/>
    </xf>
    <xf numFmtId="0" fontId="74" fillId="14" borderId="0" xfId="0" applyFont="1" applyFill="1"/>
    <xf numFmtId="15" fontId="83" fillId="14" borderId="0" xfId="0" applyNumberFormat="1" applyFont="1" applyFill="1" applyAlignment="1">
      <alignment horizontal="left" wrapText="1"/>
    </xf>
    <xf numFmtId="0" fontId="84" fillId="14" borderId="0" xfId="0" applyFont="1" applyFill="1"/>
    <xf numFmtId="0" fontId="82" fillId="14" borderId="0" xfId="0" applyFont="1" applyFill="1" applyAlignment="1">
      <alignment horizontal="left" wrapText="1"/>
    </xf>
    <xf numFmtId="0" fontId="0" fillId="14" borderId="223" xfId="0" applyFill="1" applyBorder="1"/>
    <xf numFmtId="0" fontId="45" fillId="14" borderId="47" xfId="0" applyFont="1" applyFill="1" applyBorder="1" applyAlignment="1">
      <alignment horizontal="left"/>
    </xf>
    <xf numFmtId="0" fontId="55" fillId="14" borderId="9" xfId="0" applyFont="1" applyFill="1" applyBorder="1" applyAlignment="1">
      <alignment horizontal="left" vertical="center" indent="1"/>
    </xf>
    <xf numFmtId="0" fontId="37" fillId="43" borderId="0" xfId="0" applyFont="1" applyFill="1" applyAlignment="1">
      <alignment horizontal="left" indent="1"/>
    </xf>
    <xf numFmtId="0" fontId="55" fillId="14" borderId="47" xfId="0" applyFont="1" applyFill="1" applyBorder="1" applyAlignment="1">
      <alignment horizontal="left" indent="1"/>
    </xf>
    <xf numFmtId="0" fontId="19" fillId="14" borderId="23" xfId="0" applyFont="1" applyFill="1" applyBorder="1" applyAlignment="1">
      <alignment horizontal="left" vertical="center" wrapText="1" indent="1"/>
    </xf>
    <xf numFmtId="0" fontId="43" fillId="14" borderId="7" xfId="0" applyFont="1" applyFill="1" applyBorder="1" applyAlignment="1">
      <alignment horizontal="left" vertical="top" wrapText="1" indent="1"/>
    </xf>
    <xf numFmtId="0" fontId="45" fillId="14" borderId="47" xfId="0" applyFont="1" applyFill="1" applyBorder="1" applyAlignment="1">
      <alignment horizontal="left" indent="1"/>
    </xf>
    <xf numFmtId="0" fontId="0" fillId="51" borderId="0" xfId="0" applyFill="1"/>
    <xf numFmtId="0" fontId="42" fillId="51" borderId="101" xfId="0" applyFont="1" applyFill="1" applyBorder="1" applyAlignment="1">
      <alignment horizontal="right" vertical="top" wrapText="1" indent="1"/>
    </xf>
    <xf numFmtId="0" fontId="42" fillId="51" borderId="101" xfId="0" applyFont="1" applyFill="1" applyBorder="1" applyAlignment="1">
      <alignment horizontal="left" vertical="top" wrapText="1"/>
    </xf>
    <xf numFmtId="0" fontId="42" fillId="51" borderId="101" xfId="0" applyFont="1" applyFill="1" applyBorder="1" applyAlignment="1">
      <alignment horizontal="right" vertical="top" wrapText="1"/>
    </xf>
    <xf numFmtId="0" fontId="42" fillId="51" borderId="101" xfId="0" applyFont="1" applyFill="1" applyBorder="1" applyAlignment="1">
      <alignment horizontal="left" vertical="top" wrapText="1" indent="1"/>
    </xf>
    <xf numFmtId="0" fontId="42" fillId="51" borderId="101" xfId="0" applyFont="1" applyFill="1" applyBorder="1" applyAlignment="1">
      <alignment vertical="top" wrapText="1"/>
    </xf>
    <xf numFmtId="0" fontId="42" fillId="51" borderId="101" xfId="0" applyFont="1" applyFill="1" applyBorder="1" applyAlignment="1">
      <alignment horizontal="center" vertical="top" wrapText="1"/>
    </xf>
    <xf numFmtId="3" fontId="42" fillId="51" borderId="101" xfId="0" applyNumberFormat="1" applyFont="1" applyFill="1" applyBorder="1" applyAlignment="1">
      <alignment horizontal="right" vertical="top" wrapText="1"/>
    </xf>
    <xf numFmtId="2" fontId="42" fillId="51" borderId="101" xfId="0" applyNumberFormat="1" applyFont="1" applyFill="1" applyBorder="1" applyAlignment="1">
      <alignment horizontal="right" vertical="top" wrapText="1"/>
    </xf>
    <xf numFmtId="181" fontId="42" fillId="51" borderId="101" xfId="0" applyNumberFormat="1" applyFont="1" applyFill="1" applyBorder="1" applyAlignment="1">
      <alignment horizontal="right" vertical="top" wrapText="1"/>
    </xf>
    <xf numFmtId="0" fontId="42" fillId="51" borderId="3" xfId="0" applyFont="1" applyFill="1" applyBorder="1" applyAlignment="1">
      <alignment horizontal="right" vertical="top" wrapText="1" indent="1"/>
    </xf>
    <xf numFmtId="0" fontId="42" fillId="51" borderId="3" xfId="0" applyFont="1" applyFill="1" applyBorder="1" applyAlignment="1">
      <alignment horizontal="left" vertical="top" wrapText="1"/>
    </xf>
    <xf numFmtId="0" fontId="42" fillId="51" borderId="3" xfId="0" applyFont="1" applyFill="1" applyBorder="1" applyAlignment="1">
      <alignment horizontal="right" vertical="top" wrapText="1"/>
    </xf>
    <xf numFmtId="0" fontId="42" fillId="51" borderId="3" xfId="0" applyFont="1" applyFill="1" applyBorder="1" applyAlignment="1">
      <alignment horizontal="left" vertical="top" wrapText="1" indent="1"/>
    </xf>
    <xf numFmtId="0" fontId="42" fillId="51" borderId="3" xfId="0" applyFont="1" applyFill="1" applyBorder="1" applyAlignment="1">
      <alignment vertical="top" wrapText="1"/>
    </xf>
    <xf numFmtId="0" fontId="42" fillId="51" borderId="3" xfId="0" applyFont="1" applyFill="1" applyBorder="1" applyAlignment="1">
      <alignment horizontal="center" vertical="top" wrapText="1"/>
    </xf>
    <xf numFmtId="3" fontId="42" fillId="51" borderId="3" xfId="0" applyNumberFormat="1" applyFont="1" applyFill="1" applyBorder="1" applyAlignment="1">
      <alignment horizontal="right" vertical="top" wrapText="1"/>
    </xf>
    <xf numFmtId="2" fontId="42" fillId="51" borderId="3" xfId="0" applyNumberFormat="1" applyFont="1" applyFill="1" applyBorder="1" applyAlignment="1">
      <alignment horizontal="right" vertical="top" wrapText="1"/>
    </xf>
    <xf numFmtId="181" fontId="42" fillId="51" borderId="3" xfId="0" applyNumberFormat="1" applyFont="1" applyFill="1" applyBorder="1" applyAlignment="1">
      <alignment horizontal="right" vertical="top" wrapText="1"/>
    </xf>
    <xf numFmtId="0" fontId="42" fillId="51" borderId="7" xfId="0" applyFont="1" applyFill="1" applyBorder="1" applyAlignment="1">
      <alignment horizontal="right" vertical="top" wrapText="1" indent="1"/>
    </xf>
    <xf numFmtId="0" fontId="42" fillId="51" borderId="7" xfId="0" applyFont="1" applyFill="1" applyBorder="1" applyAlignment="1">
      <alignment horizontal="left" vertical="top" wrapText="1"/>
    </xf>
    <xf numFmtId="0" fontId="42" fillId="51" borderId="7" xfId="0" applyFont="1" applyFill="1" applyBorder="1" applyAlignment="1">
      <alignment horizontal="right" vertical="top" wrapText="1"/>
    </xf>
    <xf numFmtId="0" fontId="42" fillId="51" borderId="7" xfId="0" applyFont="1" applyFill="1" applyBorder="1" applyAlignment="1">
      <alignment horizontal="left" vertical="top" wrapText="1" indent="1"/>
    </xf>
    <xf numFmtId="0" fontId="42" fillId="51" borderId="7" xfId="0" applyFont="1" applyFill="1" applyBorder="1" applyAlignment="1">
      <alignment vertical="top" wrapText="1"/>
    </xf>
    <xf numFmtId="0" fontId="42" fillId="51" borderId="7" xfId="0" applyFont="1" applyFill="1" applyBorder="1" applyAlignment="1">
      <alignment horizontal="center" vertical="top" wrapText="1"/>
    </xf>
    <xf numFmtId="3" fontId="42" fillId="51" borderId="7" xfId="0" applyNumberFormat="1" applyFont="1" applyFill="1" applyBorder="1" applyAlignment="1">
      <alignment horizontal="right" vertical="top" wrapText="1"/>
    </xf>
    <xf numFmtId="2" fontId="42" fillId="51" borderId="7" xfId="0" applyNumberFormat="1" applyFont="1" applyFill="1" applyBorder="1" applyAlignment="1">
      <alignment horizontal="right" vertical="top" wrapText="1"/>
    </xf>
    <xf numFmtId="181" fontId="42" fillId="51" borderId="7" xfId="0" applyNumberFormat="1" applyFont="1" applyFill="1" applyBorder="1" applyAlignment="1">
      <alignment horizontal="right" vertical="top" wrapText="1"/>
    </xf>
    <xf numFmtId="0" fontId="22" fillId="45" borderId="23" xfId="0" applyFont="1" applyFill="1" applyBorder="1" applyAlignment="1">
      <alignment horizontal="right" vertical="center" wrapText="1" indent="1"/>
    </xf>
    <xf numFmtId="0" fontId="22" fillId="45" borderId="23" xfId="0" applyFont="1" applyFill="1" applyBorder="1" applyAlignment="1">
      <alignment horizontal="left" vertical="center" wrapText="1" indent="1"/>
    </xf>
    <xf numFmtId="0" fontId="22" fillId="45" borderId="23" xfId="0" applyFont="1" applyFill="1" applyBorder="1" applyAlignment="1">
      <alignment horizontal="center" vertical="center" wrapText="1"/>
    </xf>
    <xf numFmtId="3" fontId="22" fillId="45" borderId="23" xfId="0" applyNumberFormat="1" applyFont="1" applyFill="1" applyBorder="1" applyAlignment="1">
      <alignment horizontal="right" vertical="center" wrapText="1" indent="1"/>
    </xf>
    <xf numFmtId="2" fontId="22" fillId="45" borderId="23" xfId="0" applyNumberFormat="1" applyFont="1" applyFill="1" applyBorder="1" applyAlignment="1">
      <alignment horizontal="right" vertical="center" wrapText="1" indent="1"/>
    </xf>
    <xf numFmtId="171" fontId="22" fillId="45" borderId="23" xfId="0" applyNumberFormat="1" applyFont="1" applyFill="1" applyBorder="1" applyAlignment="1">
      <alignment horizontal="right" vertical="center" wrapText="1" indent="1"/>
    </xf>
    <xf numFmtId="0" fontId="22" fillId="45" borderId="23" xfId="0" applyFont="1" applyFill="1" applyBorder="1" applyAlignment="1">
      <alignment horizontal="left" vertical="center" wrapText="1"/>
    </xf>
    <xf numFmtId="0" fontId="22" fillId="45" borderId="23" xfId="0" applyFont="1" applyFill="1" applyBorder="1" applyAlignment="1">
      <alignment vertical="center" wrapText="1"/>
    </xf>
    <xf numFmtId="0" fontId="22" fillId="45" borderId="101" xfId="0" applyFont="1" applyFill="1" applyBorder="1" applyAlignment="1">
      <alignment horizontal="right" vertical="center" wrapText="1" indent="1"/>
    </xf>
    <xf numFmtId="0" fontId="22" fillId="45" borderId="3" xfId="0" applyFont="1" applyFill="1" applyBorder="1" applyAlignment="1">
      <alignment horizontal="right" vertical="center" wrapText="1" indent="1"/>
    </xf>
    <xf numFmtId="0" fontId="22" fillId="45" borderId="7" xfId="0" applyFont="1" applyFill="1" applyBorder="1" applyAlignment="1">
      <alignment horizontal="right" vertical="center" wrapText="1" indent="1"/>
    </xf>
    <xf numFmtId="0" fontId="0" fillId="14" borderId="426" xfId="0" applyFill="1" applyBorder="1"/>
    <xf numFmtId="0" fontId="74" fillId="14" borderId="428" xfId="0" applyFont="1" applyFill="1" applyBorder="1" applyAlignment="1"/>
    <xf numFmtId="0" fontId="74" fillId="14" borderId="0" xfId="0" applyFont="1" applyFill="1" applyBorder="1" applyAlignment="1">
      <alignment horizontal="center"/>
    </xf>
    <xf numFmtId="0" fontId="0" fillId="14" borderId="429" xfId="0" applyFont="1" applyFill="1" applyBorder="1"/>
    <xf numFmtId="0" fontId="0" fillId="14" borderId="436" xfId="0" applyFont="1" applyFill="1" applyBorder="1"/>
    <xf numFmtId="0" fontId="0" fillId="14" borderId="438" xfId="0" applyFont="1" applyFill="1" applyBorder="1"/>
    <xf numFmtId="0" fontId="0" fillId="14" borderId="439" xfId="0" applyFont="1" applyFill="1" applyBorder="1"/>
    <xf numFmtId="0" fontId="0" fillId="14" borderId="430" xfId="0" applyFont="1" applyFill="1" applyBorder="1"/>
    <xf numFmtId="0" fontId="0" fillId="14" borderId="431" xfId="0" applyFont="1" applyFill="1" applyBorder="1"/>
    <xf numFmtId="0" fontId="0" fillId="14" borderId="71" xfId="0" applyFont="1" applyFill="1" applyBorder="1" applyAlignment="1"/>
    <xf numFmtId="0" fontId="0" fillId="14" borderId="71" xfId="0" applyFill="1" applyBorder="1" applyAlignment="1"/>
    <xf numFmtId="0" fontId="37" fillId="14" borderId="22" xfId="0" applyFont="1" applyFill="1" applyBorder="1" applyAlignment="1">
      <alignment vertical="center"/>
    </xf>
    <xf numFmtId="0" fontId="0" fillId="14" borderId="48" xfId="0" applyFill="1" applyBorder="1" applyAlignment="1">
      <alignment vertical="center" wrapText="1"/>
    </xf>
    <xf numFmtId="0" fontId="0" fillId="14" borderId="448" xfId="0" applyFill="1" applyBorder="1" applyAlignment="1">
      <alignment vertical="center" wrapText="1"/>
    </xf>
    <xf numFmtId="0" fontId="0" fillId="14" borderId="360" xfId="0" applyFill="1" applyBorder="1" applyAlignment="1">
      <alignment vertical="center" wrapText="1"/>
    </xf>
    <xf numFmtId="0" fontId="0" fillId="14" borderId="497" xfId="0" applyFont="1" applyFill="1" applyBorder="1"/>
    <xf numFmtId="0" fontId="0" fillId="14" borderId="467" xfId="0" applyFont="1" applyFill="1" applyBorder="1"/>
    <xf numFmtId="0" fontId="0" fillId="14" borderId="498" xfId="0" applyFont="1" applyFill="1" applyBorder="1"/>
    <xf numFmtId="0" fontId="74" fillId="14" borderId="500" xfId="0" applyFont="1" applyFill="1" applyBorder="1" applyAlignment="1">
      <alignment horizontal="center"/>
    </xf>
    <xf numFmtId="229" fontId="0" fillId="0" borderId="0" xfId="0" applyNumberFormat="1" applyBorder="1"/>
    <xf numFmtId="229" fontId="0" fillId="0" borderId="19" xfId="0" applyNumberFormat="1" applyBorder="1"/>
    <xf numFmtId="229" fontId="0" fillId="0" borderId="0" xfId="0" applyNumberFormat="1"/>
    <xf numFmtId="183" fontId="0" fillId="8" borderId="0" xfId="0" applyNumberFormat="1" applyFill="1" applyBorder="1"/>
    <xf numFmtId="10" fontId="0" fillId="0" borderId="19" xfId="0" applyNumberFormat="1" applyBorder="1"/>
    <xf numFmtId="10" fontId="0" fillId="0" borderId="0" xfId="0" applyNumberFormat="1"/>
    <xf numFmtId="183" fontId="0" fillId="8" borderId="0" xfId="0" applyNumberFormat="1" applyFill="1"/>
    <xf numFmtId="173" fontId="0" fillId="0" borderId="0" xfId="0" applyNumberFormat="1"/>
    <xf numFmtId="188" fontId="0" fillId="8" borderId="0" xfId="0" applyNumberFormat="1" applyFill="1"/>
    <xf numFmtId="0" fontId="0" fillId="0" borderId="0" xfId="0" applyAlignment="1">
      <alignment horizontal="left"/>
    </xf>
    <xf numFmtId="230" fontId="0" fillId="14" borderId="0" xfId="0" applyNumberFormat="1" applyFill="1" applyBorder="1" applyAlignment="1">
      <alignment horizontal="left" vertical="center"/>
    </xf>
    <xf numFmtId="0" fontId="0" fillId="14" borderId="430" xfId="0" applyFont="1" applyFill="1" applyBorder="1" applyAlignment="1">
      <alignment vertical="center"/>
    </xf>
    <xf numFmtId="229" fontId="0" fillId="14" borderId="90" xfId="0" applyNumberFormat="1" applyFont="1" applyFill="1" applyBorder="1" applyAlignment="1">
      <alignment horizontal="right" vertical="center"/>
    </xf>
    <xf numFmtId="0" fontId="0" fillId="14" borderId="46" xfId="0" applyFont="1" applyFill="1" applyBorder="1" applyAlignment="1">
      <alignment horizontal="left" vertical="center"/>
    </xf>
    <xf numFmtId="0" fontId="0" fillId="14" borderId="46" xfId="0" applyFont="1" applyFill="1" applyBorder="1" applyAlignment="1">
      <alignment vertical="center"/>
    </xf>
    <xf numFmtId="0" fontId="0" fillId="14" borderId="36" xfId="0" applyFont="1" applyFill="1" applyBorder="1" applyAlignment="1">
      <alignment vertical="center"/>
    </xf>
    <xf numFmtId="0" fontId="0" fillId="14" borderId="0" xfId="0" applyFont="1" applyFill="1" applyBorder="1" applyAlignment="1">
      <alignment horizontal="left" vertical="center"/>
    </xf>
    <xf numFmtId="0" fontId="0" fillId="14" borderId="89" xfId="0" applyFill="1" applyBorder="1"/>
    <xf numFmtId="0" fontId="0" fillId="14" borderId="19" xfId="0" applyFill="1" applyBorder="1"/>
    <xf numFmtId="0" fontId="0" fillId="14" borderId="44" xfId="0" applyFill="1" applyBorder="1"/>
    <xf numFmtId="229" fontId="0" fillId="14" borderId="67" xfId="0" applyNumberFormat="1" applyFont="1" applyFill="1" applyBorder="1" applyAlignment="1">
      <alignment horizontal="right" vertical="center"/>
    </xf>
    <xf numFmtId="0" fontId="0" fillId="14" borderId="0" xfId="0" applyFont="1" applyFill="1" applyBorder="1" applyAlignment="1">
      <alignment horizontal="right" vertical="center"/>
    </xf>
    <xf numFmtId="0" fontId="0" fillId="14" borderId="31" xfId="0" applyFont="1" applyFill="1" applyBorder="1" applyAlignment="1">
      <alignment vertical="center"/>
    </xf>
    <xf numFmtId="229" fontId="0" fillId="14" borderId="381" xfId="0" applyNumberFormat="1" applyFont="1" applyFill="1" applyBorder="1" applyAlignment="1">
      <alignment horizontal="right" vertical="center"/>
    </xf>
    <xf numFmtId="0" fontId="0" fillId="14" borderId="467" xfId="0" applyFont="1" applyFill="1" applyBorder="1" applyAlignment="1">
      <alignment horizontal="left" vertical="center"/>
    </xf>
    <xf numFmtId="0" fontId="0" fillId="14" borderId="467" xfId="0" applyFont="1" applyFill="1" applyBorder="1" applyAlignment="1">
      <alignment vertical="center"/>
    </xf>
    <xf numFmtId="0" fontId="0" fillId="14" borderId="498" xfId="0" applyFont="1" applyFill="1" applyBorder="1" applyAlignment="1">
      <alignment vertical="center"/>
    </xf>
    <xf numFmtId="0" fontId="0" fillId="14" borderId="509" xfId="0" applyFont="1" applyFill="1" applyBorder="1" applyAlignment="1">
      <alignment vertical="center"/>
    </xf>
    <xf numFmtId="0" fontId="0" fillId="14" borderId="0" xfId="0" applyFont="1" applyFill="1" applyBorder="1" applyAlignment="1">
      <alignment horizontal="left"/>
    </xf>
    <xf numFmtId="0" fontId="0" fillId="14" borderId="67" xfId="0" applyFill="1" applyBorder="1"/>
    <xf numFmtId="0" fontId="0" fillId="14" borderId="31" xfId="0" applyFill="1" applyBorder="1"/>
    <xf numFmtId="229" fontId="0" fillId="14" borderId="510" xfId="0" applyNumberFormat="1" applyFont="1" applyFill="1" applyBorder="1" applyAlignment="1">
      <alignment horizontal="right" vertical="center"/>
    </xf>
    <xf numFmtId="0" fontId="0" fillId="14" borderId="508" xfId="0" applyFont="1" applyFill="1" applyBorder="1" applyAlignment="1">
      <alignment horizontal="left" vertical="center"/>
    </xf>
    <xf numFmtId="0" fontId="0" fillId="14" borderId="508" xfId="0" applyFill="1" applyBorder="1"/>
    <xf numFmtId="0" fontId="0" fillId="14" borderId="509" xfId="0" applyFill="1" applyBorder="1"/>
    <xf numFmtId="0" fontId="0" fillId="14" borderId="508" xfId="0" applyFont="1" applyFill="1" applyBorder="1" applyAlignment="1">
      <alignment vertical="center"/>
    </xf>
    <xf numFmtId="0" fontId="0" fillId="14" borderId="19" xfId="0" applyFont="1" applyFill="1" applyBorder="1" applyAlignment="1">
      <alignment horizontal="right" vertical="center"/>
    </xf>
    <xf numFmtId="0" fontId="0" fillId="14" borderId="19" xfId="0" applyFont="1" applyFill="1" applyBorder="1" applyAlignment="1">
      <alignment horizontal="left" vertical="center"/>
    </xf>
    <xf numFmtId="229" fontId="0" fillId="14" borderId="89" xfId="0" applyNumberFormat="1" applyFont="1" applyFill="1" applyBorder="1" applyAlignment="1">
      <alignment horizontal="right" vertical="center"/>
    </xf>
    <xf numFmtId="0" fontId="0" fillId="14" borderId="19" xfId="0" applyFont="1" applyFill="1" applyBorder="1" applyAlignment="1">
      <alignment vertical="center"/>
    </xf>
    <xf numFmtId="0" fontId="0" fillId="14" borderId="44" xfId="0" applyFont="1" applyFill="1" applyBorder="1" applyAlignment="1">
      <alignment vertical="center"/>
    </xf>
    <xf numFmtId="0" fontId="0" fillId="14" borderId="48" xfId="0" applyFont="1" applyFill="1" applyBorder="1" applyAlignment="1">
      <alignment horizontal="left" vertical="center" indent="1"/>
    </xf>
    <xf numFmtId="0" fontId="0" fillId="14" borderId="33" xfId="0" applyFont="1" applyFill="1" applyBorder="1" applyAlignment="1">
      <alignment horizontal="left" vertical="center" indent="1"/>
    </xf>
    <xf numFmtId="0" fontId="0" fillId="14" borderId="66" xfId="0" applyFont="1" applyFill="1" applyBorder="1" applyAlignment="1">
      <alignment horizontal="left" vertical="center" indent="1"/>
    </xf>
    <xf numFmtId="0" fontId="0" fillId="14" borderId="0" xfId="0" applyFont="1" applyFill="1" applyBorder="1" applyAlignment="1">
      <alignment horizontal="left" vertical="center" indent="1"/>
    </xf>
    <xf numFmtId="0" fontId="0" fillId="14" borderId="417" xfId="0" applyFont="1" applyFill="1" applyBorder="1" applyAlignment="1">
      <alignment horizontal="right" vertical="center"/>
    </xf>
    <xf numFmtId="0" fontId="0" fillId="14" borderId="448" xfId="0" applyFont="1" applyFill="1" applyBorder="1" applyAlignment="1">
      <alignment horizontal="left" vertical="center"/>
    </xf>
    <xf numFmtId="0" fontId="0" fillId="14" borderId="448" xfId="0" applyFont="1" applyFill="1" applyBorder="1" applyAlignment="1">
      <alignment horizontal="right" vertical="center"/>
    </xf>
    <xf numFmtId="0" fontId="0" fillId="14" borderId="501" xfId="0" applyFont="1" applyFill="1" applyBorder="1" applyAlignment="1">
      <alignment vertical="center"/>
    </xf>
    <xf numFmtId="0" fontId="0" fillId="14" borderId="483" xfId="0" applyFont="1" applyFill="1" applyBorder="1" applyAlignment="1">
      <alignment vertical="center"/>
    </xf>
    <xf numFmtId="0" fontId="0" fillId="14" borderId="419" xfId="0" applyFont="1" applyFill="1" applyBorder="1" applyAlignment="1">
      <alignment horizontal="right" vertical="center"/>
    </xf>
    <xf numFmtId="0" fontId="0" fillId="14" borderId="360" xfId="0" applyFont="1" applyFill="1" applyBorder="1" applyAlignment="1">
      <alignment horizontal="left" vertical="center"/>
    </xf>
    <xf numFmtId="0" fontId="0" fillId="14" borderId="360" xfId="0" applyFont="1" applyFill="1" applyBorder="1" applyAlignment="1">
      <alignment horizontal="right" vertical="center"/>
    </xf>
    <xf numFmtId="0" fontId="0" fillId="14" borderId="502" xfId="0" applyFont="1" applyFill="1" applyBorder="1" applyAlignment="1">
      <alignment vertical="center"/>
    </xf>
    <xf numFmtId="0" fontId="0" fillId="14" borderId="369" xfId="0" applyFont="1" applyFill="1" applyBorder="1" applyAlignment="1">
      <alignment vertical="center"/>
    </xf>
    <xf numFmtId="10" fontId="0" fillId="14" borderId="0" xfId="0" applyNumberFormat="1" applyFont="1" applyFill="1" applyBorder="1" applyAlignment="1">
      <alignment horizontal="right" vertical="center" indent="1"/>
    </xf>
    <xf numFmtId="0" fontId="37" fillId="14" borderId="0" xfId="0" applyFont="1" applyFill="1" applyBorder="1" applyAlignment="1">
      <alignment horizontal="center" vertical="center"/>
    </xf>
    <xf numFmtId="229" fontId="0" fillId="14" borderId="0" xfId="0" applyNumberFormat="1" applyFont="1" applyFill="1" applyBorder="1" applyAlignment="1">
      <alignment horizontal="right" vertical="center"/>
    </xf>
    <xf numFmtId="0" fontId="9" fillId="14" borderId="496" xfId="0" applyFont="1" applyFill="1" applyBorder="1" applyAlignment="1">
      <alignment horizontal="right" vertical="center" wrapText="1"/>
    </xf>
    <xf numFmtId="0" fontId="13" fillId="14" borderId="0" xfId="0" applyFont="1" applyFill="1" applyBorder="1" applyAlignment="1">
      <alignment horizontal="left" vertical="center"/>
    </xf>
    <xf numFmtId="0" fontId="9" fillId="14" borderId="424" xfId="0" applyFont="1" applyFill="1" applyBorder="1" applyAlignment="1">
      <alignment horizontal="right" vertical="center" wrapText="1"/>
    </xf>
    <xf numFmtId="0" fontId="13" fillId="14" borderId="420" xfId="0" applyFont="1" applyFill="1" applyBorder="1" applyAlignment="1">
      <alignment horizontal="left" vertical="center"/>
    </xf>
    <xf numFmtId="0" fontId="0" fillId="14" borderId="429" xfId="0" applyFont="1" applyFill="1" applyBorder="1" applyAlignment="1">
      <alignment vertical="center"/>
    </xf>
    <xf numFmtId="0" fontId="0" fillId="14" borderId="36" xfId="0" applyFont="1" applyFill="1" applyBorder="1" applyAlignment="1">
      <alignment horizontal="right" vertical="center" wrapText="1" indent="1"/>
    </xf>
    <xf numFmtId="0" fontId="0" fillId="14" borderId="90" xfId="0" applyFont="1" applyFill="1" applyBorder="1" applyAlignment="1">
      <alignment horizontal="right" vertical="center"/>
    </xf>
    <xf numFmtId="0" fontId="0" fillId="14" borderId="512" xfId="0" applyFont="1" applyFill="1" applyBorder="1" applyAlignment="1">
      <alignment horizontal="center" vertical="center"/>
    </xf>
    <xf numFmtId="6" fontId="0" fillId="14" borderId="36" xfId="0" applyNumberFormat="1" applyFont="1" applyFill="1" applyBorder="1" applyAlignment="1">
      <alignment vertical="center"/>
    </xf>
    <xf numFmtId="0" fontId="0" fillId="14" borderId="31" xfId="0" applyFont="1" applyFill="1" applyBorder="1" applyAlignment="1">
      <alignment horizontal="right" vertical="center" wrapText="1" indent="1"/>
    </xf>
    <xf numFmtId="0" fontId="0" fillId="14" borderId="67" xfId="0" applyFont="1" applyFill="1" applyBorder="1" applyAlignment="1">
      <alignment horizontal="right" vertical="center"/>
    </xf>
    <xf numFmtId="0" fontId="0" fillId="14" borderId="513" xfId="0" applyFont="1" applyFill="1" applyBorder="1" applyAlignment="1">
      <alignment horizontal="center" vertical="center"/>
    </xf>
    <xf numFmtId="0" fontId="0" fillId="14" borderId="19" xfId="0" applyFont="1" applyFill="1" applyBorder="1" applyAlignment="1">
      <alignment horizontal="left" vertical="center" wrapText="1"/>
    </xf>
    <xf numFmtId="0" fontId="0" fillId="14" borderId="467" xfId="0" applyFill="1" applyBorder="1" applyAlignment="1">
      <alignment horizontal="left" vertical="center"/>
    </xf>
    <xf numFmtId="0" fontId="0" fillId="14" borderId="491" xfId="0" applyFont="1" applyFill="1" applyBorder="1" applyAlignment="1">
      <alignment horizontal="center" vertical="center"/>
    </xf>
    <xf numFmtId="0" fontId="0" fillId="14" borderId="510" xfId="0" applyFont="1" applyFill="1" applyBorder="1" applyAlignment="1">
      <alignment horizontal="right" vertical="center"/>
    </xf>
    <xf numFmtId="0" fontId="0" fillId="14" borderId="514" xfId="0" applyFont="1" applyFill="1" applyBorder="1" applyAlignment="1">
      <alignment horizontal="center" vertical="center"/>
    </xf>
    <xf numFmtId="6" fontId="0" fillId="14" borderId="509" xfId="0" applyNumberFormat="1" applyFont="1" applyFill="1" applyBorder="1" applyAlignment="1">
      <alignment vertical="center"/>
    </xf>
    <xf numFmtId="0" fontId="0" fillId="14" borderId="31" xfId="0" applyFont="1" applyFill="1" applyBorder="1" applyAlignment="1">
      <alignment horizontal="right" vertical="center" indent="1"/>
    </xf>
    <xf numFmtId="0" fontId="0" fillId="14" borderId="89" xfId="0" applyFont="1" applyFill="1" applyBorder="1" applyAlignment="1">
      <alignment horizontal="right" vertical="center"/>
    </xf>
    <xf numFmtId="0" fontId="0" fillId="14" borderId="513" xfId="0" applyFill="1" applyBorder="1" applyAlignment="1">
      <alignment horizontal="center"/>
    </xf>
    <xf numFmtId="0" fontId="0" fillId="14" borderId="31" xfId="0" applyFill="1" applyBorder="1" applyAlignment="1">
      <alignment horizontal="right"/>
    </xf>
    <xf numFmtId="0" fontId="0" fillId="14" borderId="0" xfId="0" applyFont="1" applyFill="1" applyBorder="1" applyAlignment="1">
      <alignment horizontal="center" vertical="center"/>
    </xf>
    <xf numFmtId="6" fontId="0" fillId="14" borderId="509" xfId="0" applyNumberFormat="1" applyFont="1" applyFill="1" applyBorder="1" applyAlignment="1"/>
    <xf numFmtId="0" fontId="0" fillId="14" borderId="513" xfId="0" applyFill="1" applyBorder="1"/>
    <xf numFmtId="0" fontId="0" fillId="14" borderId="467" xfId="0" applyFill="1" applyBorder="1"/>
    <xf numFmtId="0" fontId="0" fillId="14" borderId="503" xfId="0" applyFont="1" applyFill="1" applyBorder="1" applyAlignment="1">
      <alignment horizontal="right" vertical="center" indent="1"/>
    </xf>
    <xf numFmtId="0" fontId="0" fillId="14" borderId="44" xfId="0" applyFont="1" applyFill="1" applyBorder="1" applyAlignment="1">
      <alignment horizontal="right" vertical="center" wrapText="1" indent="1"/>
    </xf>
    <xf numFmtId="0" fontId="0" fillId="14" borderId="67" xfId="0" applyFont="1" applyFill="1" applyBorder="1"/>
    <xf numFmtId="0" fontId="0" fillId="14" borderId="31" xfId="0" applyFont="1" applyFill="1" applyBorder="1" applyAlignment="1"/>
    <xf numFmtId="0" fontId="0" fillId="14" borderId="513" xfId="0" applyFont="1" applyFill="1" applyBorder="1" applyAlignment="1">
      <alignment vertical="center"/>
    </xf>
    <xf numFmtId="0" fontId="0" fillId="14" borderId="515" xfId="0" applyFill="1" applyBorder="1"/>
    <xf numFmtId="0" fontId="0" fillId="14" borderId="71" xfId="0" applyFill="1" applyBorder="1"/>
    <xf numFmtId="0" fontId="0" fillId="14" borderId="516" xfId="0" applyFill="1" applyBorder="1"/>
    <xf numFmtId="0" fontId="0" fillId="14" borderId="35" xfId="0" applyFill="1" applyBorder="1"/>
    <xf numFmtId="0" fontId="0" fillId="14" borderId="65" xfId="0" applyFont="1" applyFill="1" applyBorder="1" applyAlignment="1"/>
    <xf numFmtId="0" fontId="0" fillId="14" borderId="0" xfId="0" applyFont="1" applyFill="1" applyAlignment="1"/>
    <xf numFmtId="0" fontId="13" fillId="14" borderId="0" xfId="0" applyFont="1" applyFill="1" applyBorder="1" applyAlignment="1">
      <alignment horizontal="center" vertical="center"/>
    </xf>
    <xf numFmtId="0" fontId="0" fillId="14" borderId="8" xfId="0" applyFont="1" applyFill="1" applyBorder="1"/>
    <xf numFmtId="0" fontId="0" fillId="14" borderId="6" xfId="0" applyFont="1" applyFill="1" applyBorder="1"/>
    <xf numFmtId="0" fontId="0" fillId="14" borderId="8" xfId="0" applyFill="1" applyBorder="1"/>
    <xf numFmtId="0" fontId="0" fillId="14" borderId="6" xfId="0" applyFill="1" applyBorder="1"/>
    <xf numFmtId="0" fontId="0" fillId="14" borderId="46" xfId="0" applyFill="1" applyBorder="1" applyAlignment="1">
      <alignment horizontal="left" vertical="center"/>
    </xf>
    <xf numFmtId="0" fontId="37" fillId="14" borderId="0" xfId="0" applyFont="1" applyFill="1" applyBorder="1" applyAlignment="1">
      <alignment horizontal="center" vertical="top"/>
    </xf>
    <xf numFmtId="0" fontId="0" fillId="14" borderId="521" xfId="0" applyFont="1" applyFill="1" applyBorder="1"/>
    <xf numFmtId="0" fontId="0" fillId="14" borderId="508" xfId="0" applyFont="1" applyFill="1" applyBorder="1"/>
    <xf numFmtId="0" fontId="0" fillId="14" borderId="511" xfId="0" applyFont="1" applyFill="1" applyBorder="1"/>
    <xf numFmtId="0" fontId="37" fillId="14" borderId="0" xfId="0" applyFont="1" applyFill="1" applyBorder="1" applyAlignment="1"/>
    <xf numFmtId="0" fontId="37" fillId="14" borderId="47" xfId="0" applyFont="1" applyFill="1" applyBorder="1" applyAlignment="1"/>
    <xf numFmtId="0" fontId="37" fillId="14" borderId="428" xfId="0" applyFont="1" applyFill="1" applyBorder="1" applyAlignment="1"/>
    <xf numFmtId="230" fontId="0" fillId="14" borderId="430" xfId="0" applyNumberFormat="1" applyFill="1" applyBorder="1" applyAlignment="1">
      <alignment vertical="center"/>
    </xf>
    <xf numFmtId="0" fontId="0" fillId="14" borderId="431" xfId="0" applyFont="1" applyFill="1" applyBorder="1" applyAlignment="1">
      <alignment vertical="center"/>
    </xf>
    <xf numFmtId="0" fontId="0" fillId="14" borderId="434" xfId="0" applyFill="1" applyBorder="1"/>
    <xf numFmtId="0" fontId="0" fillId="14" borderId="433" xfId="0" applyFont="1" applyFill="1" applyBorder="1" applyAlignment="1">
      <alignment vertical="center"/>
    </xf>
    <xf numFmtId="0" fontId="37" fillId="14" borderId="426" xfId="0" applyFont="1" applyFill="1" applyBorder="1" applyAlignment="1"/>
    <xf numFmtId="0" fontId="0" fillId="14" borderId="430" xfId="0" applyFill="1" applyBorder="1"/>
    <xf numFmtId="0" fontId="0" fillId="14" borderId="434" xfId="0" applyFont="1" applyFill="1" applyBorder="1" applyAlignment="1">
      <alignment horizontal="right" vertical="center"/>
    </xf>
    <xf numFmtId="0" fontId="0" fillId="14" borderId="434" xfId="0" applyFont="1" applyFill="1" applyBorder="1" applyAlignment="1">
      <alignment horizontal="left" vertical="center"/>
    </xf>
    <xf numFmtId="0" fontId="0" fillId="14" borderId="433" xfId="0" applyFont="1" applyFill="1" applyBorder="1"/>
    <xf numFmtId="0" fontId="0" fillId="14" borderId="434" xfId="0" applyFill="1" applyBorder="1" applyAlignment="1">
      <alignment horizontal="left"/>
    </xf>
    <xf numFmtId="230" fontId="0" fillId="14" borderId="0" xfId="0" applyNumberFormat="1" applyFill="1" applyBorder="1" applyAlignment="1">
      <alignment horizontal="right" vertical="center"/>
    </xf>
    <xf numFmtId="0" fontId="74" fillId="14" borderId="428" xfId="0" applyFont="1" applyFill="1" applyBorder="1" applyAlignment="1">
      <alignment horizontal="center"/>
    </xf>
    <xf numFmtId="0" fontId="37" fillId="14" borderId="430" xfId="0" applyFont="1" applyFill="1" applyBorder="1" applyAlignment="1">
      <alignment horizontal="center"/>
    </xf>
    <xf numFmtId="230" fontId="0" fillId="14" borderId="430" xfId="0" applyNumberFormat="1" applyFill="1" applyBorder="1" applyAlignment="1">
      <alignment horizontal="left" vertical="center"/>
    </xf>
    <xf numFmtId="0" fontId="0" fillId="14" borderId="433" xfId="0" applyFill="1" applyBorder="1"/>
    <xf numFmtId="0" fontId="0" fillId="14" borderId="73" xfId="0" applyFill="1" applyBorder="1" applyAlignment="1">
      <alignment horizontal="left" vertical="center" indent="1"/>
    </xf>
    <xf numFmtId="230" fontId="2" fillId="14" borderId="0" xfId="2" applyNumberFormat="1" applyFill="1" applyBorder="1" applyAlignment="1" applyProtection="1">
      <alignment horizontal="left" vertical="center"/>
    </xf>
    <xf numFmtId="0" fontId="0" fillId="14" borderId="67" xfId="0" applyFill="1" applyBorder="1" applyAlignment="1">
      <alignment vertical="center"/>
    </xf>
    <xf numFmtId="0" fontId="0" fillId="14" borderId="31" xfId="0" applyFill="1" applyBorder="1" applyAlignment="1">
      <alignment vertical="center"/>
    </xf>
    <xf numFmtId="0" fontId="0" fillId="14" borderId="438" xfId="0" applyFont="1" applyFill="1" applyBorder="1" applyAlignment="1">
      <alignment horizontal="center" vertical="center"/>
    </xf>
    <xf numFmtId="0" fontId="0" fillId="14" borderId="47" xfId="0" applyFont="1" applyFill="1" applyBorder="1" applyAlignment="1">
      <alignment horizontal="center" vertical="center"/>
    </xf>
    <xf numFmtId="0" fontId="0" fillId="14" borderId="47" xfId="0" applyFill="1" applyBorder="1" applyAlignment="1">
      <alignment horizontal="center" vertical="center"/>
    </xf>
    <xf numFmtId="230" fontId="2" fillId="14" borderId="0" xfId="2" applyNumberFormat="1" applyFill="1" applyBorder="1" applyAlignment="1" applyProtection="1">
      <alignment horizontal="center" vertical="center"/>
    </xf>
    <xf numFmtId="0" fontId="25" fillId="19" borderId="7" xfId="0" applyFont="1" applyFill="1" applyBorder="1" applyAlignment="1">
      <alignment vertical="center" wrapText="1"/>
    </xf>
    <xf numFmtId="0" fontId="25" fillId="19" borderId="44" xfId="0" applyFont="1" applyFill="1" applyBorder="1" applyAlignment="1">
      <alignment vertical="center" wrapText="1"/>
    </xf>
    <xf numFmtId="0" fontId="1" fillId="26" borderId="492" xfId="0" applyFont="1" applyFill="1" applyBorder="1" applyAlignment="1">
      <alignment horizontal="center" vertical="center" wrapText="1"/>
    </xf>
    <xf numFmtId="0" fontId="1" fillId="26" borderId="494" xfId="0" applyFont="1" applyFill="1" applyBorder="1" applyAlignment="1">
      <alignment horizontal="center" vertical="center" wrapText="1"/>
    </xf>
    <xf numFmtId="0" fontId="0" fillId="14" borderId="67" xfId="0" applyFont="1" applyFill="1" applyBorder="1" applyAlignment="1">
      <alignment horizontal="center" vertical="center"/>
    </xf>
    <xf numFmtId="0" fontId="74" fillId="14" borderId="47" xfId="0" applyFont="1" applyFill="1" applyBorder="1" applyAlignment="1">
      <alignment horizontal="left"/>
    </xf>
    <xf numFmtId="0" fontId="74" fillId="14" borderId="428" xfId="0" applyFont="1" applyFill="1" applyBorder="1" applyAlignment="1">
      <alignment horizontal="left"/>
    </xf>
    <xf numFmtId="0" fontId="0" fillId="14" borderId="430" xfId="0" applyFont="1" applyFill="1" applyBorder="1" applyAlignment="1">
      <alignment horizontal="left"/>
    </xf>
    <xf numFmtId="0" fontId="0" fillId="14" borderId="430" xfId="0" applyFont="1" applyFill="1" applyBorder="1" applyAlignment="1">
      <alignment horizontal="left" vertical="center"/>
    </xf>
    <xf numFmtId="0" fontId="0" fillId="14" borderId="65" xfId="0" applyFill="1" applyBorder="1" applyAlignment="1">
      <alignment horizontal="left"/>
    </xf>
    <xf numFmtId="0" fontId="37" fillId="14" borderId="0" xfId="0" applyFont="1" applyFill="1" applyBorder="1" applyAlignment="1">
      <alignment horizontal="left" vertical="top"/>
    </xf>
    <xf numFmtId="230" fontId="0" fillId="14" borderId="0" xfId="0" applyNumberFormat="1" applyFill="1" applyBorder="1" applyAlignment="1">
      <alignment horizontal="right" vertical="center" indent="1"/>
    </xf>
    <xf numFmtId="230" fontId="0" fillId="14" borderId="0" xfId="0" applyNumberFormat="1" applyFill="1" applyAlignment="1">
      <alignment horizontal="right" indent="1"/>
    </xf>
    <xf numFmtId="0" fontId="0" fillId="14" borderId="0" xfId="0" quotePrefix="1" applyFill="1" applyAlignment="1">
      <alignment wrapText="1"/>
    </xf>
    <xf numFmtId="0" fontId="86" fillId="43" borderId="0" xfId="0" applyFont="1" applyFill="1"/>
    <xf numFmtId="0" fontId="86" fillId="14" borderId="0" xfId="0" applyFont="1" applyFill="1"/>
    <xf numFmtId="0" fontId="86" fillId="14" borderId="431" xfId="0" applyFont="1" applyFill="1" applyBorder="1"/>
    <xf numFmtId="0" fontId="85" fillId="14" borderId="434" xfId="0" applyFont="1" applyFill="1" applyBorder="1" applyAlignment="1">
      <alignment horizontal="center" vertical="top"/>
    </xf>
    <xf numFmtId="0" fontId="85" fillId="14" borderId="433" xfId="0" applyFont="1" applyFill="1" applyBorder="1" applyAlignment="1">
      <alignment vertical="center"/>
    </xf>
    <xf numFmtId="0" fontId="85" fillId="14" borderId="0" xfId="0" applyFont="1" applyFill="1" applyBorder="1" applyAlignment="1">
      <alignment horizontal="center"/>
    </xf>
    <xf numFmtId="0" fontId="85" fillId="14" borderId="431" xfId="0" applyFont="1" applyFill="1" applyBorder="1" applyAlignment="1">
      <alignment vertical="center"/>
    </xf>
    <xf numFmtId="0" fontId="85" fillId="14" borderId="434" xfId="0" applyFont="1" applyFill="1" applyBorder="1" applyAlignment="1">
      <alignment horizontal="center" vertical="center"/>
    </xf>
    <xf numFmtId="0" fontId="85" fillId="14" borderId="434" xfId="0" applyFont="1" applyFill="1" applyBorder="1" applyAlignment="1">
      <alignment vertical="center"/>
    </xf>
    <xf numFmtId="0" fontId="86" fillId="14" borderId="434" xfId="0" applyFont="1" applyFill="1" applyBorder="1" applyAlignment="1"/>
    <xf numFmtId="0" fontId="86" fillId="14" borderId="433" xfId="0" applyFont="1" applyFill="1" applyBorder="1" applyAlignment="1">
      <alignment horizontal="left"/>
    </xf>
    <xf numFmtId="0" fontId="86" fillId="14" borderId="0" xfId="0" applyFont="1" applyFill="1" applyAlignment="1"/>
    <xf numFmtId="0" fontId="86" fillId="0" borderId="0" xfId="0" applyFont="1"/>
    <xf numFmtId="0" fontId="70" fillId="14" borderId="231" xfId="0" applyFont="1" applyFill="1" applyBorder="1" applyAlignment="1">
      <alignment horizontal="left" vertical="center" indent="1"/>
    </xf>
    <xf numFmtId="0" fontId="0" fillId="14" borderId="338" xfId="0" applyFill="1" applyBorder="1" applyAlignment="1">
      <alignment vertical="center"/>
    </xf>
    <xf numFmtId="0" fontId="0" fillId="14" borderId="338" xfId="0" applyFill="1" applyBorder="1"/>
    <xf numFmtId="0" fontId="0" fillId="14" borderId="525" xfId="0" applyFill="1" applyBorder="1"/>
    <xf numFmtId="0" fontId="38" fillId="14" borderId="515" xfId="0" applyFont="1" applyFill="1" applyBorder="1" applyAlignment="1">
      <alignment horizontal="right" vertical="center"/>
    </xf>
    <xf numFmtId="0" fontId="0" fillId="14" borderId="345" xfId="0" applyFill="1" applyBorder="1"/>
    <xf numFmtId="0" fontId="0" fillId="14" borderId="344" xfId="0" applyFill="1" applyBorder="1"/>
    <xf numFmtId="0" fontId="0" fillId="14" borderId="527" xfId="0" applyFill="1" applyBorder="1"/>
    <xf numFmtId="230" fontId="2" fillId="14" borderId="430" xfId="2" applyNumberFormat="1" applyFill="1" applyBorder="1" applyAlignment="1" applyProtection="1">
      <alignment horizontal="center" vertical="center"/>
    </xf>
    <xf numFmtId="0" fontId="0" fillId="0" borderId="0" xfId="0" applyFill="1" applyBorder="1" applyAlignment="1">
      <alignment horizontal="center" vertical="center" wrapText="1"/>
    </xf>
    <xf numFmtId="230" fontId="0" fillId="14" borderId="0" xfId="0" applyNumberFormat="1" applyFill="1" applyBorder="1" applyAlignment="1">
      <alignment horizontal="center" vertical="center"/>
    </xf>
    <xf numFmtId="0" fontId="38" fillId="14" borderId="0" xfId="0" applyFont="1" applyFill="1" applyAlignment="1">
      <alignment horizontal="right" vertical="top" wrapText="1"/>
    </xf>
    <xf numFmtId="230" fontId="2" fillId="14" borderId="0" xfId="2" applyNumberFormat="1" applyFill="1" applyAlignment="1" applyProtection="1">
      <alignment horizontal="left"/>
    </xf>
    <xf numFmtId="0" fontId="0" fillId="14" borderId="509" xfId="0" applyFont="1" applyFill="1" applyBorder="1" applyAlignment="1">
      <alignment horizontal="right" vertical="center"/>
    </xf>
    <xf numFmtId="0" fontId="0" fillId="14" borderId="90" xfId="0" applyFill="1" applyBorder="1"/>
    <xf numFmtId="0" fontId="0" fillId="14" borderId="46" xfId="0" applyFill="1" applyBorder="1"/>
    <xf numFmtId="0" fontId="0" fillId="14" borderId="64" xfId="0" applyFill="1" applyBorder="1"/>
    <xf numFmtId="0" fontId="0" fillId="14" borderId="528" xfId="0" applyFont="1" applyFill="1" applyBorder="1"/>
    <xf numFmtId="0" fontId="0" fillId="14" borderId="529" xfId="0" applyFont="1" applyFill="1" applyBorder="1"/>
    <xf numFmtId="0" fontId="0" fillId="14" borderId="530" xfId="0" applyFont="1" applyFill="1" applyBorder="1"/>
    <xf numFmtId="0" fontId="0" fillId="14" borderId="32" xfId="0" applyFill="1" applyBorder="1"/>
    <xf numFmtId="0" fontId="4" fillId="26" borderId="483" xfId="0" applyFont="1" applyFill="1" applyBorder="1" applyAlignment="1">
      <alignment vertical="center" wrapText="1"/>
    </xf>
    <xf numFmtId="0" fontId="1" fillId="26" borderId="483" xfId="0" applyFont="1" applyFill="1" applyBorder="1" applyAlignment="1">
      <alignment horizontal="center" vertical="center" wrapText="1"/>
    </xf>
    <xf numFmtId="183" fontId="13" fillId="0" borderId="16" xfId="0" applyNumberFormat="1" applyFont="1" applyFill="1" applyBorder="1" applyAlignment="1">
      <alignment horizontal="right" vertical="center" wrapText="1" indent="2"/>
    </xf>
    <xf numFmtId="183" fontId="32" fillId="25" borderId="200" xfId="0" applyNumberFormat="1" applyFont="1" applyFill="1" applyBorder="1" applyAlignment="1">
      <alignment horizontal="right" vertical="center" wrapText="1" indent="2"/>
    </xf>
    <xf numFmtId="183" fontId="32" fillId="0" borderId="144" xfId="0" applyNumberFormat="1" applyFont="1" applyFill="1" applyBorder="1" applyAlignment="1">
      <alignment horizontal="right" vertical="center" wrapText="1" indent="2"/>
    </xf>
    <xf numFmtId="183" fontId="32" fillId="24" borderId="144" xfId="0" applyNumberFormat="1" applyFont="1" applyFill="1" applyBorder="1" applyAlignment="1">
      <alignment horizontal="right" vertical="center" wrapText="1" indent="2"/>
    </xf>
    <xf numFmtId="183" fontId="32" fillId="27" borderId="144" xfId="0" applyNumberFormat="1" applyFont="1" applyFill="1" applyBorder="1" applyAlignment="1">
      <alignment horizontal="right" vertical="center" wrapText="1" indent="2"/>
    </xf>
    <xf numFmtId="183" fontId="32" fillId="27" borderId="212" xfId="0" applyNumberFormat="1" applyFont="1" applyFill="1" applyBorder="1" applyAlignment="1">
      <alignment horizontal="right" vertical="center" wrapText="1" indent="2"/>
    </xf>
    <xf numFmtId="183" fontId="9" fillId="0" borderId="149" xfId="0" applyNumberFormat="1" applyFont="1" applyFill="1" applyBorder="1" applyAlignment="1">
      <alignment horizontal="right" vertical="center" wrapText="1" indent="2"/>
    </xf>
    <xf numFmtId="183" fontId="9" fillId="0" borderId="153" xfId="0" applyNumberFormat="1" applyFont="1" applyFill="1" applyBorder="1" applyAlignment="1">
      <alignment horizontal="right" vertical="center" wrapText="1" indent="2"/>
    </xf>
    <xf numFmtId="183" fontId="9" fillId="25" borderId="153" xfId="0" applyNumberFormat="1" applyFont="1" applyFill="1" applyBorder="1" applyAlignment="1">
      <alignment horizontal="right" vertical="center" wrapText="1" indent="2"/>
    </xf>
    <xf numFmtId="183" fontId="9" fillId="24" borderId="153" xfId="0" applyNumberFormat="1" applyFont="1" applyFill="1" applyBorder="1" applyAlignment="1">
      <alignment horizontal="right" vertical="center" wrapText="1" indent="2"/>
    </xf>
    <xf numFmtId="183" fontId="9" fillId="15" borderId="153" xfId="0" applyNumberFormat="1" applyFont="1" applyFill="1" applyBorder="1" applyAlignment="1">
      <alignment horizontal="right" vertical="center" wrapText="1" indent="2"/>
    </xf>
    <xf numFmtId="183" fontId="9" fillId="27" borderId="212" xfId="0" applyNumberFormat="1" applyFont="1" applyFill="1" applyBorder="1" applyAlignment="1">
      <alignment horizontal="right" vertical="center" wrapText="1" indent="2"/>
    </xf>
    <xf numFmtId="183" fontId="9" fillId="15" borderId="224" xfId="0" applyNumberFormat="1" applyFont="1" applyFill="1" applyBorder="1" applyAlignment="1">
      <alignment horizontal="right" vertical="center" wrapText="1" indent="2"/>
    </xf>
    <xf numFmtId="183" fontId="9" fillId="27" borderId="157" xfId="0" applyNumberFormat="1" applyFont="1" applyFill="1" applyBorder="1" applyAlignment="1">
      <alignment horizontal="right" vertical="center" wrapText="1" indent="2"/>
    </xf>
    <xf numFmtId="183" fontId="9" fillId="25" borderId="149" xfId="0" applyNumberFormat="1" applyFont="1" applyFill="1" applyBorder="1" applyAlignment="1">
      <alignment horizontal="right" vertical="center" wrapText="1" indent="2"/>
    </xf>
    <xf numFmtId="183" fontId="57" fillId="24" borderId="6" xfId="0" applyNumberFormat="1" applyFont="1" applyFill="1" applyBorder="1" applyAlignment="1">
      <alignment horizontal="right" vertical="center" wrapText="1" indent="2"/>
    </xf>
    <xf numFmtId="183" fontId="56" fillId="12" borderId="316" xfId="0" applyNumberFormat="1" applyFont="1" applyFill="1" applyBorder="1" applyAlignment="1">
      <alignment horizontal="right" vertical="center" wrapText="1" indent="2"/>
    </xf>
    <xf numFmtId="183" fontId="56" fillId="12" borderId="144" xfId="0" applyNumberFormat="1" applyFont="1" applyFill="1" applyBorder="1" applyAlignment="1">
      <alignment horizontal="right" vertical="center" wrapText="1" indent="2"/>
    </xf>
    <xf numFmtId="183" fontId="56" fillId="12" borderId="190" xfId="0" applyNumberFormat="1" applyFont="1" applyFill="1" applyBorder="1" applyAlignment="1">
      <alignment horizontal="right" vertical="center" wrapText="1" indent="2"/>
    </xf>
    <xf numFmtId="183" fontId="57" fillId="25" borderId="483" xfId="0" applyNumberFormat="1" applyFont="1" applyFill="1" applyBorder="1" applyAlignment="1">
      <alignment horizontal="right" vertical="center" wrapText="1" indent="2"/>
    </xf>
    <xf numFmtId="183" fontId="0" fillId="12" borderId="483" xfId="0" applyNumberFormat="1" applyFill="1" applyBorder="1" applyAlignment="1">
      <alignment horizontal="right" vertical="center" wrapText="1" indent="2"/>
    </xf>
    <xf numFmtId="183" fontId="0" fillId="12" borderId="369" xfId="0" applyNumberFormat="1" applyFill="1" applyBorder="1" applyAlignment="1">
      <alignment horizontal="right" vertical="center" wrapText="1" indent="2"/>
    </xf>
    <xf numFmtId="183" fontId="57" fillId="25" borderId="6" xfId="0" applyNumberFormat="1" applyFont="1" applyFill="1" applyBorder="1" applyAlignment="1">
      <alignment horizontal="right" vertical="center" wrapText="1" indent="2"/>
    </xf>
    <xf numFmtId="183" fontId="0" fillId="25" borderId="483" xfId="0" applyNumberFormat="1" applyFill="1" applyBorder="1" applyAlignment="1">
      <alignment horizontal="right" vertical="center" wrapText="1" indent="2"/>
    </xf>
    <xf numFmtId="183" fontId="9" fillId="0" borderId="483" xfId="0" applyNumberFormat="1" applyFont="1" applyFill="1" applyBorder="1" applyAlignment="1">
      <alignment horizontal="right" vertical="center" wrapText="1" indent="2"/>
    </xf>
    <xf numFmtId="183" fontId="9" fillId="0" borderId="237" xfId="0" applyNumberFormat="1" applyFont="1" applyFill="1" applyBorder="1" applyAlignment="1">
      <alignment horizontal="right" vertical="center" wrapText="1" indent="2"/>
    </xf>
    <xf numFmtId="183" fontId="9" fillId="0" borderId="72" xfId="0" applyNumberFormat="1" applyFont="1" applyFill="1" applyBorder="1" applyAlignment="1">
      <alignment horizontal="right" vertical="center" wrapText="1" indent="2"/>
    </xf>
    <xf numFmtId="183" fontId="0" fillId="0" borderId="483" xfId="0" applyNumberFormat="1" applyFill="1" applyBorder="1" applyAlignment="1">
      <alignment horizontal="right" vertical="center" wrapText="1" indent="2"/>
    </xf>
    <xf numFmtId="0" fontId="1" fillId="26" borderId="447" xfId="0" applyFont="1" applyFill="1" applyBorder="1" applyAlignment="1">
      <alignment horizontal="center" vertical="center" wrapText="1"/>
    </xf>
    <xf numFmtId="183" fontId="0" fillId="14" borderId="0" xfId="0" applyNumberFormat="1" applyFill="1"/>
    <xf numFmtId="188" fontId="0" fillId="14" borderId="0" xfId="0" applyNumberFormat="1" applyFill="1"/>
    <xf numFmtId="188" fontId="57" fillId="24" borderId="8" xfId="0" applyNumberFormat="1" applyFont="1" applyFill="1" applyBorder="1" applyAlignment="1">
      <alignment horizontal="right" vertical="center" wrapText="1" indent="2"/>
    </xf>
    <xf numFmtId="188" fontId="56" fillId="12" borderId="322" xfId="0" applyNumberFormat="1" applyFont="1" applyFill="1" applyBorder="1" applyAlignment="1">
      <alignment horizontal="right" vertical="center" wrapText="1" indent="2"/>
    </xf>
    <xf numFmtId="188" fontId="56" fillId="12" borderId="209" xfId="0" applyNumberFormat="1" applyFont="1" applyFill="1" applyBorder="1" applyAlignment="1">
      <alignment horizontal="right" vertical="center" wrapText="1" indent="2"/>
    </xf>
    <xf numFmtId="188" fontId="56" fillId="12" borderId="188" xfId="0" applyNumberFormat="1" applyFont="1" applyFill="1" applyBorder="1" applyAlignment="1">
      <alignment horizontal="right" vertical="center" wrapText="1" indent="2"/>
    </xf>
    <xf numFmtId="188" fontId="48" fillId="24" borderId="8" xfId="0" applyNumberFormat="1" applyFont="1" applyFill="1" applyBorder="1" applyAlignment="1">
      <alignment horizontal="right" vertical="center" wrapText="1" indent="2"/>
    </xf>
    <xf numFmtId="188" fontId="48" fillId="25" borderId="447" xfId="0" applyNumberFormat="1" applyFont="1" applyFill="1" applyBorder="1" applyAlignment="1">
      <alignment horizontal="right" vertical="center" wrapText="1" indent="2"/>
    </xf>
    <xf numFmtId="188" fontId="0" fillId="25" borderId="447" xfId="0" applyNumberFormat="1" applyFill="1" applyBorder="1" applyAlignment="1">
      <alignment horizontal="right" vertical="center" wrapText="1" indent="2"/>
    </xf>
    <xf numFmtId="188" fontId="0" fillId="12" borderId="447" xfId="0" applyNumberFormat="1" applyFill="1" applyBorder="1" applyAlignment="1">
      <alignment horizontal="right" vertical="center" wrapText="1" indent="2"/>
    </xf>
    <xf numFmtId="188" fontId="0" fillId="12" borderId="373" xfId="0" applyNumberFormat="1" applyFill="1" applyBorder="1" applyAlignment="1">
      <alignment horizontal="right" vertical="center" wrapText="1" indent="2"/>
    </xf>
    <xf numFmtId="188" fontId="0" fillId="25" borderId="8" xfId="0" applyNumberFormat="1" applyFill="1" applyBorder="1" applyAlignment="1">
      <alignment horizontal="right" vertical="center" wrapText="1" indent="2"/>
    </xf>
    <xf numFmtId="188" fontId="9" fillId="0" borderId="166" xfId="0" applyNumberFormat="1" applyFont="1" applyFill="1" applyBorder="1" applyAlignment="1">
      <alignment horizontal="right" vertical="center" wrapText="1" indent="2"/>
    </xf>
    <xf numFmtId="188" fontId="9" fillId="0" borderId="447" xfId="0" applyNumberFormat="1" applyFont="1" applyFill="1" applyBorder="1" applyAlignment="1">
      <alignment horizontal="right" vertical="center" wrapText="1" indent="2"/>
    </xf>
    <xf numFmtId="188" fontId="9" fillId="0" borderId="238" xfId="0" applyNumberFormat="1" applyFont="1" applyFill="1" applyBorder="1" applyAlignment="1">
      <alignment horizontal="right" vertical="center" wrapText="1" indent="2"/>
    </xf>
    <xf numFmtId="188" fontId="9" fillId="0" borderId="49" xfId="0" applyNumberFormat="1" applyFont="1" applyFill="1" applyBorder="1" applyAlignment="1">
      <alignment horizontal="right" vertical="center" wrapText="1" indent="2"/>
    </xf>
    <xf numFmtId="188" fontId="9" fillId="25" borderId="166" xfId="0" applyNumberFormat="1" applyFont="1" applyFill="1" applyBorder="1" applyAlignment="1">
      <alignment horizontal="right" vertical="center" wrapText="1" indent="2"/>
    </xf>
    <xf numFmtId="188" fontId="0" fillId="0" borderId="447" xfId="0" applyNumberFormat="1" applyFill="1" applyBorder="1" applyAlignment="1">
      <alignment horizontal="right" vertical="center" wrapText="1" indent="2"/>
    </xf>
    <xf numFmtId="1" fontId="0" fillId="0" borderId="26" xfId="0" applyNumberFormat="1" applyBorder="1" applyAlignment="1">
      <alignment horizontal="center" vertical="center"/>
    </xf>
    <xf numFmtId="1" fontId="0" fillId="0" borderId="7" xfId="0" applyNumberFormat="1" applyBorder="1" applyAlignment="1">
      <alignment horizontal="center" vertical="center"/>
    </xf>
    <xf numFmtId="1" fontId="0" fillId="0" borderId="23" xfId="0" applyNumberFormat="1" applyBorder="1" applyAlignment="1">
      <alignment horizontal="center" vertical="center"/>
    </xf>
    <xf numFmtId="166" fontId="1" fillId="24" borderId="3" xfId="0" applyNumberFormat="1" applyFont="1" applyFill="1" applyBorder="1" applyAlignment="1">
      <alignment horizontal="center" vertical="center" wrapText="1"/>
    </xf>
    <xf numFmtId="166" fontId="1" fillId="25" borderId="495" xfId="0" applyNumberFormat="1" applyFont="1" applyFill="1" applyBorder="1" applyAlignment="1">
      <alignment horizontal="center" vertical="center" wrapText="1"/>
    </xf>
    <xf numFmtId="1" fontId="1" fillId="25" borderId="495" xfId="0" applyNumberFormat="1" applyFont="1" applyFill="1" applyBorder="1" applyAlignment="1">
      <alignment horizontal="center" vertical="center" wrapText="1"/>
    </xf>
    <xf numFmtId="0" fontId="0" fillId="0" borderId="501" xfId="0" applyBorder="1"/>
    <xf numFmtId="0" fontId="0" fillId="0" borderId="501" xfId="0" applyBorder="1" applyAlignment="1">
      <alignment horizontal="center" vertical="center" wrapText="1"/>
    </xf>
    <xf numFmtId="181" fontId="0" fillId="0" borderId="495" xfId="0" applyNumberFormat="1" applyBorder="1" applyAlignment="1">
      <alignment horizontal="right" indent="1"/>
    </xf>
    <xf numFmtId="3" fontId="0" fillId="0" borderId="495" xfId="0" applyNumberFormat="1" applyBorder="1" applyAlignment="1">
      <alignment horizontal="right" indent="1"/>
    </xf>
    <xf numFmtId="188" fontId="0" fillId="0" borderId="495" xfId="0" applyNumberFormat="1" applyBorder="1" applyAlignment="1">
      <alignment horizontal="right" indent="1"/>
    </xf>
    <xf numFmtId="181" fontId="0" fillId="0" borderId="3" xfId="0" applyNumberFormat="1" applyBorder="1" applyAlignment="1">
      <alignment horizontal="right" indent="1"/>
    </xf>
    <xf numFmtId="3" fontId="0" fillId="0" borderId="3" xfId="0" applyNumberFormat="1" applyBorder="1" applyAlignment="1">
      <alignment horizontal="right" indent="1"/>
    </xf>
    <xf numFmtId="188" fontId="0" fillId="0" borderId="3" xfId="0" applyNumberFormat="1" applyBorder="1" applyAlignment="1">
      <alignment horizontal="right" indent="1"/>
    </xf>
    <xf numFmtId="188" fontId="0" fillId="0" borderId="7" xfId="0" applyNumberFormat="1" applyBorder="1" applyAlignment="1">
      <alignment horizontal="right" indent="1"/>
    </xf>
    <xf numFmtId="181" fontId="0" fillId="8" borderId="3" xfId="0" applyNumberFormat="1" applyFill="1" applyBorder="1" applyAlignment="1">
      <alignment horizontal="right" indent="1"/>
    </xf>
    <xf numFmtId="181" fontId="0" fillId="8" borderId="7" xfId="0" applyNumberFormat="1" applyFill="1" applyBorder="1" applyAlignment="1">
      <alignment horizontal="right" indent="1"/>
    </xf>
    <xf numFmtId="188" fontId="0" fillId="8" borderId="3" xfId="0" applyNumberFormat="1" applyFill="1" applyBorder="1" applyAlignment="1">
      <alignment horizontal="right" indent="1"/>
    </xf>
    <xf numFmtId="188" fontId="0" fillId="8" borderId="7" xfId="0" applyNumberFormat="1" applyFill="1" applyBorder="1" applyAlignment="1">
      <alignment horizontal="right" indent="1"/>
    </xf>
    <xf numFmtId="3" fontId="0" fillId="51" borderId="3" xfId="0" applyNumberFormat="1" applyFill="1" applyBorder="1" applyAlignment="1">
      <alignment horizontal="right" indent="1"/>
    </xf>
    <xf numFmtId="3" fontId="0" fillId="51" borderId="7" xfId="0" applyNumberFormat="1" applyFill="1" applyBorder="1" applyAlignment="1">
      <alignment horizontal="right" indent="1"/>
    </xf>
    <xf numFmtId="188" fontId="0" fillId="51" borderId="3" xfId="0" applyNumberFormat="1" applyFill="1" applyBorder="1" applyAlignment="1">
      <alignment horizontal="right" indent="1"/>
    </xf>
    <xf numFmtId="188" fontId="0" fillId="51" borderId="7" xfId="0" applyNumberFormat="1" applyFill="1" applyBorder="1" applyAlignment="1">
      <alignment horizontal="right" indent="1"/>
    </xf>
    <xf numFmtId="188" fontId="37" fillId="14" borderId="3" xfId="0" applyNumberFormat="1" applyFont="1" applyFill="1" applyBorder="1" applyAlignment="1">
      <alignment horizontal="right" indent="1"/>
    </xf>
    <xf numFmtId="188" fontId="0" fillId="0" borderId="3" xfId="0" applyNumberFormat="1" applyFill="1" applyBorder="1" applyAlignment="1">
      <alignment horizontal="right" indent="1"/>
    </xf>
    <xf numFmtId="6" fontId="0" fillId="0" borderId="0" xfId="0" applyNumberFormat="1"/>
    <xf numFmtId="8" fontId="0" fillId="0" borderId="0" xfId="0" applyNumberFormat="1"/>
    <xf numFmtId="173" fontId="1" fillId="25" borderId="201" xfId="0" applyNumberFormat="1" applyFont="1" applyFill="1" applyBorder="1" applyAlignment="1">
      <alignment horizontal="right" vertical="center" wrapText="1" indent="1"/>
    </xf>
    <xf numFmtId="173" fontId="1" fillId="0" borderId="207" xfId="0" applyNumberFormat="1" applyFont="1" applyFill="1" applyBorder="1" applyAlignment="1">
      <alignment horizontal="right" vertical="center" wrapText="1" indent="1"/>
    </xf>
    <xf numFmtId="173" fontId="1" fillId="24" borderId="207" xfId="0" applyNumberFormat="1" applyFont="1" applyFill="1" applyBorder="1" applyAlignment="1">
      <alignment horizontal="right" vertical="center" wrapText="1" indent="1"/>
    </xf>
    <xf numFmtId="173" fontId="1" fillId="27" borderId="207" xfId="0" applyNumberFormat="1" applyFont="1" applyFill="1" applyBorder="1" applyAlignment="1">
      <alignment horizontal="right" vertical="center" wrapText="1" indent="1"/>
    </xf>
    <xf numFmtId="173" fontId="1" fillId="27" borderId="213" xfId="0" applyNumberFormat="1" applyFont="1" applyFill="1" applyBorder="1" applyAlignment="1">
      <alignment horizontal="right" vertical="center" wrapText="1" indent="1"/>
    </xf>
    <xf numFmtId="173" fontId="13" fillId="0" borderId="160" xfId="0" applyNumberFormat="1" applyFont="1" applyFill="1" applyBorder="1" applyAlignment="1">
      <alignment horizontal="right" vertical="center" wrapText="1" indent="1"/>
    </xf>
    <xf numFmtId="173" fontId="13" fillId="0" borderId="164" xfId="0" applyNumberFormat="1" applyFont="1" applyFill="1" applyBorder="1" applyAlignment="1">
      <alignment horizontal="right" vertical="center" wrapText="1" indent="1"/>
    </xf>
    <xf numFmtId="173" fontId="13" fillId="25" borderId="164" xfId="0" applyNumberFormat="1" applyFont="1" applyFill="1" applyBorder="1" applyAlignment="1">
      <alignment horizontal="right" vertical="center" wrapText="1" indent="1"/>
    </xf>
    <xf numFmtId="173" fontId="13" fillId="24" borderId="164" xfId="0" applyNumberFormat="1" applyFont="1" applyFill="1" applyBorder="1" applyAlignment="1">
      <alignment horizontal="right" vertical="center" wrapText="1" indent="1"/>
    </xf>
    <xf numFmtId="173" fontId="13" fillId="15" borderId="164" xfId="0" applyNumberFormat="1" applyFont="1" applyFill="1" applyBorder="1" applyAlignment="1">
      <alignment horizontal="right" vertical="center" wrapText="1" indent="1"/>
    </xf>
    <xf numFmtId="173" fontId="13" fillId="27" borderId="213" xfId="0" applyNumberFormat="1" applyFont="1" applyFill="1" applyBorder="1" applyAlignment="1">
      <alignment horizontal="right" vertical="center" wrapText="1" indent="1"/>
    </xf>
    <xf numFmtId="173" fontId="13" fillId="15" borderId="226" xfId="0" applyNumberFormat="1" applyFont="1" applyFill="1" applyBorder="1" applyAlignment="1">
      <alignment horizontal="right" vertical="center" wrapText="1" indent="1"/>
    </xf>
    <xf numFmtId="173" fontId="13" fillId="27" borderId="168" xfId="0" applyNumberFormat="1" applyFont="1" applyFill="1" applyBorder="1" applyAlignment="1">
      <alignment horizontal="right" vertical="center" wrapText="1" indent="1"/>
    </xf>
    <xf numFmtId="173" fontId="13" fillId="25" borderId="160" xfId="0" applyNumberFormat="1" applyFont="1" applyFill="1" applyBorder="1" applyAlignment="1">
      <alignment horizontal="right" vertical="center" wrapText="1" indent="1"/>
    </xf>
    <xf numFmtId="173" fontId="56" fillId="24" borderId="80" xfId="0" applyNumberFormat="1" applyFont="1" applyFill="1" applyBorder="1" applyAlignment="1">
      <alignment horizontal="right" vertical="center" wrapText="1" indent="1"/>
    </xf>
    <xf numFmtId="173" fontId="0" fillId="12" borderId="184" xfId="0" applyNumberFormat="1" applyFont="1" applyFill="1" applyBorder="1" applyAlignment="1">
      <alignment horizontal="right" vertical="center" wrapText="1" indent="1"/>
    </xf>
    <xf numFmtId="173" fontId="0" fillId="12" borderId="207" xfId="0" applyNumberFormat="1" applyFont="1" applyFill="1" applyBorder="1" applyAlignment="1">
      <alignment horizontal="right" vertical="center" wrapText="1" indent="1"/>
    </xf>
    <xf numFmtId="173" fontId="0" fillId="12" borderId="191" xfId="0" applyNumberFormat="1" applyFont="1" applyFill="1" applyBorder="1" applyAlignment="1">
      <alignment horizontal="right" vertical="center" wrapText="1" indent="1"/>
    </xf>
    <xf numFmtId="173" fontId="56" fillId="25" borderId="418" xfId="0" applyNumberFormat="1" applyFont="1" applyFill="1" applyBorder="1" applyAlignment="1">
      <alignment horizontal="right" vertical="center" wrapText="1" indent="1"/>
    </xf>
    <xf numFmtId="173" fontId="0" fillId="12" borderId="418" xfId="0" applyNumberFormat="1" applyFont="1" applyFill="1" applyBorder="1" applyAlignment="1">
      <alignment horizontal="right" vertical="center" wrapText="1" indent="1"/>
    </xf>
    <xf numFmtId="173" fontId="0" fillId="12" borderId="440" xfId="0" applyNumberFormat="1" applyFont="1" applyFill="1" applyBorder="1" applyAlignment="1">
      <alignment horizontal="right" vertical="center" wrapText="1" indent="1"/>
    </xf>
    <xf numFmtId="173" fontId="0" fillId="25" borderId="418" xfId="0" applyNumberFormat="1" applyFont="1" applyFill="1" applyBorder="1" applyAlignment="1">
      <alignment horizontal="right" vertical="center" wrapText="1" indent="1"/>
    </xf>
    <xf numFmtId="173" fontId="13" fillId="0" borderId="418" xfId="0" applyNumberFormat="1" applyFont="1" applyFill="1" applyBorder="1" applyAlignment="1">
      <alignment horizontal="right" vertical="center" wrapText="1" indent="1"/>
    </xf>
    <xf numFmtId="173" fontId="13" fillId="0" borderId="239" xfId="0" applyNumberFormat="1" applyFont="1" applyFill="1" applyBorder="1" applyAlignment="1">
      <alignment horizontal="right" vertical="center" wrapText="1" indent="1"/>
    </xf>
    <xf numFmtId="173" fontId="13" fillId="0" borderId="66" xfId="0" applyNumberFormat="1" applyFont="1" applyFill="1" applyBorder="1" applyAlignment="1">
      <alignment horizontal="right" vertical="center" wrapText="1" indent="1"/>
    </xf>
    <xf numFmtId="173" fontId="0" fillId="0" borderId="418" xfId="0" applyNumberFormat="1" applyFont="1" applyFill="1" applyBorder="1" applyAlignment="1">
      <alignment horizontal="right" vertical="center" wrapText="1" indent="1"/>
    </xf>
    <xf numFmtId="0" fontId="0" fillId="0" borderId="373" xfId="0" applyBorder="1" applyAlignment="1">
      <alignment vertical="center"/>
    </xf>
    <xf numFmtId="0" fontId="0" fillId="0" borderId="373" xfId="0" applyBorder="1" applyAlignment="1">
      <alignment horizontal="left" vertical="center" indent="1"/>
    </xf>
    <xf numFmtId="0" fontId="0" fillId="0" borderId="1" xfId="0" applyBorder="1" applyAlignment="1">
      <alignment horizontal="center" vertical="center" wrapText="1"/>
    </xf>
    <xf numFmtId="0" fontId="0" fillId="0" borderId="375" xfId="0" applyBorder="1" applyAlignment="1">
      <alignment horizontal="center" vertical="center"/>
    </xf>
    <xf numFmtId="0" fontId="0" fillId="0" borderId="375" xfId="0" applyBorder="1" applyAlignment="1">
      <alignment vertical="center"/>
    </xf>
    <xf numFmtId="0" fontId="0" fillId="0" borderId="492" xfId="0" applyBorder="1" applyAlignment="1">
      <alignment horizontal="center" vertical="center" wrapText="1"/>
    </xf>
    <xf numFmtId="166" fontId="1" fillId="24" borderId="49" xfId="0" applyNumberFormat="1" applyFont="1" applyFill="1" applyBorder="1" applyAlignment="1">
      <alignment horizontal="left" vertical="center" wrapText="1"/>
    </xf>
    <xf numFmtId="166" fontId="1" fillId="0" borderId="447" xfId="0" applyNumberFormat="1" applyFont="1" applyFill="1" applyBorder="1" applyAlignment="1">
      <alignment horizontal="left" vertical="center" wrapText="1"/>
    </xf>
    <xf numFmtId="166" fontId="1" fillId="25" borderId="447" xfId="0" applyNumberFormat="1" applyFont="1" applyFill="1" applyBorder="1" applyAlignment="1">
      <alignment horizontal="left" vertical="center" wrapText="1"/>
    </xf>
    <xf numFmtId="166" fontId="1" fillId="0" borderId="373" xfId="0" applyNumberFormat="1" applyFont="1" applyFill="1" applyBorder="1" applyAlignment="1">
      <alignment horizontal="left" vertical="center" wrapText="1"/>
    </xf>
    <xf numFmtId="188" fontId="0" fillId="0" borderId="51" xfId="0" applyNumberFormat="1" applyBorder="1" applyAlignment="1">
      <alignment horizontal="right" vertical="center" indent="1"/>
    </xf>
    <xf numFmtId="166" fontId="0" fillId="0" borderId="26" xfId="0" applyNumberFormat="1" applyBorder="1" applyAlignment="1">
      <alignment horizontal="right" vertical="center" indent="1"/>
    </xf>
    <xf numFmtId="188" fontId="0" fillId="0" borderId="492" xfId="0" applyNumberFormat="1" applyBorder="1" applyAlignment="1">
      <alignment horizontal="right" vertical="center" indent="1"/>
    </xf>
    <xf numFmtId="166" fontId="0" fillId="0" borderId="493" xfId="0" applyNumberFormat="1" applyBorder="1" applyAlignment="1">
      <alignment horizontal="right" vertical="center" indent="1"/>
    </xf>
    <xf numFmtId="0" fontId="0" fillId="0" borderId="492" xfId="0" applyBorder="1" applyAlignment="1">
      <alignment horizontal="right" vertical="center" indent="1"/>
    </xf>
    <xf numFmtId="0" fontId="0" fillId="0" borderId="375" xfId="0" applyBorder="1" applyAlignment="1">
      <alignment horizontal="right" vertical="center" indent="1"/>
    </xf>
    <xf numFmtId="166" fontId="0" fillId="0" borderId="364" xfId="0" applyNumberFormat="1" applyBorder="1" applyAlignment="1">
      <alignment horizontal="right" vertical="center" indent="1"/>
    </xf>
    <xf numFmtId="188" fontId="0" fillId="0" borderId="375" xfId="0" applyNumberFormat="1" applyBorder="1" applyAlignment="1">
      <alignment horizontal="right" vertical="center" indent="1"/>
    </xf>
    <xf numFmtId="166" fontId="0" fillId="0" borderId="33" xfId="0" applyNumberFormat="1" applyBorder="1" applyAlignment="1">
      <alignment horizontal="left" vertical="center" wrapText="1" indent="1"/>
    </xf>
    <xf numFmtId="166" fontId="0" fillId="0" borderId="494" xfId="0" applyNumberFormat="1" applyBorder="1" applyAlignment="1">
      <alignment horizontal="left" vertical="center" wrapText="1" indent="1"/>
    </xf>
    <xf numFmtId="166" fontId="0" fillId="0" borderId="370" xfId="0" applyNumberFormat="1" applyBorder="1" applyAlignment="1">
      <alignment horizontal="left" vertical="center" wrapText="1" indent="1"/>
    </xf>
    <xf numFmtId="0" fontId="0" fillId="0" borderId="22" xfId="0" applyBorder="1" applyAlignment="1">
      <alignment horizontal="center" vertical="center" wrapText="1"/>
    </xf>
    <xf numFmtId="0" fontId="0" fillId="0" borderId="73" xfId="0" applyBorder="1" applyAlignment="1">
      <alignment horizontal="right" vertical="center" indent="1"/>
    </xf>
    <xf numFmtId="0" fontId="0" fillId="0" borderId="417" xfId="0" applyBorder="1" applyAlignment="1">
      <alignment horizontal="right" vertical="center" indent="1"/>
    </xf>
    <xf numFmtId="0" fontId="0" fillId="0" borderId="419" xfId="0" applyBorder="1" applyAlignment="1">
      <alignment horizontal="right" vertical="center" indent="1"/>
    </xf>
    <xf numFmtId="0" fontId="0" fillId="0" borderId="22" xfId="0" applyBorder="1" applyAlignment="1">
      <alignment horizontal="right" vertical="center" wrapText="1" indent="1"/>
    </xf>
    <xf numFmtId="0" fontId="0" fillId="0" borderId="0" xfId="0" applyFill="1" applyAlignment="1">
      <alignment vertical="center" wrapText="1"/>
    </xf>
    <xf numFmtId="0" fontId="0" fillId="14" borderId="48" xfId="0" applyFill="1" applyBorder="1" applyAlignment="1">
      <alignment horizontal="left" vertical="center" indent="1"/>
    </xf>
    <xf numFmtId="0" fontId="0" fillId="14" borderId="72" xfId="0" applyFill="1" applyBorder="1" applyAlignment="1">
      <alignment horizontal="left" vertical="center" indent="1"/>
    </xf>
    <xf numFmtId="0" fontId="37" fillId="14" borderId="0" xfId="0" applyFont="1" applyFill="1" applyAlignment="1">
      <alignment horizontal="center"/>
    </xf>
    <xf numFmtId="0" fontId="0" fillId="0" borderId="0" xfId="0" applyFill="1" applyAlignment="1">
      <alignment horizontal="center"/>
    </xf>
    <xf numFmtId="0" fontId="0" fillId="14" borderId="0" xfId="0" applyFill="1" applyAlignment="1">
      <alignment horizontal="left"/>
    </xf>
    <xf numFmtId="164" fontId="1" fillId="0" borderId="12" xfId="0" applyNumberFormat="1" applyFont="1" applyFill="1" applyBorder="1" applyAlignment="1">
      <alignment horizontal="left" vertical="center" indent="1"/>
    </xf>
    <xf numFmtId="164" fontId="1" fillId="0" borderId="3" xfId="0" applyNumberFormat="1" applyFont="1" applyFill="1" applyBorder="1" applyAlignment="1">
      <alignment horizontal="left" vertical="center" indent="1"/>
    </xf>
    <xf numFmtId="164" fontId="1" fillId="0" borderId="9" xfId="0" applyNumberFormat="1" applyFont="1" applyFill="1" applyBorder="1" applyAlignment="1">
      <alignment horizontal="left" vertical="center" indent="1"/>
    </xf>
    <xf numFmtId="230" fontId="2" fillId="14" borderId="0" xfId="2" applyNumberFormat="1" applyFill="1" applyAlignment="1" applyProtection="1">
      <alignment horizontal="right"/>
    </xf>
    <xf numFmtId="0" fontId="87" fillId="14" borderId="0" xfId="0" applyFont="1" applyFill="1"/>
    <xf numFmtId="0" fontId="0" fillId="47" borderId="251" xfId="0" applyFill="1" applyBorder="1"/>
    <xf numFmtId="0" fontId="38" fillId="14" borderId="0" xfId="0" applyFont="1" applyFill="1" applyBorder="1" applyAlignment="1">
      <alignment horizontal="center" vertical="center"/>
    </xf>
    <xf numFmtId="0" fontId="0" fillId="13" borderId="493" xfId="0" applyFill="1" applyBorder="1" applyAlignment="1">
      <alignment vertical="center"/>
    </xf>
    <xf numFmtId="0" fontId="0" fillId="47" borderId="276" xfId="0" applyFill="1" applyBorder="1"/>
    <xf numFmtId="0" fontId="0" fillId="43" borderId="0" xfId="0" applyFill="1" applyBorder="1" applyAlignment="1">
      <alignment horizontal="right" indent="1"/>
    </xf>
    <xf numFmtId="0" fontId="0" fillId="43" borderId="0" xfId="0" applyFont="1" applyFill="1" applyBorder="1" applyAlignment="1">
      <alignment horizontal="right"/>
    </xf>
    <xf numFmtId="0" fontId="0" fillId="43" borderId="0" xfId="0" applyFont="1" applyFill="1" applyBorder="1" applyAlignment="1">
      <alignment horizontal="left"/>
    </xf>
    <xf numFmtId="218" fontId="0" fillId="43" borderId="0" xfId="0" applyNumberFormat="1" applyFill="1" applyBorder="1"/>
    <xf numFmtId="218" fontId="13" fillId="43" borderId="0" xfId="0" applyNumberFormat="1" applyFont="1" applyFill="1" applyBorder="1"/>
    <xf numFmtId="0" fontId="47" fillId="43" borderId="0" xfId="0" applyFont="1" applyFill="1" applyBorder="1"/>
    <xf numFmtId="0" fontId="0" fillId="43" borderId="0" xfId="0" applyFill="1" applyBorder="1" applyAlignment="1">
      <alignment vertical="center" wrapText="1"/>
    </xf>
    <xf numFmtId="166" fontId="57" fillId="24" borderId="532" xfId="0" applyNumberFormat="1" applyFont="1" applyFill="1" applyBorder="1" applyAlignment="1">
      <alignment horizontal="right" vertical="center" wrapText="1" indent="1"/>
    </xf>
    <xf numFmtId="9" fontId="37" fillId="39" borderId="534" xfId="0" applyNumberFormat="1" applyFont="1" applyFill="1" applyBorder="1" applyAlignment="1">
      <alignment horizontal="right" vertical="center" wrapText="1" indent="1"/>
    </xf>
    <xf numFmtId="189" fontId="48" fillId="39" borderId="535" xfId="0" applyNumberFormat="1" applyFont="1" applyFill="1" applyBorder="1" applyAlignment="1">
      <alignment horizontal="right" vertical="center" wrapText="1" indent="1"/>
    </xf>
    <xf numFmtId="0" fontId="0" fillId="14" borderId="252" xfId="0" applyFill="1" applyBorder="1" applyAlignment="1">
      <alignment horizontal="right"/>
    </xf>
    <xf numFmtId="0" fontId="0" fillId="14" borderId="0" xfId="0" applyFont="1" applyFill="1" applyAlignment="1">
      <alignment horizontal="right"/>
    </xf>
    <xf numFmtId="0" fontId="0" fillId="14" borderId="0" xfId="0" applyFont="1" applyFill="1" applyAlignment="1">
      <alignment horizontal="left"/>
    </xf>
    <xf numFmtId="0" fontId="0" fillId="14" borderId="245" xfId="0" applyFill="1" applyBorder="1"/>
    <xf numFmtId="0" fontId="0" fillId="14" borderId="243" xfId="0" applyFill="1" applyBorder="1"/>
    <xf numFmtId="0" fontId="0" fillId="14" borderId="243" xfId="0" applyFill="1" applyBorder="1" applyAlignment="1">
      <alignment horizontal="center"/>
    </xf>
    <xf numFmtId="2" fontId="0" fillId="14" borderId="0" xfId="0" applyNumberFormat="1" applyFill="1" applyAlignment="1">
      <alignment horizontal="center"/>
    </xf>
    <xf numFmtId="0" fontId="0" fillId="14" borderId="244" xfId="0" applyFill="1" applyBorder="1"/>
    <xf numFmtId="0" fontId="0" fillId="14" borderId="246" xfId="0" applyFill="1" applyBorder="1"/>
    <xf numFmtId="0" fontId="0" fillId="14" borderId="247" xfId="0" applyFill="1" applyBorder="1"/>
    <xf numFmtId="0" fontId="0" fillId="14" borderId="248" xfId="0" applyFill="1" applyBorder="1"/>
    <xf numFmtId="0" fontId="0" fillId="14" borderId="248" xfId="0" applyFill="1" applyBorder="1" applyAlignment="1">
      <alignment horizontal="center"/>
    </xf>
    <xf numFmtId="0" fontId="0" fillId="14" borderId="250" xfId="0" applyFill="1" applyBorder="1"/>
    <xf numFmtId="218" fontId="0" fillId="14" borderId="0" xfId="0" applyNumberFormat="1" applyFill="1"/>
    <xf numFmtId="218" fontId="13" fillId="14" borderId="0" xfId="0" applyNumberFormat="1" applyFont="1" applyFill="1"/>
    <xf numFmtId="183" fontId="0" fillId="14" borderId="0" xfId="0" applyNumberFormat="1" applyFill="1" applyAlignment="1">
      <alignment horizontal="center"/>
    </xf>
    <xf numFmtId="0" fontId="0" fillId="14" borderId="531" xfId="0" applyFill="1" applyBorder="1"/>
    <xf numFmtId="0" fontId="0" fillId="14" borderId="276" xfId="0" applyFill="1" applyBorder="1"/>
    <xf numFmtId="0" fontId="0" fillId="14" borderId="250" xfId="0" applyFill="1" applyBorder="1" applyAlignment="1">
      <alignment horizontal="center"/>
    </xf>
    <xf numFmtId="0" fontId="9" fillId="14" borderId="0" xfId="0" applyFont="1" applyFill="1" applyAlignment="1">
      <alignment horizontal="center"/>
    </xf>
    <xf numFmtId="183" fontId="13" fillId="14" borderId="0" xfId="0" applyNumberFormat="1" applyFont="1" applyFill="1"/>
    <xf numFmtId="188" fontId="4" fillId="14" borderId="0" xfId="0" applyNumberFormat="1" applyFont="1" applyFill="1" applyAlignment="1">
      <alignment horizontal="center"/>
    </xf>
    <xf numFmtId="9" fontId="4" fillId="14" borderId="0" xfId="0" applyNumberFormat="1" applyFont="1" applyFill="1" applyAlignment="1">
      <alignment horizontal="right"/>
    </xf>
    <xf numFmtId="9" fontId="0" fillId="14" borderId="0" xfId="0" applyNumberFormat="1" applyFill="1" applyBorder="1" applyAlignment="1">
      <alignment horizontal="right"/>
    </xf>
    <xf numFmtId="0" fontId="47" fillId="14" borderId="0" xfId="0" applyFont="1" applyFill="1"/>
    <xf numFmtId="183" fontId="47" fillId="14" borderId="0" xfId="0" applyNumberFormat="1" applyFont="1" applyFill="1" applyAlignment="1">
      <alignment horizontal="center"/>
    </xf>
    <xf numFmtId="0" fontId="47" fillId="14" borderId="0" xfId="0" applyFont="1" applyFill="1" applyAlignment="1">
      <alignment horizontal="center"/>
    </xf>
    <xf numFmtId="183" fontId="13" fillId="14" borderId="0" xfId="0" applyNumberFormat="1" applyFont="1" applyFill="1" applyAlignment="1">
      <alignment horizontal="center"/>
    </xf>
    <xf numFmtId="183" fontId="13" fillId="14" borderId="0" xfId="0" applyNumberFormat="1" applyFont="1" applyFill="1" applyBorder="1" applyAlignment="1">
      <alignment horizontal="center"/>
    </xf>
    <xf numFmtId="0" fontId="13" fillId="14" borderId="0" xfId="0" applyFont="1" applyFill="1" applyBorder="1" applyAlignment="1">
      <alignment horizontal="center"/>
    </xf>
    <xf numFmtId="188" fontId="13" fillId="14" borderId="0" xfId="0" applyNumberFormat="1" applyFont="1" applyFill="1" applyBorder="1"/>
    <xf numFmtId="183" fontId="9" fillId="14" borderId="0" xfId="0" applyNumberFormat="1" applyFont="1" applyFill="1" applyBorder="1" applyAlignment="1">
      <alignment horizontal="center" vertical="center" wrapText="1"/>
    </xf>
    <xf numFmtId="188" fontId="13" fillId="14" borderId="0" xfId="0" applyNumberFormat="1" applyFont="1" applyFill="1" applyAlignment="1">
      <alignment horizontal="center"/>
    </xf>
    <xf numFmtId="0" fontId="13" fillId="14" borderId="0" xfId="0" applyFont="1" applyFill="1" applyAlignment="1">
      <alignment horizontal="right"/>
    </xf>
    <xf numFmtId="189" fontId="48" fillId="14" borderId="0" xfId="0" applyNumberFormat="1" applyFont="1" applyFill="1" applyBorder="1" applyAlignment="1">
      <alignment horizontal="right" vertical="center" wrapText="1" indent="1"/>
    </xf>
    <xf numFmtId="0" fontId="0" fillId="14" borderId="0" xfId="0" applyFill="1" applyBorder="1" applyAlignment="1">
      <alignment horizontal="left" vertical="center"/>
    </xf>
    <xf numFmtId="0" fontId="0" fillId="14" borderId="47" xfId="0" applyFill="1" applyBorder="1" applyAlignment="1">
      <alignment horizontal="left" vertical="center"/>
    </xf>
    <xf numFmtId="0" fontId="37" fillId="14" borderId="427" xfId="0" applyFont="1" applyFill="1" applyBorder="1" applyAlignment="1">
      <alignment horizontal="center"/>
    </xf>
    <xf numFmtId="166" fontId="0" fillId="0" borderId="49" xfId="0" applyNumberFormat="1" applyBorder="1" applyAlignment="1">
      <alignment horizontal="right" vertical="center" indent="1"/>
    </xf>
    <xf numFmtId="166" fontId="0" fillId="0" borderId="536" xfId="0" applyNumberFormat="1" applyBorder="1" applyAlignment="1">
      <alignment horizontal="right" vertical="center" indent="1"/>
    </xf>
    <xf numFmtId="166" fontId="0" fillId="0" borderId="373" xfId="0" applyNumberFormat="1" applyBorder="1" applyAlignment="1">
      <alignment horizontal="right" vertical="center" indent="1"/>
    </xf>
    <xf numFmtId="0" fontId="0" fillId="14" borderId="338" xfId="0" applyFill="1" applyBorder="1" applyAlignment="1">
      <alignment horizontal="center"/>
    </xf>
    <xf numFmtId="231" fontId="13" fillId="0" borderId="16" xfId="0" applyNumberFormat="1" applyFont="1" applyFill="1" applyBorder="1" applyAlignment="1">
      <alignment vertical="center" wrapText="1"/>
    </xf>
    <xf numFmtId="183" fontId="13" fillId="25" borderId="200" xfId="0" applyNumberFormat="1" applyFont="1" applyFill="1" applyBorder="1" applyAlignment="1">
      <alignment vertical="center" wrapText="1"/>
    </xf>
    <xf numFmtId="183" fontId="13" fillId="0" borderId="144" xfId="0" applyNumberFormat="1" applyFont="1" applyFill="1" applyBorder="1" applyAlignment="1">
      <alignment vertical="center" wrapText="1"/>
    </xf>
    <xf numFmtId="183" fontId="13" fillId="24" borderId="144" xfId="0" applyNumberFormat="1" applyFont="1" applyFill="1" applyBorder="1" applyAlignment="1">
      <alignment vertical="center" wrapText="1"/>
    </xf>
    <xf numFmtId="183" fontId="13" fillId="27" borderId="144" xfId="0" applyNumberFormat="1" applyFont="1" applyFill="1" applyBorder="1" applyAlignment="1">
      <alignment vertical="center" wrapText="1"/>
    </xf>
    <xf numFmtId="183" fontId="13" fillId="27" borderId="212" xfId="0" applyNumberFormat="1" applyFont="1" applyFill="1" applyBorder="1" applyAlignment="1">
      <alignment vertical="center" wrapText="1"/>
    </xf>
    <xf numFmtId="183" fontId="13" fillId="0" borderId="149" xfId="0" applyNumberFormat="1" applyFont="1" applyFill="1" applyBorder="1" applyAlignment="1">
      <alignment vertical="center" wrapText="1"/>
    </xf>
    <xf numFmtId="183" fontId="13" fillId="0" borderId="153" xfId="0" applyNumberFormat="1" applyFont="1" applyFill="1" applyBorder="1" applyAlignment="1">
      <alignment vertical="center" wrapText="1"/>
    </xf>
    <xf numFmtId="183" fontId="13" fillId="25" borderId="153" xfId="0" applyNumberFormat="1" applyFont="1" applyFill="1" applyBorder="1" applyAlignment="1">
      <alignment vertical="center" wrapText="1"/>
    </xf>
    <xf numFmtId="183" fontId="13" fillId="24" borderId="153" xfId="0" applyNumberFormat="1" applyFont="1" applyFill="1" applyBorder="1" applyAlignment="1">
      <alignment vertical="center" wrapText="1"/>
    </xf>
    <xf numFmtId="183" fontId="13" fillId="15" borderId="153" xfId="0" applyNumberFormat="1" applyFont="1" applyFill="1" applyBorder="1" applyAlignment="1">
      <alignment vertical="center" wrapText="1"/>
    </xf>
    <xf numFmtId="183" fontId="13" fillId="15" borderId="224" xfId="0" applyNumberFormat="1" applyFont="1" applyFill="1" applyBorder="1" applyAlignment="1">
      <alignment vertical="center" wrapText="1"/>
    </xf>
    <xf numFmtId="183" fontId="13" fillId="27" borderId="157" xfId="0" applyNumberFormat="1" applyFont="1" applyFill="1" applyBorder="1" applyAlignment="1">
      <alignment vertical="center" wrapText="1"/>
    </xf>
    <xf numFmtId="183" fontId="13" fillId="25" borderId="149" xfId="0" applyNumberFormat="1" applyFont="1" applyFill="1" applyBorder="1" applyAlignment="1">
      <alignment vertical="center" wrapText="1"/>
    </xf>
    <xf numFmtId="183" fontId="13" fillId="24" borderId="6" xfId="0" applyNumberFormat="1" applyFont="1" applyFill="1" applyBorder="1" applyAlignment="1">
      <alignment vertical="center" wrapText="1"/>
    </xf>
    <xf numFmtId="183" fontId="13" fillId="12" borderId="316" xfId="0" applyNumberFormat="1" applyFont="1" applyFill="1" applyBorder="1" applyAlignment="1">
      <alignment vertical="center" wrapText="1"/>
    </xf>
    <xf numFmtId="183" fontId="13" fillId="12" borderId="144" xfId="0" applyNumberFormat="1" applyFont="1" applyFill="1" applyBorder="1" applyAlignment="1">
      <alignment vertical="center" wrapText="1"/>
    </xf>
    <xf numFmtId="183" fontId="13" fillId="12" borderId="190" xfId="0" applyNumberFormat="1" applyFont="1" applyFill="1" applyBorder="1" applyAlignment="1">
      <alignment vertical="center" wrapText="1"/>
    </xf>
    <xf numFmtId="183" fontId="13" fillId="24" borderId="543" xfId="0" applyNumberFormat="1" applyFont="1" applyFill="1" applyBorder="1" applyAlignment="1">
      <alignment vertical="center" wrapText="1"/>
    </xf>
    <xf numFmtId="183" fontId="13" fillId="25" borderId="543" xfId="0" applyNumberFormat="1" applyFont="1" applyFill="1" applyBorder="1" applyAlignment="1">
      <alignment vertical="center" wrapText="1"/>
    </xf>
    <xf numFmtId="183" fontId="13" fillId="12" borderId="543" xfId="0" applyNumberFormat="1" applyFont="1" applyFill="1" applyBorder="1" applyAlignment="1">
      <alignment vertical="center" wrapText="1"/>
    </xf>
    <xf numFmtId="183" fontId="13" fillId="12" borderId="369" xfId="0" applyNumberFormat="1" applyFont="1" applyFill="1" applyBorder="1" applyAlignment="1">
      <alignment vertical="center" wrapText="1"/>
    </xf>
    <xf numFmtId="183" fontId="13" fillId="25" borderId="72" xfId="0" applyNumberFormat="1" applyFont="1" applyFill="1" applyBorder="1" applyAlignment="1">
      <alignment vertical="center" wrapText="1"/>
    </xf>
    <xf numFmtId="183" fontId="13" fillId="0" borderId="543" xfId="0" applyNumberFormat="1" applyFont="1" applyFill="1" applyBorder="1" applyAlignment="1">
      <alignment vertical="center" wrapText="1"/>
    </xf>
    <xf numFmtId="183" fontId="13" fillId="0" borderId="237" xfId="0" applyNumberFormat="1" applyFont="1" applyFill="1" applyBorder="1" applyAlignment="1">
      <alignment vertical="center" wrapText="1"/>
    </xf>
    <xf numFmtId="183" fontId="13" fillId="0" borderId="72" xfId="0" applyNumberFormat="1" applyFont="1" applyFill="1" applyBorder="1" applyAlignment="1">
      <alignment vertical="center" wrapText="1"/>
    </xf>
    <xf numFmtId="166" fontId="1" fillId="14" borderId="46" xfId="0" applyNumberFormat="1" applyFont="1" applyFill="1" applyBorder="1" applyAlignment="1">
      <alignment horizontal="left" vertical="center" wrapText="1" indent="1"/>
    </xf>
    <xf numFmtId="166" fontId="1" fillId="14" borderId="0" xfId="0" applyNumberFormat="1" applyFont="1" applyFill="1" applyBorder="1" applyAlignment="1">
      <alignment horizontal="left" vertical="center" wrapText="1" indent="1"/>
    </xf>
    <xf numFmtId="166" fontId="1" fillId="43" borderId="0" xfId="0" applyNumberFormat="1" applyFont="1" applyFill="1" applyBorder="1" applyAlignment="1">
      <alignment horizontal="left" vertical="center" wrapText="1" indent="1"/>
    </xf>
    <xf numFmtId="171" fontId="0" fillId="43" borderId="0" xfId="0" applyNumberFormat="1" applyFill="1" applyBorder="1"/>
    <xf numFmtId="166" fontId="0" fillId="43" borderId="0" xfId="0" applyNumberFormat="1" applyFill="1" applyBorder="1"/>
    <xf numFmtId="166" fontId="0" fillId="43" borderId="0" xfId="0" applyNumberFormat="1" applyFont="1" applyFill="1" applyBorder="1" applyAlignment="1">
      <alignment horizontal="left" vertical="center" wrapText="1" indent="1"/>
    </xf>
    <xf numFmtId="0" fontId="0" fillId="43" borderId="0" xfId="0" applyFill="1" applyBorder="1" applyAlignment="1">
      <alignment horizontal="left" vertical="center" wrapText="1" indent="1"/>
    </xf>
    <xf numFmtId="0" fontId="13" fillId="14" borderId="0" xfId="0" applyFont="1" applyFill="1" applyAlignment="1">
      <alignment horizontal="left"/>
    </xf>
    <xf numFmtId="0" fontId="9" fillId="14" borderId="0" xfId="0" applyFont="1" applyFill="1" applyAlignment="1">
      <alignment horizontal="left"/>
    </xf>
    <xf numFmtId="0" fontId="1" fillId="21" borderId="89" xfId="0" applyFont="1" applyFill="1" applyBorder="1" applyAlignment="1">
      <alignment horizontal="center" vertical="center" wrapText="1"/>
    </xf>
    <xf numFmtId="0" fontId="13" fillId="0" borderId="16" xfId="0" applyFont="1" applyFill="1" applyBorder="1" applyAlignment="1">
      <alignment horizontal="right" vertical="center" wrapText="1" indent="2"/>
    </xf>
    <xf numFmtId="231" fontId="13" fillId="0" borderId="37" xfId="0" applyNumberFormat="1" applyFont="1" applyFill="1" applyBorder="1" applyAlignment="1">
      <alignment vertical="center" wrapText="1"/>
    </xf>
    <xf numFmtId="183" fontId="13" fillId="25" borderId="201" xfId="0" applyNumberFormat="1" applyFont="1" applyFill="1" applyBorder="1" applyAlignment="1">
      <alignment vertical="center" wrapText="1"/>
    </xf>
    <xf numFmtId="183" fontId="13" fillId="0" borderId="207" xfId="0" applyNumberFormat="1" applyFont="1" applyFill="1" applyBorder="1" applyAlignment="1">
      <alignment vertical="center" wrapText="1"/>
    </xf>
    <xf numFmtId="183" fontId="13" fillId="24" borderId="207" xfId="0" applyNumberFormat="1" applyFont="1" applyFill="1" applyBorder="1" applyAlignment="1">
      <alignment vertical="center" wrapText="1"/>
    </xf>
    <xf numFmtId="183" fontId="13" fillId="27" borderId="207" xfId="0" applyNumberFormat="1" applyFont="1" applyFill="1" applyBorder="1" applyAlignment="1">
      <alignment vertical="center" wrapText="1"/>
    </xf>
    <xf numFmtId="183" fontId="13" fillId="27" borderId="213" xfId="0" applyNumberFormat="1" applyFont="1" applyFill="1" applyBorder="1" applyAlignment="1">
      <alignment vertical="center" wrapText="1"/>
    </xf>
    <xf numFmtId="183" fontId="13" fillId="0" borderId="160" xfId="0" applyNumberFormat="1" applyFont="1" applyFill="1" applyBorder="1" applyAlignment="1">
      <alignment vertical="center" wrapText="1"/>
    </xf>
    <xf numFmtId="183" fontId="13" fillId="0" borderId="164" xfId="0" applyNumberFormat="1" applyFont="1" applyFill="1" applyBorder="1" applyAlignment="1">
      <alignment vertical="center" wrapText="1"/>
    </xf>
    <xf numFmtId="183" fontId="13" fillId="25" borderId="164" xfId="0" applyNumberFormat="1" applyFont="1" applyFill="1" applyBorder="1" applyAlignment="1">
      <alignment vertical="center" wrapText="1"/>
    </xf>
    <xf numFmtId="183" fontId="13" fillId="24" borderId="164" xfId="0" applyNumberFormat="1" applyFont="1" applyFill="1" applyBorder="1" applyAlignment="1">
      <alignment vertical="center" wrapText="1"/>
    </xf>
    <xf numFmtId="183" fontId="13" fillId="15" borderId="164" xfId="0" applyNumberFormat="1" applyFont="1" applyFill="1" applyBorder="1" applyAlignment="1">
      <alignment vertical="center" wrapText="1"/>
    </xf>
    <xf numFmtId="183" fontId="13" fillId="15" borderId="226" xfId="0" applyNumberFormat="1" applyFont="1" applyFill="1" applyBorder="1" applyAlignment="1">
      <alignment vertical="center" wrapText="1"/>
    </xf>
    <xf numFmtId="183" fontId="13" fillId="27" borderId="168" xfId="0" applyNumberFormat="1" applyFont="1" applyFill="1" applyBorder="1" applyAlignment="1">
      <alignment vertical="center" wrapText="1"/>
    </xf>
    <xf numFmtId="183" fontId="13" fillId="25" borderId="160" xfId="0" applyNumberFormat="1" applyFont="1" applyFill="1" applyBorder="1" applyAlignment="1">
      <alignment vertical="center" wrapText="1"/>
    </xf>
    <xf numFmtId="183" fontId="13" fillId="24" borderId="80" xfId="0" applyNumberFormat="1" applyFont="1" applyFill="1" applyBorder="1" applyAlignment="1">
      <alignment vertical="center" wrapText="1"/>
    </xf>
    <xf numFmtId="183" fontId="13" fillId="12" borderId="184" xfId="0" applyNumberFormat="1" applyFont="1" applyFill="1" applyBorder="1" applyAlignment="1">
      <alignment vertical="center" wrapText="1"/>
    </xf>
    <xf numFmtId="183" fontId="13" fillId="12" borderId="207" xfId="0" applyNumberFormat="1" applyFont="1" applyFill="1" applyBorder="1" applyAlignment="1">
      <alignment vertical="center" wrapText="1"/>
    </xf>
    <xf numFmtId="183" fontId="13" fillId="12" borderId="191" xfId="0" applyNumberFormat="1" applyFont="1" applyFill="1" applyBorder="1" applyAlignment="1">
      <alignment vertical="center" wrapText="1"/>
    </xf>
    <xf numFmtId="183" fontId="13" fillId="24" borderId="544" xfId="0" applyNumberFormat="1" applyFont="1" applyFill="1" applyBorder="1" applyAlignment="1">
      <alignment vertical="center" wrapText="1"/>
    </xf>
    <xf numFmtId="183" fontId="13" fillId="25" borderId="544" xfId="0" applyNumberFormat="1" applyFont="1" applyFill="1" applyBorder="1" applyAlignment="1">
      <alignment vertical="center" wrapText="1"/>
    </xf>
    <xf numFmtId="183" fontId="13" fillId="12" borderId="544" xfId="0" applyNumberFormat="1" applyFont="1" applyFill="1" applyBorder="1" applyAlignment="1">
      <alignment vertical="center" wrapText="1"/>
    </xf>
    <xf numFmtId="183" fontId="13" fillId="12" borderId="440" xfId="0" applyNumberFormat="1" applyFont="1" applyFill="1" applyBorder="1" applyAlignment="1">
      <alignment vertical="center" wrapText="1"/>
    </xf>
    <xf numFmtId="183" fontId="13" fillId="25" borderId="66" xfId="0" applyNumberFormat="1" applyFont="1" applyFill="1" applyBorder="1" applyAlignment="1">
      <alignment vertical="center" wrapText="1"/>
    </xf>
    <xf numFmtId="183" fontId="13" fillId="0" borderId="544" xfId="0" applyNumberFormat="1" applyFont="1" applyFill="1" applyBorder="1" applyAlignment="1">
      <alignment vertical="center" wrapText="1"/>
    </xf>
    <xf numFmtId="183" fontId="13" fillId="0" borderId="239" xfId="0" applyNumberFormat="1" applyFont="1" applyFill="1" applyBorder="1" applyAlignment="1">
      <alignment vertical="center" wrapText="1"/>
    </xf>
    <xf numFmtId="183" fontId="13" fillId="0" borderId="66" xfId="0" applyNumberFormat="1" applyFont="1" applyFill="1" applyBorder="1" applyAlignment="1">
      <alignment vertical="center" wrapText="1"/>
    </xf>
    <xf numFmtId="231" fontId="13" fillId="0" borderId="17" xfId="0" applyNumberFormat="1" applyFont="1" applyFill="1" applyBorder="1" applyAlignment="1">
      <alignment vertical="center" wrapText="1"/>
    </xf>
    <xf numFmtId="183" fontId="13" fillId="25" borderId="130" xfId="0" applyNumberFormat="1" applyFont="1" applyFill="1" applyBorder="1" applyAlignment="1">
      <alignment vertical="center" wrapText="1"/>
    </xf>
    <xf numFmtId="183" fontId="13" fillId="0" borderId="205" xfId="0" applyNumberFormat="1" applyFont="1" applyFill="1" applyBorder="1" applyAlignment="1">
      <alignment vertical="center" wrapText="1"/>
    </xf>
    <xf numFmtId="183" fontId="13" fillId="24" borderId="205" xfId="0" applyNumberFormat="1" applyFont="1" applyFill="1" applyBorder="1" applyAlignment="1">
      <alignment vertical="center" wrapText="1"/>
    </xf>
    <xf numFmtId="183" fontId="13" fillId="27" borderId="205" xfId="0" applyNumberFormat="1" applyFont="1" applyFill="1" applyBorder="1" applyAlignment="1">
      <alignment vertical="center" wrapText="1"/>
    </xf>
    <xf numFmtId="183" fontId="13" fillId="27" borderId="210" xfId="0" applyNumberFormat="1" applyFont="1" applyFill="1" applyBorder="1" applyAlignment="1">
      <alignment vertical="center" wrapText="1"/>
    </xf>
    <xf numFmtId="231" fontId="13" fillId="0" borderId="70" xfId="0" applyNumberFormat="1" applyFont="1" applyFill="1" applyBorder="1" applyAlignment="1">
      <alignment vertical="center" wrapText="1"/>
    </xf>
    <xf numFmtId="231" fontId="13" fillId="25" borderId="262" xfId="0" applyNumberFormat="1" applyFont="1" applyFill="1" applyBorder="1" applyAlignment="1">
      <alignment vertical="center" wrapText="1"/>
    </xf>
    <xf numFmtId="231" fontId="13" fillId="0" borderId="263" xfId="0" applyNumberFormat="1" applyFont="1" applyFill="1" applyBorder="1" applyAlignment="1">
      <alignment vertical="center" wrapText="1"/>
    </xf>
    <xf numFmtId="231" fontId="13" fillId="24" borderId="263" xfId="0" applyNumberFormat="1" applyFont="1" applyFill="1" applyBorder="1" applyAlignment="1">
      <alignment vertical="center" wrapText="1"/>
    </xf>
    <xf numFmtId="231" fontId="13" fillId="27" borderId="263" xfId="0" applyNumberFormat="1" applyFont="1" applyFill="1" applyBorder="1" applyAlignment="1">
      <alignment vertical="center" wrapText="1"/>
    </xf>
    <xf numFmtId="231" fontId="13" fillId="27" borderId="264" xfId="0" applyNumberFormat="1" applyFont="1" applyFill="1" applyBorder="1" applyAlignment="1">
      <alignment vertical="center" wrapText="1"/>
    </xf>
    <xf numFmtId="231" fontId="13" fillId="0" borderId="265" xfId="0" applyNumberFormat="1" applyFont="1" applyFill="1" applyBorder="1" applyAlignment="1">
      <alignment vertical="center" wrapText="1"/>
    </xf>
    <xf numFmtId="231" fontId="13" fillId="0" borderId="172" xfId="0" applyNumberFormat="1" applyFont="1" applyFill="1" applyBorder="1" applyAlignment="1">
      <alignment vertical="center" wrapText="1"/>
    </xf>
    <xf numFmtId="231" fontId="13" fillId="25" borderId="172" xfId="0" applyNumberFormat="1" applyFont="1" applyFill="1" applyBorder="1" applyAlignment="1">
      <alignment vertical="center" wrapText="1"/>
    </xf>
    <xf numFmtId="231" fontId="13" fillId="24" borderId="172" xfId="0" applyNumberFormat="1" applyFont="1" applyFill="1" applyBorder="1" applyAlignment="1">
      <alignment vertical="center" wrapText="1"/>
    </xf>
    <xf numFmtId="231" fontId="13" fillId="15" borderId="172" xfId="0" applyNumberFormat="1" applyFont="1" applyFill="1" applyBorder="1" applyAlignment="1">
      <alignment vertical="center" wrapText="1"/>
    </xf>
    <xf numFmtId="231" fontId="13" fillId="15" borderId="298" xfId="0" applyNumberFormat="1" applyFont="1" applyFill="1" applyBorder="1" applyAlignment="1">
      <alignment vertical="center" wrapText="1"/>
    </xf>
    <xf numFmtId="231" fontId="13" fillId="27" borderId="173" xfId="0" applyNumberFormat="1" applyFont="1" applyFill="1" applyBorder="1" applyAlignment="1">
      <alignment vertical="center" wrapText="1"/>
    </xf>
    <xf numFmtId="231" fontId="13" fillId="25" borderId="265" xfId="0" applyNumberFormat="1" applyFont="1" applyFill="1" applyBorder="1" applyAlignment="1">
      <alignment vertical="center" wrapText="1"/>
    </xf>
    <xf numFmtId="231" fontId="13" fillId="24" borderId="89" xfId="0" applyNumberFormat="1" applyFont="1" applyFill="1" applyBorder="1" applyAlignment="1">
      <alignment vertical="center" wrapText="1"/>
    </xf>
    <xf numFmtId="231" fontId="13" fillId="12" borderId="266" xfId="0" applyNumberFormat="1" applyFont="1" applyFill="1" applyBorder="1" applyAlignment="1">
      <alignment vertical="center" wrapText="1"/>
    </xf>
    <xf numFmtId="231" fontId="13" fillId="12" borderId="263" xfId="0" applyNumberFormat="1" applyFont="1" applyFill="1" applyBorder="1" applyAlignment="1">
      <alignment vertical="center" wrapText="1"/>
    </xf>
    <xf numFmtId="231" fontId="13" fillId="12" borderId="267" xfId="0" applyNumberFormat="1" applyFont="1" applyFill="1" applyBorder="1" applyAlignment="1">
      <alignment vertical="center" wrapText="1"/>
    </xf>
    <xf numFmtId="231" fontId="13" fillId="24" borderId="417" xfId="0" applyNumberFormat="1" applyFont="1" applyFill="1" applyBorder="1" applyAlignment="1">
      <alignment vertical="center" wrapText="1"/>
    </xf>
    <xf numFmtId="231" fontId="13" fillId="25" borderId="417" xfId="0" applyNumberFormat="1" applyFont="1" applyFill="1" applyBorder="1" applyAlignment="1">
      <alignment vertical="center" wrapText="1"/>
    </xf>
    <xf numFmtId="231" fontId="13" fillId="12" borderId="417" xfId="0" applyNumberFormat="1" applyFont="1" applyFill="1" applyBorder="1" applyAlignment="1">
      <alignment vertical="center" wrapText="1"/>
    </xf>
    <xf numFmtId="231" fontId="13" fillId="12" borderId="419" xfId="0" applyNumberFormat="1" applyFont="1" applyFill="1" applyBorder="1" applyAlignment="1">
      <alignment vertical="center" wrapText="1"/>
    </xf>
    <xf numFmtId="231" fontId="13" fillId="25" borderId="73" xfId="0" applyNumberFormat="1" applyFont="1" applyFill="1" applyBorder="1" applyAlignment="1">
      <alignment vertical="center" wrapText="1"/>
    </xf>
    <xf numFmtId="231" fontId="13" fillId="0" borderId="417" xfId="0" applyNumberFormat="1" applyFont="1" applyFill="1" applyBorder="1" applyAlignment="1">
      <alignment vertical="center" wrapText="1"/>
    </xf>
    <xf numFmtId="231" fontId="13" fillId="0" borderId="341" xfId="0" applyNumberFormat="1" applyFont="1" applyFill="1" applyBorder="1" applyAlignment="1">
      <alignment vertical="center" wrapText="1"/>
    </xf>
    <xf numFmtId="231" fontId="13" fillId="0" borderId="73" xfId="0" applyNumberFormat="1" applyFont="1" applyFill="1" applyBorder="1" applyAlignment="1">
      <alignment vertical="center" wrapText="1"/>
    </xf>
    <xf numFmtId="188" fontId="0" fillId="21" borderId="0" xfId="0" applyNumberFormat="1" applyFill="1"/>
    <xf numFmtId="183" fontId="13" fillId="12" borderId="316" xfId="0" applyNumberFormat="1" applyFont="1" applyFill="1" applyBorder="1" applyAlignment="1">
      <alignment horizontal="right" vertical="center" wrapText="1" indent="1"/>
    </xf>
    <xf numFmtId="183" fontId="13" fillId="24" borderId="543" xfId="0" applyNumberFormat="1" applyFont="1" applyFill="1" applyBorder="1" applyAlignment="1">
      <alignment horizontal="right" vertical="center" wrapText="1" indent="1"/>
    </xf>
    <xf numFmtId="183" fontId="13" fillId="25" borderId="543" xfId="0" applyNumberFormat="1" applyFont="1" applyFill="1" applyBorder="1" applyAlignment="1">
      <alignment horizontal="right" vertical="center" wrapText="1" indent="1"/>
    </xf>
    <xf numFmtId="183" fontId="13" fillId="12" borderId="543" xfId="0" applyNumberFormat="1" applyFont="1" applyFill="1" applyBorder="1" applyAlignment="1">
      <alignment horizontal="right" vertical="center" wrapText="1" indent="1"/>
    </xf>
    <xf numFmtId="183" fontId="13" fillId="12" borderId="369" xfId="0" applyNumberFormat="1" applyFont="1" applyFill="1" applyBorder="1" applyAlignment="1">
      <alignment horizontal="right" vertical="center" wrapText="1" indent="1"/>
    </xf>
    <xf numFmtId="183" fontId="13" fillId="0" borderId="543" xfId="0" applyNumberFormat="1" applyFont="1" applyFill="1" applyBorder="1" applyAlignment="1">
      <alignment horizontal="right" vertical="center" wrapText="1" indent="1"/>
    </xf>
    <xf numFmtId="183" fontId="13" fillId="12" borderId="320" xfId="0" applyNumberFormat="1" applyFont="1" applyFill="1" applyBorder="1" applyAlignment="1">
      <alignment horizontal="right" vertical="center" wrapText="1" indent="1"/>
    </xf>
    <xf numFmtId="183" fontId="13" fillId="24" borderId="493" xfId="0" applyNumberFormat="1" applyFont="1" applyFill="1" applyBorder="1" applyAlignment="1">
      <alignment horizontal="right" vertical="center" wrapText="1" indent="1"/>
    </xf>
    <xf numFmtId="183" fontId="13" fillId="25" borderId="493" xfId="0" applyNumberFormat="1" applyFont="1" applyFill="1" applyBorder="1" applyAlignment="1">
      <alignment horizontal="right" vertical="center" wrapText="1" indent="1"/>
    </xf>
    <xf numFmtId="183" fontId="13" fillId="12" borderId="493" xfId="0" applyNumberFormat="1" applyFont="1" applyFill="1" applyBorder="1" applyAlignment="1">
      <alignment horizontal="right" vertical="center" wrapText="1" indent="1"/>
    </xf>
    <xf numFmtId="183" fontId="13" fillId="12" borderId="364" xfId="0" applyNumberFormat="1" applyFont="1" applyFill="1" applyBorder="1" applyAlignment="1">
      <alignment horizontal="right" vertical="center" wrapText="1" indent="1"/>
    </xf>
    <xf numFmtId="183" fontId="13" fillId="0" borderId="493" xfId="0" applyNumberFormat="1" applyFont="1" applyFill="1" applyBorder="1" applyAlignment="1">
      <alignment horizontal="right" vertical="center" wrapText="1" indent="1"/>
    </xf>
    <xf numFmtId="183" fontId="13" fillId="12" borderId="322" xfId="0" applyNumberFormat="1" applyFont="1" applyFill="1" applyBorder="1" applyAlignment="1">
      <alignment horizontal="right" vertical="center" wrapText="1" indent="1"/>
    </xf>
    <xf numFmtId="183" fontId="13" fillId="12" borderId="325" xfId="0" applyNumberFormat="1" applyFont="1" applyFill="1" applyBorder="1" applyAlignment="1">
      <alignment horizontal="right" vertical="center" wrapText="1" indent="1"/>
    </xf>
    <xf numFmtId="183" fontId="13" fillId="25" borderId="494" xfId="0" applyNumberFormat="1" applyFont="1" applyFill="1" applyBorder="1" applyAlignment="1">
      <alignment horizontal="right" vertical="center" wrapText="1" indent="1"/>
    </xf>
    <xf numFmtId="183" fontId="13" fillId="12" borderId="494" xfId="0" applyNumberFormat="1" applyFont="1" applyFill="1" applyBorder="1" applyAlignment="1">
      <alignment horizontal="right" vertical="center" wrapText="1" indent="1"/>
    </xf>
    <xf numFmtId="183" fontId="13" fillId="12" borderId="373" xfId="0" applyNumberFormat="1" applyFont="1" applyFill="1" applyBorder="1" applyAlignment="1">
      <alignment horizontal="right" vertical="center" wrapText="1" indent="1"/>
    </xf>
    <xf numFmtId="183" fontId="13" fillId="12" borderId="370" xfId="0" applyNumberFormat="1" applyFont="1" applyFill="1" applyBorder="1" applyAlignment="1">
      <alignment horizontal="right" vertical="center" wrapText="1" indent="1"/>
    </xf>
    <xf numFmtId="183" fontId="13" fillId="25" borderId="49" xfId="0" applyNumberFormat="1" applyFont="1" applyFill="1" applyBorder="1" applyAlignment="1">
      <alignment horizontal="right" vertical="center" wrapText="1" indent="1"/>
    </xf>
    <xf numFmtId="183" fontId="13" fillId="0" borderId="494" xfId="0" applyNumberFormat="1" applyFont="1" applyFill="1" applyBorder="1" applyAlignment="1">
      <alignment horizontal="right" vertical="center" wrapText="1" indent="1"/>
    </xf>
    <xf numFmtId="183" fontId="13" fillId="25" borderId="203" xfId="0" applyNumberFormat="1" applyFont="1" applyFill="1" applyBorder="1" applyAlignment="1">
      <alignment horizontal="right" vertical="center" wrapText="1" indent="1"/>
    </xf>
    <xf numFmtId="183" fontId="13" fillId="0" borderId="209" xfId="0" applyNumberFormat="1" applyFont="1" applyFill="1" applyBorder="1" applyAlignment="1">
      <alignment horizontal="right" vertical="center" wrapText="1" indent="1"/>
    </xf>
    <xf numFmtId="183" fontId="13" fillId="24" borderId="209" xfId="0" applyNumberFormat="1" applyFont="1" applyFill="1" applyBorder="1" applyAlignment="1">
      <alignment horizontal="right" vertical="center" wrapText="1" indent="1"/>
    </xf>
    <xf numFmtId="183" fontId="13" fillId="27" borderId="209" xfId="0" applyNumberFormat="1" applyFont="1" applyFill="1" applyBorder="1" applyAlignment="1">
      <alignment horizontal="right" vertical="center" wrapText="1" indent="1"/>
    </xf>
    <xf numFmtId="183" fontId="13" fillId="27" borderId="215" xfId="0" applyNumberFormat="1" applyFont="1" applyFill="1" applyBorder="1" applyAlignment="1">
      <alignment horizontal="right" vertical="center" wrapText="1" indent="1"/>
    </xf>
    <xf numFmtId="183" fontId="13" fillId="24" borderId="494" xfId="0" applyNumberFormat="1" applyFont="1" applyFill="1" applyBorder="1" applyAlignment="1">
      <alignment horizontal="right" vertical="center" wrapText="1" indent="1"/>
    </xf>
    <xf numFmtId="183" fontId="13" fillId="0" borderId="162" xfId="0" applyNumberFormat="1" applyFont="1" applyFill="1" applyBorder="1" applyAlignment="1">
      <alignment horizontal="right" vertical="center" wrapText="1" indent="1"/>
    </xf>
    <xf numFmtId="183" fontId="13" fillId="24" borderId="166" xfId="0" applyNumberFormat="1" applyFont="1" applyFill="1" applyBorder="1" applyAlignment="1">
      <alignment horizontal="right" vertical="center" wrapText="1" indent="1"/>
    </xf>
    <xf numFmtId="183" fontId="13" fillId="15" borderId="166" xfId="0" applyNumberFormat="1" applyFont="1" applyFill="1" applyBorder="1" applyAlignment="1">
      <alignment horizontal="right" vertical="center" wrapText="1" indent="1"/>
    </xf>
    <xf numFmtId="183" fontId="13" fillId="15" borderId="301" xfId="0" applyNumberFormat="1" applyFont="1" applyFill="1" applyBorder="1" applyAlignment="1">
      <alignment horizontal="right" vertical="center" wrapText="1" indent="1"/>
    </xf>
    <xf numFmtId="183" fontId="13" fillId="27" borderId="170" xfId="0" applyNumberFormat="1" applyFont="1" applyFill="1" applyBorder="1" applyAlignment="1">
      <alignment horizontal="right" vertical="center" wrapText="1" indent="1"/>
    </xf>
    <xf numFmtId="183" fontId="13" fillId="25" borderId="162" xfId="0" applyNumberFormat="1" applyFont="1" applyFill="1" applyBorder="1" applyAlignment="1">
      <alignment horizontal="right" vertical="center" wrapText="1" indent="1"/>
    </xf>
    <xf numFmtId="183" fontId="13" fillId="24" borderId="536" xfId="0" applyNumberFormat="1" applyFont="1" applyFill="1" applyBorder="1" applyAlignment="1">
      <alignment horizontal="right" vertical="center" wrapText="1" indent="1"/>
    </xf>
    <xf numFmtId="183" fontId="13" fillId="25" borderId="536" xfId="0" applyNumberFormat="1" applyFont="1" applyFill="1" applyBorder="1" applyAlignment="1">
      <alignment horizontal="right" vertical="center" wrapText="1" indent="1"/>
    </xf>
    <xf numFmtId="183" fontId="13" fillId="12" borderId="536" xfId="0" applyNumberFormat="1" applyFont="1" applyFill="1" applyBorder="1" applyAlignment="1">
      <alignment horizontal="right" vertical="center" wrapText="1" indent="1"/>
    </xf>
    <xf numFmtId="183" fontId="13" fillId="0" borderId="536" xfId="0" applyNumberFormat="1" applyFont="1" applyFill="1" applyBorder="1" applyAlignment="1">
      <alignment horizontal="right" vertical="center" wrapText="1" indent="1"/>
    </xf>
    <xf numFmtId="0" fontId="1" fillId="21" borderId="494" xfId="0" applyFont="1" applyFill="1" applyBorder="1" applyAlignment="1">
      <alignment horizontal="center" vertical="center" wrapText="1"/>
    </xf>
    <xf numFmtId="0" fontId="0" fillId="43" borderId="0" xfId="0" applyFill="1" applyAlignment="1">
      <alignment vertical="center" wrapText="1"/>
    </xf>
    <xf numFmtId="0" fontId="2" fillId="14" borderId="0" xfId="2" applyFill="1" applyAlignment="1" applyProtection="1"/>
    <xf numFmtId="229" fontId="0" fillId="14" borderId="547" xfId="0" applyNumberFormat="1" applyFont="1" applyFill="1" applyBorder="1" applyAlignment="1">
      <alignment horizontal="right" vertical="center"/>
    </xf>
    <xf numFmtId="0" fontId="0" fillId="14" borderId="548" xfId="0" applyFill="1" applyBorder="1" applyAlignment="1">
      <alignment horizontal="left" vertical="center"/>
    </xf>
    <xf numFmtId="229" fontId="0" fillId="14" borderId="71" xfId="0" applyNumberFormat="1" applyFont="1" applyFill="1" applyBorder="1" applyAlignment="1">
      <alignment horizontal="right" vertical="center"/>
    </xf>
    <xf numFmtId="0" fontId="0" fillId="14" borderId="89" xfId="0" applyFill="1" applyBorder="1" applyAlignment="1">
      <alignment vertical="center"/>
    </xf>
    <xf numFmtId="0" fontId="0" fillId="14" borderId="19" xfId="0" applyFill="1" applyBorder="1" applyAlignment="1">
      <alignment vertical="center"/>
    </xf>
    <xf numFmtId="0" fontId="0" fillId="14" borderId="430" xfId="0" applyFill="1" applyBorder="1" applyAlignment="1">
      <alignment vertical="center"/>
    </xf>
    <xf numFmtId="0" fontId="0" fillId="14" borderId="429" xfId="0" applyFill="1" applyBorder="1" applyAlignment="1">
      <alignment vertical="center"/>
    </xf>
    <xf numFmtId="0" fontId="37" fillId="14" borderId="427" xfId="0" applyFont="1" applyFill="1" applyBorder="1" applyAlignment="1"/>
    <xf numFmtId="0" fontId="37" fillId="14" borderId="427" xfId="0" applyFont="1" applyFill="1" applyBorder="1" applyAlignment="1">
      <alignment horizontal="right"/>
    </xf>
    <xf numFmtId="230" fontId="0" fillId="14" borderId="500" xfId="0" applyNumberFormat="1" applyFill="1" applyBorder="1" applyAlignment="1">
      <alignment horizontal="left" vertical="center"/>
    </xf>
    <xf numFmtId="2" fontId="0" fillId="21" borderId="550" xfId="0" applyNumberFormat="1" applyFill="1" applyBorder="1"/>
    <xf numFmtId="2" fontId="0" fillId="0" borderId="550" xfId="0" applyNumberFormat="1" applyBorder="1"/>
    <xf numFmtId="2" fontId="0" fillId="21" borderId="3" xfId="0" applyNumberFormat="1" applyFill="1" applyBorder="1"/>
    <xf numFmtId="2" fontId="0" fillId="0" borderId="3" xfId="0" applyNumberFormat="1" applyBorder="1"/>
    <xf numFmtId="2" fontId="0" fillId="21" borderId="7" xfId="0" applyNumberFormat="1" applyFill="1" applyBorder="1"/>
    <xf numFmtId="2" fontId="0" fillId="0" borderId="7" xfId="0" applyNumberFormat="1" applyBorder="1"/>
    <xf numFmtId="0" fontId="0" fillId="14" borderId="0" xfId="0" applyFill="1" applyBorder="1" applyAlignment="1">
      <alignment horizontal="left" vertical="center"/>
    </xf>
    <xf numFmtId="0" fontId="0" fillId="14" borderId="19" xfId="0" applyFill="1" applyBorder="1" applyAlignment="1">
      <alignment horizontal="left" vertical="center"/>
    </xf>
    <xf numFmtId="0" fontId="37" fillId="14" borderId="0" xfId="0" applyFont="1" applyFill="1" applyAlignment="1">
      <alignment horizontal="center" vertical="center"/>
    </xf>
    <xf numFmtId="0" fontId="0" fillId="0" borderId="370" xfId="0" applyBorder="1" applyAlignment="1">
      <alignment vertical="center"/>
    </xf>
    <xf numFmtId="1" fontId="1" fillId="24" borderId="33" xfId="0" applyNumberFormat="1" applyFont="1" applyFill="1" applyBorder="1" applyAlignment="1">
      <alignment horizontal="center" vertical="center" wrapText="1"/>
    </xf>
    <xf numFmtId="1" fontId="1" fillId="0" borderId="494" xfId="0" applyNumberFormat="1" applyFont="1" applyFill="1" applyBorder="1" applyAlignment="1">
      <alignment horizontal="center" vertical="center" wrapText="1"/>
    </xf>
    <xf numFmtId="1" fontId="1" fillId="25" borderId="494" xfId="0" applyNumberFormat="1" applyFont="1" applyFill="1" applyBorder="1" applyAlignment="1">
      <alignment horizontal="center" vertical="center" wrapText="1"/>
    </xf>
    <xf numFmtId="1" fontId="1" fillId="0" borderId="370" xfId="0" applyNumberFormat="1" applyFont="1" applyFill="1" applyBorder="1" applyAlignment="1">
      <alignment horizontal="center" vertical="center" wrapText="1"/>
    </xf>
    <xf numFmtId="0" fontId="1" fillId="21" borderId="493" xfId="0" applyFont="1" applyFill="1" applyBorder="1" applyAlignment="1">
      <alignment horizontal="center" vertical="center" wrapText="1"/>
    </xf>
    <xf numFmtId="3" fontId="13" fillId="25" borderId="145" xfId="0" applyNumberFormat="1" applyFont="1" applyFill="1" applyBorder="1" applyAlignment="1">
      <alignment horizontal="center" vertical="center" wrapText="1"/>
    </xf>
    <xf numFmtId="3" fontId="13" fillId="25" borderId="130" xfId="0" applyNumberFormat="1" applyFont="1" applyFill="1" applyBorder="1" applyAlignment="1">
      <alignment horizontal="center" vertical="center" wrapText="1"/>
    </xf>
    <xf numFmtId="3" fontId="13" fillId="25" borderId="199" xfId="0" applyNumberFormat="1" applyFont="1" applyFill="1" applyBorder="1" applyAlignment="1">
      <alignment horizontal="center" vertical="center" wrapText="1"/>
    </xf>
    <xf numFmtId="3" fontId="13" fillId="0" borderId="146" xfId="0" applyNumberFormat="1" applyFont="1" applyFill="1" applyBorder="1" applyAlignment="1">
      <alignment horizontal="center" vertical="center" wrapText="1"/>
    </xf>
    <xf numFmtId="3" fontId="13" fillId="0" borderId="205" xfId="0" applyNumberFormat="1" applyFont="1" applyFill="1" applyBorder="1" applyAlignment="1">
      <alignment horizontal="center" vertical="center" wrapText="1"/>
    </xf>
    <xf numFmtId="3" fontId="13" fillId="0" borderId="206" xfId="0" applyNumberFormat="1" applyFont="1" applyFill="1" applyBorder="1" applyAlignment="1">
      <alignment horizontal="center" vertical="center" wrapText="1"/>
    </xf>
    <xf numFmtId="3" fontId="13" fillId="24" borderId="146" xfId="0" applyNumberFormat="1" applyFont="1" applyFill="1" applyBorder="1" applyAlignment="1">
      <alignment horizontal="center" vertical="center" wrapText="1"/>
    </xf>
    <xf numFmtId="3" fontId="13" fillId="24" borderId="205" xfId="0" applyNumberFormat="1" applyFont="1" applyFill="1" applyBorder="1" applyAlignment="1">
      <alignment horizontal="center" vertical="center" wrapText="1"/>
    </xf>
    <xf numFmtId="3" fontId="13" fillId="24" borderId="206" xfId="0" applyNumberFormat="1" applyFont="1" applyFill="1" applyBorder="1" applyAlignment="1">
      <alignment horizontal="center" vertical="center" wrapText="1"/>
    </xf>
    <xf numFmtId="3" fontId="13" fillId="27" borderId="146" xfId="0" applyNumberFormat="1" applyFont="1" applyFill="1" applyBorder="1" applyAlignment="1">
      <alignment horizontal="center" vertical="center" wrapText="1"/>
    </xf>
    <xf numFmtId="3" fontId="13" fillId="27" borderId="205" xfId="0" applyNumberFormat="1" applyFont="1" applyFill="1" applyBorder="1" applyAlignment="1">
      <alignment horizontal="center" vertical="center" wrapText="1"/>
    </xf>
    <xf numFmtId="3" fontId="13" fillId="27" borderId="206" xfId="0" applyNumberFormat="1" applyFont="1" applyFill="1" applyBorder="1" applyAlignment="1">
      <alignment horizontal="center" vertical="center" wrapText="1"/>
    </xf>
    <xf numFmtId="3" fontId="13" fillId="27" borderId="147" xfId="0" applyNumberFormat="1" applyFont="1" applyFill="1" applyBorder="1" applyAlignment="1">
      <alignment horizontal="center" vertical="center" wrapText="1"/>
    </xf>
    <xf numFmtId="3" fontId="13" fillId="27" borderId="210" xfId="0" applyNumberFormat="1" applyFont="1" applyFill="1" applyBorder="1" applyAlignment="1">
      <alignment horizontal="center" vertical="center" wrapText="1"/>
    </xf>
    <xf numFmtId="3" fontId="13" fillId="27" borderId="211" xfId="0" applyNumberFormat="1" applyFont="1" applyFill="1" applyBorder="1" applyAlignment="1">
      <alignment horizontal="center" vertical="center" wrapText="1"/>
    </xf>
    <xf numFmtId="3" fontId="13" fillId="0" borderId="148" xfId="0" applyNumberFormat="1" applyFont="1" applyFill="1" applyBorder="1" applyAlignment="1">
      <alignment horizontal="center" vertical="center" wrapText="1"/>
    </xf>
    <xf numFmtId="3" fontId="13" fillId="0" borderId="150" xfId="0" applyNumberFormat="1" applyFont="1" applyFill="1" applyBorder="1" applyAlignment="1">
      <alignment horizontal="center" vertical="center" wrapText="1"/>
    </xf>
    <xf numFmtId="3" fontId="13" fillId="0" borderId="151" xfId="0" applyNumberFormat="1" applyFont="1" applyFill="1" applyBorder="1" applyAlignment="1">
      <alignment horizontal="center" vertical="center" wrapText="1"/>
    </xf>
    <xf numFmtId="3" fontId="13" fillId="0" borderId="152" xfId="0" applyNumberFormat="1" applyFont="1" applyFill="1" applyBorder="1" applyAlignment="1">
      <alignment horizontal="center" vertical="center" wrapText="1"/>
    </xf>
    <xf numFmtId="3" fontId="13" fillId="0" borderId="154" xfId="0" applyNumberFormat="1" applyFont="1" applyFill="1" applyBorder="1" applyAlignment="1">
      <alignment horizontal="center" vertical="center" wrapText="1"/>
    </xf>
    <xf numFmtId="3" fontId="13" fillId="0" borderId="155" xfId="0" applyNumberFormat="1" applyFont="1" applyFill="1" applyBorder="1" applyAlignment="1">
      <alignment horizontal="center" vertical="center" wrapText="1"/>
    </xf>
    <xf numFmtId="3" fontId="13" fillId="25" borderId="152" xfId="0" applyNumberFormat="1" applyFont="1" applyFill="1" applyBorder="1" applyAlignment="1">
      <alignment horizontal="center" vertical="center" wrapText="1"/>
    </xf>
    <xf numFmtId="3" fontId="13" fillId="25" borderId="154" xfId="0" applyNumberFormat="1" applyFont="1" applyFill="1" applyBorder="1" applyAlignment="1">
      <alignment horizontal="center" vertical="center" wrapText="1"/>
    </xf>
    <xf numFmtId="3" fontId="13" fillId="25" borderId="155" xfId="0" applyNumberFormat="1" applyFont="1" applyFill="1" applyBorder="1" applyAlignment="1">
      <alignment horizontal="center" vertical="center" wrapText="1"/>
    </xf>
    <xf numFmtId="3" fontId="13" fillId="24" borderId="152" xfId="0" applyNumberFormat="1" applyFont="1" applyFill="1" applyBorder="1" applyAlignment="1">
      <alignment horizontal="center" vertical="center" wrapText="1"/>
    </xf>
    <xf numFmtId="3" fontId="13" fillId="24" borderId="154" xfId="0" applyNumberFormat="1" applyFont="1" applyFill="1" applyBorder="1" applyAlignment="1">
      <alignment horizontal="center" vertical="center" wrapText="1"/>
    </xf>
    <xf numFmtId="3" fontId="13" fillId="24" borderId="155" xfId="0" applyNumberFormat="1" applyFont="1" applyFill="1" applyBorder="1" applyAlignment="1">
      <alignment horizontal="center" vertical="center" wrapText="1"/>
    </xf>
    <xf numFmtId="3" fontId="13" fillId="15" borderId="152" xfId="0" applyNumberFormat="1" applyFont="1" applyFill="1" applyBorder="1" applyAlignment="1">
      <alignment horizontal="center" vertical="center" wrapText="1"/>
    </xf>
    <xf numFmtId="3" fontId="13" fillId="15" borderId="154" xfId="0" applyNumberFormat="1" applyFont="1" applyFill="1" applyBorder="1" applyAlignment="1">
      <alignment horizontal="center" vertical="center" wrapText="1"/>
    </xf>
    <xf numFmtId="3" fontId="13" fillId="15" borderId="155" xfId="0" applyNumberFormat="1" applyFont="1" applyFill="1" applyBorder="1" applyAlignment="1">
      <alignment horizontal="center" vertical="center" wrapText="1"/>
    </xf>
    <xf numFmtId="3" fontId="13" fillId="15" borderId="296" xfId="0" applyNumberFormat="1" applyFont="1" applyFill="1" applyBorder="1" applyAlignment="1">
      <alignment horizontal="center" vertical="center" wrapText="1"/>
    </xf>
    <xf numFmtId="3" fontId="13" fillId="15" borderId="295" xfId="0" applyNumberFormat="1" applyFont="1" applyFill="1" applyBorder="1" applyAlignment="1">
      <alignment horizontal="center" vertical="center" wrapText="1"/>
    </xf>
    <xf numFmtId="3" fontId="13" fillId="15" borderId="297" xfId="0" applyNumberFormat="1" applyFont="1" applyFill="1" applyBorder="1" applyAlignment="1">
      <alignment horizontal="center" vertical="center" wrapText="1"/>
    </xf>
    <xf numFmtId="3" fontId="13" fillId="27" borderId="156" xfId="0" applyNumberFormat="1" applyFont="1" applyFill="1" applyBorder="1" applyAlignment="1">
      <alignment horizontal="center" vertical="center" wrapText="1"/>
    </xf>
    <xf numFmtId="3" fontId="13" fillId="27" borderId="158" xfId="0" applyNumberFormat="1" applyFont="1" applyFill="1" applyBorder="1" applyAlignment="1">
      <alignment horizontal="center" vertical="center" wrapText="1"/>
    </xf>
    <xf numFmtId="3" fontId="13" fillId="27" borderId="159" xfId="0" applyNumberFormat="1" applyFont="1" applyFill="1" applyBorder="1" applyAlignment="1">
      <alignment horizontal="center" vertical="center" wrapText="1"/>
    </xf>
    <xf numFmtId="3" fontId="13" fillId="25" borderId="148" xfId="0" applyNumberFormat="1" applyFont="1" applyFill="1" applyBorder="1" applyAlignment="1">
      <alignment horizontal="center" vertical="center" wrapText="1"/>
    </xf>
    <xf numFmtId="3" fontId="13" fillId="25" borderId="150" xfId="0" applyNumberFormat="1" applyFont="1" applyFill="1" applyBorder="1" applyAlignment="1">
      <alignment horizontal="center" vertical="center" wrapText="1"/>
    </xf>
    <xf numFmtId="3" fontId="13" fillId="25" borderId="151" xfId="0" applyNumberFormat="1" applyFont="1" applyFill="1" applyBorder="1" applyAlignment="1">
      <alignment horizontal="center" vertical="center" wrapText="1"/>
    </xf>
    <xf numFmtId="3" fontId="13" fillId="24" borderId="42" xfId="0" applyNumberFormat="1" applyFont="1" applyFill="1" applyBorder="1" applyAlignment="1">
      <alignment horizontal="center" vertical="center" wrapText="1"/>
    </xf>
    <xf numFmtId="3" fontId="13" fillId="24" borderId="7" xfId="0" applyNumberFormat="1" applyFont="1" applyFill="1" applyBorder="1" applyAlignment="1">
      <alignment horizontal="center" vertical="center" wrapText="1"/>
    </xf>
    <xf numFmtId="3" fontId="13" fillId="24" borderId="44" xfId="0" applyNumberFormat="1" applyFont="1" applyFill="1" applyBorder="1" applyAlignment="1">
      <alignment horizontal="center" vertical="center" wrapText="1"/>
    </xf>
    <xf numFmtId="3" fontId="13" fillId="12" borderId="324" xfId="0" applyNumberFormat="1" applyFont="1" applyFill="1" applyBorder="1" applyAlignment="1">
      <alignment horizontal="right" vertical="center" wrapText="1" indent="1"/>
    </xf>
    <xf numFmtId="3" fontId="13" fillId="12" borderId="320" xfId="0" applyNumberFormat="1" applyFont="1" applyFill="1" applyBorder="1" applyAlignment="1">
      <alignment horizontal="right" vertical="center" wrapText="1" indent="1"/>
    </xf>
    <xf numFmtId="3" fontId="13" fillId="12" borderId="325" xfId="0" applyNumberFormat="1" applyFont="1" applyFill="1" applyBorder="1" applyAlignment="1">
      <alignment horizontal="right" vertical="center" wrapText="1" indent="1"/>
    </xf>
    <xf numFmtId="3" fontId="13" fillId="12" borderId="146" xfId="0" applyNumberFormat="1" applyFont="1" applyFill="1" applyBorder="1" applyAlignment="1">
      <alignment horizontal="right" vertical="center" wrapText="1" indent="1"/>
    </xf>
    <xf numFmtId="3" fontId="13" fillId="12" borderId="205" xfId="0" applyNumberFormat="1" applyFont="1" applyFill="1" applyBorder="1" applyAlignment="1">
      <alignment horizontal="right" vertical="center" wrapText="1" indent="1"/>
    </xf>
    <xf numFmtId="3" fontId="13" fillId="12" borderId="206" xfId="0" applyNumberFormat="1" applyFont="1" applyFill="1" applyBorder="1" applyAlignment="1">
      <alignment horizontal="right" vertical="center" wrapText="1" indent="1"/>
    </xf>
    <xf numFmtId="3" fontId="13" fillId="12" borderId="187" xfId="0" applyNumberFormat="1" applyFont="1" applyFill="1" applyBorder="1" applyAlignment="1">
      <alignment horizontal="right" vertical="center" wrapText="1" indent="1"/>
    </xf>
    <xf numFmtId="3" fontId="13" fillId="12" borderId="117" xfId="0" applyNumberFormat="1" applyFont="1" applyFill="1" applyBorder="1" applyAlignment="1">
      <alignment horizontal="right" vertical="center" wrapText="1" indent="1"/>
    </xf>
    <xf numFmtId="3" fontId="13" fillId="12" borderId="189" xfId="0" applyNumberFormat="1" applyFont="1" applyFill="1" applyBorder="1" applyAlignment="1">
      <alignment horizontal="right" vertical="center" wrapText="1" indent="1"/>
    </xf>
    <xf numFmtId="3" fontId="13" fillId="24" borderId="492" xfId="0" applyNumberFormat="1" applyFont="1" applyFill="1" applyBorder="1" applyAlignment="1">
      <alignment horizontal="center" vertical="center" wrapText="1"/>
    </xf>
    <xf numFmtId="3" fontId="13" fillId="24" borderId="493" xfId="0" applyNumberFormat="1" applyFont="1" applyFill="1" applyBorder="1" applyAlignment="1">
      <alignment horizontal="center" vertical="center" wrapText="1"/>
    </xf>
    <xf numFmtId="3" fontId="13" fillId="24" borderId="494" xfId="0" applyNumberFormat="1" applyFont="1" applyFill="1" applyBorder="1" applyAlignment="1">
      <alignment horizontal="center" vertical="center" wrapText="1"/>
    </xf>
    <xf numFmtId="3" fontId="13" fillId="25" borderId="492" xfId="0" applyNumberFormat="1" applyFont="1" applyFill="1" applyBorder="1" applyAlignment="1">
      <alignment horizontal="center" vertical="center" wrapText="1"/>
    </xf>
    <xf numFmtId="3" fontId="13" fillId="25" borderId="493" xfId="0" applyNumberFormat="1" applyFont="1" applyFill="1" applyBorder="1" applyAlignment="1">
      <alignment horizontal="center" vertical="center" wrapText="1"/>
    </xf>
    <xf numFmtId="3" fontId="13" fillId="25" borderId="494" xfId="0" applyNumberFormat="1" applyFont="1" applyFill="1" applyBorder="1" applyAlignment="1">
      <alignment horizontal="center" vertical="center" wrapText="1"/>
    </xf>
    <xf numFmtId="3" fontId="13" fillId="12" borderId="492" xfId="0" applyNumberFormat="1" applyFont="1" applyFill="1" applyBorder="1" applyAlignment="1">
      <alignment horizontal="center" vertical="center" wrapText="1"/>
    </xf>
    <xf numFmtId="3" fontId="13" fillId="12" borderId="493" xfId="0" applyNumberFormat="1" applyFont="1" applyFill="1" applyBorder="1" applyAlignment="1">
      <alignment horizontal="center" vertical="center" wrapText="1"/>
    </xf>
    <xf numFmtId="3" fontId="13" fillId="12" borderId="494" xfId="0" applyNumberFormat="1" applyFont="1" applyFill="1" applyBorder="1" applyAlignment="1">
      <alignment horizontal="center" vertical="center" wrapText="1"/>
    </xf>
    <xf numFmtId="3" fontId="13" fillId="12" borderId="375" xfId="0" applyNumberFormat="1" applyFont="1" applyFill="1" applyBorder="1" applyAlignment="1">
      <alignment horizontal="center" vertical="center" wrapText="1"/>
    </xf>
    <xf numFmtId="3" fontId="13" fillId="12" borderId="364" xfId="0" applyNumberFormat="1" applyFont="1" applyFill="1" applyBorder="1" applyAlignment="1">
      <alignment horizontal="center" vertical="center" wrapText="1"/>
    </xf>
    <xf numFmtId="3" fontId="13" fillId="12" borderId="370" xfId="0" applyNumberFormat="1" applyFont="1" applyFill="1" applyBorder="1" applyAlignment="1">
      <alignment horizontal="center" vertical="center" wrapText="1"/>
    </xf>
    <xf numFmtId="3" fontId="13" fillId="25" borderId="51" xfId="0" applyNumberFormat="1" applyFont="1" applyFill="1" applyBorder="1" applyAlignment="1">
      <alignment horizontal="center" vertical="center" wrapText="1"/>
    </xf>
    <xf numFmtId="3" fontId="13" fillId="25" borderId="26" xfId="0" applyNumberFormat="1" applyFont="1" applyFill="1" applyBorder="1" applyAlignment="1">
      <alignment horizontal="center" vertical="center" wrapText="1"/>
    </xf>
    <xf numFmtId="3" fontId="13" fillId="25" borderId="33" xfId="0" applyNumberFormat="1" applyFont="1" applyFill="1" applyBorder="1" applyAlignment="1">
      <alignment horizontal="center" vertical="center" wrapText="1"/>
    </xf>
    <xf numFmtId="3" fontId="13" fillId="0" borderId="492" xfId="0" applyNumberFormat="1" applyFont="1" applyFill="1" applyBorder="1" applyAlignment="1">
      <alignment horizontal="center" vertical="center" wrapText="1"/>
    </xf>
    <xf numFmtId="3" fontId="13" fillId="0" borderId="494" xfId="0" applyNumberFormat="1" applyFont="1" applyFill="1" applyBorder="1" applyAlignment="1">
      <alignment horizontal="center" vertical="center" wrapText="1"/>
    </xf>
    <xf numFmtId="3" fontId="13" fillId="0" borderId="123" xfId="0" applyNumberFormat="1" applyFont="1" applyFill="1" applyBorder="1" applyAlignment="1">
      <alignment horizontal="center" vertical="center" wrapText="1"/>
    </xf>
    <xf numFmtId="3" fontId="13" fillId="0" borderId="124" xfId="0" applyNumberFormat="1" applyFont="1" applyFill="1" applyBorder="1" applyAlignment="1">
      <alignment horizontal="center" vertical="center" wrapText="1"/>
    </xf>
    <xf numFmtId="3" fontId="13" fillId="0" borderId="125" xfId="0" applyNumberFormat="1" applyFont="1" applyFill="1" applyBorder="1" applyAlignment="1">
      <alignment horizontal="center" vertical="center" wrapText="1"/>
    </xf>
    <xf numFmtId="3" fontId="13" fillId="0" borderId="51" xfId="0" applyNumberFormat="1" applyFont="1" applyFill="1" applyBorder="1" applyAlignment="1">
      <alignment horizontal="center" vertical="center" wrapText="1"/>
    </xf>
    <xf numFmtId="3" fontId="13" fillId="0" borderId="33" xfId="0" applyNumberFormat="1" applyFont="1" applyFill="1" applyBorder="1" applyAlignment="1">
      <alignment horizontal="center" vertical="center" wrapText="1"/>
    </xf>
    <xf numFmtId="3" fontId="13" fillId="12" borderId="375" xfId="0" applyNumberFormat="1" applyFont="1" applyFill="1" applyBorder="1" applyAlignment="1">
      <alignment horizontal="right" vertical="center" wrapText="1" indent="1"/>
    </xf>
    <xf numFmtId="3" fontId="13" fillId="12" borderId="364" xfId="0" applyNumberFormat="1" applyFont="1" applyFill="1" applyBorder="1" applyAlignment="1">
      <alignment horizontal="right" vertical="center" wrapText="1" indent="1"/>
    </xf>
    <xf numFmtId="3" fontId="13" fillId="12" borderId="370" xfId="0" applyNumberFormat="1" applyFont="1" applyFill="1" applyBorder="1" applyAlignment="1">
      <alignment horizontal="right" vertical="center" wrapText="1" indent="1"/>
    </xf>
    <xf numFmtId="2" fontId="13" fillId="0" borderId="17" xfId="0" applyNumberFormat="1" applyFont="1" applyFill="1" applyBorder="1" applyAlignment="1">
      <alignment horizontal="center" vertical="center" wrapText="1"/>
    </xf>
    <xf numFmtId="3" fontId="13" fillId="0" borderId="32" xfId="0" applyNumberFormat="1" applyFont="1" applyFill="1" applyBorder="1" applyAlignment="1">
      <alignment horizontal="center" vertical="center" wrapText="1"/>
    </xf>
    <xf numFmtId="183" fontId="9" fillId="25" borderId="145" xfId="0" applyNumberFormat="1" applyFont="1" applyFill="1" applyBorder="1" applyAlignment="1">
      <alignment horizontal="right" vertical="center" wrapText="1" indent="1"/>
    </xf>
    <xf numFmtId="183" fontId="9" fillId="25" borderId="199" xfId="0" applyNumberFormat="1" applyFont="1" applyFill="1" applyBorder="1" applyAlignment="1">
      <alignment horizontal="right" vertical="center" wrapText="1" indent="1"/>
    </xf>
    <xf numFmtId="183" fontId="9" fillId="25" borderId="130" xfId="0" applyNumberFormat="1" applyFont="1" applyFill="1" applyBorder="1" applyAlignment="1">
      <alignment horizontal="right" vertical="center" wrapText="1" indent="1"/>
    </xf>
    <xf numFmtId="183" fontId="9" fillId="25" borderId="204" xfId="0" applyNumberFormat="1" applyFont="1" applyFill="1" applyBorder="1" applyAlignment="1">
      <alignment horizontal="right" vertical="center" wrapText="1" indent="1"/>
    </xf>
    <xf numFmtId="183" fontId="9" fillId="0" borderId="146" xfId="0" applyNumberFormat="1" applyFont="1" applyFill="1" applyBorder="1" applyAlignment="1">
      <alignment horizontal="right" vertical="center" wrapText="1" indent="1"/>
    </xf>
    <xf numFmtId="183" fontId="9" fillId="0" borderId="206" xfId="0" applyNumberFormat="1" applyFont="1" applyFill="1" applyBorder="1" applyAlignment="1">
      <alignment horizontal="right" vertical="center" wrapText="1" indent="1"/>
    </xf>
    <xf numFmtId="183" fontId="9" fillId="0" borderId="205" xfId="0" applyNumberFormat="1" applyFont="1" applyFill="1" applyBorder="1" applyAlignment="1">
      <alignment horizontal="right" vertical="center" wrapText="1" indent="1"/>
    </xf>
    <xf numFmtId="183" fontId="9" fillId="0" borderId="195" xfId="0" applyNumberFormat="1" applyFont="1" applyFill="1" applyBorder="1" applyAlignment="1">
      <alignment horizontal="right" vertical="center" wrapText="1" indent="1"/>
    </xf>
    <xf numFmtId="183" fontId="9" fillId="24" borderId="146" xfId="0" applyNumberFormat="1" applyFont="1" applyFill="1" applyBorder="1" applyAlignment="1">
      <alignment horizontal="right" vertical="center" wrapText="1" indent="1"/>
    </xf>
    <xf numFmtId="183" fontId="9" fillId="24" borderId="206" xfId="0" applyNumberFormat="1" applyFont="1" applyFill="1" applyBorder="1" applyAlignment="1">
      <alignment horizontal="right" vertical="center" wrapText="1" indent="1"/>
    </xf>
    <xf numFmtId="183" fontId="9" fillId="24" borderId="205" xfId="0" applyNumberFormat="1" applyFont="1" applyFill="1" applyBorder="1" applyAlignment="1">
      <alignment horizontal="right" vertical="center" wrapText="1" indent="1"/>
    </xf>
    <xf numFmtId="183" fontId="9" fillId="24" borderId="195" xfId="0" applyNumberFormat="1" applyFont="1" applyFill="1" applyBorder="1" applyAlignment="1">
      <alignment horizontal="right" vertical="center" wrapText="1" indent="1"/>
    </xf>
    <xf numFmtId="183" fontId="9" fillId="27" borderId="146" xfId="0" applyNumberFormat="1" applyFont="1" applyFill="1" applyBorder="1" applyAlignment="1">
      <alignment horizontal="right" vertical="center" wrapText="1" indent="1"/>
    </xf>
    <xf numFmtId="183" fontId="9" fillId="27" borderId="206" xfId="0" applyNumberFormat="1" applyFont="1" applyFill="1" applyBorder="1" applyAlignment="1">
      <alignment horizontal="right" vertical="center" wrapText="1" indent="1"/>
    </xf>
    <xf numFmtId="183" fontId="9" fillId="27" borderId="205" xfId="0" applyNumberFormat="1" applyFont="1" applyFill="1" applyBorder="1" applyAlignment="1">
      <alignment horizontal="right" vertical="center" wrapText="1" indent="1"/>
    </xf>
    <xf numFmtId="183" fontId="9" fillId="27" borderId="195" xfId="0" applyNumberFormat="1" applyFont="1" applyFill="1" applyBorder="1" applyAlignment="1">
      <alignment horizontal="right" vertical="center" wrapText="1" indent="1"/>
    </xf>
    <xf numFmtId="183" fontId="9" fillId="27" borderId="147" xfId="0" applyNumberFormat="1" applyFont="1" applyFill="1" applyBorder="1" applyAlignment="1">
      <alignment horizontal="right" vertical="center" wrapText="1" indent="1"/>
    </xf>
    <xf numFmtId="183" fontId="9" fillId="27" borderId="211" xfId="0" applyNumberFormat="1" applyFont="1" applyFill="1" applyBorder="1" applyAlignment="1">
      <alignment horizontal="right" vertical="center" wrapText="1" indent="1"/>
    </xf>
    <xf numFmtId="183" fontId="9" fillId="27" borderId="210" xfId="0" applyNumberFormat="1" applyFont="1" applyFill="1" applyBorder="1" applyAlignment="1">
      <alignment horizontal="right" vertical="center" wrapText="1" indent="1"/>
    </xf>
    <xf numFmtId="183" fontId="13" fillId="12" borderId="324" xfId="0" applyNumberFormat="1" applyFont="1" applyFill="1" applyBorder="1" applyAlignment="1">
      <alignment horizontal="right" vertical="center" wrapText="1" indent="1"/>
    </xf>
    <xf numFmtId="183" fontId="9" fillId="24" borderId="23" xfId="0" applyNumberFormat="1" applyFont="1" applyFill="1" applyBorder="1" applyAlignment="1">
      <alignment horizontal="right" vertical="center" wrapText="1" indent="1"/>
    </xf>
    <xf numFmtId="183" fontId="9" fillId="25" borderId="23" xfId="0" applyNumberFormat="1" applyFont="1" applyFill="1" applyBorder="1" applyAlignment="1">
      <alignment horizontal="right" vertical="center" wrapText="1" indent="1"/>
    </xf>
    <xf numFmtId="183" fontId="13" fillId="25" borderId="492" xfId="0" applyNumberFormat="1" applyFont="1" applyFill="1" applyBorder="1" applyAlignment="1">
      <alignment horizontal="right" vertical="center" wrapText="1" indent="1"/>
    </xf>
    <xf numFmtId="183" fontId="13" fillId="12" borderId="492" xfId="0" applyNumberFormat="1" applyFont="1" applyFill="1" applyBorder="1" applyAlignment="1">
      <alignment horizontal="right" vertical="center" wrapText="1" indent="1"/>
    </xf>
    <xf numFmtId="183" fontId="13" fillId="12" borderId="375" xfId="0" applyNumberFormat="1" applyFont="1" applyFill="1" applyBorder="1" applyAlignment="1">
      <alignment horizontal="right" vertical="center" wrapText="1" indent="1"/>
    </xf>
    <xf numFmtId="183" fontId="13" fillId="0" borderId="492" xfId="0" applyNumberFormat="1" applyFont="1" applyFill="1" applyBorder="1" applyAlignment="1">
      <alignment horizontal="right" vertical="center" wrapText="1" indent="1"/>
    </xf>
    <xf numFmtId="183" fontId="13" fillId="24" borderId="492" xfId="0" applyNumberFormat="1" applyFont="1" applyFill="1" applyBorder="1" applyAlignment="1">
      <alignment horizontal="right" vertical="center" wrapText="1" indent="1"/>
    </xf>
    <xf numFmtId="183" fontId="13" fillId="0" borderId="39" xfId="0" applyNumberFormat="1" applyFont="1" applyFill="1" applyBorder="1" applyAlignment="1">
      <alignment horizontal="right" vertical="center" wrapText="1" indent="1"/>
    </xf>
    <xf numFmtId="183" fontId="13" fillId="27" borderId="147" xfId="0" applyNumberFormat="1" applyFont="1" applyFill="1" applyBorder="1" applyAlignment="1">
      <alignment horizontal="left" vertical="center" wrapText="1" indent="1"/>
    </xf>
    <xf numFmtId="183" fontId="13" fillId="27" borderId="211" xfId="0" applyNumberFormat="1" applyFont="1" applyFill="1" applyBorder="1" applyAlignment="1">
      <alignment horizontal="left" vertical="center" wrapText="1" indent="1"/>
    </xf>
    <xf numFmtId="183" fontId="13" fillId="27" borderId="156" xfId="0" applyNumberFormat="1" applyFont="1" applyFill="1" applyBorder="1" applyAlignment="1">
      <alignment horizontal="left" vertical="center" wrapText="1" indent="1"/>
    </xf>
    <xf numFmtId="183" fontId="13" fillId="27" borderId="159" xfId="0" applyNumberFormat="1" applyFont="1" applyFill="1" applyBorder="1" applyAlignment="1">
      <alignment horizontal="left" vertical="center" wrapText="1" indent="1"/>
    </xf>
    <xf numFmtId="0" fontId="0" fillId="14" borderId="551" xfId="0" applyFill="1" applyBorder="1" applyAlignment="1">
      <alignment horizontal="left" vertical="center"/>
    </xf>
    <xf numFmtId="0" fontId="0" fillId="14" borderId="71" xfId="0" applyFill="1" applyBorder="1" applyAlignment="1">
      <alignment vertical="center"/>
    </xf>
    <xf numFmtId="0" fontId="0" fillId="14" borderId="47" xfId="0" applyFill="1" applyBorder="1" applyAlignment="1">
      <alignment vertical="center"/>
    </xf>
    <xf numFmtId="0" fontId="0" fillId="14" borderId="551" xfId="0" applyFill="1" applyBorder="1" applyAlignment="1">
      <alignment vertical="center"/>
    </xf>
    <xf numFmtId="0" fontId="37" fillId="14" borderId="9" xfId="0" applyFont="1" applyFill="1" applyBorder="1" applyAlignment="1">
      <alignment horizontal="left" vertical="center" indent="1"/>
    </xf>
    <xf numFmtId="0" fontId="37" fillId="14" borderId="17" xfId="0" applyFont="1" applyFill="1" applyBorder="1" applyAlignment="1">
      <alignment horizontal="left" vertical="center" indent="1"/>
    </xf>
    <xf numFmtId="0" fontId="37" fillId="21" borderId="42" xfId="0" applyFont="1" applyFill="1" applyBorder="1" applyAlignment="1">
      <alignment vertical="center" wrapText="1"/>
    </xf>
    <xf numFmtId="0" fontId="37" fillId="21" borderId="492" xfId="0" applyFont="1" applyFill="1" applyBorder="1" applyAlignment="1">
      <alignment horizontal="center" vertical="center" wrapText="1"/>
    </xf>
    <xf numFmtId="232" fontId="37" fillId="21" borderId="492" xfId="0" applyNumberFormat="1" applyFont="1" applyFill="1" applyBorder="1" applyAlignment="1">
      <alignment horizontal="center" vertical="center"/>
    </xf>
    <xf numFmtId="232" fontId="37" fillId="21" borderId="493" xfId="0" applyNumberFormat="1" applyFont="1" applyFill="1" applyBorder="1" applyAlignment="1">
      <alignment horizontal="center" vertical="center"/>
    </xf>
    <xf numFmtId="0" fontId="37" fillId="21" borderId="3" xfId="0" applyFont="1" applyFill="1" applyBorder="1" applyAlignment="1">
      <alignment horizontal="center" vertical="center" wrapText="1"/>
    </xf>
    <xf numFmtId="183" fontId="56" fillId="25" borderId="544" xfId="0" applyNumberFormat="1" applyFont="1" applyFill="1" applyBorder="1" applyAlignment="1">
      <alignment horizontal="right" vertical="center" wrapText="1" indent="1"/>
    </xf>
    <xf numFmtId="183" fontId="0" fillId="12" borderId="544" xfId="0" applyNumberFormat="1" applyFont="1" applyFill="1" applyBorder="1" applyAlignment="1">
      <alignment horizontal="right" vertical="center" wrapText="1" indent="1"/>
    </xf>
    <xf numFmtId="183" fontId="0" fillId="12" borderId="440" xfId="0" applyNumberFormat="1" applyFont="1" applyFill="1" applyBorder="1" applyAlignment="1">
      <alignment horizontal="right" vertical="center" wrapText="1" indent="1"/>
    </xf>
    <xf numFmtId="183" fontId="0" fillId="25" borderId="544" xfId="0" applyNumberFormat="1" applyFont="1" applyFill="1" applyBorder="1" applyAlignment="1">
      <alignment horizontal="right" vertical="center" wrapText="1" indent="1"/>
    </xf>
    <xf numFmtId="183" fontId="13" fillId="0" borderId="544" xfId="0" applyNumberFormat="1" applyFont="1" applyFill="1" applyBorder="1" applyAlignment="1">
      <alignment horizontal="right" vertical="center" wrapText="1" indent="1"/>
    </xf>
    <xf numFmtId="183" fontId="0" fillId="0" borderId="544" xfId="0" applyNumberFormat="1" applyFont="1" applyFill="1" applyBorder="1" applyAlignment="1">
      <alignment horizontal="right" vertical="center" wrapText="1" indent="1"/>
    </xf>
    <xf numFmtId="0" fontId="1" fillId="26" borderId="44" xfId="0" quotePrefix="1" applyFont="1" applyFill="1" applyBorder="1" applyAlignment="1">
      <alignment horizontal="center" vertical="center" wrapText="1"/>
    </xf>
    <xf numFmtId="173" fontId="13" fillId="0" borderId="37" xfId="0" applyNumberFormat="1" applyFont="1" applyFill="1" applyBorder="1" applyAlignment="1">
      <alignment horizontal="right" vertical="center" wrapText="1" indent="1"/>
    </xf>
    <xf numFmtId="173" fontId="56" fillId="25" borderId="544" xfId="0" applyNumberFormat="1" applyFont="1" applyFill="1" applyBorder="1" applyAlignment="1">
      <alignment horizontal="right" vertical="center" wrapText="1" indent="1"/>
    </xf>
    <xf numFmtId="173" fontId="0" fillId="12" borderId="544" xfId="0" applyNumberFormat="1" applyFont="1" applyFill="1" applyBorder="1" applyAlignment="1">
      <alignment horizontal="right" vertical="center" wrapText="1" indent="1"/>
    </xf>
    <xf numFmtId="173" fontId="0" fillId="25" borderId="544" xfId="0" applyNumberFormat="1" applyFont="1" applyFill="1" applyBorder="1" applyAlignment="1">
      <alignment horizontal="right" vertical="center" wrapText="1" indent="1"/>
    </xf>
    <xf numFmtId="173" fontId="13" fillId="0" borderId="544" xfId="0" applyNumberFormat="1" applyFont="1" applyFill="1" applyBorder="1" applyAlignment="1">
      <alignment horizontal="right" vertical="center" wrapText="1" indent="1"/>
    </xf>
    <xf numFmtId="173" fontId="0" fillId="0" borderId="544" xfId="0" applyNumberFormat="1" applyFont="1" applyFill="1" applyBorder="1" applyAlignment="1">
      <alignment horizontal="right" vertical="center" wrapText="1" indent="1"/>
    </xf>
    <xf numFmtId="0" fontId="0" fillId="14" borderId="275" xfId="0" applyFill="1" applyBorder="1"/>
    <xf numFmtId="0" fontId="37" fillId="14" borderId="248" xfId="0" applyFont="1" applyFill="1" applyBorder="1" applyAlignment="1">
      <alignment horizontal="right" indent="2"/>
    </xf>
    <xf numFmtId="0" fontId="37" fillId="14" borderId="250" xfId="0" applyFont="1" applyFill="1" applyBorder="1" applyAlignment="1">
      <alignment horizontal="right" indent="2"/>
    </xf>
    <xf numFmtId="0" fontId="37" fillId="14" borderId="0" xfId="0" applyFont="1" applyFill="1" applyAlignment="1">
      <alignment horizontal="right" indent="2"/>
    </xf>
    <xf numFmtId="0" fontId="4" fillId="26" borderId="7" xfId="0" applyFont="1" applyFill="1" applyBorder="1" applyAlignment="1">
      <alignment horizontal="left" vertical="center" wrapText="1" indent="1"/>
    </xf>
    <xf numFmtId="183" fontId="56" fillId="12" borderId="325" xfId="0" applyNumberFormat="1" applyFont="1" applyFill="1" applyBorder="1" applyAlignment="1">
      <alignment horizontal="right" vertical="center" wrapText="1" indent="1"/>
    </xf>
    <xf numFmtId="183" fontId="1" fillId="25" borderId="494" xfId="0" applyNumberFormat="1" applyFont="1" applyFill="1" applyBorder="1" applyAlignment="1">
      <alignment horizontal="right" vertical="center" wrapText="1" indent="1"/>
    </xf>
    <xf numFmtId="183" fontId="0" fillId="24" borderId="44" xfId="0" applyNumberFormat="1" applyFont="1" applyFill="1" applyBorder="1" applyAlignment="1">
      <alignment horizontal="right" vertical="center" wrapText="1" indent="1"/>
    </xf>
    <xf numFmtId="183" fontId="0" fillId="12" borderId="494" xfId="0" applyNumberFormat="1" applyFont="1" applyFill="1" applyBorder="1" applyAlignment="1">
      <alignment horizontal="right" vertical="center" wrapText="1" indent="1"/>
    </xf>
    <xf numFmtId="183" fontId="0" fillId="12" borderId="370" xfId="0" applyNumberFormat="1" applyFont="1" applyFill="1" applyBorder="1" applyAlignment="1">
      <alignment horizontal="right" vertical="center" wrapText="1" indent="1"/>
    </xf>
    <xf numFmtId="183" fontId="0" fillId="25" borderId="494" xfId="0" applyNumberFormat="1" applyFont="1" applyFill="1" applyBorder="1" applyAlignment="1">
      <alignment horizontal="right" vertical="center" wrapText="1" indent="1"/>
    </xf>
    <xf numFmtId="183" fontId="0" fillId="0" borderId="494" xfId="0" applyNumberFormat="1" applyFont="1" applyFill="1" applyBorder="1" applyAlignment="1">
      <alignment horizontal="right" vertical="center" wrapText="1" indent="1"/>
    </xf>
    <xf numFmtId="1" fontId="9" fillId="0" borderId="39" xfId="0" applyNumberFormat="1" applyFont="1" applyFill="1" applyBorder="1" applyAlignment="1">
      <alignment horizontal="center" vertical="center" wrapText="1"/>
    </xf>
    <xf numFmtId="1" fontId="4" fillId="25" borderId="145" xfId="0" applyNumberFormat="1" applyFont="1" applyFill="1" applyBorder="1" applyAlignment="1">
      <alignment horizontal="center" vertical="center" wrapText="1"/>
    </xf>
    <xf numFmtId="1" fontId="4" fillId="0" borderId="146" xfId="0" applyNumberFormat="1" applyFont="1" applyFill="1" applyBorder="1" applyAlignment="1">
      <alignment horizontal="center" vertical="center" wrapText="1"/>
    </xf>
    <xf numFmtId="1" fontId="4" fillId="24" borderId="146" xfId="0" applyNumberFormat="1" applyFont="1" applyFill="1" applyBorder="1" applyAlignment="1">
      <alignment horizontal="center" vertical="center" wrapText="1"/>
    </xf>
    <xf numFmtId="1" fontId="4" fillId="27" borderId="146" xfId="0" applyNumberFormat="1" applyFont="1" applyFill="1" applyBorder="1" applyAlignment="1">
      <alignment horizontal="center" vertical="center" wrapText="1"/>
    </xf>
    <xf numFmtId="1" fontId="4" fillId="27" borderId="147" xfId="0" applyNumberFormat="1" applyFont="1" applyFill="1" applyBorder="1" applyAlignment="1">
      <alignment horizontal="center" vertical="center" wrapText="1"/>
    </xf>
    <xf numFmtId="1" fontId="37" fillId="12" borderId="324" xfId="0" applyNumberFormat="1" applyFont="1" applyFill="1" applyBorder="1" applyAlignment="1">
      <alignment horizontal="center" vertical="center" wrapText="1"/>
    </xf>
    <xf numFmtId="1" fontId="37" fillId="12" borderId="146" xfId="0" applyNumberFormat="1" applyFont="1" applyFill="1" applyBorder="1" applyAlignment="1">
      <alignment horizontal="center" vertical="center" wrapText="1"/>
    </xf>
    <xf numFmtId="1" fontId="37" fillId="12" borderId="187" xfId="0" applyNumberFormat="1" applyFont="1" applyFill="1" applyBorder="1" applyAlignment="1">
      <alignment horizontal="center" vertical="center" wrapText="1"/>
    </xf>
    <xf numFmtId="1" fontId="57" fillId="25" borderId="492" xfId="0" applyNumberFormat="1" applyFont="1" applyFill="1" applyBorder="1" applyAlignment="1">
      <alignment horizontal="center" vertical="center" wrapText="1"/>
    </xf>
    <xf numFmtId="1" fontId="37" fillId="12" borderId="492" xfId="0" applyNumberFormat="1" applyFont="1" applyFill="1" applyBorder="1" applyAlignment="1">
      <alignment horizontal="center" vertical="center" wrapText="1"/>
    </xf>
    <xf numFmtId="1" fontId="37" fillId="12" borderId="375" xfId="0" applyNumberFormat="1" applyFont="1" applyFill="1" applyBorder="1" applyAlignment="1">
      <alignment horizontal="center" vertical="center" wrapText="1"/>
    </xf>
    <xf numFmtId="1" fontId="37" fillId="25" borderId="492" xfId="0" applyNumberFormat="1" applyFont="1" applyFill="1" applyBorder="1" applyAlignment="1">
      <alignment horizontal="center" vertical="center" wrapText="1"/>
    </xf>
    <xf numFmtId="1" fontId="9" fillId="0" borderId="492" xfId="0" applyNumberFormat="1" applyFont="1" applyFill="1" applyBorder="1" applyAlignment="1">
      <alignment horizontal="center" vertical="center" wrapText="1"/>
    </xf>
    <xf numFmtId="1" fontId="37" fillId="0" borderId="492" xfId="0" applyNumberFormat="1" applyFont="1" applyFill="1" applyBorder="1" applyAlignment="1">
      <alignment horizontal="center" vertical="center" wrapText="1"/>
    </xf>
    <xf numFmtId="183" fontId="9" fillId="24" borderId="493" xfId="0" applyNumberFormat="1" applyFont="1" applyFill="1" applyBorder="1" applyAlignment="1">
      <alignment horizontal="right" vertical="center" wrapText="1" indent="1"/>
    </xf>
    <xf numFmtId="183" fontId="9" fillId="25" borderId="493" xfId="0" applyNumberFormat="1" applyFont="1" applyFill="1" applyBorder="1" applyAlignment="1">
      <alignment horizontal="right" vertical="center" wrapText="1" indent="1"/>
    </xf>
    <xf numFmtId="233" fontId="0" fillId="14" borderId="0" xfId="0" applyNumberFormat="1" applyFill="1" applyAlignment="1">
      <alignment horizontal="center"/>
    </xf>
    <xf numFmtId="234" fontId="0" fillId="14" borderId="0" xfId="0" applyNumberFormat="1" applyFill="1" applyAlignment="1">
      <alignment horizontal="center"/>
    </xf>
    <xf numFmtId="183" fontId="9" fillId="27" borderId="210" xfId="0" applyNumberFormat="1" applyFont="1" applyFill="1" applyBorder="1" applyAlignment="1">
      <alignment horizontal="left" vertical="center" wrapText="1" indent="1"/>
    </xf>
    <xf numFmtId="183" fontId="9" fillId="27" borderId="158" xfId="0" applyNumberFormat="1" applyFont="1" applyFill="1" applyBorder="1" applyAlignment="1">
      <alignment horizontal="left" vertical="center" wrapText="1" indent="1"/>
    </xf>
    <xf numFmtId="183" fontId="9" fillId="0" borderId="150" xfId="0" applyNumberFormat="1" applyFont="1" applyFill="1" applyBorder="1" applyAlignment="1">
      <alignment horizontal="right" vertical="center" wrapText="1" indent="1"/>
    </xf>
    <xf numFmtId="183" fontId="9" fillId="0" borderId="154" xfId="0" applyNumberFormat="1" applyFont="1" applyFill="1" applyBorder="1" applyAlignment="1">
      <alignment horizontal="right" vertical="center" wrapText="1" indent="1"/>
    </xf>
    <xf numFmtId="183" fontId="9" fillId="25" borderId="154" xfId="0" applyNumberFormat="1" applyFont="1" applyFill="1" applyBorder="1" applyAlignment="1">
      <alignment horizontal="right" vertical="center" wrapText="1" indent="1"/>
    </xf>
    <xf numFmtId="183" fontId="9" fillId="24" borderId="154" xfId="0" applyNumberFormat="1" applyFont="1" applyFill="1" applyBorder="1" applyAlignment="1">
      <alignment horizontal="right" vertical="center" wrapText="1" indent="1"/>
    </xf>
    <xf numFmtId="183" fontId="9" fillId="15" borderId="154" xfId="0" applyNumberFormat="1" applyFont="1" applyFill="1" applyBorder="1" applyAlignment="1">
      <alignment horizontal="right" vertical="center" wrapText="1" indent="1"/>
    </xf>
    <xf numFmtId="183" fontId="9" fillId="15" borderId="295" xfId="0" applyNumberFormat="1" applyFont="1" applyFill="1" applyBorder="1" applyAlignment="1">
      <alignment horizontal="right" vertical="center" wrapText="1" indent="1"/>
    </xf>
    <xf numFmtId="183" fontId="9" fillId="27" borderId="158" xfId="0" applyNumberFormat="1" applyFont="1" applyFill="1" applyBorder="1" applyAlignment="1">
      <alignment horizontal="right" vertical="center" wrapText="1" indent="1"/>
    </xf>
    <xf numFmtId="183" fontId="9" fillId="25" borderId="150" xfId="0" applyNumberFormat="1" applyFont="1" applyFill="1" applyBorder="1" applyAlignment="1">
      <alignment horizontal="right" vertical="center" wrapText="1" indent="1"/>
    </xf>
    <xf numFmtId="183" fontId="9" fillId="0" borderId="23" xfId="0" applyNumberFormat="1" applyFont="1" applyFill="1" applyBorder="1" applyAlignment="1">
      <alignment horizontal="right" vertical="center" wrapText="1" indent="1"/>
    </xf>
    <xf numFmtId="183" fontId="9" fillId="0" borderId="124" xfId="0" applyNumberFormat="1" applyFont="1" applyFill="1" applyBorder="1" applyAlignment="1">
      <alignment horizontal="right" vertical="center" wrapText="1" indent="1"/>
    </xf>
    <xf numFmtId="183" fontId="9" fillId="0" borderId="26" xfId="0" applyNumberFormat="1" applyFont="1" applyFill="1" applyBorder="1" applyAlignment="1">
      <alignment horizontal="right" vertical="center" wrapText="1" indent="1"/>
    </xf>
    <xf numFmtId="183" fontId="9" fillId="0" borderId="151" xfId="0" applyNumberFormat="1" applyFont="1" applyFill="1" applyBorder="1" applyAlignment="1">
      <alignment horizontal="right" vertical="center" wrapText="1" indent="1"/>
    </xf>
    <xf numFmtId="183" fontId="9" fillId="0" borderId="155" xfId="0" applyNumberFormat="1" applyFont="1" applyFill="1" applyBorder="1" applyAlignment="1">
      <alignment horizontal="right" vertical="center" wrapText="1" indent="1"/>
    </xf>
    <xf numFmtId="183" fontId="9" fillId="25" borderId="155" xfId="0" applyNumberFormat="1" applyFont="1" applyFill="1" applyBorder="1" applyAlignment="1">
      <alignment horizontal="right" vertical="center" wrapText="1" indent="1"/>
    </xf>
    <xf numFmtId="183" fontId="9" fillId="24" borderId="155" xfId="0" applyNumberFormat="1" applyFont="1" applyFill="1" applyBorder="1" applyAlignment="1">
      <alignment horizontal="right" vertical="center" wrapText="1" indent="1"/>
    </xf>
    <xf numFmtId="183" fontId="9" fillId="15" borderId="155" xfId="0" applyNumberFormat="1" applyFont="1" applyFill="1" applyBorder="1" applyAlignment="1">
      <alignment horizontal="right" vertical="center" wrapText="1" indent="1"/>
    </xf>
    <xf numFmtId="183" fontId="9" fillId="15" borderId="297" xfId="0" applyNumberFormat="1" applyFont="1" applyFill="1" applyBorder="1" applyAlignment="1">
      <alignment horizontal="right" vertical="center" wrapText="1" indent="1"/>
    </xf>
    <xf numFmtId="183" fontId="9" fillId="27" borderId="171" xfId="0" applyNumberFormat="1" applyFont="1" applyFill="1" applyBorder="1" applyAlignment="1">
      <alignment horizontal="right" vertical="center" wrapText="1" indent="1"/>
    </xf>
    <xf numFmtId="183" fontId="9" fillId="27" borderId="159" xfId="0" applyNumberFormat="1" applyFont="1" applyFill="1" applyBorder="1" applyAlignment="1">
      <alignment horizontal="right" vertical="center" wrapText="1" indent="1"/>
    </xf>
    <xf numFmtId="183" fontId="9" fillId="25" borderId="163" xfId="0" applyNumberFormat="1" applyFont="1" applyFill="1" applyBorder="1" applyAlignment="1">
      <alignment horizontal="right" vertical="center" wrapText="1" indent="1"/>
    </xf>
    <xf numFmtId="183" fontId="9" fillId="25" borderId="151" xfId="0" applyNumberFormat="1" applyFont="1" applyFill="1" applyBorder="1" applyAlignment="1">
      <alignment horizontal="right" vertical="center" wrapText="1" indent="1"/>
    </xf>
    <xf numFmtId="183" fontId="9" fillId="0" borderId="34" xfId="0" applyNumberFormat="1" applyFont="1" applyFill="1" applyBorder="1" applyAlignment="1">
      <alignment horizontal="right" vertical="center" wrapText="1" indent="1"/>
    </xf>
    <xf numFmtId="183" fontId="9" fillId="0" borderId="125" xfId="0" applyNumberFormat="1" applyFont="1" applyFill="1" applyBorder="1" applyAlignment="1">
      <alignment horizontal="right" vertical="center" wrapText="1" indent="1"/>
    </xf>
    <xf numFmtId="183" fontId="9" fillId="0" borderId="33" xfId="0" applyNumberFormat="1" applyFont="1" applyFill="1" applyBorder="1" applyAlignment="1">
      <alignment horizontal="right" vertical="center" wrapText="1" indent="1"/>
    </xf>
    <xf numFmtId="1" fontId="13" fillId="0" borderId="17" xfId="0" applyNumberFormat="1" applyFont="1" applyFill="1" applyBorder="1" applyAlignment="1">
      <alignment horizontal="center" vertical="center" wrapText="1"/>
    </xf>
    <xf numFmtId="1" fontId="13" fillId="12" borderId="320" xfId="0" applyNumberFormat="1" applyFont="1" applyFill="1" applyBorder="1" applyAlignment="1">
      <alignment horizontal="center" vertical="center" wrapText="1"/>
    </xf>
    <xf numFmtId="1" fontId="13" fillId="12" borderId="205" xfId="0" applyNumberFormat="1" applyFont="1" applyFill="1" applyBorder="1" applyAlignment="1">
      <alignment horizontal="center" vertical="center" wrapText="1"/>
    </xf>
    <xf numFmtId="1" fontId="13" fillId="12" borderId="117" xfId="0" applyNumberFormat="1" applyFont="1" applyFill="1" applyBorder="1" applyAlignment="1">
      <alignment horizontal="center" vertical="center" wrapText="1"/>
    </xf>
    <xf numFmtId="1" fontId="13" fillId="12" borderId="493" xfId="0" applyNumberFormat="1" applyFont="1" applyFill="1" applyBorder="1" applyAlignment="1">
      <alignment horizontal="center" vertical="center" wrapText="1"/>
    </xf>
    <xf numFmtId="1" fontId="13" fillId="12" borderId="364" xfId="0" applyNumberFormat="1" applyFont="1" applyFill="1" applyBorder="1" applyAlignment="1">
      <alignment horizontal="center" vertical="center" wrapText="1"/>
    </xf>
    <xf numFmtId="1" fontId="13" fillId="25" borderId="130" xfId="0" applyNumberFormat="1" applyFont="1" applyFill="1" applyBorder="1" applyAlignment="1">
      <alignment horizontal="center" vertical="center" wrapText="1"/>
    </xf>
    <xf numFmtId="1" fontId="13" fillId="0" borderId="205" xfId="0" applyNumberFormat="1" applyFont="1" applyFill="1" applyBorder="1" applyAlignment="1">
      <alignment horizontal="center" vertical="center" wrapText="1"/>
    </xf>
    <xf numFmtId="1" fontId="13" fillId="24" borderId="205" xfId="0" applyNumberFormat="1" applyFont="1" applyFill="1" applyBorder="1" applyAlignment="1">
      <alignment horizontal="center" vertical="center" wrapText="1"/>
    </xf>
    <xf numFmtId="1" fontId="13" fillId="27" borderId="205" xfId="0" applyNumberFormat="1" applyFont="1" applyFill="1" applyBorder="1" applyAlignment="1">
      <alignment horizontal="center" vertical="center" wrapText="1"/>
    </xf>
    <xf numFmtId="1" fontId="13" fillId="27" borderId="210" xfId="0" applyNumberFormat="1" applyFont="1" applyFill="1" applyBorder="1" applyAlignment="1">
      <alignment horizontal="center" vertical="center" wrapText="1"/>
    </xf>
    <xf numFmtId="1" fontId="13" fillId="27" borderId="158" xfId="0" applyNumberFormat="1" applyFont="1" applyFill="1" applyBorder="1" applyAlignment="1">
      <alignment horizontal="center" vertical="center" wrapText="1"/>
    </xf>
    <xf numFmtId="0" fontId="4" fillId="21" borderId="48" xfId="0" applyFont="1" applyFill="1" applyBorder="1" applyAlignment="1">
      <alignment vertical="center" wrapText="1"/>
    </xf>
    <xf numFmtId="183" fontId="13" fillId="12" borderId="325" xfId="0" applyNumberFormat="1" applyFont="1" applyFill="1" applyBorder="1" applyAlignment="1">
      <alignment horizontal="right" vertical="center" wrapText="1"/>
    </xf>
    <xf numFmtId="183" fontId="13" fillId="12" borderId="206" xfId="0" applyNumberFormat="1" applyFont="1" applyFill="1" applyBorder="1" applyAlignment="1">
      <alignment horizontal="right" vertical="center" wrapText="1"/>
    </xf>
    <xf numFmtId="183" fontId="13" fillId="12" borderId="189" xfId="0" applyNumberFormat="1" applyFont="1" applyFill="1" applyBorder="1" applyAlignment="1">
      <alignment horizontal="right" vertical="center" wrapText="1"/>
    </xf>
    <xf numFmtId="183" fontId="13" fillId="12" borderId="494" xfId="0" applyNumberFormat="1" applyFont="1" applyFill="1" applyBorder="1" applyAlignment="1">
      <alignment horizontal="right" vertical="center" wrapText="1"/>
    </xf>
    <xf numFmtId="183" fontId="13" fillId="12" borderId="370" xfId="0" applyNumberFormat="1" applyFont="1" applyFill="1" applyBorder="1" applyAlignment="1">
      <alignment horizontal="right" vertical="center" wrapText="1"/>
    </xf>
    <xf numFmtId="183" fontId="9" fillId="0" borderId="493" xfId="0" applyNumberFormat="1" applyFont="1" applyFill="1" applyBorder="1" applyAlignment="1">
      <alignment horizontal="right" vertical="center" wrapText="1" indent="1"/>
    </xf>
    <xf numFmtId="232" fontId="37" fillId="21" borderId="494" xfId="0" applyNumberFormat="1" applyFont="1" applyFill="1" applyBorder="1" applyAlignment="1">
      <alignment horizontal="center" vertical="center"/>
    </xf>
    <xf numFmtId="0" fontId="37" fillId="21" borderId="38" xfId="0" applyFont="1" applyFill="1" applyBorder="1" applyAlignment="1">
      <alignment horizontal="center" vertical="center" wrapText="1"/>
    </xf>
    <xf numFmtId="0" fontId="37" fillId="21" borderId="31" xfId="0" applyFont="1" applyFill="1" applyBorder="1" applyAlignment="1">
      <alignment horizontal="center" vertical="center" wrapText="1"/>
    </xf>
    <xf numFmtId="183" fontId="9" fillId="0" borderId="552" xfId="0" applyNumberFormat="1" applyFont="1" applyFill="1" applyBorder="1" applyAlignment="1">
      <alignment horizontal="right" vertical="center" wrapText="1" indent="1"/>
    </xf>
    <xf numFmtId="0" fontId="37" fillId="21" borderId="536" xfId="0" applyFont="1" applyFill="1" applyBorder="1" applyAlignment="1">
      <alignment horizontal="center" vertical="center" wrapText="1"/>
    </xf>
    <xf numFmtId="0" fontId="37" fillId="21" borderId="8" xfId="0" applyFont="1" applyFill="1" applyBorder="1" applyAlignment="1">
      <alignment vertical="center" wrapText="1"/>
    </xf>
    <xf numFmtId="183" fontId="13" fillId="0" borderId="18" xfId="0" applyNumberFormat="1" applyFont="1" applyFill="1" applyBorder="1" applyAlignment="1">
      <alignment horizontal="right" vertical="center" wrapText="1" indent="1"/>
    </xf>
    <xf numFmtId="183" fontId="13" fillId="27" borderId="215" xfId="0" applyNumberFormat="1" applyFont="1" applyFill="1" applyBorder="1" applyAlignment="1">
      <alignment horizontal="left" vertical="center" wrapText="1" indent="1"/>
    </xf>
    <xf numFmtId="183" fontId="13" fillId="27" borderId="170" xfId="0" applyNumberFormat="1" applyFont="1" applyFill="1" applyBorder="1" applyAlignment="1">
      <alignment horizontal="left" vertical="center" wrapText="1" indent="1"/>
    </xf>
    <xf numFmtId="3" fontId="13" fillId="12" borderId="419" xfId="0" applyNumberFormat="1" applyFont="1" applyFill="1" applyBorder="1" applyAlignment="1">
      <alignment vertical="center" wrapText="1"/>
    </xf>
    <xf numFmtId="0" fontId="0" fillId="21" borderId="492" xfId="0" applyFill="1" applyBorder="1" applyAlignment="1">
      <alignment horizontal="center" vertical="center"/>
    </xf>
    <xf numFmtId="0" fontId="0" fillId="21" borderId="536" xfId="0" applyFill="1" applyBorder="1" applyAlignment="1">
      <alignment horizontal="center" vertical="center"/>
    </xf>
    <xf numFmtId="0" fontId="0" fillId="21" borderId="494" xfId="0" applyFill="1" applyBorder="1" applyAlignment="1">
      <alignment horizontal="center" vertical="center"/>
    </xf>
    <xf numFmtId="0" fontId="0" fillId="21" borderId="493" xfId="0" applyFill="1" applyBorder="1" applyAlignment="1">
      <alignment horizontal="center" vertical="center"/>
    </xf>
    <xf numFmtId="0" fontId="0" fillId="21" borderId="544" xfId="0" applyFill="1" applyBorder="1" applyAlignment="1">
      <alignment horizontal="center" vertical="center"/>
    </xf>
    <xf numFmtId="0" fontId="1" fillId="21" borderId="492" xfId="0" applyFont="1" applyFill="1" applyBorder="1" applyAlignment="1">
      <alignment horizontal="center" vertical="center" wrapText="1"/>
    </xf>
    <xf numFmtId="183" fontId="9" fillId="0" borderId="17" xfId="0" applyNumberFormat="1" applyFont="1" applyFill="1" applyBorder="1" applyAlignment="1">
      <alignment horizontal="right" vertical="center" wrapText="1" indent="1"/>
    </xf>
    <xf numFmtId="183" fontId="9" fillId="12" borderId="320" xfId="0" applyNumberFormat="1" applyFont="1" applyFill="1" applyBorder="1" applyAlignment="1">
      <alignment horizontal="right" vertical="center" wrapText="1"/>
    </xf>
    <xf numFmtId="183" fontId="9" fillId="12" borderId="205" xfId="0" applyNumberFormat="1" applyFont="1" applyFill="1" applyBorder="1" applyAlignment="1">
      <alignment horizontal="right" vertical="center" wrapText="1"/>
    </xf>
    <xf numFmtId="183" fontId="9" fillId="12" borderId="117" xfId="0" applyNumberFormat="1" applyFont="1" applyFill="1" applyBorder="1" applyAlignment="1">
      <alignment horizontal="right" vertical="center" wrapText="1"/>
    </xf>
    <xf numFmtId="183" fontId="9" fillId="12" borderId="493" xfId="0" applyNumberFormat="1" applyFont="1" applyFill="1" applyBorder="1" applyAlignment="1">
      <alignment horizontal="right" vertical="center" wrapText="1"/>
    </xf>
    <xf numFmtId="183" fontId="9" fillId="12" borderId="364" xfId="0" applyNumberFormat="1" applyFont="1" applyFill="1" applyBorder="1" applyAlignment="1">
      <alignment horizontal="right" vertical="center" wrapText="1"/>
    </xf>
    <xf numFmtId="183" fontId="9" fillId="25" borderId="26" xfId="0" applyNumberFormat="1" applyFont="1" applyFill="1" applyBorder="1" applyAlignment="1">
      <alignment horizontal="right" vertical="center" wrapText="1" indent="1"/>
    </xf>
    <xf numFmtId="183" fontId="9" fillId="12" borderId="364" xfId="0" applyNumberFormat="1" applyFont="1" applyFill="1" applyBorder="1" applyAlignment="1">
      <alignment horizontal="right" vertical="center" wrapText="1" indent="1"/>
    </xf>
    <xf numFmtId="183" fontId="9" fillId="27" borderId="147" xfId="0" applyNumberFormat="1" applyFont="1" applyFill="1" applyBorder="1" applyAlignment="1">
      <alignment horizontal="left" vertical="center" wrapText="1" indent="1"/>
    </xf>
    <xf numFmtId="183" fontId="9" fillId="27" borderId="211" xfId="0" applyNumberFormat="1" applyFont="1" applyFill="1" applyBorder="1" applyAlignment="1">
      <alignment horizontal="left" vertical="center" wrapText="1" indent="1"/>
    </xf>
    <xf numFmtId="183" fontId="9" fillId="27" borderId="156" xfId="0" applyNumberFormat="1" applyFont="1" applyFill="1" applyBorder="1" applyAlignment="1">
      <alignment horizontal="left" vertical="center" wrapText="1" indent="1"/>
    </xf>
    <xf numFmtId="183" fontId="9" fillId="27" borderId="159" xfId="0" applyNumberFormat="1" applyFont="1" applyFill="1" applyBorder="1" applyAlignment="1">
      <alignment horizontal="left" vertical="center" wrapText="1" indent="1"/>
    </xf>
    <xf numFmtId="183" fontId="9" fillId="0" borderId="39" xfId="0" applyNumberFormat="1" applyFont="1" applyFill="1" applyBorder="1" applyAlignment="1">
      <alignment horizontal="left" vertical="center" wrapText="1" indent="1"/>
    </xf>
    <xf numFmtId="183" fontId="9" fillId="0" borderId="17" xfId="0" applyNumberFormat="1" applyFont="1" applyFill="1" applyBorder="1" applyAlignment="1">
      <alignment horizontal="left" vertical="center" wrapText="1" indent="1"/>
    </xf>
    <xf numFmtId="183" fontId="9" fillId="0" borderId="32" xfId="0" applyNumberFormat="1" applyFont="1" applyFill="1" applyBorder="1" applyAlignment="1">
      <alignment horizontal="left" vertical="center" wrapText="1" indent="1"/>
    </xf>
    <xf numFmtId="183" fontId="9" fillId="24" borderId="552" xfId="0" applyNumberFormat="1" applyFont="1" applyFill="1" applyBorder="1" applyAlignment="1">
      <alignment horizontal="right" vertical="center" wrapText="1" indent="1"/>
    </xf>
    <xf numFmtId="183" fontId="9" fillId="24" borderId="52" xfId="0" applyNumberFormat="1" applyFont="1" applyFill="1" applyBorder="1" applyAlignment="1">
      <alignment horizontal="right" vertical="center" wrapText="1" indent="1"/>
    </xf>
    <xf numFmtId="183" fontId="9" fillId="24" borderId="34" xfId="0" applyNumberFormat="1" applyFont="1" applyFill="1" applyBorder="1" applyAlignment="1">
      <alignment horizontal="right" vertical="center" wrapText="1" indent="1"/>
    </xf>
    <xf numFmtId="183" fontId="9" fillId="25" borderId="552" xfId="0" applyNumberFormat="1" applyFont="1" applyFill="1" applyBorder="1" applyAlignment="1">
      <alignment horizontal="right" vertical="center" wrapText="1" indent="1"/>
    </xf>
    <xf numFmtId="183" fontId="9" fillId="12" borderId="552" xfId="0" applyNumberFormat="1" applyFont="1" applyFill="1" applyBorder="1" applyAlignment="1">
      <alignment horizontal="right" vertical="center" wrapText="1" indent="1"/>
    </xf>
    <xf numFmtId="183" fontId="9" fillId="12" borderId="52" xfId="0" applyNumberFormat="1" applyFont="1" applyFill="1" applyBorder="1" applyAlignment="1">
      <alignment horizontal="right" vertical="center" wrapText="1" indent="1"/>
    </xf>
    <xf numFmtId="183" fontId="9" fillId="12" borderId="23" xfId="0" applyNumberFormat="1" applyFont="1" applyFill="1" applyBorder="1" applyAlignment="1">
      <alignment horizontal="right" vertical="center" wrapText="1" indent="1"/>
    </xf>
    <xf numFmtId="183" fontId="9" fillId="12" borderId="34" xfId="0" applyNumberFormat="1" applyFont="1" applyFill="1" applyBorder="1" applyAlignment="1">
      <alignment horizontal="right" vertical="center" wrapText="1" indent="1"/>
    </xf>
    <xf numFmtId="183" fontId="9" fillId="12" borderId="502" xfId="0" applyNumberFormat="1" applyFont="1" applyFill="1" applyBorder="1" applyAlignment="1">
      <alignment horizontal="right" vertical="center" wrapText="1" indent="1"/>
    </xf>
    <xf numFmtId="183" fontId="9" fillId="12" borderId="53" xfId="0" applyNumberFormat="1" applyFont="1" applyFill="1" applyBorder="1" applyAlignment="1">
      <alignment horizontal="right" vertical="center" wrapText="1" indent="1"/>
    </xf>
    <xf numFmtId="183" fontId="9" fillId="12" borderId="27" xfId="0" applyNumberFormat="1" applyFont="1" applyFill="1" applyBorder="1" applyAlignment="1">
      <alignment horizontal="right" vertical="center" wrapText="1" indent="1"/>
    </xf>
    <xf numFmtId="183" fontId="9" fillId="12" borderId="60" xfId="0" applyNumberFormat="1" applyFont="1" applyFill="1" applyBorder="1" applyAlignment="1">
      <alignment horizontal="right" vertical="center" wrapText="1" indent="1"/>
    </xf>
    <xf numFmtId="183" fontId="9" fillId="25" borderId="48" xfId="0" applyNumberFormat="1" applyFont="1" applyFill="1" applyBorder="1" applyAlignment="1">
      <alignment horizontal="right" vertical="center" wrapText="1" indent="1"/>
    </xf>
    <xf numFmtId="183" fontId="9" fillId="25" borderId="51" xfId="0" applyNumberFormat="1" applyFont="1" applyFill="1" applyBorder="1" applyAlignment="1">
      <alignment horizontal="right" vertical="center" wrapText="1" indent="1"/>
    </xf>
    <xf numFmtId="183" fontId="9" fillId="25" borderId="33" xfId="0" applyNumberFormat="1" applyFont="1" applyFill="1" applyBorder="1" applyAlignment="1">
      <alignment horizontal="right" vertical="center" wrapText="1" indent="1"/>
    </xf>
    <xf numFmtId="183" fontId="9" fillId="0" borderId="309" xfId="0" applyNumberFormat="1" applyFont="1" applyFill="1" applyBorder="1" applyAlignment="1">
      <alignment horizontal="right" vertical="center" wrapText="1" indent="1"/>
    </xf>
    <xf numFmtId="183" fontId="9" fillId="0" borderId="302" xfId="0" applyNumberFormat="1" applyFont="1" applyFill="1" applyBorder="1" applyAlignment="1">
      <alignment horizontal="right" vertical="center" wrapText="1" indent="1"/>
    </xf>
    <xf numFmtId="183" fontId="9" fillId="0" borderId="310" xfId="0" applyNumberFormat="1" applyFont="1" applyFill="1" applyBorder="1" applyAlignment="1">
      <alignment horizontal="right" vertical="center" wrapText="1" indent="1"/>
    </xf>
    <xf numFmtId="0" fontId="0" fillId="14" borderId="556" xfId="0" applyFill="1" applyBorder="1"/>
    <xf numFmtId="1" fontId="13" fillId="0" borderId="150" xfId="0" applyNumberFormat="1" applyFont="1" applyFill="1" applyBorder="1" applyAlignment="1">
      <alignment horizontal="right" vertical="center" wrapText="1" indent="1"/>
    </xf>
    <xf numFmtId="183" fontId="9" fillId="0" borderId="148" xfId="0" applyNumberFormat="1" applyFont="1" applyFill="1" applyBorder="1" applyAlignment="1">
      <alignment horizontal="right" vertical="center" wrapText="1" indent="1"/>
    </xf>
    <xf numFmtId="1" fontId="13" fillId="0" borderId="154" xfId="0" applyNumberFormat="1" applyFont="1" applyFill="1" applyBorder="1" applyAlignment="1">
      <alignment horizontal="right" vertical="center" wrapText="1" indent="1"/>
    </xf>
    <xf numFmtId="183" fontId="9" fillId="0" borderId="152" xfId="0" applyNumberFormat="1" applyFont="1" applyFill="1" applyBorder="1" applyAlignment="1">
      <alignment horizontal="right" vertical="center" wrapText="1" indent="1"/>
    </xf>
    <xf numFmtId="1" fontId="13" fillId="25" borderId="154" xfId="0" applyNumberFormat="1" applyFont="1" applyFill="1" applyBorder="1" applyAlignment="1">
      <alignment horizontal="right" vertical="center" wrapText="1" indent="1"/>
    </xf>
    <xf numFmtId="183" fontId="9" fillId="25" borderId="152" xfId="0" applyNumberFormat="1" applyFont="1" applyFill="1" applyBorder="1" applyAlignment="1">
      <alignment horizontal="right" vertical="center" wrapText="1" indent="1"/>
    </xf>
    <xf numFmtId="1" fontId="13" fillId="24" borderId="154" xfId="0" applyNumberFormat="1" applyFont="1" applyFill="1" applyBorder="1" applyAlignment="1">
      <alignment horizontal="right" vertical="center" wrapText="1" indent="1"/>
    </xf>
    <xf numFmtId="183" fontId="9" fillId="24" borderId="152" xfId="0" applyNumberFormat="1" applyFont="1" applyFill="1" applyBorder="1" applyAlignment="1">
      <alignment horizontal="right" vertical="center" wrapText="1" indent="1"/>
    </xf>
    <xf numFmtId="1" fontId="13" fillId="15" borderId="154" xfId="0" applyNumberFormat="1" applyFont="1" applyFill="1" applyBorder="1" applyAlignment="1">
      <alignment horizontal="right" vertical="center" wrapText="1" indent="1"/>
    </xf>
    <xf numFmtId="183" fontId="9" fillId="15" borderId="152" xfId="0" applyNumberFormat="1" applyFont="1" applyFill="1" applyBorder="1" applyAlignment="1">
      <alignment horizontal="right" vertical="center" wrapText="1" indent="1"/>
    </xf>
    <xf numFmtId="1" fontId="13" fillId="15" borderId="295" xfId="0" applyNumberFormat="1" applyFont="1" applyFill="1" applyBorder="1" applyAlignment="1">
      <alignment horizontal="right" vertical="center" wrapText="1" indent="1"/>
    </xf>
    <xf numFmtId="183" fontId="9" fillId="15" borderId="296" xfId="0" applyNumberFormat="1" applyFont="1" applyFill="1" applyBorder="1" applyAlignment="1">
      <alignment horizontal="right" vertical="center" wrapText="1" indent="1"/>
    </xf>
    <xf numFmtId="1" fontId="13" fillId="25" borderId="150" xfId="0" applyNumberFormat="1" applyFont="1" applyFill="1" applyBorder="1" applyAlignment="1">
      <alignment horizontal="right" vertical="center" wrapText="1" indent="1"/>
    </xf>
    <xf numFmtId="183" fontId="9" fillId="25" borderId="148" xfId="0" applyNumberFormat="1" applyFont="1" applyFill="1" applyBorder="1" applyAlignment="1">
      <alignment horizontal="right" vertical="center" wrapText="1" indent="1"/>
    </xf>
    <xf numFmtId="1" fontId="13" fillId="27" borderId="158" xfId="0" applyNumberFormat="1" applyFont="1" applyFill="1" applyBorder="1" applyAlignment="1">
      <alignment horizontal="right" vertical="center" wrapText="1" indent="1"/>
    </xf>
    <xf numFmtId="183" fontId="9" fillId="27" borderId="156" xfId="0" applyNumberFormat="1" applyFont="1" applyFill="1" applyBorder="1" applyAlignment="1">
      <alignment horizontal="right" vertical="center" wrapText="1" indent="1"/>
    </xf>
    <xf numFmtId="1" fontId="13" fillId="24" borderId="7" xfId="0" applyNumberFormat="1" applyFont="1" applyFill="1" applyBorder="1" applyAlignment="1">
      <alignment horizontal="right" vertical="center" wrapText="1" indent="1"/>
    </xf>
    <xf numFmtId="1" fontId="13" fillId="24" borderId="493" xfId="0" applyNumberFormat="1" applyFont="1" applyFill="1" applyBorder="1" applyAlignment="1">
      <alignment horizontal="right" vertical="center" wrapText="1" indent="1"/>
    </xf>
    <xf numFmtId="1" fontId="13" fillId="25" borderId="493" xfId="0" applyNumberFormat="1" applyFont="1" applyFill="1" applyBorder="1" applyAlignment="1">
      <alignment horizontal="right" vertical="center" wrapText="1" indent="1"/>
    </xf>
    <xf numFmtId="1" fontId="13" fillId="25" borderId="26" xfId="0" applyNumberFormat="1" applyFont="1" applyFill="1" applyBorder="1" applyAlignment="1">
      <alignment horizontal="right" vertical="center" wrapText="1" indent="1"/>
    </xf>
    <xf numFmtId="1" fontId="13" fillId="12" borderId="364" xfId="0" applyNumberFormat="1" applyFont="1" applyFill="1" applyBorder="1" applyAlignment="1">
      <alignment horizontal="right" vertical="center" wrapText="1" indent="1"/>
    </xf>
    <xf numFmtId="1" fontId="13" fillId="12" borderId="493" xfId="0" applyNumberFormat="1" applyFont="1" applyFill="1" applyBorder="1" applyAlignment="1">
      <alignment horizontal="right" vertical="center" wrapText="1" indent="1"/>
    </xf>
    <xf numFmtId="183" fontId="9" fillId="12" borderId="493" xfId="0" applyNumberFormat="1" applyFont="1" applyFill="1" applyBorder="1" applyAlignment="1">
      <alignment horizontal="right" vertical="center" wrapText="1" indent="1"/>
    </xf>
    <xf numFmtId="1" fontId="13" fillId="0" borderId="493" xfId="0" applyNumberFormat="1" applyFont="1" applyFill="1" applyBorder="1" applyAlignment="1">
      <alignment horizontal="right" vertical="center" wrapText="1" indent="1"/>
    </xf>
    <xf numFmtId="183" fontId="9" fillId="0" borderId="52" xfId="0" applyNumberFormat="1" applyFont="1" applyFill="1" applyBorder="1" applyAlignment="1">
      <alignment horizontal="right" vertical="center" wrapText="1" indent="1"/>
    </xf>
    <xf numFmtId="1" fontId="13" fillId="0" borderId="124" xfId="0" applyNumberFormat="1" applyFont="1" applyFill="1" applyBorder="1" applyAlignment="1">
      <alignment horizontal="right" vertical="center" wrapText="1" indent="1"/>
    </xf>
    <xf numFmtId="183" fontId="9" fillId="0" borderId="123" xfId="0" applyNumberFormat="1" applyFont="1" applyFill="1" applyBorder="1" applyAlignment="1">
      <alignment horizontal="right" vertical="center" wrapText="1" indent="1"/>
    </xf>
    <xf numFmtId="1" fontId="13" fillId="0" borderId="26" xfId="0" applyNumberFormat="1" applyFont="1" applyFill="1" applyBorder="1" applyAlignment="1">
      <alignment horizontal="right" vertical="center" wrapText="1" indent="1"/>
    </xf>
    <xf numFmtId="183" fontId="9" fillId="0" borderId="51" xfId="0" applyNumberFormat="1" applyFont="1" applyFill="1" applyBorder="1" applyAlignment="1">
      <alignment horizontal="right" vertical="center" wrapText="1" indent="1"/>
    </xf>
    <xf numFmtId="222" fontId="37" fillId="39" borderId="533" xfId="0" applyNumberFormat="1" applyFont="1" applyFill="1" applyBorder="1" applyAlignment="1">
      <alignment horizontal="right" vertical="center" wrapText="1" indent="1"/>
    </xf>
    <xf numFmtId="164" fontId="1" fillId="14" borderId="17" xfId="0" applyNumberFormat="1" applyFont="1" applyFill="1" applyBorder="1" applyAlignment="1">
      <alignment horizontal="left" vertical="center" wrapText="1" indent="1"/>
    </xf>
    <xf numFmtId="14" fontId="1" fillId="14" borderId="3" xfId="0" applyNumberFormat="1" applyFont="1" applyFill="1" applyBorder="1" applyAlignment="1">
      <alignment horizontal="left" vertical="center" wrapText="1" indent="1"/>
    </xf>
    <xf numFmtId="0" fontId="13" fillId="14" borderId="3" xfId="0" applyNumberFormat="1" applyFont="1" applyFill="1" applyBorder="1" applyAlignment="1">
      <alignment horizontal="center" vertical="center" wrapText="1"/>
    </xf>
    <xf numFmtId="0" fontId="0" fillId="14" borderId="0" xfId="0" applyFill="1" applyBorder="1"/>
    <xf numFmtId="0" fontId="0" fillId="14" borderId="353" xfId="0" applyFill="1" applyBorder="1"/>
    <xf numFmtId="0" fontId="0" fillId="0" borderId="0" xfId="0" applyAlignment="1">
      <alignment horizontal="left"/>
    </xf>
    <xf numFmtId="166" fontId="0" fillId="40" borderId="230" xfId="0" applyNumberFormat="1" applyFill="1" applyBorder="1" applyAlignment="1">
      <alignment horizontal="left" vertical="center"/>
    </xf>
    <xf numFmtId="3" fontId="0" fillId="40" borderId="230" xfId="0" applyNumberFormat="1" applyFill="1" applyBorder="1" applyAlignment="1">
      <alignment horizontal="left" vertical="center"/>
    </xf>
    <xf numFmtId="0" fontId="0" fillId="40" borderId="230" xfId="0" applyFill="1" applyBorder="1" applyAlignment="1">
      <alignment horizontal="left" vertical="center"/>
    </xf>
    <xf numFmtId="0" fontId="0" fillId="40" borderId="347" xfId="0" applyFill="1" applyBorder="1" applyAlignment="1">
      <alignment horizontal="left" vertical="center"/>
    </xf>
    <xf numFmtId="0" fontId="0" fillId="40" borderId="348" xfId="0" applyFill="1" applyBorder="1" applyAlignment="1">
      <alignment horizontal="left" vertical="center"/>
    </xf>
    <xf numFmtId="0" fontId="0" fillId="40" borderId="347" xfId="0" applyFill="1" applyBorder="1" applyAlignment="1">
      <alignment horizontal="left" vertical="top" wrapText="1"/>
    </xf>
    <xf numFmtId="0" fontId="0" fillId="40" borderId="352" xfId="0" applyFill="1" applyBorder="1" applyAlignment="1">
      <alignment horizontal="left" vertical="top" wrapText="1"/>
    </xf>
    <xf numFmtId="0" fontId="0" fillId="40" borderId="348" xfId="0" applyFill="1" applyBorder="1" applyAlignment="1">
      <alignment horizontal="left" vertical="top" wrapText="1"/>
    </xf>
    <xf numFmtId="2" fontId="17" fillId="40" borderId="230" xfId="0" applyNumberFormat="1" applyFont="1" applyFill="1" applyBorder="1" applyAlignment="1">
      <alignment horizontal="left" vertical="center"/>
    </xf>
    <xf numFmtId="0" fontId="18" fillId="0" borderId="0" xfId="0" applyFont="1" applyFill="1" applyBorder="1" applyAlignment="1">
      <alignment horizontal="center" vertical="center"/>
    </xf>
    <xf numFmtId="171" fontId="0" fillId="40" borderId="347" xfId="0" applyNumberFormat="1" applyFill="1" applyBorder="1" applyAlignment="1">
      <alignment horizontal="left" vertical="center"/>
    </xf>
    <xf numFmtId="0" fontId="0" fillId="0" borderId="8" xfId="0" applyFill="1" applyBorder="1" applyAlignment="1" applyProtection="1">
      <alignment horizontal="center" vertical="center" wrapText="1"/>
    </xf>
    <xf numFmtId="0" fontId="0" fillId="14" borderId="0" xfId="0" applyFill="1" applyAlignment="1">
      <alignment horizontal="left"/>
    </xf>
    <xf numFmtId="0" fontId="0" fillId="0" borderId="0" xfId="0" applyBorder="1" applyAlignment="1">
      <alignment horizontal="left" vertical="top" wrapText="1"/>
    </xf>
    <xf numFmtId="0" fontId="0" fillId="14" borderId="0" xfId="0" applyFill="1" applyBorder="1" applyProtection="1">
      <protection locked="0"/>
    </xf>
    <xf numFmtId="0" fontId="37" fillId="14" borderId="231" xfId="0" applyFont="1" applyFill="1" applyBorder="1" applyAlignment="1" applyProtection="1">
      <alignment horizontal="left" vertical="center" indent="1"/>
    </xf>
    <xf numFmtId="0" fontId="0" fillId="14" borderId="338" xfId="0" applyFill="1" applyBorder="1" applyProtection="1"/>
    <xf numFmtId="0" fontId="41" fillId="14" borderId="338" xfId="0" applyFont="1" applyFill="1" applyBorder="1" applyProtection="1"/>
    <xf numFmtId="0" fontId="0" fillId="14" borderId="338" xfId="0" applyFill="1" applyBorder="1" applyAlignment="1" applyProtection="1">
      <alignment horizontal="center" vertical="center"/>
    </xf>
    <xf numFmtId="0" fontId="0" fillId="52" borderId="338" xfId="0" applyFill="1" applyBorder="1" applyAlignment="1" applyProtection="1">
      <alignment horizontal="center" vertical="center"/>
    </xf>
    <xf numFmtId="0" fontId="0" fillId="14" borderId="525" xfId="0" applyFill="1" applyBorder="1" applyProtection="1"/>
    <xf numFmtId="0" fontId="0" fillId="14" borderId="515" xfId="0" applyFill="1" applyBorder="1" applyAlignment="1" applyProtection="1">
      <alignment horizontal="left" vertical="center" indent="1"/>
    </xf>
    <xf numFmtId="0" fontId="41" fillId="14" borderId="0" xfId="0" applyFont="1" applyFill="1" applyBorder="1" applyProtection="1"/>
    <xf numFmtId="0" fontId="0" fillId="14" borderId="0" xfId="0" applyFill="1" applyBorder="1" applyAlignment="1" applyProtection="1">
      <alignment horizontal="center" vertical="center"/>
    </xf>
    <xf numFmtId="0" fontId="0" fillId="52" borderId="0" xfId="0" applyFill="1" applyBorder="1" applyAlignment="1" applyProtection="1">
      <alignment horizontal="center" vertical="center"/>
    </xf>
    <xf numFmtId="0" fontId="0" fillId="14" borderId="345" xfId="0" applyFill="1" applyBorder="1" applyProtection="1"/>
    <xf numFmtId="0" fontId="0" fillId="14" borderId="515" xfId="0" applyFill="1" applyBorder="1" applyAlignment="1" applyProtection="1">
      <alignment horizontal="left" indent="1"/>
    </xf>
    <xf numFmtId="0" fontId="0" fillId="0" borderId="0" xfId="0" applyBorder="1" applyProtection="1"/>
    <xf numFmtId="0" fontId="38" fillId="47" borderId="142" xfId="0" applyFont="1" applyFill="1" applyBorder="1" applyAlignment="1" applyProtection="1">
      <alignment horizontal="center" vertical="center"/>
    </xf>
    <xf numFmtId="0" fontId="0" fillId="14" borderId="0" xfId="0" quotePrefix="1" applyFill="1" applyBorder="1" applyProtection="1"/>
    <xf numFmtId="0" fontId="0" fillId="14" borderId="344" xfId="0" quotePrefix="1" applyFill="1" applyBorder="1" applyProtection="1"/>
    <xf numFmtId="0" fontId="0" fillId="14" borderId="344" xfId="0" applyFill="1" applyBorder="1" applyProtection="1"/>
    <xf numFmtId="0" fontId="41" fillId="14" borderId="344" xfId="0" applyFont="1" applyFill="1" applyBorder="1" applyProtection="1"/>
    <xf numFmtId="0" fontId="0" fillId="14" borderId="344" xfId="0" applyFill="1" applyBorder="1" applyAlignment="1" applyProtection="1">
      <alignment horizontal="center" vertical="center"/>
    </xf>
    <xf numFmtId="0" fontId="0" fillId="52" borderId="344" xfId="0" applyFill="1" applyBorder="1" applyAlignment="1" applyProtection="1">
      <alignment horizontal="center" vertical="center"/>
    </xf>
    <xf numFmtId="0" fontId="0" fillId="14" borderId="527" xfId="0" applyFill="1" applyBorder="1" applyProtection="1"/>
    <xf numFmtId="0" fontId="0" fillId="14" borderId="0" xfId="0" applyFill="1" applyAlignment="1" applyProtection="1">
      <alignment horizontal="center" vertical="center"/>
      <protection locked="0"/>
    </xf>
    <xf numFmtId="0" fontId="0" fillId="14" borderId="559" xfId="0" applyFill="1" applyBorder="1" applyProtection="1"/>
    <xf numFmtId="0" fontId="0" fillId="14" borderId="558" xfId="0" applyFill="1" applyBorder="1" applyAlignment="1" applyProtection="1">
      <alignment horizontal="center" vertical="center"/>
    </xf>
    <xf numFmtId="0" fontId="0" fillId="14" borderId="1" xfId="0" applyFill="1" applyBorder="1" applyProtection="1"/>
    <xf numFmtId="0" fontId="0" fillId="14" borderId="2" xfId="0" applyFill="1" applyBorder="1" applyAlignment="1" applyProtection="1">
      <alignment horizontal="center" vertical="center"/>
    </xf>
    <xf numFmtId="0" fontId="0" fillId="14" borderId="0" xfId="0" applyFill="1" applyAlignment="1" applyProtection="1">
      <alignment horizontal="left" indent="1"/>
    </xf>
    <xf numFmtId="0" fontId="41" fillId="14" borderId="0" xfId="0" applyFont="1" applyFill="1" applyProtection="1"/>
    <xf numFmtId="0" fontId="0" fillId="14" borderId="2" xfId="0" applyFill="1" applyBorder="1" applyAlignment="1" applyProtection="1">
      <alignment vertical="center" wrapText="1"/>
    </xf>
    <xf numFmtId="214" fontId="0" fillId="14" borderId="0" xfId="0" applyNumberFormat="1" applyFill="1" applyAlignment="1" applyProtection="1">
      <alignment horizontal="left" indent="1"/>
    </xf>
    <xf numFmtId="0" fontId="0" fillId="14" borderId="575" xfId="0" applyFill="1" applyBorder="1" applyProtection="1"/>
    <xf numFmtId="0" fontId="0" fillId="14" borderId="577" xfId="0" applyFill="1" applyBorder="1" applyAlignment="1" applyProtection="1">
      <alignment horizontal="center" vertical="center"/>
    </xf>
    <xf numFmtId="213" fontId="0" fillId="14" borderId="0" xfId="0" applyNumberFormat="1" applyFill="1" applyAlignment="1" applyProtection="1">
      <alignment horizontal="left" indent="1"/>
    </xf>
    <xf numFmtId="0" fontId="0" fillId="14" borderId="268" xfId="0" applyFill="1" applyBorder="1" applyProtection="1"/>
    <xf numFmtId="0" fontId="0" fillId="14" borderId="578" xfId="0" applyFill="1" applyBorder="1" applyAlignment="1" applyProtection="1">
      <alignment horizontal="center" vertical="center"/>
    </xf>
    <xf numFmtId="0" fontId="77" fillId="14" borderId="0" xfId="0" applyFont="1" applyFill="1" applyAlignment="1" applyProtection="1"/>
    <xf numFmtId="0" fontId="77" fillId="14" borderId="268" xfId="0" applyFont="1" applyFill="1" applyBorder="1" applyAlignment="1" applyProtection="1"/>
    <xf numFmtId="0" fontId="77" fillId="14" borderId="8" xfId="0" applyFont="1" applyFill="1" applyBorder="1" applyAlignment="1" applyProtection="1"/>
    <xf numFmtId="0" fontId="0" fillId="14" borderId="6" xfId="0" applyFill="1" applyBorder="1" applyAlignment="1" applyProtection="1">
      <alignment horizontal="center" vertical="center"/>
    </xf>
    <xf numFmtId="0" fontId="0" fillId="14" borderId="0" xfId="0" applyFill="1" applyAlignment="1" applyProtection="1">
      <alignment horizontal="left" vertical="center" wrapText="1"/>
    </xf>
    <xf numFmtId="0" fontId="0" fillId="14" borderId="2" xfId="0" applyFill="1" applyBorder="1" applyAlignment="1" applyProtection="1">
      <alignment horizontal="left" vertical="center" wrapText="1"/>
    </xf>
    <xf numFmtId="0" fontId="0" fillId="14" borderId="0" xfId="0" applyFill="1" applyAlignment="1" applyProtection="1">
      <alignment horizontal="left" vertical="top" wrapText="1"/>
    </xf>
    <xf numFmtId="0" fontId="0" fillId="14" borderId="2" xfId="0" applyFill="1" applyBorder="1" applyAlignment="1" applyProtection="1">
      <alignment horizontal="left" vertical="top" wrapText="1"/>
    </xf>
    <xf numFmtId="0" fontId="0" fillId="14" borderId="0" xfId="0" applyFill="1" applyAlignment="1" applyProtection="1">
      <alignment horizontal="center"/>
    </xf>
    <xf numFmtId="0" fontId="0" fillId="14" borderId="0" xfId="0" applyFill="1" applyAlignment="1" applyProtection="1">
      <alignment horizontal="center" vertical="center"/>
    </xf>
    <xf numFmtId="0" fontId="0" fillId="52" borderId="0" xfId="0" applyFill="1" applyAlignment="1" applyProtection="1">
      <alignment horizontal="center" vertical="center"/>
    </xf>
    <xf numFmtId="183" fontId="39" fillId="14" borderId="0" xfId="0" applyNumberFormat="1" applyFont="1" applyFill="1" applyBorder="1" applyAlignment="1" applyProtection="1">
      <alignment horizontal="right" vertical="center" wrapText="1"/>
    </xf>
    <xf numFmtId="183" fontId="0" fillId="14" borderId="0" xfId="0" applyNumberFormat="1" applyFill="1" applyBorder="1" applyAlignment="1" applyProtection="1">
      <alignment horizontal="center" vertical="center" wrapText="1"/>
    </xf>
    <xf numFmtId="0" fontId="39" fillId="0" borderId="0" xfId="0" applyFont="1" applyAlignment="1" applyProtection="1">
      <alignment horizontal="right"/>
    </xf>
    <xf numFmtId="183" fontId="0" fillId="14" borderId="0" xfId="0" applyNumberFormat="1" applyFill="1" applyBorder="1" applyAlignment="1" applyProtection="1">
      <alignment horizontal="left" vertical="center" wrapText="1"/>
    </xf>
    <xf numFmtId="0" fontId="39" fillId="0" borderId="0" xfId="0" applyFont="1" applyAlignment="1" applyProtection="1">
      <alignment horizontal="right" vertical="top"/>
    </xf>
    <xf numFmtId="0" fontId="41" fillId="43" borderId="0" xfId="0" applyFont="1" applyFill="1" applyProtection="1"/>
    <xf numFmtId="0" fontId="0" fillId="43" borderId="0" xfId="0" applyFill="1" applyAlignment="1" applyProtection="1">
      <alignment horizontal="center" vertical="center"/>
    </xf>
    <xf numFmtId="0" fontId="70" fillId="14" borderId="0" xfId="0" applyFont="1" applyFill="1" applyAlignment="1" applyProtection="1">
      <alignment horizontal="right"/>
    </xf>
    <xf numFmtId="0" fontId="0" fillId="14" borderId="0" xfId="0" applyFill="1" applyBorder="1" applyAlignment="1" applyProtection="1">
      <alignment horizontal="center"/>
    </xf>
    <xf numFmtId="0" fontId="37" fillId="14" borderId="23" xfId="0" applyFont="1" applyFill="1" applyBorder="1" applyAlignment="1" applyProtection="1">
      <alignment horizontal="right" indent="1"/>
    </xf>
    <xf numFmtId="222" fontId="37" fillId="14" borderId="0" xfId="0" applyNumberFormat="1" applyFont="1" applyFill="1" applyBorder="1" applyAlignment="1" applyProtection="1">
      <alignment horizontal="center" vertical="center"/>
    </xf>
    <xf numFmtId="0" fontId="0" fillId="14" borderId="2" xfId="0" applyFont="1" applyFill="1" applyBorder="1" applyAlignment="1" applyProtection="1">
      <alignment vertical="center" wrapText="1"/>
    </xf>
    <xf numFmtId="9" fontId="37" fillId="14" borderId="0" xfId="0" applyNumberFormat="1" applyFont="1" applyFill="1" applyBorder="1" applyAlignment="1" applyProtection="1">
      <alignment horizontal="center" vertical="center"/>
    </xf>
    <xf numFmtId="0" fontId="0" fillId="14" borderId="2" xfId="0" applyFont="1" applyFill="1" applyBorder="1" applyAlignment="1" applyProtection="1">
      <alignment vertical="center"/>
    </xf>
    <xf numFmtId="189" fontId="48" fillId="14" borderId="23" xfId="0" applyNumberFormat="1" applyFont="1" applyFill="1" applyBorder="1" applyAlignment="1" applyProtection="1">
      <alignment horizontal="center" vertical="center"/>
    </xf>
    <xf numFmtId="189" fontId="48" fillId="14" borderId="0" xfId="0" applyNumberFormat="1" applyFont="1" applyFill="1" applyBorder="1" applyAlignment="1" applyProtection="1">
      <alignment horizontal="center" vertical="center"/>
    </xf>
    <xf numFmtId="0" fontId="37" fillId="43" borderId="0" xfId="0" applyFont="1" applyFill="1" applyAlignment="1" applyProtection="1">
      <alignment horizontal="center"/>
    </xf>
    <xf numFmtId="0" fontId="37" fillId="14" borderId="0" xfId="0" applyFont="1" applyFill="1" applyBorder="1" applyAlignment="1" applyProtection="1">
      <alignment horizontal="center" vertical="center" wrapText="1"/>
    </xf>
    <xf numFmtId="0" fontId="0" fillId="14" borderId="226" xfId="0" applyFill="1" applyBorder="1" applyAlignment="1" applyProtection="1">
      <alignment vertical="center" wrapText="1"/>
    </xf>
    <xf numFmtId="0" fontId="6" fillId="14" borderId="3" xfId="0" applyFont="1" applyFill="1" applyBorder="1" applyAlignment="1" applyProtection="1">
      <alignment horizontal="center" vertical="center" wrapText="1"/>
    </xf>
    <xf numFmtId="0" fontId="37" fillId="14" borderId="1" xfId="0" applyFont="1" applyFill="1" applyBorder="1" applyAlignment="1" applyProtection="1">
      <alignment vertical="center" wrapText="1"/>
    </xf>
    <xf numFmtId="0" fontId="37" fillId="14" borderId="2" xfId="0" applyFont="1" applyFill="1" applyBorder="1" applyAlignment="1" applyProtection="1">
      <alignment horizontal="left" vertical="center" wrapText="1"/>
    </xf>
    <xf numFmtId="0" fontId="0" fillId="14" borderId="1" xfId="0" quotePrefix="1" applyFill="1" applyBorder="1" applyAlignment="1" applyProtection="1">
      <alignment horizontal="left" vertical="center" wrapText="1"/>
    </xf>
    <xf numFmtId="0" fontId="0" fillId="14" borderId="0" xfId="0" quotePrefix="1" applyFill="1" applyBorder="1" applyAlignment="1" applyProtection="1">
      <alignment horizontal="left" vertical="top" wrapText="1" indent="1"/>
    </xf>
    <xf numFmtId="0" fontId="1" fillId="0" borderId="492" xfId="0" applyFont="1" applyFill="1" applyBorder="1" applyAlignment="1" applyProtection="1">
      <alignment horizontal="center" vertical="center" wrapText="1"/>
    </xf>
    <xf numFmtId="0" fontId="1" fillId="0" borderId="493" xfId="0" applyFont="1" applyFill="1" applyBorder="1" applyAlignment="1" applyProtection="1">
      <alignment horizontal="center" vertical="center" wrapText="1"/>
    </xf>
    <xf numFmtId="0" fontId="37" fillId="14" borderId="0" xfId="0" applyFont="1" applyFill="1" applyAlignment="1" applyProtection="1">
      <alignment horizontal="left" vertical="center" indent="1"/>
    </xf>
    <xf numFmtId="0" fontId="37" fillId="14" borderId="0" xfId="0" applyFont="1" applyFill="1" applyAlignment="1" applyProtection="1"/>
    <xf numFmtId="0" fontId="37" fillId="14" borderId="0" xfId="0" applyFont="1" applyFill="1" applyAlignment="1" applyProtection="1">
      <alignment horizontal="left" vertical="center" indent="2"/>
    </xf>
    <xf numFmtId="0" fontId="5" fillId="14" borderId="0" xfId="0" applyFont="1" applyFill="1" applyBorder="1" applyAlignment="1" applyProtection="1">
      <alignment horizontal="left" vertical="center" wrapText="1" indent="1"/>
    </xf>
    <xf numFmtId="0" fontId="5" fillId="14" borderId="0" xfId="0" applyFont="1" applyFill="1" applyBorder="1" applyAlignment="1" applyProtection="1">
      <alignment horizontal="center" vertical="center" wrapText="1"/>
    </xf>
    <xf numFmtId="0" fontId="5" fillId="52" borderId="0" xfId="0" applyFont="1" applyFill="1" applyBorder="1" applyAlignment="1" applyProtection="1">
      <alignment horizontal="center" vertical="center" wrapText="1"/>
    </xf>
    <xf numFmtId="0" fontId="37" fillId="14" borderId="0" xfId="0" applyFont="1" applyFill="1" applyBorder="1" applyAlignment="1" applyProtection="1">
      <alignment horizontal="left" vertical="center" indent="1"/>
    </xf>
    <xf numFmtId="0" fontId="37" fillId="14" borderId="0" xfId="0" applyFont="1" applyFill="1" applyBorder="1" applyAlignment="1" applyProtection="1">
      <alignment vertical="center"/>
    </xf>
    <xf numFmtId="0" fontId="1" fillId="14" borderId="47" xfId="0" applyFont="1" applyFill="1" applyBorder="1" applyAlignment="1" applyProtection="1">
      <alignment horizontal="left" vertical="center" wrapText="1" indent="1"/>
    </xf>
    <xf numFmtId="0" fontId="5" fillId="14" borderId="47" xfId="0" applyFont="1" applyFill="1" applyBorder="1" applyAlignment="1" applyProtection="1">
      <alignment horizontal="left" vertical="center" wrapText="1" indent="1"/>
    </xf>
    <xf numFmtId="0" fontId="5" fillId="52" borderId="47" xfId="0" applyFont="1" applyFill="1" applyBorder="1" applyAlignment="1" applyProtection="1">
      <alignment horizontal="center" vertical="center" wrapText="1"/>
    </xf>
    <xf numFmtId="0" fontId="0" fillId="0" borderId="39" xfId="0" applyFill="1" applyBorder="1" applyAlignment="1" applyProtection="1">
      <alignment horizontal="center" vertical="center" wrapText="1"/>
    </xf>
    <xf numFmtId="0" fontId="0" fillId="0" borderId="17" xfId="0" applyFont="1" applyFill="1" applyBorder="1" applyAlignment="1" applyProtection="1">
      <alignment vertical="center" wrapText="1"/>
    </xf>
    <xf numFmtId="0" fontId="0" fillId="0" borderId="17" xfId="0" applyFont="1" applyFill="1" applyBorder="1" applyAlignment="1" applyProtection="1">
      <alignment horizontal="left" vertical="center" wrapText="1"/>
    </xf>
    <xf numFmtId="0" fontId="37" fillId="0" borderId="22" xfId="0" applyFont="1" applyFill="1" applyBorder="1" applyAlignment="1" applyProtection="1">
      <alignment horizontal="right" vertical="center" indent="1"/>
    </xf>
    <xf numFmtId="0" fontId="0" fillId="0" borderId="17" xfId="0" applyFill="1" applyBorder="1" applyAlignment="1" applyProtection="1">
      <alignment horizontal="right" vertical="center" wrapText="1"/>
    </xf>
    <xf numFmtId="0" fontId="0" fillId="0" borderId="17" xfId="0" applyFont="1" applyFill="1" applyBorder="1" applyAlignment="1" applyProtection="1">
      <alignment horizontal="left" vertical="center" wrapText="1" indent="1"/>
    </xf>
    <xf numFmtId="0" fontId="0" fillId="14" borderId="18" xfId="0" applyFill="1" applyBorder="1" applyAlignment="1" applyProtection="1">
      <alignment vertical="center" wrapText="1"/>
    </xf>
    <xf numFmtId="0" fontId="0" fillId="14" borderId="22" xfId="0" applyFill="1" applyBorder="1" applyAlignment="1" applyProtection="1"/>
    <xf numFmtId="0" fontId="0" fillId="14" borderId="18" xfId="0" applyFill="1" applyBorder="1" applyProtection="1"/>
    <xf numFmtId="0" fontId="0" fillId="14" borderId="22" xfId="0" applyFill="1" applyBorder="1" applyAlignment="1" applyProtection="1">
      <alignment horizontal="center" vertical="center"/>
    </xf>
    <xf numFmtId="0" fontId="41" fillId="14" borderId="0" xfId="0" applyFont="1" applyFill="1" applyBorder="1" applyAlignment="1" applyProtection="1">
      <alignment horizontal="center" vertical="center" wrapText="1"/>
    </xf>
    <xf numFmtId="0" fontId="41" fillId="14" borderId="0" xfId="0" applyFont="1" applyFill="1" applyBorder="1" applyAlignment="1" applyProtection="1">
      <alignment horizontal="left"/>
    </xf>
    <xf numFmtId="0" fontId="76" fillId="14" borderId="0" xfId="0" applyFont="1" applyFill="1" applyBorder="1" applyAlignment="1" applyProtection="1">
      <alignment horizontal="right" vertical="center" indent="1"/>
    </xf>
    <xf numFmtId="0" fontId="0" fillId="14" borderId="0" xfId="0" applyFill="1" applyBorder="1" applyAlignment="1" applyProtection="1">
      <alignment horizontal="center" vertical="center" wrapText="1"/>
    </xf>
    <xf numFmtId="0" fontId="0" fillId="14" borderId="0" xfId="0" applyFont="1" applyFill="1" applyBorder="1" applyAlignment="1" applyProtection="1">
      <alignment vertical="center" wrapText="1"/>
    </xf>
    <xf numFmtId="0" fontId="0" fillId="14" borderId="0" xfId="0" applyFont="1" applyFill="1" applyBorder="1" applyAlignment="1" applyProtection="1">
      <alignment horizontal="left" vertical="center" wrapText="1"/>
    </xf>
    <xf numFmtId="0" fontId="37" fillId="14" borderId="0" xfId="0" applyFont="1" applyFill="1" applyBorder="1" applyAlignment="1" applyProtection="1">
      <alignment horizontal="right" vertical="center" indent="1"/>
    </xf>
    <xf numFmtId="0" fontId="0" fillId="14" borderId="0" xfId="0" applyFill="1" applyBorder="1" applyAlignment="1" applyProtection="1">
      <alignment horizontal="right" vertical="center" wrapText="1"/>
    </xf>
    <xf numFmtId="0" fontId="0" fillId="14" borderId="0" xfId="0" applyFont="1" applyFill="1" applyBorder="1" applyAlignment="1" applyProtection="1">
      <alignment horizontal="left" vertical="center" wrapText="1" indent="1"/>
    </xf>
    <xf numFmtId="0" fontId="76" fillId="14" borderId="0" xfId="0" applyFont="1" applyFill="1" applyAlignment="1" applyProtection="1">
      <alignment horizontal="left" vertical="center" indent="1"/>
    </xf>
    <xf numFmtId="0" fontId="37" fillId="14" borderId="0" xfId="0" applyFont="1" applyFill="1" applyAlignment="1" applyProtection="1">
      <alignment vertical="center"/>
    </xf>
    <xf numFmtId="0" fontId="0" fillId="43" borderId="0" xfId="0" applyFill="1" applyBorder="1" applyProtection="1"/>
    <xf numFmtId="0" fontId="36" fillId="52" borderId="46" xfId="0" applyFont="1" applyFill="1" applyBorder="1" applyAlignment="1" applyProtection="1">
      <alignment horizontal="left" vertical="center" wrapText="1"/>
    </xf>
    <xf numFmtId="0" fontId="36" fillId="14" borderId="46" xfId="0" applyFont="1" applyFill="1" applyBorder="1" applyAlignment="1" applyProtection="1">
      <alignment horizontal="left" vertical="center" wrapText="1"/>
    </xf>
    <xf numFmtId="0" fontId="36" fillId="14" borderId="64" xfId="0" applyFont="1" applyFill="1" applyBorder="1" applyAlignment="1" applyProtection="1">
      <alignment horizontal="left" vertical="center" wrapText="1"/>
    </xf>
    <xf numFmtId="0" fontId="36" fillId="52" borderId="0" xfId="0" applyFont="1" applyFill="1" applyBorder="1" applyAlignment="1" applyProtection="1">
      <alignment horizontal="left" vertical="center" wrapText="1"/>
    </xf>
    <xf numFmtId="0" fontId="36" fillId="14" borderId="0" xfId="0" applyFont="1" applyFill="1" applyBorder="1" applyAlignment="1" applyProtection="1">
      <alignment horizontal="left" vertical="center" wrapText="1"/>
    </xf>
    <xf numFmtId="0" fontId="36" fillId="14" borderId="45" xfId="0" applyFont="1" applyFill="1" applyBorder="1" applyAlignment="1" applyProtection="1">
      <alignment horizontal="left" vertical="center" wrapText="1"/>
    </xf>
    <xf numFmtId="203" fontId="0" fillId="52" borderId="0" xfId="0" applyNumberFormat="1" applyFill="1" applyBorder="1" applyAlignment="1" applyProtection="1">
      <alignment horizontal="center" vertical="center" wrapText="1"/>
    </xf>
    <xf numFmtId="203" fontId="0" fillId="14" borderId="0" xfId="0" applyNumberFormat="1" applyFill="1" applyBorder="1" applyAlignment="1" applyProtection="1">
      <alignment horizontal="center" vertical="center" wrapText="1"/>
    </xf>
    <xf numFmtId="203" fontId="0" fillId="14" borderId="45" xfId="0" applyNumberFormat="1" applyFill="1" applyBorder="1" applyAlignment="1" applyProtection="1">
      <alignment horizontal="center" vertical="center" wrapText="1"/>
    </xf>
    <xf numFmtId="183" fontId="0" fillId="14" borderId="557" xfId="0" applyNumberFormat="1" applyFill="1" applyBorder="1" applyAlignment="1" applyProtection="1">
      <alignment horizontal="right" vertical="center" wrapText="1" indent="1"/>
    </xf>
    <xf numFmtId="0" fontId="0" fillId="14" borderId="557" xfId="0" applyFill="1" applyBorder="1" applyAlignment="1" applyProtection="1">
      <alignment vertical="center" wrapText="1"/>
    </xf>
    <xf numFmtId="202" fontId="0" fillId="14" borderId="557" xfId="0" applyNumberFormat="1" applyFill="1" applyBorder="1" applyAlignment="1" applyProtection="1">
      <alignment horizontal="center" vertical="center" wrapText="1"/>
    </xf>
    <xf numFmtId="202" fontId="0" fillId="52" borderId="0" xfId="0" applyNumberFormat="1" applyFill="1" applyBorder="1" applyAlignment="1" applyProtection="1">
      <alignment horizontal="center" vertical="center" wrapText="1"/>
    </xf>
    <xf numFmtId="202" fontId="0" fillId="14" borderId="0" xfId="0" applyNumberFormat="1" applyFill="1" applyBorder="1" applyAlignment="1" applyProtection="1">
      <alignment horizontal="center" vertical="center" wrapText="1"/>
    </xf>
    <xf numFmtId="202" fontId="0" fillId="14" borderId="45" xfId="0" applyNumberFormat="1" applyFill="1" applyBorder="1" applyAlignment="1" applyProtection="1">
      <alignment horizontal="center" vertical="center" wrapText="1"/>
    </xf>
    <xf numFmtId="183" fontId="0" fillId="14" borderId="0" xfId="0" applyNumberFormat="1" applyFill="1" applyBorder="1" applyAlignment="1" applyProtection="1">
      <alignment horizontal="right" vertical="center" wrapText="1" indent="1"/>
    </xf>
    <xf numFmtId="0" fontId="0" fillId="52" borderId="0" xfId="0" applyFill="1" applyBorder="1" applyAlignment="1" applyProtection="1">
      <alignment horizontal="left" vertical="center" wrapText="1"/>
    </xf>
    <xf numFmtId="0" fontId="0" fillId="14" borderId="0"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52" borderId="0" xfId="0" applyFill="1" applyBorder="1" applyAlignment="1" applyProtection="1">
      <alignment horizontal="left" vertical="center"/>
    </xf>
    <xf numFmtId="0" fontId="0" fillId="14" borderId="0" xfId="0" applyFill="1" applyBorder="1" applyAlignment="1" applyProtection="1">
      <alignment horizontal="left" vertical="center"/>
    </xf>
    <xf numFmtId="0" fontId="0" fillId="14" borderId="45" xfId="0" applyFill="1" applyBorder="1" applyAlignment="1" applyProtection="1">
      <alignment horizontal="left" vertical="center"/>
    </xf>
    <xf numFmtId="0" fontId="0" fillId="52" borderId="19" xfId="0" applyFill="1" applyBorder="1" applyAlignment="1" applyProtection="1">
      <alignment horizontal="left" vertical="center"/>
    </xf>
    <xf numFmtId="0" fontId="0" fillId="14" borderId="19" xfId="0" applyFill="1" applyBorder="1" applyAlignment="1" applyProtection="1">
      <alignment horizontal="left" vertical="center"/>
    </xf>
    <xf numFmtId="0" fontId="0" fillId="14" borderId="80" xfId="0" applyFill="1" applyBorder="1" applyAlignment="1" applyProtection="1">
      <alignment horizontal="left" vertical="center"/>
    </xf>
    <xf numFmtId="0" fontId="18" fillId="52" borderId="557" xfId="0" applyFont="1" applyFill="1" applyBorder="1" applyAlignment="1" applyProtection="1">
      <alignment horizontal="left" vertical="center" wrapText="1"/>
    </xf>
    <xf numFmtId="0" fontId="18" fillId="14" borderId="557" xfId="0" applyFont="1" applyFill="1" applyBorder="1" applyAlignment="1" applyProtection="1">
      <alignment horizontal="left" vertical="center" wrapText="1"/>
    </xf>
    <xf numFmtId="0" fontId="18" fillId="14" borderId="45" xfId="0" applyFont="1" applyFill="1" applyBorder="1" applyAlignment="1" applyProtection="1">
      <alignment horizontal="left" vertical="center" wrapText="1"/>
    </xf>
    <xf numFmtId="0" fontId="36" fillId="52" borderId="557" xfId="0" applyFont="1" applyFill="1" applyBorder="1" applyAlignment="1" applyProtection="1">
      <alignment horizontal="left" vertical="center" wrapText="1"/>
    </xf>
    <xf numFmtId="0" fontId="36" fillId="14" borderId="557" xfId="0" applyFont="1" applyFill="1" applyBorder="1" applyAlignment="1" applyProtection="1">
      <alignment horizontal="left" vertical="center" wrapText="1"/>
    </xf>
    <xf numFmtId="0" fontId="0" fillId="52" borderId="47" xfId="0" applyFill="1" applyBorder="1" applyAlignment="1" applyProtection="1">
      <alignment horizontal="left" vertical="center"/>
    </xf>
    <xf numFmtId="0" fontId="0" fillId="14" borderId="47" xfId="0" applyFill="1" applyBorder="1" applyAlignment="1" applyProtection="1">
      <alignment horizontal="left" vertical="center"/>
    </xf>
    <xf numFmtId="0" fontId="0" fillId="14" borderId="65" xfId="0" applyFill="1" applyBorder="1" applyAlignment="1" applyProtection="1">
      <alignment horizontal="left" vertical="center"/>
    </xf>
    <xf numFmtId="0" fontId="41" fillId="14" borderId="46" xfId="0" applyFont="1" applyFill="1" applyBorder="1" applyAlignment="1" applyProtection="1">
      <alignment horizontal="center" vertical="center" wrapText="1"/>
    </xf>
    <xf numFmtId="0" fontId="0" fillId="14" borderId="46" xfId="0" applyFill="1" applyBorder="1" applyAlignment="1" applyProtection="1">
      <alignment horizontal="center" vertical="center" wrapText="1"/>
    </xf>
    <xf numFmtId="0" fontId="0" fillId="14" borderId="46" xfId="0" applyFill="1" applyBorder="1" applyAlignment="1" applyProtection="1">
      <alignment horizontal="left" vertical="center" wrapText="1" indent="1"/>
    </xf>
    <xf numFmtId="0" fontId="39" fillId="14" borderId="46" xfId="0" applyFont="1" applyFill="1" applyBorder="1" applyAlignment="1" applyProtection="1">
      <alignment horizontal="center" vertical="center" wrapText="1"/>
    </xf>
    <xf numFmtId="0" fontId="0" fillId="14" borderId="46" xfId="0" applyFill="1" applyBorder="1" applyAlignment="1" applyProtection="1">
      <alignment vertical="center" wrapText="1"/>
    </xf>
    <xf numFmtId="0" fontId="0" fillId="14" borderId="0" xfId="0" applyFill="1" applyBorder="1" applyAlignment="1" applyProtection="1">
      <alignment vertical="center"/>
    </xf>
    <xf numFmtId="183" fontId="0" fillId="52" borderId="0" xfId="0" applyNumberFormat="1" applyFill="1" applyBorder="1" applyAlignment="1" applyProtection="1">
      <alignment horizontal="center" vertical="center" wrapText="1"/>
    </xf>
    <xf numFmtId="0" fontId="41" fillId="14" borderId="0" xfId="0" applyFont="1" applyFill="1" applyBorder="1" applyAlignment="1" applyProtection="1">
      <alignment horizontal="left" vertical="center" wrapText="1" indent="1"/>
    </xf>
    <xf numFmtId="0" fontId="0" fillId="14" borderId="0" xfId="0" applyFill="1" applyBorder="1" applyAlignment="1" applyProtection="1">
      <alignment horizontal="left" vertical="center" wrapText="1" indent="1"/>
    </xf>
    <xf numFmtId="0" fontId="0" fillId="14" borderId="0" xfId="0" applyFill="1" applyBorder="1" applyAlignment="1" applyProtection="1">
      <alignment vertical="center" wrapText="1"/>
    </xf>
    <xf numFmtId="190" fontId="0" fillId="14" borderId="0" xfId="0" applyNumberFormat="1" applyFill="1" applyBorder="1" applyAlignment="1" applyProtection="1">
      <alignment horizontal="center" vertical="center" wrapText="1"/>
    </xf>
    <xf numFmtId="0" fontId="34" fillId="14" borderId="0" xfId="0" applyFont="1" applyFill="1" applyBorder="1" applyAlignment="1" applyProtection="1">
      <alignment horizontal="center" vertical="center" wrapText="1"/>
    </xf>
    <xf numFmtId="0" fontId="0" fillId="14" borderId="0" xfId="0" applyFill="1" applyBorder="1" applyAlignment="1" applyProtection="1">
      <alignment horizontal="right" vertical="center" wrapText="1" indent="1"/>
    </xf>
    <xf numFmtId="0" fontId="0" fillId="14" borderId="0" xfId="0" applyFont="1" applyFill="1" applyBorder="1" applyAlignment="1" applyProtection="1">
      <alignment horizontal="center" vertical="center" wrapText="1"/>
    </xf>
    <xf numFmtId="0" fontId="4" fillId="14" borderId="0" xfId="0" applyFont="1" applyFill="1" applyBorder="1" applyAlignment="1" applyProtection="1">
      <alignment vertical="center" wrapText="1"/>
    </xf>
    <xf numFmtId="0" fontId="0" fillId="14" borderId="0" xfId="0" applyFont="1" applyFill="1" applyAlignment="1" applyProtection="1">
      <alignment vertical="center"/>
    </xf>
    <xf numFmtId="0" fontId="25" fillId="14" borderId="47" xfId="0" applyFont="1" applyFill="1" applyBorder="1" applyAlignment="1" applyProtection="1">
      <alignment horizontal="left" vertical="center" indent="1"/>
    </xf>
    <xf numFmtId="0" fontId="6" fillId="14" borderId="47" xfId="0" applyFont="1" applyFill="1" applyBorder="1" applyAlignment="1" applyProtection="1">
      <alignment horizontal="center" vertical="center" wrapText="1"/>
    </xf>
    <xf numFmtId="0" fontId="18" fillId="52" borderId="46" xfId="0" applyFont="1" applyFill="1" applyBorder="1" applyAlignment="1" applyProtection="1">
      <alignment horizontal="left" vertical="center" wrapText="1"/>
    </xf>
    <xf numFmtId="0" fontId="18" fillId="14" borderId="46" xfId="0" applyFont="1" applyFill="1" applyBorder="1" applyAlignment="1" applyProtection="1">
      <alignment horizontal="left" vertical="center" wrapText="1"/>
    </xf>
    <xf numFmtId="0" fontId="18" fillId="14" borderId="64" xfId="0" applyFont="1" applyFill="1" applyBorder="1" applyAlignment="1" applyProtection="1">
      <alignment horizontal="left" vertical="center" wrapText="1"/>
    </xf>
    <xf numFmtId="0" fontId="0" fillId="52" borderId="0" xfId="0" applyFill="1" applyBorder="1" applyProtection="1"/>
    <xf numFmtId="0" fontId="0" fillId="14" borderId="45" xfId="0" applyFill="1" applyBorder="1" applyProtection="1"/>
    <xf numFmtId="0" fontId="0" fillId="44" borderId="227" xfId="0" applyFill="1" applyBorder="1" applyAlignment="1" applyProtection="1">
      <alignment horizontal="right" vertical="center" wrapText="1" indent="1"/>
    </xf>
    <xf numFmtId="216" fontId="0" fillId="44" borderId="227" xfId="0" applyNumberFormat="1" applyFill="1" applyBorder="1" applyAlignment="1" applyProtection="1">
      <alignment horizontal="left" vertical="center" wrapText="1"/>
    </xf>
    <xf numFmtId="203" fontId="0" fillId="44" borderId="227" xfId="0" applyNumberFormat="1" applyFill="1" applyBorder="1" applyAlignment="1" applyProtection="1">
      <alignment horizontal="center" vertical="center" wrapText="1"/>
    </xf>
    <xf numFmtId="0" fontId="0" fillId="44" borderId="225" xfId="0" applyFill="1" applyBorder="1" applyAlignment="1" applyProtection="1">
      <alignment horizontal="right" vertical="center" wrapText="1" indent="1"/>
    </xf>
    <xf numFmtId="216" fontId="0" fillId="44" borderId="225" xfId="0" applyNumberFormat="1" applyFill="1" applyBorder="1" applyAlignment="1" applyProtection="1">
      <alignment horizontal="left" vertical="center" wrapText="1"/>
    </xf>
    <xf numFmtId="203" fontId="0" fillId="44" borderId="225" xfId="0" applyNumberFormat="1" applyFill="1" applyBorder="1" applyAlignment="1" applyProtection="1">
      <alignment horizontal="center" vertical="center" wrapText="1"/>
    </xf>
    <xf numFmtId="183" fontId="0" fillId="14" borderId="19" xfId="0" applyNumberFormat="1" applyFill="1" applyBorder="1" applyAlignment="1" applyProtection="1">
      <alignment horizontal="right" vertical="center" wrapText="1" indent="1"/>
    </xf>
    <xf numFmtId="0" fontId="0" fillId="52" borderId="19" xfId="0" applyFill="1" applyBorder="1" applyAlignment="1" applyProtection="1">
      <alignment vertical="center" wrapText="1"/>
    </xf>
    <xf numFmtId="0" fontId="0" fillId="14" borderId="19" xfId="0" applyFill="1" applyBorder="1" applyAlignment="1" applyProtection="1">
      <alignment vertical="center" wrapText="1"/>
    </xf>
    <xf numFmtId="0" fontId="0" fillId="14" borderId="80" xfId="0" applyFill="1" applyBorder="1" applyAlignment="1" applyProtection="1">
      <alignment vertical="center" wrapText="1"/>
    </xf>
    <xf numFmtId="0" fontId="0" fillId="45" borderId="227" xfId="0" applyFill="1" applyBorder="1" applyAlignment="1" applyProtection="1">
      <alignment horizontal="right" vertical="center" wrapText="1" indent="1"/>
    </xf>
    <xf numFmtId="216" fontId="0" fillId="45" borderId="227" xfId="0" applyNumberFormat="1" applyFill="1" applyBorder="1" applyAlignment="1" applyProtection="1">
      <alignment horizontal="left" vertical="center" wrapText="1"/>
    </xf>
    <xf numFmtId="203" fontId="0" fillId="45" borderId="227" xfId="0" applyNumberFormat="1" applyFill="1" applyBorder="1" applyAlignment="1" applyProtection="1">
      <alignment horizontal="center" vertical="center" wrapText="1"/>
    </xf>
    <xf numFmtId="0" fontId="0" fillId="45" borderId="225" xfId="0" applyFill="1" applyBorder="1" applyAlignment="1" applyProtection="1">
      <alignment horizontal="right" vertical="center" wrapText="1" indent="1"/>
    </xf>
    <xf numFmtId="216" fontId="0" fillId="45" borderId="225" xfId="0" applyNumberFormat="1" applyFill="1" applyBorder="1" applyAlignment="1" applyProtection="1">
      <alignment horizontal="left" vertical="center" wrapText="1"/>
    </xf>
    <xf numFmtId="203" fontId="0" fillId="45" borderId="225" xfId="0" applyNumberFormat="1" applyFill="1" applyBorder="1" applyAlignment="1" applyProtection="1">
      <alignment horizontal="center" vertical="center" wrapText="1"/>
    </xf>
    <xf numFmtId="0" fontId="0" fillId="14" borderId="227" xfId="0" applyFill="1" applyBorder="1" applyAlignment="1" applyProtection="1">
      <alignment horizontal="right" vertical="center" wrapText="1" indent="1"/>
    </xf>
    <xf numFmtId="216" fontId="0" fillId="14" borderId="227" xfId="0" applyNumberFormat="1" applyFill="1" applyBorder="1" applyAlignment="1" applyProtection="1">
      <alignment horizontal="left" vertical="center" wrapText="1"/>
    </xf>
    <xf numFmtId="203" fontId="0" fillId="14" borderId="227" xfId="0" applyNumberFormat="1" applyFill="1" applyBorder="1" applyAlignment="1" applyProtection="1">
      <alignment horizontal="center" vertical="center" wrapText="1"/>
    </xf>
    <xf numFmtId="0" fontId="0" fillId="14" borderId="225" xfId="0" applyFill="1" applyBorder="1" applyAlignment="1" applyProtection="1">
      <alignment horizontal="right" vertical="center" wrapText="1" indent="1"/>
    </xf>
    <xf numFmtId="216" fontId="0" fillId="14" borderId="225" xfId="0" applyNumberFormat="1" applyFill="1" applyBorder="1" applyAlignment="1" applyProtection="1">
      <alignment horizontal="left" vertical="center" wrapText="1"/>
    </xf>
    <xf numFmtId="203" fontId="0" fillId="14" borderId="225" xfId="0" applyNumberFormat="1" applyFill="1" applyBorder="1" applyAlignment="1" applyProtection="1">
      <alignment horizontal="center" vertical="center" wrapText="1"/>
    </xf>
    <xf numFmtId="0" fontId="0" fillId="52" borderId="47" xfId="0" applyFill="1" applyBorder="1" applyAlignment="1" applyProtection="1">
      <alignment vertical="center" wrapText="1"/>
    </xf>
    <xf numFmtId="0" fontId="0" fillId="14" borderId="47" xfId="0" applyFill="1" applyBorder="1" applyAlignment="1" applyProtection="1">
      <alignment vertical="center" wrapText="1"/>
    </xf>
    <xf numFmtId="0" fontId="0" fillId="39" borderId="227" xfId="0" applyFill="1" applyBorder="1" applyAlignment="1" applyProtection="1">
      <alignment horizontal="center" vertical="center" wrapText="1"/>
    </xf>
    <xf numFmtId="216" fontId="0" fillId="39" borderId="227" xfId="0" applyNumberFormat="1" applyFill="1" applyBorder="1" applyAlignment="1" applyProtection="1">
      <alignment horizontal="left" vertical="center" wrapText="1"/>
    </xf>
    <xf numFmtId="203" fontId="0" fillId="39" borderId="227" xfId="0" applyNumberFormat="1" applyFill="1" applyBorder="1" applyAlignment="1" applyProtection="1">
      <alignment horizontal="center" vertical="center" wrapText="1"/>
    </xf>
    <xf numFmtId="0" fontId="0" fillId="39" borderId="225" xfId="0" applyFill="1" applyBorder="1" applyAlignment="1" applyProtection="1">
      <alignment horizontal="center" vertical="center" wrapText="1"/>
    </xf>
    <xf numFmtId="216" fontId="0" fillId="39" borderId="225" xfId="0" applyNumberFormat="1" applyFill="1" applyBorder="1" applyAlignment="1" applyProtection="1">
      <alignment horizontal="left" vertical="center" wrapText="1"/>
    </xf>
    <xf numFmtId="203" fontId="0" fillId="39" borderId="225" xfId="0" applyNumberFormat="1" applyFill="1" applyBorder="1" applyAlignment="1" applyProtection="1">
      <alignment horizontal="center" vertical="center" wrapText="1"/>
    </xf>
    <xf numFmtId="183" fontId="0" fillId="14" borderId="557" xfId="0" applyNumberFormat="1" applyFill="1" applyBorder="1" applyAlignment="1" applyProtection="1">
      <alignment horizontal="center" vertical="center" wrapText="1"/>
    </xf>
    <xf numFmtId="183" fontId="0" fillId="14" borderId="19" xfId="0" applyNumberFormat="1" applyFill="1" applyBorder="1" applyAlignment="1" applyProtection="1">
      <alignment horizontal="center" vertical="center" wrapText="1"/>
    </xf>
    <xf numFmtId="0" fontId="18" fillId="52" borderId="0" xfId="0" applyFont="1" applyFill="1" applyBorder="1" applyAlignment="1" applyProtection="1">
      <alignment horizontal="left" vertical="center" wrapText="1"/>
    </xf>
    <xf numFmtId="0" fontId="18" fillId="14" borderId="0" xfId="0" applyFont="1" applyFill="1" applyBorder="1" applyAlignment="1" applyProtection="1">
      <alignment horizontal="left" vertical="center" wrapText="1"/>
    </xf>
    <xf numFmtId="202" fontId="0" fillId="14" borderId="557" xfId="0" applyNumberFormat="1" applyFill="1" applyBorder="1" applyAlignment="1" applyProtection="1">
      <alignment horizontal="left" vertical="center" wrapText="1"/>
    </xf>
    <xf numFmtId="183" fontId="0" fillId="14" borderId="47" xfId="0" applyNumberFormat="1" applyFill="1" applyBorder="1" applyAlignment="1" applyProtection="1">
      <alignment horizontal="center" vertical="center" wrapText="1"/>
    </xf>
    <xf numFmtId="0" fontId="0" fillId="14" borderId="65" xfId="0" applyFill="1" applyBorder="1" applyAlignment="1" applyProtection="1">
      <alignment vertical="center" wrapText="1"/>
    </xf>
    <xf numFmtId="0" fontId="4" fillId="14" borderId="46" xfId="0" applyFont="1" applyFill="1" applyBorder="1" applyAlignment="1" applyProtection="1">
      <alignment horizontal="center" vertical="center" wrapText="1"/>
    </xf>
    <xf numFmtId="187" fontId="0" fillId="14" borderId="46" xfId="0" applyNumberFormat="1" applyFill="1" applyBorder="1" applyAlignment="1" applyProtection="1">
      <alignment horizontal="center" vertical="center" wrapText="1"/>
    </xf>
    <xf numFmtId="0" fontId="0" fillId="14" borderId="46" xfId="0" applyFont="1" applyFill="1" applyBorder="1" applyAlignment="1" applyProtection="1">
      <alignment horizontal="center" vertical="center" wrapText="1"/>
    </xf>
    <xf numFmtId="199" fontId="0" fillId="14" borderId="46" xfId="0" applyNumberFormat="1" applyFont="1" applyFill="1" applyBorder="1" applyAlignment="1" applyProtection="1">
      <alignment horizontal="center" vertical="center" wrapText="1"/>
    </xf>
    <xf numFmtId="0" fontId="4" fillId="14" borderId="0" xfId="0" applyFont="1" applyFill="1" applyBorder="1" applyAlignment="1" applyProtection="1">
      <alignment horizontal="center" vertical="center" wrapText="1"/>
    </xf>
    <xf numFmtId="187" fontId="0" fillId="14" borderId="0" xfId="0" applyNumberFormat="1" applyFill="1" applyBorder="1" applyAlignment="1" applyProtection="1">
      <alignment horizontal="center" vertical="center" wrapText="1"/>
    </xf>
    <xf numFmtId="199" fontId="0" fillId="14" borderId="0" xfId="0" applyNumberFormat="1" applyFont="1" applyFill="1" applyBorder="1" applyAlignment="1" applyProtection="1">
      <alignment horizontal="center" vertical="center" wrapText="1"/>
    </xf>
    <xf numFmtId="0" fontId="76" fillId="14" borderId="0" xfId="0" applyFont="1" applyFill="1" applyAlignment="1" applyProtection="1">
      <alignment horizontal="left" indent="1"/>
    </xf>
    <xf numFmtId="0" fontId="37" fillId="14" borderId="0" xfId="0" applyFont="1" applyFill="1" applyAlignment="1" applyProtection="1">
      <alignment horizontal="left" indent="1"/>
    </xf>
    <xf numFmtId="0" fontId="0" fillId="52" borderId="0" xfId="0" applyFill="1" applyBorder="1" applyAlignment="1" applyProtection="1">
      <alignment vertical="center" wrapText="1"/>
    </xf>
    <xf numFmtId="183" fontId="0" fillId="14" borderId="47" xfId="0" applyNumberFormat="1" applyFill="1" applyBorder="1" applyAlignment="1" applyProtection="1">
      <alignment horizontal="right" vertical="center" wrapText="1" indent="1"/>
    </xf>
    <xf numFmtId="0" fontId="0" fillId="39" borderId="227" xfId="0" applyFill="1" applyBorder="1" applyAlignment="1" applyProtection="1">
      <alignment horizontal="right" vertical="center" wrapText="1" indent="1"/>
    </xf>
    <xf numFmtId="199" fontId="41" fillId="14" borderId="0" xfId="0" applyNumberFormat="1" applyFont="1" applyFill="1" applyBorder="1" applyAlignment="1" applyProtection="1">
      <alignment horizontal="center" vertical="center" wrapText="1"/>
    </xf>
    <xf numFmtId="0" fontId="40" fillId="14" borderId="0" xfId="0" applyFont="1" applyFill="1" applyBorder="1" applyAlignment="1" applyProtection="1">
      <alignment horizontal="center" vertical="center" wrapText="1"/>
    </xf>
    <xf numFmtId="215" fontId="0" fillId="14" borderId="0" xfId="0" applyNumberFormat="1" applyFont="1" applyFill="1" applyBorder="1" applyAlignment="1" applyProtection="1">
      <alignment vertical="center" wrapText="1"/>
    </xf>
    <xf numFmtId="183" fontId="0" fillId="0" borderId="0" xfId="0" applyNumberFormat="1" applyFill="1" applyBorder="1" applyAlignment="1" applyProtection="1">
      <alignment horizontal="center" vertical="center" wrapText="1"/>
    </xf>
    <xf numFmtId="0" fontId="0" fillId="0" borderId="0" xfId="0" applyFill="1" applyBorder="1" applyProtection="1"/>
    <xf numFmtId="0" fontId="0" fillId="52" borderId="0" xfId="0" applyFill="1" applyBorder="1" applyAlignment="1" applyProtection="1">
      <alignment horizontal="center" vertical="center" wrapText="1"/>
    </xf>
    <xf numFmtId="0" fontId="0" fillId="44" borderId="571" xfId="0" applyFill="1" applyBorder="1" applyAlignment="1" applyProtection="1">
      <alignment horizontal="right" vertical="center" wrapText="1" indent="1"/>
    </xf>
    <xf numFmtId="205" fontId="0" fillId="44" borderId="571" xfId="0" applyNumberFormat="1" applyFill="1" applyBorder="1" applyAlignment="1" applyProtection="1">
      <alignment horizontal="left" vertical="center" wrapText="1"/>
    </xf>
    <xf numFmtId="203" fontId="0" fillId="44" borderId="571" xfId="0" applyNumberFormat="1" applyFill="1" applyBorder="1" applyAlignment="1" applyProtection="1">
      <alignment horizontal="center" vertical="center" wrapText="1"/>
    </xf>
    <xf numFmtId="216" fontId="0" fillId="44" borderId="571" xfId="0" applyNumberFormat="1" applyFill="1" applyBorder="1" applyAlignment="1" applyProtection="1">
      <alignment horizontal="left" vertical="center" wrapText="1"/>
    </xf>
    <xf numFmtId="0" fontId="0" fillId="45" borderId="571" xfId="0" applyFill="1" applyBorder="1" applyAlignment="1" applyProtection="1">
      <alignment horizontal="right" vertical="center" wrapText="1" indent="1"/>
    </xf>
    <xf numFmtId="205" fontId="0" fillId="45" borderId="571" xfId="0" applyNumberFormat="1" applyFill="1" applyBorder="1" applyAlignment="1" applyProtection="1">
      <alignment horizontal="left" vertical="center" wrapText="1"/>
    </xf>
    <xf numFmtId="203" fontId="0" fillId="45" borderId="571" xfId="0" applyNumberFormat="1" applyFill="1" applyBorder="1" applyAlignment="1" applyProtection="1">
      <alignment horizontal="center" vertical="center" wrapText="1"/>
    </xf>
    <xf numFmtId="216" fontId="0" fillId="45" borderId="571" xfId="0" applyNumberFormat="1" applyFill="1" applyBorder="1" applyAlignment="1" applyProtection="1">
      <alignment horizontal="left" vertical="center" wrapText="1"/>
    </xf>
    <xf numFmtId="0" fontId="29" fillId="14" borderId="0" xfId="0" applyFont="1" applyFill="1" applyBorder="1" applyAlignment="1" applyProtection="1">
      <alignment horizontal="center" vertical="center" wrapText="1"/>
    </xf>
    <xf numFmtId="187" fontId="0" fillId="14" borderId="0" xfId="0" applyNumberFormat="1" applyFill="1" applyBorder="1" applyAlignment="1" applyProtection="1">
      <alignment vertical="center" wrapText="1"/>
    </xf>
    <xf numFmtId="0" fontId="37" fillId="14" borderId="0" xfId="0" applyFont="1" applyFill="1" applyAlignment="1" applyProtection="1">
      <alignment horizontal="left" vertical="center"/>
    </xf>
    <xf numFmtId="190" fontId="0" fillId="14" borderId="0" xfId="0" applyNumberFormat="1" applyFill="1" applyBorder="1" applyAlignment="1" applyProtection="1">
      <alignment horizontal="right" vertical="center" wrapText="1" indent="1"/>
    </xf>
    <xf numFmtId="0" fontId="18" fillId="14" borderId="11" xfId="0" applyFont="1" applyFill="1" applyBorder="1" applyAlignment="1" applyProtection="1">
      <alignment horizontal="left" vertical="center" wrapText="1"/>
    </xf>
    <xf numFmtId="0" fontId="18" fillId="14" borderId="2" xfId="0" applyFont="1" applyFill="1" applyBorder="1" applyAlignment="1" applyProtection="1">
      <alignment horizontal="left" vertical="center" wrapText="1"/>
    </xf>
    <xf numFmtId="205" fontId="0" fillId="45" borderId="227" xfId="0" applyNumberFormat="1" applyFill="1" applyBorder="1" applyAlignment="1" applyProtection="1">
      <alignment horizontal="left" vertical="center" wrapText="1"/>
    </xf>
    <xf numFmtId="203" fontId="0" fillId="14" borderId="2" xfId="0" applyNumberFormat="1" applyFill="1" applyBorder="1" applyAlignment="1" applyProtection="1">
      <alignment horizontal="center" vertical="center" wrapText="1"/>
    </xf>
    <xf numFmtId="202" fontId="0" fillId="14" borderId="2" xfId="0" applyNumberFormat="1" applyFill="1" applyBorder="1" applyAlignment="1" applyProtection="1">
      <alignment horizontal="center" vertical="center" wrapText="1"/>
    </xf>
    <xf numFmtId="0" fontId="0" fillId="14" borderId="6" xfId="0" applyFill="1" applyBorder="1" applyAlignment="1" applyProtection="1">
      <alignment vertical="center" wrapText="1"/>
    </xf>
    <xf numFmtId="0" fontId="41" fillId="14" borderId="23" xfId="0" applyFont="1" applyFill="1" applyBorder="1" applyAlignment="1" applyProtection="1">
      <alignment horizontal="center" vertical="center" wrapText="1"/>
    </xf>
    <xf numFmtId="0" fontId="4" fillId="14" borderId="23" xfId="0" applyFont="1" applyFill="1" applyBorder="1" applyAlignment="1" applyProtection="1">
      <alignment horizontal="center" vertical="center" wrapText="1"/>
    </xf>
    <xf numFmtId="0" fontId="0" fillId="0" borderId="52" xfId="0" applyFill="1" applyBorder="1" applyAlignment="1" applyProtection="1">
      <alignment horizontal="center" vertical="center" wrapText="1"/>
    </xf>
    <xf numFmtId="0" fontId="4" fillId="0" borderId="23" xfId="0" applyFont="1" applyFill="1" applyBorder="1" applyAlignment="1" applyProtection="1">
      <alignment horizontal="center" vertical="center" wrapText="1"/>
    </xf>
    <xf numFmtId="187" fontId="0" fillId="0" borderId="23" xfId="0" applyNumberFormat="1" applyFill="1" applyBorder="1" applyAlignment="1" applyProtection="1">
      <alignment vertical="center" wrapText="1"/>
    </xf>
    <xf numFmtId="0" fontId="0" fillId="0" borderId="23" xfId="0" applyFont="1" applyFill="1" applyBorder="1" applyAlignment="1" applyProtection="1">
      <alignment horizontal="left" vertical="center" wrapText="1" indent="1"/>
    </xf>
    <xf numFmtId="0" fontId="0" fillId="52" borderId="557" xfId="0" applyFill="1" applyBorder="1" applyAlignment="1" applyProtection="1">
      <alignment horizontal="left" wrapText="1"/>
    </xf>
    <xf numFmtId="0" fontId="0" fillId="14" borderId="558" xfId="0" applyFill="1" applyBorder="1" applyAlignment="1" applyProtection="1">
      <alignment horizontal="left" wrapText="1"/>
    </xf>
    <xf numFmtId="0" fontId="0" fillId="14" borderId="45" xfId="0" applyFill="1" applyBorder="1" applyAlignment="1" applyProtection="1">
      <alignment horizontal="left" wrapText="1"/>
    </xf>
    <xf numFmtId="0" fontId="0" fillId="52" borderId="0" xfId="0" applyFill="1" applyBorder="1" applyAlignment="1" applyProtection="1">
      <alignment horizontal="left" wrapText="1"/>
    </xf>
    <xf numFmtId="0" fontId="0" fillId="14" borderId="2" xfId="0" applyFill="1" applyBorder="1" applyAlignment="1" applyProtection="1">
      <alignment horizontal="left" wrapText="1"/>
    </xf>
    <xf numFmtId="0" fontId="0" fillId="52" borderId="0" xfId="0" applyFill="1" applyBorder="1" applyAlignment="1" applyProtection="1">
      <alignment horizontal="left" vertical="top" wrapText="1"/>
    </xf>
    <xf numFmtId="0" fontId="0" fillId="14" borderId="45" xfId="0" applyFill="1" applyBorder="1" applyAlignment="1" applyProtection="1">
      <alignment horizontal="left" vertical="top" wrapText="1"/>
    </xf>
    <xf numFmtId="187" fontId="0" fillId="0" borderId="7" xfId="0" applyNumberFormat="1" applyFill="1" applyBorder="1" applyAlignment="1" applyProtection="1">
      <alignment vertical="center" wrapText="1"/>
    </xf>
    <xf numFmtId="0" fontId="0" fillId="52" borderId="19" xfId="0" applyFill="1" applyBorder="1" applyAlignment="1" applyProtection="1">
      <alignment horizontal="left" vertical="top" wrapText="1"/>
    </xf>
    <xf numFmtId="0" fontId="0" fillId="14" borderId="6" xfId="0" applyFill="1" applyBorder="1" applyAlignment="1" applyProtection="1">
      <alignment horizontal="left" vertical="top" wrapText="1"/>
    </xf>
    <xf numFmtId="0" fontId="0" fillId="14" borderId="80" xfId="0" applyFill="1" applyBorder="1" applyAlignment="1" applyProtection="1">
      <alignment horizontal="left" vertical="top" wrapText="1"/>
    </xf>
    <xf numFmtId="0" fontId="18" fillId="14" borderId="558" xfId="0" applyFont="1" applyFill="1" applyBorder="1" applyAlignment="1" applyProtection="1">
      <alignment horizontal="left" vertical="center" wrapText="1"/>
    </xf>
    <xf numFmtId="0" fontId="18" fillId="14" borderId="560" xfId="0" applyFont="1" applyFill="1" applyBorder="1" applyAlignment="1" applyProtection="1">
      <alignment horizontal="left" vertical="center" wrapText="1"/>
    </xf>
    <xf numFmtId="0" fontId="0" fillId="14" borderId="14" xfId="0" applyFill="1" applyBorder="1" applyAlignment="1" applyProtection="1">
      <alignment vertical="center" wrapText="1"/>
    </xf>
    <xf numFmtId="0" fontId="41" fillId="14" borderId="3" xfId="0" applyFont="1" applyFill="1" applyBorder="1" applyAlignment="1" applyProtection="1">
      <alignment horizontal="center" vertical="center" wrapText="1"/>
    </xf>
    <xf numFmtId="0" fontId="37" fillId="14" borderId="3" xfId="0" applyFont="1" applyFill="1" applyBorder="1" applyAlignment="1" applyProtection="1">
      <alignment horizontal="center" vertical="center" wrapText="1"/>
    </xf>
    <xf numFmtId="0" fontId="37" fillId="14" borderId="46" xfId="0" applyFont="1" applyFill="1" applyBorder="1" applyAlignment="1" applyProtection="1">
      <alignment horizontal="center" vertical="center" wrapText="1"/>
    </xf>
    <xf numFmtId="187" fontId="0" fillId="14" borderId="46" xfId="0" applyNumberFormat="1" applyFill="1" applyBorder="1" applyAlignment="1" applyProtection="1">
      <alignment vertical="center" wrapText="1"/>
    </xf>
    <xf numFmtId="0" fontId="0" fillId="14" borderId="46" xfId="0" applyFont="1" applyFill="1" applyBorder="1" applyAlignment="1" applyProtection="1">
      <alignment horizontal="left" vertical="center" wrapText="1" indent="1"/>
    </xf>
    <xf numFmtId="0" fontId="41" fillId="14" borderId="46" xfId="0" applyFont="1" applyFill="1" applyBorder="1" applyAlignment="1" applyProtection="1">
      <alignment horizontal="left" vertical="center" wrapText="1" indent="1"/>
    </xf>
    <xf numFmtId="0" fontId="0" fillId="14" borderId="46" xfId="0" applyFill="1" applyBorder="1" applyAlignment="1" applyProtection="1">
      <alignment vertical="center"/>
    </xf>
    <xf numFmtId="183" fontId="0" fillId="14" borderId="46" xfId="0" applyNumberFormat="1" applyFill="1" applyBorder="1" applyAlignment="1" applyProtection="1">
      <alignment horizontal="center" vertical="center" wrapText="1"/>
    </xf>
    <xf numFmtId="183" fontId="0" fillId="52" borderId="46" xfId="0" applyNumberFormat="1" applyFill="1" applyBorder="1" applyAlignment="1" applyProtection="1">
      <alignment horizontal="center" vertical="center" wrapText="1"/>
    </xf>
    <xf numFmtId="183" fontId="0" fillId="0" borderId="46" xfId="0" applyNumberFormat="1" applyFill="1" applyBorder="1" applyAlignment="1" applyProtection="1">
      <alignment horizontal="center" vertical="center" wrapText="1"/>
    </xf>
    <xf numFmtId="0" fontId="0" fillId="14" borderId="47" xfId="0" applyFill="1" applyBorder="1" applyAlignment="1" applyProtection="1">
      <alignment horizontal="center" vertical="center" wrapText="1"/>
    </xf>
    <xf numFmtId="0" fontId="37" fillId="14" borderId="47" xfId="0" applyFont="1" applyFill="1" applyBorder="1" applyAlignment="1" applyProtection="1">
      <alignment vertical="center"/>
    </xf>
    <xf numFmtId="0" fontId="0" fillId="14" borderId="47" xfId="0" applyFill="1" applyBorder="1" applyAlignment="1" applyProtection="1">
      <alignment horizontal="left" vertical="center" wrapText="1" indent="1"/>
    </xf>
    <xf numFmtId="0" fontId="37" fillId="14" borderId="47" xfId="0" applyFont="1" applyFill="1" applyBorder="1" applyAlignment="1" applyProtection="1">
      <alignment horizontal="center" vertical="center" wrapText="1"/>
    </xf>
    <xf numFmtId="187" fontId="0" fillId="14" borderId="47" xfId="0" applyNumberFormat="1" applyFill="1" applyBorder="1" applyAlignment="1" applyProtection="1">
      <alignment vertical="center" wrapText="1"/>
    </xf>
    <xf numFmtId="0" fontId="0" fillId="14" borderId="47" xfId="0" applyFont="1" applyFill="1" applyBorder="1" applyAlignment="1" applyProtection="1">
      <alignment horizontal="left" vertical="center" wrapText="1" indent="1"/>
    </xf>
    <xf numFmtId="0" fontId="41" fillId="14" borderId="47" xfId="0" applyFont="1" applyFill="1" applyBorder="1" applyAlignment="1" applyProtection="1">
      <alignment horizontal="left" vertical="center" wrapText="1" indent="1"/>
    </xf>
    <xf numFmtId="199" fontId="0" fillId="14" borderId="47" xfId="0" applyNumberFormat="1" applyFont="1" applyFill="1" applyBorder="1" applyAlignment="1" applyProtection="1">
      <alignment horizontal="center" vertical="center" wrapText="1"/>
    </xf>
    <xf numFmtId="0" fontId="0" fillId="14" borderId="45" xfId="0" applyFill="1" applyBorder="1" applyAlignment="1" applyProtection="1">
      <alignment vertical="center" wrapText="1"/>
    </xf>
    <xf numFmtId="205" fontId="0" fillId="44" borderId="225" xfId="0" applyNumberFormat="1" applyFill="1" applyBorder="1" applyAlignment="1" applyProtection="1">
      <alignment horizontal="left" vertical="center" wrapText="1"/>
    </xf>
    <xf numFmtId="0" fontId="0" fillId="45" borderId="572" xfId="0" applyFill="1" applyBorder="1" applyAlignment="1" applyProtection="1">
      <alignment horizontal="right" vertical="center" wrapText="1" indent="1"/>
    </xf>
    <xf numFmtId="216" fontId="0" fillId="45" borderId="572" xfId="0" applyNumberFormat="1" applyFill="1" applyBorder="1" applyAlignment="1" applyProtection="1">
      <alignment horizontal="left" vertical="center" wrapText="1"/>
    </xf>
    <xf numFmtId="203" fontId="0" fillId="45" borderId="572" xfId="0" applyNumberFormat="1" applyFill="1" applyBorder="1" applyAlignment="1" applyProtection="1">
      <alignment horizontal="center" vertical="center" wrapText="1"/>
    </xf>
    <xf numFmtId="201" fontId="0" fillId="14" borderId="45" xfId="0" applyNumberFormat="1" applyFill="1" applyBorder="1" applyAlignment="1" applyProtection="1">
      <alignment horizontal="center" vertical="center" wrapText="1"/>
    </xf>
    <xf numFmtId="0" fontId="34" fillId="14" borderId="0" xfId="0" applyFont="1" applyFill="1" applyBorder="1" applyAlignment="1" applyProtection="1">
      <alignment horizontal="center"/>
    </xf>
    <xf numFmtId="0" fontId="0" fillId="14" borderId="0" xfId="0" applyFill="1" applyBorder="1" applyAlignment="1" applyProtection="1">
      <alignment horizontal="left" indent="1"/>
    </xf>
    <xf numFmtId="0" fontId="0" fillId="14" borderId="0" xfId="0" applyFill="1" applyBorder="1" applyAlignment="1" applyProtection="1"/>
    <xf numFmtId="0" fontId="41" fillId="14" borderId="0" xfId="0" applyFont="1" applyFill="1" applyBorder="1" applyAlignment="1" applyProtection="1">
      <alignment horizontal="left" indent="1"/>
    </xf>
    <xf numFmtId="0" fontId="76" fillId="14" borderId="0" xfId="0" applyFont="1" applyFill="1" applyBorder="1" applyAlignment="1" applyProtection="1">
      <alignment vertical="center"/>
    </xf>
    <xf numFmtId="0" fontId="4" fillId="14" borderId="0" xfId="0" applyFont="1" applyFill="1" applyBorder="1" applyAlignment="1" applyProtection="1">
      <alignment horizontal="center" vertical="center"/>
    </xf>
    <xf numFmtId="0" fontId="37" fillId="43" borderId="0" xfId="0" applyFont="1" applyFill="1" applyBorder="1" applyAlignment="1" applyProtection="1">
      <alignment vertical="center"/>
    </xf>
    <xf numFmtId="0" fontId="37" fillId="14" borderId="0" xfId="0" applyFont="1" applyFill="1" applyBorder="1" applyAlignment="1" applyProtection="1">
      <alignment horizontal="left" vertical="center" wrapText="1" indent="1"/>
    </xf>
    <xf numFmtId="0" fontId="37" fillId="14" borderId="0" xfId="0" applyFont="1" applyFill="1" applyBorder="1" applyAlignment="1" applyProtection="1">
      <alignment horizontal="left" vertical="center"/>
    </xf>
    <xf numFmtId="217" fontId="0" fillId="14" borderId="0" xfId="0" applyNumberFormat="1" applyFill="1" applyBorder="1" applyAlignment="1" applyProtection="1">
      <alignment horizontal="center" vertical="center" wrapText="1"/>
    </xf>
    <xf numFmtId="0" fontId="0" fillId="14" borderId="0" xfId="0" applyNumberFormat="1" applyFill="1" applyBorder="1" applyAlignment="1" applyProtection="1">
      <alignment horizontal="center" vertical="center" wrapText="1"/>
    </xf>
    <xf numFmtId="0" fontId="0" fillId="52" borderId="0" xfId="0" applyNumberFormat="1" applyFill="1" applyBorder="1" applyAlignment="1" applyProtection="1">
      <alignment horizontal="center" vertical="center" wrapText="1"/>
    </xf>
    <xf numFmtId="0" fontId="0" fillId="14" borderId="13" xfId="0" applyFill="1" applyBorder="1" applyAlignment="1" applyProtection="1">
      <alignment horizontal="center" vertical="center" wrapText="1"/>
    </xf>
    <xf numFmtId="0" fontId="0" fillId="14" borderId="1" xfId="0" applyFill="1" applyBorder="1" applyAlignment="1" applyProtection="1">
      <alignment horizontal="center" vertical="center" wrapText="1"/>
    </xf>
    <xf numFmtId="0" fontId="0" fillId="14" borderId="15" xfId="0" applyFill="1" applyBorder="1" applyAlignment="1" applyProtection="1">
      <alignment horizontal="center" vertical="center" wrapText="1"/>
    </xf>
    <xf numFmtId="0" fontId="0" fillId="52" borderId="47" xfId="0" applyFill="1" applyBorder="1" applyAlignment="1" applyProtection="1">
      <alignment horizontal="left" vertical="center" wrapText="1"/>
    </xf>
    <xf numFmtId="0" fontId="0" fillId="14" borderId="47" xfId="0" applyFill="1" applyBorder="1" applyAlignment="1" applyProtection="1">
      <alignment horizontal="left" vertical="center" wrapText="1"/>
    </xf>
    <xf numFmtId="0" fontId="0" fillId="14" borderId="65" xfId="0" applyFill="1" applyBorder="1" applyAlignment="1" applyProtection="1">
      <alignment horizontal="left" vertical="center" wrapText="1"/>
    </xf>
    <xf numFmtId="221" fontId="0" fillId="14" borderId="0" xfId="0" applyNumberFormat="1" applyFill="1" applyBorder="1" applyAlignment="1" applyProtection="1">
      <alignment horizontal="center" vertical="center" wrapText="1"/>
    </xf>
    <xf numFmtId="0" fontId="0" fillId="14" borderId="0" xfId="0" applyFill="1" applyAlignment="1" applyProtection="1"/>
    <xf numFmtId="0" fontId="0" fillId="14" borderId="0" xfId="0" applyFont="1" applyFill="1" applyProtection="1"/>
    <xf numFmtId="0" fontId="0" fillId="14" borderId="0" xfId="0" applyFont="1" applyFill="1" applyAlignment="1" applyProtection="1">
      <alignment horizontal="center"/>
    </xf>
    <xf numFmtId="0" fontId="39" fillId="14" borderId="0" xfId="0" applyFont="1" applyFill="1" applyBorder="1" applyProtection="1"/>
    <xf numFmtId="0" fontId="0" fillId="14" borderId="0" xfId="0" applyFill="1" applyBorder="1" applyAlignment="1" applyProtection="1">
      <alignment horizontal="left" vertical="top" wrapText="1"/>
    </xf>
    <xf numFmtId="0" fontId="37" fillId="14" borderId="493" xfId="0" applyFont="1" applyFill="1" applyBorder="1" applyAlignment="1" applyProtection="1">
      <alignment horizontal="right" indent="1"/>
    </xf>
    <xf numFmtId="222" fontId="37" fillId="14" borderId="493" xfId="0" applyNumberFormat="1" applyFont="1" applyFill="1" applyBorder="1" applyAlignment="1" applyProtection="1">
      <alignment horizontal="center" vertical="center"/>
    </xf>
    <xf numFmtId="9" fontId="37" fillId="14" borderId="493" xfId="0" applyNumberFormat="1" applyFont="1" applyFill="1" applyBorder="1" applyAlignment="1" applyProtection="1">
      <alignment horizontal="center" vertical="center"/>
    </xf>
    <xf numFmtId="0" fontId="76" fillId="14" borderId="0" xfId="0" applyFont="1" applyFill="1" applyAlignment="1" applyProtection="1">
      <alignment vertical="center"/>
    </xf>
    <xf numFmtId="189" fontId="48" fillId="14" borderId="493" xfId="0" applyNumberFormat="1" applyFont="1" applyFill="1" applyBorder="1" applyAlignment="1" applyProtection="1">
      <alignment horizontal="center" vertical="center"/>
    </xf>
    <xf numFmtId="0" fontId="0" fillId="52" borderId="19" xfId="0" applyFill="1" applyBorder="1" applyAlignment="1" applyProtection="1">
      <alignment horizontal="left" vertical="center" wrapText="1"/>
    </xf>
    <xf numFmtId="0" fontId="0" fillId="14" borderId="19" xfId="0" applyFill="1" applyBorder="1" applyAlignment="1" applyProtection="1">
      <alignment horizontal="left" vertical="center" wrapText="1"/>
    </xf>
    <xf numFmtId="0" fontId="0" fillId="14" borderId="80" xfId="0" applyFill="1" applyBorder="1" applyAlignment="1" applyProtection="1">
      <alignment horizontal="left" vertical="center" wrapText="1"/>
    </xf>
    <xf numFmtId="0" fontId="0" fillId="14" borderId="0" xfId="0" applyFill="1" applyAlignment="1" applyProtection="1">
      <alignment vertical="center" wrapText="1"/>
    </xf>
    <xf numFmtId="0" fontId="36" fillId="52" borderId="557" xfId="0" applyFont="1" applyFill="1" applyBorder="1" applyAlignment="1" applyProtection="1">
      <alignment vertical="center" wrapText="1"/>
    </xf>
    <xf numFmtId="0" fontId="36" fillId="14" borderId="557" xfId="0" applyFont="1" applyFill="1" applyBorder="1" applyAlignment="1" applyProtection="1">
      <alignment vertical="center" wrapText="1"/>
    </xf>
    <xf numFmtId="0" fontId="36" fillId="14" borderId="45" xfId="0" applyFont="1" applyFill="1" applyBorder="1" applyAlignment="1" applyProtection="1">
      <alignment vertical="center" wrapText="1"/>
    </xf>
    <xf numFmtId="0" fontId="36" fillId="52" borderId="0" xfId="0" applyFont="1" applyFill="1" applyBorder="1" applyAlignment="1" applyProtection="1">
      <alignment vertical="center" wrapText="1"/>
    </xf>
    <xf numFmtId="0" fontId="36" fillId="14" borderId="0" xfId="0" applyFont="1" applyFill="1" applyBorder="1" applyAlignment="1" applyProtection="1">
      <alignment vertical="center" wrapText="1"/>
    </xf>
    <xf numFmtId="0" fontId="36" fillId="14" borderId="560" xfId="0" applyFont="1" applyFill="1" applyBorder="1" applyAlignment="1" applyProtection="1">
      <alignment horizontal="left" vertical="center" wrapText="1"/>
    </xf>
    <xf numFmtId="0" fontId="0" fillId="14" borderId="0" xfId="0" applyFont="1" applyFill="1" applyBorder="1" applyProtection="1"/>
    <xf numFmtId="0" fontId="4" fillId="14" borderId="47" xfId="0" applyFont="1" applyFill="1" applyBorder="1" applyAlignment="1" applyProtection="1">
      <alignment vertical="center" wrapText="1"/>
    </xf>
    <xf numFmtId="0" fontId="29" fillId="14" borderId="0" xfId="0" applyFont="1" applyFill="1" applyBorder="1" applyAlignment="1" applyProtection="1">
      <alignment horizontal="left" vertical="center" wrapText="1" indent="1"/>
    </xf>
    <xf numFmtId="0" fontId="0" fillId="0" borderId="227" xfId="0" applyFill="1" applyBorder="1" applyAlignment="1" applyProtection="1">
      <alignment horizontal="right" vertical="center" wrapText="1" indent="1"/>
    </xf>
    <xf numFmtId="216" fontId="0" fillId="0" borderId="227" xfId="0" applyNumberFormat="1" applyFill="1" applyBorder="1" applyAlignment="1" applyProtection="1">
      <alignment horizontal="left" vertical="center" wrapText="1"/>
    </xf>
    <xf numFmtId="203" fontId="0" fillId="0" borderId="227" xfId="0" applyNumberFormat="1" applyFill="1" applyBorder="1" applyAlignment="1" applyProtection="1">
      <alignment horizontal="center" vertical="center" wrapText="1"/>
    </xf>
    <xf numFmtId="0" fontId="0" fillId="0" borderId="225" xfId="0" applyFill="1" applyBorder="1" applyAlignment="1" applyProtection="1">
      <alignment horizontal="right" vertical="center" wrapText="1" indent="1"/>
    </xf>
    <xf numFmtId="216" fontId="0" fillId="0" borderId="225" xfId="0" applyNumberFormat="1" applyFill="1" applyBorder="1" applyAlignment="1" applyProtection="1">
      <alignment horizontal="left" vertical="center" wrapText="1"/>
    </xf>
    <xf numFmtId="203" fontId="0" fillId="0" borderId="225" xfId="0" applyNumberFormat="1" applyFill="1" applyBorder="1" applyAlignment="1" applyProtection="1">
      <alignment horizontal="center" vertical="center" wrapText="1"/>
    </xf>
    <xf numFmtId="0" fontId="0" fillId="0" borderId="19" xfId="0" applyFill="1" applyBorder="1" applyAlignment="1" applyProtection="1">
      <alignment vertical="center" wrapText="1"/>
    </xf>
    <xf numFmtId="0" fontId="41" fillId="14" borderId="27" xfId="0" applyFont="1" applyFill="1" applyBorder="1" applyAlignment="1" applyProtection="1">
      <alignment horizontal="center" vertical="center" wrapText="1"/>
    </xf>
    <xf numFmtId="0" fontId="25" fillId="14" borderId="27" xfId="0" applyFont="1" applyFill="1" applyBorder="1" applyAlignment="1" applyProtection="1">
      <alignment horizontal="center" vertical="center" wrapText="1"/>
    </xf>
    <xf numFmtId="0" fontId="41" fillId="14" borderId="9" xfId="0" applyFont="1" applyFill="1" applyBorder="1" applyAlignment="1" applyProtection="1">
      <alignment horizontal="center" vertical="center" wrapText="1"/>
    </xf>
    <xf numFmtId="0" fontId="0" fillId="0" borderId="53" xfId="0" applyFill="1" applyBorder="1" applyAlignment="1" applyProtection="1">
      <alignment horizontal="center" vertical="center" wrapText="1"/>
    </xf>
    <xf numFmtId="0" fontId="4" fillId="0" borderId="27" xfId="0" applyFont="1" applyFill="1" applyBorder="1" applyAlignment="1" applyProtection="1">
      <alignment horizontal="center" vertical="center" wrapText="1"/>
    </xf>
    <xf numFmtId="187" fontId="0" fillId="0" borderId="27" xfId="0" applyNumberFormat="1" applyFill="1" applyBorder="1" applyAlignment="1" applyProtection="1">
      <alignment vertical="center" wrapText="1"/>
    </xf>
    <xf numFmtId="0" fontId="0" fillId="0" borderId="27" xfId="0" applyFont="1" applyFill="1" applyBorder="1" applyAlignment="1" applyProtection="1">
      <alignment horizontal="center" vertical="center" wrapText="1"/>
    </xf>
    <xf numFmtId="0" fontId="0" fillId="0" borderId="27" xfId="0" applyFont="1" applyFill="1" applyBorder="1" applyAlignment="1" applyProtection="1">
      <alignment horizontal="left" vertical="center" wrapText="1" indent="1"/>
    </xf>
    <xf numFmtId="0" fontId="0" fillId="14" borderId="65" xfId="0" applyFill="1" applyBorder="1" applyAlignment="1" applyProtection="1">
      <alignment horizontal="center" vertical="center" wrapText="1"/>
    </xf>
    <xf numFmtId="0" fontId="0" fillId="52" borderId="0" xfId="0" applyFill="1" applyAlignment="1" applyProtection="1">
      <alignment horizontal="left" vertical="center" wrapText="1"/>
    </xf>
    <xf numFmtId="0" fontId="0" fillId="14" borderId="0" xfId="0" applyFill="1" applyAlignment="1" applyProtection="1">
      <alignment horizontal="left" wrapText="1"/>
    </xf>
    <xf numFmtId="0" fontId="41" fillId="0" borderId="0" xfId="0" applyFont="1" applyFill="1" applyProtection="1"/>
    <xf numFmtId="0" fontId="0" fillId="0" borderId="0" xfId="0" applyFill="1" applyAlignment="1" applyProtection="1">
      <alignment horizontal="center" vertical="center"/>
    </xf>
    <xf numFmtId="0" fontId="0" fillId="52" borderId="0" xfId="0" applyFill="1" applyProtection="1">
      <protection locked="0"/>
    </xf>
    <xf numFmtId="222" fontId="37" fillId="47" borderId="23" xfId="0" applyNumberFormat="1" applyFont="1" applyFill="1" applyBorder="1" applyAlignment="1" applyProtection="1">
      <alignment horizontal="center" vertical="center"/>
      <protection locked="0"/>
    </xf>
    <xf numFmtId="9" fontId="37" fillId="47" borderId="23" xfId="0" applyNumberFormat="1" applyFont="1" applyFill="1" applyBorder="1" applyAlignment="1" applyProtection="1">
      <alignment horizontal="center" vertical="center"/>
      <protection locked="0"/>
    </xf>
    <xf numFmtId="183" fontId="0" fillId="18" borderId="229" xfId="0" applyNumberFormat="1" applyFill="1" applyBorder="1" applyAlignment="1" applyProtection="1">
      <alignment horizontal="center" vertical="center" wrapText="1"/>
      <protection locked="0"/>
    </xf>
    <xf numFmtId="183" fontId="0" fillId="18" borderId="240" xfId="0" applyNumberFormat="1" applyFill="1" applyBorder="1" applyAlignment="1" applyProtection="1">
      <alignment horizontal="center" vertical="center" wrapText="1"/>
      <protection locked="0"/>
    </xf>
    <xf numFmtId="183" fontId="0" fillId="18" borderId="574" xfId="0" applyNumberFormat="1" applyFill="1" applyBorder="1" applyAlignment="1" applyProtection="1">
      <alignment horizontal="center" vertical="center" wrapText="1"/>
      <protection locked="0"/>
    </xf>
    <xf numFmtId="183" fontId="0" fillId="18" borderId="328" xfId="0" applyNumberFormat="1" applyFill="1" applyBorder="1" applyAlignment="1" applyProtection="1">
      <alignment horizontal="center" vertical="center" wrapText="1"/>
      <protection locked="0"/>
    </xf>
    <xf numFmtId="0" fontId="70" fillId="14" borderId="231" xfId="0" applyFont="1" applyFill="1" applyBorder="1" applyAlignment="1" applyProtection="1">
      <alignment horizontal="left" vertical="center" indent="1"/>
    </xf>
    <xf numFmtId="0" fontId="0" fillId="14" borderId="338" xfId="0" applyFill="1" applyBorder="1" applyAlignment="1" applyProtection="1">
      <alignment vertical="center"/>
    </xf>
    <xf numFmtId="0" fontId="0" fillId="14" borderId="338" xfId="0" applyFill="1" applyBorder="1" applyAlignment="1" applyProtection="1">
      <alignment horizontal="center"/>
    </xf>
    <xf numFmtId="0" fontId="38" fillId="14" borderId="515" xfId="0" applyFont="1" applyFill="1" applyBorder="1" applyAlignment="1" applyProtection="1">
      <alignment horizontal="right" vertical="center"/>
    </xf>
    <xf numFmtId="0" fontId="4" fillId="14" borderId="0" xfId="0" applyFont="1" applyFill="1" applyBorder="1" applyAlignment="1" applyProtection="1">
      <alignment horizontal="center"/>
    </xf>
    <xf numFmtId="0" fontId="0" fillId="14" borderId="344" xfId="0" applyFill="1" applyBorder="1" applyAlignment="1" applyProtection="1">
      <alignment horizontal="center"/>
    </xf>
    <xf numFmtId="0" fontId="4" fillId="14" borderId="344" xfId="0" applyFont="1" applyFill="1" applyBorder="1" applyAlignment="1" applyProtection="1">
      <alignment horizontal="center"/>
    </xf>
    <xf numFmtId="0" fontId="37" fillId="14" borderId="0" xfId="0" applyFont="1" applyFill="1" applyAlignment="1" applyProtection="1">
      <alignment horizontal="right"/>
    </xf>
    <xf numFmtId="171" fontId="0" fillId="14" borderId="0" xfId="0" applyNumberFormat="1" applyFill="1" applyBorder="1" applyAlignment="1">
      <alignment horizontal="right" vertical="top"/>
    </xf>
    <xf numFmtId="0" fontId="0" fillId="14" borderId="0" xfId="0" applyFill="1" applyBorder="1" applyAlignment="1">
      <alignment vertical="top"/>
    </xf>
    <xf numFmtId="0" fontId="0" fillId="14" borderId="0" xfId="0" applyFill="1" applyAlignment="1">
      <alignment vertical="top"/>
    </xf>
    <xf numFmtId="0" fontId="37" fillId="14" borderId="0" xfId="0" applyFont="1" applyFill="1" applyAlignment="1">
      <alignment horizontal="right"/>
    </xf>
    <xf numFmtId="0" fontId="0" fillId="0" borderId="8" xfId="0" applyFill="1" applyBorder="1" applyAlignment="1" applyProtection="1">
      <alignment horizontal="center" vertical="center" wrapText="1"/>
    </xf>
    <xf numFmtId="0" fontId="0" fillId="14" borderId="0" xfId="0" applyFill="1" applyBorder="1" applyProtection="1"/>
    <xf numFmtId="0" fontId="0" fillId="0" borderId="26" xfId="0" applyFill="1" applyBorder="1" applyAlignment="1" applyProtection="1">
      <alignment horizontal="center" vertical="center" wrapText="1"/>
    </xf>
    <xf numFmtId="0" fontId="0" fillId="0" borderId="26" xfId="0" applyFill="1" applyBorder="1" applyAlignment="1" applyProtection="1">
      <alignment horizontal="center" vertical="center"/>
    </xf>
    <xf numFmtId="0" fontId="4" fillId="14" borderId="26" xfId="0" applyFont="1" applyFill="1" applyBorder="1" applyAlignment="1" applyProtection="1">
      <alignment horizontal="center" vertical="center" wrapText="1"/>
    </xf>
    <xf numFmtId="0" fontId="0" fillId="0" borderId="7" xfId="0" applyFill="1" applyBorder="1" applyAlignment="1" applyProtection="1">
      <alignment horizontal="left" vertical="center" wrapText="1" indent="1"/>
    </xf>
    <xf numFmtId="0" fontId="4" fillId="14" borderId="23" xfId="0" applyFont="1" applyFill="1" applyBorder="1" applyAlignment="1" applyProtection="1">
      <alignment horizontal="center" vertical="center" wrapText="1"/>
    </xf>
    <xf numFmtId="0" fontId="4" fillId="14" borderId="27" xfId="0" applyFont="1"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0" fillId="0" borderId="27" xfId="0" applyFill="1" applyBorder="1" applyAlignment="1" applyProtection="1">
      <alignment horizontal="center" vertical="center" wrapText="1"/>
    </xf>
    <xf numFmtId="0" fontId="4" fillId="14" borderId="3" xfId="0" applyFont="1" applyFill="1" applyBorder="1" applyAlignment="1" applyProtection="1">
      <alignment horizontal="center" vertical="center" wrapText="1"/>
    </xf>
    <xf numFmtId="0" fontId="0" fillId="14" borderId="9" xfId="0" applyFill="1" applyBorder="1" applyAlignment="1" applyProtection="1">
      <alignment horizontal="center" vertical="center" wrapText="1"/>
    </xf>
    <xf numFmtId="0" fontId="0" fillId="14" borderId="0" xfId="0" applyFill="1" applyBorder="1" applyAlignment="1" applyProtection="1">
      <alignment horizontal="center"/>
    </xf>
    <xf numFmtId="14" fontId="0" fillId="14" borderId="12" xfId="0" applyNumberFormat="1" applyFont="1" applyFill="1" applyBorder="1" applyAlignment="1">
      <alignment horizontal="left" vertical="center" wrapText="1" indent="1"/>
    </xf>
    <xf numFmtId="0" fontId="1" fillId="0" borderId="12" xfId="0" applyFont="1" applyFill="1" applyBorder="1" applyAlignment="1">
      <alignment horizontal="center" vertical="center" wrapText="1"/>
    </xf>
    <xf numFmtId="166" fontId="0" fillId="0" borderId="3" xfId="0" applyNumberFormat="1" applyFont="1" applyFill="1" applyBorder="1" applyAlignment="1">
      <alignment horizontal="center" vertical="center" wrapText="1"/>
    </xf>
    <xf numFmtId="166" fontId="0" fillId="0" borderId="9" xfId="0" applyNumberFormat="1" applyFont="1" applyFill="1" applyBorder="1" applyAlignment="1">
      <alignment horizontal="center" vertical="center" wrapText="1"/>
    </xf>
    <xf numFmtId="166" fontId="0" fillId="0" borderId="355" xfId="0" applyNumberFormat="1" applyFont="1" applyFill="1" applyBorder="1" applyAlignment="1">
      <alignment horizontal="center" vertical="center" wrapText="1"/>
    </xf>
    <xf numFmtId="166" fontId="0" fillId="0" borderId="7" xfId="0" applyNumberFormat="1" applyFont="1" applyFill="1" applyBorder="1" applyAlignment="1">
      <alignment horizontal="center" vertical="center" wrapText="1"/>
    </xf>
    <xf numFmtId="2" fontId="0" fillId="0" borderId="45" xfId="0" applyNumberFormat="1" applyFont="1" applyFill="1" applyBorder="1" applyAlignment="1">
      <alignment horizontal="center" vertical="center" wrapText="1"/>
    </xf>
    <xf numFmtId="3" fontId="0" fillId="0" borderId="3" xfId="0" applyNumberFormat="1" applyFont="1" applyFill="1" applyBorder="1" applyAlignment="1">
      <alignment horizontal="center" vertical="center" wrapText="1"/>
    </xf>
    <xf numFmtId="3" fontId="0" fillId="0" borderId="7" xfId="0" applyNumberFormat="1" applyFont="1" applyFill="1" applyBorder="1" applyAlignment="1">
      <alignment horizontal="center" vertical="center" wrapText="1"/>
    </xf>
    <xf numFmtId="3" fontId="0" fillId="0" borderId="355" xfId="0" applyNumberFormat="1" applyFont="1" applyFill="1" applyBorder="1" applyAlignment="1">
      <alignment vertical="center" wrapText="1"/>
    </xf>
    <xf numFmtId="3" fontId="0" fillId="0" borderId="3" xfId="0" applyNumberFormat="1" applyFont="1" applyFill="1" applyBorder="1" applyAlignment="1">
      <alignment vertical="center" wrapText="1"/>
    </xf>
    <xf numFmtId="3" fontId="0" fillId="0" borderId="7" xfId="0" applyNumberFormat="1" applyFont="1" applyFill="1" applyBorder="1" applyAlignment="1">
      <alignment vertical="center" wrapText="1"/>
    </xf>
    <xf numFmtId="1" fontId="0" fillId="0" borderId="134" xfId="0" applyNumberFormat="1" applyFont="1" applyFill="1" applyBorder="1" applyAlignment="1">
      <alignment horizontal="right" vertical="center" wrapText="1" indent="1"/>
    </xf>
    <xf numFmtId="1" fontId="0" fillId="0" borderId="137" xfId="0" applyNumberFormat="1" applyFont="1" applyFill="1" applyBorder="1" applyAlignment="1">
      <alignment horizontal="right" vertical="center" wrapText="1" indent="1"/>
    </xf>
    <xf numFmtId="2" fontId="0" fillId="0" borderId="355" xfId="0" applyNumberFormat="1" applyFont="1" applyFill="1" applyBorder="1" applyAlignment="1">
      <alignment horizontal="center" vertical="center" wrapText="1"/>
    </xf>
    <xf numFmtId="2" fontId="0" fillId="0" borderId="3"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wrapText="1"/>
    </xf>
    <xf numFmtId="3" fontId="0" fillId="0" borderId="9" xfId="0" applyNumberFormat="1" applyFont="1" applyFill="1" applyBorder="1" applyAlignment="1">
      <alignment horizontal="center" vertical="center" wrapText="1"/>
    </xf>
    <xf numFmtId="3" fontId="0" fillId="0" borderId="9" xfId="0" applyNumberFormat="1" applyFont="1" applyFill="1" applyBorder="1" applyAlignment="1">
      <alignment vertical="center" wrapText="1"/>
    </xf>
    <xf numFmtId="1" fontId="0" fillId="0" borderId="9" xfId="0" applyNumberFormat="1" applyFont="1" applyFill="1" applyBorder="1" applyAlignment="1">
      <alignment horizontal="center" vertical="center" wrapText="1"/>
    </xf>
    <xf numFmtId="1" fontId="0" fillId="0" borderId="135" xfId="0" applyNumberFormat="1" applyFont="1" applyFill="1" applyBorder="1" applyAlignment="1">
      <alignment horizontal="right" vertical="center" wrapText="1" indent="1"/>
    </xf>
    <xf numFmtId="189" fontId="0" fillId="0" borderId="31" xfId="0" applyNumberFormat="1" applyFont="1" applyFill="1" applyBorder="1" applyAlignment="1">
      <alignment horizontal="center" vertical="center" wrapText="1"/>
    </xf>
    <xf numFmtId="189" fontId="0" fillId="0" borderId="44" xfId="0" applyNumberFormat="1" applyFont="1" applyFill="1" applyBorder="1" applyAlignment="1">
      <alignment horizontal="center" vertical="center" wrapText="1"/>
    </xf>
    <xf numFmtId="2" fontId="0" fillId="0" borderId="7" xfId="0" applyNumberFormat="1" applyFont="1" applyFill="1" applyBorder="1" applyAlignment="1">
      <alignment horizontal="center" vertical="center" wrapText="1"/>
    </xf>
    <xf numFmtId="3" fontId="0" fillId="0" borderId="306" xfId="0" applyNumberFormat="1" applyFont="1" applyFill="1" applyBorder="1" applyAlignment="1">
      <alignment horizontal="center" vertical="center" wrapText="1"/>
    </xf>
    <xf numFmtId="189" fontId="0" fillId="0" borderId="84" xfId="0" applyNumberFormat="1" applyFont="1" applyFill="1" applyBorder="1" applyAlignment="1">
      <alignment horizontal="center" vertical="center" wrapText="1"/>
    </xf>
    <xf numFmtId="189" fontId="0" fillId="0" borderId="106" xfId="0" applyNumberFormat="1" applyFont="1" applyFill="1" applyBorder="1" applyAlignment="1">
      <alignment horizontal="center" vertical="center" wrapText="1"/>
    </xf>
    <xf numFmtId="3" fontId="0" fillId="0" borderId="12" xfId="0" applyNumberFormat="1" applyFont="1" applyFill="1" applyBorder="1" applyAlignment="1">
      <alignment horizontal="center" vertical="center" wrapText="1"/>
    </xf>
    <xf numFmtId="175" fontId="0" fillId="0" borderId="26" xfId="0" applyNumberFormat="1" applyFont="1" applyFill="1" applyBorder="1" applyAlignment="1">
      <alignment horizontal="right" vertical="center" wrapText="1" indent="1"/>
    </xf>
    <xf numFmtId="175" fontId="0" fillId="0" borderId="23" xfId="0" applyNumberFormat="1" applyFont="1" applyFill="1" applyBorder="1" applyAlignment="1">
      <alignment horizontal="right" vertical="center" wrapText="1" indent="1"/>
    </xf>
    <xf numFmtId="3" fontId="0" fillId="0" borderId="38" xfId="0" applyNumberFormat="1" applyFont="1" applyFill="1" applyBorder="1" applyAlignment="1">
      <alignment horizontal="center" vertical="center" wrapText="1"/>
    </xf>
    <xf numFmtId="3" fontId="0" fillId="0" borderId="42" xfId="0" applyNumberFormat="1" applyFont="1" applyFill="1" applyBorder="1" applyAlignment="1">
      <alignment horizontal="center" vertical="center" wrapText="1"/>
    </xf>
    <xf numFmtId="1" fontId="0" fillId="0" borderId="42" xfId="0" applyNumberFormat="1"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187" fontId="0" fillId="0" borderId="23" xfId="0" applyNumberFormat="1" applyFont="1" applyFill="1" applyBorder="1" applyAlignment="1">
      <alignment horizontal="right" vertical="center" wrapText="1" indent="1"/>
    </xf>
    <xf numFmtId="0" fontId="0" fillId="0" borderId="23" xfId="0" applyFont="1" applyFill="1" applyBorder="1" applyAlignment="1">
      <alignment horizontal="right" vertical="center" wrapText="1" indent="1"/>
    </xf>
    <xf numFmtId="187" fontId="0" fillId="0" borderId="23" xfId="0" applyNumberFormat="1" applyFont="1" applyFill="1" applyBorder="1" applyAlignment="1">
      <alignment horizontal="center" vertical="center" wrapText="1"/>
    </xf>
    <xf numFmtId="187" fontId="0" fillId="0" borderId="27" xfId="0" applyNumberFormat="1" applyFont="1" applyFill="1" applyBorder="1" applyAlignment="1">
      <alignment horizontal="center" vertical="center" wrapText="1"/>
    </xf>
    <xf numFmtId="187" fontId="0" fillId="0" borderId="26" xfId="0" applyNumberFormat="1" applyFont="1" applyFill="1" applyBorder="1" applyAlignment="1">
      <alignment horizontal="center" vertical="center" wrapText="1"/>
    </xf>
    <xf numFmtId="0" fontId="0" fillId="0" borderId="27" xfId="0" applyFont="1" applyFill="1" applyBorder="1" applyAlignment="1">
      <alignment horizontal="right" vertical="center" wrapText="1" indent="1"/>
    </xf>
    <xf numFmtId="0" fontId="0" fillId="0" borderId="101" xfId="0" applyFont="1" applyFill="1" applyBorder="1" applyAlignment="1">
      <alignment horizontal="left" vertical="center" wrapText="1" indent="1"/>
    </xf>
    <xf numFmtId="0" fontId="0" fillId="0" borderId="7" xfId="0" applyFont="1" applyFill="1" applyBorder="1" applyAlignment="1">
      <alignment horizontal="left" vertical="center" wrapText="1" indent="1"/>
    </xf>
    <xf numFmtId="1" fontId="0" fillId="0" borderId="38"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1" fillId="0" borderId="41" xfId="0" applyFont="1" applyFill="1" applyBorder="1" applyAlignment="1">
      <alignment horizontal="center" vertical="center" wrapText="1"/>
    </xf>
    <xf numFmtId="0" fontId="0" fillId="0" borderId="101" xfId="0" applyFont="1" applyFill="1" applyBorder="1" applyAlignment="1">
      <alignment horizontal="right" vertical="center" wrapText="1" indent="1"/>
    </xf>
    <xf numFmtId="0" fontId="1" fillId="0" borderId="36"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0" fillId="0" borderId="36" xfId="0" applyFont="1" applyFill="1" applyBorder="1" applyAlignment="1">
      <alignment horizontal="left" vertical="center" wrapText="1" indent="1"/>
    </xf>
    <xf numFmtId="0" fontId="0" fillId="0" borderId="44" xfId="0" applyFont="1" applyFill="1" applyBorder="1" applyAlignment="1">
      <alignment horizontal="left" vertical="center" wrapText="1" indent="1"/>
    </xf>
    <xf numFmtId="0" fontId="0" fillId="0" borderId="6" xfId="0" applyFill="1" applyBorder="1" applyAlignment="1">
      <alignment horizontal="center" vertical="center" wrapText="1"/>
    </xf>
    <xf numFmtId="0" fontId="4" fillId="0" borderId="23" xfId="0" applyFont="1" applyFill="1" applyBorder="1" applyAlignment="1">
      <alignment horizontal="center" vertical="center" wrapText="1"/>
    </xf>
    <xf numFmtId="0" fontId="0" fillId="0" borderId="14" xfId="0"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0" fillId="0" borderId="52"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357" xfId="0" applyFill="1" applyBorder="1" applyAlignment="1">
      <alignment horizontal="left" vertical="center" wrapText="1" indent="1"/>
    </xf>
    <xf numFmtId="0" fontId="0" fillId="0" borderId="356" xfId="0" applyFill="1" applyBorder="1" applyAlignment="1">
      <alignment horizontal="left" vertical="center" wrapText="1" indent="1"/>
    </xf>
    <xf numFmtId="0" fontId="0" fillId="0" borderId="51" xfId="0" applyFont="1" applyFill="1" applyBorder="1" applyAlignment="1">
      <alignment horizontal="center" vertical="center" wrapText="1"/>
    </xf>
    <xf numFmtId="0" fontId="0" fillId="0" borderId="11" xfId="0" applyFont="1" applyFill="1" applyBorder="1" applyAlignment="1">
      <alignment horizontal="left" vertical="center" wrapText="1" indent="1"/>
    </xf>
    <xf numFmtId="0" fontId="0" fillId="0" borderId="6" xfId="0" applyFont="1" applyFill="1" applyBorder="1" applyAlignment="1">
      <alignment horizontal="center" vertical="center" wrapText="1"/>
    </xf>
    <xf numFmtId="0" fontId="0" fillId="0" borderId="366" xfId="0" applyFill="1" applyBorder="1" applyAlignment="1">
      <alignment horizontal="center" vertical="center" wrapText="1"/>
    </xf>
    <xf numFmtId="0" fontId="0" fillId="0" borderId="7" xfId="0" applyFill="1" applyBorder="1" applyAlignment="1">
      <alignment horizontal="left" vertical="center" wrapText="1" indent="1"/>
    </xf>
    <xf numFmtId="0" fontId="1" fillId="0" borderId="42" xfId="0" applyFont="1" applyBorder="1" applyAlignment="1" applyProtection="1">
      <alignment horizontal="center" vertical="center" wrapText="1"/>
    </xf>
    <xf numFmtId="187" fontId="0" fillId="0" borderId="302" xfId="0" applyNumberFormat="1" applyFill="1" applyBorder="1" applyAlignment="1" applyProtection="1">
      <alignment horizontal="left" vertical="center" wrapText="1" indent="1"/>
    </xf>
    <xf numFmtId="187" fontId="0" fillId="0" borderId="306" xfId="0" applyNumberFormat="1" applyFill="1" applyBorder="1" applyAlignment="1" applyProtection="1">
      <alignment horizontal="left" vertical="center" wrapText="1" indent="1"/>
    </xf>
    <xf numFmtId="187" fontId="0" fillId="0" borderId="310" xfId="0" applyNumberFormat="1" applyFill="1" applyBorder="1" applyAlignment="1" applyProtection="1">
      <alignment horizontal="left" vertical="center" wrapText="1" indent="1"/>
    </xf>
    <xf numFmtId="0" fontId="1" fillId="0" borderId="309" xfId="0" applyFont="1" applyFill="1" applyBorder="1" applyAlignment="1" applyProtection="1">
      <alignment horizontal="center" vertical="center" wrapText="1"/>
    </xf>
    <xf numFmtId="0" fontId="1" fillId="0" borderId="302" xfId="0" applyFont="1" applyFill="1" applyBorder="1" applyAlignment="1" applyProtection="1">
      <alignment horizontal="center" vertical="center" wrapText="1"/>
    </xf>
    <xf numFmtId="166" fontId="0" fillId="0" borderId="309" xfId="0" applyNumberFormat="1" applyFill="1" applyBorder="1" applyAlignment="1" applyProtection="1">
      <alignment horizontal="center" vertical="center" wrapText="1"/>
    </xf>
    <xf numFmtId="166" fontId="0" fillId="0" borderId="318" xfId="0" applyNumberFormat="1" applyFill="1" applyBorder="1" applyAlignment="1" applyProtection="1">
      <alignment horizontal="center" vertical="center" wrapText="1"/>
    </xf>
    <xf numFmtId="2" fontId="0" fillId="0" borderId="310" xfId="0" applyNumberFormat="1" applyFill="1" applyBorder="1" applyAlignment="1" applyProtection="1">
      <alignment horizontal="left" vertical="center" wrapText="1" indent="1"/>
    </xf>
    <xf numFmtId="187" fontId="0" fillId="0" borderId="319" xfId="0" applyNumberFormat="1" applyFill="1" applyBorder="1" applyAlignment="1" applyProtection="1">
      <alignment horizontal="left" vertical="center" wrapText="1" indent="1"/>
    </xf>
    <xf numFmtId="0" fontId="6" fillId="0" borderId="310" xfId="0" applyFont="1" applyBorder="1" applyAlignment="1" applyProtection="1">
      <alignment horizontal="center" vertical="center" wrapText="1"/>
    </xf>
    <xf numFmtId="0" fontId="6" fillId="0" borderId="309" xfId="0" applyFont="1" applyBorder="1" applyAlignment="1" applyProtection="1">
      <alignment horizontal="center" vertical="center" wrapText="1"/>
    </xf>
    <xf numFmtId="0" fontId="0" fillId="0" borderId="7" xfId="0" applyFill="1" applyBorder="1" applyAlignment="1" applyProtection="1">
      <alignment horizontal="center" vertical="center" wrapText="1"/>
    </xf>
    <xf numFmtId="187" fontId="0" fillId="0" borderId="309" xfId="0" applyNumberFormat="1" applyFill="1" applyBorder="1" applyAlignment="1" applyProtection="1">
      <alignment horizontal="right" vertical="center" wrapText="1" indent="1"/>
    </xf>
    <xf numFmtId="187" fontId="0" fillId="0" borderId="318" xfId="0" applyNumberFormat="1" applyFill="1" applyBorder="1" applyAlignment="1" applyProtection="1">
      <alignment horizontal="right" vertical="center" wrapText="1" indent="1"/>
    </xf>
    <xf numFmtId="0" fontId="0" fillId="0" borderId="313" xfId="0" applyFill="1" applyBorder="1" applyAlignment="1" applyProtection="1">
      <alignment horizontal="center" vertical="center" wrapText="1"/>
    </xf>
    <xf numFmtId="0" fontId="1" fillId="0" borderId="7" xfId="0" applyFont="1" applyFill="1" applyBorder="1" applyAlignment="1" applyProtection="1">
      <alignment horizontal="left" vertical="center" wrapText="1" indent="1"/>
    </xf>
    <xf numFmtId="187" fontId="0" fillId="0" borderId="42" xfId="0" applyNumberFormat="1" applyFill="1" applyBorder="1" applyAlignment="1" applyProtection="1">
      <alignment horizontal="right" vertical="center" wrapText="1" indent="1"/>
    </xf>
    <xf numFmtId="187" fontId="0" fillId="0" borderId="44" xfId="0" applyNumberFormat="1" applyFill="1" applyBorder="1" applyAlignment="1" applyProtection="1">
      <alignment horizontal="left" vertical="center" wrapText="1" indent="1"/>
    </xf>
    <xf numFmtId="187" fontId="0" fillId="0" borderId="7" xfId="0" applyNumberFormat="1" applyFill="1" applyBorder="1" applyAlignment="1" applyProtection="1">
      <alignment horizontal="left" vertical="center" wrapText="1" indent="1"/>
    </xf>
    <xf numFmtId="166" fontId="0" fillId="0" borderId="42" xfId="0" applyNumberFormat="1" applyFill="1" applyBorder="1" applyAlignment="1" applyProtection="1">
      <alignment horizontal="center" vertical="center" wrapText="1"/>
    </xf>
    <xf numFmtId="0" fontId="1" fillId="24" borderId="7" xfId="0" applyNumberFormat="1" applyFont="1" applyFill="1" applyBorder="1" applyAlignment="1" applyProtection="1">
      <alignment horizontal="left" vertical="center" wrapText="1" indent="1"/>
    </xf>
    <xf numFmtId="0" fontId="0" fillId="14" borderId="0" xfId="0" applyFill="1" applyAlignment="1">
      <alignment horizontal="left"/>
    </xf>
    <xf numFmtId="0" fontId="0" fillId="14" borderId="0" xfId="0" applyFill="1" applyAlignment="1">
      <alignment horizontal="left" wrapText="1"/>
    </xf>
    <xf numFmtId="0" fontId="37" fillId="14" borderId="0" xfId="0" applyFont="1" applyFill="1" applyBorder="1" applyAlignment="1">
      <alignment horizontal="center"/>
    </xf>
    <xf numFmtId="0" fontId="0" fillId="14" borderId="0" xfId="0" applyFont="1" applyFill="1" applyBorder="1" applyAlignment="1">
      <alignment horizontal="left" vertical="center" wrapText="1"/>
    </xf>
    <xf numFmtId="0" fontId="0" fillId="14" borderId="44" xfId="0" applyFont="1" applyFill="1" applyBorder="1" applyAlignment="1">
      <alignment horizontal="center" vertical="center"/>
    </xf>
    <xf numFmtId="0" fontId="37" fillId="14" borderId="16" xfId="0" applyFont="1" applyFill="1" applyBorder="1" applyAlignment="1">
      <alignment horizontal="center" vertical="center" wrapText="1"/>
    </xf>
    <xf numFmtId="0" fontId="0" fillId="14" borderId="31" xfId="0" applyFont="1" applyFill="1" applyBorder="1" applyAlignment="1">
      <alignment horizontal="center" vertical="center"/>
    </xf>
    <xf numFmtId="0" fontId="4" fillId="0" borderId="17"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2" borderId="7" xfId="0" applyFill="1" applyBorder="1" applyAlignment="1">
      <alignment horizontal="left" vertical="center" wrapText="1" indent="1"/>
    </xf>
    <xf numFmtId="187" fontId="0" fillId="0" borderId="7" xfId="0" applyNumberFormat="1" applyFont="1" applyFill="1" applyBorder="1" applyAlignment="1">
      <alignment horizontal="center" vertical="center" wrapText="1"/>
    </xf>
    <xf numFmtId="0" fontId="0" fillId="0" borderId="53" xfId="0" applyFont="1" applyFill="1" applyBorder="1" applyAlignment="1">
      <alignment horizontal="center" vertical="center" wrapText="1"/>
    </xf>
    <xf numFmtId="0" fontId="1" fillId="0" borderId="26" xfId="0" applyFont="1" applyFill="1" applyBorder="1" applyAlignment="1">
      <alignment horizontal="left" vertical="center" wrapText="1" indent="1"/>
    </xf>
    <xf numFmtId="0" fontId="1" fillId="0" borderId="23" xfId="0" applyFont="1" applyFill="1" applyBorder="1" applyAlignment="1">
      <alignment horizontal="left" vertical="center" wrapText="1" indent="1"/>
    </xf>
    <xf numFmtId="0" fontId="1" fillId="0" borderId="27" xfId="0" applyFont="1" applyFill="1" applyBorder="1" applyAlignment="1">
      <alignment horizontal="left" vertical="center" wrapText="1" indent="1"/>
    </xf>
    <xf numFmtId="0" fontId="0" fillId="0" borderId="26" xfId="0" applyFill="1" applyBorder="1" applyAlignment="1">
      <alignment horizontal="center" vertical="center" wrapText="1"/>
    </xf>
    <xf numFmtId="0" fontId="0" fillId="0" borderId="23"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Alignment="1">
      <alignment horizontal="center"/>
    </xf>
    <xf numFmtId="0" fontId="0" fillId="0" borderId="23" xfId="0" applyBorder="1" applyAlignment="1">
      <alignment horizontal="center" vertical="center"/>
    </xf>
    <xf numFmtId="0" fontId="38" fillId="14" borderId="526" xfId="0" applyFont="1" applyFill="1" applyBorder="1" applyAlignment="1" applyProtection="1">
      <alignment horizontal="right" vertical="center"/>
    </xf>
    <xf numFmtId="0" fontId="0" fillId="14" borderId="344" xfId="0" applyFill="1" applyBorder="1" applyAlignment="1" applyProtection="1">
      <alignment vertical="center"/>
    </xf>
    <xf numFmtId="0" fontId="75" fillId="47" borderId="142" xfId="0" applyFont="1" applyFill="1" applyBorder="1" applyAlignment="1">
      <alignment horizontal="left" vertical="center" indent="2"/>
    </xf>
    <xf numFmtId="0" fontId="41" fillId="0" borderId="47" xfId="0" applyFont="1" applyFill="1" applyBorder="1" applyAlignment="1">
      <alignment horizontal="center"/>
    </xf>
    <xf numFmtId="0" fontId="41" fillId="0" borderId="9" xfId="0" applyFont="1" applyFill="1" applyBorder="1" applyAlignment="1">
      <alignment horizontal="center"/>
    </xf>
    <xf numFmtId="0" fontId="41" fillId="0" borderId="35" xfId="0" applyFont="1" applyFill="1" applyBorder="1" applyAlignment="1">
      <alignment horizontal="center"/>
    </xf>
    <xf numFmtId="0" fontId="0" fillId="14" borderId="0" xfId="0" quotePrefix="1" applyFill="1" applyProtection="1">
      <protection locked="0"/>
    </xf>
    <xf numFmtId="228" fontId="39" fillId="14" borderId="0" xfId="0" applyNumberFormat="1" applyFont="1" applyFill="1" applyBorder="1" applyAlignment="1">
      <alignment horizontal="right" vertical="center" indent="1"/>
    </xf>
    <xf numFmtId="0" fontId="87" fillId="14" borderId="0" xfId="0" applyFont="1" applyFill="1" applyBorder="1" applyAlignment="1">
      <alignment vertical="center"/>
    </xf>
    <xf numFmtId="0" fontId="0" fillId="14" borderId="70" xfId="0" applyFont="1" applyFill="1" applyBorder="1" applyAlignment="1"/>
    <xf numFmtId="0" fontId="0" fillId="14" borderId="22" xfId="0" applyFont="1" applyFill="1" applyBorder="1" applyAlignment="1"/>
    <xf numFmtId="0" fontId="0" fillId="14" borderId="37" xfId="0" applyFill="1" applyBorder="1" applyAlignment="1"/>
    <xf numFmtId="166" fontId="1" fillId="44" borderId="435" xfId="0" applyNumberFormat="1" applyFont="1" applyFill="1" applyBorder="1" applyAlignment="1">
      <alignment vertical="center" wrapText="1"/>
    </xf>
    <xf numFmtId="166" fontId="1" fillId="18" borderId="435" xfId="0" applyNumberFormat="1" applyFont="1" applyFill="1" applyBorder="1" applyAlignment="1">
      <alignment vertical="center" wrapText="1"/>
    </xf>
    <xf numFmtId="166" fontId="1" fillId="27" borderId="9" xfId="0" applyNumberFormat="1" applyFont="1" applyFill="1" applyBorder="1" applyAlignment="1">
      <alignment vertical="center" wrapText="1"/>
    </xf>
    <xf numFmtId="166" fontId="1" fillId="0" borderId="26" xfId="0" applyNumberFormat="1" applyFont="1" applyFill="1" applyBorder="1" applyAlignment="1">
      <alignment vertical="center" wrapText="1"/>
    </xf>
    <xf numFmtId="166" fontId="1" fillId="27" borderId="364" xfId="0" applyNumberFormat="1" applyFont="1" applyFill="1" applyBorder="1" applyAlignment="1">
      <alignment vertical="center" wrapText="1"/>
    </xf>
    <xf numFmtId="166" fontId="1" fillId="45" borderId="7" xfId="0" applyNumberFormat="1" applyFont="1" applyFill="1" applyBorder="1" applyAlignment="1">
      <alignment vertical="center" wrapText="1"/>
    </xf>
    <xf numFmtId="166" fontId="1" fillId="45" borderId="363" xfId="0" applyNumberFormat="1" applyFont="1" applyFill="1" applyBorder="1" applyAlignment="1">
      <alignment vertical="center" wrapText="1"/>
    </xf>
    <xf numFmtId="166" fontId="1" fillId="44" borderId="363" xfId="0" applyNumberFormat="1" applyFont="1" applyFill="1" applyBorder="1" applyAlignment="1">
      <alignment vertical="center" wrapText="1"/>
    </xf>
    <xf numFmtId="166" fontId="1" fillId="44" borderId="377" xfId="0" applyNumberFormat="1" applyFont="1" applyFill="1" applyBorder="1" applyAlignment="1">
      <alignment vertical="center" wrapText="1"/>
    </xf>
    <xf numFmtId="166" fontId="0" fillId="12" borderId="377" xfId="0" applyNumberFormat="1" applyFont="1" applyFill="1" applyBorder="1" applyAlignment="1">
      <alignment vertical="center" wrapText="1"/>
    </xf>
    <xf numFmtId="166" fontId="0" fillId="12" borderId="154" xfId="0" applyNumberFormat="1" applyFont="1" applyFill="1" applyBorder="1" applyAlignment="1">
      <alignment vertical="center" wrapText="1"/>
    </xf>
    <xf numFmtId="166" fontId="0" fillId="12" borderId="158" xfId="0" applyNumberFormat="1" applyFont="1" applyFill="1" applyBorder="1" applyAlignment="1">
      <alignment vertical="center" wrapText="1"/>
    </xf>
    <xf numFmtId="166" fontId="1" fillId="12" borderId="364" xfId="0" applyNumberFormat="1" applyFont="1" applyFill="1" applyBorder="1" applyAlignment="1">
      <alignment vertical="center" wrapText="1"/>
    </xf>
    <xf numFmtId="0" fontId="0" fillId="0" borderId="26" xfId="0" applyBorder="1" applyAlignment="1">
      <alignment vertical="center" wrapText="1"/>
    </xf>
    <xf numFmtId="166" fontId="0" fillId="12" borderId="363" xfId="0" applyNumberFormat="1" applyFont="1" applyFill="1" applyBorder="1" applyAlignment="1">
      <alignment vertical="center" wrapText="1"/>
    </xf>
    <xf numFmtId="0" fontId="0" fillId="0" borderId="363" xfId="0" applyBorder="1" applyAlignment="1">
      <alignment vertical="center" wrapText="1"/>
    </xf>
    <xf numFmtId="166" fontId="1" fillId="44" borderId="355" xfId="0" applyNumberFormat="1" applyFont="1" applyFill="1" applyBorder="1" applyAlignment="1">
      <alignment vertical="center" wrapText="1"/>
    </xf>
    <xf numFmtId="0" fontId="0" fillId="44" borderId="363" xfId="0" applyFill="1" applyBorder="1" applyAlignment="1">
      <alignment vertical="center" wrapText="1"/>
    </xf>
    <xf numFmtId="166" fontId="1" fillId="0" borderId="355" xfId="0" applyNumberFormat="1" applyFont="1" applyFill="1" applyBorder="1" applyAlignment="1">
      <alignment vertical="center" wrapText="1"/>
    </xf>
    <xf numFmtId="166" fontId="0" fillId="12" borderId="364" xfId="0" applyNumberFormat="1" applyFont="1" applyFill="1" applyBorder="1" applyAlignment="1">
      <alignment vertical="center" wrapText="1"/>
    </xf>
    <xf numFmtId="0" fontId="0" fillId="14" borderId="0" xfId="0" applyFill="1" applyAlignment="1">
      <alignment vertical="top" wrapText="1"/>
    </xf>
    <xf numFmtId="0" fontId="0" fillId="14" borderId="22" xfId="0" applyFont="1" applyFill="1" applyBorder="1" applyAlignment="1">
      <alignment horizontal="left"/>
    </xf>
    <xf numFmtId="0" fontId="70" fillId="14" borderId="581" xfId="0" applyFont="1" applyFill="1" applyBorder="1" applyAlignment="1">
      <alignment horizontal="left" vertical="center" indent="1"/>
    </xf>
    <xf numFmtId="0" fontId="0" fillId="14" borderId="582" xfId="0" applyFill="1" applyBorder="1" applyAlignment="1">
      <alignment vertical="center"/>
    </xf>
    <xf numFmtId="0" fontId="0" fillId="14" borderId="582" xfId="0" applyFill="1" applyBorder="1"/>
    <xf numFmtId="0" fontId="0" fillId="14" borderId="582" xfId="0" applyFill="1" applyBorder="1" applyAlignment="1">
      <alignment horizontal="center"/>
    </xf>
    <xf numFmtId="0" fontId="0" fillId="14" borderId="583" xfId="0" applyFill="1" applyBorder="1"/>
    <xf numFmtId="0" fontId="38" fillId="14" borderId="584" xfId="0" applyFont="1" applyFill="1" applyBorder="1" applyAlignment="1">
      <alignment horizontal="right" vertical="center"/>
    </xf>
    <xf numFmtId="0" fontId="0" fillId="14" borderId="585" xfId="0" applyFill="1" applyBorder="1"/>
    <xf numFmtId="0" fontId="38" fillId="14" borderId="586" xfId="0" applyFont="1" applyFill="1" applyBorder="1" applyAlignment="1">
      <alignment horizontal="right" vertical="center"/>
    </xf>
    <xf numFmtId="0" fontId="0" fillId="14" borderId="587" xfId="0" applyFill="1" applyBorder="1"/>
    <xf numFmtId="0" fontId="0" fillId="14" borderId="587" xfId="0" applyFill="1" applyBorder="1" applyAlignment="1">
      <alignment horizontal="center"/>
    </xf>
    <xf numFmtId="0" fontId="0" fillId="14" borderId="588" xfId="0" applyFill="1" applyBorder="1"/>
    <xf numFmtId="0" fontId="74" fillId="14" borderId="0" xfId="0" applyFont="1" applyFill="1" applyBorder="1"/>
    <xf numFmtId="167" fontId="0" fillId="14" borderId="0" xfId="0" applyNumberFormat="1" applyFont="1" applyFill="1"/>
    <xf numFmtId="0" fontId="0" fillId="14" borderId="64" xfId="0" applyFont="1" applyFill="1" applyBorder="1" applyAlignment="1">
      <alignment vertical="center" wrapText="1"/>
    </xf>
    <xf numFmtId="0" fontId="0" fillId="14" borderId="31" xfId="0" applyFont="1" applyFill="1" applyBorder="1" applyAlignment="1">
      <alignment horizontal="center" vertical="center" wrapText="1"/>
    </xf>
    <xf numFmtId="0" fontId="0" fillId="14" borderId="45" xfId="0" applyFont="1" applyFill="1" applyBorder="1" applyAlignment="1">
      <alignment vertical="center" wrapText="1"/>
    </xf>
    <xf numFmtId="0" fontId="0" fillId="14" borderId="38" xfId="0" applyFont="1" applyFill="1" applyBorder="1" applyAlignment="1">
      <alignment horizontal="center" vertical="center" wrapText="1"/>
    </xf>
    <xf numFmtId="0" fontId="0" fillId="14" borderId="2" xfId="0" applyFont="1" applyFill="1" applyBorder="1" applyAlignment="1">
      <alignment horizontal="center" vertical="center" wrapText="1"/>
    </xf>
    <xf numFmtId="0" fontId="0" fillId="14" borderId="45" xfId="0" applyFont="1" applyFill="1" applyBorder="1" applyAlignment="1">
      <alignment horizontal="center" vertical="center" wrapText="1"/>
    </xf>
    <xf numFmtId="0" fontId="0" fillId="14" borderId="589" xfId="0" applyFont="1" applyFill="1" applyBorder="1" applyAlignment="1">
      <alignment horizontal="center" vertical="center" wrapText="1"/>
    </xf>
    <xf numFmtId="0" fontId="0" fillId="14" borderId="590" xfId="0" applyFont="1" applyFill="1" applyBorder="1" applyAlignment="1">
      <alignment horizontal="center" vertical="center" wrapText="1"/>
    </xf>
    <xf numFmtId="0" fontId="41" fillId="14" borderId="0" xfId="0" applyFont="1" applyFill="1" applyBorder="1"/>
    <xf numFmtId="0" fontId="41" fillId="14" borderId="0" xfId="0" applyFont="1" applyFill="1" applyBorder="1" applyAlignment="1">
      <alignment horizontal="center"/>
    </xf>
    <xf numFmtId="1" fontId="0" fillId="14" borderId="40" xfId="0" applyNumberFormat="1" applyFont="1" applyFill="1" applyBorder="1" applyAlignment="1">
      <alignment horizontal="center" vertical="center" wrapText="1"/>
    </xf>
    <xf numFmtId="14" fontId="0" fillId="14" borderId="11" xfId="0" applyNumberFormat="1" applyFont="1" applyFill="1" applyBorder="1" applyAlignment="1">
      <alignment horizontal="left" vertical="center" wrapText="1" indent="1"/>
    </xf>
    <xf numFmtId="1" fontId="0" fillId="14" borderId="36" xfId="0" applyNumberFormat="1" applyFont="1" applyFill="1" applyBorder="1" applyAlignment="1">
      <alignment horizontal="center" vertical="center" wrapText="1"/>
    </xf>
    <xf numFmtId="0" fontId="37" fillId="14" borderId="36" xfId="0" applyNumberFormat="1" applyFont="1" applyFill="1" applyBorder="1" applyAlignment="1">
      <alignment horizontal="center" vertical="center" wrapText="1"/>
    </xf>
    <xf numFmtId="176" fontId="0" fillId="14" borderId="36" xfId="0" applyNumberFormat="1" applyFont="1" applyFill="1" applyBorder="1" applyAlignment="1">
      <alignment horizontal="center" vertical="center" wrapText="1"/>
    </xf>
    <xf numFmtId="195" fontId="0" fillId="14" borderId="64" xfId="0" applyNumberFormat="1" applyFont="1" applyFill="1" applyBorder="1" applyAlignment="1">
      <alignment horizontal="left" vertical="center" wrapText="1"/>
    </xf>
    <xf numFmtId="1" fontId="0" fillId="14" borderId="39" xfId="0" applyNumberFormat="1" applyFont="1" applyFill="1" applyBorder="1" applyAlignment="1">
      <alignment horizontal="center" vertical="center" wrapText="1"/>
    </xf>
    <xf numFmtId="1" fontId="0" fillId="14" borderId="16" xfId="0" applyNumberFormat="1" applyFont="1" applyFill="1" applyBorder="1" applyAlignment="1">
      <alignment horizontal="left" vertical="center" wrapText="1" indent="1"/>
    </xf>
    <xf numFmtId="14" fontId="0" fillId="14" borderId="17" xfId="0" applyNumberFormat="1" applyFont="1" applyFill="1" applyBorder="1" applyAlignment="1">
      <alignment horizontal="left" vertical="center" wrapText="1" indent="1"/>
    </xf>
    <xf numFmtId="1" fontId="0" fillId="14" borderId="32" xfId="0" applyNumberFormat="1" applyFont="1" applyFill="1" applyBorder="1" applyAlignment="1">
      <alignment horizontal="center" vertical="center" wrapText="1"/>
    </xf>
    <xf numFmtId="0" fontId="37" fillId="14" borderId="32" xfId="0" applyNumberFormat="1" applyFont="1" applyFill="1" applyBorder="1" applyAlignment="1">
      <alignment horizontal="center" vertical="center" wrapText="1"/>
    </xf>
    <xf numFmtId="173" fontId="0" fillId="14" borderId="37" xfId="0" applyNumberFormat="1" applyFont="1" applyFill="1" applyBorder="1" applyAlignment="1">
      <alignment horizontal="left" vertical="center" wrapText="1" indent="1"/>
    </xf>
    <xf numFmtId="176" fontId="0" fillId="14" borderId="16" xfId="0" applyNumberFormat="1" applyFont="1" applyFill="1" applyBorder="1" applyAlignment="1">
      <alignment horizontal="left" vertical="center" wrapText="1" indent="1"/>
    </xf>
    <xf numFmtId="173" fontId="0" fillId="14" borderId="16" xfId="0" applyNumberFormat="1" applyFont="1" applyFill="1" applyBorder="1" applyAlignment="1">
      <alignment horizontal="left" vertical="center" wrapText="1" indent="1"/>
    </xf>
    <xf numFmtId="173" fontId="0" fillId="14" borderId="17" xfId="0" applyNumberFormat="1" applyFont="1" applyFill="1" applyBorder="1" applyAlignment="1">
      <alignment horizontal="left" vertical="center" wrapText="1" indent="1"/>
    </xf>
    <xf numFmtId="194" fontId="0" fillId="14" borderId="18" xfId="0" applyNumberFormat="1" applyFont="1" applyFill="1" applyBorder="1" applyAlignment="1">
      <alignment horizontal="left" vertical="center" wrapText="1" indent="1"/>
    </xf>
    <xf numFmtId="194" fontId="0" fillId="14" borderId="32" xfId="0" applyNumberFormat="1" applyFont="1" applyFill="1" applyBorder="1" applyAlignment="1">
      <alignment horizontal="center" vertical="center" wrapText="1"/>
    </xf>
    <xf numFmtId="195" fontId="0" fillId="14" borderId="37" xfId="0" applyNumberFormat="1" applyFont="1" applyFill="1" applyBorder="1" applyAlignment="1">
      <alignment horizontal="left" vertical="center" wrapText="1" indent="1"/>
    </xf>
    <xf numFmtId="164" fontId="0" fillId="14" borderId="16" xfId="0" applyNumberFormat="1" applyFont="1" applyFill="1" applyBorder="1" applyAlignment="1">
      <alignment horizontal="left" vertical="center" wrapText="1" indent="1"/>
    </xf>
    <xf numFmtId="9" fontId="0" fillId="14" borderId="39" xfId="0" applyNumberFormat="1" applyFont="1" applyFill="1" applyBorder="1" applyAlignment="1">
      <alignment horizontal="center" vertical="center" wrapText="1"/>
    </xf>
    <xf numFmtId="9" fontId="0" fillId="14" borderId="17" xfId="0" applyNumberFormat="1" applyFont="1" applyFill="1" applyBorder="1" applyAlignment="1">
      <alignment horizontal="center" vertical="center" wrapText="1"/>
    </xf>
    <xf numFmtId="9" fontId="0" fillId="14" borderId="32" xfId="0" applyNumberFormat="1" applyFont="1" applyFill="1" applyBorder="1" applyAlignment="1">
      <alignment horizontal="center" vertical="center" wrapText="1"/>
    </xf>
    <xf numFmtId="1" fontId="0" fillId="14" borderId="375" xfId="0" applyNumberFormat="1" applyFont="1" applyFill="1" applyBorder="1" applyAlignment="1">
      <alignment horizontal="center" vertical="center" wrapText="1"/>
    </xf>
    <xf numFmtId="1" fontId="0" fillId="14" borderId="369" xfId="0" applyNumberFormat="1" applyFont="1" applyFill="1" applyBorder="1" applyAlignment="1">
      <alignment horizontal="left" vertical="center" wrapText="1" indent="1"/>
    </xf>
    <xf numFmtId="1" fontId="0" fillId="14" borderId="370" xfId="0" applyNumberFormat="1" applyFont="1" applyFill="1" applyBorder="1" applyAlignment="1">
      <alignment horizontal="center" vertical="center" wrapText="1"/>
    </xf>
    <xf numFmtId="0" fontId="37" fillId="14" borderId="370" xfId="0" applyNumberFormat="1" applyFont="1" applyFill="1" applyBorder="1" applyAlignment="1">
      <alignment horizontal="center" vertical="center" wrapText="1"/>
    </xf>
    <xf numFmtId="176" fontId="0" fillId="14" borderId="35" xfId="0" applyNumberFormat="1" applyFont="1" applyFill="1" applyBorder="1" applyAlignment="1">
      <alignment horizontal="center" vertical="center" wrapText="1"/>
    </xf>
    <xf numFmtId="195" fontId="0" fillId="14" borderId="440" xfId="0" applyNumberFormat="1" applyFont="1" applyFill="1" applyBorder="1" applyAlignment="1">
      <alignment horizontal="left" vertical="center" wrapText="1" indent="1"/>
    </xf>
    <xf numFmtId="1" fontId="0" fillId="14" borderId="51" xfId="0" applyNumberFormat="1" applyFont="1" applyFill="1" applyBorder="1" applyAlignment="1">
      <alignment horizontal="center" vertical="center"/>
    </xf>
    <xf numFmtId="14" fontId="0" fillId="14" borderId="26" xfId="0" applyNumberFormat="1" applyFont="1" applyFill="1" applyBorder="1" applyAlignment="1">
      <alignment horizontal="left" vertical="center" wrapText="1" indent="1"/>
    </xf>
    <xf numFmtId="1" fontId="0" fillId="14" borderId="33" xfId="0" applyNumberFormat="1" applyFont="1" applyFill="1" applyBorder="1" applyAlignment="1">
      <alignment horizontal="center" vertical="center" wrapText="1"/>
    </xf>
    <xf numFmtId="1" fontId="0" fillId="14" borderId="492" xfId="0" applyNumberFormat="1" applyFont="1" applyFill="1" applyBorder="1" applyAlignment="1">
      <alignment horizontal="center" vertical="center"/>
    </xf>
    <xf numFmtId="0" fontId="0" fillId="14" borderId="493" xfId="0" applyFont="1" applyFill="1" applyBorder="1" applyAlignment="1">
      <alignment horizontal="left" vertical="center" wrapText="1" indent="1"/>
    </xf>
    <xf numFmtId="1" fontId="0" fillId="14" borderId="494" xfId="0" applyNumberFormat="1" applyFont="1" applyFill="1" applyBorder="1" applyAlignment="1">
      <alignment horizontal="center" vertical="center" wrapText="1"/>
    </xf>
    <xf numFmtId="14" fontId="0" fillId="14" borderId="493" xfId="0" applyNumberFormat="1" applyFont="1" applyFill="1" applyBorder="1" applyAlignment="1">
      <alignment horizontal="left" vertical="center" wrapText="1" indent="1"/>
    </xf>
    <xf numFmtId="1" fontId="0" fillId="14" borderId="375" xfId="0" applyNumberFormat="1" applyFont="1" applyFill="1" applyBorder="1" applyAlignment="1">
      <alignment horizontal="center" vertical="center"/>
    </xf>
    <xf numFmtId="14" fontId="0" fillId="14" borderId="364" xfId="0" applyNumberFormat="1" applyFont="1" applyFill="1" applyBorder="1" applyAlignment="1">
      <alignment horizontal="left" vertical="center" wrapText="1" indent="1"/>
    </xf>
    <xf numFmtId="1" fontId="0" fillId="14" borderId="0" xfId="0" applyNumberFormat="1" applyFont="1" applyFill="1" applyBorder="1" applyAlignment="1">
      <alignment horizontal="center" vertical="center"/>
    </xf>
    <xf numFmtId="164" fontId="0" fillId="14" borderId="0" xfId="0" applyNumberFormat="1" applyFont="1" applyFill="1" applyBorder="1" applyAlignment="1">
      <alignment horizontal="left" vertical="center" indent="1"/>
    </xf>
    <xf numFmtId="14" fontId="0" fillId="14" borderId="0" xfId="0" applyNumberFormat="1" applyFont="1" applyFill="1" applyBorder="1" applyAlignment="1">
      <alignment horizontal="left" vertical="center" wrapText="1" indent="1"/>
    </xf>
    <xf numFmtId="1" fontId="0" fillId="14" borderId="0" xfId="0" applyNumberFormat="1" applyFont="1" applyFill="1" applyBorder="1" applyAlignment="1">
      <alignment horizontal="center" vertical="center" wrapText="1"/>
    </xf>
    <xf numFmtId="0" fontId="37" fillId="14" borderId="0" xfId="0" applyNumberFormat="1" applyFont="1" applyFill="1" applyBorder="1" applyAlignment="1">
      <alignment horizontal="center" vertical="center"/>
    </xf>
    <xf numFmtId="173" fontId="0" fillId="14" borderId="0" xfId="0" applyNumberFormat="1" applyFont="1" applyFill="1" applyBorder="1" applyAlignment="1">
      <alignment horizontal="center" vertical="center"/>
    </xf>
    <xf numFmtId="173" fontId="0" fillId="14" borderId="0" xfId="0" applyNumberFormat="1" applyFont="1" applyFill="1" applyBorder="1" applyAlignment="1">
      <alignment horizontal="left" vertical="center" indent="1"/>
    </xf>
    <xf numFmtId="176" fontId="0" fillId="14" borderId="0" xfId="0" applyNumberFormat="1" applyFont="1" applyFill="1" applyBorder="1" applyAlignment="1">
      <alignment horizontal="left" vertical="center" indent="1"/>
    </xf>
    <xf numFmtId="194" fontId="0" fillId="14" borderId="0" xfId="0" applyNumberFormat="1" applyFont="1" applyFill="1" applyBorder="1" applyAlignment="1">
      <alignment horizontal="left" vertical="center" indent="1"/>
    </xf>
    <xf numFmtId="195" fontId="0" fillId="14" borderId="0" xfId="0" applyNumberFormat="1" applyFont="1" applyFill="1" applyBorder="1" applyAlignment="1">
      <alignment horizontal="left" vertical="center" wrapText="1" indent="1"/>
    </xf>
    <xf numFmtId="1" fontId="0" fillId="14" borderId="39" xfId="0" applyNumberFormat="1" applyFont="1" applyFill="1" applyBorder="1" applyAlignment="1">
      <alignment horizontal="center" vertical="center"/>
    </xf>
    <xf numFmtId="164" fontId="0" fillId="14" borderId="16" xfId="0" applyNumberFormat="1" applyFont="1" applyFill="1" applyBorder="1" applyAlignment="1">
      <alignment horizontal="left" vertical="center" indent="1"/>
    </xf>
    <xf numFmtId="0" fontId="37" fillId="14" borderId="32" xfId="0" applyNumberFormat="1" applyFont="1" applyFill="1" applyBorder="1" applyAlignment="1">
      <alignment horizontal="center" vertical="center"/>
    </xf>
    <xf numFmtId="173" fontId="0" fillId="14" borderId="39" xfId="0" applyNumberFormat="1" applyFont="1" applyFill="1" applyBorder="1" applyAlignment="1">
      <alignment horizontal="center" vertical="center"/>
    </xf>
    <xf numFmtId="173" fontId="0" fillId="14" borderId="16" xfId="0" applyNumberFormat="1" applyFont="1" applyFill="1" applyBorder="1" applyAlignment="1">
      <alignment horizontal="center" vertical="center"/>
    </xf>
    <xf numFmtId="173" fontId="0" fillId="14" borderId="37" xfId="0" applyNumberFormat="1" applyFont="1" applyFill="1" applyBorder="1" applyAlignment="1">
      <alignment horizontal="center" vertical="center"/>
    </xf>
    <xf numFmtId="176" fontId="0" fillId="14" borderId="16" xfId="0" applyNumberFormat="1" applyFont="1" applyFill="1" applyBorder="1" applyAlignment="1">
      <alignment horizontal="left" vertical="center" indent="1"/>
    </xf>
    <xf numFmtId="173" fontId="0" fillId="14" borderId="16" xfId="0" applyNumberFormat="1" applyFont="1" applyFill="1" applyBorder="1" applyAlignment="1">
      <alignment horizontal="left" vertical="center" indent="1"/>
    </xf>
    <xf numFmtId="173" fontId="0" fillId="14" borderId="22" xfId="0" applyNumberFormat="1" applyFont="1" applyFill="1" applyBorder="1" applyAlignment="1">
      <alignment horizontal="left" vertical="center" indent="1"/>
    </xf>
    <xf numFmtId="194" fontId="0" fillId="14" borderId="22" xfId="0" applyNumberFormat="1" applyFont="1" applyFill="1" applyBorder="1" applyAlignment="1">
      <alignment horizontal="left" vertical="center" indent="1"/>
    </xf>
    <xf numFmtId="194" fontId="0" fillId="14" borderId="32" xfId="0" applyNumberFormat="1" applyFont="1" applyFill="1" applyBorder="1" applyAlignment="1">
      <alignment horizontal="left" vertical="center" indent="1"/>
    </xf>
    <xf numFmtId="1" fontId="0" fillId="14" borderId="0" xfId="0" applyNumberFormat="1" applyFont="1" applyFill="1" applyBorder="1" applyAlignment="1">
      <alignment horizontal="left" vertical="center" wrapText="1" indent="1"/>
    </xf>
    <xf numFmtId="0" fontId="0" fillId="14" borderId="0" xfId="0" applyFont="1" applyFill="1" applyBorder="1" applyAlignment="1">
      <alignment horizontal="left" vertical="center" wrapText="1" indent="1"/>
    </xf>
    <xf numFmtId="1" fontId="0" fillId="14" borderId="0" xfId="0" quotePrefix="1" applyNumberFormat="1" applyFont="1" applyFill="1" applyBorder="1" applyAlignment="1">
      <alignment horizontal="left" vertical="center" wrapText="1" indent="1"/>
    </xf>
    <xf numFmtId="0" fontId="37" fillId="14" borderId="0" xfId="0" applyNumberFormat="1" applyFont="1" applyFill="1" applyBorder="1" applyAlignment="1">
      <alignment horizontal="center" vertical="center" wrapText="1"/>
    </xf>
    <xf numFmtId="173" fontId="0" fillId="14" borderId="0" xfId="0" applyNumberFormat="1" applyFont="1" applyFill="1" applyBorder="1" applyAlignment="1">
      <alignment horizontal="center" vertical="center" wrapText="1"/>
    </xf>
    <xf numFmtId="173" fontId="0" fillId="14" borderId="0" xfId="0" applyNumberFormat="1" applyFont="1" applyFill="1" applyBorder="1" applyAlignment="1">
      <alignment horizontal="left" vertical="center" wrapText="1" indent="1"/>
    </xf>
    <xf numFmtId="176" fontId="0" fillId="14" borderId="0" xfId="0" applyNumberFormat="1" applyFont="1" applyFill="1" applyBorder="1" applyAlignment="1">
      <alignment horizontal="left" vertical="center" wrapText="1" indent="1"/>
    </xf>
    <xf numFmtId="194" fontId="0" fillId="14" borderId="0" xfId="0" applyNumberFormat="1" applyFont="1" applyFill="1" applyBorder="1" applyAlignment="1">
      <alignment horizontal="left" vertical="center" wrapText="1" indent="1"/>
    </xf>
    <xf numFmtId="1" fontId="0" fillId="14" borderId="42" xfId="0" applyNumberFormat="1" applyFont="1" applyFill="1" applyBorder="1" applyAlignment="1">
      <alignment horizontal="center" vertical="center" wrapText="1"/>
    </xf>
    <xf numFmtId="0" fontId="0" fillId="14" borderId="7" xfId="0" applyFont="1" applyFill="1" applyBorder="1" applyAlignment="1">
      <alignment horizontal="left" vertical="center" wrapText="1" indent="1"/>
    </xf>
    <xf numFmtId="1" fontId="0" fillId="14" borderId="44" xfId="0" applyNumberFormat="1" applyFont="1" applyFill="1" applyBorder="1" applyAlignment="1">
      <alignment horizontal="center" vertical="center" wrapText="1"/>
    </xf>
    <xf numFmtId="0" fontId="37" fillId="14" borderId="0" xfId="0" applyFont="1" applyFill="1" applyBorder="1" applyAlignment="1">
      <alignment horizontal="left" indent="1"/>
    </xf>
    <xf numFmtId="0" fontId="0" fillId="14" borderId="0" xfId="0" applyFont="1" applyFill="1" applyBorder="1" applyAlignment="1">
      <alignment horizontal="right" indent="1"/>
    </xf>
    <xf numFmtId="0" fontId="41" fillId="43" borderId="0" xfId="0" applyFont="1" applyFill="1" applyBorder="1"/>
    <xf numFmtId="167" fontId="0" fillId="14" borderId="0" xfId="0" applyNumberFormat="1" applyFont="1" applyFill="1" applyAlignment="1">
      <alignment horizontal="left" indent="1"/>
    </xf>
    <xf numFmtId="0" fontId="87" fillId="14" borderId="0" xfId="0" applyFont="1" applyFill="1" applyAlignment="1">
      <alignment horizontal="right"/>
    </xf>
    <xf numFmtId="1" fontId="0" fillId="14" borderId="11" xfId="0" applyNumberFormat="1" applyFont="1" applyFill="1" applyBorder="1" applyAlignment="1">
      <alignment horizontal="center" vertical="center" wrapText="1"/>
    </xf>
    <xf numFmtId="1" fontId="0" fillId="14" borderId="16" xfId="0" applyNumberFormat="1" applyFont="1" applyFill="1" applyBorder="1" applyAlignment="1">
      <alignment horizontal="center" vertical="center" wrapText="1"/>
    </xf>
    <xf numFmtId="1" fontId="0" fillId="14" borderId="369" xfId="0" applyNumberFormat="1" applyFont="1" applyFill="1" applyBorder="1" applyAlignment="1">
      <alignment horizontal="center" vertical="center" wrapText="1"/>
    </xf>
    <xf numFmtId="1" fontId="0" fillId="14" borderId="16" xfId="0" applyNumberFormat="1" applyFont="1" applyFill="1" applyBorder="1" applyAlignment="1">
      <alignment horizontal="center" vertical="center"/>
    </xf>
    <xf numFmtId="1" fontId="0" fillId="14" borderId="26" xfId="0" applyNumberFormat="1" applyFont="1" applyFill="1" applyBorder="1" applyAlignment="1">
      <alignment horizontal="center" vertical="center"/>
    </xf>
    <xf numFmtId="1" fontId="0" fillId="14" borderId="493" xfId="0" applyNumberFormat="1" applyFont="1" applyFill="1" applyBorder="1" applyAlignment="1">
      <alignment horizontal="center" vertical="center"/>
    </xf>
    <xf numFmtId="1" fontId="0" fillId="14" borderId="364" xfId="0" applyNumberFormat="1" applyFont="1" applyFill="1" applyBorder="1" applyAlignment="1">
      <alignment horizontal="center" vertical="center"/>
    </xf>
    <xf numFmtId="1" fontId="0" fillId="14" borderId="26" xfId="0" applyNumberFormat="1" applyFont="1" applyFill="1" applyBorder="1" applyAlignment="1">
      <alignment horizontal="center" vertical="center" wrapText="1"/>
    </xf>
    <xf numFmtId="1" fontId="0" fillId="14" borderId="364" xfId="0" applyNumberFormat="1" applyFont="1" applyFill="1" applyBorder="1" applyAlignment="1">
      <alignment horizontal="center" vertical="center" wrapText="1"/>
    </xf>
    <xf numFmtId="0" fontId="0" fillId="14" borderId="492" xfId="0" applyFont="1" applyFill="1" applyBorder="1" applyAlignment="1">
      <alignment horizontal="center" vertical="center" wrapText="1"/>
    </xf>
    <xf numFmtId="0" fontId="0" fillId="14" borderId="562" xfId="0" applyFont="1" applyFill="1" applyBorder="1" applyAlignment="1">
      <alignment horizontal="center" vertical="center" wrapText="1"/>
    </xf>
    <xf numFmtId="0" fontId="0" fillId="14" borderId="544" xfId="0" applyFont="1" applyFill="1" applyBorder="1" applyAlignment="1">
      <alignment horizontal="center" vertical="center" wrapText="1"/>
    </xf>
    <xf numFmtId="0" fontId="0" fillId="14" borderId="493" xfId="0" applyFont="1" applyFill="1" applyBorder="1" applyAlignment="1">
      <alignment horizontal="center" vertical="center" wrapText="1"/>
    </xf>
    <xf numFmtId="0" fontId="0" fillId="14" borderId="536" xfId="0" applyFont="1" applyFill="1" applyBorder="1" applyAlignment="1">
      <alignment horizontal="center" vertical="center" wrapText="1"/>
    </xf>
    <xf numFmtId="0" fontId="0" fillId="14" borderId="494" xfId="0" applyFont="1" applyFill="1" applyBorder="1" applyAlignment="1">
      <alignment vertical="center" wrapText="1"/>
    </xf>
    <xf numFmtId="0" fontId="70" fillId="14" borderId="591" xfId="0" applyFont="1" applyFill="1" applyBorder="1" applyAlignment="1">
      <alignment horizontal="left" vertical="center" indent="1"/>
    </xf>
    <xf numFmtId="0" fontId="0" fillId="14" borderId="592" xfId="0" applyFill="1" applyBorder="1" applyAlignment="1">
      <alignment vertical="center"/>
    </xf>
    <xf numFmtId="0" fontId="0" fillId="14" borderId="592" xfId="0" applyFill="1" applyBorder="1"/>
    <xf numFmtId="0" fontId="0" fillId="14" borderId="593" xfId="0" applyFill="1" applyBorder="1"/>
    <xf numFmtId="0" fontId="38" fillId="14" borderId="594" xfId="0" applyFont="1" applyFill="1" applyBorder="1" applyAlignment="1">
      <alignment horizontal="right" vertical="center"/>
    </xf>
    <xf numFmtId="0" fontId="0" fillId="14" borderId="595" xfId="0" applyFill="1" applyBorder="1"/>
    <xf numFmtId="0" fontId="38" fillId="14" borderId="596" xfId="0" applyFont="1" applyFill="1" applyBorder="1" applyAlignment="1">
      <alignment horizontal="right" vertical="center"/>
    </xf>
    <xf numFmtId="0" fontId="0" fillId="14" borderId="597" xfId="0" applyFill="1" applyBorder="1"/>
    <xf numFmtId="0" fontId="0" fillId="14" borderId="597" xfId="0" applyFont="1" applyFill="1" applyBorder="1"/>
    <xf numFmtId="0" fontId="0" fillId="14" borderId="598" xfId="0" applyFont="1" applyFill="1" applyBorder="1"/>
    <xf numFmtId="0" fontId="0" fillId="14" borderId="0" xfId="0" applyFont="1" applyFill="1" applyProtection="1">
      <protection locked="0"/>
    </xf>
    <xf numFmtId="0" fontId="38" fillId="14" borderId="526" xfId="0" applyFont="1" applyFill="1" applyBorder="1" applyAlignment="1">
      <alignment horizontal="right" vertical="center"/>
    </xf>
    <xf numFmtId="0" fontId="47" fillId="14" borderId="222" xfId="0" applyNumberFormat="1" applyFont="1" applyFill="1" applyBorder="1" applyAlignment="1" applyProtection="1">
      <alignment horizontal="center" vertical="center" wrapText="1"/>
    </xf>
    <xf numFmtId="0" fontId="47" fillId="14" borderId="0" xfId="0" applyNumberFormat="1" applyFont="1" applyFill="1" applyBorder="1" applyAlignment="1" applyProtection="1">
      <alignment horizontal="center" vertical="center" wrapText="1"/>
    </xf>
    <xf numFmtId="0" fontId="47" fillId="14" borderId="0" xfId="0" applyNumberFormat="1" applyFont="1" applyFill="1" applyBorder="1" applyAlignment="1" applyProtection="1">
      <alignment horizontal="right" vertical="center" wrapText="1"/>
    </xf>
    <xf numFmtId="14" fontId="1" fillId="50" borderId="72" xfId="0" applyNumberFormat="1" applyFont="1" applyFill="1" applyBorder="1" applyAlignment="1" applyProtection="1">
      <alignment vertical="center" wrapText="1"/>
    </xf>
    <xf numFmtId="166" fontId="1" fillId="0" borderId="308" xfId="0" applyNumberFormat="1" applyFont="1" applyFill="1" applyBorder="1" applyAlignment="1" applyProtection="1">
      <alignment vertical="center" wrapText="1"/>
    </xf>
    <xf numFmtId="166" fontId="1" fillId="45" borderId="308" xfId="0" applyNumberFormat="1" applyFont="1" applyFill="1" applyBorder="1" applyAlignment="1" applyProtection="1">
      <alignment vertical="center" wrapText="1"/>
    </xf>
    <xf numFmtId="166" fontId="1" fillId="37" borderId="308" xfId="0" applyNumberFormat="1" applyFont="1" applyFill="1" applyBorder="1" applyAlignment="1" applyProtection="1">
      <alignment vertical="center" wrapText="1"/>
    </xf>
    <xf numFmtId="166" fontId="1" fillId="37" borderId="315" xfId="0" applyNumberFormat="1" applyFont="1" applyFill="1" applyBorder="1" applyAlignment="1" applyProtection="1">
      <alignment vertical="center" wrapText="1"/>
    </xf>
    <xf numFmtId="166" fontId="1" fillId="0" borderId="72" xfId="0" applyNumberFormat="1" applyFont="1" applyFill="1" applyBorder="1" applyAlignment="1" applyProtection="1">
      <alignment vertical="center" wrapText="1"/>
    </xf>
    <xf numFmtId="166" fontId="1" fillId="50" borderId="308" xfId="0" applyNumberFormat="1" applyFont="1" applyFill="1" applyBorder="1" applyAlignment="1" applyProtection="1">
      <alignment vertical="center" wrapText="1"/>
    </xf>
    <xf numFmtId="166" fontId="1" fillId="15" borderId="308" xfId="0" applyNumberFormat="1" applyFont="1" applyFill="1" applyBorder="1" applyAlignment="1" applyProtection="1">
      <alignment vertical="center" wrapText="1"/>
    </xf>
    <xf numFmtId="166" fontId="1" fillId="50" borderId="72" xfId="0" applyNumberFormat="1" applyFont="1" applyFill="1" applyBorder="1" applyAlignment="1" applyProtection="1">
      <alignment vertical="center" wrapText="1"/>
    </xf>
    <xf numFmtId="166" fontId="1" fillId="27" borderId="315" xfId="0" applyNumberFormat="1" applyFont="1" applyFill="1" applyBorder="1" applyAlignment="1" applyProtection="1">
      <alignment vertical="center" wrapText="1"/>
    </xf>
    <xf numFmtId="166" fontId="1" fillId="45" borderId="6" xfId="0" applyNumberFormat="1" applyFont="1" applyFill="1" applyBorder="1" applyAlignment="1" applyProtection="1">
      <alignment vertical="center" wrapText="1"/>
    </xf>
    <xf numFmtId="166" fontId="0" fillId="37" borderId="316" xfId="0" applyNumberFormat="1" applyFont="1" applyFill="1" applyBorder="1" applyAlignment="1" applyProtection="1">
      <alignment vertical="center" wrapText="1"/>
    </xf>
    <xf numFmtId="166" fontId="0" fillId="37" borderId="144" xfId="0" applyNumberFormat="1" applyFont="1" applyFill="1" applyBorder="1" applyAlignment="1" applyProtection="1">
      <alignment vertical="center" wrapText="1"/>
    </xf>
    <xf numFmtId="166" fontId="0" fillId="37" borderId="190" xfId="0" applyNumberFormat="1" applyFont="1" applyFill="1" applyBorder="1" applyAlignment="1" applyProtection="1">
      <alignment vertical="center" wrapText="1"/>
    </xf>
    <xf numFmtId="166" fontId="0" fillId="50" borderId="308" xfId="0" applyNumberFormat="1" applyFont="1" applyFill="1" applyBorder="1" applyAlignment="1" applyProtection="1">
      <alignment vertical="center" wrapText="1"/>
    </xf>
    <xf numFmtId="166" fontId="0" fillId="37" borderId="308" xfId="0" applyNumberFormat="1" applyFont="1" applyFill="1" applyBorder="1" applyAlignment="1" applyProtection="1">
      <alignment vertical="center" wrapText="1"/>
    </xf>
    <xf numFmtId="166" fontId="0" fillId="37" borderId="315" xfId="0" applyNumberFormat="1" applyFont="1" applyFill="1" applyBorder="1" applyAlignment="1" applyProtection="1">
      <alignment vertical="center" wrapText="1"/>
    </xf>
    <xf numFmtId="166" fontId="1" fillId="50" borderId="317" xfId="0" applyNumberFormat="1" applyFont="1" applyFill="1" applyBorder="1" applyAlignment="1" applyProtection="1">
      <alignment vertical="center" wrapText="1"/>
    </xf>
    <xf numFmtId="0" fontId="0" fillId="0" borderId="72" xfId="0" applyBorder="1" applyAlignment="1" applyProtection="1">
      <alignment vertical="center"/>
    </xf>
    <xf numFmtId="0" fontId="0" fillId="0" borderId="6" xfId="0" applyBorder="1" applyAlignment="1" applyProtection="1">
      <alignment vertical="center"/>
    </xf>
    <xf numFmtId="0" fontId="0" fillId="0" borderId="308" xfId="0" applyBorder="1" applyAlignment="1" applyProtection="1">
      <alignment vertical="center"/>
    </xf>
    <xf numFmtId="166" fontId="0" fillId="25" borderId="308" xfId="0" applyNumberFormat="1" applyFont="1" applyFill="1" applyBorder="1" applyAlignment="1" applyProtection="1">
      <alignment vertical="center" wrapText="1"/>
    </xf>
    <xf numFmtId="166" fontId="0" fillId="0" borderId="308" xfId="0" applyNumberFormat="1" applyFont="1" applyFill="1" applyBorder="1" applyAlignment="1" applyProtection="1">
      <alignment vertical="center" wrapText="1"/>
    </xf>
    <xf numFmtId="14" fontId="0" fillId="0" borderId="308" xfId="0" applyNumberFormat="1" applyFont="1" applyFill="1" applyBorder="1" applyAlignment="1" applyProtection="1">
      <alignment vertical="center" wrapText="1"/>
    </xf>
    <xf numFmtId="0" fontId="0" fillId="14" borderId="0" xfId="0" applyFont="1" applyFill="1" applyBorder="1" applyAlignment="1" applyProtection="1"/>
    <xf numFmtId="0" fontId="0" fillId="18" borderId="0" xfId="0" applyFill="1" applyProtection="1"/>
    <xf numFmtId="0" fontId="0" fillId="14" borderId="79" xfId="0" applyFill="1" applyBorder="1" applyProtection="1"/>
    <xf numFmtId="0" fontId="0" fillId="14" borderId="16" xfId="0" applyFill="1" applyBorder="1" applyAlignment="1" applyProtection="1">
      <alignment horizontal="center" vertical="center" wrapText="1"/>
    </xf>
    <xf numFmtId="0" fontId="41" fillId="14" borderId="17" xfId="0" applyFont="1" applyFill="1" applyBorder="1" applyAlignment="1" applyProtection="1">
      <alignment horizontal="left" vertical="center" wrapText="1" indent="1"/>
    </xf>
    <xf numFmtId="0" fontId="4" fillId="14" borderId="17" xfId="0" applyFont="1" applyFill="1" applyBorder="1" applyAlignment="1" applyProtection="1">
      <alignment horizontal="center" vertical="center" wrapText="1"/>
    </xf>
    <xf numFmtId="166" fontId="1" fillId="14" borderId="17" xfId="0" applyNumberFormat="1" applyFont="1" applyFill="1" applyBorder="1" applyAlignment="1" applyProtection="1">
      <alignment horizontal="center" vertical="center" wrapText="1"/>
    </xf>
    <xf numFmtId="0" fontId="0" fillId="14" borderId="14" xfId="0" applyFill="1" applyBorder="1" applyAlignment="1" applyProtection="1">
      <alignment horizontal="center" vertical="center" wrapText="1"/>
    </xf>
    <xf numFmtId="0" fontId="0" fillId="0" borderId="17" xfId="0" applyNumberFormat="1" applyFont="1" applyFill="1" applyBorder="1" applyAlignment="1" applyProtection="1">
      <alignment horizontal="right" vertical="center" wrapText="1" indent="2"/>
    </xf>
    <xf numFmtId="0" fontId="0" fillId="41" borderId="335" xfId="0" applyNumberFormat="1" applyFont="1" applyFill="1" applyBorder="1" applyAlignment="1" applyProtection="1">
      <alignment horizontal="left" vertical="center" wrapText="1" indent="1"/>
    </xf>
    <xf numFmtId="0" fontId="0" fillId="14" borderId="72" xfId="0" applyFill="1" applyBorder="1" applyAlignment="1" applyProtection="1">
      <alignment horizontal="center" vertical="center" wrapText="1"/>
    </xf>
    <xf numFmtId="14" fontId="1" fillId="50" borderId="130" xfId="0" applyNumberFormat="1" applyFont="1" applyFill="1" applyBorder="1" applyAlignment="1" applyProtection="1">
      <alignment horizontal="center" vertical="center" wrapText="1"/>
    </xf>
    <xf numFmtId="0" fontId="0" fillId="14" borderId="116" xfId="0" applyFill="1" applyBorder="1" applyAlignment="1" applyProtection="1">
      <alignment horizontal="center" vertical="center" wrapText="1"/>
    </xf>
    <xf numFmtId="0" fontId="1" fillId="50" borderId="26" xfId="0" applyNumberFormat="1" applyFont="1" applyFill="1" applyBorder="1" applyAlignment="1" applyProtection="1">
      <alignment horizontal="right" vertical="center" wrapText="1" indent="2"/>
    </xf>
    <xf numFmtId="0" fontId="1" fillId="41" borderId="335" xfId="0" applyNumberFormat="1" applyFont="1" applyFill="1" applyBorder="1" applyAlignment="1" applyProtection="1">
      <alignment horizontal="left" vertical="center" wrapText="1" indent="1"/>
    </xf>
    <xf numFmtId="166" fontId="1" fillId="14" borderId="205" xfId="0" applyNumberFormat="1" applyFont="1" applyFill="1" applyBorder="1" applyAlignment="1" applyProtection="1">
      <alignment horizontal="center" vertical="center" wrapText="1"/>
    </xf>
    <xf numFmtId="0" fontId="1" fillId="0" borderId="302" xfId="0" applyNumberFormat="1" applyFont="1" applyFill="1" applyBorder="1" applyAlignment="1" applyProtection="1">
      <alignment horizontal="right" vertical="center" wrapText="1" indent="2"/>
    </xf>
    <xf numFmtId="166" fontId="1" fillId="45" borderId="205" xfId="0" applyNumberFormat="1" applyFont="1" applyFill="1" applyBorder="1" applyAlignment="1" applyProtection="1">
      <alignment horizontal="center" vertical="center" wrapText="1"/>
    </xf>
    <xf numFmtId="0" fontId="1" fillId="45" borderId="302" xfId="0" applyNumberFormat="1" applyFont="1" applyFill="1" applyBorder="1" applyAlignment="1" applyProtection="1">
      <alignment horizontal="right" vertical="center" wrapText="1" indent="2"/>
    </xf>
    <xf numFmtId="0" fontId="1" fillId="37" borderId="302" xfId="0" applyNumberFormat="1" applyFont="1" applyFill="1" applyBorder="1" applyAlignment="1" applyProtection="1">
      <alignment horizontal="right" vertical="center" wrapText="1" indent="2"/>
    </xf>
    <xf numFmtId="0" fontId="0" fillId="14" borderId="30" xfId="0" applyFill="1" applyBorder="1" applyAlignment="1" applyProtection="1">
      <alignment horizontal="center" vertical="center" wrapText="1"/>
    </xf>
    <xf numFmtId="166" fontId="1" fillId="14" borderId="210" xfId="0" applyNumberFormat="1" applyFont="1" applyFill="1" applyBorder="1" applyAlignment="1" applyProtection="1">
      <alignment horizontal="center" vertical="center" wrapText="1"/>
    </xf>
    <xf numFmtId="0" fontId="1" fillId="37" borderId="303" xfId="0" applyNumberFormat="1" applyFont="1" applyFill="1" applyBorder="1" applyAlignment="1" applyProtection="1">
      <alignment horizontal="right" vertical="center" wrapText="1" indent="2"/>
    </xf>
    <xf numFmtId="166" fontId="1" fillId="14" borderId="150" xfId="0" applyNumberFormat="1" applyFont="1" applyFill="1" applyBorder="1" applyAlignment="1" applyProtection="1">
      <alignment horizontal="center" vertical="center" wrapText="1"/>
    </xf>
    <xf numFmtId="0" fontId="0" fillId="14" borderId="11" xfId="0" applyFill="1" applyBorder="1" applyAlignment="1" applyProtection="1">
      <alignment horizontal="center" vertical="center" wrapText="1"/>
    </xf>
    <xf numFmtId="0" fontId="1" fillId="0" borderId="26" xfId="0" applyNumberFormat="1" applyFont="1" applyFill="1" applyBorder="1" applyAlignment="1" applyProtection="1">
      <alignment horizontal="right" vertical="center" wrapText="1" indent="2"/>
    </xf>
    <xf numFmtId="166" fontId="1" fillId="14" borderId="154" xfId="0" applyNumberFormat="1" applyFont="1" applyFill="1" applyBorder="1" applyAlignment="1" applyProtection="1">
      <alignment horizontal="center" vertical="center" wrapText="1"/>
    </xf>
    <xf numFmtId="0" fontId="0" fillId="14" borderId="2" xfId="0" applyFill="1" applyBorder="1" applyAlignment="1" applyProtection="1">
      <alignment horizontal="center" vertical="center" wrapText="1"/>
    </xf>
    <xf numFmtId="166" fontId="1" fillId="50" borderId="154" xfId="0" applyNumberFormat="1" applyFont="1" applyFill="1" applyBorder="1" applyAlignment="1" applyProtection="1">
      <alignment horizontal="center" vertical="center" wrapText="1"/>
    </xf>
    <xf numFmtId="0" fontId="1" fillId="50" borderId="302" xfId="0" applyNumberFormat="1" applyFont="1" applyFill="1" applyBorder="1" applyAlignment="1" applyProtection="1">
      <alignment horizontal="right" vertical="center" wrapText="1" indent="2"/>
    </xf>
    <xf numFmtId="166" fontId="1" fillId="45" borderId="154" xfId="0" applyNumberFormat="1" applyFont="1" applyFill="1" applyBorder="1" applyAlignment="1" applyProtection="1">
      <alignment horizontal="center" vertical="center" wrapText="1"/>
    </xf>
    <xf numFmtId="0" fontId="1" fillId="15" borderId="302" xfId="0" applyNumberFormat="1" applyFont="1" applyFill="1" applyBorder="1" applyAlignment="1" applyProtection="1">
      <alignment horizontal="right" vertical="center" wrapText="1" indent="2"/>
    </xf>
    <xf numFmtId="166" fontId="1" fillId="14" borderId="295" xfId="0" applyNumberFormat="1" applyFont="1" applyFill="1" applyBorder="1" applyAlignment="1" applyProtection="1">
      <alignment horizontal="center" vertical="center" wrapText="1"/>
    </xf>
    <xf numFmtId="166" fontId="1" fillId="14" borderId="158" xfId="0" applyNumberFormat="1" applyFont="1" applyFill="1" applyBorder="1" applyAlignment="1" applyProtection="1">
      <alignment horizontal="center" vertical="center" wrapText="1"/>
    </xf>
    <xf numFmtId="166" fontId="1" fillId="50" borderId="150" xfId="0" applyNumberFormat="1" applyFont="1" applyFill="1" applyBorder="1" applyAlignment="1" applyProtection="1">
      <alignment horizontal="center" vertical="center" wrapText="1"/>
    </xf>
    <xf numFmtId="0" fontId="1" fillId="27" borderId="303" xfId="0" applyNumberFormat="1" applyFont="1" applyFill="1" applyBorder="1" applyAlignment="1" applyProtection="1">
      <alignment horizontal="right" vertical="center" wrapText="1" indent="2"/>
    </xf>
    <xf numFmtId="0" fontId="0" fillId="14" borderId="6" xfId="0" applyFill="1" applyBorder="1" applyAlignment="1" applyProtection="1">
      <alignment horizontal="center" vertical="center" wrapText="1"/>
    </xf>
    <xf numFmtId="166" fontId="1" fillId="45" borderId="7" xfId="0" applyNumberFormat="1" applyFont="1" applyFill="1" applyBorder="1" applyAlignment="1" applyProtection="1">
      <alignment horizontal="center" vertical="center" wrapText="1"/>
    </xf>
    <xf numFmtId="0" fontId="1" fillId="45" borderId="7" xfId="0" applyNumberFormat="1" applyFont="1" applyFill="1" applyBorder="1" applyAlignment="1" applyProtection="1">
      <alignment horizontal="right" vertical="center" wrapText="1" indent="2"/>
    </xf>
    <xf numFmtId="166" fontId="0" fillId="14" borderId="178" xfId="0" applyNumberFormat="1" applyFont="1" applyFill="1" applyBorder="1" applyAlignment="1" applyProtection="1">
      <alignment horizontal="center" vertical="center" wrapText="1"/>
    </xf>
    <xf numFmtId="0" fontId="0" fillId="49" borderId="116" xfId="0" applyFill="1" applyBorder="1" applyAlignment="1" applyProtection="1">
      <alignment horizontal="center" vertical="center" wrapText="1"/>
    </xf>
    <xf numFmtId="0" fontId="0" fillId="37" borderId="320" xfId="0" applyNumberFormat="1" applyFont="1" applyFill="1" applyBorder="1" applyAlignment="1" applyProtection="1">
      <alignment horizontal="right" vertical="center" wrapText="1" indent="2"/>
    </xf>
    <xf numFmtId="166" fontId="0" fillId="14" borderId="179" xfId="0" applyNumberFormat="1" applyFont="1" applyFill="1" applyBorder="1" applyAlignment="1" applyProtection="1">
      <alignment horizontal="center" vertical="center" wrapText="1"/>
    </xf>
    <xf numFmtId="0" fontId="0" fillId="37" borderId="205" xfId="0" applyNumberFormat="1" applyFont="1" applyFill="1" applyBorder="1" applyAlignment="1" applyProtection="1">
      <alignment horizontal="right" vertical="center" wrapText="1" indent="2"/>
    </xf>
    <xf numFmtId="166" fontId="0" fillId="14" borderId="180" xfId="0" applyNumberFormat="1" applyFont="1" applyFill="1" applyBorder="1" applyAlignment="1" applyProtection="1">
      <alignment horizontal="center" vertical="center" wrapText="1"/>
    </xf>
    <xf numFmtId="0" fontId="0" fillId="37" borderId="117" xfId="0" applyNumberFormat="1" applyFont="1" applyFill="1" applyBorder="1" applyAlignment="1" applyProtection="1">
      <alignment horizontal="right" vertical="center" wrapText="1" indent="2"/>
    </xf>
    <xf numFmtId="166" fontId="0" fillId="14" borderId="181" xfId="0" applyNumberFormat="1" applyFont="1" applyFill="1" applyBorder="1" applyAlignment="1" applyProtection="1">
      <alignment horizontal="center" vertical="center" wrapText="1"/>
    </xf>
    <xf numFmtId="166" fontId="0" fillId="14" borderId="117" xfId="0" applyNumberFormat="1" applyFont="1" applyFill="1" applyBorder="1" applyAlignment="1" applyProtection="1">
      <alignment horizontal="center" vertical="center" wrapText="1"/>
    </xf>
    <xf numFmtId="166" fontId="1" fillId="45" borderId="23" xfId="0" applyNumberFormat="1" applyFont="1" applyFill="1" applyBorder="1" applyAlignment="1" applyProtection="1">
      <alignment horizontal="center" vertical="center" wrapText="1"/>
    </xf>
    <xf numFmtId="0" fontId="1" fillId="45" borderId="23" xfId="0" applyNumberFormat="1" applyFont="1" applyFill="1" applyBorder="1" applyAlignment="1" applyProtection="1">
      <alignment horizontal="right" vertical="center" wrapText="1" indent="2"/>
    </xf>
    <xf numFmtId="175" fontId="4" fillId="14" borderId="23" xfId="0" applyNumberFormat="1" applyFont="1" applyFill="1" applyBorder="1" applyAlignment="1" applyProtection="1">
      <alignment horizontal="center" vertical="center" wrapText="1"/>
    </xf>
    <xf numFmtId="166" fontId="1" fillId="50" borderId="23" xfId="0" applyNumberFormat="1" applyFont="1" applyFill="1" applyBorder="1" applyAlignment="1" applyProtection="1">
      <alignment horizontal="center" vertical="center" wrapText="1"/>
    </xf>
    <xf numFmtId="0" fontId="0" fillId="14" borderId="483" xfId="0" applyFill="1" applyBorder="1" applyAlignment="1" applyProtection="1">
      <alignment horizontal="center" vertical="center" wrapText="1"/>
    </xf>
    <xf numFmtId="0" fontId="1" fillId="50" borderId="23" xfId="0" applyNumberFormat="1" applyFont="1" applyFill="1" applyBorder="1" applyAlignment="1" applyProtection="1">
      <alignment horizontal="right" vertical="center" wrapText="1" indent="2"/>
    </xf>
    <xf numFmtId="166" fontId="0" fillId="50" borderId="23" xfId="0" applyNumberFormat="1" applyFont="1" applyFill="1" applyBorder="1" applyAlignment="1" applyProtection="1">
      <alignment horizontal="center" vertical="center" wrapText="1"/>
    </xf>
    <xf numFmtId="0" fontId="0" fillId="50" borderId="23" xfId="0" applyNumberFormat="1" applyFont="1" applyFill="1" applyBorder="1" applyAlignment="1" applyProtection="1">
      <alignment horizontal="right" vertical="center" wrapText="1" indent="2"/>
    </xf>
    <xf numFmtId="166" fontId="0" fillId="14" borderId="23" xfId="0" applyNumberFormat="1" applyFont="1" applyFill="1" applyBorder="1" applyAlignment="1" applyProtection="1">
      <alignment horizontal="center" vertical="center" wrapText="1"/>
    </xf>
    <xf numFmtId="0" fontId="0" fillId="37" borderId="23" xfId="0" applyNumberFormat="1" applyFont="1" applyFill="1" applyBorder="1" applyAlignment="1" applyProtection="1">
      <alignment horizontal="right" vertical="center" wrapText="1" indent="2"/>
    </xf>
    <xf numFmtId="0" fontId="0" fillId="14" borderId="113" xfId="0" applyFill="1" applyBorder="1" applyAlignment="1" applyProtection="1">
      <alignment horizontal="center" vertical="center" wrapText="1"/>
    </xf>
    <xf numFmtId="166" fontId="0" fillId="14" borderId="27" xfId="0" applyNumberFormat="1" applyFont="1" applyFill="1" applyBorder="1" applyAlignment="1" applyProtection="1">
      <alignment horizontal="center" vertical="center" wrapText="1"/>
    </xf>
    <xf numFmtId="0" fontId="0" fillId="37" borderId="27" xfId="0" applyNumberFormat="1" applyFont="1" applyFill="1" applyBorder="1" applyAlignment="1" applyProtection="1">
      <alignment horizontal="right" vertical="center" wrapText="1" indent="2"/>
    </xf>
    <xf numFmtId="166" fontId="1" fillId="50" borderId="175" xfId="0" applyNumberFormat="1" applyFont="1" applyFill="1" applyBorder="1" applyAlignment="1" applyProtection="1">
      <alignment horizontal="center" vertical="center" wrapText="1"/>
    </xf>
    <xf numFmtId="166" fontId="1" fillId="14" borderId="27" xfId="0" applyNumberFormat="1" applyFont="1" applyFill="1" applyBorder="1" applyAlignment="1" applyProtection="1">
      <alignment horizontal="center" vertical="center" wrapText="1"/>
    </xf>
    <xf numFmtId="0" fontId="1" fillId="37" borderId="27" xfId="0" applyNumberFormat="1" applyFont="1" applyFill="1" applyBorder="1" applyAlignment="1" applyProtection="1">
      <alignment horizontal="right" vertical="center" wrapText="1" indent="2"/>
    </xf>
    <xf numFmtId="0" fontId="0" fillId="14" borderId="26" xfId="0" applyFill="1" applyBorder="1" applyAlignment="1" applyProtection="1">
      <alignment horizontal="center" vertical="center"/>
    </xf>
    <xf numFmtId="0" fontId="0" fillId="0" borderId="26" xfId="0" applyNumberFormat="1" applyFill="1" applyBorder="1" applyAlignment="1" applyProtection="1">
      <alignment horizontal="right" vertical="center" indent="2"/>
    </xf>
    <xf numFmtId="0" fontId="0" fillId="41" borderId="335" xfId="0" applyNumberFormat="1" applyFill="1" applyBorder="1" applyAlignment="1" applyProtection="1">
      <alignment horizontal="left" vertical="center" indent="1"/>
    </xf>
    <xf numFmtId="0" fontId="0" fillId="14" borderId="7" xfId="0" applyFill="1" applyBorder="1" applyAlignment="1" applyProtection="1">
      <alignment horizontal="center" vertical="center"/>
    </xf>
    <xf numFmtId="0" fontId="0" fillId="14" borderId="482" xfId="0" applyFill="1" applyBorder="1" applyAlignment="1" applyProtection="1">
      <alignment horizontal="center" vertical="center" wrapText="1"/>
    </xf>
    <xf numFmtId="0" fontId="0" fillId="0" borderId="7" xfId="0" applyNumberFormat="1" applyFill="1" applyBorder="1" applyAlignment="1" applyProtection="1">
      <alignment horizontal="right" vertical="center" indent="2"/>
    </xf>
    <xf numFmtId="0" fontId="0" fillId="0" borderId="7" xfId="0" applyNumberFormat="1" applyBorder="1" applyAlignment="1" applyProtection="1">
      <alignment horizontal="right" vertical="center" indent="2"/>
    </xf>
    <xf numFmtId="0" fontId="0" fillId="14" borderId="23" xfId="0" applyFill="1" applyBorder="1" applyAlignment="1" applyProtection="1">
      <alignment horizontal="center" vertical="center"/>
    </xf>
    <xf numFmtId="0" fontId="0" fillId="0" borderId="23" xfId="0" applyNumberFormat="1" applyBorder="1" applyAlignment="1" applyProtection="1">
      <alignment horizontal="right" vertical="center" indent="2"/>
    </xf>
    <xf numFmtId="0" fontId="0" fillId="0" borderId="26" xfId="0" applyNumberFormat="1" applyBorder="1" applyAlignment="1" applyProtection="1">
      <alignment horizontal="right" vertical="center" indent="2"/>
    </xf>
    <xf numFmtId="0" fontId="1" fillId="25" borderId="302" xfId="0" applyNumberFormat="1" applyFont="1" applyFill="1" applyBorder="1" applyAlignment="1" applyProtection="1">
      <alignment horizontal="right" vertical="center" wrapText="1" indent="2"/>
    </xf>
    <xf numFmtId="166" fontId="0" fillId="14" borderId="302" xfId="0" applyNumberFormat="1" applyFont="1" applyFill="1" applyBorder="1" applyAlignment="1" applyProtection="1">
      <alignment horizontal="center" vertical="center" wrapText="1"/>
    </xf>
    <xf numFmtId="0" fontId="0" fillId="14" borderId="481" xfId="0" applyFill="1" applyBorder="1" applyAlignment="1" applyProtection="1">
      <alignment horizontal="center" vertical="center" wrapText="1"/>
    </xf>
    <xf numFmtId="0" fontId="74" fillId="14" borderId="0" xfId="0" applyFont="1" applyFill="1" applyAlignment="1" applyProtection="1">
      <alignment vertical="center" wrapText="1"/>
    </xf>
    <xf numFmtId="0" fontId="37" fillId="14" borderId="0" xfId="0" applyFont="1" applyFill="1" applyProtection="1"/>
    <xf numFmtId="0" fontId="74" fillId="14" borderId="0" xfId="0" applyFont="1" applyFill="1" applyAlignment="1" applyProtection="1">
      <alignment horizontal="left" vertical="center"/>
    </xf>
    <xf numFmtId="0" fontId="0" fillId="14" borderId="0" xfId="0" applyFill="1" applyAlignment="1" applyProtection="1">
      <alignment horizontal="left"/>
      <protection locked="0"/>
    </xf>
    <xf numFmtId="0" fontId="0" fillId="14" borderId="45" xfId="0" applyFill="1" applyBorder="1" applyAlignment="1">
      <alignment horizontal="right" vertical="center" indent="1"/>
    </xf>
    <xf numFmtId="0" fontId="0" fillId="14" borderId="80" xfId="0" applyFill="1" applyBorder="1" applyAlignment="1">
      <alignment horizontal="right" vertical="center" indent="1"/>
    </xf>
    <xf numFmtId="0" fontId="0" fillId="14" borderId="9" xfId="0" applyFill="1" applyBorder="1" applyAlignment="1">
      <alignment horizontal="left" vertical="center" indent="1"/>
    </xf>
    <xf numFmtId="0" fontId="0" fillId="14" borderId="35" xfId="0" applyFill="1" applyBorder="1" applyAlignment="1">
      <alignment horizontal="center" vertical="center"/>
    </xf>
    <xf numFmtId="0" fontId="0" fillId="14" borderId="31" xfId="0" applyFill="1" applyBorder="1" applyAlignment="1">
      <alignment horizontal="center" vertical="center"/>
    </xf>
    <xf numFmtId="0" fontId="0" fillId="14" borderId="3" xfId="0" applyFill="1" applyBorder="1" applyAlignment="1">
      <alignment horizontal="left" vertical="center" indent="1"/>
    </xf>
    <xf numFmtId="0" fontId="0" fillId="14" borderId="35" xfId="0" applyFill="1" applyBorder="1" applyAlignment="1">
      <alignment horizontal="right" vertical="center" indent="1"/>
    </xf>
    <xf numFmtId="183" fontId="0" fillId="14" borderId="0" xfId="0" applyNumberFormat="1" applyFill="1" applyBorder="1" applyAlignment="1" applyProtection="1">
      <alignment horizontal="center" vertical="center" wrapText="1"/>
    </xf>
    <xf numFmtId="0" fontId="4" fillId="21" borderId="493" xfId="0" applyFont="1" applyFill="1" applyBorder="1" applyAlignment="1">
      <alignment horizontal="center" vertical="center" wrapText="1"/>
    </xf>
    <xf numFmtId="0" fontId="4" fillId="21" borderId="494" xfId="0" applyFont="1" applyFill="1" applyBorder="1" applyAlignment="1">
      <alignment horizontal="center" vertical="center" wrapText="1"/>
    </xf>
    <xf numFmtId="0" fontId="0" fillId="0" borderId="0" xfId="0" applyAlignment="1">
      <alignment horizontal="center"/>
    </xf>
    <xf numFmtId="0" fontId="0" fillId="14" borderId="31" xfId="0" applyFill="1" applyBorder="1" applyAlignment="1">
      <alignment horizontal="right" vertical="center" indent="1"/>
    </xf>
    <xf numFmtId="0" fontId="0" fillId="0" borderId="23" xfId="0" applyBorder="1" applyAlignment="1">
      <alignment horizontal="center" vertical="top"/>
    </xf>
    <xf numFmtId="0" fontId="0" fillId="0" borderId="23" xfId="0" applyBorder="1" applyAlignment="1">
      <alignment horizontal="left" vertical="top" wrapText="1"/>
    </xf>
    <xf numFmtId="0" fontId="0" fillId="43" borderId="0" xfId="0" applyFill="1" applyAlignment="1">
      <alignment vertical="top"/>
    </xf>
    <xf numFmtId="0" fontId="61" fillId="25" borderId="57" xfId="0" applyFont="1" applyFill="1" applyBorder="1" applyAlignment="1">
      <alignment horizontal="center" vertical="top" wrapText="1"/>
    </xf>
    <xf numFmtId="0" fontId="1" fillId="0" borderId="277" xfId="0" applyFont="1" applyFill="1" applyBorder="1" applyAlignment="1">
      <alignment horizontal="center" vertical="top" wrapText="1"/>
    </xf>
    <xf numFmtId="0" fontId="0" fillId="0" borderId="52" xfId="0" applyBorder="1" applyAlignment="1">
      <alignment vertical="top"/>
    </xf>
    <xf numFmtId="0" fontId="0" fillId="0" borderId="23" xfId="0" applyBorder="1" applyAlignment="1">
      <alignment horizontal="left" vertical="top"/>
    </xf>
    <xf numFmtId="0" fontId="0" fillId="0" borderId="34" xfId="0" applyBorder="1" applyAlignment="1">
      <alignment horizontal="left" vertical="top" wrapText="1"/>
    </xf>
    <xf numFmtId="0" fontId="0" fillId="0" borderId="23" xfId="0" applyBorder="1" applyAlignment="1">
      <alignment vertical="top"/>
    </xf>
    <xf numFmtId="0" fontId="0" fillId="0" borderId="34" xfId="0" applyBorder="1" applyAlignment="1">
      <alignment vertical="top"/>
    </xf>
    <xf numFmtId="0" fontId="37" fillId="0" borderId="52" xfId="0" applyFont="1" applyBorder="1" applyAlignment="1">
      <alignment horizontal="left" vertical="top" wrapText="1"/>
    </xf>
    <xf numFmtId="166" fontId="47" fillId="0" borderId="23" xfId="0" applyNumberFormat="1" applyFont="1" applyBorder="1" applyAlignment="1">
      <alignment horizontal="right" vertical="top"/>
    </xf>
    <xf numFmtId="171" fontId="0" fillId="0" borderId="23" xfId="0" applyNumberFormat="1" applyFont="1" applyBorder="1" applyAlignment="1">
      <alignment horizontal="right" vertical="top"/>
    </xf>
    <xf numFmtId="2" fontId="47" fillId="0" borderId="23" xfId="0" applyNumberFormat="1" applyFont="1" applyBorder="1" applyAlignment="1">
      <alignment horizontal="right" vertical="top"/>
    </xf>
    <xf numFmtId="2" fontId="13" fillId="0" borderId="23" xfId="0" applyNumberFormat="1" applyFont="1" applyBorder="1" applyAlignment="1">
      <alignment horizontal="right" vertical="top"/>
    </xf>
    <xf numFmtId="4" fontId="56" fillId="0" borderId="23" xfId="0" applyNumberFormat="1" applyFont="1" applyBorder="1" applyAlignment="1">
      <alignment horizontal="right" vertical="top" wrapText="1"/>
    </xf>
    <xf numFmtId="4" fontId="0" fillId="0" borderId="302" xfId="0" applyNumberFormat="1" applyBorder="1" applyAlignment="1">
      <alignment horizontal="right" vertical="top" wrapText="1"/>
    </xf>
    <xf numFmtId="166" fontId="0" fillId="0" borderId="302" xfId="0" applyNumberFormat="1" applyBorder="1" applyAlignment="1">
      <alignment horizontal="right" vertical="top" wrapText="1"/>
    </xf>
    <xf numFmtId="166" fontId="57" fillId="0" borderId="23" xfId="0" applyNumberFormat="1" applyFont="1" applyBorder="1" applyAlignment="1">
      <alignment horizontal="right" vertical="top"/>
    </xf>
    <xf numFmtId="173" fontId="13" fillId="0" borderId="23" xfId="0" applyNumberFormat="1" applyFont="1" applyBorder="1" applyAlignment="1">
      <alignment horizontal="right" vertical="top"/>
    </xf>
    <xf numFmtId="173" fontId="0" fillId="0" borderId="34" xfId="0" applyNumberFormat="1" applyBorder="1" applyAlignment="1">
      <alignment horizontal="right" vertical="top"/>
    </xf>
    <xf numFmtId="1" fontId="0" fillId="0" borderId="278" xfId="0" applyNumberFormat="1" applyBorder="1" applyAlignment="1">
      <alignment horizontal="center" vertical="top"/>
    </xf>
    <xf numFmtId="171" fontId="56" fillId="0" borderId="23" xfId="0" applyNumberFormat="1" applyFont="1" applyBorder="1" applyAlignment="1">
      <alignment horizontal="center" vertical="top"/>
    </xf>
    <xf numFmtId="166" fontId="48" fillId="0" borderId="23" xfId="0" applyNumberFormat="1" applyFont="1" applyBorder="1" applyAlignment="1">
      <alignment horizontal="right" vertical="top"/>
    </xf>
    <xf numFmtId="173" fontId="0" fillId="0" borderId="23" xfId="0" applyNumberFormat="1" applyFont="1" applyBorder="1" applyAlignment="1">
      <alignment horizontal="right" vertical="top"/>
    </xf>
    <xf numFmtId="173" fontId="0" fillId="0" borderId="34" xfId="0" applyNumberFormat="1" applyFont="1" applyBorder="1" applyAlignment="1">
      <alignment horizontal="right" vertical="top"/>
    </xf>
    <xf numFmtId="173" fontId="0" fillId="0" borderId="0" xfId="0" applyNumberFormat="1" applyFont="1" applyBorder="1" applyAlignment="1">
      <alignment horizontal="right" vertical="top"/>
    </xf>
    <xf numFmtId="0" fontId="0" fillId="0" borderId="38" xfId="0" applyBorder="1" applyAlignment="1">
      <alignment horizontal="left" vertical="top" wrapText="1"/>
    </xf>
    <xf numFmtId="0" fontId="0" fillId="0" borderId="31" xfId="0" applyBorder="1" applyAlignment="1">
      <alignment vertical="top"/>
    </xf>
    <xf numFmtId="183" fontId="48" fillId="0" borderId="0" xfId="0" applyNumberFormat="1" applyFont="1" applyBorder="1" applyAlignment="1">
      <alignment horizontal="right" vertical="top" wrapText="1"/>
    </xf>
    <xf numFmtId="183" fontId="62" fillId="0" borderId="67" xfId="0" applyNumberFormat="1" applyFont="1" applyBorder="1" applyAlignment="1">
      <alignment horizontal="right" vertical="top" wrapText="1"/>
    </xf>
    <xf numFmtId="183" fontId="57" fillId="0" borderId="38" xfId="0" applyNumberFormat="1" applyFont="1" applyBorder="1" applyAlignment="1">
      <alignment horizontal="right" vertical="top" wrapText="1"/>
    </xf>
    <xf numFmtId="183" fontId="65" fillId="0" borderId="2" xfId="0" applyNumberFormat="1" applyFont="1" applyBorder="1" applyAlignment="1">
      <alignment horizontal="right" vertical="top" wrapText="1"/>
    </xf>
    <xf numFmtId="183" fontId="13" fillId="0" borderId="2" xfId="0" applyNumberFormat="1" applyFont="1" applyBorder="1" applyAlignment="1">
      <alignment horizontal="right" vertical="top" wrapText="1"/>
    </xf>
    <xf numFmtId="183" fontId="13" fillId="0" borderId="31" xfId="0" applyNumberFormat="1" applyFont="1" applyBorder="1" applyAlignment="1">
      <alignment horizontal="right" vertical="top" wrapText="1"/>
    </xf>
    <xf numFmtId="183" fontId="13" fillId="0" borderId="0" xfId="0" applyNumberFormat="1" applyFont="1" applyBorder="1" applyAlignment="1">
      <alignment horizontal="right" vertical="top" wrapText="1"/>
    </xf>
    <xf numFmtId="183" fontId="13" fillId="0" borderId="3" xfId="0" applyNumberFormat="1" applyFont="1" applyBorder="1" applyAlignment="1">
      <alignment horizontal="right" vertical="top" wrapText="1"/>
    </xf>
    <xf numFmtId="183" fontId="0" fillId="0" borderId="31" xfId="0" applyNumberFormat="1" applyFont="1" applyBorder="1" applyAlignment="1">
      <alignment horizontal="right" vertical="top" wrapText="1"/>
    </xf>
    <xf numFmtId="183" fontId="0" fillId="0" borderId="38" xfId="0" applyNumberFormat="1" applyFont="1" applyBorder="1" applyAlignment="1">
      <alignment horizontal="right" vertical="top" wrapText="1"/>
    </xf>
    <xf numFmtId="183" fontId="0" fillId="0" borderId="3" xfId="0" applyNumberFormat="1" applyFont="1" applyBorder="1" applyAlignment="1">
      <alignment horizontal="right" vertical="top" wrapText="1"/>
    </xf>
    <xf numFmtId="183" fontId="48" fillId="0" borderId="57" xfId="0" applyNumberFormat="1" applyFont="1" applyBorder="1" applyAlignment="1">
      <alignment horizontal="right" vertical="top" wrapText="1"/>
    </xf>
    <xf numFmtId="183" fontId="0" fillId="0" borderId="45" xfId="0" applyNumberFormat="1" applyFont="1" applyBorder="1" applyAlignment="1">
      <alignment horizontal="right" vertical="top" wrapText="1"/>
    </xf>
    <xf numFmtId="2" fontId="0" fillId="0" borderId="3" xfId="0" applyNumberFormat="1" applyFont="1" applyBorder="1" applyAlignment="1">
      <alignment horizontal="right" vertical="top" wrapText="1"/>
    </xf>
    <xf numFmtId="183" fontId="48" fillId="0" borderId="31" xfId="0" applyNumberFormat="1" applyFont="1" applyBorder="1" applyAlignment="1">
      <alignment horizontal="right" vertical="top" wrapText="1"/>
    </xf>
    <xf numFmtId="183" fontId="13" fillId="0" borderId="52" xfId="0" applyNumberFormat="1" applyFont="1" applyBorder="1" applyAlignment="1">
      <alignment horizontal="right" vertical="top" wrapText="1"/>
    </xf>
    <xf numFmtId="183" fontId="13" fillId="0" borderId="23" xfId="0" applyNumberFormat="1" applyFont="1" applyBorder="1" applyAlignment="1">
      <alignment horizontal="right" vertical="top" wrapText="1"/>
    </xf>
    <xf numFmtId="183" fontId="13" fillId="0" borderId="34" xfId="0" applyNumberFormat="1" applyFont="1" applyBorder="1" applyAlignment="1">
      <alignment horizontal="right" vertical="top" wrapText="1"/>
    </xf>
    <xf numFmtId="183" fontId="0" fillId="0" borderId="1" xfId="0" applyNumberFormat="1" applyFont="1" applyBorder="1" applyAlignment="1">
      <alignment horizontal="right" vertical="top" wrapText="1"/>
    </xf>
    <xf numFmtId="183" fontId="37" fillId="0" borderId="57" xfId="0" applyNumberFormat="1" applyFont="1" applyBorder="1" applyAlignment="1">
      <alignment horizontal="right" vertical="top" wrapText="1"/>
    </xf>
    <xf numFmtId="183" fontId="37" fillId="0" borderId="38" xfId="0" applyNumberFormat="1" applyFont="1" applyBorder="1" applyAlignment="1">
      <alignment horizontal="right" vertical="top" wrapText="1"/>
    </xf>
    <xf numFmtId="183" fontId="37" fillId="0" borderId="31" xfId="0" applyNumberFormat="1" applyFont="1" applyBorder="1" applyAlignment="1">
      <alignment horizontal="right" vertical="top" wrapText="1"/>
    </xf>
    <xf numFmtId="183" fontId="37" fillId="0" borderId="45" xfId="0" applyNumberFormat="1" applyFont="1" applyBorder="1" applyAlignment="1">
      <alignment horizontal="right" vertical="top" wrapText="1"/>
    </xf>
    <xf numFmtId="183" fontId="37" fillId="0" borderId="0" xfId="0" applyNumberFormat="1" applyFont="1" applyBorder="1" applyAlignment="1">
      <alignment horizontal="right" vertical="top" wrapText="1"/>
    </xf>
    <xf numFmtId="183" fontId="37" fillId="0" borderId="3" xfId="0" applyNumberFormat="1" applyFont="1" applyBorder="1" applyAlignment="1">
      <alignment horizontal="right" vertical="top" wrapText="1"/>
    </xf>
    <xf numFmtId="183" fontId="48" fillId="0" borderId="164" xfId="0" applyNumberFormat="1" applyFont="1" applyFill="1" applyBorder="1" applyAlignment="1">
      <alignment horizontal="right" vertical="top" wrapText="1"/>
    </xf>
    <xf numFmtId="183" fontId="57" fillId="0" borderId="152" xfId="0" applyNumberFormat="1" applyFont="1" applyFill="1" applyBorder="1" applyAlignment="1">
      <alignment horizontal="right" vertical="top" wrapText="1"/>
    </xf>
    <xf numFmtId="183" fontId="56" fillId="0" borderId="154" xfId="0" applyNumberFormat="1" applyFont="1" applyFill="1" applyBorder="1" applyAlignment="1">
      <alignment horizontal="right" vertical="top" wrapText="1"/>
    </xf>
    <xf numFmtId="173" fontId="56" fillId="0" borderId="154" xfId="0" applyNumberFormat="1" applyFont="1" applyFill="1" applyBorder="1" applyAlignment="1">
      <alignment horizontal="right" vertical="top" wrapText="1"/>
    </xf>
    <xf numFmtId="183" fontId="57" fillId="0" borderId="154" xfId="0" applyNumberFormat="1" applyFont="1" applyFill="1" applyBorder="1" applyAlignment="1">
      <alignment horizontal="right" vertical="top" wrapText="1"/>
    </xf>
    <xf numFmtId="183" fontId="56" fillId="0" borderId="153" xfId="0" applyNumberFormat="1" applyFont="1" applyFill="1" applyBorder="1" applyAlignment="1">
      <alignment horizontal="right" vertical="top" wrapText="1"/>
    </xf>
    <xf numFmtId="183" fontId="56" fillId="0" borderId="165" xfId="0" applyNumberFormat="1" applyFont="1" applyFill="1" applyBorder="1" applyAlignment="1">
      <alignment horizontal="right" vertical="top" wrapText="1"/>
    </xf>
    <xf numFmtId="183" fontId="13" fillId="0" borderId="153" xfId="0" applyNumberFormat="1" applyFont="1" applyFill="1" applyBorder="1" applyAlignment="1">
      <alignment horizontal="right" vertical="top" wrapText="1"/>
    </xf>
    <xf numFmtId="173" fontId="13" fillId="0" borderId="155" xfId="0" applyNumberFormat="1" applyFont="1" applyFill="1" applyBorder="1" applyAlignment="1">
      <alignment horizontal="left" vertical="top" wrapText="1"/>
    </xf>
    <xf numFmtId="173" fontId="13" fillId="0" borderId="164" xfId="0" applyNumberFormat="1" applyFont="1" applyFill="1" applyBorder="1" applyAlignment="1">
      <alignment horizontal="center" vertical="top" wrapText="1"/>
    </xf>
    <xf numFmtId="183" fontId="57" fillId="0" borderId="165" xfId="0" applyNumberFormat="1" applyFont="1" applyFill="1" applyBorder="1" applyAlignment="1">
      <alignment horizontal="left" vertical="top" wrapText="1"/>
    </xf>
    <xf numFmtId="183" fontId="56" fillId="0" borderId="153" xfId="0" applyNumberFormat="1" applyFont="1" applyFill="1" applyBorder="1" applyAlignment="1">
      <alignment vertical="top" wrapText="1"/>
    </xf>
    <xf numFmtId="9" fontId="56" fillId="0" borderId="154" xfId="0" applyNumberFormat="1" applyFont="1" applyFill="1" applyBorder="1" applyAlignment="1">
      <alignment horizontal="right" vertical="top" wrapText="1"/>
    </xf>
    <xf numFmtId="183" fontId="56" fillId="0" borderId="154" xfId="0" applyNumberFormat="1" applyFont="1" applyFill="1" applyBorder="1" applyAlignment="1">
      <alignment vertical="top" wrapText="1"/>
    </xf>
    <xf numFmtId="183" fontId="48" fillId="0" borderId="152" xfId="0" applyNumberFormat="1" applyFont="1" applyFill="1" applyBorder="1" applyAlignment="1">
      <alignment horizontal="right" vertical="top" wrapText="1"/>
    </xf>
    <xf numFmtId="183" fontId="66" fillId="0" borderId="153" xfId="0" applyNumberFormat="1" applyFont="1" applyFill="1" applyBorder="1" applyAlignment="1">
      <alignment horizontal="right" vertical="top" wrapText="1"/>
    </xf>
    <xf numFmtId="173" fontId="13" fillId="0" borderId="154" xfId="0" applyNumberFormat="1" applyFont="1" applyFill="1" applyBorder="1" applyAlignment="1">
      <alignment horizontal="right" vertical="top" wrapText="1"/>
    </xf>
    <xf numFmtId="183" fontId="9" fillId="0" borderId="167" xfId="0" applyNumberFormat="1" applyFont="1" applyFill="1" applyBorder="1" applyAlignment="1">
      <alignment horizontal="right" vertical="top" wrapText="1"/>
    </xf>
    <xf numFmtId="166" fontId="56" fillId="0" borderId="155" xfId="0" applyNumberFormat="1" applyFont="1" applyFill="1" applyBorder="1" applyAlignment="1">
      <alignment horizontal="right" vertical="top" wrapText="1"/>
    </xf>
    <xf numFmtId="173" fontId="13" fillId="0" borderId="167" xfId="0" applyNumberFormat="1" applyFont="1" applyFill="1" applyBorder="1" applyAlignment="1">
      <alignment horizontal="right" vertical="top" wrapText="1"/>
    </xf>
    <xf numFmtId="183" fontId="0" fillId="0" borderId="152" xfId="0" applyNumberFormat="1" applyFill="1" applyBorder="1" applyAlignment="1">
      <alignment horizontal="right" vertical="top" wrapText="1"/>
    </xf>
    <xf numFmtId="183" fontId="0" fillId="0" borderId="155" xfId="0" applyNumberFormat="1" applyFill="1" applyBorder="1" applyAlignment="1">
      <alignment horizontal="right" vertical="top" wrapText="1"/>
    </xf>
    <xf numFmtId="183" fontId="0" fillId="0" borderId="152" xfId="0" applyNumberFormat="1" applyFont="1" applyFill="1" applyBorder="1" applyAlignment="1">
      <alignment horizontal="right" vertical="top" wrapText="1"/>
    </xf>
    <xf numFmtId="183" fontId="0" fillId="0" borderId="166" xfId="0" applyNumberFormat="1" applyFont="1" applyFill="1" applyBorder="1" applyAlignment="1">
      <alignment horizontal="right" vertical="top" wrapText="1"/>
    </xf>
    <xf numFmtId="183" fontId="37" fillId="0" borderId="165" xfId="0" applyNumberFormat="1" applyFont="1" applyFill="1" applyBorder="1" applyAlignment="1">
      <alignment horizontal="right" vertical="top" wrapText="1"/>
    </xf>
    <xf numFmtId="183" fontId="0" fillId="0" borderId="165" xfId="0" applyNumberFormat="1" applyFont="1" applyFill="1" applyBorder="1" applyAlignment="1">
      <alignment horizontal="right" vertical="top" wrapText="1"/>
    </xf>
    <xf numFmtId="183" fontId="0" fillId="0" borderId="165" xfId="0" applyNumberFormat="1" applyFill="1" applyBorder="1" applyAlignment="1">
      <alignment horizontal="right" vertical="top" wrapText="1"/>
    </xf>
    <xf numFmtId="183" fontId="57" fillId="0" borderId="164" xfId="0" applyNumberFormat="1" applyFont="1" applyFill="1" applyBorder="1" applyAlignment="1">
      <alignment horizontal="right" vertical="top" wrapText="1"/>
    </xf>
    <xf numFmtId="183" fontId="0" fillId="0" borderId="154" xfId="0" applyNumberFormat="1" applyFill="1" applyBorder="1" applyAlignment="1">
      <alignment horizontal="right" vertical="top" wrapText="1"/>
    </xf>
    <xf numFmtId="183" fontId="0" fillId="0" borderId="167" xfId="0" applyNumberFormat="1" applyFill="1" applyBorder="1" applyAlignment="1">
      <alignment horizontal="right" vertical="top" wrapText="1"/>
    </xf>
    <xf numFmtId="183" fontId="48" fillId="0" borderId="165" xfId="0" applyNumberFormat="1" applyFont="1" applyFill="1" applyBorder="1" applyAlignment="1">
      <alignment horizontal="right" vertical="top" wrapText="1"/>
    </xf>
    <xf numFmtId="183" fontId="0" fillId="0" borderId="153" xfId="0" applyNumberFormat="1" applyFill="1" applyBorder="1" applyAlignment="1">
      <alignment horizontal="right" vertical="top" wrapText="1"/>
    </xf>
    <xf numFmtId="183" fontId="48" fillId="0" borderId="166" xfId="0" applyNumberFormat="1" applyFont="1" applyFill="1" applyBorder="1" applyAlignment="1">
      <alignment horizontal="right" vertical="top" wrapText="1"/>
    </xf>
    <xf numFmtId="10" fontId="0" fillId="0" borderId="155" xfId="0" applyNumberFormat="1" applyFill="1" applyBorder="1" applyAlignment="1">
      <alignment horizontal="right" vertical="top" wrapText="1"/>
    </xf>
    <xf numFmtId="183" fontId="48" fillId="0" borderId="154" xfId="0" applyNumberFormat="1" applyFont="1" applyFill="1" applyBorder="1" applyAlignment="1">
      <alignment horizontal="right" vertical="top" wrapText="1"/>
    </xf>
    <xf numFmtId="1" fontId="0" fillId="0" borderId="167" xfId="0" applyNumberFormat="1" applyFill="1" applyBorder="1" applyAlignment="1">
      <alignment horizontal="center" vertical="top" wrapText="1"/>
    </xf>
    <xf numFmtId="183" fontId="13" fillId="0" borderId="154" xfId="0" applyNumberFormat="1" applyFont="1" applyFill="1" applyBorder="1" applyAlignment="1">
      <alignment horizontal="right" vertical="top" wrapText="1"/>
    </xf>
    <xf numFmtId="183" fontId="48" fillId="0" borderId="155" xfId="0" applyNumberFormat="1" applyFont="1" applyFill="1" applyBorder="1" applyAlignment="1">
      <alignment horizontal="right" vertical="top" wrapText="1"/>
    </xf>
    <xf numFmtId="183" fontId="9" fillId="0" borderId="165" xfId="0" applyNumberFormat="1" applyFont="1" applyFill="1" applyBorder="1" applyAlignment="1">
      <alignment horizontal="right" vertical="top" wrapText="1"/>
    </xf>
    <xf numFmtId="183" fontId="13" fillId="0" borderId="152" xfId="0" applyNumberFormat="1" applyFont="1" applyFill="1" applyBorder="1" applyAlignment="1">
      <alignment horizontal="right" vertical="top" wrapText="1"/>
    </xf>
    <xf numFmtId="183" fontId="13" fillId="0" borderId="166" xfId="0" applyNumberFormat="1" applyFont="1" applyFill="1" applyBorder="1" applyAlignment="1">
      <alignment horizontal="right" vertical="top" wrapText="1"/>
    </xf>
    <xf numFmtId="183" fontId="13" fillId="0" borderId="155" xfId="0" applyNumberFormat="1" applyFont="1" applyFill="1" applyBorder="1" applyAlignment="1">
      <alignment horizontal="right" vertical="top" wrapText="1"/>
    </xf>
    <xf numFmtId="183" fontId="9" fillId="0" borderId="152" xfId="0" applyNumberFormat="1" applyFont="1" applyFill="1" applyBorder="1" applyAlignment="1">
      <alignment horizontal="right" vertical="top" wrapText="1"/>
    </xf>
    <xf numFmtId="166" fontId="13" fillId="0" borderId="166" xfId="0" applyNumberFormat="1" applyFont="1" applyFill="1" applyBorder="1" applyAlignment="1">
      <alignment horizontal="right" vertical="top" wrapText="1"/>
    </xf>
    <xf numFmtId="183" fontId="57" fillId="0" borderId="165" xfId="0" applyNumberFormat="1" applyFont="1" applyFill="1" applyBorder="1" applyAlignment="1">
      <alignment horizontal="right" vertical="top" wrapText="1"/>
    </xf>
    <xf numFmtId="166" fontId="9" fillId="0" borderId="152" xfId="0" applyNumberFormat="1" applyFont="1" applyFill="1" applyBorder="1" applyAlignment="1">
      <alignment horizontal="right" vertical="top" wrapText="1"/>
    </xf>
    <xf numFmtId="166" fontId="9" fillId="0" borderId="166" xfId="0" applyNumberFormat="1" applyFont="1" applyFill="1" applyBorder="1" applyAlignment="1">
      <alignment horizontal="right" vertical="top" wrapText="1"/>
    </xf>
    <xf numFmtId="183" fontId="9" fillId="0" borderId="153" xfId="0" applyNumberFormat="1" applyFont="1" applyFill="1" applyBorder="1" applyAlignment="1">
      <alignment horizontal="right" vertical="top" wrapText="1"/>
    </xf>
    <xf numFmtId="183" fontId="9" fillId="0" borderId="154" xfId="0" applyNumberFormat="1" applyFont="1" applyFill="1" applyBorder="1" applyAlignment="1">
      <alignment horizontal="right" vertical="top" wrapText="1"/>
    </xf>
    <xf numFmtId="188" fontId="9" fillId="0" borderId="166" xfId="0" applyNumberFormat="1" applyFont="1" applyFill="1" applyBorder="1" applyAlignment="1">
      <alignment horizontal="right" vertical="top" wrapText="1"/>
    </xf>
    <xf numFmtId="183" fontId="9" fillId="0" borderId="166" xfId="0" applyNumberFormat="1" applyFont="1" applyFill="1" applyBorder="1" applyAlignment="1">
      <alignment horizontal="right" vertical="top" wrapText="1"/>
    </xf>
    <xf numFmtId="1" fontId="9" fillId="0" borderId="152" xfId="0" applyNumberFormat="1" applyFont="1" applyFill="1" applyBorder="1" applyAlignment="1">
      <alignment horizontal="center" vertical="top" wrapText="1"/>
    </xf>
    <xf numFmtId="183" fontId="13" fillId="0" borderId="164" xfId="0" applyNumberFormat="1" applyFont="1" applyFill="1" applyBorder="1" applyAlignment="1">
      <alignment horizontal="right" vertical="top" wrapText="1"/>
    </xf>
    <xf numFmtId="173" fontId="13" fillId="0" borderId="164" xfId="0" applyNumberFormat="1" applyFont="1" applyFill="1" applyBorder="1" applyAlignment="1">
      <alignment horizontal="right" vertical="top" wrapText="1"/>
    </xf>
    <xf numFmtId="183" fontId="47" fillId="0" borderId="154" xfId="0" applyNumberFormat="1" applyFont="1" applyFill="1" applyBorder="1" applyAlignment="1">
      <alignment horizontal="right" vertical="top" wrapText="1"/>
    </xf>
    <xf numFmtId="173" fontId="13" fillId="0" borderId="166" xfId="0" applyNumberFormat="1" applyFont="1" applyFill="1" applyBorder="1" applyAlignment="1">
      <alignment horizontal="right" vertical="top" wrapText="1"/>
    </xf>
    <xf numFmtId="173" fontId="13" fillId="0" borderId="172" xfId="0" applyNumberFormat="1" applyFont="1" applyFill="1" applyBorder="1" applyAlignment="1">
      <alignment horizontal="right" vertical="top" wrapText="1"/>
    </xf>
    <xf numFmtId="166" fontId="9" fillId="0" borderId="155" xfId="0" applyNumberFormat="1" applyFont="1" applyFill="1" applyBorder="1" applyAlignment="1">
      <alignment horizontal="right" vertical="top" wrapText="1"/>
    </xf>
    <xf numFmtId="183" fontId="57" fillId="0" borderId="155" xfId="0" applyNumberFormat="1" applyFont="1" applyFill="1" applyBorder="1" applyAlignment="1">
      <alignment horizontal="right" vertical="top" wrapText="1"/>
    </xf>
    <xf numFmtId="231" fontId="13" fillId="0" borderId="545" xfId="0" applyNumberFormat="1" applyFont="1" applyFill="1" applyBorder="1" applyAlignment="1">
      <alignment vertical="top" wrapText="1"/>
    </xf>
    <xf numFmtId="183" fontId="13" fillId="0" borderId="493" xfId="0" applyNumberFormat="1" applyFont="1" applyFill="1" applyBorder="1" applyAlignment="1">
      <alignment horizontal="right" vertical="top" wrapText="1"/>
    </xf>
    <xf numFmtId="183" fontId="13" fillId="0" borderId="460" xfId="0" applyNumberFormat="1" applyFont="1" applyFill="1" applyBorder="1" applyAlignment="1">
      <alignment vertical="top" wrapText="1"/>
    </xf>
    <xf numFmtId="183" fontId="13" fillId="0" borderId="472" xfId="0" applyNumberFormat="1" applyFont="1" applyFill="1" applyBorder="1" applyAlignment="1">
      <alignment vertical="top" wrapText="1"/>
    </xf>
    <xf numFmtId="3" fontId="13" fillId="0" borderId="152" xfId="0" applyNumberFormat="1" applyFont="1" applyFill="1" applyBorder="1" applyAlignment="1">
      <alignment horizontal="center" vertical="top" wrapText="1"/>
    </xf>
    <xf numFmtId="3" fontId="13" fillId="0" borderId="154" xfId="0" applyNumberFormat="1" applyFont="1" applyFill="1" applyBorder="1" applyAlignment="1">
      <alignment horizontal="center" vertical="top" wrapText="1"/>
    </xf>
    <xf numFmtId="3" fontId="13" fillId="0" borderId="155" xfId="0" applyNumberFormat="1" applyFont="1" applyFill="1" applyBorder="1" applyAlignment="1">
      <alignment horizontal="center" vertical="top" wrapText="1"/>
    </xf>
    <xf numFmtId="0" fontId="0" fillId="0" borderId="0" xfId="0" applyFill="1" applyAlignment="1">
      <alignment vertical="top"/>
    </xf>
    <xf numFmtId="0" fontId="0" fillId="0" borderId="23" xfId="0" applyBorder="1" applyAlignment="1">
      <alignment horizontal="left" vertical="top" wrapText="1" indent="1"/>
    </xf>
    <xf numFmtId="0" fontId="87" fillId="43" borderId="0" xfId="0" applyFont="1" applyFill="1"/>
    <xf numFmtId="0" fontId="4" fillId="21" borderId="7" xfId="0" applyFont="1" applyFill="1" applyBorder="1" applyAlignment="1">
      <alignment vertical="center" wrapText="1"/>
    </xf>
    <xf numFmtId="0" fontId="4" fillId="21" borderId="44" xfId="0" applyFont="1" applyFill="1" applyBorder="1" applyAlignment="1">
      <alignment vertical="center" wrapText="1"/>
    </xf>
    <xf numFmtId="0" fontId="4" fillId="21" borderId="599" xfId="0" applyFont="1" applyFill="1" applyBorder="1" applyAlignment="1">
      <alignment horizontal="center" vertical="center" wrapText="1"/>
    </xf>
    <xf numFmtId="0" fontId="4" fillId="21" borderId="19" xfId="0" applyFont="1" applyFill="1" applyBorder="1" applyAlignment="1">
      <alignment vertical="center" wrapText="1"/>
    </xf>
    <xf numFmtId="0" fontId="1" fillId="21" borderId="600" xfId="0" applyFont="1" applyFill="1" applyBorder="1" applyAlignment="1">
      <alignment horizontal="center" vertical="center" wrapText="1"/>
    </xf>
    <xf numFmtId="3" fontId="13" fillId="0" borderId="39" xfId="0" applyNumberFormat="1" applyFont="1" applyFill="1" applyBorder="1" applyAlignment="1">
      <alignment horizontal="center" vertical="center" wrapText="1"/>
    </xf>
    <xf numFmtId="3" fontId="13" fillId="0" borderId="17" xfId="0" applyNumberFormat="1" applyFont="1" applyFill="1" applyBorder="1" applyAlignment="1">
      <alignment horizontal="center" vertical="center" wrapText="1"/>
    </xf>
    <xf numFmtId="3" fontId="13" fillId="12" borderId="375" xfId="0" applyNumberFormat="1" applyFont="1" applyFill="1" applyBorder="1" applyAlignment="1">
      <alignment horizontal="right" vertical="center" wrapText="1"/>
    </xf>
    <xf numFmtId="3" fontId="13" fillId="12" borderId="364" xfId="0" applyNumberFormat="1" applyFont="1" applyFill="1" applyBorder="1" applyAlignment="1">
      <alignment horizontal="right" vertical="center" wrapText="1"/>
    </xf>
    <xf numFmtId="3" fontId="13" fillId="12" borderId="370" xfId="0" applyNumberFormat="1" applyFont="1" applyFill="1" applyBorder="1" applyAlignment="1">
      <alignment horizontal="right" vertical="center" wrapText="1"/>
    </xf>
    <xf numFmtId="0" fontId="37" fillId="21" borderId="493" xfId="0" applyFont="1" applyFill="1" applyBorder="1" applyAlignment="1">
      <alignment horizontal="center" vertical="center" wrapText="1"/>
    </xf>
    <xf numFmtId="0" fontId="37" fillId="21" borderId="7" xfId="0" applyFont="1" applyFill="1" applyBorder="1" applyAlignment="1">
      <alignment vertical="center" wrapText="1"/>
    </xf>
    <xf numFmtId="0" fontId="0" fillId="14" borderId="0" xfId="0" applyFont="1" applyFill="1" applyAlignment="1">
      <alignment horizontal="center" vertical="center"/>
    </xf>
    <xf numFmtId="181" fontId="13" fillId="0" borderId="32" xfId="0" applyNumberFormat="1" applyFont="1" applyFill="1" applyBorder="1" applyAlignment="1">
      <alignment horizontal="center" vertical="center" wrapText="1"/>
    </xf>
    <xf numFmtId="0" fontId="4" fillId="21" borderId="492" xfId="0" applyFont="1" applyFill="1" applyBorder="1" applyAlignment="1">
      <alignment horizontal="center" vertical="center" wrapText="1"/>
    </xf>
    <xf numFmtId="4" fontId="0" fillId="13" borderId="493" xfId="0" applyNumberFormat="1" applyFont="1" applyFill="1" applyBorder="1" applyAlignment="1">
      <alignment horizontal="center" vertical="center"/>
    </xf>
    <xf numFmtId="3" fontId="13" fillId="0" borderId="16" xfId="0" applyNumberFormat="1" applyFont="1" applyFill="1" applyBorder="1" applyAlignment="1">
      <alignment horizontal="center" vertical="center" wrapText="1"/>
    </xf>
    <xf numFmtId="3" fontId="13" fillId="25" borderId="200" xfId="0" applyNumberFormat="1" applyFont="1" applyFill="1" applyBorder="1" applyAlignment="1">
      <alignment horizontal="center" vertical="center" wrapText="1"/>
    </xf>
    <xf numFmtId="3" fontId="13" fillId="0" borderId="144" xfId="0" applyNumberFormat="1" applyFont="1" applyFill="1" applyBorder="1" applyAlignment="1">
      <alignment horizontal="center" vertical="center" wrapText="1"/>
    </xf>
    <xf numFmtId="3" fontId="13" fillId="24" borderId="144" xfId="0" applyNumberFormat="1" applyFont="1" applyFill="1" applyBorder="1" applyAlignment="1">
      <alignment horizontal="center" vertical="center" wrapText="1"/>
    </xf>
    <xf numFmtId="3" fontId="13" fillId="27" borderId="144" xfId="0" applyNumberFormat="1" applyFont="1" applyFill="1" applyBorder="1" applyAlignment="1">
      <alignment horizontal="center" vertical="center" wrapText="1"/>
    </xf>
    <xf numFmtId="3" fontId="13" fillId="27" borderId="212" xfId="0" applyNumberFormat="1" applyFont="1" applyFill="1" applyBorder="1" applyAlignment="1">
      <alignment horizontal="center" vertical="center" wrapText="1"/>
    </xf>
    <xf numFmtId="3" fontId="13" fillId="0" borderId="149" xfId="0" applyNumberFormat="1" applyFont="1" applyFill="1" applyBorder="1" applyAlignment="1">
      <alignment horizontal="center" vertical="center" wrapText="1"/>
    </xf>
    <xf numFmtId="3" fontId="13" fillId="0" borderId="153" xfId="0" applyNumberFormat="1" applyFont="1" applyFill="1" applyBorder="1" applyAlignment="1">
      <alignment horizontal="center" vertical="center" wrapText="1"/>
    </xf>
    <xf numFmtId="3" fontId="13" fillId="25" borderId="153" xfId="0" applyNumberFormat="1" applyFont="1" applyFill="1" applyBorder="1" applyAlignment="1">
      <alignment horizontal="center" vertical="center" wrapText="1"/>
    </xf>
    <xf numFmtId="3" fontId="13" fillId="24" borderId="153" xfId="0" applyNumberFormat="1" applyFont="1" applyFill="1" applyBorder="1" applyAlignment="1">
      <alignment horizontal="center" vertical="center" wrapText="1"/>
    </xf>
    <xf numFmtId="3" fontId="13" fillId="15" borderId="153" xfId="0" applyNumberFormat="1" applyFont="1" applyFill="1" applyBorder="1" applyAlignment="1">
      <alignment horizontal="center" vertical="center" wrapText="1"/>
    </xf>
    <xf numFmtId="3" fontId="13" fillId="15" borderId="224" xfId="0" applyNumberFormat="1" applyFont="1" applyFill="1" applyBorder="1" applyAlignment="1">
      <alignment horizontal="center" vertical="center" wrapText="1"/>
    </xf>
    <xf numFmtId="3" fontId="13" fillId="27" borderId="157" xfId="0" applyNumberFormat="1" applyFont="1" applyFill="1" applyBorder="1" applyAlignment="1">
      <alignment horizontal="center" vertical="center" wrapText="1"/>
    </xf>
    <xf numFmtId="3" fontId="13" fillId="25" borderId="149" xfId="0" applyNumberFormat="1" applyFont="1" applyFill="1" applyBorder="1" applyAlignment="1">
      <alignment horizontal="center" vertical="center" wrapText="1"/>
    </xf>
    <xf numFmtId="3" fontId="13" fillId="24" borderId="6" xfId="0" applyNumberFormat="1" applyFont="1" applyFill="1" applyBorder="1" applyAlignment="1">
      <alignment horizontal="center" vertical="center" wrapText="1"/>
    </xf>
    <xf numFmtId="3" fontId="13" fillId="12" borderId="316" xfId="0" applyNumberFormat="1" applyFont="1" applyFill="1" applyBorder="1" applyAlignment="1">
      <alignment horizontal="right" vertical="center" wrapText="1" indent="1"/>
    </xf>
    <xf numFmtId="3" fontId="13" fillId="12" borderId="144" xfId="0" applyNumberFormat="1" applyFont="1" applyFill="1" applyBorder="1" applyAlignment="1">
      <alignment horizontal="right" vertical="center" wrapText="1" indent="1"/>
    </xf>
    <xf numFmtId="3" fontId="13" fillId="12" borderId="190" xfId="0" applyNumberFormat="1" applyFont="1" applyFill="1" applyBorder="1" applyAlignment="1">
      <alignment horizontal="right" vertical="center" wrapText="1" indent="1"/>
    </xf>
    <xf numFmtId="3" fontId="13" fillId="24" borderId="562" xfId="0" applyNumberFormat="1" applyFont="1" applyFill="1" applyBorder="1" applyAlignment="1">
      <alignment horizontal="center" vertical="center" wrapText="1"/>
    </xf>
    <xf numFmtId="3" fontId="13" fillId="25" borderId="562" xfId="0" applyNumberFormat="1" applyFont="1" applyFill="1" applyBorder="1" applyAlignment="1">
      <alignment horizontal="center" vertical="center" wrapText="1"/>
    </xf>
    <xf numFmtId="3" fontId="13" fillId="12" borderId="562" xfId="0" applyNumberFormat="1" applyFont="1" applyFill="1" applyBorder="1" applyAlignment="1">
      <alignment horizontal="center" vertical="center" wrapText="1"/>
    </xf>
    <xf numFmtId="3" fontId="13" fillId="12" borderId="369" xfId="0" applyNumberFormat="1" applyFont="1" applyFill="1" applyBorder="1" applyAlignment="1">
      <alignment horizontal="center" vertical="center" wrapText="1"/>
    </xf>
    <xf numFmtId="3" fontId="13" fillId="25" borderId="72" xfId="0" applyNumberFormat="1" applyFont="1" applyFill="1" applyBorder="1" applyAlignment="1">
      <alignment horizontal="center" vertical="center" wrapText="1"/>
    </xf>
    <xf numFmtId="3" fontId="13" fillId="12" borderId="369" xfId="0" applyNumberFormat="1" applyFont="1" applyFill="1" applyBorder="1" applyAlignment="1">
      <alignment horizontal="right" vertical="center" wrapText="1"/>
    </xf>
    <xf numFmtId="3" fontId="13" fillId="0" borderId="562" xfId="0" applyNumberFormat="1" applyFont="1" applyFill="1" applyBorder="1" applyAlignment="1">
      <alignment horizontal="center" vertical="center" wrapText="1"/>
    </xf>
    <xf numFmtId="3" fontId="13" fillId="0" borderId="237" xfId="0" applyNumberFormat="1" applyFont="1" applyFill="1" applyBorder="1" applyAlignment="1">
      <alignment horizontal="center" vertical="center" wrapText="1"/>
    </xf>
    <xf numFmtId="3" fontId="13" fillId="0" borderId="72" xfId="0" applyNumberFormat="1" applyFont="1" applyFill="1" applyBorder="1" applyAlignment="1">
      <alignment horizontal="center" vertical="center" wrapText="1"/>
    </xf>
    <xf numFmtId="3" fontId="13" fillId="12" borderId="369" xfId="0" applyNumberFormat="1" applyFont="1" applyFill="1" applyBorder="1" applyAlignment="1">
      <alignment horizontal="right" vertical="center" wrapText="1" indent="1"/>
    </xf>
    <xf numFmtId="0" fontId="0" fillId="14" borderId="47" xfId="0" applyFill="1" applyBorder="1" applyAlignment="1">
      <alignment horizontal="right" vertical="center"/>
    </xf>
    <xf numFmtId="243" fontId="0" fillId="13" borderId="493" xfId="0" applyNumberFormat="1" applyFont="1" applyFill="1" applyBorder="1" applyAlignment="1">
      <alignment horizontal="center" vertical="center"/>
    </xf>
    <xf numFmtId="237" fontId="0" fillId="13" borderId="364" xfId="0" applyNumberFormat="1" applyFont="1" applyFill="1" applyBorder="1" applyAlignment="1">
      <alignment horizontal="center" vertical="center"/>
    </xf>
    <xf numFmtId="244" fontId="0" fillId="13" borderId="493" xfId="0" applyNumberFormat="1" applyFont="1" applyFill="1" applyBorder="1" applyAlignment="1">
      <alignment horizontal="center" vertical="center"/>
    </xf>
    <xf numFmtId="4" fontId="0" fillId="14" borderId="0" xfId="0" applyNumberFormat="1" applyFill="1" applyBorder="1" applyAlignment="1">
      <alignment horizontal="right" vertical="center"/>
    </xf>
    <xf numFmtId="0" fontId="4" fillId="21" borderId="536" xfId="0" applyFont="1" applyFill="1" applyBorder="1" applyAlignment="1">
      <alignment horizontal="center" vertical="center" wrapText="1"/>
    </xf>
    <xf numFmtId="0" fontId="4" fillId="21" borderId="8" xfId="0" applyFont="1" applyFill="1" applyBorder="1" applyAlignment="1">
      <alignment vertical="center" wrapText="1"/>
    </xf>
    <xf numFmtId="0" fontId="1" fillId="21" borderId="536" xfId="0" applyFont="1" applyFill="1" applyBorder="1" applyAlignment="1">
      <alignment horizontal="center" vertical="center" wrapText="1"/>
    </xf>
    <xf numFmtId="3" fontId="13" fillId="0" borderId="18" xfId="0" applyNumberFormat="1" applyFont="1" applyFill="1" applyBorder="1" applyAlignment="1">
      <alignment horizontal="center" vertical="center" wrapText="1"/>
    </xf>
    <xf numFmtId="3" fontId="13" fillId="25" borderId="203" xfId="0" applyNumberFormat="1" applyFont="1" applyFill="1" applyBorder="1" applyAlignment="1">
      <alignment horizontal="center" vertical="center" wrapText="1"/>
    </xf>
    <xf numFmtId="3" fontId="13" fillId="0" borderId="209" xfId="0" applyNumberFormat="1" applyFont="1" applyFill="1" applyBorder="1" applyAlignment="1">
      <alignment horizontal="center" vertical="center" wrapText="1"/>
    </xf>
    <xf numFmtId="3" fontId="13" fillId="24" borderId="209" xfId="0" applyNumberFormat="1" applyFont="1" applyFill="1" applyBorder="1" applyAlignment="1">
      <alignment horizontal="center" vertical="center" wrapText="1"/>
    </xf>
    <xf numFmtId="3" fontId="13" fillId="27" borderId="209" xfId="0" applyNumberFormat="1" applyFont="1" applyFill="1" applyBorder="1" applyAlignment="1">
      <alignment horizontal="center" vertical="center" wrapText="1"/>
    </xf>
    <xf numFmtId="3" fontId="13" fillId="27" borderId="215" xfId="0" applyNumberFormat="1" applyFont="1" applyFill="1" applyBorder="1" applyAlignment="1">
      <alignment horizontal="center" vertical="center" wrapText="1"/>
    </xf>
    <xf numFmtId="3" fontId="13" fillId="0" borderId="162" xfId="0" applyNumberFormat="1" applyFont="1" applyFill="1" applyBorder="1" applyAlignment="1">
      <alignment horizontal="center" vertical="center" wrapText="1"/>
    </xf>
    <xf numFmtId="3" fontId="13" fillId="0" borderId="166" xfId="0" applyNumberFormat="1" applyFont="1" applyFill="1" applyBorder="1" applyAlignment="1">
      <alignment horizontal="center" vertical="center" wrapText="1"/>
    </xf>
    <xf numFmtId="3" fontId="13" fillId="25" borderId="166" xfId="0" applyNumberFormat="1" applyFont="1" applyFill="1" applyBorder="1" applyAlignment="1">
      <alignment horizontal="center" vertical="center" wrapText="1"/>
    </xf>
    <xf numFmtId="3" fontId="13" fillId="24" borderId="166" xfId="0" applyNumberFormat="1" applyFont="1" applyFill="1" applyBorder="1" applyAlignment="1">
      <alignment horizontal="center" vertical="center" wrapText="1"/>
    </xf>
    <xf numFmtId="3" fontId="13" fillId="15" borderId="166" xfId="0" applyNumberFormat="1" applyFont="1" applyFill="1" applyBorder="1" applyAlignment="1">
      <alignment horizontal="center" vertical="center" wrapText="1"/>
    </xf>
    <xf numFmtId="3" fontId="13" fillId="15" borderId="301" xfId="0" applyNumberFormat="1" applyFont="1" applyFill="1" applyBorder="1" applyAlignment="1">
      <alignment horizontal="center" vertical="center" wrapText="1"/>
    </xf>
    <xf numFmtId="3" fontId="13" fillId="27" borderId="170" xfId="0" applyNumberFormat="1" applyFont="1" applyFill="1" applyBorder="1" applyAlignment="1">
      <alignment horizontal="center" vertical="center" wrapText="1"/>
    </xf>
    <xf numFmtId="3" fontId="13" fillId="25" borderId="162" xfId="0" applyNumberFormat="1" applyFont="1" applyFill="1" applyBorder="1" applyAlignment="1">
      <alignment horizontal="center" vertical="center" wrapText="1"/>
    </xf>
    <xf numFmtId="3" fontId="13" fillId="24" borderId="8" xfId="0" applyNumberFormat="1" applyFont="1" applyFill="1" applyBorder="1" applyAlignment="1">
      <alignment horizontal="center" vertical="center" wrapText="1"/>
    </xf>
    <xf numFmtId="3" fontId="13" fillId="12" borderId="322" xfId="0" applyNumberFormat="1" applyFont="1" applyFill="1" applyBorder="1" applyAlignment="1">
      <alignment horizontal="right" vertical="center" wrapText="1" indent="1"/>
    </xf>
    <xf numFmtId="3" fontId="13" fillId="12" borderId="209" xfId="0" applyNumberFormat="1" applyFont="1" applyFill="1" applyBorder="1" applyAlignment="1">
      <alignment horizontal="right" vertical="center" wrapText="1" indent="1"/>
    </xf>
    <xf numFmtId="3" fontId="13" fillId="12" borderId="188" xfId="0" applyNumberFormat="1" applyFont="1" applyFill="1" applyBorder="1" applyAlignment="1">
      <alignment horizontal="right" vertical="center" wrapText="1" indent="1"/>
    </xf>
    <xf numFmtId="3" fontId="13" fillId="24" borderId="536" xfId="0" applyNumberFormat="1" applyFont="1" applyFill="1" applyBorder="1" applyAlignment="1">
      <alignment horizontal="center" vertical="center" wrapText="1"/>
    </xf>
    <xf numFmtId="3" fontId="13" fillId="25" borderId="536" xfId="0" applyNumberFormat="1" applyFont="1" applyFill="1" applyBorder="1" applyAlignment="1">
      <alignment horizontal="center" vertical="center" wrapText="1"/>
    </xf>
    <xf numFmtId="3" fontId="13" fillId="12" borderId="536" xfId="0" applyNumberFormat="1" applyFont="1" applyFill="1" applyBorder="1" applyAlignment="1">
      <alignment horizontal="center" vertical="center" wrapText="1"/>
    </xf>
    <xf numFmtId="3" fontId="13" fillId="12" borderId="373" xfId="0" applyNumberFormat="1" applyFont="1" applyFill="1" applyBorder="1" applyAlignment="1">
      <alignment horizontal="center" vertical="center" wrapText="1"/>
    </xf>
    <xf numFmtId="3" fontId="13" fillId="25" borderId="49" xfId="0" applyNumberFormat="1" applyFont="1" applyFill="1" applyBorder="1" applyAlignment="1">
      <alignment horizontal="center" vertical="center" wrapText="1"/>
    </xf>
    <xf numFmtId="3" fontId="13" fillId="0" borderId="536" xfId="0" applyNumberFormat="1" applyFont="1" applyFill="1" applyBorder="1" applyAlignment="1">
      <alignment horizontal="center" vertical="center" wrapText="1"/>
    </xf>
    <xf numFmtId="3" fontId="13" fillId="0" borderId="238" xfId="0" applyNumberFormat="1" applyFont="1" applyFill="1" applyBorder="1" applyAlignment="1">
      <alignment horizontal="center" vertical="center" wrapText="1"/>
    </xf>
    <xf numFmtId="3" fontId="13" fillId="0" borderId="49" xfId="0" applyNumberFormat="1" applyFont="1" applyFill="1" applyBorder="1" applyAlignment="1">
      <alignment horizontal="center" vertical="center" wrapText="1"/>
    </xf>
    <xf numFmtId="3" fontId="13" fillId="12" borderId="373" xfId="0" applyNumberFormat="1" applyFont="1" applyFill="1" applyBorder="1" applyAlignment="1">
      <alignment horizontal="right" vertical="center" wrapText="1" indent="1"/>
    </xf>
    <xf numFmtId="190" fontId="13" fillId="0" borderId="32" xfId="0" applyNumberFormat="1" applyFont="1" applyFill="1" applyBorder="1" applyAlignment="1">
      <alignment horizontal="center" vertical="center" wrapText="1"/>
    </xf>
    <xf numFmtId="190" fontId="13" fillId="25" borderId="199" xfId="0" applyNumberFormat="1" applyFont="1" applyFill="1" applyBorder="1" applyAlignment="1">
      <alignment horizontal="center" vertical="center" wrapText="1"/>
    </xf>
    <xf numFmtId="190" fontId="13" fillId="0" borderId="206" xfId="0" applyNumberFormat="1" applyFont="1" applyFill="1" applyBorder="1" applyAlignment="1">
      <alignment horizontal="center" vertical="center" wrapText="1"/>
    </xf>
    <xf numFmtId="190" fontId="13" fillId="24" borderId="206" xfId="0" applyNumberFormat="1" applyFont="1" applyFill="1" applyBorder="1" applyAlignment="1">
      <alignment horizontal="center" vertical="center" wrapText="1"/>
    </xf>
    <xf numFmtId="190" fontId="13" fillId="27" borderId="206" xfId="0" applyNumberFormat="1" applyFont="1" applyFill="1" applyBorder="1" applyAlignment="1">
      <alignment horizontal="center" vertical="center" wrapText="1"/>
    </xf>
    <xf numFmtId="190" fontId="13" fillId="27" borderId="211" xfId="0" applyNumberFormat="1" applyFont="1" applyFill="1" applyBorder="1" applyAlignment="1">
      <alignment horizontal="center" vertical="center" wrapText="1"/>
    </xf>
    <xf numFmtId="190" fontId="13" fillId="0" borderId="151" xfId="0" applyNumberFormat="1" applyFont="1" applyFill="1" applyBorder="1" applyAlignment="1">
      <alignment horizontal="center" vertical="center" wrapText="1"/>
    </xf>
    <xf numFmtId="190" fontId="13" fillId="0" borderId="155" xfId="0" applyNumberFormat="1" applyFont="1" applyFill="1" applyBorder="1" applyAlignment="1">
      <alignment horizontal="center" vertical="center" wrapText="1"/>
    </xf>
    <xf numFmtId="190" fontId="13" fillId="25" borderId="155" xfId="0" applyNumberFormat="1" applyFont="1" applyFill="1" applyBorder="1" applyAlignment="1">
      <alignment horizontal="center" vertical="center" wrapText="1"/>
    </xf>
    <xf numFmtId="190" fontId="13" fillId="24" borderId="155" xfId="0" applyNumberFormat="1" applyFont="1" applyFill="1" applyBorder="1" applyAlignment="1">
      <alignment horizontal="center" vertical="center" wrapText="1"/>
    </xf>
    <xf numFmtId="190" fontId="13" fillId="15" borderId="155" xfId="0" applyNumberFormat="1" applyFont="1" applyFill="1" applyBorder="1" applyAlignment="1">
      <alignment horizontal="center" vertical="center" wrapText="1"/>
    </xf>
    <xf numFmtId="190" fontId="13" fillId="15" borderId="297" xfId="0" applyNumberFormat="1" applyFont="1" applyFill="1" applyBorder="1" applyAlignment="1">
      <alignment horizontal="center" vertical="center" wrapText="1"/>
    </xf>
    <xf numFmtId="190" fontId="13" fillId="27" borderId="159" xfId="0" applyNumberFormat="1" applyFont="1" applyFill="1" applyBorder="1" applyAlignment="1">
      <alignment horizontal="center" vertical="center" wrapText="1"/>
    </xf>
    <xf numFmtId="190" fontId="13" fillId="25" borderId="151" xfId="0" applyNumberFormat="1" applyFont="1" applyFill="1" applyBorder="1" applyAlignment="1">
      <alignment horizontal="center" vertical="center" wrapText="1"/>
    </xf>
    <xf numFmtId="190" fontId="13" fillId="24" borderId="44" xfId="0" applyNumberFormat="1" applyFont="1" applyFill="1" applyBorder="1" applyAlignment="1">
      <alignment horizontal="center" vertical="center" wrapText="1"/>
    </xf>
    <xf numFmtId="190" fontId="13" fillId="12" borderId="325" xfId="0" applyNumberFormat="1" applyFont="1" applyFill="1" applyBorder="1" applyAlignment="1">
      <alignment horizontal="right" vertical="center" wrapText="1" indent="1"/>
    </xf>
    <xf numFmtId="190" fontId="13" fillId="12" borderId="206" xfId="0" applyNumberFormat="1" applyFont="1" applyFill="1" applyBorder="1" applyAlignment="1">
      <alignment horizontal="right" vertical="center" wrapText="1" indent="1"/>
    </xf>
    <xf numFmtId="190" fontId="13" fillId="12" borderId="189" xfId="0" applyNumberFormat="1" applyFont="1" applyFill="1" applyBorder="1" applyAlignment="1">
      <alignment horizontal="right" vertical="center" wrapText="1" indent="1"/>
    </xf>
    <xf numFmtId="190" fontId="13" fillId="24" borderId="494" xfId="0" applyNumberFormat="1" applyFont="1" applyFill="1" applyBorder="1" applyAlignment="1">
      <alignment horizontal="center" vertical="center" wrapText="1"/>
    </xf>
    <xf numFmtId="190" fontId="13" fillId="25" borderId="494" xfId="0" applyNumberFormat="1" applyFont="1" applyFill="1" applyBorder="1" applyAlignment="1">
      <alignment horizontal="center" vertical="center" wrapText="1"/>
    </xf>
    <xf numFmtId="190" fontId="13" fillId="12" borderId="494" xfId="0" applyNumberFormat="1" applyFont="1" applyFill="1" applyBorder="1" applyAlignment="1">
      <alignment horizontal="center" vertical="center" wrapText="1"/>
    </xf>
    <xf numFmtId="190" fontId="13" fillId="12" borderId="370" xfId="0" applyNumberFormat="1" applyFont="1" applyFill="1" applyBorder="1" applyAlignment="1">
      <alignment horizontal="center" vertical="center" wrapText="1"/>
    </xf>
    <xf numFmtId="190" fontId="13" fillId="25" borderId="33" xfId="0" applyNumberFormat="1" applyFont="1" applyFill="1" applyBorder="1" applyAlignment="1">
      <alignment horizontal="center" vertical="center" wrapText="1"/>
    </xf>
    <xf numFmtId="190" fontId="13" fillId="12" borderId="370" xfId="0" applyNumberFormat="1" applyFont="1" applyFill="1" applyBorder="1" applyAlignment="1">
      <alignment horizontal="right" vertical="center" wrapText="1"/>
    </xf>
    <xf numFmtId="190" fontId="13" fillId="0" borderId="494" xfId="0" applyNumberFormat="1" applyFont="1" applyFill="1" applyBorder="1" applyAlignment="1">
      <alignment horizontal="center" vertical="center" wrapText="1"/>
    </xf>
    <xf numFmtId="190" fontId="13" fillId="0" borderId="125" xfId="0" applyNumberFormat="1" applyFont="1" applyFill="1" applyBorder="1" applyAlignment="1">
      <alignment horizontal="center" vertical="center" wrapText="1"/>
    </xf>
    <xf numFmtId="190" fontId="13" fillId="0" borderId="33" xfId="0" applyNumberFormat="1" applyFont="1" applyFill="1" applyBorder="1" applyAlignment="1">
      <alignment horizontal="center" vertical="center" wrapText="1"/>
    </xf>
    <xf numFmtId="190" fontId="13" fillId="12" borderId="370" xfId="0" applyNumberFormat="1" applyFont="1" applyFill="1" applyBorder="1" applyAlignment="1">
      <alignment horizontal="right" vertical="center" wrapText="1" indent="1"/>
    </xf>
    <xf numFmtId="0" fontId="4" fillId="21" borderId="42" xfId="0" applyFont="1" applyFill="1" applyBorder="1" applyAlignment="1">
      <alignment vertical="center" wrapText="1"/>
    </xf>
    <xf numFmtId="1" fontId="13" fillId="0" borderId="39" xfId="0" applyNumberFormat="1" applyFont="1" applyFill="1" applyBorder="1" applyAlignment="1">
      <alignment horizontal="center" vertical="center" wrapText="1"/>
    </xf>
    <xf numFmtId="1" fontId="13" fillId="25" borderId="145" xfId="0" applyNumberFormat="1" applyFont="1" applyFill="1" applyBorder="1" applyAlignment="1">
      <alignment horizontal="center" vertical="center" wrapText="1"/>
    </xf>
    <xf numFmtId="1" fontId="13" fillId="0" borderId="146" xfId="0" applyNumberFormat="1" applyFont="1" applyFill="1" applyBorder="1" applyAlignment="1">
      <alignment horizontal="center" vertical="center" wrapText="1"/>
    </xf>
    <xf numFmtId="1" fontId="13" fillId="24" borderId="146" xfId="0" applyNumberFormat="1" applyFont="1" applyFill="1" applyBorder="1" applyAlignment="1">
      <alignment horizontal="center" vertical="center" wrapText="1"/>
    </xf>
    <xf numFmtId="1" fontId="13" fillId="27" borderId="146" xfId="0" applyNumberFormat="1" applyFont="1" applyFill="1" applyBorder="1" applyAlignment="1">
      <alignment horizontal="center" vertical="center" wrapText="1"/>
    </xf>
    <xf numFmtId="1" fontId="13" fillId="27" borderId="147" xfId="0" applyNumberFormat="1" applyFont="1" applyFill="1" applyBorder="1" applyAlignment="1">
      <alignment horizontal="center" vertical="center" wrapText="1"/>
    </xf>
    <xf numFmtId="1" fontId="13" fillId="0" borderId="148" xfId="0" applyNumberFormat="1" applyFont="1" applyFill="1" applyBorder="1" applyAlignment="1">
      <alignment horizontal="center" vertical="center" wrapText="1"/>
    </xf>
    <xf numFmtId="1" fontId="13" fillId="0" borderId="152" xfId="0" applyNumberFormat="1" applyFont="1" applyFill="1" applyBorder="1" applyAlignment="1">
      <alignment horizontal="center" vertical="center" wrapText="1"/>
    </xf>
    <xf numFmtId="1" fontId="13" fillId="25" borderId="152" xfId="0" applyNumberFormat="1" applyFont="1" applyFill="1" applyBorder="1" applyAlignment="1">
      <alignment horizontal="center" vertical="center" wrapText="1"/>
    </xf>
    <xf numFmtId="1" fontId="13" fillId="24" borderId="152" xfId="0" applyNumberFormat="1" applyFont="1" applyFill="1" applyBorder="1" applyAlignment="1">
      <alignment horizontal="center" vertical="center" wrapText="1"/>
    </xf>
    <xf numFmtId="1" fontId="13" fillId="15" borderId="152" xfId="0" applyNumberFormat="1" applyFont="1" applyFill="1" applyBorder="1" applyAlignment="1">
      <alignment horizontal="center" vertical="center" wrapText="1"/>
    </xf>
    <xf numFmtId="1" fontId="13" fillId="15" borderId="296" xfId="0" applyNumberFormat="1" applyFont="1" applyFill="1" applyBorder="1" applyAlignment="1">
      <alignment horizontal="center" vertical="center" wrapText="1"/>
    </xf>
    <xf numFmtId="1" fontId="13" fillId="27" borderId="156" xfId="0" applyNumberFormat="1" applyFont="1" applyFill="1" applyBorder="1" applyAlignment="1">
      <alignment horizontal="center" vertical="center" wrapText="1"/>
    </xf>
    <xf numFmtId="1" fontId="13" fillId="25" borderId="148" xfId="0" applyNumberFormat="1" applyFont="1" applyFill="1" applyBorder="1" applyAlignment="1">
      <alignment horizontal="center" vertical="center" wrapText="1"/>
    </xf>
    <xf numFmtId="1" fontId="13" fillId="24" borderId="42" xfId="0" applyNumberFormat="1" applyFont="1" applyFill="1" applyBorder="1" applyAlignment="1">
      <alignment horizontal="center" vertical="center" wrapText="1"/>
    </xf>
    <xf numFmtId="1" fontId="13" fillId="12" borderId="324" xfId="0" applyNumberFormat="1" applyFont="1" applyFill="1" applyBorder="1" applyAlignment="1">
      <alignment horizontal="right" vertical="center" wrapText="1" indent="1"/>
    </xf>
    <xf numFmtId="1" fontId="13" fillId="12" borderId="146" xfId="0" applyNumberFormat="1" applyFont="1" applyFill="1" applyBorder="1" applyAlignment="1">
      <alignment horizontal="right" vertical="center" wrapText="1" indent="1"/>
    </xf>
    <xf numFmtId="1" fontId="13" fillId="12" borderId="187" xfId="0" applyNumberFormat="1" applyFont="1" applyFill="1" applyBorder="1" applyAlignment="1">
      <alignment horizontal="right" vertical="center" wrapText="1" indent="1"/>
    </xf>
    <xf numFmtId="1" fontId="13" fillId="24" borderId="492" xfId="0" applyNumberFormat="1" applyFont="1" applyFill="1" applyBorder="1" applyAlignment="1">
      <alignment horizontal="center" vertical="center" wrapText="1"/>
    </xf>
    <xf numFmtId="1" fontId="13" fillId="25" borderId="492" xfId="0" applyNumberFormat="1" applyFont="1" applyFill="1" applyBorder="1" applyAlignment="1">
      <alignment horizontal="center" vertical="center" wrapText="1"/>
    </xf>
    <xf numFmtId="1" fontId="13" fillId="12" borderId="492" xfId="0" applyNumberFormat="1" applyFont="1" applyFill="1" applyBorder="1" applyAlignment="1">
      <alignment horizontal="center" vertical="center" wrapText="1"/>
    </xf>
    <xf numFmtId="1" fontId="13" fillId="12" borderId="375" xfId="0" applyNumberFormat="1" applyFont="1" applyFill="1" applyBorder="1" applyAlignment="1">
      <alignment horizontal="center" vertical="center" wrapText="1"/>
    </xf>
    <xf numFmtId="1" fontId="13" fillId="25" borderId="51" xfId="0" applyNumberFormat="1" applyFont="1" applyFill="1" applyBorder="1" applyAlignment="1">
      <alignment horizontal="center" vertical="center" wrapText="1"/>
    </xf>
    <xf numFmtId="1" fontId="13" fillId="12" borderId="375" xfId="0" applyNumberFormat="1" applyFont="1" applyFill="1" applyBorder="1" applyAlignment="1">
      <alignment horizontal="right" vertical="center" wrapText="1"/>
    </xf>
    <xf numFmtId="1" fontId="13" fillId="0" borderId="492" xfId="0" applyNumberFormat="1" applyFont="1" applyFill="1" applyBorder="1" applyAlignment="1">
      <alignment horizontal="center" vertical="center" wrapText="1"/>
    </xf>
    <xf numFmtId="1" fontId="13" fillId="0" borderId="123" xfId="0" applyNumberFormat="1" applyFont="1" applyFill="1" applyBorder="1" applyAlignment="1">
      <alignment horizontal="center" vertical="center" wrapText="1"/>
    </xf>
    <xf numFmtId="1" fontId="13" fillId="0" borderId="51" xfId="0" applyNumberFormat="1" applyFont="1" applyFill="1" applyBorder="1" applyAlignment="1">
      <alignment horizontal="center" vertical="center" wrapText="1"/>
    </xf>
    <xf numFmtId="1" fontId="13" fillId="12" borderId="375" xfId="0" applyNumberFormat="1" applyFont="1" applyFill="1" applyBorder="1" applyAlignment="1">
      <alignment horizontal="right" vertical="center" wrapText="1" indent="1"/>
    </xf>
    <xf numFmtId="0" fontId="37" fillId="21" borderId="562" xfId="0" applyFont="1" applyFill="1" applyBorder="1" applyAlignment="1">
      <alignment horizontal="center" vertical="center" wrapText="1"/>
    </xf>
    <xf numFmtId="0" fontId="37" fillId="21" borderId="6" xfId="0" applyFont="1" applyFill="1" applyBorder="1" applyAlignment="1">
      <alignment vertical="center" wrapText="1"/>
    </xf>
    <xf numFmtId="0" fontId="1" fillId="21" borderId="562" xfId="0" applyFont="1" applyFill="1" applyBorder="1" applyAlignment="1">
      <alignment horizontal="center" vertical="center" wrapText="1"/>
    </xf>
    <xf numFmtId="243" fontId="0" fillId="14" borderId="1" xfId="0" applyNumberFormat="1" applyFont="1" applyFill="1" applyBorder="1" applyAlignment="1">
      <alignment horizontal="center" vertical="center"/>
    </xf>
    <xf numFmtId="243" fontId="0" fillId="14" borderId="0" xfId="0" applyNumberFormat="1" applyFont="1" applyFill="1" applyBorder="1" applyAlignment="1">
      <alignment horizontal="center" vertical="center"/>
    </xf>
    <xf numFmtId="237" fontId="0" fillId="14" borderId="1" xfId="0" applyNumberFormat="1" applyFill="1" applyBorder="1" applyAlignment="1">
      <alignment horizontal="center" vertical="center"/>
    </xf>
    <xf numFmtId="237" fontId="0" fillId="14" borderId="0" xfId="0" applyNumberFormat="1" applyFill="1" applyBorder="1" applyAlignment="1">
      <alignment horizontal="center" vertical="center"/>
    </xf>
    <xf numFmtId="166" fontId="13" fillId="25" borderId="204" xfId="0" applyNumberFormat="1" applyFont="1" applyFill="1" applyBorder="1" applyAlignment="1">
      <alignment horizontal="center" vertical="center" wrapText="1"/>
    </xf>
    <xf numFmtId="166" fontId="13" fillId="0" borderId="22" xfId="0" applyNumberFormat="1" applyFont="1" applyFill="1" applyBorder="1" applyAlignment="1">
      <alignment horizontal="center" vertical="center" wrapText="1"/>
    </xf>
    <xf numFmtId="166" fontId="13" fillId="0" borderId="195" xfId="0" applyNumberFormat="1" applyFont="1" applyFill="1" applyBorder="1" applyAlignment="1">
      <alignment horizontal="center" vertical="center" wrapText="1"/>
    </xf>
    <xf numFmtId="166" fontId="13" fillId="24" borderId="195" xfId="0" applyNumberFormat="1" applyFont="1" applyFill="1" applyBorder="1" applyAlignment="1">
      <alignment horizontal="center" vertical="center" wrapText="1"/>
    </xf>
    <xf numFmtId="166" fontId="13" fillId="27" borderId="195" xfId="0" applyNumberFormat="1" applyFont="1" applyFill="1" applyBorder="1" applyAlignment="1">
      <alignment horizontal="center" vertical="center" wrapText="1"/>
    </xf>
    <xf numFmtId="166" fontId="13" fillId="27" borderId="216" xfId="0" applyNumberFormat="1" applyFont="1" applyFill="1" applyBorder="1" applyAlignment="1">
      <alignment horizontal="center" vertical="center" wrapText="1"/>
    </xf>
    <xf numFmtId="166" fontId="13" fillId="0" borderId="163" xfId="0" applyNumberFormat="1" applyFont="1" applyFill="1" applyBorder="1" applyAlignment="1">
      <alignment horizontal="center" vertical="center" wrapText="1"/>
    </xf>
    <xf numFmtId="166" fontId="13" fillId="0" borderId="167" xfId="0" applyNumberFormat="1" applyFont="1" applyFill="1" applyBorder="1" applyAlignment="1">
      <alignment horizontal="center" vertical="center" wrapText="1"/>
    </xf>
    <xf numFmtId="166" fontId="13" fillId="25" borderId="167" xfId="0" applyNumberFormat="1" applyFont="1" applyFill="1" applyBorder="1" applyAlignment="1">
      <alignment horizontal="center" vertical="center" wrapText="1"/>
    </xf>
    <xf numFmtId="166" fontId="13" fillId="24" borderId="167" xfId="0" applyNumberFormat="1" applyFont="1" applyFill="1" applyBorder="1" applyAlignment="1">
      <alignment horizontal="center" vertical="center" wrapText="1"/>
    </xf>
    <xf numFmtId="166" fontId="13" fillId="15" borderId="167" xfId="0" applyNumberFormat="1" applyFont="1" applyFill="1" applyBorder="1" applyAlignment="1">
      <alignment horizontal="center" vertical="center" wrapText="1"/>
    </xf>
    <xf numFmtId="166" fontId="13" fillId="15" borderId="299" xfId="0" applyNumberFormat="1" applyFont="1" applyFill="1" applyBorder="1" applyAlignment="1">
      <alignment horizontal="center" vertical="center" wrapText="1"/>
    </xf>
    <xf numFmtId="166" fontId="13" fillId="27" borderId="171" xfId="0" applyNumberFormat="1" applyFont="1" applyFill="1" applyBorder="1" applyAlignment="1">
      <alignment horizontal="center" vertical="center" wrapText="1"/>
    </xf>
    <xf numFmtId="166" fontId="13" fillId="25" borderId="163" xfId="0" applyNumberFormat="1" applyFont="1" applyFill="1" applyBorder="1" applyAlignment="1">
      <alignment horizontal="center" vertical="center" wrapText="1"/>
    </xf>
    <xf numFmtId="166" fontId="13" fillId="24" borderId="19" xfId="0" applyNumberFormat="1" applyFont="1" applyFill="1" applyBorder="1" applyAlignment="1">
      <alignment horizontal="center" vertical="center" wrapText="1"/>
    </xf>
    <xf numFmtId="166" fontId="13" fillId="12" borderId="186" xfId="0" applyNumberFormat="1" applyFont="1" applyFill="1" applyBorder="1" applyAlignment="1">
      <alignment horizontal="right" vertical="center" wrapText="1" indent="1"/>
    </xf>
    <xf numFmtId="166" fontId="13" fillId="12" borderId="195" xfId="0" applyNumberFormat="1" applyFont="1" applyFill="1" applyBorder="1" applyAlignment="1">
      <alignment horizontal="right" vertical="center" wrapText="1" indent="1"/>
    </xf>
    <xf numFmtId="166" fontId="13" fillId="12" borderId="193" xfId="0" applyNumberFormat="1" applyFont="1" applyFill="1" applyBorder="1" applyAlignment="1">
      <alignment horizontal="right" vertical="center" wrapText="1" indent="1"/>
    </xf>
    <xf numFmtId="166" fontId="13" fillId="24" borderId="600" xfId="0" applyNumberFormat="1" applyFont="1" applyFill="1" applyBorder="1" applyAlignment="1">
      <alignment horizontal="center" vertical="center" wrapText="1"/>
    </xf>
    <xf numFmtId="166" fontId="13" fillId="25" borderId="600" xfId="0" applyNumberFormat="1" applyFont="1" applyFill="1" applyBorder="1" applyAlignment="1">
      <alignment horizontal="center" vertical="center" wrapText="1"/>
    </xf>
    <xf numFmtId="166" fontId="13" fillId="12" borderId="600" xfId="0" applyNumberFormat="1" applyFont="1" applyFill="1" applyBorder="1" applyAlignment="1">
      <alignment horizontal="center" vertical="center" wrapText="1"/>
    </xf>
    <xf numFmtId="166" fontId="13" fillId="12" borderId="502" xfId="0" applyNumberFormat="1" applyFont="1" applyFill="1" applyBorder="1" applyAlignment="1">
      <alignment horizontal="center" vertical="center" wrapText="1"/>
    </xf>
    <xf numFmtId="166" fontId="13" fillId="25" borderId="48" xfId="0" applyNumberFormat="1" applyFont="1" applyFill="1" applyBorder="1" applyAlignment="1">
      <alignment horizontal="center" vertical="center" wrapText="1"/>
    </xf>
    <xf numFmtId="166" fontId="13" fillId="12" borderId="502" xfId="0" applyNumberFormat="1" applyFont="1" applyFill="1" applyBorder="1" applyAlignment="1">
      <alignment horizontal="right" vertical="center" wrapText="1"/>
    </xf>
    <xf numFmtId="166" fontId="13" fillId="0" borderId="600" xfId="0" applyNumberFormat="1" applyFont="1" applyFill="1" applyBorder="1" applyAlignment="1">
      <alignment horizontal="center" vertical="center" wrapText="1"/>
    </xf>
    <xf numFmtId="166" fontId="13" fillId="0" borderId="240" xfId="0" applyNumberFormat="1" applyFont="1" applyFill="1" applyBorder="1" applyAlignment="1">
      <alignment horizontal="center" vertical="center" wrapText="1"/>
    </xf>
    <xf numFmtId="166" fontId="13" fillId="0" borderId="48" xfId="0" applyNumberFormat="1" applyFont="1" applyFill="1" applyBorder="1" applyAlignment="1">
      <alignment horizontal="center" vertical="center" wrapText="1"/>
    </xf>
    <xf numFmtId="166" fontId="13" fillId="12" borderId="502" xfId="0" applyNumberFormat="1" applyFont="1" applyFill="1" applyBorder="1" applyAlignment="1">
      <alignment horizontal="right" vertical="center" wrapText="1" indent="1"/>
    </xf>
    <xf numFmtId="245" fontId="0" fillId="13" borderId="493" xfId="0" applyNumberFormat="1" applyFont="1" applyFill="1" applyBorder="1" applyAlignment="1">
      <alignment horizontal="center" vertical="center"/>
    </xf>
    <xf numFmtId="0" fontId="13" fillId="14" borderId="0" xfId="0" applyFont="1" applyFill="1" applyBorder="1" applyAlignment="1">
      <alignment vertical="center"/>
    </xf>
    <xf numFmtId="0" fontId="13" fillId="14" borderId="0" xfId="0" applyFont="1" applyFill="1" applyBorder="1" applyAlignment="1">
      <alignment horizontal="right" vertical="center"/>
    </xf>
    <xf numFmtId="0" fontId="9" fillId="14" borderId="0" xfId="0" applyFont="1" applyFill="1" applyAlignment="1"/>
    <xf numFmtId="0" fontId="13" fillId="14" borderId="0" xfId="0" applyFont="1" applyFill="1" applyAlignment="1"/>
    <xf numFmtId="230" fontId="13" fillId="14" borderId="0" xfId="0" applyNumberFormat="1" applyFont="1" applyFill="1" applyBorder="1" applyAlignment="1">
      <alignment horizontal="right" vertical="center"/>
    </xf>
    <xf numFmtId="0" fontId="0" fillId="14" borderId="419" xfId="0" applyFill="1" applyBorder="1" applyAlignment="1">
      <alignment horizontal="right" vertical="center"/>
    </xf>
    <xf numFmtId="14" fontId="0" fillId="14" borderId="0" xfId="0" applyNumberFormat="1" applyFill="1" applyBorder="1" applyAlignment="1">
      <alignment horizontal="left"/>
    </xf>
    <xf numFmtId="0" fontId="0" fillId="0" borderId="0" xfId="0" applyAlignment="1">
      <alignment horizontal="left"/>
    </xf>
    <xf numFmtId="0" fontId="0" fillId="0" borderId="3" xfId="0" applyBorder="1"/>
    <xf numFmtId="0" fontId="0" fillId="0" borderId="7" xfId="0" applyBorder="1"/>
    <xf numFmtId="0" fontId="0" fillId="0" borderId="1" xfId="0" applyBorder="1"/>
    <xf numFmtId="0" fontId="0" fillId="0" borderId="8" xfId="0" applyBorder="1"/>
    <xf numFmtId="0" fontId="0" fillId="0" borderId="1" xfId="0" applyFill="1" applyBorder="1" applyAlignment="1">
      <alignment horizontal="center" vertical="center" wrapText="1"/>
    </xf>
    <xf numFmtId="0" fontId="0" fillId="0" borderId="0" xfId="0" applyBorder="1" applyAlignment="1">
      <alignment horizontal="center"/>
    </xf>
    <xf numFmtId="183" fontId="0" fillId="0" borderId="0" xfId="0" applyNumberFormat="1" applyBorder="1" applyAlignment="1">
      <alignment horizontal="center"/>
    </xf>
    <xf numFmtId="183" fontId="0" fillId="0" borderId="19" xfId="0" applyNumberFormat="1" applyBorder="1" applyAlignment="1">
      <alignment horizontal="center"/>
    </xf>
    <xf numFmtId="0" fontId="0" fillId="0" borderId="19" xfId="0" applyBorder="1" applyAlignment="1">
      <alignment horizontal="center" vertical="center" wrapText="1"/>
    </xf>
    <xf numFmtId="0" fontId="36" fillId="0" borderId="0" xfId="0" applyFont="1" applyBorder="1" applyAlignment="1">
      <alignment horizontal="left" vertical="center" wrapText="1"/>
    </xf>
    <xf numFmtId="0" fontId="36" fillId="0" borderId="2" xfId="0" applyFont="1" applyBorder="1" applyAlignment="1">
      <alignment horizontal="left" vertical="center" wrapText="1"/>
    </xf>
    <xf numFmtId="0" fontId="0" fillId="0" borderId="2" xfId="0" applyBorder="1" applyAlignment="1">
      <alignment horizontal="left" vertical="center" wrapText="1"/>
    </xf>
    <xf numFmtId="0" fontId="0" fillId="14" borderId="601" xfId="0" applyFont="1" applyFill="1" applyBorder="1"/>
    <xf numFmtId="0" fontId="13" fillId="14" borderId="0" xfId="0" applyFont="1" applyFill="1" applyAlignment="1">
      <alignment vertical="top" wrapText="1"/>
    </xf>
    <xf numFmtId="0" fontId="89" fillId="14" borderId="0" xfId="0" applyFont="1" applyFill="1" applyBorder="1" applyAlignment="1">
      <alignment horizontal="right"/>
    </xf>
    <xf numFmtId="0" fontId="88" fillId="14" borderId="0" xfId="0" applyFont="1" applyFill="1" applyBorder="1" applyAlignment="1">
      <alignment vertical="center"/>
    </xf>
    <xf numFmtId="0" fontId="13" fillId="14" borderId="601" xfId="0" applyFont="1" applyFill="1" applyBorder="1"/>
    <xf numFmtId="0" fontId="90" fillId="14" borderId="601" xfId="0" applyFont="1" applyFill="1" applyBorder="1"/>
    <xf numFmtId="0" fontId="90" fillId="14" borderId="0" xfId="0" applyFont="1" applyFill="1" applyBorder="1"/>
    <xf numFmtId="0" fontId="9" fillId="14" borderId="0" xfId="0" applyFont="1" applyFill="1" applyBorder="1"/>
    <xf numFmtId="0" fontId="90" fillId="14" borderId="0" xfId="0" applyFont="1" applyFill="1" applyBorder="1" applyAlignment="1"/>
    <xf numFmtId="0" fontId="13" fillId="14" borderId="0" xfId="0" applyFont="1" applyFill="1" applyBorder="1" applyAlignment="1"/>
    <xf numFmtId="3" fontId="13" fillId="14" borderId="0" xfId="0" applyNumberFormat="1" applyFont="1" applyFill="1" applyBorder="1"/>
    <xf numFmtId="0" fontId="13" fillId="14" borderId="0" xfId="0" quotePrefix="1" applyFont="1" applyFill="1" applyBorder="1"/>
    <xf numFmtId="0" fontId="13" fillId="14" borderId="0" xfId="0" applyFont="1" applyFill="1" applyBorder="1" applyAlignment="1">
      <alignment vertical="top" wrapText="1"/>
    </xf>
    <xf numFmtId="0" fontId="91" fillId="14" borderId="0" xfId="0" applyFont="1" applyFill="1" applyBorder="1"/>
    <xf numFmtId="0" fontId="13" fillId="14" borderId="19" xfId="0" applyFont="1" applyFill="1" applyBorder="1"/>
    <xf numFmtId="0" fontId="13" fillId="14" borderId="19" xfId="0" applyFont="1" applyFill="1" applyBorder="1" applyAlignment="1">
      <alignment horizontal="center"/>
    </xf>
    <xf numFmtId="0" fontId="13" fillId="14" borderId="601" xfId="0" applyFont="1" applyFill="1" applyBorder="1" applyAlignment="1">
      <alignment horizontal="center"/>
    </xf>
    <xf numFmtId="0" fontId="88" fillId="14" borderId="0" xfId="0" applyFont="1" applyFill="1" applyBorder="1"/>
    <xf numFmtId="238" fontId="13" fillId="14" borderId="0" xfId="0" applyNumberFormat="1" applyFont="1" applyFill="1" applyBorder="1" applyAlignment="1">
      <alignment horizontal="left"/>
    </xf>
    <xf numFmtId="230" fontId="13" fillId="14" borderId="0" xfId="0" applyNumberFormat="1" applyFont="1" applyFill="1" applyBorder="1" applyAlignment="1">
      <alignment horizontal="left" vertical="center"/>
    </xf>
    <xf numFmtId="229" fontId="13" fillId="14" borderId="0" xfId="0" applyNumberFormat="1" applyFont="1" applyFill="1" applyBorder="1" applyAlignment="1">
      <alignment vertical="center"/>
    </xf>
    <xf numFmtId="229" fontId="13" fillId="14" borderId="338" xfId="0" applyNumberFormat="1" applyFont="1" applyFill="1" applyBorder="1" applyAlignment="1">
      <alignment vertical="center"/>
    </xf>
    <xf numFmtId="0" fontId="13" fillId="14" borderId="0" xfId="0" applyFont="1" applyFill="1" applyAlignment="1">
      <alignment vertical="center" wrapText="1"/>
    </xf>
    <xf numFmtId="0" fontId="89" fillId="14" borderId="0" xfId="0" applyFont="1" applyFill="1" applyBorder="1"/>
    <xf numFmtId="0" fontId="92" fillId="14" borderId="0" xfId="0" applyFont="1" applyFill="1" applyBorder="1"/>
    <xf numFmtId="0" fontId="90" fillId="14" borderId="19" xfId="0" applyFont="1" applyFill="1" applyBorder="1"/>
    <xf numFmtId="0" fontId="90" fillId="14" borderId="19" xfId="0" applyFont="1" applyFill="1" applyBorder="1" applyAlignment="1"/>
    <xf numFmtId="237" fontId="13" fillId="14" borderId="0" xfId="0" applyNumberFormat="1" applyFont="1" applyFill="1" applyBorder="1" applyAlignment="1">
      <alignment horizontal="left"/>
    </xf>
    <xf numFmtId="0" fontId="13" fillId="14" borderId="601" xfId="0" quotePrefix="1" applyFont="1" applyFill="1" applyBorder="1"/>
    <xf numFmtId="0" fontId="13" fillId="14" borderId="601" xfId="0" applyFont="1" applyFill="1" applyBorder="1" applyAlignment="1"/>
    <xf numFmtId="0" fontId="0" fillId="14" borderId="601" xfId="0" applyFill="1" applyBorder="1"/>
    <xf numFmtId="0" fontId="13" fillId="14" borderId="601" xfId="0" quotePrefix="1" applyFont="1" applyFill="1" applyBorder="1" applyAlignment="1"/>
    <xf numFmtId="0" fontId="13" fillId="14" borderId="0" xfId="0" quotePrefix="1" applyFont="1" applyFill="1" applyBorder="1" applyAlignment="1"/>
    <xf numFmtId="2" fontId="0" fillId="14" borderId="601" xfId="0" applyNumberFormat="1" applyFill="1" applyBorder="1" applyAlignment="1">
      <alignment horizontal="left"/>
    </xf>
    <xf numFmtId="0" fontId="13" fillId="14" borderId="19" xfId="0" quotePrefix="1" applyFont="1" applyFill="1" applyBorder="1"/>
    <xf numFmtId="2" fontId="0" fillId="14" borderId="19" xfId="0" applyNumberFormat="1" applyFill="1" applyBorder="1" applyAlignment="1">
      <alignment horizontal="left"/>
    </xf>
    <xf numFmtId="0" fontId="88" fillId="14" borderId="0" xfId="0" applyFont="1" applyFill="1" applyBorder="1" applyAlignment="1"/>
    <xf numFmtId="0" fontId="13" fillId="14" borderId="19" xfId="0" applyFont="1" applyFill="1" applyBorder="1" applyAlignment="1"/>
    <xf numFmtId="229" fontId="13" fillId="14" borderId="0" xfId="0" applyNumberFormat="1" applyFont="1" applyFill="1" applyBorder="1" applyAlignment="1">
      <alignment vertical="top" wrapText="1"/>
    </xf>
    <xf numFmtId="0" fontId="13" fillId="14" borderId="0" xfId="0" applyFont="1" applyFill="1" applyBorder="1" applyAlignment="1">
      <alignment wrapText="1"/>
    </xf>
    <xf numFmtId="0" fontId="13" fillId="43" borderId="0" xfId="0" applyFont="1" applyFill="1" applyAlignment="1"/>
    <xf numFmtId="0" fontId="13" fillId="14" borderId="0" xfId="0" applyFont="1" applyFill="1" applyBorder="1" applyAlignment="1">
      <alignment vertical="center" wrapText="1"/>
    </xf>
    <xf numFmtId="0" fontId="13" fillId="14" borderId="0" xfId="0" quotePrefix="1" applyFont="1" applyFill="1" applyBorder="1" applyAlignment="1">
      <alignment vertical="center"/>
    </xf>
    <xf numFmtId="183" fontId="13" fillId="14" borderId="0" xfId="0" applyNumberFormat="1" applyFont="1" applyFill="1" applyBorder="1" applyAlignment="1"/>
    <xf numFmtId="0" fontId="9" fillId="22" borderId="0" xfId="0" applyFont="1" applyFill="1" applyBorder="1" applyAlignment="1">
      <alignment horizontal="center"/>
    </xf>
    <xf numFmtId="0" fontId="0" fillId="14" borderId="0" xfId="0" applyFont="1" applyFill="1" applyAlignment="1">
      <alignment horizontal="center"/>
    </xf>
    <xf numFmtId="244" fontId="0" fillId="14" borderId="0" xfId="0" applyNumberFormat="1" applyFont="1" applyFill="1" applyBorder="1" applyAlignment="1">
      <alignment horizontal="center" vertical="center"/>
    </xf>
    <xf numFmtId="4" fontId="0" fillId="14" borderId="0" xfId="0" applyNumberFormat="1" applyFont="1" applyFill="1" applyBorder="1" applyAlignment="1">
      <alignment horizontal="center" vertical="center"/>
    </xf>
    <xf numFmtId="243" fontId="0" fillId="13" borderId="26" xfId="0" applyNumberFormat="1" applyFont="1" applyFill="1" applyBorder="1" applyAlignment="1">
      <alignment horizontal="center" vertical="center"/>
    </xf>
    <xf numFmtId="10" fontId="0" fillId="14" borderId="3" xfId="0" applyNumberFormat="1" applyFont="1" applyFill="1" applyBorder="1" applyAlignment="1">
      <alignment horizontal="center" vertical="center"/>
    </xf>
    <xf numFmtId="0" fontId="1" fillId="0" borderId="41"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0" fillId="0" borderId="3" xfId="0" applyFont="1" applyFill="1" applyBorder="1" applyAlignment="1">
      <alignment horizontal="left" vertical="center" wrapText="1" indent="1"/>
    </xf>
    <xf numFmtId="0" fontId="0" fillId="0" borderId="12" xfId="0" applyFont="1" applyFill="1" applyBorder="1" applyAlignment="1">
      <alignment horizontal="left" vertical="center" indent="1"/>
    </xf>
    <xf numFmtId="0" fontId="0" fillId="0" borderId="9" xfId="0" applyFont="1" applyFill="1" applyBorder="1" applyAlignment="1">
      <alignment horizontal="left" vertical="center" indent="1"/>
    </xf>
    <xf numFmtId="0" fontId="0" fillId="0" borderId="3" xfId="0" applyFont="1" applyFill="1" applyBorder="1" applyAlignment="1">
      <alignment horizontal="left" vertical="center" indent="1"/>
    </xf>
    <xf numFmtId="0" fontId="0" fillId="0" borderId="12" xfId="0" applyFont="1" applyFill="1" applyBorder="1" applyAlignment="1">
      <alignment horizontal="left" vertical="center" wrapText="1" indent="1"/>
    </xf>
    <xf numFmtId="0" fontId="0" fillId="0" borderId="7" xfId="0" applyFont="1" applyFill="1" applyBorder="1" applyAlignment="1">
      <alignment horizontal="left" vertical="center" wrapText="1" indent="1"/>
    </xf>
    <xf numFmtId="0" fontId="0" fillId="0" borderId="23" xfId="0" applyFont="1" applyFill="1" applyBorder="1" applyAlignment="1">
      <alignment horizontal="right" vertical="center" wrapText="1" indent="1"/>
    </xf>
    <xf numFmtId="0" fontId="0" fillId="0" borderId="27" xfId="0" applyFont="1" applyFill="1" applyBorder="1" applyAlignment="1">
      <alignment horizontal="right" vertical="center" wrapText="1" indent="1"/>
    </xf>
    <xf numFmtId="1" fontId="0" fillId="0" borderId="12" xfId="0" applyNumberFormat="1" applyFont="1" applyFill="1" applyBorder="1" applyAlignment="1">
      <alignment horizontal="center" vertical="center" wrapText="1"/>
    </xf>
    <xf numFmtId="0" fontId="0" fillId="0" borderId="26" xfId="0" applyFont="1" applyBorder="1" applyAlignment="1">
      <alignment horizontal="center" vertical="center"/>
    </xf>
    <xf numFmtId="0" fontId="0" fillId="0" borderId="3" xfId="0" applyFill="1" applyBorder="1" applyAlignment="1">
      <alignment horizontal="left" vertical="center" wrapText="1" indent="1"/>
    </xf>
    <xf numFmtId="0" fontId="0" fillId="0" borderId="7" xfId="0" applyFill="1" applyBorder="1" applyAlignment="1">
      <alignment horizontal="left" vertical="center" wrapText="1" indent="1"/>
    </xf>
    <xf numFmtId="0" fontId="0" fillId="0" borderId="7" xfId="0" applyFill="1" applyBorder="1" applyAlignment="1">
      <alignment horizontal="center" vertical="center" wrapText="1"/>
    </xf>
    <xf numFmtId="0" fontId="0" fillId="0" borderId="44" xfId="0" applyFont="1" applyFill="1" applyBorder="1" applyAlignment="1">
      <alignment horizontal="left" vertical="center" wrapText="1" indent="1"/>
    </xf>
    <xf numFmtId="0" fontId="0" fillId="0" borderId="11" xfId="0" applyFont="1" applyFill="1" applyBorder="1" applyAlignment="1">
      <alignment horizontal="left" vertical="center" wrapText="1" indent="1"/>
    </xf>
    <xf numFmtId="0" fontId="0" fillId="0" borderId="11"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7" xfId="0" applyBorder="1"/>
    <xf numFmtId="0" fontId="4" fillId="0" borderId="26"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0" fillId="0" borderId="219" xfId="0" applyFill="1" applyBorder="1" applyAlignment="1">
      <alignment horizontal="center" vertical="center" wrapText="1"/>
    </xf>
    <xf numFmtId="0" fontId="4" fillId="0" borderId="27" xfId="0" applyFont="1" applyFill="1" applyBorder="1" applyAlignment="1">
      <alignment horizontal="center" vertical="center" wrapText="1"/>
    </xf>
    <xf numFmtId="0" fontId="0" fillId="0" borderId="42" xfId="0" applyBorder="1"/>
    <xf numFmtId="0" fontId="0" fillId="0" borderId="31" xfId="0" applyBorder="1"/>
    <xf numFmtId="0" fontId="0" fillId="0" borderId="44" xfId="0" applyBorder="1"/>
    <xf numFmtId="0" fontId="1" fillId="0" borderId="3" xfId="0" applyFont="1" applyBorder="1" applyAlignment="1">
      <alignment horizontal="center" vertical="center" wrapText="1"/>
    </xf>
    <xf numFmtId="0" fontId="1" fillId="0" borderId="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8" xfId="0" applyFont="1" applyBorder="1" applyAlignment="1">
      <alignment horizontal="center" vertical="center" wrapText="1"/>
    </xf>
    <xf numFmtId="0" fontId="0" fillId="14" borderId="0" xfId="0" applyFill="1" applyAlignment="1">
      <alignment horizontal="left"/>
    </xf>
    <xf numFmtId="172" fontId="13" fillId="0" borderId="380" xfId="0" applyNumberFormat="1" applyFont="1" applyFill="1" applyBorder="1" applyAlignment="1">
      <alignment horizontal="center" vertical="center"/>
    </xf>
    <xf numFmtId="172" fontId="13" fillId="0" borderId="3" xfId="0" applyNumberFormat="1" applyFont="1" applyFill="1" applyBorder="1" applyAlignment="1">
      <alignment horizontal="center" vertical="center"/>
    </xf>
    <xf numFmtId="172" fontId="13" fillId="0" borderId="7" xfId="0" applyNumberFormat="1" applyFont="1" applyFill="1" applyBorder="1" applyAlignment="1">
      <alignment horizontal="center" vertical="center"/>
    </xf>
    <xf numFmtId="185" fontId="13" fillId="0" borderId="12" xfId="0" applyNumberFormat="1" applyFont="1" applyFill="1" applyBorder="1" applyAlignment="1">
      <alignment horizontal="center" vertical="center"/>
    </xf>
    <xf numFmtId="185" fontId="13" fillId="0" borderId="9" xfId="0" applyNumberFormat="1" applyFont="1" applyFill="1" applyBorder="1" applyAlignment="1">
      <alignment horizontal="center"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57"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42" xfId="0" applyFont="1" applyFill="1" applyBorder="1" applyAlignment="1">
      <alignment horizontal="center" vertical="center"/>
    </xf>
    <xf numFmtId="0" fontId="1" fillId="0" borderId="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41" xfId="0" applyFont="1" applyBorder="1" applyAlignment="1">
      <alignment horizontal="center" vertical="center" wrapText="1"/>
    </xf>
    <xf numFmtId="14" fontId="1" fillId="0" borderId="3" xfId="0" applyNumberFormat="1" applyFont="1" applyFill="1" applyBorder="1" applyAlignment="1">
      <alignment horizontal="left" vertical="center" wrapText="1" indent="1"/>
    </xf>
    <xf numFmtId="14" fontId="1" fillId="0" borderId="7" xfId="0" applyNumberFormat="1" applyFont="1" applyFill="1" applyBorder="1" applyAlignment="1">
      <alignment horizontal="left" vertical="center" wrapText="1" indent="1"/>
    </xf>
    <xf numFmtId="0" fontId="13" fillId="0" borderId="3" xfId="0" applyFont="1" applyFill="1" applyBorder="1" applyAlignment="1">
      <alignment horizontal="left" vertical="center" wrapText="1" indent="1"/>
    </xf>
    <xf numFmtId="0" fontId="13" fillId="0" borderId="7" xfId="0" applyFont="1" applyFill="1" applyBorder="1" applyAlignment="1">
      <alignment horizontal="left" vertical="center" wrapText="1" indent="1"/>
    </xf>
    <xf numFmtId="14" fontId="1" fillId="0" borderId="9" xfId="0" applyNumberFormat="1" applyFont="1" applyFill="1" applyBorder="1" applyAlignment="1">
      <alignment horizontal="left" vertical="center" wrapText="1" indent="1"/>
    </xf>
    <xf numFmtId="14" fontId="1" fillId="0" borderId="12" xfId="0" applyNumberFormat="1" applyFont="1" applyFill="1" applyBorder="1" applyAlignment="1">
      <alignment horizontal="left" vertical="center" wrapText="1" indent="1"/>
    </xf>
    <xf numFmtId="0" fontId="1" fillId="0" borderId="1" xfId="0" applyFont="1" applyFill="1" applyBorder="1" applyAlignment="1">
      <alignment horizontal="center" vertical="center" wrapText="1"/>
    </xf>
    <xf numFmtId="181" fontId="13" fillId="0" borderId="12" xfId="0" applyNumberFormat="1" applyFont="1" applyFill="1" applyBorder="1" applyAlignment="1">
      <alignment horizontal="right" vertical="center" wrapText="1"/>
    </xf>
    <xf numFmtId="181" fontId="13" fillId="0" borderId="9" xfId="0" applyNumberFormat="1" applyFont="1" applyFill="1" applyBorder="1" applyAlignment="1">
      <alignment horizontal="right" vertical="center" wrapText="1"/>
    </xf>
    <xf numFmtId="3" fontId="13" fillId="0" borderId="490"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center" wrapText="1"/>
    </xf>
    <xf numFmtId="3" fontId="13" fillId="0" borderId="9" xfId="0" applyNumberFormat="1" applyFont="1" applyFill="1" applyBorder="1" applyAlignment="1">
      <alignment horizontal="center" vertical="center" wrapText="1"/>
    </xf>
    <xf numFmtId="0" fontId="4" fillId="0" borderId="17" xfId="0" applyFont="1" applyFill="1" applyBorder="1" applyAlignment="1">
      <alignment horizontal="center" vertical="center" wrapText="1"/>
    </xf>
    <xf numFmtId="0" fontId="1" fillId="0" borderId="15" xfId="0" applyFont="1" applyBorder="1" applyAlignment="1">
      <alignment horizontal="center" vertical="center" wrapText="1"/>
    </xf>
    <xf numFmtId="0" fontId="4" fillId="26" borderId="309" xfId="0" applyFont="1" applyFill="1" applyBorder="1" applyAlignment="1">
      <alignment horizontal="center" vertical="center" wrapText="1"/>
    </xf>
    <xf numFmtId="0" fontId="4" fillId="26" borderId="302" xfId="0" applyFont="1" applyFill="1" applyBorder="1" applyAlignment="1">
      <alignment horizontal="center" vertical="center" wrapText="1"/>
    </xf>
    <xf numFmtId="0" fontId="4" fillId="26" borderId="447" xfId="0" applyFont="1" applyFill="1" applyBorder="1" applyAlignment="1">
      <alignment horizontal="center" vertical="center" wrapText="1"/>
    </xf>
    <xf numFmtId="0" fontId="4" fillId="26" borderId="304" xfId="0" applyFont="1" applyFill="1" applyBorder="1" applyAlignment="1">
      <alignment horizontal="center" vertical="center" wrapText="1"/>
    </xf>
    <xf numFmtId="0" fontId="4" fillId="26" borderId="80" xfId="0" applyFont="1" applyFill="1" applyBorder="1" applyAlignment="1">
      <alignment horizontal="center" vertical="center" wrapText="1"/>
    </xf>
    <xf numFmtId="0" fontId="4" fillId="26" borderId="552" xfId="0" applyFont="1" applyFill="1" applyBorder="1" applyAlignment="1">
      <alignment horizontal="center" vertical="center" wrapText="1"/>
    </xf>
    <xf numFmtId="0" fontId="4" fillId="19" borderId="69" xfId="0" applyFont="1" applyFill="1" applyBorder="1" applyAlignment="1">
      <alignment horizontal="center" vertical="center" wrapText="1"/>
    </xf>
    <xf numFmtId="0" fontId="4" fillId="19" borderId="80" xfId="0" applyFont="1" applyFill="1" applyBorder="1" applyAlignment="1">
      <alignment horizontal="center" vertical="center" wrapText="1"/>
    </xf>
    <xf numFmtId="0" fontId="4" fillId="26" borderId="44" xfId="0" applyFont="1" applyFill="1" applyBorder="1" applyAlignment="1">
      <alignment horizontal="center" vertical="center" wrapText="1"/>
    </xf>
    <xf numFmtId="0" fontId="1" fillId="0" borderId="26" xfId="0" applyFont="1" applyFill="1" applyBorder="1" applyAlignment="1">
      <alignment horizontal="left" vertical="center" wrapText="1" indent="1"/>
    </xf>
    <xf numFmtId="0" fontId="1" fillId="0" borderId="23" xfId="0" applyFont="1" applyFill="1" applyBorder="1" applyAlignment="1">
      <alignment horizontal="left" vertical="center" wrapText="1" indent="1"/>
    </xf>
    <xf numFmtId="0" fontId="1" fillId="0" borderId="27" xfId="0" applyFont="1" applyFill="1" applyBorder="1" applyAlignment="1">
      <alignment horizontal="left" vertical="center" wrapText="1" indent="1"/>
    </xf>
    <xf numFmtId="187" fontId="0" fillId="0" borderId="24" xfId="0" applyNumberFormat="1" applyFill="1" applyBorder="1" applyAlignment="1">
      <alignment horizontal="center" vertical="center" wrapText="1"/>
    </xf>
    <xf numFmtId="187" fontId="0" fillId="0" borderId="7" xfId="0" applyNumberFormat="1" applyFill="1" applyBorder="1" applyAlignment="1">
      <alignment horizontal="center" vertical="center" wrapText="1"/>
    </xf>
    <xf numFmtId="0" fontId="1" fillId="38" borderId="7" xfId="0" applyFont="1" applyFill="1" applyBorder="1" applyAlignment="1">
      <alignment horizontal="center" vertical="center" wrapText="1"/>
    </xf>
    <xf numFmtId="2" fontId="0" fillId="29" borderId="7" xfId="0" applyNumberFormat="1" applyFill="1" applyBorder="1" applyAlignment="1">
      <alignment horizontal="right" vertical="center" wrapText="1" indent="1"/>
    </xf>
    <xf numFmtId="2" fontId="0" fillId="29" borderId="44" xfId="0" applyNumberFormat="1" applyFill="1" applyBorder="1" applyAlignment="1">
      <alignment horizontal="right" vertical="center" wrapText="1" indent="1"/>
    </xf>
    <xf numFmtId="0" fontId="1" fillId="39" borderId="7" xfId="0" applyFont="1" applyFill="1" applyBorder="1" applyAlignment="1">
      <alignment horizontal="center" vertical="center" wrapText="1"/>
    </xf>
    <xf numFmtId="2" fontId="37" fillId="29" borderId="52" xfId="0" applyNumberFormat="1" applyFont="1" applyFill="1" applyBorder="1" applyAlignment="1">
      <alignment horizontal="left" vertical="center" wrapText="1" indent="1"/>
    </xf>
    <xf numFmtId="2" fontId="37" fillId="29" borderId="51" xfId="0" applyNumberFormat="1" applyFont="1" applyFill="1" applyBorder="1" applyAlignment="1">
      <alignment horizontal="left" vertical="center" wrapText="1" indent="1"/>
    </xf>
    <xf numFmtId="0" fontId="0" fillId="0" borderId="52" xfId="0" applyBorder="1"/>
    <xf numFmtId="0" fontId="4" fillId="19" borderId="7" xfId="0" applyFont="1" applyFill="1" applyBorder="1" applyAlignment="1">
      <alignment horizontal="center" vertical="center" wrapText="1"/>
    </xf>
    <xf numFmtId="0" fontId="4" fillId="19" borderId="42" xfId="0" applyFont="1" applyFill="1" applyBorder="1" applyAlignment="1">
      <alignment horizontal="center" vertical="center" wrapText="1"/>
    </xf>
    <xf numFmtId="0" fontId="1" fillId="19" borderId="282" xfId="0" applyFont="1" applyFill="1" applyBorder="1" applyAlignment="1">
      <alignment horizontal="center" vertical="center" wrapText="1"/>
    </xf>
    <xf numFmtId="0" fontId="1" fillId="19" borderId="114" xfId="0" applyFont="1" applyFill="1" applyBorder="1" applyAlignment="1">
      <alignment horizontal="center" vertical="center" wrapText="1"/>
    </xf>
    <xf numFmtId="0" fontId="1" fillId="19" borderId="34" xfId="0" applyFont="1" applyFill="1" applyBorder="1" applyAlignment="1">
      <alignment horizontal="center" vertical="center" wrapText="1"/>
    </xf>
    <xf numFmtId="0" fontId="1" fillId="38" borderId="42" xfId="0" applyFont="1" applyFill="1" applyBorder="1" applyAlignment="1">
      <alignment horizontal="center" vertical="center" wrapText="1"/>
    </xf>
    <xf numFmtId="0" fontId="0" fillId="2" borderId="7" xfId="0" applyFill="1" applyBorder="1" applyAlignment="1">
      <alignment horizontal="left" vertical="center" wrapText="1" indent="1"/>
    </xf>
    <xf numFmtId="0" fontId="0" fillId="2" borderId="7" xfId="0" applyFill="1" applyBorder="1" applyAlignment="1">
      <alignment horizontal="center" vertical="center" wrapText="1"/>
    </xf>
    <xf numFmtId="195" fontId="1" fillId="15" borderId="3" xfId="0" applyNumberFormat="1" applyFont="1" applyFill="1" applyBorder="1" applyAlignment="1">
      <alignment horizontal="center" vertical="center" wrapText="1"/>
    </xf>
    <xf numFmtId="3" fontId="0" fillId="40" borderId="3" xfId="0" applyNumberFormat="1" applyFont="1" applyFill="1" applyBorder="1" applyAlignment="1">
      <alignment horizontal="right" vertical="center" wrapText="1" indent="1"/>
    </xf>
    <xf numFmtId="3" fontId="0" fillId="40" borderId="9" xfId="0" applyNumberFormat="1" applyFont="1" applyFill="1" applyBorder="1" applyAlignment="1">
      <alignment horizontal="right" vertical="center" wrapText="1" indent="1"/>
    </xf>
    <xf numFmtId="171" fontId="0" fillId="40" borderId="7" xfId="0" applyNumberFormat="1" applyFont="1" applyFill="1" applyBorder="1" applyAlignment="1">
      <alignment horizontal="right" vertical="center" wrapText="1" indent="1"/>
    </xf>
    <xf numFmtId="183" fontId="4" fillId="40" borderId="42" xfId="0" applyNumberFormat="1" applyFont="1" applyFill="1" applyBorder="1" applyAlignment="1">
      <alignment horizontal="left" vertical="center" wrapText="1" indent="1"/>
    </xf>
    <xf numFmtId="2" fontId="48" fillId="40" borderId="44" xfId="0" applyNumberFormat="1" applyFont="1" applyFill="1" applyBorder="1" applyAlignment="1">
      <alignment horizontal="right" vertical="center" wrapText="1" indent="1"/>
    </xf>
    <xf numFmtId="0" fontId="0" fillId="0" borderId="42" xfId="0" applyFill="1" applyBorder="1" applyAlignment="1">
      <alignment horizontal="center" vertical="center" wrapText="1"/>
    </xf>
    <xf numFmtId="166" fontId="0" fillId="2" borderId="7" xfId="0" applyNumberFormat="1" applyFill="1" applyBorder="1" applyAlignment="1">
      <alignment horizontal="right" vertical="center" wrapText="1" indent="1"/>
    </xf>
    <xf numFmtId="187" fontId="0" fillId="2" borderId="7" xfId="0" applyNumberFormat="1" applyFill="1" applyBorder="1" applyAlignment="1">
      <alignment horizontal="center" vertical="center" wrapText="1"/>
    </xf>
    <xf numFmtId="0" fontId="1" fillId="2" borderId="7" xfId="0" applyFont="1" applyFill="1" applyBorder="1" applyAlignment="1">
      <alignment horizontal="left" vertical="center" wrapText="1" indent="1"/>
    </xf>
    <xf numFmtId="0" fontId="1" fillId="2" borderId="7" xfId="0" applyFont="1" applyFill="1" applyBorder="1" applyAlignment="1">
      <alignment horizontal="center" vertical="center" wrapText="1"/>
    </xf>
    <xf numFmtId="0" fontId="1" fillId="20" borderId="7" xfId="0" applyFont="1" applyFill="1" applyBorder="1" applyAlignment="1">
      <alignment horizontal="center" vertical="center" wrapText="1"/>
    </xf>
    <xf numFmtId="0" fontId="1" fillId="38" borderId="44" xfId="0" applyFont="1" applyFill="1" applyBorder="1" applyAlignment="1">
      <alignment horizontal="center" vertical="center" wrapText="1"/>
    </xf>
    <xf numFmtId="166" fontId="0" fillId="2" borderId="44" xfId="0" applyNumberFormat="1" applyFill="1" applyBorder="1" applyAlignment="1">
      <alignment horizontal="right" vertical="center" wrapText="1" indent="1"/>
    </xf>
    <xf numFmtId="0" fontId="0" fillId="0" borderId="493" xfId="0" applyBorder="1" applyAlignment="1">
      <alignment horizontal="left" vertical="center" wrapText="1" indent="1"/>
    </xf>
    <xf numFmtId="0" fontId="1" fillId="20" borderId="44" xfId="0" applyFont="1" applyFill="1" applyBorder="1" applyAlignment="1">
      <alignment horizontal="center" vertical="center" wrapText="1"/>
    </xf>
    <xf numFmtId="0" fontId="4" fillId="19" borderId="8" xfId="0" applyFont="1" applyFill="1" applyBorder="1" applyAlignment="1">
      <alignment horizontal="center" vertical="center" wrapText="1"/>
    </xf>
    <xf numFmtId="0" fontId="4" fillId="19" borderId="79" xfId="0" applyFont="1" applyFill="1" applyBorder="1" applyAlignment="1">
      <alignment horizontal="center" vertical="center" wrapText="1"/>
    </xf>
    <xf numFmtId="0" fontId="1" fillId="39" borderId="44" xfId="0" applyFont="1" applyFill="1" applyBorder="1" applyAlignment="1">
      <alignment horizontal="center" vertical="center" wrapText="1"/>
    </xf>
    <xf numFmtId="0" fontId="4" fillId="26" borderId="37" xfId="0" applyFont="1" applyFill="1" applyBorder="1" applyAlignment="1">
      <alignment horizontal="center" vertical="center" wrapText="1"/>
    </xf>
    <xf numFmtId="0" fontId="1" fillId="26" borderId="80" xfId="0" applyFont="1" applyFill="1" applyBorder="1" applyAlignment="1">
      <alignment horizontal="center" vertical="center" wrapText="1"/>
    </xf>
    <xf numFmtId="0" fontId="4" fillId="26" borderId="235" xfId="0" applyFont="1" applyFill="1" applyBorder="1" applyAlignment="1">
      <alignment horizontal="center" vertical="center" wrapText="1"/>
    </xf>
    <xf numFmtId="0" fontId="4" fillId="19" borderId="52" xfId="0" applyFont="1" applyFill="1" applyBorder="1" applyAlignment="1">
      <alignment horizontal="center" vertical="center" wrapText="1"/>
    </xf>
    <xf numFmtId="0" fontId="4" fillId="19" borderId="23" xfId="0" applyFont="1" applyFill="1" applyBorder="1" applyAlignment="1">
      <alignment horizontal="center" vertical="center" wrapText="1"/>
    </xf>
    <xf numFmtId="0" fontId="4" fillId="19" borderId="114" xfId="0" applyFont="1" applyFill="1" applyBorder="1" applyAlignment="1">
      <alignment horizontal="center" vertical="center" wrapText="1"/>
    </xf>
    <xf numFmtId="0" fontId="4" fillId="21" borderId="600"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23" xfId="0" applyFill="1" applyBorder="1" applyAlignment="1">
      <alignment horizontal="center" vertical="center" wrapText="1"/>
    </xf>
    <xf numFmtId="0" fontId="0" fillId="0" borderId="27" xfId="0" applyFill="1" applyBorder="1" applyAlignment="1">
      <alignment horizontal="center" vertical="center" wrapText="1"/>
    </xf>
    <xf numFmtId="251" fontId="0" fillId="14" borderId="0" xfId="0" applyNumberFormat="1" applyFill="1" applyBorder="1" applyAlignment="1">
      <alignment horizontal="right" vertical="center"/>
    </xf>
    <xf numFmtId="0" fontId="70" fillId="14" borderId="603" xfId="0" applyFont="1" applyFill="1" applyBorder="1" applyAlignment="1">
      <alignment horizontal="left" vertical="center" indent="1"/>
    </xf>
    <xf numFmtId="0" fontId="0" fillId="14" borderId="604" xfId="0" applyFill="1" applyBorder="1" applyAlignment="1">
      <alignment vertical="center"/>
    </xf>
    <xf numFmtId="0" fontId="0" fillId="14" borderId="604" xfId="0" applyFill="1" applyBorder="1"/>
    <xf numFmtId="0" fontId="0" fillId="14" borderId="605" xfId="0" applyFill="1" applyBorder="1"/>
    <xf numFmtId="0" fontId="38" fillId="14" borderId="606" xfId="0" applyFont="1" applyFill="1" applyBorder="1" applyAlignment="1">
      <alignment horizontal="right" vertical="center"/>
    </xf>
    <xf numFmtId="0" fontId="0" fillId="14" borderId="607" xfId="0" applyFill="1" applyBorder="1"/>
    <xf numFmtId="0" fontId="38" fillId="14" borderId="608" xfId="0" applyFont="1" applyFill="1" applyBorder="1" applyAlignment="1">
      <alignment horizontal="right" vertical="center"/>
    </xf>
    <xf numFmtId="0" fontId="0" fillId="14" borderId="609" xfId="0" applyFill="1" applyBorder="1" applyAlignment="1">
      <alignment horizontal="left" vertical="center"/>
    </xf>
    <xf numFmtId="0" fontId="0" fillId="14" borderId="609" xfId="0" applyFill="1" applyBorder="1"/>
    <xf numFmtId="0" fontId="0" fillId="14" borderId="610" xfId="0" applyFill="1" applyBorder="1"/>
    <xf numFmtId="0" fontId="2" fillId="14" borderId="0" xfId="2" applyFill="1" applyBorder="1" applyAlignment="1" applyProtection="1">
      <alignment horizontal="left" indent="1"/>
      <protection locked="0"/>
    </xf>
    <xf numFmtId="235" fontId="13" fillId="14" borderId="0" xfId="0" applyNumberFormat="1" applyFont="1" applyFill="1" applyBorder="1" applyAlignment="1">
      <alignment horizontal="left"/>
    </xf>
    <xf numFmtId="0" fontId="13" fillId="14" borderId="0" xfId="0" applyFont="1" applyFill="1" applyBorder="1" applyAlignment="1">
      <alignment horizontal="left" vertical="top" wrapText="1"/>
    </xf>
    <xf numFmtId="0" fontId="13" fillId="14" borderId="0" xfId="0" applyFont="1" applyFill="1" applyBorder="1" applyAlignment="1">
      <alignment horizontal="left" vertical="center" wrapText="1"/>
    </xf>
    <xf numFmtId="0" fontId="9" fillId="14" borderId="19" xfId="0" applyFont="1" applyFill="1" applyBorder="1" applyAlignment="1">
      <alignment horizontal="left"/>
    </xf>
    <xf numFmtId="242" fontId="13" fillId="14" borderId="0" xfId="0" applyNumberFormat="1" applyFont="1" applyFill="1" applyBorder="1" applyAlignment="1">
      <alignment horizontal="left"/>
    </xf>
    <xf numFmtId="9" fontId="13" fillId="14" borderId="0" xfId="0" applyNumberFormat="1" applyFont="1" applyFill="1" applyBorder="1" applyAlignment="1">
      <alignment horizontal="left"/>
    </xf>
    <xf numFmtId="0" fontId="2" fillId="14" borderId="0" xfId="2" applyFill="1" applyBorder="1" applyAlignment="1" applyProtection="1"/>
    <xf numFmtId="183" fontId="0" fillId="14" borderId="0" xfId="0" applyNumberFormat="1" applyFill="1" applyBorder="1" applyAlignment="1" applyProtection="1">
      <alignment horizontal="center" vertical="center" wrapText="1"/>
    </xf>
    <xf numFmtId="0" fontId="2" fillId="14" borderId="39" xfId="2" applyFill="1" applyBorder="1" applyAlignment="1" applyProtection="1">
      <alignment horizontal="center" vertical="center"/>
    </xf>
    <xf numFmtId="0" fontId="2" fillId="14" borderId="38" xfId="2" applyFill="1" applyBorder="1" applyAlignment="1" applyProtection="1">
      <alignment horizontal="center" vertical="center"/>
    </xf>
    <xf numFmtId="0" fontId="90" fillId="14" borderId="231" xfId="0" applyFont="1" applyFill="1" applyBorder="1"/>
    <xf numFmtId="0" fontId="13" fillId="14" borderId="338" xfId="0" applyFont="1" applyFill="1" applyBorder="1"/>
    <xf numFmtId="0" fontId="13" fillId="14" borderId="525" xfId="0" applyFont="1" applyFill="1" applyBorder="1"/>
    <xf numFmtId="0" fontId="13" fillId="14" borderId="515" xfId="0" applyFont="1" applyFill="1" applyBorder="1"/>
    <xf numFmtId="0" fontId="13" fillId="14" borderId="345" xfId="0" applyFont="1" applyFill="1" applyBorder="1"/>
    <xf numFmtId="0" fontId="9" fillId="14" borderId="515" xfId="0" applyFont="1" applyFill="1" applyBorder="1"/>
    <xf numFmtId="0" fontId="2" fillId="14" borderId="0" xfId="2" applyFill="1" applyBorder="1" applyAlignment="1" applyProtection="1">
      <alignment vertical="center"/>
    </xf>
    <xf numFmtId="0" fontId="9" fillId="14" borderId="611" xfId="0" applyFont="1" applyFill="1" applyBorder="1" applyAlignment="1">
      <alignment horizontal="right"/>
    </xf>
    <xf numFmtId="0" fontId="90" fillId="14" borderId="601" xfId="0" applyFont="1" applyFill="1" applyBorder="1" applyAlignment="1"/>
    <xf numFmtId="0" fontId="9" fillId="14" borderId="515" xfId="0" applyFont="1" applyFill="1" applyBorder="1" applyAlignment="1">
      <alignment horizontal="right"/>
    </xf>
    <xf numFmtId="0" fontId="13" fillId="14" borderId="515" xfId="0" applyFont="1" applyFill="1" applyBorder="1" applyAlignment="1">
      <alignment horizontal="right"/>
    </xf>
    <xf numFmtId="0" fontId="13" fillId="14" borderId="345" xfId="0" applyFont="1" applyFill="1" applyBorder="1" applyAlignment="1">
      <alignment vertical="top" wrapText="1"/>
    </xf>
    <xf numFmtId="0" fontId="13" fillId="14" borderId="345" xfId="0" applyFont="1" applyFill="1" applyBorder="1" applyAlignment="1">
      <alignment horizontal="left" vertical="top" wrapText="1"/>
    </xf>
    <xf numFmtId="0" fontId="13" fillId="14" borderId="345" xfId="0" applyFont="1" applyFill="1" applyBorder="1" applyAlignment="1"/>
    <xf numFmtId="0" fontId="13" fillId="14" borderId="526" xfId="0" applyFont="1" applyFill="1" applyBorder="1"/>
    <xf numFmtId="0" fontId="13" fillId="14" borderId="344" xfId="0" applyFont="1" applyFill="1" applyBorder="1" applyAlignment="1">
      <alignment vertical="top" wrapText="1"/>
    </xf>
    <xf numFmtId="229" fontId="13" fillId="14" borderId="344" xfId="0" applyNumberFormat="1" applyFont="1" applyFill="1" applyBorder="1" applyAlignment="1">
      <alignment vertical="center"/>
    </xf>
    <xf numFmtId="0" fontId="13" fillId="14" borderId="344" xfId="0" applyFont="1" applyFill="1" applyBorder="1" applyAlignment="1"/>
    <xf numFmtId="0" fontId="13" fillId="14" borderId="527" xfId="0" applyFont="1" applyFill="1" applyBorder="1" applyAlignment="1"/>
    <xf numFmtId="0" fontId="13" fillId="14" borderId="338" xfId="0" applyFont="1" applyFill="1" applyBorder="1" applyAlignment="1">
      <alignment vertical="center" wrapText="1"/>
    </xf>
    <xf numFmtId="0" fontId="13" fillId="14" borderId="338" xfId="0" applyFont="1" applyFill="1" applyBorder="1" applyAlignment="1">
      <alignment vertical="top" wrapText="1"/>
    </xf>
    <xf numFmtId="0" fontId="13" fillId="14" borderId="338" xfId="0" applyFont="1" applyFill="1" applyBorder="1" applyAlignment="1"/>
    <xf numFmtId="0" fontId="13" fillId="14" borderId="525" xfId="0" applyFont="1" applyFill="1" applyBorder="1" applyAlignment="1"/>
    <xf numFmtId="0" fontId="92" fillId="14" borderId="515" xfId="0" applyFont="1" applyFill="1" applyBorder="1"/>
    <xf numFmtId="0" fontId="87" fillId="14" borderId="0" xfId="0" applyFont="1" applyFill="1" applyBorder="1"/>
    <xf numFmtId="0" fontId="92" fillId="14" borderId="345" xfId="0" applyFont="1" applyFill="1" applyBorder="1"/>
    <xf numFmtId="0" fontId="13" fillId="14" borderId="612" xfId="0" applyFont="1" applyFill="1" applyBorder="1"/>
    <xf numFmtId="0" fontId="0" fillId="14" borderId="408" xfId="0" applyFill="1" applyBorder="1"/>
    <xf numFmtId="0" fontId="0" fillId="14" borderId="407" xfId="0" applyFill="1" applyBorder="1"/>
    <xf numFmtId="230" fontId="13" fillId="14" borderId="515" xfId="0" applyNumberFormat="1" applyFont="1" applyFill="1" applyBorder="1" applyAlignment="1">
      <alignment horizontal="right" vertical="center"/>
    </xf>
    <xf numFmtId="0" fontId="13" fillId="14" borderId="345" xfId="0" applyFont="1" applyFill="1" applyBorder="1" applyAlignment="1">
      <alignment wrapText="1"/>
    </xf>
    <xf numFmtId="230" fontId="13" fillId="14" borderId="526" xfId="0" applyNumberFormat="1" applyFont="1" applyFill="1" applyBorder="1" applyAlignment="1">
      <alignment horizontal="right" vertical="center"/>
    </xf>
    <xf numFmtId="0" fontId="13" fillId="14" borderId="344" xfId="0" applyFont="1" applyFill="1" applyBorder="1" applyAlignment="1">
      <alignment vertical="center" wrapText="1"/>
    </xf>
    <xf numFmtId="0" fontId="94" fillId="43" borderId="0" xfId="2" applyFont="1" applyFill="1" applyAlignment="1" applyProtection="1">
      <alignment horizontal="center" vertical="center"/>
    </xf>
    <xf numFmtId="14" fontId="0" fillId="14" borderId="0" xfId="0" applyNumberFormat="1" applyFill="1" applyBorder="1" applyAlignment="1">
      <alignment horizontal="left"/>
    </xf>
    <xf numFmtId="0" fontId="0" fillId="14" borderId="0" xfId="0" applyFill="1" applyAlignment="1">
      <alignment horizontal="left" vertical="center" wrapText="1"/>
    </xf>
    <xf numFmtId="0" fontId="0" fillId="14" borderId="0" xfId="0" applyFill="1" applyAlignment="1">
      <alignment horizontal="left" vertical="top" wrapText="1"/>
    </xf>
    <xf numFmtId="0" fontId="13" fillId="14" borderId="0" xfId="0" applyFont="1" applyFill="1" applyAlignment="1">
      <alignment wrapText="1"/>
    </xf>
    <xf numFmtId="0" fontId="13" fillId="14" borderId="0" xfId="0" applyFont="1" applyFill="1" applyBorder="1" applyAlignment="1">
      <alignment horizontal="left" wrapText="1"/>
    </xf>
    <xf numFmtId="0" fontId="13" fillId="14" borderId="0" xfId="0" applyFont="1" applyFill="1" applyBorder="1" applyAlignment="1">
      <alignment horizontal="left" vertical="top" wrapText="1"/>
    </xf>
    <xf numFmtId="0" fontId="0" fillId="14" borderId="0" xfId="0" applyFill="1" applyAlignment="1">
      <alignment horizontal="center" vertical="top"/>
    </xf>
    <xf numFmtId="0" fontId="0" fillId="0" borderId="0" xfId="0" applyAlignment="1">
      <alignment vertical="top"/>
    </xf>
    <xf numFmtId="0" fontId="38" fillId="14" borderId="0" xfId="0" applyFont="1" applyFill="1" applyAlignment="1">
      <alignment horizontal="center" vertical="top"/>
    </xf>
    <xf numFmtId="14" fontId="0" fillId="14" borderId="0" xfId="0" applyNumberFormat="1" applyFill="1" applyAlignment="1">
      <alignment vertical="top"/>
    </xf>
    <xf numFmtId="253" fontId="0" fillId="14" borderId="0" xfId="0" applyNumberFormat="1" applyFill="1" applyAlignment="1">
      <alignment horizontal="left" vertical="top"/>
    </xf>
    <xf numFmtId="1" fontId="0" fillId="14" borderId="0" xfId="0" applyNumberFormat="1" applyFill="1" applyAlignment="1">
      <alignment vertical="top"/>
    </xf>
    <xf numFmtId="0" fontId="70" fillId="14" borderId="0" xfId="0" applyFont="1" applyFill="1" applyAlignment="1">
      <alignment vertical="top"/>
    </xf>
    <xf numFmtId="0" fontId="0" fillId="14" borderId="0" xfId="0" applyNumberFormat="1" applyFill="1" applyAlignment="1">
      <alignment horizontal="left" vertical="top" wrapText="1"/>
    </xf>
    <xf numFmtId="0" fontId="51" fillId="14" borderId="0" xfId="0" applyFont="1" applyFill="1" applyBorder="1" applyAlignment="1">
      <alignment vertical="top"/>
    </xf>
    <xf numFmtId="0" fontId="0" fillId="14" borderId="0" xfId="0" applyFill="1" applyAlignment="1">
      <alignment vertical="top" wrapText="1"/>
    </xf>
    <xf numFmtId="229" fontId="0" fillId="14" borderId="0" xfId="0" applyNumberFormat="1" applyFill="1"/>
    <xf numFmtId="0" fontId="74" fillId="14" borderId="0" xfId="0" applyFont="1" applyFill="1" applyBorder="1" applyAlignment="1">
      <alignment horizontal="left" indent="46"/>
    </xf>
    <xf numFmtId="230" fontId="0" fillId="14" borderId="0" xfId="0" applyNumberFormat="1" applyFill="1" applyBorder="1" applyAlignment="1">
      <alignment vertical="center"/>
    </xf>
    <xf numFmtId="0" fontId="0" fillId="14" borderId="515" xfId="0" applyFill="1" applyBorder="1" applyAlignment="1">
      <alignment horizontal="right"/>
    </xf>
    <xf numFmtId="0" fontId="0" fillId="14" borderId="526" xfId="0" applyFill="1" applyBorder="1" applyAlignment="1">
      <alignment horizontal="right"/>
    </xf>
    <xf numFmtId="0" fontId="74" fillId="14" borderId="0" xfId="0" applyNumberFormat="1" applyFont="1" applyFill="1" applyAlignment="1">
      <alignment horizontal="right" vertical="top" wrapText="1"/>
    </xf>
    <xf numFmtId="0" fontId="74" fillId="14" borderId="0" xfId="0" applyNumberFormat="1" applyFont="1" applyFill="1" applyAlignment="1">
      <alignment horizontal="left" vertical="top" wrapText="1"/>
    </xf>
    <xf numFmtId="0" fontId="74" fillId="14" borderId="0" xfId="0" applyNumberFormat="1" applyFont="1" applyFill="1" applyAlignment="1">
      <alignment horizontal="center" vertical="top" wrapText="1"/>
    </xf>
    <xf numFmtId="0" fontId="74" fillId="14" borderId="0" xfId="0" applyNumberFormat="1" applyFont="1" applyFill="1" applyAlignment="1">
      <alignment horizontal="left" vertical="top" wrapText="1" indent="1"/>
    </xf>
    <xf numFmtId="0" fontId="95" fillId="43" borderId="0" xfId="2" applyFont="1" applyFill="1" applyAlignment="1" applyProtection="1">
      <alignment horizontal="center"/>
    </xf>
    <xf numFmtId="0" fontId="0" fillId="14" borderId="0" xfId="0" applyFill="1" applyAlignment="1">
      <alignment horizontal="left" vertical="top" wrapText="1"/>
    </xf>
    <xf numFmtId="0" fontId="37" fillId="14" borderId="0" xfId="0" applyFont="1" applyFill="1" applyAlignment="1">
      <alignment horizontal="center" wrapText="1"/>
    </xf>
    <xf numFmtId="0" fontId="0" fillId="14" borderId="0" xfId="0" applyFill="1" applyAlignment="1">
      <alignment vertical="top" wrapText="1"/>
    </xf>
    <xf numFmtId="0" fontId="0" fillId="14" borderId="0" xfId="0" applyNumberFormat="1" applyFill="1" applyAlignment="1">
      <alignment horizontal="left" vertical="top" wrapText="1"/>
    </xf>
    <xf numFmtId="0" fontId="87" fillId="14" borderId="0" xfId="0" applyNumberFormat="1" applyFont="1" applyFill="1" applyAlignment="1">
      <alignment horizontal="left" vertical="top" wrapText="1"/>
    </xf>
    <xf numFmtId="0" fontId="0" fillId="14" borderId="0" xfId="0" applyFill="1" applyAlignment="1" applyProtection="1">
      <alignment horizontal="left" vertical="center" wrapText="1"/>
    </xf>
    <xf numFmtId="0" fontId="0" fillId="14" borderId="0" xfId="0" applyFill="1" applyBorder="1" applyAlignment="1" applyProtection="1">
      <alignment vertical="center" wrapText="1"/>
    </xf>
    <xf numFmtId="0" fontId="0" fillId="14" borderId="0" xfId="0" applyFill="1" applyBorder="1" applyProtection="1"/>
    <xf numFmtId="0" fontId="41" fillId="14" borderId="9" xfId="0" applyFont="1" applyFill="1" applyBorder="1" applyAlignment="1" applyProtection="1">
      <alignment horizontal="center" vertical="center" wrapText="1"/>
    </xf>
    <xf numFmtId="183" fontId="0" fillId="14" borderId="0" xfId="0" applyNumberFormat="1" applyFill="1" applyBorder="1" applyAlignment="1" applyProtection="1">
      <alignment horizontal="right" vertical="center" wrapText="1" indent="1"/>
    </xf>
    <xf numFmtId="183" fontId="0" fillId="14" borderId="0" xfId="0" applyNumberFormat="1" applyFill="1" applyBorder="1" applyAlignment="1" applyProtection="1">
      <alignment horizontal="center" vertical="center" wrapText="1"/>
    </xf>
    <xf numFmtId="9" fontId="0" fillId="47" borderId="251" xfId="0" applyNumberFormat="1" applyFill="1" applyBorder="1" applyAlignment="1">
      <alignment horizontal="center" vertical="center"/>
    </xf>
    <xf numFmtId="9" fontId="37" fillId="39" borderId="251" xfId="0" applyNumberFormat="1" applyFont="1" applyFill="1" applyBorder="1" applyAlignment="1">
      <alignment horizontal="right" vertical="center" wrapText="1" indent="1"/>
    </xf>
    <xf numFmtId="212" fontId="0" fillId="13" borderId="599" xfId="0" applyNumberFormat="1" applyFont="1" applyFill="1" applyBorder="1" applyAlignment="1">
      <alignment horizontal="center" vertical="center"/>
    </xf>
    <xf numFmtId="254" fontId="0" fillId="13" borderId="599" xfId="0" applyNumberFormat="1" applyFont="1" applyFill="1" applyBorder="1" applyAlignment="1">
      <alignment horizontal="center" vertical="center"/>
    </xf>
    <xf numFmtId="237" fontId="0" fillId="13" borderId="599" xfId="0" applyNumberFormat="1" applyFont="1" applyFill="1" applyBorder="1" applyAlignment="1">
      <alignment horizontal="center" vertical="center"/>
    </xf>
    <xf numFmtId="255" fontId="0" fillId="13" borderId="599" xfId="0" applyNumberFormat="1" applyFont="1" applyFill="1" applyBorder="1" applyAlignment="1">
      <alignment horizontal="center" vertical="center"/>
    </xf>
    <xf numFmtId="246" fontId="13" fillId="13" borderId="599" xfId="0" applyNumberFormat="1" applyFont="1" applyFill="1" applyBorder="1" applyAlignment="1"/>
    <xf numFmtId="250" fontId="13" fillId="13" borderId="599" xfId="0" applyNumberFormat="1" applyFont="1" applyFill="1" applyBorder="1" applyAlignment="1">
      <alignment horizontal="center"/>
    </xf>
    <xf numFmtId="250" fontId="13" fillId="14" borderId="1" xfId="0" applyNumberFormat="1" applyFont="1" applyFill="1" applyBorder="1" applyAlignment="1">
      <alignment horizontal="center"/>
    </xf>
    <xf numFmtId="250" fontId="13" fillId="14" borderId="0" xfId="0" applyNumberFormat="1" applyFont="1" applyFill="1" applyBorder="1" applyAlignment="1">
      <alignment horizontal="center"/>
    </xf>
    <xf numFmtId="0" fontId="0" fillId="14" borderId="0" xfId="0" applyFont="1" applyFill="1" applyAlignment="1">
      <alignment horizontal="right" vertical="center"/>
    </xf>
    <xf numFmtId="0" fontId="0" fillId="14" borderId="0" xfId="0" applyFill="1" applyBorder="1" applyAlignment="1">
      <alignment horizontal="left"/>
    </xf>
    <xf numFmtId="183" fontId="13" fillId="0" borderId="152" xfId="0" applyNumberFormat="1" applyFont="1" applyFill="1" applyBorder="1" applyAlignment="1">
      <alignment horizontal="right" vertical="center" wrapText="1"/>
    </xf>
    <xf numFmtId="183" fontId="13" fillId="0" borderId="166" xfId="0" applyNumberFormat="1" applyFont="1" applyFill="1" applyBorder="1" applyAlignment="1">
      <alignment horizontal="right" vertical="center" wrapText="1"/>
    </xf>
    <xf numFmtId="183" fontId="13" fillId="0" borderId="155" xfId="0" applyNumberFormat="1" applyFont="1" applyFill="1" applyBorder="1" applyAlignment="1">
      <alignment horizontal="right" vertical="center" wrapText="1"/>
    </xf>
    <xf numFmtId="183" fontId="13" fillId="0" borderId="154" xfId="0" applyNumberFormat="1" applyFont="1" applyFill="1" applyBorder="1" applyAlignment="1">
      <alignment horizontal="right" vertical="center" wrapText="1"/>
    </xf>
    <xf numFmtId="1" fontId="13" fillId="0" borderId="154" xfId="0" applyNumberFormat="1" applyFont="1" applyFill="1" applyBorder="1" applyAlignment="1">
      <alignment horizontal="right" vertical="center" wrapText="1"/>
    </xf>
    <xf numFmtId="183" fontId="9" fillId="0" borderId="154" xfId="0" applyNumberFormat="1" applyFont="1" applyFill="1" applyBorder="1" applyAlignment="1">
      <alignment horizontal="right" vertical="center" wrapText="1"/>
    </xf>
    <xf numFmtId="183" fontId="9" fillId="0" borderId="167" xfId="0" applyNumberFormat="1" applyFont="1" applyFill="1" applyBorder="1" applyAlignment="1">
      <alignment horizontal="right" vertical="center" wrapText="1"/>
    </xf>
    <xf numFmtId="183" fontId="9" fillId="0" borderId="152" xfId="0" applyNumberFormat="1" applyFont="1" applyFill="1" applyBorder="1" applyAlignment="1">
      <alignment horizontal="right" vertical="center" wrapText="1"/>
    </xf>
    <xf numFmtId="183" fontId="9" fillId="0" borderId="155" xfId="0" applyNumberFormat="1" applyFont="1" applyFill="1" applyBorder="1" applyAlignment="1">
      <alignment horizontal="right" vertical="center" wrapText="1"/>
    </xf>
    <xf numFmtId="241" fontId="0" fillId="13" borderId="599" xfId="0" applyNumberFormat="1" applyFont="1" applyFill="1" applyBorder="1" applyAlignment="1">
      <alignment horizontal="center" vertical="center"/>
    </xf>
    <xf numFmtId="256" fontId="0" fillId="13" borderId="599" xfId="0" applyNumberFormat="1" applyFont="1" applyFill="1" applyBorder="1" applyAlignment="1">
      <alignment horizontal="center" vertical="center"/>
    </xf>
    <xf numFmtId="242" fontId="0" fillId="13" borderId="599" xfId="0" applyNumberFormat="1" applyFont="1" applyFill="1" applyBorder="1" applyAlignment="1">
      <alignment horizontal="center" vertical="center"/>
    </xf>
    <xf numFmtId="0" fontId="0" fillId="14" borderId="0" xfId="0" applyFill="1" applyAlignment="1">
      <alignment horizontal="left" vertical="top"/>
    </xf>
    <xf numFmtId="0" fontId="70" fillId="14" borderId="0" xfId="0" applyFont="1" applyFill="1"/>
    <xf numFmtId="0" fontId="38" fillId="14" borderId="0" xfId="0" applyFont="1" applyFill="1" applyAlignment="1">
      <alignment horizontal="center" vertical="center"/>
    </xf>
    <xf numFmtId="0" fontId="51" fillId="14" borderId="0" xfId="0" applyFont="1" applyFill="1" applyBorder="1" applyAlignment="1">
      <alignment vertical="center"/>
    </xf>
    <xf numFmtId="0" fontId="0" fillId="14" borderId="0" xfId="0" applyFont="1" applyFill="1" applyAlignment="1">
      <alignment vertical="top"/>
    </xf>
    <xf numFmtId="0" fontId="0" fillId="14" borderId="0" xfId="0" applyNumberFormat="1" applyFill="1" applyAlignment="1">
      <alignment vertical="top" wrapText="1"/>
    </xf>
    <xf numFmtId="0" fontId="87" fillId="14" borderId="0" xfId="0" applyNumberFormat="1" applyFont="1" applyFill="1" applyAlignment="1">
      <alignment vertical="top" wrapText="1"/>
    </xf>
    <xf numFmtId="0" fontId="41" fillId="14" borderId="9" xfId="0" applyFont="1" applyFill="1" applyBorder="1" applyAlignment="1" applyProtection="1">
      <alignment horizontal="left" vertical="center" wrapText="1"/>
    </xf>
    <xf numFmtId="0" fontId="76" fillId="14" borderId="47" xfId="0" applyFont="1" applyFill="1" applyBorder="1" applyAlignment="1" applyProtection="1">
      <alignment horizontal="right" vertical="center" indent="1"/>
    </xf>
    <xf numFmtId="0" fontId="41" fillId="14" borderId="0" xfId="0" applyFont="1" applyFill="1" applyBorder="1" applyAlignment="1" applyProtection="1">
      <alignment vertical="center"/>
    </xf>
    <xf numFmtId="0" fontId="41" fillId="14" borderId="47" xfId="0" applyFont="1" applyFill="1" applyBorder="1" applyAlignment="1" applyProtection="1">
      <alignment vertical="center"/>
    </xf>
    <xf numFmtId="257" fontId="0" fillId="14" borderId="0" xfId="0" applyNumberFormat="1" applyFill="1" applyAlignment="1">
      <alignment horizontal="center"/>
    </xf>
    <xf numFmtId="0" fontId="0" fillId="14" borderId="0" xfId="0" applyFill="1" applyBorder="1" applyAlignment="1">
      <alignment horizontal="left" vertical="top" wrapText="1"/>
    </xf>
    <xf numFmtId="0" fontId="0" fillId="14" borderId="0" xfId="0" applyFill="1" applyBorder="1" applyAlignment="1">
      <alignment horizontal="left" vertical="center" wrapText="1"/>
    </xf>
    <xf numFmtId="0" fontId="0" fillId="14" borderId="0" xfId="0" applyFill="1" applyBorder="1" applyAlignment="1">
      <alignment vertical="center" wrapText="1"/>
    </xf>
    <xf numFmtId="14" fontId="0" fillId="14" borderId="0" xfId="0" applyNumberFormat="1" applyFill="1" applyBorder="1" applyAlignment="1">
      <alignment horizontal="left"/>
    </xf>
    <xf numFmtId="0" fontId="0" fillId="14" borderId="0" xfId="0" applyNumberFormat="1" applyFill="1" applyAlignment="1">
      <alignment horizontal="left" vertical="top" wrapText="1"/>
    </xf>
    <xf numFmtId="0" fontId="87" fillId="14" borderId="0" xfId="0" applyNumberFormat="1" applyFont="1" applyFill="1" applyAlignment="1">
      <alignment horizontal="left" vertical="top" wrapText="1"/>
    </xf>
    <xf numFmtId="0" fontId="0" fillId="14" borderId="0" xfId="0" applyFill="1" applyAlignment="1">
      <alignment horizontal="left" vertical="top" wrapText="1"/>
    </xf>
    <xf numFmtId="0" fontId="0" fillId="14" borderId="0" xfId="0" applyFill="1" applyAlignment="1">
      <alignment vertical="center" wrapText="1"/>
    </xf>
    <xf numFmtId="0" fontId="0" fillId="14" borderId="0" xfId="0" applyNumberFormat="1" applyFill="1" applyBorder="1" applyAlignment="1">
      <alignment horizontal="left" vertical="top" wrapText="1"/>
    </xf>
    <xf numFmtId="0" fontId="0" fillId="14" borderId="0" xfId="0" applyFill="1" applyAlignment="1">
      <alignment vertical="top" wrapText="1"/>
    </xf>
    <xf numFmtId="0" fontId="70" fillId="14" borderId="0" xfId="0" applyFont="1" applyFill="1" applyAlignment="1">
      <alignment horizontal="center"/>
    </xf>
    <xf numFmtId="0" fontId="37" fillId="14" borderId="0" xfId="0" applyFont="1" applyFill="1" applyAlignment="1">
      <alignment horizontal="center" wrapText="1"/>
    </xf>
    <xf numFmtId="0" fontId="0" fillId="0" borderId="0" xfId="0" applyAlignment="1">
      <alignment horizontal="left" vertical="center" wrapText="1"/>
    </xf>
    <xf numFmtId="0" fontId="0" fillId="14" borderId="0" xfId="0" applyFill="1" applyAlignment="1">
      <alignment horizontal="left" vertical="center" wrapText="1"/>
    </xf>
    <xf numFmtId="0" fontId="0" fillId="14" borderId="0" xfId="0" applyNumberFormat="1" applyFill="1" applyAlignment="1">
      <alignment horizontal="left" vertical="center" wrapText="1"/>
    </xf>
    <xf numFmtId="0" fontId="0" fillId="0" borderId="13" xfId="0"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0" fontId="0" fillId="0" borderId="8" xfId="0" applyFill="1" applyBorder="1" applyAlignment="1" applyProtection="1">
      <alignment horizontal="center" vertical="center" wrapText="1"/>
    </xf>
    <xf numFmtId="0" fontId="0" fillId="14" borderId="0" xfId="0" applyFill="1" applyBorder="1" applyAlignment="1" applyProtection="1">
      <alignment horizontal="left" vertical="center" wrapText="1"/>
    </xf>
    <xf numFmtId="0" fontId="0" fillId="14" borderId="22" xfId="0" applyFill="1" applyBorder="1" applyAlignment="1" applyProtection="1">
      <alignment horizontal="center" vertical="center"/>
    </xf>
    <xf numFmtId="0" fontId="0" fillId="14" borderId="37" xfId="0" applyFill="1" applyBorder="1" applyAlignment="1" applyProtection="1">
      <alignment horizontal="center" vertical="center"/>
    </xf>
    <xf numFmtId="0" fontId="37" fillId="14" borderId="559" xfId="0" applyFont="1" applyFill="1" applyBorder="1" applyAlignment="1" applyProtection="1">
      <alignment horizontal="center" vertical="center" wrapText="1"/>
    </xf>
    <xf numFmtId="0" fontId="37" fillId="14" borderId="557" xfId="0" applyFont="1" applyFill="1" applyBorder="1" applyAlignment="1" applyProtection="1">
      <alignment horizontal="center" vertical="center" wrapText="1"/>
    </xf>
    <xf numFmtId="0" fontId="37" fillId="14" borderId="536" xfId="0" applyFont="1" applyFill="1" applyBorder="1" applyAlignment="1" applyProtection="1">
      <alignment horizontal="center" vertical="center" wrapText="1"/>
    </xf>
    <xf numFmtId="0" fontId="37" fillId="14" borderId="561" xfId="0" applyFont="1" applyFill="1" applyBorder="1" applyAlignment="1" applyProtection="1">
      <alignment horizontal="center" vertical="center" wrapText="1"/>
    </xf>
    <xf numFmtId="0" fontId="37" fillId="14" borderId="562" xfId="0" applyFont="1" applyFill="1" applyBorder="1" applyAlignment="1" applyProtection="1">
      <alignment horizontal="center" vertical="center" wrapText="1"/>
    </xf>
    <xf numFmtId="0" fontId="0" fillId="14" borderId="47" xfId="0" applyFill="1" applyBorder="1" applyAlignment="1" applyProtection="1">
      <alignment horizontal="left" vertical="center" wrapText="1"/>
    </xf>
    <xf numFmtId="0" fontId="0" fillId="14" borderId="19" xfId="0" applyFill="1" applyBorder="1" applyAlignment="1" applyProtection="1">
      <alignment horizontal="left" vertical="center" wrapText="1"/>
    </xf>
    <xf numFmtId="183" fontId="0" fillId="14" borderId="0" xfId="0" applyNumberFormat="1" applyFill="1" applyBorder="1" applyAlignment="1" applyProtection="1">
      <alignment horizontal="left" vertical="center" wrapText="1"/>
    </xf>
    <xf numFmtId="0" fontId="37" fillId="14" borderId="19" xfId="0" applyFont="1" applyFill="1" applyBorder="1" applyAlignment="1" applyProtection="1">
      <alignment horizontal="center" vertical="center" wrapText="1"/>
    </xf>
    <xf numFmtId="0" fontId="37" fillId="14" borderId="559" xfId="0" applyFont="1" applyFill="1" applyBorder="1" applyAlignment="1" applyProtection="1">
      <alignment horizontal="left" vertical="center" wrapText="1" indent="1"/>
    </xf>
    <xf numFmtId="0" fontId="37" fillId="14" borderId="557" xfId="0" applyFont="1" applyFill="1" applyBorder="1" applyAlignment="1" applyProtection="1">
      <alignment horizontal="left" vertical="center" wrapText="1" indent="1"/>
    </xf>
    <xf numFmtId="0" fontId="0" fillId="14" borderId="561" xfId="0" quotePrefix="1" applyFill="1" applyBorder="1" applyAlignment="1" applyProtection="1">
      <alignment horizontal="left" vertical="center" wrapText="1"/>
    </xf>
    <xf numFmtId="0" fontId="0" fillId="14" borderId="544" xfId="0" quotePrefix="1" applyFill="1" applyBorder="1" applyAlignment="1" applyProtection="1">
      <alignment horizontal="left" vertical="center" wrapText="1"/>
    </xf>
    <xf numFmtId="0" fontId="4" fillId="14" borderId="40" xfId="0" applyFont="1" applyFill="1" applyBorder="1" applyAlignment="1" applyProtection="1">
      <alignment horizontal="center" vertical="center" textRotation="90" wrapText="1"/>
    </xf>
    <xf numFmtId="0" fontId="4" fillId="14" borderId="38" xfId="0" applyFont="1" applyFill="1" applyBorder="1" applyAlignment="1" applyProtection="1">
      <alignment horizontal="center" vertical="center" textRotation="90" wrapText="1"/>
    </xf>
    <xf numFmtId="0" fontId="4" fillId="14" borderId="42" xfId="0" applyFont="1" applyFill="1" applyBorder="1" applyAlignment="1" applyProtection="1">
      <alignment horizontal="center" vertical="center" textRotation="90" wrapText="1"/>
    </xf>
    <xf numFmtId="0" fontId="4" fillId="14" borderId="12" xfId="0" applyFont="1" applyFill="1" applyBorder="1" applyAlignment="1" applyProtection="1">
      <alignment horizontal="center" vertical="center" wrapText="1"/>
    </xf>
    <xf numFmtId="0" fontId="4" fillId="14" borderId="3" xfId="0" applyFont="1" applyFill="1" applyBorder="1" applyAlignment="1" applyProtection="1">
      <alignment horizontal="center" vertical="center" wrapText="1"/>
    </xf>
    <xf numFmtId="0" fontId="4" fillId="14" borderId="7" xfId="0" applyFont="1" applyFill="1" applyBorder="1" applyAlignment="1" applyProtection="1">
      <alignment horizontal="center" vertical="center" wrapText="1"/>
    </xf>
    <xf numFmtId="0" fontId="0" fillId="14" borderId="527" xfId="0" applyFill="1" applyBorder="1" applyAlignment="1" applyProtection="1">
      <alignment horizontal="left" vertical="center" wrapText="1"/>
    </xf>
    <xf numFmtId="0" fontId="0" fillId="14" borderId="396" xfId="0" applyFill="1" applyBorder="1" applyAlignment="1" applyProtection="1">
      <alignment horizontal="left" vertical="center" wrapText="1"/>
    </xf>
    <xf numFmtId="0" fontId="0" fillId="14" borderId="342" xfId="0" applyFill="1" applyBorder="1" applyAlignment="1" applyProtection="1">
      <alignment horizontal="left" vertical="center" wrapText="1"/>
    </xf>
    <xf numFmtId="0" fontId="0" fillId="14" borderId="142" xfId="0" applyFill="1" applyBorder="1" applyAlignment="1" applyProtection="1">
      <alignment horizontal="left" vertical="center" wrapText="1"/>
    </xf>
    <xf numFmtId="0" fontId="0" fillId="45" borderId="568" xfId="0" applyFill="1" applyBorder="1" applyAlignment="1" applyProtection="1">
      <alignment horizontal="left" vertical="center" wrapText="1"/>
    </xf>
    <xf numFmtId="0" fontId="0" fillId="45" borderId="569" xfId="0" applyFill="1" applyBorder="1" applyAlignment="1" applyProtection="1">
      <alignment horizontal="left" vertical="center" wrapText="1"/>
    </xf>
    <xf numFmtId="0" fontId="0" fillId="45" borderId="568" xfId="0" applyFill="1" applyBorder="1" applyAlignment="1" applyProtection="1">
      <alignment horizontal="left" vertical="center" wrapText="1" indent="1"/>
    </xf>
    <xf numFmtId="0" fontId="0" fillId="45" borderId="569" xfId="0" applyFill="1" applyBorder="1" applyAlignment="1" applyProtection="1">
      <alignment horizontal="left" vertical="center" wrapText="1" indent="1"/>
    </xf>
    <xf numFmtId="0" fontId="0" fillId="14" borderId="186" xfId="0" applyFill="1" applyBorder="1" applyAlignment="1" applyProtection="1">
      <alignment horizontal="left" vertical="center" wrapText="1"/>
    </xf>
    <xf numFmtId="0" fontId="0" fillId="14" borderId="570" xfId="0" applyFill="1" applyBorder="1" applyAlignment="1" applyProtection="1">
      <alignment horizontal="center" vertical="center" wrapText="1"/>
    </xf>
    <xf numFmtId="0" fontId="0" fillId="14" borderId="3" xfId="0" applyFill="1" applyBorder="1" applyAlignment="1" applyProtection="1">
      <alignment horizontal="center" vertical="center" wrapText="1"/>
    </xf>
    <xf numFmtId="0" fontId="0" fillId="14" borderId="7" xfId="0" applyFill="1" applyBorder="1" applyAlignment="1" applyProtection="1">
      <alignment horizontal="center" vertical="center" wrapText="1"/>
    </xf>
    <xf numFmtId="0" fontId="37" fillId="14" borderId="13" xfId="0" applyFont="1" applyFill="1" applyBorder="1" applyAlignment="1" applyProtection="1">
      <alignment horizontal="center" vertical="center"/>
    </xf>
    <xf numFmtId="0" fontId="37" fillId="14" borderId="46" xfId="0" applyFont="1" applyFill="1" applyBorder="1" applyAlignment="1" applyProtection="1">
      <alignment horizontal="center" vertical="center"/>
    </xf>
    <xf numFmtId="0" fontId="37" fillId="14" borderId="64" xfId="0" applyFont="1" applyFill="1" applyBorder="1" applyAlignment="1" applyProtection="1">
      <alignment horizontal="center" vertical="center"/>
    </xf>
    <xf numFmtId="0" fontId="37" fillId="14" borderId="560" xfId="0" applyFont="1" applyFill="1" applyBorder="1" applyAlignment="1" applyProtection="1">
      <alignment horizontal="center" vertical="center" wrapText="1"/>
    </xf>
    <xf numFmtId="0" fontId="77" fillId="14" borderId="0" xfId="0" applyFont="1" applyFill="1" applyAlignment="1" applyProtection="1">
      <alignment horizontal="left" vertical="top" wrapText="1"/>
    </xf>
    <xf numFmtId="0" fontId="0" fillId="0" borderId="559" xfId="0" applyFill="1" applyBorder="1" applyAlignment="1" applyProtection="1">
      <alignment horizontal="center" vertical="center" wrapText="1"/>
    </xf>
    <xf numFmtId="0" fontId="0" fillId="0" borderId="15" xfId="0" applyFill="1" applyBorder="1" applyAlignment="1" applyProtection="1">
      <alignment horizontal="center" vertical="center" wrapText="1"/>
    </xf>
    <xf numFmtId="0" fontId="36" fillId="14" borderId="46" xfId="0" applyFont="1" applyFill="1" applyBorder="1" applyAlignment="1" applyProtection="1">
      <alignment horizontal="left" vertical="center" wrapText="1"/>
    </xf>
    <xf numFmtId="0" fontId="0" fillId="14" borderId="0" xfId="0" applyFill="1" applyAlignment="1" applyProtection="1">
      <alignment horizontal="left" vertical="top" wrapText="1"/>
    </xf>
    <xf numFmtId="0" fontId="0" fillId="14" borderId="2" xfId="0" applyFill="1" applyBorder="1" applyAlignment="1" applyProtection="1">
      <alignment horizontal="left" vertical="top" wrapText="1"/>
    </xf>
    <xf numFmtId="0" fontId="0" fillId="14" borderId="329" xfId="0" applyFill="1" applyBorder="1" applyAlignment="1" applyProtection="1">
      <alignment horizontal="left" vertical="center" wrapText="1"/>
    </xf>
    <xf numFmtId="0" fontId="0" fillId="14" borderId="576" xfId="0" applyFill="1" applyBorder="1" applyAlignment="1" applyProtection="1">
      <alignment horizontal="left" vertical="center" wrapText="1"/>
    </xf>
    <xf numFmtId="0" fontId="0" fillId="14" borderId="227" xfId="0" applyFill="1" applyBorder="1" applyAlignment="1" applyProtection="1">
      <alignment horizontal="left" vertical="center" wrapText="1"/>
    </xf>
    <xf numFmtId="0" fontId="0" fillId="14" borderId="579" xfId="0" applyFill="1" applyBorder="1" applyAlignment="1" applyProtection="1">
      <alignment horizontal="left" vertical="center" wrapText="1"/>
    </xf>
    <xf numFmtId="0" fontId="0" fillId="14" borderId="493" xfId="0" applyFont="1" applyFill="1" applyBorder="1" applyAlignment="1" applyProtection="1">
      <alignment horizontal="center"/>
    </xf>
    <xf numFmtId="0" fontId="0" fillId="14" borderId="536" xfId="0" applyFont="1" applyFill="1" applyBorder="1" applyAlignment="1" applyProtection="1">
      <alignment horizontal="center"/>
    </xf>
    <xf numFmtId="0" fontId="36" fillId="14" borderId="0" xfId="0" applyFont="1" applyFill="1" applyBorder="1" applyAlignment="1" applyProtection="1">
      <alignment horizontal="left" vertical="center" wrapText="1"/>
    </xf>
    <xf numFmtId="0" fontId="18" fillId="14" borderId="557" xfId="0" applyFont="1" applyFill="1" applyBorder="1" applyAlignment="1" applyProtection="1">
      <alignment horizontal="left" vertical="center" wrapText="1"/>
    </xf>
    <xf numFmtId="0" fontId="36" fillId="14" borderId="557" xfId="0" applyFont="1" applyFill="1" applyBorder="1" applyAlignment="1" applyProtection="1">
      <alignment horizontal="left" vertical="center" wrapText="1"/>
    </xf>
    <xf numFmtId="0" fontId="0" fillId="14" borderId="0" xfId="0" applyFill="1" applyBorder="1" applyAlignment="1" applyProtection="1">
      <alignment horizontal="center"/>
    </xf>
    <xf numFmtId="0" fontId="18" fillId="14" borderId="0" xfId="0" applyFont="1" applyFill="1" applyBorder="1" applyAlignment="1" applyProtection="1">
      <alignment horizontal="left" vertical="center" wrapText="1"/>
    </xf>
    <xf numFmtId="0" fontId="18" fillId="14" borderId="46" xfId="0" applyFont="1" applyFill="1" applyBorder="1" applyAlignment="1" applyProtection="1">
      <alignment horizontal="left" vertical="center" wrapText="1"/>
    </xf>
    <xf numFmtId="0" fontId="0" fillId="14" borderId="0" xfId="0" applyFill="1" applyBorder="1" applyAlignment="1" applyProtection="1">
      <alignment vertical="center" wrapText="1"/>
    </xf>
    <xf numFmtId="0" fontId="25" fillId="14" borderId="12" xfId="0" applyFont="1" applyFill="1" applyBorder="1" applyAlignment="1" applyProtection="1">
      <alignment horizontal="center" vertical="center" wrapText="1"/>
    </xf>
    <xf numFmtId="0" fontId="25" fillId="14" borderId="3" xfId="0" applyFont="1" applyFill="1" applyBorder="1" applyAlignment="1" applyProtection="1">
      <alignment horizontal="center" vertical="center" wrapText="1"/>
    </xf>
    <xf numFmtId="0" fontId="25" fillId="14" borderId="7" xfId="0" applyFont="1" applyFill="1" applyBorder="1" applyAlignment="1" applyProtection="1">
      <alignment horizontal="center" vertical="center" wrapText="1"/>
    </xf>
    <xf numFmtId="0" fontId="25" fillId="14" borderId="306" xfId="0" applyFont="1" applyFill="1" applyBorder="1" applyAlignment="1" applyProtection="1">
      <alignment horizontal="center" vertical="center" wrapText="1"/>
    </xf>
    <xf numFmtId="0" fontId="0" fillId="14" borderId="12" xfId="0" applyFill="1" applyBorder="1" applyAlignment="1" applyProtection="1">
      <alignment horizontal="center" vertical="center" wrapText="1"/>
    </xf>
    <xf numFmtId="0" fontId="0" fillId="14" borderId="9" xfId="0" applyFill="1" applyBorder="1" applyAlignment="1" applyProtection="1">
      <alignment horizontal="center" vertical="center" wrapText="1"/>
    </xf>
    <xf numFmtId="0" fontId="0" fillId="14" borderId="26" xfId="0" applyFill="1" applyBorder="1" applyAlignment="1" applyProtection="1">
      <alignment horizontal="center" vertical="center" wrapText="1"/>
    </xf>
    <xf numFmtId="0" fontId="0" fillId="14" borderId="302" xfId="0" applyFill="1" applyBorder="1" applyAlignment="1" applyProtection="1">
      <alignment horizontal="center" vertical="center" wrapText="1"/>
    </xf>
    <xf numFmtId="0" fontId="0" fillId="14" borderId="303" xfId="0" applyFill="1" applyBorder="1" applyAlignment="1" applyProtection="1">
      <alignment horizontal="center" vertical="center" wrapText="1"/>
    </xf>
    <xf numFmtId="0" fontId="37" fillId="14" borderId="24" xfId="0" applyFont="1" applyFill="1" applyBorder="1" applyAlignment="1" applyProtection="1">
      <alignment horizontal="center" vertical="center" wrapText="1"/>
    </xf>
    <xf numFmtId="0" fontId="37" fillId="14" borderId="3" xfId="0" applyFont="1" applyFill="1" applyBorder="1" applyAlignment="1" applyProtection="1">
      <alignment horizontal="center" vertical="center" wrapText="1"/>
    </xf>
    <xf numFmtId="0" fontId="37" fillId="14" borderId="98" xfId="0" applyFont="1" applyFill="1" applyBorder="1" applyAlignment="1" applyProtection="1">
      <alignment horizontal="center" vertical="center" wrapText="1"/>
    </xf>
    <xf numFmtId="0" fontId="37" fillId="14" borderId="7" xfId="0" applyFont="1" applyFill="1" applyBorder="1" applyAlignment="1" applyProtection="1">
      <alignment horizontal="center" vertical="center" wrapText="1"/>
    </xf>
    <xf numFmtId="0" fontId="37" fillId="14" borderId="570" xfId="0" applyFont="1" applyFill="1" applyBorder="1" applyAlignment="1" applyProtection="1">
      <alignment horizontal="center" vertical="center" wrapText="1"/>
    </xf>
    <xf numFmtId="0" fontId="4" fillId="14" borderId="570" xfId="0" applyFont="1" applyFill="1" applyBorder="1" applyAlignment="1" applyProtection="1">
      <alignment horizontal="center" vertical="center" wrapText="1"/>
    </xf>
    <xf numFmtId="0" fontId="4" fillId="14" borderId="3" xfId="0" applyFont="1" applyFill="1" applyBorder="1" applyAlignment="1" applyProtection="1">
      <alignment horizontal="center"/>
    </xf>
    <xf numFmtId="0" fontId="4" fillId="14" borderId="7" xfId="0" applyFont="1" applyFill="1" applyBorder="1" applyAlignment="1" applyProtection="1">
      <alignment horizontal="center"/>
    </xf>
    <xf numFmtId="0" fontId="4" fillId="14" borderId="9" xfId="0" applyFont="1" applyFill="1" applyBorder="1" applyAlignment="1" applyProtection="1">
      <alignment horizontal="center"/>
    </xf>
    <xf numFmtId="0" fontId="36" fillId="14" borderId="344" xfId="0" applyFont="1" applyFill="1" applyBorder="1" applyAlignment="1" applyProtection="1">
      <alignment horizontal="left" vertical="center" wrapText="1"/>
    </xf>
    <xf numFmtId="0" fontId="0" fillId="14" borderId="19" xfId="0" applyFill="1" applyBorder="1" applyAlignment="1" applyProtection="1">
      <alignment vertical="center" wrapText="1"/>
    </xf>
    <xf numFmtId="0" fontId="0" fillId="14" borderId="47" xfId="0" applyFill="1" applyBorder="1" applyAlignment="1" applyProtection="1">
      <alignment vertical="center" wrapText="1"/>
    </xf>
    <xf numFmtId="0" fontId="0" fillId="14" borderId="0" xfId="0" applyFill="1" applyBorder="1" applyAlignment="1" applyProtection="1">
      <alignment horizontal="left" vertical="top" wrapText="1"/>
    </xf>
    <xf numFmtId="0" fontId="0" fillId="14" borderId="19" xfId="0" applyFill="1" applyBorder="1" applyAlignment="1" applyProtection="1">
      <alignment horizontal="left" vertical="top" wrapText="1"/>
    </xf>
    <xf numFmtId="0" fontId="18" fillId="14" borderId="344" xfId="0" applyFont="1" applyFill="1" applyBorder="1" applyAlignment="1" applyProtection="1">
      <alignment horizontal="left" vertical="center" wrapText="1"/>
    </xf>
    <xf numFmtId="203" fontId="0" fillId="50" borderId="568" xfId="0" applyNumberFormat="1" applyFill="1" applyBorder="1" applyAlignment="1" applyProtection="1">
      <alignment horizontal="center" vertical="center" wrapText="1"/>
    </xf>
    <xf numFmtId="203" fontId="0" fillId="50" borderId="569" xfId="0" applyNumberForma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0" fillId="14" borderId="47" xfId="0" applyFill="1" applyBorder="1" applyAlignment="1" applyProtection="1">
      <alignment horizontal="left" vertical="center"/>
    </xf>
    <xf numFmtId="199" fontId="0" fillId="0" borderId="24" xfId="0" applyNumberFormat="1" applyFont="1" applyFill="1" applyBorder="1" applyAlignment="1" applyProtection="1">
      <alignment horizontal="center" vertical="center" wrapText="1"/>
    </xf>
    <xf numFmtId="199" fontId="0" fillId="0" borderId="3" xfId="0" applyNumberFormat="1" applyFont="1" applyFill="1" applyBorder="1" applyAlignment="1" applyProtection="1">
      <alignment horizontal="center" vertical="center" wrapText="1"/>
    </xf>
    <xf numFmtId="199" fontId="0" fillId="0" borderId="9" xfId="0" applyNumberFormat="1" applyFont="1" applyFill="1" applyBorder="1" applyAlignment="1" applyProtection="1">
      <alignment horizontal="center" vertical="center" wrapText="1"/>
    </xf>
    <xf numFmtId="0" fontId="37" fillId="14" borderId="558" xfId="0" applyFont="1" applyFill="1" applyBorder="1" applyAlignment="1" applyProtection="1">
      <alignment horizontal="center" vertical="center" wrapText="1"/>
    </xf>
    <xf numFmtId="0" fontId="0" fillId="14" borderId="561" xfId="0" applyFont="1" applyFill="1" applyBorder="1" applyAlignment="1" applyProtection="1">
      <alignment horizontal="left" vertical="center" wrapText="1"/>
    </xf>
    <xf numFmtId="0" fontId="0" fillId="14" borderId="16" xfId="0" applyFill="1" applyBorder="1" applyAlignment="1" applyProtection="1">
      <alignment horizontal="center" vertical="center"/>
    </xf>
    <xf numFmtId="0" fontId="0" fillId="14" borderId="557" xfId="0" quotePrefix="1" applyFill="1" applyBorder="1" applyAlignment="1" applyProtection="1">
      <alignment horizontal="left" vertical="center" wrapText="1"/>
    </xf>
    <xf numFmtId="0" fontId="0" fillId="0" borderId="493" xfId="0" applyFont="1" applyFill="1" applyBorder="1" applyAlignment="1" applyProtection="1">
      <alignment horizontal="center"/>
    </xf>
    <xf numFmtId="0" fontId="0" fillId="14" borderId="557" xfId="0" applyFill="1" applyBorder="1" applyAlignment="1" applyProtection="1">
      <alignment vertical="center" wrapText="1"/>
    </xf>
    <xf numFmtId="183" fontId="0" fillId="14" borderId="0" xfId="0" applyNumberFormat="1" applyFill="1" applyBorder="1" applyAlignment="1" applyProtection="1">
      <alignment horizontal="right" vertical="center" wrapText="1" indent="1"/>
    </xf>
    <xf numFmtId="183" fontId="0" fillId="14" borderId="47" xfId="0" applyNumberFormat="1" applyFill="1" applyBorder="1" applyAlignment="1" applyProtection="1">
      <alignment horizontal="right" vertical="center" wrapText="1" indent="1"/>
    </xf>
    <xf numFmtId="0" fontId="0" fillId="44" borderId="487" xfId="0" applyFill="1" applyBorder="1" applyAlignment="1" applyProtection="1">
      <alignment horizontal="center" vertical="center" wrapText="1"/>
    </xf>
    <xf numFmtId="0" fontId="0" fillId="44" borderId="572" xfId="0" applyFill="1" applyBorder="1" applyAlignment="1" applyProtection="1">
      <alignment horizontal="center" vertical="center" wrapText="1"/>
    </xf>
    <xf numFmtId="0" fontId="0" fillId="44" borderId="573" xfId="0" applyFill="1" applyBorder="1" applyAlignment="1" applyProtection="1">
      <alignment horizontal="left" vertical="center" wrapText="1"/>
    </xf>
    <xf numFmtId="0" fontId="0" fillId="44" borderId="442" xfId="0" applyFill="1" applyBorder="1" applyAlignment="1" applyProtection="1">
      <alignment horizontal="left" vertical="center" wrapText="1"/>
    </xf>
    <xf numFmtId="203" fontId="0" fillId="44" borderId="487" xfId="0" applyNumberFormat="1" applyFill="1" applyBorder="1" applyAlignment="1" applyProtection="1">
      <alignment horizontal="center" vertical="center" wrapText="1"/>
    </xf>
    <xf numFmtId="203" fontId="0" fillId="44" borderId="572" xfId="0" applyNumberFormat="1" applyFill="1" applyBorder="1" applyAlignment="1" applyProtection="1">
      <alignment horizontal="center" vertical="center" wrapText="1"/>
    </xf>
    <xf numFmtId="0" fontId="0" fillId="44" borderId="568" xfId="0" applyFill="1" applyBorder="1" applyAlignment="1" applyProtection="1">
      <alignment horizontal="center" vertical="center" wrapText="1"/>
    </xf>
    <xf numFmtId="0" fontId="0" fillId="44" borderId="569" xfId="0" applyFill="1" applyBorder="1" applyAlignment="1" applyProtection="1">
      <alignment horizontal="center" vertical="center" wrapText="1"/>
    </xf>
    <xf numFmtId="203" fontId="0" fillId="44" borderId="568" xfId="0" applyNumberFormat="1" applyFill="1" applyBorder="1" applyAlignment="1" applyProtection="1">
      <alignment horizontal="center" vertical="center" wrapText="1"/>
    </xf>
    <xf numFmtId="203" fontId="0" fillId="44" borderId="569" xfId="0" applyNumberFormat="1" applyFill="1" applyBorder="1" applyAlignment="1" applyProtection="1">
      <alignment horizontal="center" vertical="center" wrapText="1"/>
    </xf>
    <xf numFmtId="0" fontId="4" fillId="14" borderId="12" xfId="0" applyFont="1" applyFill="1" applyBorder="1" applyAlignment="1" applyProtection="1">
      <alignment horizontal="left" vertical="center" wrapText="1" indent="1"/>
    </xf>
    <xf numFmtId="0" fontId="4" fillId="14" borderId="3" xfId="0" applyFont="1" applyFill="1" applyBorder="1" applyAlignment="1" applyProtection="1">
      <alignment horizontal="left" vertical="center" wrapText="1" indent="1"/>
    </xf>
    <xf numFmtId="0" fontId="0" fillId="14" borderId="19" xfId="0" applyFill="1" applyBorder="1" applyAlignment="1" applyProtection="1">
      <alignment horizontal="center"/>
    </xf>
    <xf numFmtId="0" fontId="25" fillId="14" borderId="12" xfId="0" applyFont="1" applyFill="1" applyBorder="1" applyAlignment="1" applyProtection="1">
      <alignment horizontal="right" vertical="center" wrapText="1" indent="1"/>
    </xf>
    <xf numFmtId="0" fontId="25" fillId="14" borderId="3" xfId="0" applyFont="1" applyFill="1" applyBorder="1" applyAlignment="1" applyProtection="1">
      <alignment horizontal="right" vertical="center" wrapText="1" indent="1"/>
    </xf>
    <xf numFmtId="0" fontId="25" fillId="14" borderId="7" xfId="0" applyFont="1" applyFill="1" applyBorder="1" applyAlignment="1" applyProtection="1">
      <alignment horizontal="right" vertical="center" wrapText="1" indent="1"/>
    </xf>
    <xf numFmtId="0" fontId="25" fillId="14" borderId="24" xfId="0" applyFont="1" applyFill="1" applyBorder="1" applyAlignment="1" applyProtection="1">
      <alignment horizontal="right" vertical="center" wrapText="1" indent="1"/>
    </xf>
    <xf numFmtId="0" fontId="0" fillId="14" borderId="12" xfId="0" applyFont="1" applyFill="1" applyBorder="1" applyAlignment="1" applyProtection="1">
      <alignment horizontal="left" vertical="center"/>
    </xf>
    <xf numFmtId="0" fontId="0" fillId="14" borderId="3" xfId="0" applyFont="1" applyFill="1" applyBorder="1" applyAlignment="1" applyProtection="1">
      <alignment horizontal="left" vertical="center"/>
    </xf>
    <xf numFmtId="0" fontId="0" fillId="14" borderId="9" xfId="0" applyFont="1" applyFill="1" applyBorder="1" applyAlignment="1" applyProtection="1">
      <alignment horizontal="left" vertical="center"/>
    </xf>
    <xf numFmtId="0" fontId="0" fillId="14" borderId="344" xfId="0" applyFill="1" applyBorder="1" applyAlignment="1" applyProtection="1">
      <alignment horizontal="left" vertical="center" wrapText="1"/>
    </xf>
    <xf numFmtId="0" fontId="0" fillId="45" borderId="568" xfId="0" applyFill="1" applyBorder="1" applyAlignment="1" applyProtection="1">
      <alignment horizontal="right" vertical="center" wrapText="1" indent="1"/>
    </xf>
    <xf numFmtId="0" fontId="0" fillId="45" borderId="569" xfId="0" applyFill="1" applyBorder="1" applyAlignment="1" applyProtection="1">
      <alignment horizontal="right" vertical="center" wrapText="1" indent="1"/>
    </xf>
    <xf numFmtId="216" fontId="0" fillId="45" borderId="568" xfId="0" applyNumberFormat="1" applyFill="1" applyBorder="1" applyAlignment="1" applyProtection="1">
      <alignment horizontal="center" vertical="center" wrapText="1"/>
    </xf>
    <xf numFmtId="216" fontId="0" fillId="45" borderId="569" xfId="0" applyNumberFormat="1" applyFill="1" applyBorder="1" applyAlignment="1" applyProtection="1">
      <alignment horizontal="center" vertical="center" wrapText="1"/>
    </xf>
    <xf numFmtId="203" fontId="0" fillId="45" borderId="568" xfId="0" applyNumberFormat="1" applyFill="1" applyBorder="1" applyAlignment="1" applyProtection="1">
      <alignment horizontal="center" vertical="center" wrapText="1"/>
    </xf>
    <xf numFmtId="203" fontId="0" fillId="45" borderId="569" xfId="0" applyNumberFormat="1" applyFill="1" applyBorder="1" applyAlignment="1" applyProtection="1">
      <alignment horizontal="center" vertical="center" wrapText="1"/>
    </xf>
    <xf numFmtId="183" fontId="0" fillId="14" borderId="19" xfId="0" applyNumberFormat="1" applyFill="1" applyBorder="1" applyAlignment="1" applyProtection="1">
      <alignment horizontal="right" vertical="center" wrapText="1" indent="1"/>
    </xf>
    <xf numFmtId="0" fontId="0" fillId="14" borderId="19" xfId="0" applyFill="1" applyBorder="1" applyAlignment="1" applyProtection="1">
      <alignment horizontal="left" vertical="center"/>
    </xf>
    <xf numFmtId="0" fontId="0" fillId="14" borderId="0" xfId="0" applyFill="1" applyAlignment="1" applyProtection="1">
      <alignment horizontal="left" vertical="center" wrapText="1"/>
    </xf>
    <xf numFmtId="0" fontId="0" fillId="14" borderId="2" xfId="0" applyFill="1" applyBorder="1" applyAlignment="1" applyProtection="1">
      <alignment horizontal="left" vertical="center" wrapText="1"/>
    </xf>
    <xf numFmtId="0" fontId="0" fillId="14" borderId="526" xfId="0" applyFill="1" applyBorder="1" applyAlignment="1" applyProtection="1">
      <alignment horizontal="left" vertical="center" wrapText="1" indent="1"/>
    </xf>
    <xf numFmtId="0" fontId="0" fillId="14" borderId="329" xfId="0" applyFill="1" applyBorder="1" applyAlignment="1" applyProtection="1">
      <alignment horizontal="left" vertical="center" wrapText="1" indent="1"/>
    </xf>
    <xf numFmtId="216" fontId="0" fillId="44" borderId="568" xfId="0" applyNumberFormat="1" applyFill="1" applyBorder="1" applyAlignment="1" applyProtection="1">
      <alignment horizontal="center" vertical="center" wrapText="1"/>
    </xf>
    <xf numFmtId="216" fontId="0" fillId="44" borderId="569" xfId="0" applyNumberFormat="1" applyFill="1" applyBorder="1" applyAlignment="1" applyProtection="1">
      <alignment horizontal="center" vertical="center" wrapText="1"/>
    </xf>
    <xf numFmtId="0" fontId="18" fillId="14" borderId="563" xfId="0" applyFont="1" applyFill="1" applyBorder="1" applyAlignment="1" applyProtection="1">
      <alignment horizontal="left" vertical="center" wrapText="1"/>
    </xf>
    <xf numFmtId="0" fontId="18" fillId="14" borderId="564" xfId="0" applyFont="1" applyFill="1" applyBorder="1" applyAlignment="1" applyProtection="1">
      <alignment horizontal="left" vertical="center" wrapText="1"/>
    </xf>
    <xf numFmtId="0" fontId="18" fillId="14" borderId="565" xfId="0" applyFont="1" applyFill="1" applyBorder="1" applyAlignment="1" applyProtection="1">
      <alignment horizontal="left" vertical="center" wrapText="1"/>
    </xf>
    <xf numFmtId="202" fontId="0" fillId="14" borderId="557" xfId="0" applyNumberFormat="1" applyFill="1" applyBorder="1" applyAlignment="1" applyProtection="1">
      <alignment horizontal="center" vertical="center" wrapText="1"/>
    </xf>
    <xf numFmtId="202" fontId="0" fillId="14" borderId="0" xfId="0" applyNumberFormat="1" applyFill="1" applyBorder="1" applyAlignment="1" applyProtection="1">
      <alignment horizontal="center" vertical="center" wrapText="1"/>
    </xf>
    <xf numFmtId="183" fontId="0" fillId="14" borderId="557" xfId="0" applyNumberFormat="1" applyFill="1" applyBorder="1" applyAlignment="1" applyProtection="1">
      <alignment horizontal="center" vertical="center" wrapText="1"/>
    </xf>
    <xf numFmtId="183" fontId="0" fillId="14" borderId="0" xfId="0" applyNumberFormat="1" applyFill="1" applyBorder="1" applyAlignment="1" applyProtection="1">
      <alignment horizontal="center" vertical="center" wrapText="1"/>
    </xf>
    <xf numFmtId="0" fontId="18" fillId="14" borderId="0" xfId="0" applyFont="1" applyFill="1" applyBorder="1" applyAlignment="1" applyProtection="1">
      <alignment vertical="center" wrapText="1"/>
    </xf>
    <xf numFmtId="0" fontId="36" fillId="14" borderId="0" xfId="0" applyFont="1" applyFill="1" applyBorder="1" applyAlignment="1" applyProtection="1">
      <alignment vertical="center" wrapText="1"/>
    </xf>
    <xf numFmtId="0" fontId="18" fillId="14" borderId="557" xfId="0" applyFont="1" applyFill="1" applyBorder="1" applyAlignment="1" applyProtection="1">
      <alignment vertical="center" wrapText="1"/>
    </xf>
    <xf numFmtId="0" fontId="36" fillId="14" borderId="557" xfId="0" applyFont="1" applyFill="1" applyBorder="1" applyAlignment="1" applyProtection="1">
      <alignment vertical="center" wrapText="1"/>
    </xf>
    <xf numFmtId="0" fontId="0" fillId="44" borderId="573" xfId="0" applyFill="1" applyBorder="1" applyAlignment="1" applyProtection="1">
      <alignment horizontal="right" vertical="center" wrapText="1" indent="1"/>
    </xf>
    <xf numFmtId="0" fontId="0" fillId="44" borderId="442" xfId="0" applyFill="1" applyBorder="1" applyAlignment="1" applyProtection="1">
      <alignment horizontal="right" vertical="center" wrapText="1" indent="1"/>
    </xf>
    <xf numFmtId="201" fontId="0" fillId="44" borderId="573" xfId="0" applyNumberFormat="1" applyFill="1" applyBorder="1" applyAlignment="1" applyProtection="1">
      <alignment horizontal="center" vertical="center" wrapText="1"/>
    </xf>
    <xf numFmtId="201" fontId="0" fillId="44" borderId="442" xfId="0" applyNumberFormat="1" applyFill="1" applyBorder="1" applyAlignment="1" applyProtection="1">
      <alignment horizontal="center" vertical="center" wrapText="1"/>
    </xf>
    <xf numFmtId="183" fontId="0" fillId="14" borderId="557" xfId="0" applyNumberFormat="1" applyFill="1" applyBorder="1" applyAlignment="1" applyProtection="1">
      <alignment horizontal="right" vertical="center" wrapText="1" indent="1"/>
    </xf>
    <xf numFmtId="0" fontId="18" fillId="0" borderId="186" xfId="0" applyFont="1" applyFill="1" applyBorder="1" applyAlignment="1" applyProtection="1">
      <alignment horizontal="left" vertical="center" wrapText="1"/>
    </xf>
    <xf numFmtId="0" fontId="18" fillId="0" borderId="195" xfId="0" applyFont="1" applyFill="1" applyBorder="1" applyAlignment="1" applyProtection="1">
      <alignment horizontal="left" vertical="center" wrapText="1"/>
    </xf>
    <xf numFmtId="0" fontId="0" fillId="14" borderId="0" xfId="0" applyFill="1" applyBorder="1" applyAlignment="1" applyProtection="1">
      <alignment horizontal="left" wrapText="1"/>
    </xf>
    <xf numFmtId="0" fontId="0" fillId="0" borderId="24" xfId="0" applyFill="1" applyBorder="1" applyAlignment="1" applyProtection="1">
      <alignment horizontal="left" vertical="center" wrapText="1" indent="1"/>
    </xf>
    <xf numFmtId="0" fontId="0" fillId="0" borderId="3" xfId="0" applyFill="1" applyBorder="1" applyAlignment="1" applyProtection="1">
      <alignment horizontal="left" vertical="center" wrapText="1" indent="1"/>
    </xf>
    <xf numFmtId="0" fontId="0" fillId="0" borderId="7" xfId="0" applyFill="1" applyBorder="1" applyAlignment="1" applyProtection="1">
      <alignment horizontal="left" vertical="center" wrapText="1" indent="1"/>
    </xf>
    <xf numFmtId="0" fontId="0" fillId="0" borderId="101" xfId="0" applyFont="1" applyFill="1" applyBorder="1" applyAlignment="1" applyProtection="1">
      <alignment vertical="center" wrapText="1"/>
    </xf>
    <xf numFmtId="0" fontId="0" fillId="0" borderId="3" xfId="0" applyFont="1" applyFill="1" applyBorder="1" applyAlignment="1" applyProtection="1">
      <alignment vertical="center" wrapText="1"/>
    </xf>
    <xf numFmtId="0" fontId="0" fillId="0" borderId="7" xfId="0" applyFont="1" applyFill="1" applyBorder="1" applyAlignment="1" applyProtection="1">
      <alignment vertical="center" wrapText="1"/>
    </xf>
    <xf numFmtId="0" fontId="0" fillId="14" borderId="353" xfId="0" applyFill="1" applyBorder="1" applyAlignment="1" applyProtection="1">
      <alignment horizontal="left" vertical="center" wrapText="1"/>
    </xf>
    <xf numFmtId="0" fontId="0" fillId="14" borderId="353" xfId="0" applyFill="1" applyBorder="1" applyProtection="1"/>
    <xf numFmtId="0" fontId="0" fillId="14" borderId="13" xfId="0" applyFill="1" applyBorder="1" applyAlignment="1" applyProtection="1">
      <alignment horizontal="center" vertical="center" wrapText="1"/>
    </xf>
    <xf numFmtId="0" fontId="0" fillId="14" borderId="1" xfId="0" applyFill="1" applyBorder="1" applyAlignment="1" applyProtection="1">
      <alignment horizontal="center" vertical="center" wrapText="1"/>
    </xf>
    <xf numFmtId="0" fontId="0" fillId="14" borderId="8" xfId="0" applyFill="1" applyBorder="1" applyAlignment="1" applyProtection="1">
      <alignment horizontal="center" vertical="center" wrapText="1"/>
    </xf>
    <xf numFmtId="199" fontId="0" fillId="0" borderId="7" xfId="0" applyNumberFormat="1" applyFont="1" applyFill="1" applyBorder="1" applyAlignment="1" applyProtection="1">
      <alignment horizontal="center" vertical="center" wrapText="1"/>
    </xf>
    <xf numFmtId="199" fontId="0" fillId="0" borderId="306" xfId="0" applyNumberFormat="1" applyFont="1" applyFill="1" applyBorder="1" applyAlignment="1" applyProtection="1">
      <alignment horizontal="center" vertical="center" wrapText="1"/>
    </xf>
    <xf numFmtId="0" fontId="18" fillId="14" borderId="177" xfId="0" applyFont="1" applyFill="1" applyBorder="1" applyAlignment="1" applyProtection="1">
      <alignment horizontal="left" vertical="center" wrapText="1"/>
    </xf>
    <xf numFmtId="0" fontId="0" fillId="0" borderId="12" xfId="0"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0" fontId="0" fillId="0" borderId="9" xfId="0" applyFont="1" applyFill="1" applyBorder="1" applyAlignment="1" applyProtection="1">
      <alignment horizontal="center" vertical="center" wrapText="1"/>
    </xf>
    <xf numFmtId="0" fontId="18" fillId="14" borderId="163" xfId="0" applyFont="1" applyFill="1" applyBorder="1" applyAlignment="1" applyProtection="1">
      <alignment horizontal="left" vertical="center" wrapText="1"/>
    </xf>
    <xf numFmtId="0" fontId="0" fillId="0" borderId="139" xfId="0" applyFill="1" applyBorder="1" applyAlignment="1" applyProtection="1">
      <alignment horizontal="center" vertical="center" wrapText="1"/>
    </xf>
    <xf numFmtId="0" fontId="41" fillId="14" borderId="26" xfId="0" applyFont="1" applyFill="1" applyBorder="1" applyAlignment="1" applyProtection="1">
      <alignment horizontal="center" vertical="center" wrapText="1"/>
    </xf>
    <xf numFmtId="0" fontId="41" fillId="14" borderId="23" xfId="0" applyFont="1" applyFill="1" applyBorder="1" applyAlignment="1" applyProtection="1">
      <alignment horizontal="center" vertical="center" wrapText="1"/>
    </xf>
    <xf numFmtId="0" fontId="41" fillId="14" borderId="302" xfId="0" applyFont="1" applyFill="1" applyBorder="1" applyAlignment="1" applyProtection="1">
      <alignment horizontal="center" vertical="center" wrapText="1"/>
    </xf>
    <xf numFmtId="0" fontId="41" fillId="14" borderId="27" xfId="0" applyFont="1" applyFill="1" applyBorder="1" applyAlignment="1" applyProtection="1">
      <alignment horizontal="center" vertical="center" wrapText="1"/>
    </xf>
    <xf numFmtId="0" fontId="0" fillId="14" borderId="26" xfId="0" applyFont="1" applyFill="1" applyBorder="1" applyAlignment="1" applyProtection="1">
      <alignment horizontal="center" vertical="center" wrapText="1"/>
    </xf>
    <xf numFmtId="0" fontId="0" fillId="14" borderId="23" xfId="0" applyFont="1" applyFill="1" applyBorder="1" applyAlignment="1" applyProtection="1">
      <alignment horizontal="center" vertical="center" wrapText="1"/>
    </xf>
    <xf numFmtId="0" fontId="0" fillId="14" borderId="302" xfId="0" applyFont="1" applyFill="1" applyBorder="1" applyAlignment="1" applyProtection="1">
      <alignment horizontal="center" vertical="center" wrapText="1"/>
    </xf>
    <xf numFmtId="0" fontId="0" fillId="14" borderId="27" xfId="0" applyFont="1" applyFill="1" applyBorder="1" applyAlignment="1" applyProtection="1">
      <alignment horizontal="center" vertical="center" wrapText="1"/>
    </xf>
    <xf numFmtId="198" fontId="0" fillId="0" borderId="12" xfId="0" applyNumberFormat="1" applyFont="1" applyFill="1" applyBorder="1" applyAlignment="1" applyProtection="1">
      <alignment horizontal="center" vertical="center" wrapText="1"/>
    </xf>
    <xf numFmtId="198" fontId="0" fillId="0" borderId="3" xfId="0" applyNumberFormat="1" applyFont="1" applyFill="1" applyBorder="1" applyAlignment="1" applyProtection="1">
      <alignment horizontal="center" vertical="center" wrapText="1"/>
    </xf>
    <xf numFmtId="198" fontId="0" fillId="0" borderId="7" xfId="0" applyNumberFormat="1" applyFont="1" applyFill="1" applyBorder="1" applyAlignment="1" applyProtection="1">
      <alignment horizontal="center" vertical="center" wrapText="1"/>
    </xf>
    <xf numFmtId="0" fontId="0" fillId="0" borderId="12" xfId="0" applyFont="1" applyFill="1" applyBorder="1" applyAlignment="1" applyProtection="1">
      <alignment horizontal="left" vertical="center" wrapText="1" indent="1"/>
    </xf>
    <xf numFmtId="0" fontId="0" fillId="0" borderId="3" xfId="0" applyFont="1" applyFill="1" applyBorder="1" applyAlignment="1" applyProtection="1">
      <alignment horizontal="left" vertical="center" wrapText="1" indent="1"/>
    </xf>
    <xf numFmtId="0" fontId="0" fillId="0" borderId="9" xfId="0" applyFont="1" applyFill="1" applyBorder="1" applyAlignment="1" applyProtection="1">
      <alignment horizontal="left" vertical="center" wrapText="1" indent="1"/>
    </xf>
    <xf numFmtId="0" fontId="0" fillId="0" borderId="26" xfId="0" applyFont="1" applyFill="1" applyBorder="1" applyAlignment="1" applyProtection="1">
      <alignment horizontal="center" vertical="center" wrapText="1"/>
    </xf>
    <xf numFmtId="0" fontId="0" fillId="0" borderId="23" xfId="0" applyFont="1" applyFill="1" applyBorder="1" applyAlignment="1" applyProtection="1">
      <alignment horizontal="center" vertical="center" wrapText="1"/>
    </xf>
    <xf numFmtId="0" fontId="0" fillId="0" borderId="302"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4" fillId="14" borderId="26" xfId="0" applyFont="1" applyFill="1" applyBorder="1" applyAlignment="1" applyProtection="1">
      <alignment horizontal="center" vertical="center" wrapText="1"/>
    </xf>
    <xf numFmtId="0" fontId="4" fillId="14" borderId="23" xfId="0" applyFont="1" applyFill="1" applyBorder="1" applyAlignment="1" applyProtection="1">
      <alignment horizontal="center" vertical="center" wrapText="1"/>
    </xf>
    <xf numFmtId="0" fontId="4" fillId="14" borderId="302" xfId="0" applyFont="1" applyFill="1" applyBorder="1" applyAlignment="1" applyProtection="1">
      <alignment horizontal="center" vertical="center" wrapText="1"/>
    </xf>
    <xf numFmtId="0" fontId="4" fillId="14" borderId="27" xfId="0" applyFont="1" applyFill="1" applyBorder="1" applyAlignment="1" applyProtection="1">
      <alignment horizontal="center" vertical="center" wrapText="1"/>
    </xf>
    <xf numFmtId="199" fontId="0" fillId="0" borderId="219" xfId="0" applyNumberFormat="1" applyFont="1" applyFill="1" applyBorder="1" applyAlignment="1" applyProtection="1">
      <alignment horizontal="center" vertical="center" wrapText="1"/>
    </xf>
    <xf numFmtId="0" fontId="0" fillId="0" borderId="26"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0" fillId="0" borderId="302" xfId="0" applyFill="1" applyBorder="1" applyAlignment="1" applyProtection="1">
      <alignment horizontal="center" vertical="center" wrapText="1"/>
    </xf>
    <xf numFmtId="0" fontId="0" fillId="0" borderId="27" xfId="0" applyFill="1" applyBorder="1" applyAlignment="1" applyProtection="1">
      <alignment horizontal="center" vertical="center" wrapText="1"/>
    </xf>
    <xf numFmtId="0" fontId="1" fillId="14" borderId="12" xfId="0" applyFont="1" applyFill="1" applyBorder="1" applyAlignment="1" applyProtection="1">
      <alignment horizontal="center" vertical="center" wrapText="1"/>
    </xf>
    <xf numFmtId="0" fontId="1" fillId="14" borderId="3" xfId="0" applyFont="1" applyFill="1" applyBorder="1" applyAlignment="1" applyProtection="1">
      <alignment horizontal="center" vertical="center" wrapText="1"/>
    </xf>
    <xf numFmtId="0" fontId="1" fillId="14" borderId="9" xfId="0" applyFont="1" applyFill="1" applyBorder="1" applyAlignment="1" applyProtection="1">
      <alignment horizontal="center" vertical="center" wrapText="1"/>
    </xf>
    <xf numFmtId="0" fontId="40" fillId="14" borderId="12" xfId="0" applyFont="1" applyFill="1" applyBorder="1" applyAlignment="1" applyProtection="1">
      <alignment horizontal="center" vertical="center" textRotation="90" wrapText="1"/>
    </xf>
    <xf numFmtId="0" fontId="40" fillId="14" borderId="3" xfId="0" applyFont="1" applyFill="1" applyBorder="1" applyAlignment="1" applyProtection="1">
      <alignment horizontal="center" vertical="center" textRotation="90" wrapText="1"/>
    </xf>
    <xf numFmtId="0" fontId="40" fillId="14" borderId="9" xfId="0" applyFont="1" applyFill="1" applyBorder="1" applyAlignment="1" applyProtection="1">
      <alignment horizontal="center" vertical="center" textRotation="90" wrapText="1"/>
    </xf>
    <xf numFmtId="199" fontId="0" fillId="0" borderId="12" xfId="0" applyNumberFormat="1" applyFont="1" applyFill="1" applyBorder="1" applyAlignment="1" applyProtection="1">
      <alignment horizontal="center" vertical="center" wrapText="1"/>
    </xf>
    <xf numFmtId="199" fontId="41" fillId="14" borderId="12" xfId="0" applyNumberFormat="1" applyFont="1" applyFill="1" applyBorder="1" applyAlignment="1" applyProtection="1">
      <alignment horizontal="center" vertical="center" wrapText="1"/>
    </xf>
    <xf numFmtId="199" fontId="41" fillId="14" borderId="3" xfId="0" applyNumberFormat="1" applyFont="1" applyFill="1" applyBorder="1" applyAlignment="1" applyProtection="1">
      <alignment horizontal="center" vertical="center" wrapText="1"/>
    </xf>
    <xf numFmtId="199" fontId="41" fillId="14" borderId="7" xfId="0" applyNumberFormat="1" applyFont="1" applyFill="1" applyBorder="1" applyAlignment="1" applyProtection="1">
      <alignment horizontal="center" vertical="center" wrapText="1"/>
    </xf>
    <xf numFmtId="0" fontId="0" fillId="0" borderId="24" xfId="0" applyFont="1" applyFill="1" applyBorder="1" applyAlignment="1" applyProtection="1">
      <alignment horizontal="left" vertical="center" wrapText="1" indent="1"/>
    </xf>
    <xf numFmtId="0" fontId="0" fillId="0" borderId="7" xfId="0" applyFont="1" applyFill="1" applyBorder="1" applyAlignment="1" applyProtection="1">
      <alignment horizontal="left" vertical="center" wrapText="1" indent="1"/>
    </xf>
    <xf numFmtId="175" fontId="0" fillId="0" borderId="12" xfId="0" applyNumberFormat="1" applyFont="1" applyFill="1" applyBorder="1" applyAlignment="1" applyProtection="1">
      <alignment horizontal="left" vertical="center" wrapText="1" indent="1"/>
    </xf>
    <xf numFmtId="175" fontId="0" fillId="0" borderId="3" xfId="0" applyNumberFormat="1" applyFont="1" applyFill="1" applyBorder="1" applyAlignment="1" applyProtection="1">
      <alignment horizontal="left" vertical="center" wrapText="1" indent="1"/>
    </xf>
    <xf numFmtId="175" fontId="0" fillId="0" borderId="7" xfId="0" applyNumberFormat="1" applyFont="1" applyFill="1" applyBorder="1" applyAlignment="1" applyProtection="1">
      <alignment horizontal="left" vertical="center" wrapText="1" indent="1"/>
    </xf>
    <xf numFmtId="0" fontId="4" fillId="0" borderId="570" xfId="0" applyFont="1" applyFill="1" applyBorder="1" applyAlignment="1" applyProtection="1">
      <alignment horizontal="center" vertical="center" wrapText="1"/>
    </xf>
    <xf numFmtId="0" fontId="4" fillId="0" borderId="3" xfId="0" applyFont="1" applyFill="1" applyBorder="1" applyAlignment="1" applyProtection="1">
      <alignment horizontal="center"/>
    </xf>
    <xf numFmtId="0" fontId="4" fillId="0" borderId="7" xfId="0" applyFont="1" applyFill="1" applyBorder="1" applyAlignment="1" applyProtection="1">
      <alignment horizontal="center"/>
    </xf>
    <xf numFmtId="0" fontId="41" fillId="14" borderId="12" xfId="0" applyFont="1" applyFill="1" applyBorder="1" applyAlignment="1" applyProtection="1">
      <alignment horizontal="center" vertical="center" wrapText="1"/>
    </xf>
    <xf numFmtId="0" fontId="41" fillId="14" borderId="3" xfId="0" applyFont="1" applyFill="1" applyBorder="1" applyAlignment="1" applyProtection="1">
      <alignment horizontal="center" vertical="center" wrapText="1"/>
    </xf>
    <xf numFmtId="0" fontId="41" fillId="14" borderId="9"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wrapText="1"/>
    </xf>
    <xf numFmtId="0" fontId="4" fillId="0" borderId="23" xfId="0" applyFont="1" applyFill="1" applyBorder="1" applyAlignment="1" applyProtection="1">
      <alignment horizontal="center" vertical="center" wrapText="1"/>
    </xf>
    <xf numFmtId="0" fontId="4" fillId="0" borderId="302" xfId="0" applyFont="1" applyFill="1" applyBorder="1" applyAlignment="1" applyProtection="1">
      <alignment horizontal="center" vertical="center" wrapText="1"/>
    </xf>
    <xf numFmtId="0" fontId="4" fillId="0" borderId="27" xfId="0" applyFont="1" applyFill="1" applyBorder="1" applyAlignment="1" applyProtection="1">
      <alignment horizontal="center" vertical="center" wrapText="1"/>
    </xf>
    <xf numFmtId="187" fontId="0" fillId="0" borderId="26" xfId="0" applyNumberFormat="1" applyFill="1" applyBorder="1" applyAlignment="1" applyProtection="1">
      <alignment horizontal="center" vertical="center" wrapText="1"/>
    </xf>
    <xf numFmtId="187" fontId="0" fillId="0" borderId="23" xfId="0" applyNumberFormat="1" applyFill="1" applyBorder="1" applyAlignment="1" applyProtection="1">
      <alignment horizontal="center" vertical="center" wrapText="1"/>
    </xf>
    <xf numFmtId="187" fontId="0" fillId="0" borderId="302" xfId="0" applyNumberFormat="1" applyFill="1" applyBorder="1" applyAlignment="1" applyProtection="1">
      <alignment horizontal="center" vertical="center" wrapText="1"/>
    </xf>
    <xf numFmtId="187" fontId="0" fillId="0" borderId="27" xfId="0" applyNumberFormat="1" applyFill="1" applyBorder="1" applyAlignment="1" applyProtection="1">
      <alignment horizontal="center" vertical="center" wrapText="1"/>
    </xf>
    <xf numFmtId="199" fontId="41" fillId="14" borderId="306" xfId="0" applyNumberFormat="1" applyFont="1" applyFill="1" applyBorder="1" applyAlignment="1" applyProtection="1">
      <alignment horizontal="center" vertical="center" wrapText="1"/>
    </xf>
    <xf numFmtId="198" fontId="41" fillId="14" borderId="26" xfId="0" applyNumberFormat="1" applyFont="1" applyFill="1" applyBorder="1" applyAlignment="1" applyProtection="1">
      <alignment horizontal="center" vertical="center" wrapText="1"/>
    </xf>
    <xf numFmtId="198" fontId="41" fillId="14" borderId="23" xfId="0" applyNumberFormat="1" applyFont="1" applyFill="1" applyBorder="1" applyAlignment="1" applyProtection="1">
      <alignment horizontal="center" vertical="center" wrapText="1"/>
    </xf>
    <xf numFmtId="199" fontId="41" fillId="14" borderId="121" xfId="0" applyNumberFormat="1" applyFont="1" applyFill="1" applyBorder="1" applyAlignment="1" applyProtection="1">
      <alignment horizontal="center" vertical="center" wrapText="1"/>
    </xf>
    <xf numFmtId="199" fontId="41" fillId="14" borderId="9" xfId="0" applyNumberFormat="1" applyFont="1" applyFill="1" applyBorder="1" applyAlignment="1" applyProtection="1">
      <alignment horizontal="center" vertical="center" wrapText="1"/>
    </xf>
    <xf numFmtId="0" fontId="0" fillId="0" borderId="51" xfId="0" applyFill="1" applyBorder="1" applyAlignment="1" applyProtection="1">
      <alignment horizontal="center" vertical="center" wrapText="1"/>
    </xf>
    <xf numFmtId="0" fontId="0" fillId="0" borderId="52" xfId="0" applyFill="1" applyBorder="1" applyAlignment="1" applyProtection="1">
      <alignment horizontal="center" vertical="center" wrapText="1"/>
    </xf>
    <xf numFmtId="0" fontId="0" fillId="0" borderId="309" xfId="0" applyFill="1" applyBorder="1" applyAlignment="1" applyProtection="1">
      <alignment horizontal="center" vertical="center" wrapText="1"/>
    </xf>
    <xf numFmtId="0" fontId="0" fillId="0" borderId="53" xfId="0" applyFill="1" applyBorder="1" applyAlignment="1" applyProtection="1">
      <alignment horizontal="center" vertical="center" wrapText="1"/>
    </xf>
    <xf numFmtId="0" fontId="0" fillId="0" borderId="12" xfId="0" applyFill="1" applyBorder="1" applyAlignment="1" applyProtection="1">
      <alignment horizontal="left" vertical="center" wrapText="1"/>
    </xf>
    <xf numFmtId="0" fontId="0" fillId="0" borderId="3" xfId="0" applyBorder="1" applyProtection="1"/>
    <xf numFmtId="0" fontId="0" fillId="0" borderId="9" xfId="0" applyBorder="1" applyProtection="1"/>
    <xf numFmtId="0" fontId="4" fillId="0" borderId="12"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xf>
    <xf numFmtId="0" fontId="0" fillId="0" borderId="12" xfId="0" applyFill="1" applyBorder="1" applyAlignment="1" applyProtection="1">
      <alignment horizontal="left" vertical="center" wrapText="1" indent="1"/>
    </xf>
    <xf numFmtId="0" fontId="0" fillId="0" borderId="9" xfId="0" applyFill="1" applyBorder="1" applyAlignment="1" applyProtection="1">
      <alignment horizontal="left" vertical="center" wrapText="1" indent="1"/>
    </xf>
    <xf numFmtId="0" fontId="41" fillId="14" borderId="7" xfId="0" applyFont="1" applyFill="1" applyBorder="1" applyAlignment="1" applyProtection="1">
      <alignment horizontal="center" vertical="center" wrapText="1"/>
    </xf>
    <xf numFmtId="0" fontId="0" fillId="0" borderId="12" xfId="0" applyFill="1" applyBorder="1" applyAlignment="1" applyProtection="1">
      <alignment horizontal="center" vertical="center" wrapText="1"/>
    </xf>
    <xf numFmtId="0" fontId="0" fillId="0" borderId="3" xfId="0" applyFill="1" applyBorder="1" applyAlignment="1" applyProtection="1">
      <alignment horizontal="center" vertical="center" wrapText="1"/>
    </xf>
    <xf numFmtId="0" fontId="0" fillId="0" borderId="9" xfId="0" applyFill="1" applyBorder="1" applyAlignment="1" applyProtection="1">
      <alignment horizontal="center" vertical="center" wrapText="1"/>
    </xf>
    <xf numFmtId="215" fontId="0" fillId="0" borderId="12" xfId="0" applyNumberFormat="1" applyFont="1" applyFill="1" applyBorder="1" applyAlignment="1" applyProtection="1">
      <alignment vertical="center" wrapText="1"/>
    </xf>
    <xf numFmtId="215" fontId="0" fillId="0" borderId="3" xfId="0" applyNumberFormat="1" applyFont="1" applyFill="1" applyBorder="1" applyAlignment="1" applyProtection="1">
      <alignment vertical="center" wrapText="1"/>
    </xf>
    <xf numFmtId="215" fontId="0" fillId="0" borderId="9" xfId="0" applyNumberFormat="1" applyFont="1" applyFill="1" applyBorder="1" applyAlignment="1" applyProtection="1">
      <alignment vertical="center" wrapText="1"/>
    </xf>
    <xf numFmtId="0" fontId="0" fillId="0" borderId="40" xfId="0" applyFill="1" applyBorder="1" applyAlignment="1" applyProtection="1">
      <alignment horizontal="center" vertical="center" wrapText="1"/>
    </xf>
    <xf numFmtId="0" fontId="0" fillId="0" borderId="38" xfId="0" applyFill="1" applyBorder="1" applyAlignment="1" applyProtection="1">
      <alignment horizontal="center" vertical="center" wrapText="1"/>
    </xf>
    <xf numFmtId="0" fontId="0" fillId="0" borderId="42" xfId="0" applyFill="1" applyBorder="1" applyAlignment="1" applyProtection="1">
      <alignment horizontal="center" vertical="center" wrapText="1"/>
    </xf>
    <xf numFmtId="0" fontId="0" fillId="0" borderId="553" xfId="0" applyFill="1" applyBorder="1" applyAlignment="1" applyProtection="1">
      <alignment horizontal="center" vertical="center" wrapText="1"/>
    </xf>
    <xf numFmtId="0" fontId="0" fillId="0" borderId="41" xfId="0" applyFill="1" applyBorder="1" applyAlignment="1" applyProtection="1">
      <alignment horizontal="center" vertical="center" wrapText="1"/>
    </xf>
    <xf numFmtId="0" fontId="41" fillId="14" borderId="121" xfId="0" applyFont="1" applyFill="1" applyBorder="1" applyAlignment="1" applyProtection="1">
      <alignment horizontal="center" vertical="center" wrapText="1"/>
    </xf>
    <xf numFmtId="0" fontId="41" fillId="14" borderId="570" xfId="0" applyFont="1" applyFill="1" applyBorder="1" applyAlignment="1" applyProtection="1">
      <alignment horizontal="center" vertical="center" wrapText="1"/>
    </xf>
    <xf numFmtId="0" fontId="37" fillId="0" borderId="570" xfId="0" applyFont="1" applyFill="1" applyBorder="1" applyAlignment="1" applyProtection="1">
      <alignment horizontal="center" vertical="center" wrapText="1"/>
    </xf>
    <xf numFmtId="0" fontId="37" fillId="0" borderId="3" xfId="0" applyFont="1" applyFill="1" applyBorder="1" applyAlignment="1" applyProtection="1">
      <alignment horizontal="center" vertical="center" wrapText="1"/>
    </xf>
    <xf numFmtId="0" fontId="37" fillId="0" borderId="9" xfId="0" applyFont="1" applyFill="1" applyBorder="1" applyAlignment="1" applyProtection="1">
      <alignment horizontal="center" vertical="center" wrapText="1"/>
    </xf>
    <xf numFmtId="0" fontId="41" fillId="14" borderId="3" xfId="0" applyFont="1" applyFill="1" applyBorder="1" applyProtection="1"/>
    <xf numFmtId="0" fontId="41" fillId="14" borderId="7" xfId="0" applyFont="1" applyFill="1" applyBorder="1" applyProtection="1"/>
    <xf numFmtId="0" fontId="0" fillId="0" borderId="59" xfId="0" applyFill="1" applyBorder="1" applyAlignment="1" applyProtection="1">
      <alignment horizontal="center" vertical="center" wrapText="1"/>
    </xf>
    <xf numFmtId="175" fontId="4" fillId="0" borderId="12" xfId="0" applyNumberFormat="1" applyFont="1" applyFill="1" applyBorder="1" applyAlignment="1" applyProtection="1">
      <alignment horizontal="center" vertical="center" wrapText="1"/>
    </xf>
    <xf numFmtId="175" fontId="4" fillId="0" borderId="3" xfId="0" applyNumberFormat="1" applyFont="1" applyFill="1" applyBorder="1" applyAlignment="1" applyProtection="1">
      <alignment horizontal="center" vertical="center" wrapText="1"/>
    </xf>
    <xf numFmtId="187" fontId="0" fillId="0" borderId="12" xfId="0" applyNumberFormat="1" applyFill="1" applyBorder="1" applyAlignment="1" applyProtection="1">
      <alignment vertical="center" wrapText="1"/>
    </xf>
    <xf numFmtId="187" fontId="0" fillId="0" borderId="3" xfId="0" applyNumberFormat="1" applyFill="1" applyBorder="1" applyAlignment="1" applyProtection="1">
      <alignment vertical="center" wrapText="1"/>
    </xf>
    <xf numFmtId="0" fontId="41" fillId="14" borderId="303" xfId="0" applyFont="1" applyFill="1" applyBorder="1" applyAlignment="1" applyProtection="1">
      <alignment horizontal="center" vertical="center" wrapText="1"/>
    </xf>
    <xf numFmtId="0" fontId="0" fillId="0" borderId="303" xfId="0" applyFill="1" applyBorder="1" applyAlignment="1" applyProtection="1">
      <alignment horizontal="center" vertical="center" wrapText="1"/>
    </xf>
    <xf numFmtId="0" fontId="41" fillId="14" borderId="24" xfId="0" applyFont="1" applyFill="1" applyBorder="1" applyAlignment="1" applyProtection="1">
      <alignment horizontal="center" vertical="center" wrapText="1"/>
    </xf>
    <xf numFmtId="0" fontId="37" fillId="0" borderId="24" xfId="0" applyFont="1" applyFill="1" applyBorder="1" applyAlignment="1" applyProtection="1">
      <alignment horizontal="center" vertical="center" wrapText="1"/>
    </xf>
    <xf numFmtId="187" fontId="0" fillId="0" borderId="24" xfId="0" applyNumberFormat="1" applyFill="1" applyBorder="1" applyAlignment="1" applyProtection="1">
      <alignment vertical="center" wrapText="1"/>
    </xf>
    <xf numFmtId="187" fontId="0" fillId="0" borderId="7" xfId="0" applyNumberFormat="1" applyFill="1" applyBorder="1" applyAlignment="1" applyProtection="1">
      <alignment vertical="center" wrapText="1"/>
    </xf>
    <xf numFmtId="0" fontId="41" fillId="14" borderId="306" xfId="0" applyFont="1" applyFill="1" applyBorder="1" applyAlignment="1" applyProtection="1">
      <alignment horizontal="center" vertical="center" wrapText="1"/>
    </xf>
    <xf numFmtId="0" fontId="0" fillId="0" borderId="558" xfId="0" applyFill="1" applyBorder="1" applyAlignment="1" applyProtection="1">
      <alignment horizontal="left" vertical="center" wrapText="1" indent="1"/>
    </xf>
    <xf numFmtId="0" fontId="0" fillId="0" borderId="2" xfId="0" applyFill="1" applyBorder="1" applyAlignment="1" applyProtection="1">
      <alignment horizontal="left" indent="1"/>
    </xf>
    <xf numFmtId="187" fontId="0" fillId="0" borderId="570" xfId="0" applyNumberFormat="1" applyFill="1" applyBorder="1" applyAlignment="1" applyProtection="1">
      <alignment vertical="center" wrapText="1"/>
    </xf>
    <xf numFmtId="0" fontId="0" fillId="0" borderId="90" xfId="0" applyFill="1" applyBorder="1" applyAlignment="1" applyProtection="1">
      <alignment horizontal="center" vertical="center" wrapText="1"/>
    </xf>
    <xf numFmtId="0" fontId="0" fillId="0" borderId="67"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46"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0" fillId="0" borderId="47" xfId="0" applyFill="1" applyBorder="1" applyAlignment="1" applyProtection="1">
      <alignment horizontal="center" vertical="center" wrapText="1"/>
    </xf>
    <xf numFmtId="0" fontId="0" fillId="0" borderId="318" xfId="0" applyFill="1" applyBorder="1" applyAlignment="1" applyProtection="1">
      <alignment horizontal="center" vertical="center" wrapText="1"/>
    </xf>
    <xf numFmtId="221" fontId="0" fillId="0" borderId="302" xfId="0" applyNumberFormat="1" applyFill="1" applyBorder="1" applyAlignment="1" applyProtection="1">
      <alignment horizontal="center" vertical="center" wrapText="1"/>
    </xf>
    <xf numFmtId="221" fontId="0" fillId="0" borderId="303" xfId="0" applyNumberFormat="1" applyFill="1" applyBorder="1" applyAlignment="1" applyProtection="1">
      <alignment horizontal="center" vertical="center" wrapText="1"/>
    </xf>
    <xf numFmtId="175" fontId="4" fillId="14" borderId="12" xfId="0" applyNumberFormat="1" applyFont="1" applyFill="1" applyBorder="1" applyAlignment="1" applyProtection="1">
      <alignment horizontal="center" vertical="center" wrapText="1"/>
    </xf>
    <xf numFmtId="175" fontId="4" fillId="14" borderId="3" xfId="0" applyNumberFormat="1" applyFont="1" applyFill="1" applyBorder="1" applyAlignment="1" applyProtection="1">
      <alignment horizontal="center" vertical="center" wrapText="1"/>
    </xf>
    <xf numFmtId="187" fontId="0" fillId="0" borderId="306" xfId="0" applyNumberFormat="1" applyFill="1" applyBorder="1" applyAlignment="1" applyProtection="1">
      <alignment vertical="center" wrapText="1"/>
    </xf>
    <xf numFmtId="187" fontId="0" fillId="0" borderId="9" xfId="0" applyNumberFormat="1" applyFill="1" applyBorder="1" applyAlignment="1" applyProtection="1">
      <alignment vertical="center" wrapText="1"/>
    </xf>
    <xf numFmtId="221" fontId="0" fillId="0" borderId="26" xfId="0" applyNumberFormat="1" applyFill="1" applyBorder="1" applyAlignment="1" applyProtection="1">
      <alignment horizontal="center" vertical="center" wrapText="1"/>
    </xf>
    <xf numFmtId="175" fontId="4" fillId="14" borderId="306" xfId="0" applyNumberFormat="1" applyFont="1" applyFill="1" applyBorder="1" applyAlignment="1" applyProtection="1">
      <alignment horizontal="center" vertical="center" wrapText="1"/>
    </xf>
    <xf numFmtId="175" fontId="4" fillId="14" borderId="9" xfId="0" applyNumberFormat="1" applyFont="1" applyFill="1" applyBorder="1" applyAlignment="1" applyProtection="1">
      <alignment horizontal="center" vertical="center" wrapText="1"/>
    </xf>
    <xf numFmtId="0" fontId="0" fillId="0" borderId="570" xfId="0" applyFill="1" applyBorder="1" applyAlignment="1" applyProtection="1">
      <alignment horizontal="center" vertical="center" wrapText="1"/>
    </xf>
    <xf numFmtId="0" fontId="4" fillId="14" borderId="303" xfId="0" applyFont="1" applyFill="1" applyBorder="1" applyAlignment="1" applyProtection="1">
      <alignment horizontal="center" vertical="center" wrapText="1"/>
    </xf>
    <xf numFmtId="0" fontId="0" fillId="0" borderId="570" xfId="0" applyFill="1" applyBorder="1" applyAlignment="1" applyProtection="1">
      <alignment horizontal="left" vertical="center" wrapText="1" indent="1"/>
    </xf>
    <xf numFmtId="0" fontId="0" fillId="0" borderId="3" xfId="0" applyFill="1" applyBorder="1" applyAlignment="1" applyProtection="1">
      <alignment horizontal="left" indent="1"/>
    </xf>
    <xf numFmtId="0" fontId="0" fillId="0" borderId="9" xfId="0" applyFill="1" applyBorder="1" applyAlignment="1" applyProtection="1">
      <alignment horizontal="left" indent="1"/>
    </xf>
    <xf numFmtId="0" fontId="0" fillId="0" borderId="38" xfId="0" applyFill="1" applyBorder="1" applyProtection="1"/>
    <xf numFmtId="0" fontId="0" fillId="0" borderId="42" xfId="0" applyFill="1" applyBorder="1" applyProtection="1"/>
    <xf numFmtId="0" fontId="0" fillId="0" borderId="41" xfId="0" applyFill="1" applyBorder="1" applyProtection="1"/>
    <xf numFmtId="0" fontId="41" fillId="14" borderId="9" xfId="0" applyFont="1" applyFill="1" applyBorder="1" applyProtection="1"/>
    <xf numFmtId="0" fontId="37" fillId="0" borderId="12" xfId="0" applyFont="1" applyFill="1" applyBorder="1" applyAlignment="1" applyProtection="1">
      <alignment horizontal="center" vertical="center" wrapText="1"/>
    </xf>
    <xf numFmtId="0" fontId="37" fillId="0" borderId="7" xfId="0" applyFont="1" applyFill="1" applyBorder="1" applyAlignment="1" applyProtection="1">
      <alignment horizontal="center" vertical="center" wrapText="1"/>
    </xf>
    <xf numFmtId="0" fontId="4" fillId="14" borderId="12" xfId="0" applyFont="1" applyFill="1" applyBorder="1" applyAlignment="1" applyProtection="1">
      <alignment horizontal="right" vertical="center" wrapText="1"/>
    </xf>
    <xf numFmtId="0" fontId="4" fillId="14" borderId="3" xfId="0" applyFont="1" applyFill="1" applyBorder="1" applyAlignment="1" applyProtection="1">
      <alignment horizontal="right" vertical="center" wrapText="1"/>
    </xf>
    <xf numFmtId="0" fontId="4" fillId="14" borderId="9" xfId="0" applyFont="1" applyFill="1" applyBorder="1" applyAlignment="1" applyProtection="1">
      <alignment horizontal="right" vertical="center" wrapText="1"/>
    </xf>
    <xf numFmtId="0" fontId="4" fillId="0" borderId="9" xfId="0" applyFont="1" applyFill="1" applyBorder="1" applyAlignment="1" applyProtection="1">
      <alignment horizontal="center"/>
    </xf>
    <xf numFmtId="0" fontId="0" fillId="0" borderId="490"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570" xfId="0" applyFont="1" applyFill="1" applyBorder="1" applyAlignment="1" applyProtection="1">
      <alignment horizontal="left" vertical="center" wrapText="1" indent="1"/>
    </xf>
    <xf numFmtId="0" fontId="0" fillId="0" borderId="303" xfId="0" applyFont="1" applyFill="1" applyBorder="1" applyAlignment="1" applyProtection="1">
      <alignment horizontal="center" vertical="center" wrapText="1"/>
    </xf>
    <xf numFmtId="0" fontId="0" fillId="0" borderId="9" xfId="0" applyFill="1" applyBorder="1" applyAlignment="1" applyProtection="1"/>
    <xf numFmtId="0" fontId="0" fillId="0" borderId="570" xfId="0" applyFont="1" applyFill="1" applyBorder="1" applyAlignment="1" applyProtection="1">
      <alignment horizontal="center" vertical="center" wrapText="1"/>
    </xf>
    <xf numFmtId="0" fontId="0" fillId="0" borderId="3" xfId="0" applyFill="1" applyBorder="1" applyProtection="1"/>
    <xf numFmtId="0" fontId="0" fillId="0" borderId="7" xfId="0" applyFill="1" applyBorder="1" applyProtection="1"/>
    <xf numFmtId="0" fontId="37" fillId="14" borderId="12" xfId="0" applyFont="1" applyFill="1" applyBorder="1" applyAlignment="1" applyProtection="1">
      <alignment horizontal="center" vertical="center" wrapText="1"/>
    </xf>
    <xf numFmtId="0" fontId="41" fillId="14" borderId="490" xfId="0" applyFont="1" applyFill="1" applyBorder="1" applyAlignment="1" applyProtection="1">
      <alignment horizontal="center" vertical="center" wrapText="1"/>
    </xf>
    <xf numFmtId="0" fontId="41" fillId="0" borderId="490" xfId="0" applyFont="1" applyFill="1" applyBorder="1" applyAlignment="1" applyProtection="1">
      <alignment horizontal="left" vertical="center" wrapText="1" indent="1"/>
    </xf>
    <xf numFmtId="0" fontId="41" fillId="0" borderId="3" xfId="0" applyFont="1" applyFill="1" applyBorder="1" applyAlignment="1" applyProtection="1">
      <alignment horizontal="left" vertical="center" wrapText="1" indent="1"/>
    </xf>
    <xf numFmtId="0" fontId="41" fillId="0" borderId="7" xfId="0" applyFont="1" applyFill="1" applyBorder="1" applyAlignment="1" applyProtection="1">
      <alignment horizontal="left" vertical="center" wrapText="1" indent="1"/>
    </xf>
    <xf numFmtId="0" fontId="41" fillId="0" borderId="24" xfId="0" applyFont="1" applyFill="1" applyBorder="1" applyAlignment="1" applyProtection="1">
      <alignment horizontal="left" vertical="center" wrapText="1" indent="1"/>
    </xf>
    <xf numFmtId="0" fontId="41" fillId="0" borderId="570" xfId="0" applyFont="1" applyFill="1" applyBorder="1" applyAlignment="1" applyProtection="1">
      <alignment horizontal="left" vertical="center" wrapText="1" indent="1"/>
    </xf>
    <xf numFmtId="175" fontId="41" fillId="0" borderId="12" xfId="0" applyNumberFormat="1" applyFont="1" applyFill="1" applyBorder="1" applyAlignment="1" applyProtection="1">
      <alignment horizontal="left" vertical="center" wrapText="1" indent="1"/>
    </xf>
    <xf numFmtId="175" fontId="41" fillId="0" borderId="3" xfId="0" applyNumberFormat="1" applyFont="1" applyFill="1" applyBorder="1" applyAlignment="1" applyProtection="1">
      <alignment horizontal="left" vertical="center" wrapText="1" indent="1"/>
    </xf>
    <xf numFmtId="175" fontId="41" fillId="0" borderId="7" xfId="0" applyNumberFormat="1" applyFont="1" applyFill="1" applyBorder="1" applyAlignment="1" applyProtection="1">
      <alignment horizontal="left" vertical="center" wrapText="1" indent="1"/>
    </xf>
    <xf numFmtId="0" fontId="0" fillId="0" borderId="12" xfId="0" applyFont="1" applyFill="1" applyBorder="1" applyAlignment="1" applyProtection="1">
      <alignment vertical="center" wrapText="1"/>
    </xf>
    <xf numFmtId="0" fontId="41" fillId="0" borderId="9" xfId="0" applyFont="1" applyFill="1" applyBorder="1" applyAlignment="1" applyProtection="1">
      <alignment horizontal="left" vertical="center" wrapText="1" indent="1"/>
    </xf>
    <xf numFmtId="175" fontId="0" fillId="0" borderId="12" xfId="0" applyNumberFormat="1" applyFont="1" applyFill="1" applyBorder="1" applyAlignment="1" applyProtection="1">
      <alignment horizontal="center" vertical="center" wrapText="1"/>
    </xf>
    <xf numFmtId="175" fontId="0" fillId="0" borderId="3" xfId="0" applyNumberFormat="1" applyFont="1" applyFill="1" applyBorder="1" applyAlignment="1" applyProtection="1">
      <alignment horizontal="center" vertical="center" wrapText="1"/>
    </xf>
    <xf numFmtId="175" fontId="4" fillId="0" borderId="306" xfId="0" applyNumberFormat="1" applyFont="1" applyFill="1" applyBorder="1" applyAlignment="1" applyProtection="1">
      <alignment horizontal="center" vertical="center" wrapText="1"/>
    </xf>
    <xf numFmtId="175" fontId="4" fillId="0" borderId="7" xfId="0" applyNumberFormat="1" applyFont="1" applyFill="1" applyBorder="1" applyAlignment="1" applyProtection="1">
      <alignment horizontal="center" vertical="center" wrapText="1"/>
    </xf>
    <xf numFmtId="175" fontId="0" fillId="0" borderId="306" xfId="0" applyNumberFormat="1" applyFont="1" applyFill="1" applyBorder="1" applyAlignment="1" applyProtection="1">
      <alignment horizontal="center" vertical="center" wrapText="1"/>
    </xf>
    <xf numFmtId="175" fontId="0" fillId="0" borderId="7" xfId="0" applyNumberFormat="1" applyFont="1" applyFill="1" applyBorder="1" applyAlignment="1" applyProtection="1">
      <alignment horizontal="center" vertical="center" wrapText="1"/>
    </xf>
    <xf numFmtId="175" fontId="0" fillId="0" borderId="306" xfId="0" applyNumberFormat="1" applyFont="1" applyFill="1" applyBorder="1" applyAlignment="1" applyProtection="1">
      <alignment horizontal="left" vertical="center" wrapText="1" indent="1"/>
    </xf>
    <xf numFmtId="199" fontId="41" fillId="14" borderId="570" xfId="0" applyNumberFormat="1" applyFont="1" applyFill="1" applyBorder="1" applyAlignment="1" applyProtection="1">
      <alignment horizontal="center" vertical="center" wrapText="1"/>
    </xf>
    <xf numFmtId="175" fontId="4" fillId="14" borderId="7" xfId="0" applyNumberFormat="1" applyFont="1" applyFill="1" applyBorder="1" applyAlignment="1" applyProtection="1">
      <alignment horizontal="center" vertical="center" wrapText="1"/>
    </xf>
    <xf numFmtId="0" fontId="0" fillId="0" borderId="71" xfId="0" applyFill="1" applyBorder="1" applyAlignment="1" applyProtection="1">
      <alignment horizontal="center" vertical="center" wrapText="1"/>
    </xf>
    <xf numFmtId="0" fontId="0" fillId="0" borderId="24" xfId="0" applyFont="1" applyFill="1" applyBorder="1" applyAlignment="1" applyProtection="1">
      <alignment horizontal="center" vertical="center" wrapText="1"/>
    </xf>
    <xf numFmtId="0" fontId="4" fillId="0" borderId="98" xfId="0" applyFont="1" applyFill="1" applyBorder="1" applyAlignment="1" applyProtection="1">
      <alignment horizontal="center" vertical="center" wrapText="1"/>
    </xf>
    <xf numFmtId="0" fontId="0" fillId="14" borderId="3" xfId="0" applyFont="1" applyFill="1" applyBorder="1" applyAlignment="1" applyProtection="1">
      <alignment horizontal="left" indent="1"/>
    </xf>
    <xf numFmtId="0" fontId="4" fillId="14" borderId="98" xfId="0" applyFont="1" applyFill="1" applyBorder="1" applyAlignment="1" applyProtection="1">
      <alignment horizontal="center" vertical="center" wrapText="1"/>
    </xf>
    <xf numFmtId="0" fontId="4" fillId="14" borderId="9" xfId="0" applyFont="1" applyFill="1" applyBorder="1" applyAlignment="1" applyProtection="1">
      <alignment horizontal="center" vertical="center" wrapText="1"/>
    </xf>
    <xf numFmtId="0" fontId="0" fillId="0" borderId="26" xfId="0" applyFont="1" applyFill="1" applyBorder="1" applyAlignment="1" applyProtection="1">
      <alignment horizontal="left" vertical="center" wrapText="1" indent="1"/>
    </xf>
    <xf numFmtId="0" fontId="0" fillId="0" borderId="302" xfId="0" applyFont="1" applyFill="1" applyBorder="1" applyAlignment="1" applyProtection="1">
      <alignment horizontal="left" vertical="center" wrapText="1" indent="1"/>
    </xf>
    <xf numFmtId="199" fontId="0" fillId="0" borderId="78" xfId="0" applyNumberFormat="1" applyFont="1" applyFill="1" applyBorder="1" applyAlignment="1" applyProtection="1">
      <alignment horizontal="center" vertical="center" wrapText="1"/>
    </xf>
    <xf numFmtId="199" fontId="0" fillId="0" borderId="2" xfId="0" applyNumberFormat="1" applyFont="1" applyFill="1" applyBorder="1" applyAlignment="1" applyProtection="1">
      <alignment horizontal="center" vertical="center" wrapText="1"/>
    </xf>
    <xf numFmtId="199" fontId="0" fillId="0" borderId="6" xfId="0" applyNumberFormat="1" applyFont="1" applyFill="1" applyBorder="1" applyAlignment="1" applyProtection="1">
      <alignment horizontal="center" vertical="center" wrapText="1"/>
    </xf>
    <xf numFmtId="199" fontId="0" fillId="0" borderId="14" xfId="0" applyNumberFormat="1" applyFont="1" applyFill="1" applyBorder="1" applyAlignment="1" applyProtection="1">
      <alignment horizontal="center" vertical="center" wrapText="1"/>
    </xf>
    <xf numFmtId="0" fontId="0" fillId="0" borderId="303" xfId="0" applyFont="1" applyFill="1" applyBorder="1" applyAlignment="1" applyProtection="1">
      <alignment horizontal="left" vertical="center" wrapText="1" indent="1"/>
    </xf>
    <xf numFmtId="187" fontId="0" fillId="0" borderId="26" xfId="0" applyNumberFormat="1" applyFill="1" applyBorder="1" applyAlignment="1" applyProtection="1">
      <alignment vertical="center" wrapText="1"/>
    </xf>
    <xf numFmtId="187" fontId="0" fillId="0" borderId="302" xfId="0" applyNumberFormat="1" applyFill="1" applyBorder="1" applyAlignment="1" applyProtection="1">
      <alignment vertical="center" wrapText="1"/>
    </xf>
    <xf numFmtId="0" fontId="0" fillId="0" borderId="26" xfId="0" applyFill="1" applyBorder="1" applyAlignment="1" applyProtection="1">
      <alignment horizontal="center" vertical="center"/>
    </xf>
    <xf numFmtId="0" fontId="0" fillId="0" borderId="302" xfId="0" applyFill="1" applyBorder="1" applyAlignment="1" applyProtection="1">
      <alignment horizontal="center" vertical="center"/>
    </xf>
    <xf numFmtId="0" fontId="0" fillId="0" borderId="303" xfId="0" applyFill="1" applyBorder="1" applyAlignment="1" applyProtection="1">
      <alignment horizontal="center" vertical="center"/>
    </xf>
    <xf numFmtId="0" fontId="0" fillId="0" borderId="285" xfId="0" applyFill="1" applyBorder="1" applyAlignment="1" applyProtection="1">
      <alignment horizontal="center" vertical="center" wrapText="1"/>
    </xf>
    <xf numFmtId="0" fontId="0" fillId="0" borderId="94" xfId="0" applyFill="1" applyBorder="1" applyAlignment="1" applyProtection="1">
      <alignment horizontal="center" vertical="center" wrapText="1"/>
    </xf>
    <xf numFmtId="187" fontId="0" fillId="0" borderId="303" xfId="0" applyNumberFormat="1" applyFill="1" applyBorder="1" applyAlignment="1" applyProtection="1">
      <alignment horizontal="center" vertical="center" wrapText="1"/>
    </xf>
    <xf numFmtId="0" fontId="4" fillId="0" borderId="303" xfId="0" applyFont="1" applyFill="1" applyBorder="1" applyAlignment="1" applyProtection="1">
      <alignment horizontal="center" vertical="center" wrapText="1"/>
    </xf>
    <xf numFmtId="198" fontId="41" fillId="14" borderId="12" xfId="0" applyNumberFormat="1" applyFont="1" applyFill="1" applyBorder="1" applyAlignment="1" applyProtection="1">
      <alignment horizontal="center" vertical="center" wrapText="1"/>
    </xf>
    <xf numFmtId="198" fontId="41" fillId="14" borderId="3" xfId="0" applyNumberFormat="1" applyFont="1" applyFill="1" applyBorder="1" applyAlignment="1" applyProtection="1">
      <alignment horizontal="center" vertical="center" wrapText="1"/>
    </xf>
    <xf numFmtId="198" fontId="41" fillId="14" borderId="7" xfId="0" applyNumberFormat="1" applyFont="1" applyFill="1" applyBorder="1" applyAlignment="1" applyProtection="1">
      <alignment horizontal="center" vertical="center" wrapText="1"/>
    </xf>
    <xf numFmtId="0" fontId="4" fillId="0" borderId="30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187" fontId="0" fillId="0" borderId="306" xfId="0" applyNumberFormat="1" applyFill="1" applyBorder="1" applyAlignment="1" applyProtection="1">
      <alignment horizontal="center" vertical="center" wrapText="1"/>
    </xf>
    <xf numFmtId="187" fontId="0" fillId="0" borderId="3" xfId="0" applyNumberFormat="1" applyFill="1" applyBorder="1" applyAlignment="1" applyProtection="1">
      <alignment horizontal="center" vertical="center" wrapText="1"/>
    </xf>
    <xf numFmtId="187" fontId="0" fillId="0" borderId="7" xfId="0" applyNumberFormat="1" applyFill="1" applyBorder="1" applyAlignment="1" applyProtection="1">
      <alignment horizontal="center" vertical="center" wrapText="1"/>
    </xf>
    <xf numFmtId="175" fontId="0" fillId="0" borderId="9" xfId="0" applyNumberFormat="1" applyFont="1" applyFill="1" applyBorder="1" applyAlignment="1" applyProtection="1">
      <alignment horizontal="center" vertical="center" wrapText="1"/>
    </xf>
    <xf numFmtId="175" fontId="0" fillId="0" borderId="9" xfId="0" applyNumberFormat="1" applyFont="1" applyFill="1" applyBorder="1" applyAlignment="1" applyProtection="1">
      <alignment horizontal="left" vertical="center" wrapText="1" indent="1"/>
    </xf>
    <xf numFmtId="0" fontId="0" fillId="0" borderId="306" xfId="0" applyFont="1" applyFill="1" applyBorder="1" applyAlignment="1" applyProtection="1">
      <alignment horizontal="left" vertical="center" wrapText="1" indent="1"/>
    </xf>
    <xf numFmtId="175" fontId="4" fillId="0" borderId="9" xfId="0" applyNumberFormat="1" applyFont="1" applyFill="1" applyBorder="1" applyAlignment="1" applyProtection="1">
      <alignment horizontal="center" vertical="center" wrapText="1"/>
    </xf>
    <xf numFmtId="0" fontId="4" fillId="0" borderId="12" xfId="0" applyFont="1" applyFill="1" applyBorder="1" applyAlignment="1" applyProtection="1">
      <alignment horizontal="left" vertical="center" wrapText="1" indent="1"/>
    </xf>
    <xf numFmtId="0" fontId="0" fillId="0" borderId="3" xfId="0" applyFont="1" applyFill="1" applyBorder="1" applyAlignment="1" applyProtection="1">
      <alignment horizontal="left" indent="1"/>
    </xf>
    <xf numFmtId="199" fontId="0" fillId="0" borderId="444" xfId="0" applyNumberFormat="1" applyFont="1" applyFill="1" applyBorder="1" applyAlignment="1" applyProtection="1">
      <alignment horizontal="center" vertical="center" wrapText="1"/>
    </xf>
    <xf numFmtId="0" fontId="41" fillId="0" borderId="12" xfId="0" applyFont="1" applyFill="1" applyBorder="1" applyAlignment="1" applyProtection="1">
      <alignment horizontal="left" vertical="center" wrapText="1" indent="1"/>
    </xf>
    <xf numFmtId="0" fontId="0" fillId="0" borderId="3" xfId="0" applyFill="1" applyBorder="1" applyAlignment="1" applyProtection="1"/>
    <xf numFmtId="0" fontId="0" fillId="0" borderId="7" xfId="0" applyFill="1" applyBorder="1" applyAlignment="1" applyProtection="1"/>
    <xf numFmtId="199" fontId="0" fillId="0" borderId="13" xfId="0" applyNumberFormat="1" applyFont="1" applyFill="1" applyBorder="1" applyAlignment="1" applyProtection="1">
      <alignment horizontal="center" vertical="center" wrapText="1"/>
    </xf>
    <xf numFmtId="199" fontId="0" fillId="0" borderId="1" xfId="0" applyNumberFormat="1" applyFont="1" applyFill="1" applyBorder="1" applyAlignment="1" applyProtection="1">
      <alignment horizontal="center" vertical="center" wrapText="1"/>
    </xf>
    <xf numFmtId="199" fontId="0" fillId="0" borderId="15" xfId="0" applyNumberFormat="1" applyFont="1" applyFill="1" applyBorder="1" applyAlignment="1" applyProtection="1">
      <alignment horizontal="center" vertical="center" wrapText="1"/>
    </xf>
    <xf numFmtId="0" fontId="0" fillId="0" borderId="141" xfId="0" applyFill="1" applyBorder="1" applyAlignment="1" applyProtection="1">
      <alignment horizontal="center" vertical="center" wrapText="1"/>
    </xf>
    <xf numFmtId="0" fontId="0" fillId="0" borderId="306" xfId="0" applyFont="1" applyFill="1" applyBorder="1" applyAlignment="1" applyProtection="1">
      <alignment horizontal="center" vertical="center" wrapText="1"/>
    </xf>
    <xf numFmtId="0" fontId="0" fillId="0" borderId="373" xfId="0" applyFill="1" applyBorder="1" applyAlignment="1" applyProtection="1">
      <alignment horizontal="center" vertical="center" wrapText="1"/>
    </xf>
    <xf numFmtId="0" fontId="0" fillId="0" borderId="502" xfId="0" applyFill="1" applyBorder="1" applyAlignment="1" applyProtection="1">
      <alignment horizontal="center" vertical="center" wrapText="1"/>
    </xf>
    <xf numFmtId="199" fontId="0" fillId="0" borderId="570" xfId="0" applyNumberFormat="1" applyFont="1" applyFill="1" applyBorder="1" applyAlignment="1" applyProtection="1">
      <alignment horizontal="center" vertical="center" wrapText="1"/>
    </xf>
    <xf numFmtId="0" fontId="0" fillId="14" borderId="0" xfId="0" applyFill="1" applyBorder="1" applyProtection="1"/>
    <xf numFmtId="0" fontId="0" fillId="14" borderId="0" xfId="0" applyNumberFormat="1" applyFill="1" applyBorder="1" applyAlignment="1" applyProtection="1">
      <alignment horizontal="center" vertical="center" wrapText="1"/>
    </xf>
    <xf numFmtId="0" fontId="18" fillId="14" borderId="240" xfId="0" applyFont="1" applyFill="1" applyBorder="1" applyAlignment="1" applyProtection="1">
      <alignment horizontal="left" vertical="center" wrapText="1"/>
    </xf>
    <xf numFmtId="0" fontId="0" fillId="14" borderId="468" xfId="0" applyFill="1" applyBorder="1" applyAlignment="1" applyProtection="1">
      <alignment horizontal="left" vertical="center" wrapText="1"/>
    </xf>
    <xf numFmtId="0" fontId="0" fillId="14" borderId="469" xfId="0" applyFill="1" applyBorder="1" applyAlignment="1" applyProtection="1">
      <alignment horizontal="left" vertical="center" wrapText="1"/>
    </xf>
    <xf numFmtId="0" fontId="0" fillId="14" borderId="566" xfId="0" applyFill="1" applyBorder="1" applyAlignment="1" applyProtection="1">
      <alignment horizontal="left" vertical="center" wrapText="1"/>
    </xf>
    <xf numFmtId="0" fontId="18" fillId="14" borderId="470" xfId="0" applyFont="1" applyFill="1" applyBorder="1" applyAlignment="1" applyProtection="1">
      <alignment horizontal="left" vertical="center" wrapText="1"/>
    </xf>
    <xf numFmtId="0" fontId="18" fillId="14" borderId="471" xfId="0" applyFont="1" applyFill="1" applyBorder="1" applyAlignment="1" applyProtection="1">
      <alignment horizontal="left" vertical="center" wrapText="1"/>
    </xf>
    <xf numFmtId="0" fontId="18" fillId="14" borderId="567" xfId="0" applyFont="1" applyFill="1" applyBorder="1" applyAlignment="1" applyProtection="1">
      <alignment horizontal="left" vertical="center" wrapText="1"/>
    </xf>
    <xf numFmtId="0" fontId="0" fillId="14" borderId="469" xfId="0" applyFill="1" applyBorder="1" applyProtection="1"/>
    <xf numFmtId="0" fontId="0" fillId="14" borderId="566" xfId="0" applyFill="1" applyBorder="1" applyProtection="1"/>
    <xf numFmtId="0" fontId="0" fillId="14" borderId="354" xfId="0" applyFill="1" applyBorder="1" applyAlignment="1" applyProtection="1">
      <alignment horizontal="left" vertical="center" wrapText="1"/>
    </xf>
    <xf numFmtId="0" fontId="0" fillId="14" borderId="488" xfId="0" applyFill="1" applyBorder="1" applyProtection="1"/>
    <xf numFmtId="0" fontId="0" fillId="14" borderId="194" xfId="0" applyFill="1" applyBorder="1" applyProtection="1"/>
    <xf numFmtId="0" fontId="0" fillId="44" borderId="568" xfId="0" applyFill="1" applyBorder="1" applyAlignment="1" applyProtection="1">
      <alignment horizontal="right" vertical="center" wrapText="1" indent="1"/>
    </xf>
    <xf numFmtId="0" fontId="0" fillId="44" borderId="569" xfId="0" applyFill="1" applyBorder="1" applyAlignment="1" applyProtection="1">
      <alignment horizontal="right" vertical="center" wrapText="1" indent="1"/>
    </xf>
    <xf numFmtId="216" fontId="0" fillId="50" borderId="568" xfId="0" applyNumberFormat="1" applyFill="1" applyBorder="1" applyAlignment="1" applyProtection="1">
      <alignment horizontal="center" vertical="center" wrapText="1"/>
    </xf>
    <xf numFmtId="216" fontId="0" fillId="50" borderId="569" xfId="0" applyNumberFormat="1" applyFill="1" applyBorder="1" applyAlignment="1" applyProtection="1">
      <alignment horizontal="center" vertical="center" wrapText="1"/>
    </xf>
    <xf numFmtId="0" fontId="0" fillId="50" borderId="568" xfId="0" applyFill="1" applyBorder="1" applyAlignment="1" applyProtection="1">
      <alignment horizontal="right" vertical="center" wrapText="1" indent="1"/>
    </xf>
    <xf numFmtId="0" fontId="0" fillId="50" borderId="569" xfId="0" applyFill="1" applyBorder="1" applyAlignment="1" applyProtection="1">
      <alignment horizontal="right" vertical="center" wrapText="1" indent="1"/>
    </xf>
    <xf numFmtId="0" fontId="0" fillId="0" borderId="494" xfId="0" applyFont="1" applyFill="1" applyBorder="1" applyAlignment="1" applyProtection="1">
      <alignment horizontal="center"/>
    </xf>
    <xf numFmtId="0" fontId="0" fillId="0" borderId="46" xfId="0" applyFill="1" applyBorder="1" applyAlignment="1" applyProtection="1">
      <alignment horizontal="left" vertical="center" wrapText="1" indent="1"/>
    </xf>
    <xf numFmtId="0" fontId="0" fillId="0" borderId="0" xfId="0" applyFill="1" applyBorder="1" applyAlignment="1" applyProtection="1">
      <alignment horizontal="left" vertical="center" wrapText="1" indent="1"/>
    </xf>
    <xf numFmtId="0" fontId="0" fillId="0" borderId="47" xfId="0" applyFill="1" applyBorder="1" applyAlignment="1" applyProtection="1">
      <alignment horizontal="left" vertical="center" wrapText="1" indent="1"/>
    </xf>
    <xf numFmtId="0" fontId="4" fillId="0" borderId="24" xfId="0" applyFont="1" applyFill="1" applyBorder="1" applyAlignment="1" applyProtection="1">
      <alignment horizontal="right" vertical="center" wrapText="1" indent="1"/>
    </xf>
    <xf numFmtId="0" fontId="4" fillId="0" borderId="3" xfId="0" applyFont="1" applyFill="1" applyBorder="1" applyAlignment="1" applyProtection="1">
      <alignment horizontal="right" vertical="center" wrapText="1" indent="1"/>
    </xf>
    <xf numFmtId="0" fontId="4" fillId="0" borderId="7" xfId="0" applyFont="1" applyFill="1" applyBorder="1" applyAlignment="1" applyProtection="1">
      <alignment horizontal="right" vertical="center" wrapText="1" indent="1"/>
    </xf>
    <xf numFmtId="187" fontId="0" fillId="0" borderId="24" xfId="0" applyNumberFormat="1" applyFill="1" applyBorder="1" applyAlignment="1" applyProtection="1">
      <alignment horizontal="right" vertical="center" wrapText="1"/>
    </xf>
    <xf numFmtId="0" fontId="0" fillId="0" borderId="3" xfId="0" applyFill="1" applyBorder="1" applyAlignment="1" applyProtection="1">
      <alignment horizontal="right" vertical="center" wrapText="1"/>
    </xf>
    <xf numFmtId="0" fontId="0" fillId="0" borderId="7" xfId="0" applyFill="1" applyBorder="1" applyAlignment="1" applyProtection="1">
      <alignment horizontal="right" vertical="center" wrapText="1"/>
    </xf>
    <xf numFmtId="187" fontId="0" fillId="0" borderId="3" xfId="0" applyNumberFormat="1" applyFill="1" applyBorder="1" applyAlignment="1" applyProtection="1">
      <alignment horizontal="right" vertical="center" wrapText="1"/>
    </xf>
    <xf numFmtId="0" fontId="0" fillId="0" borderId="9" xfId="0" applyFill="1" applyBorder="1" applyAlignment="1" applyProtection="1">
      <alignment horizontal="right" vertical="center" wrapText="1"/>
    </xf>
    <xf numFmtId="0" fontId="25" fillId="14" borderId="9" xfId="0" applyFont="1" applyFill="1" applyBorder="1" applyAlignment="1" applyProtection="1">
      <alignment horizontal="right" vertical="center" wrapText="1" indent="1"/>
    </xf>
    <xf numFmtId="198" fontId="41" fillId="14" borderId="121" xfId="0" applyNumberFormat="1" applyFont="1" applyFill="1" applyBorder="1" applyAlignment="1" applyProtection="1">
      <alignment horizontal="center" vertical="center" wrapText="1"/>
    </xf>
    <xf numFmtId="198" fontId="41" fillId="14" borderId="9" xfId="0" applyNumberFormat="1" applyFont="1" applyFill="1" applyBorder="1" applyAlignment="1" applyProtection="1">
      <alignment horizontal="center" vertical="center" wrapText="1"/>
    </xf>
    <xf numFmtId="0" fontId="0" fillId="0" borderId="12" xfId="0" applyFill="1" applyBorder="1" applyAlignment="1" applyProtection="1">
      <alignment vertical="center" wrapText="1"/>
    </xf>
    <xf numFmtId="0" fontId="0" fillId="0" borderId="3" xfId="0" applyFill="1" applyBorder="1" applyAlignment="1" applyProtection="1">
      <alignment vertical="center" wrapText="1"/>
    </xf>
    <xf numFmtId="0" fontId="0" fillId="0" borderId="9" xfId="0" applyFill="1" applyBorder="1" applyAlignment="1" applyProtection="1">
      <alignment vertical="center" wrapText="1"/>
    </xf>
    <xf numFmtId="199" fontId="41" fillId="14" borderId="23" xfId="0" applyNumberFormat="1" applyFont="1" applyFill="1" applyBorder="1" applyAlignment="1" applyProtection="1">
      <alignment horizontal="center" vertical="center" wrapText="1"/>
    </xf>
    <xf numFmtId="199" fontId="41" fillId="14" borderId="27" xfId="0" applyNumberFormat="1" applyFont="1" applyFill="1" applyBorder="1" applyAlignment="1" applyProtection="1">
      <alignment horizontal="center" vertical="center" wrapText="1"/>
    </xf>
    <xf numFmtId="199" fontId="41" fillId="14" borderId="26" xfId="0" applyNumberFormat="1" applyFont="1" applyFill="1" applyBorder="1" applyAlignment="1" applyProtection="1">
      <alignment horizontal="center" vertical="center" wrapText="1"/>
    </xf>
    <xf numFmtId="199" fontId="41" fillId="14" borderId="302" xfId="0" applyNumberFormat="1" applyFont="1" applyFill="1" applyBorder="1" applyAlignment="1" applyProtection="1">
      <alignment horizontal="center" vertical="center" wrapText="1"/>
    </xf>
    <xf numFmtId="0" fontId="0" fillId="0" borderId="12" xfId="0" applyFont="1" applyFill="1" applyBorder="1" applyAlignment="1" applyProtection="1">
      <alignment horizontal="left" vertical="center" wrapText="1" indent="2"/>
    </xf>
    <xf numFmtId="0" fontId="0" fillId="0" borderId="3" xfId="0" applyFont="1" applyFill="1" applyBorder="1" applyAlignment="1" applyProtection="1">
      <alignment horizontal="left" vertical="center" wrapText="1" indent="2"/>
    </xf>
    <xf numFmtId="0" fontId="0" fillId="0" borderId="9" xfId="0" applyFont="1" applyFill="1" applyBorder="1" applyAlignment="1" applyProtection="1">
      <alignment horizontal="left" vertical="center" wrapText="1" indent="2"/>
    </xf>
    <xf numFmtId="0" fontId="4" fillId="0" borderId="9" xfId="0" applyFont="1" applyFill="1" applyBorder="1" applyAlignment="1" applyProtection="1">
      <alignment horizontal="right" vertical="center" wrapText="1" indent="1"/>
    </xf>
    <xf numFmtId="0" fontId="4" fillId="0" borderId="12" xfId="0" applyFont="1" applyFill="1" applyBorder="1" applyAlignment="1" applyProtection="1">
      <alignment horizontal="right" vertical="center" wrapText="1" indent="1"/>
    </xf>
    <xf numFmtId="187" fontId="0" fillId="0" borderId="12" xfId="0" applyNumberFormat="1" applyFill="1" applyBorder="1" applyAlignment="1" applyProtection="1">
      <alignment horizontal="right" vertical="center" wrapText="1"/>
    </xf>
    <xf numFmtId="0" fontId="0" fillId="14" borderId="557" xfId="0" applyFill="1" applyBorder="1" applyAlignment="1" applyProtection="1">
      <alignment horizontal="left" wrapText="1"/>
    </xf>
    <xf numFmtId="199" fontId="0" fillId="0" borderId="559" xfId="0" applyNumberFormat="1" applyFont="1" applyFill="1" applyBorder="1" applyAlignment="1" applyProtection="1">
      <alignment horizontal="center" vertical="center" wrapText="1"/>
    </xf>
    <xf numFmtId="199" fontId="0" fillId="0" borderId="8" xfId="0" applyNumberFormat="1" applyFont="1" applyFill="1" applyBorder="1" applyAlignment="1" applyProtection="1">
      <alignment horizontal="center" vertical="center" wrapText="1"/>
    </xf>
    <xf numFmtId="0" fontId="0" fillId="14" borderId="559" xfId="0" applyFill="1" applyBorder="1" applyAlignment="1" applyProtection="1">
      <alignment horizontal="center" vertical="center" wrapText="1"/>
    </xf>
    <xf numFmtId="0" fontId="0" fillId="0" borderId="196" xfId="0" applyFill="1" applyBorder="1" applyAlignment="1" applyProtection="1">
      <alignment horizontal="center" vertical="center" wrapText="1"/>
    </xf>
    <xf numFmtId="0" fontId="0" fillId="44" borderId="568" xfId="0" applyFill="1" applyBorder="1" applyAlignment="1" applyProtection="1">
      <alignment horizontal="left" vertical="center" wrapText="1"/>
    </xf>
    <xf numFmtId="0" fontId="0" fillId="44" borderId="569" xfId="0" applyFill="1" applyBorder="1" applyProtection="1"/>
    <xf numFmtId="0" fontId="18" fillId="14" borderId="19" xfId="0" applyFont="1" applyFill="1" applyBorder="1" applyAlignment="1" applyProtection="1">
      <alignment horizontal="left" vertical="center" wrapText="1"/>
    </xf>
    <xf numFmtId="0" fontId="0" fillId="14" borderId="0" xfId="0" applyNumberFormat="1" applyFill="1" applyBorder="1" applyAlignment="1" applyProtection="1">
      <alignment horizontal="right" vertical="center" wrapText="1" indent="1"/>
    </xf>
    <xf numFmtId="0" fontId="0" fillId="14" borderId="0" xfId="0" applyFill="1" applyAlignment="1" applyProtection="1">
      <alignment horizontal="left" wrapText="1"/>
    </xf>
    <xf numFmtId="0" fontId="4" fillId="0" borderId="12" xfId="0" applyFont="1" applyFill="1" applyBorder="1" applyAlignment="1" applyProtection="1">
      <alignment horizontal="right" vertical="center" wrapText="1"/>
    </xf>
    <xf numFmtId="0" fontId="4" fillId="0" borderId="3" xfId="0" applyFont="1" applyFill="1" applyBorder="1" applyAlignment="1" applyProtection="1">
      <alignment horizontal="right" vertical="center" wrapText="1"/>
    </xf>
    <xf numFmtId="0" fontId="4" fillId="0" borderId="9" xfId="0" applyFont="1" applyFill="1" applyBorder="1" applyAlignment="1" applyProtection="1">
      <alignment horizontal="right" vertical="center" wrapText="1"/>
    </xf>
    <xf numFmtId="0" fontId="0" fillId="0" borderId="9" xfId="0" applyFont="1" applyFill="1" applyBorder="1" applyAlignment="1" applyProtection="1">
      <alignment vertical="center" wrapText="1"/>
    </xf>
    <xf numFmtId="0" fontId="0" fillId="0" borderId="9" xfId="0" applyFill="1" applyBorder="1" applyProtection="1"/>
    <xf numFmtId="0" fontId="0" fillId="14" borderId="354" xfId="0" applyFill="1" applyBorder="1" applyAlignment="1">
      <alignment horizontal="left" vertical="center" wrapText="1"/>
    </xf>
    <xf numFmtId="252" fontId="0" fillId="14" borderId="48" xfId="0" applyNumberFormat="1" applyFill="1" applyBorder="1" applyAlignment="1">
      <alignment horizontal="left"/>
    </xf>
    <xf numFmtId="14" fontId="13" fillId="14" borderId="3" xfId="0" applyNumberFormat="1" applyFont="1" applyFill="1" applyBorder="1" applyAlignment="1">
      <alignment horizontal="center" vertical="center" wrapText="1"/>
    </xf>
    <xf numFmtId="14" fontId="13" fillId="14" borderId="9" xfId="0" applyNumberFormat="1" applyFont="1" applyFill="1" applyBorder="1" applyAlignment="1">
      <alignment horizontal="center" vertical="center" wrapText="1"/>
    </xf>
    <xf numFmtId="14" fontId="13" fillId="14" borderId="12" xfId="0" applyNumberFormat="1" applyFont="1" applyFill="1" applyBorder="1" applyAlignment="1">
      <alignment horizontal="center" vertical="center" wrapText="1"/>
    </xf>
    <xf numFmtId="0" fontId="2" fillId="14" borderId="40" xfId="2" applyFill="1" applyBorder="1" applyAlignment="1" applyProtection="1">
      <alignment horizontal="center" vertical="center"/>
    </xf>
    <xf numFmtId="0" fontId="2" fillId="14" borderId="38" xfId="2" applyFill="1" applyBorder="1" applyAlignment="1" applyProtection="1">
      <alignment horizontal="center" vertical="center"/>
    </xf>
    <xf numFmtId="0" fontId="2" fillId="14" borderId="41" xfId="2" applyFill="1" applyBorder="1" applyAlignment="1" applyProtection="1">
      <alignment horizontal="center" vertical="center"/>
    </xf>
    <xf numFmtId="0" fontId="2" fillId="14" borderId="39" xfId="2" applyFill="1" applyBorder="1" applyAlignment="1" applyProtection="1">
      <alignment horizontal="center" vertical="center"/>
    </xf>
    <xf numFmtId="0" fontId="1" fillId="14" borderId="12" xfId="0" applyFont="1" applyFill="1" applyBorder="1" applyAlignment="1">
      <alignment horizontal="center" vertical="center" wrapText="1"/>
    </xf>
    <xf numFmtId="0" fontId="1" fillId="14" borderId="7" xfId="0" applyFont="1" applyFill="1" applyBorder="1" applyAlignment="1">
      <alignment horizontal="center" vertical="center" wrapText="1"/>
    </xf>
    <xf numFmtId="0" fontId="1" fillId="14" borderId="49" xfId="0" applyFont="1" applyFill="1" applyBorder="1" applyAlignment="1">
      <alignment horizontal="center" vertical="center" wrapText="1"/>
    </xf>
    <xf numFmtId="0" fontId="1" fillId="14" borderId="48" xfId="0" applyFont="1" applyFill="1" applyBorder="1" applyAlignment="1">
      <alignment horizontal="center" vertical="center" wrapText="1"/>
    </xf>
    <xf numFmtId="0" fontId="1" fillId="14" borderId="66" xfId="0" applyFont="1" applyFill="1" applyBorder="1" applyAlignment="1">
      <alignment horizontal="center" vertical="center" wrapText="1"/>
    </xf>
    <xf numFmtId="1" fontId="0" fillId="14" borderId="12" xfId="0" applyNumberFormat="1" applyFont="1" applyFill="1" applyBorder="1" applyAlignment="1">
      <alignment horizontal="center" vertical="center" wrapText="1"/>
    </xf>
    <xf numFmtId="1" fontId="0" fillId="14" borderId="3" xfId="0" applyNumberFormat="1" applyFont="1" applyFill="1" applyBorder="1" applyAlignment="1">
      <alignment horizontal="center" vertical="center"/>
    </xf>
    <xf numFmtId="1" fontId="0" fillId="14" borderId="9" xfId="0" applyNumberFormat="1" applyFont="1" applyFill="1" applyBorder="1" applyAlignment="1">
      <alignment horizontal="center" vertical="center"/>
    </xf>
    <xf numFmtId="0" fontId="1" fillId="14" borderId="12" xfId="0" applyNumberFormat="1" applyFont="1" applyFill="1" applyBorder="1" applyAlignment="1">
      <alignment horizontal="center" vertical="center" wrapText="1"/>
    </xf>
    <xf numFmtId="0" fontId="0" fillId="0" borderId="3" xfId="0" applyBorder="1"/>
    <xf numFmtId="0" fontId="0" fillId="0" borderId="9" xfId="0" applyBorder="1"/>
    <xf numFmtId="1" fontId="1" fillId="14" borderId="12" xfId="0" applyNumberFormat="1" applyFont="1" applyFill="1" applyBorder="1" applyAlignment="1">
      <alignment horizontal="left" vertical="center" wrapText="1" indent="1"/>
    </xf>
    <xf numFmtId="1" fontId="1" fillId="14" borderId="3" xfId="0" applyNumberFormat="1" applyFont="1" applyFill="1" applyBorder="1" applyAlignment="1">
      <alignment horizontal="left" vertical="center" wrapText="1" indent="1"/>
    </xf>
    <xf numFmtId="1" fontId="1" fillId="14" borderId="9" xfId="0" applyNumberFormat="1" applyFont="1" applyFill="1" applyBorder="1" applyAlignment="1">
      <alignment horizontal="left" vertical="center" wrapText="1" indent="1"/>
    </xf>
    <xf numFmtId="14" fontId="0" fillId="14" borderId="12" xfId="0" applyNumberFormat="1" applyFont="1" applyFill="1" applyBorder="1" applyAlignment="1">
      <alignment horizontal="left" vertical="center" indent="1"/>
    </xf>
    <xf numFmtId="14" fontId="0" fillId="14" borderId="3" xfId="0" applyNumberFormat="1" applyFont="1" applyFill="1" applyBorder="1" applyAlignment="1">
      <alignment horizontal="left" vertical="center" indent="1"/>
    </xf>
    <xf numFmtId="14" fontId="0" fillId="14" borderId="9" xfId="0" applyNumberFormat="1" applyFont="1" applyFill="1" applyBorder="1" applyAlignment="1">
      <alignment horizontal="left" vertical="center" indent="1"/>
    </xf>
    <xf numFmtId="14" fontId="0" fillId="14" borderId="12" xfId="0" applyNumberFormat="1" applyFont="1" applyFill="1" applyBorder="1" applyAlignment="1">
      <alignment horizontal="left" vertical="center" wrapText="1" indent="1"/>
    </xf>
    <xf numFmtId="14" fontId="0" fillId="14" borderId="3" xfId="0" applyNumberFormat="1" applyFont="1" applyFill="1" applyBorder="1" applyAlignment="1">
      <alignment horizontal="left" vertical="center" wrapText="1" indent="1"/>
    </xf>
    <xf numFmtId="14" fontId="0" fillId="14" borderId="9" xfId="0" applyNumberFormat="1" applyFont="1" applyFill="1" applyBorder="1" applyAlignment="1">
      <alignment horizontal="left" vertical="center" wrapText="1" indent="1"/>
    </xf>
    <xf numFmtId="1" fontId="13" fillId="14" borderId="12" xfId="0" applyNumberFormat="1" applyFont="1" applyFill="1" applyBorder="1" applyAlignment="1">
      <alignment horizontal="center" vertical="center" wrapText="1"/>
    </xf>
    <xf numFmtId="1" fontId="13" fillId="14" borderId="3" xfId="0" applyNumberFormat="1" applyFont="1" applyFill="1" applyBorder="1" applyAlignment="1">
      <alignment horizontal="center" vertical="center" wrapText="1"/>
    </xf>
    <xf numFmtId="1" fontId="13" fillId="14" borderId="9" xfId="0" applyNumberFormat="1" applyFont="1" applyFill="1" applyBorder="1" applyAlignment="1">
      <alignment horizontal="center" vertical="center" wrapText="1"/>
    </xf>
    <xf numFmtId="0" fontId="1" fillId="14" borderId="12" xfId="0" applyFont="1" applyFill="1" applyBorder="1" applyAlignment="1">
      <alignment horizontal="center" vertical="center"/>
    </xf>
    <xf numFmtId="0" fontId="1" fillId="14" borderId="9" xfId="0" applyFont="1" applyFill="1" applyBorder="1" applyAlignment="1">
      <alignment horizontal="center" vertical="center"/>
    </xf>
    <xf numFmtId="0" fontId="0" fillId="14" borderId="12" xfId="0" applyFont="1" applyFill="1" applyBorder="1" applyAlignment="1">
      <alignment horizontal="left" vertical="center" wrapText="1" indent="1"/>
    </xf>
    <xf numFmtId="0" fontId="0" fillId="14" borderId="9" xfId="0" applyFont="1" applyFill="1" applyBorder="1" applyAlignment="1">
      <alignment horizontal="left" vertical="center" wrapText="1" indent="1"/>
    </xf>
    <xf numFmtId="0" fontId="0" fillId="14" borderId="3" xfId="0" applyFont="1" applyFill="1" applyBorder="1" applyAlignment="1">
      <alignment horizontal="left" vertical="center" wrapText="1" indent="1"/>
    </xf>
    <xf numFmtId="187" fontId="0" fillId="14" borderId="3" xfId="0" applyNumberFormat="1" applyFill="1" applyBorder="1" applyAlignment="1">
      <alignment horizontal="right" vertical="center" wrapText="1" indent="1"/>
    </xf>
    <xf numFmtId="187" fontId="0" fillId="14" borderId="12" xfId="0" applyNumberFormat="1" applyFill="1" applyBorder="1" applyAlignment="1">
      <alignment horizontal="right" vertical="center" wrapText="1" indent="1"/>
    </xf>
    <xf numFmtId="187" fontId="0" fillId="14" borderId="9" xfId="0" applyNumberFormat="1" applyFill="1" applyBorder="1" applyAlignment="1">
      <alignment horizontal="right" vertical="center" wrapText="1" indent="1"/>
    </xf>
    <xf numFmtId="187" fontId="0" fillId="14" borderId="7" xfId="0" applyNumberFormat="1" applyFill="1" applyBorder="1" applyAlignment="1">
      <alignment horizontal="right" vertical="center" wrapText="1" indent="1"/>
    </xf>
    <xf numFmtId="187" fontId="0" fillId="14" borderId="302" xfId="0" applyNumberFormat="1" applyFill="1" applyBorder="1" applyAlignment="1">
      <alignment horizontal="right" vertical="center" wrapText="1" indent="1"/>
    </xf>
    <xf numFmtId="187" fontId="0" fillId="14" borderId="303" xfId="0" applyNumberFormat="1" applyFill="1" applyBorder="1" applyAlignment="1">
      <alignment horizontal="right" vertical="center" wrapText="1" indent="1"/>
    </xf>
    <xf numFmtId="14" fontId="1" fillId="14" borderId="12" xfId="0" applyNumberFormat="1" applyFont="1" applyFill="1" applyBorder="1" applyAlignment="1">
      <alignment horizontal="left" vertical="center" wrapText="1" indent="1"/>
    </xf>
    <xf numFmtId="14" fontId="1" fillId="14" borderId="3" xfId="0" applyNumberFormat="1" applyFont="1" applyFill="1" applyBorder="1" applyAlignment="1">
      <alignment horizontal="left" vertical="center" wrapText="1" indent="1"/>
    </xf>
    <xf numFmtId="14" fontId="1" fillId="14" borderId="9" xfId="0" applyNumberFormat="1" applyFont="1" applyFill="1" applyBorder="1" applyAlignment="1">
      <alignment horizontal="left" vertical="center" wrapText="1" indent="1"/>
    </xf>
    <xf numFmtId="0" fontId="13" fillId="14" borderId="12" xfId="0" applyNumberFormat="1" applyFont="1" applyFill="1" applyBorder="1" applyAlignment="1">
      <alignment horizontal="center" vertical="center" wrapText="1"/>
    </xf>
    <xf numFmtId="0" fontId="13" fillId="14" borderId="3" xfId="0" applyNumberFormat="1" applyFont="1" applyFill="1" applyBorder="1" applyAlignment="1">
      <alignment horizontal="center" vertical="center" wrapText="1"/>
    </xf>
    <xf numFmtId="0" fontId="13" fillId="14" borderId="9" xfId="0" applyNumberFormat="1" applyFont="1" applyFill="1" applyBorder="1" applyAlignment="1">
      <alignment horizontal="center" vertical="center" wrapText="1"/>
    </xf>
    <xf numFmtId="164" fontId="1" fillId="14" borderId="3" xfId="0" applyNumberFormat="1" applyFont="1" applyFill="1" applyBorder="1" applyAlignment="1">
      <alignment horizontal="left" vertical="center" wrapText="1" indent="1"/>
    </xf>
    <xf numFmtId="164" fontId="1" fillId="14" borderId="3" xfId="0" applyNumberFormat="1" applyFont="1" applyFill="1" applyBorder="1" applyAlignment="1">
      <alignment horizontal="left" vertical="center" indent="1"/>
    </xf>
    <xf numFmtId="0" fontId="1" fillId="14" borderId="40" xfId="0" applyFont="1" applyFill="1" applyBorder="1" applyAlignment="1">
      <alignment horizontal="center" vertical="center" wrapText="1"/>
    </xf>
    <xf numFmtId="0" fontId="1" fillId="14" borderId="42" xfId="0" applyFont="1" applyFill="1" applyBorder="1" applyAlignment="1">
      <alignment horizontal="center" vertical="center" wrapText="1"/>
    </xf>
    <xf numFmtId="0" fontId="0" fillId="14" borderId="12" xfId="0" applyFont="1" applyFill="1" applyBorder="1" applyAlignment="1">
      <alignment horizontal="center" vertical="center"/>
    </xf>
    <xf numFmtId="0" fontId="0" fillId="14" borderId="3" xfId="0" applyFont="1" applyFill="1" applyBorder="1" applyAlignment="1">
      <alignment horizontal="center" vertical="center"/>
    </xf>
    <xf numFmtId="0" fontId="0" fillId="14" borderId="9" xfId="0" applyFont="1" applyFill="1" applyBorder="1" applyAlignment="1">
      <alignment horizontal="center" vertical="center"/>
    </xf>
    <xf numFmtId="0" fontId="1" fillId="14" borderId="3" xfId="0" applyNumberFormat="1" applyFont="1" applyFill="1" applyBorder="1" applyAlignment="1">
      <alignment horizontal="center" vertical="center" wrapText="1"/>
    </xf>
    <xf numFmtId="0" fontId="1" fillId="14" borderId="9" xfId="0" applyNumberFormat="1" applyFont="1" applyFill="1" applyBorder="1" applyAlignment="1">
      <alignment horizontal="center" vertical="center" wrapText="1"/>
    </xf>
    <xf numFmtId="164" fontId="1" fillId="14" borderId="17" xfId="0" applyNumberFormat="1" applyFont="1" applyFill="1" applyBorder="1" applyAlignment="1">
      <alignment horizontal="left" vertical="center" wrapText="1" indent="1"/>
    </xf>
    <xf numFmtId="0" fontId="0" fillId="14" borderId="17" xfId="0" applyFont="1" applyFill="1" applyBorder="1"/>
    <xf numFmtId="0" fontId="0" fillId="14" borderId="12" xfId="0" applyFill="1" applyBorder="1" applyAlignment="1">
      <alignment horizontal="center" vertical="center"/>
    </xf>
    <xf numFmtId="0" fontId="0" fillId="14" borderId="12" xfId="0" applyFill="1" applyBorder="1" applyAlignment="1">
      <alignment horizontal="left" vertical="center" indent="1"/>
    </xf>
    <xf numFmtId="0" fontId="0" fillId="14" borderId="9" xfId="0" applyFill="1" applyBorder="1" applyAlignment="1">
      <alignment horizontal="left" vertical="center" indent="1"/>
    </xf>
    <xf numFmtId="0" fontId="0" fillId="0" borderId="412" xfId="0" applyBorder="1" applyAlignment="1">
      <alignment horizontal="left" vertical="center" wrapText="1" indent="1"/>
    </xf>
    <xf numFmtId="0" fontId="0" fillId="0" borderId="413" xfId="0" applyBorder="1" applyAlignment="1">
      <alignment horizontal="left" vertical="center" wrapText="1" indent="1"/>
    </xf>
    <xf numFmtId="0" fontId="0" fillId="0" borderId="411" xfId="0" applyBorder="1" applyAlignment="1">
      <alignment horizontal="left" wrapText="1" indent="1"/>
    </xf>
    <xf numFmtId="0" fontId="0" fillId="40" borderId="230" xfId="0" applyFill="1" applyBorder="1" applyAlignment="1">
      <alignment horizontal="left" vertical="center"/>
    </xf>
    <xf numFmtId="0" fontId="0" fillId="40" borderId="167" xfId="0" applyFill="1" applyBorder="1" applyAlignment="1">
      <alignment horizontal="left" vertical="center"/>
    </xf>
    <xf numFmtId="0" fontId="0" fillId="40" borderId="343" xfId="0" applyFill="1" applyBorder="1" applyAlignment="1">
      <alignment horizontal="left" vertical="center"/>
    </xf>
    <xf numFmtId="0" fontId="0" fillId="40" borderId="230" xfId="0" applyFill="1" applyBorder="1" applyAlignment="1">
      <alignment horizontal="right" vertical="center"/>
    </xf>
    <xf numFmtId="0" fontId="0" fillId="40" borderId="343" xfId="0" applyFill="1" applyBorder="1" applyAlignment="1">
      <alignment horizontal="right" vertical="center"/>
    </xf>
    <xf numFmtId="0" fontId="0" fillId="40" borderId="223" xfId="0" applyFill="1" applyBorder="1" applyAlignment="1">
      <alignment horizontal="right" vertical="center"/>
    </xf>
    <xf numFmtId="0" fontId="0" fillId="40" borderId="346" xfId="0" applyFill="1" applyBorder="1" applyAlignment="1">
      <alignment horizontal="right" vertical="center"/>
    </xf>
    <xf numFmtId="0" fontId="41" fillId="0" borderId="393" xfId="0" applyFont="1" applyBorder="1" applyAlignment="1">
      <alignment horizontal="center" vertical="center" wrapText="1"/>
    </xf>
    <xf numFmtId="0" fontId="41" fillId="0" borderId="398" xfId="0" applyFont="1" applyBorder="1" applyAlignment="1">
      <alignment horizontal="center" vertical="center" wrapText="1"/>
    </xf>
    <xf numFmtId="0" fontId="41" fillId="0" borderId="394" xfId="0" applyFont="1" applyBorder="1" applyAlignment="1">
      <alignment horizontal="center" vertical="center" wrapText="1"/>
    </xf>
    <xf numFmtId="0" fontId="41" fillId="0" borderId="399" xfId="0" applyFont="1" applyBorder="1" applyAlignment="1">
      <alignment horizontal="center" vertical="center" wrapText="1"/>
    </xf>
    <xf numFmtId="0" fontId="41" fillId="0" borderId="395" xfId="0" applyFont="1" applyBorder="1" applyAlignment="1">
      <alignment horizontal="center" vertical="center" wrapText="1"/>
    </xf>
    <xf numFmtId="0" fontId="41" fillId="0" borderId="400" xfId="0" applyFont="1" applyBorder="1" applyAlignment="1">
      <alignment horizontal="center" vertical="center" wrapText="1"/>
    </xf>
    <xf numFmtId="0" fontId="41" fillId="0" borderId="48" xfId="0" applyFont="1" applyBorder="1" applyAlignment="1">
      <alignment horizontal="center"/>
    </xf>
    <xf numFmtId="0" fontId="41" fillId="0" borderId="72" xfId="0" applyFont="1" applyBorder="1" applyAlignment="1">
      <alignment horizontal="center"/>
    </xf>
    <xf numFmtId="0" fontId="41" fillId="0" borderId="407" xfId="0" applyFont="1" applyBorder="1" applyAlignment="1">
      <alignment horizontal="center" vertical="center"/>
    </xf>
    <xf numFmtId="0" fontId="41" fillId="0" borderId="345" xfId="0" applyFont="1" applyBorder="1" applyAlignment="1">
      <alignment horizontal="center" vertical="center"/>
    </xf>
    <xf numFmtId="0" fontId="41" fillId="0" borderId="408" xfId="0" applyFont="1" applyBorder="1" applyAlignment="1">
      <alignment horizontal="center" vertical="center"/>
    </xf>
    <xf numFmtId="0" fontId="41" fillId="0" borderId="409" xfId="0" applyFont="1" applyBorder="1" applyAlignment="1">
      <alignment horizontal="center" vertical="center"/>
    </xf>
    <xf numFmtId="0" fontId="9" fillId="0" borderId="0" xfId="0" applyFont="1" applyFill="1" applyBorder="1" applyAlignment="1">
      <alignment horizontal="left"/>
    </xf>
    <xf numFmtId="171" fontId="0" fillId="40" borderId="347" xfId="0" applyNumberFormat="1" applyFill="1" applyBorder="1" applyAlignment="1">
      <alignment horizontal="left" vertical="center"/>
    </xf>
    <xf numFmtId="171" fontId="0" fillId="40" borderId="352" xfId="0" applyNumberFormat="1" applyFill="1" applyBorder="1" applyAlignment="1">
      <alignment horizontal="left" vertical="center"/>
    </xf>
    <xf numFmtId="0" fontId="0" fillId="40" borderId="352" xfId="0" applyFill="1" applyBorder="1" applyAlignment="1">
      <alignment horizontal="left" vertical="center"/>
    </xf>
    <xf numFmtId="0" fontId="0" fillId="40" borderId="348" xfId="0" applyFill="1" applyBorder="1" applyAlignment="1">
      <alignment horizontal="left" vertical="center"/>
    </xf>
    <xf numFmtId="3" fontId="0" fillId="40" borderId="347" xfId="0" applyNumberFormat="1" applyFill="1" applyBorder="1" applyAlignment="1">
      <alignment horizontal="left" vertical="center"/>
    </xf>
    <xf numFmtId="3" fontId="0" fillId="40" borderId="352" xfId="0" applyNumberFormat="1" applyFill="1" applyBorder="1" applyAlignment="1">
      <alignment horizontal="left" vertical="center"/>
    </xf>
    <xf numFmtId="0" fontId="0" fillId="40" borderId="347" xfId="0" applyFill="1" applyBorder="1" applyAlignment="1">
      <alignment horizontal="left" vertical="center"/>
    </xf>
    <xf numFmtId="0" fontId="18" fillId="40" borderId="347" xfId="0" applyFont="1" applyFill="1" applyBorder="1" applyAlignment="1">
      <alignment horizontal="left" vertical="center"/>
    </xf>
    <xf numFmtId="0" fontId="18" fillId="40" borderId="348" xfId="0" applyFont="1" applyFill="1" applyBorder="1" applyAlignment="1">
      <alignment horizontal="left" vertical="center"/>
    </xf>
    <xf numFmtId="0" fontId="70" fillId="40" borderId="347" xfId="0" applyFont="1" applyFill="1" applyBorder="1" applyAlignment="1">
      <alignment horizontal="left" vertical="center"/>
    </xf>
    <xf numFmtId="0" fontId="70" fillId="40" borderId="352" xfId="0" applyFont="1" applyFill="1" applyBorder="1" applyAlignment="1">
      <alignment horizontal="left" vertical="center"/>
    </xf>
    <xf numFmtId="0" fontId="70" fillId="40" borderId="348" xfId="0" applyFont="1" applyFill="1" applyBorder="1" applyAlignment="1">
      <alignment horizontal="left" vertical="center"/>
    </xf>
    <xf numFmtId="0" fontId="0" fillId="40" borderId="347" xfId="0" applyFill="1" applyBorder="1" applyAlignment="1">
      <alignment horizontal="left" vertical="center" wrapText="1"/>
    </xf>
    <xf numFmtId="0" fontId="0" fillId="40" borderId="352" xfId="0" applyFill="1" applyBorder="1" applyAlignment="1">
      <alignment horizontal="left" vertical="center" wrapText="1"/>
    </xf>
    <xf numFmtId="0" fontId="0" fillId="40" borderId="348" xfId="0" applyFill="1" applyBorder="1" applyAlignment="1">
      <alignment horizontal="left" vertical="center" wrapText="1"/>
    </xf>
    <xf numFmtId="0" fontId="1" fillId="40" borderId="198" xfId="0" applyFont="1" applyFill="1" applyBorder="1" applyAlignment="1">
      <alignment horizontal="left" vertical="top" wrapText="1"/>
    </xf>
    <xf numFmtId="167" fontId="0" fillId="40" borderId="198" xfId="0" applyNumberFormat="1" applyFill="1" applyBorder="1" applyAlignment="1">
      <alignment horizontal="left" vertical="center"/>
    </xf>
    <xf numFmtId="0" fontId="0" fillId="40" borderId="198" xfId="0" applyFill="1" applyBorder="1" applyAlignment="1">
      <alignment horizontal="left" vertical="top" wrapText="1"/>
    </xf>
    <xf numFmtId="0" fontId="0" fillId="40" borderId="351" xfId="0" applyFill="1" applyBorder="1" applyAlignment="1">
      <alignment horizontal="left" vertical="center"/>
    </xf>
    <xf numFmtId="0" fontId="0" fillId="40" borderId="353" xfId="0" applyFill="1" applyBorder="1" applyAlignment="1">
      <alignment horizontal="left" vertical="center"/>
    </xf>
    <xf numFmtId="2" fontId="17" fillId="40" borderId="230" xfId="0" applyNumberFormat="1" applyFont="1" applyFill="1" applyBorder="1" applyAlignment="1">
      <alignment horizontal="left" vertical="center"/>
    </xf>
    <xf numFmtId="2" fontId="17" fillId="40" borderId="167" xfId="0" applyNumberFormat="1" applyFont="1" applyFill="1" applyBorder="1" applyAlignment="1">
      <alignment horizontal="left" vertical="center"/>
    </xf>
    <xf numFmtId="169" fontId="0" fillId="40" borderId="230" xfId="0" applyNumberFormat="1" applyFont="1" applyFill="1" applyBorder="1" applyAlignment="1">
      <alignment horizontal="left" vertical="center"/>
    </xf>
    <xf numFmtId="169" fontId="0" fillId="40" borderId="167" xfId="0" applyNumberFormat="1" applyFont="1" applyFill="1" applyBorder="1" applyAlignment="1">
      <alignment horizontal="left" vertical="center"/>
    </xf>
    <xf numFmtId="169" fontId="0" fillId="40" borderId="343" xfId="0" applyNumberFormat="1" applyFont="1" applyFill="1" applyBorder="1" applyAlignment="1">
      <alignment horizontal="left" vertical="center"/>
    </xf>
    <xf numFmtId="0" fontId="0" fillId="40" borderId="230" xfId="0" applyFill="1" applyBorder="1" applyAlignment="1">
      <alignment horizontal="left"/>
    </xf>
    <xf numFmtId="0" fontId="0" fillId="40" borderId="167" xfId="0" applyFill="1" applyBorder="1" applyAlignment="1">
      <alignment horizontal="left"/>
    </xf>
    <xf numFmtId="0" fontId="0" fillId="40" borderId="343" xfId="0" applyFill="1" applyBorder="1" applyAlignment="1">
      <alignment horizontal="left"/>
    </xf>
    <xf numFmtId="0" fontId="14" fillId="40" borderId="230" xfId="0" applyFont="1" applyFill="1" applyBorder="1" applyAlignment="1">
      <alignment horizontal="left"/>
    </xf>
    <xf numFmtId="0" fontId="14" fillId="40" borderId="343" xfId="0" applyFont="1" applyFill="1" applyBorder="1" applyAlignment="1">
      <alignment horizontal="left"/>
    </xf>
    <xf numFmtId="0" fontId="0" fillId="40" borderId="230" xfId="0" applyFont="1" applyFill="1" applyBorder="1" applyAlignment="1">
      <alignment horizontal="left"/>
    </xf>
    <xf numFmtId="0" fontId="0" fillId="40" borderId="343" xfId="0" applyFont="1" applyFill="1" applyBorder="1" applyAlignment="1">
      <alignment horizontal="left"/>
    </xf>
    <xf numFmtId="2" fontId="0" fillId="40" borderId="230" xfId="0" applyNumberFormat="1" applyFill="1" applyBorder="1" applyAlignment="1">
      <alignment horizontal="left" vertical="center"/>
    </xf>
    <xf numFmtId="2" fontId="0" fillId="40" borderId="343" xfId="0" applyNumberFormat="1" applyFill="1" applyBorder="1" applyAlignment="1">
      <alignment horizontal="left" vertical="center"/>
    </xf>
    <xf numFmtId="1" fontId="0" fillId="40" borderId="230" xfId="0" applyNumberFormat="1" applyFill="1" applyBorder="1" applyAlignment="1">
      <alignment horizontal="left" vertical="center"/>
    </xf>
    <xf numFmtId="1" fontId="0" fillId="40" borderId="343" xfId="0" applyNumberFormat="1" applyFill="1" applyBorder="1" applyAlignment="1">
      <alignment horizontal="left" vertical="center"/>
    </xf>
    <xf numFmtId="166" fontId="0" fillId="40" borderId="230" xfId="0" applyNumberFormat="1" applyFill="1" applyBorder="1" applyAlignment="1">
      <alignment horizontal="left" vertical="center"/>
    </xf>
    <xf numFmtId="166" fontId="0" fillId="40" borderId="167" xfId="0" applyNumberFormat="1" applyFill="1" applyBorder="1" applyAlignment="1">
      <alignment horizontal="left" vertical="center"/>
    </xf>
    <xf numFmtId="0" fontId="0" fillId="40" borderId="198" xfId="0" applyFill="1" applyBorder="1" applyAlignment="1">
      <alignment horizontal="left" vertical="center"/>
    </xf>
    <xf numFmtId="0" fontId="18" fillId="0" borderId="0" xfId="0" applyFont="1" applyFill="1" applyBorder="1" applyAlignment="1">
      <alignment horizontal="center" vertical="center"/>
    </xf>
    <xf numFmtId="0" fontId="0" fillId="40" borderId="347" xfId="0" applyFill="1" applyBorder="1" applyAlignment="1">
      <alignment horizontal="left" vertical="top" wrapText="1"/>
    </xf>
    <xf numFmtId="0" fontId="0" fillId="40" borderId="352" xfId="0" applyFill="1" applyBorder="1" applyAlignment="1">
      <alignment horizontal="left" vertical="top" wrapText="1"/>
    </xf>
    <xf numFmtId="0" fontId="0" fillId="40" borderId="348" xfId="0" applyFill="1" applyBorder="1" applyAlignment="1">
      <alignment horizontal="left" vertical="top" wrapText="1"/>
    </xf>
    <xf numFmtId="0" fontId="0" fillId="40" borderId="328" xfId="0" applyFill="1" applyBorder="1" applyAlignment="1">
      <alignment horizontal="left" vertical="center"/>
    </xf>
    <xf numFmtId="0" fontId="13" fillId="40" borderId="198" xfId="0" applyFont="1" applyFill="1" applyBorder="1" applyAlignment="1">
      <alignment horizontal="left" vertical="top" wrapText="1"/>
    </xf>
    <xf numFmtId="169" fontId="0" fillId="40" borderId="230" xfId="0" applyNumberFormat="1" applyFill="1" applyBorder="1" applyAlignment="1">
      <alignment horizontal="left" vertical="center"/>
    </xf>
    <xf numFmtId="169" fontId="0" fillId="40" borderId="343" xfId="0" applyNumberFormat="1" applyFill="1" applyBorder="1" applyAlignment="1">
      <alignment horizontal="left" vertical="center"/>
    </xf>
    <xf numFmtId="2" fontId="14" fillId="40" borderId="230" xfId="0" applyNumberFormat="1" applyFont="1" applyFill="1" applyBorder="1" applyAlignment="1">
      <alignment horizontal="left" vertical="center"/>
    </xf>
    <xf numFmtId="2" fontId="14" fillId="40" borderId="343" xfId="0" applyNumberFormat="1" applyFont="1" applyFill="1" applyBorder="1" applyAlignment="1">
      <alignment horizontal="left" vertical="center"/>
    </xf>
    <xf numFmtId="0" fontId="0" fillId="40" borderId="230" xfId="0" applyFill="1" applyBorder="1" applyAlignment="1">
      <alignment horizontal="left" vertical="top" wrapText="1"/>
    </xf>
    <xf numFmtId="0" fontId="0" fillId="40" borderId="167" xfId="0" applyFill="1" applyBorder="1" applyAlignment="1">
      <alignment horizontal="left" vertical="top" wrapText="1"/>
    </xf>
    <xf numFmtId="0" fontId="0" fillId="40" borderId="343" xfId="0" applyFill="1" applyBorder="1" applyAlignment="1">
      <alignment horizontal="left" vertical="top" wrapText="1"/>
    </xf>
    <xf numFmtId="169" fontId="0" fillId="40" borderId="347" xfId="0" applyNumberFormat="1" applyFont="1" applyFill="1" applyBorder="1" applyAlignment="1">
      <alignment horizontal="left" vertical="center"/>
    </xf>
    <xf numFmtId="169" fontId="0" fillId="40" borderId="352" xfId="0" applyNumberFormat="1" applyFont="1" applyFill="1" applyBorder="1" applyAlignment="1">
      <alignment horizontal="left" vertical="center"/>
    </xf>
    <xf numFmtId="169" fontId="0" fillId="40" borderId="348" xfId="0" applyNumberFormat="1" applyFont="1" applyFill="1" applyBorder="1" applyAlignment="1">
      <alignment horizontal="left" vertical="center"/>
    </xf>
    <xf numFmtId="164" fontId="0" fillId="40" borderId="230" xfId="0" applyNumberFormat="1" applyFill="1" applyBorder="1" applyAlignment="1">
      <alignment horizontal="left" vertical="center"/>
    </xf>
    <xf numFmtId="164" fontId="0" fillId="40" borderId="343" xfId="0" applyNumberFormat="1" applyFill="1" applyBorder="1" applyAlignment="1">
      <alignment horizontal="left" vertical="center"/>
    </xf>
    <xf numFmtId="186" fontId="0" fillId="40" borderId="347" xfId="0" applyNumberFormat="1" applyFill="1" applyBorder="1" applyAlignment="1">
      <alignment horizontal="left" vertical="center"/>
    </xf>
    <xf numFmtId="186" fontId="0" fillId="40" borderId="352" xfId="0" applyNumberFormat="1" applyFill="1" applyBorder="1" applyAlignment="1">
      <alignment horizontal="left" vertical="center"/>
    </xf>
    <xf numFmtId="186" fontId="0" fillId="40" borderId="348" xfId="0" applyNumberFormat="1" applyFill="1" applyBorder="1" applyAlignment="1">
      <alignment horizontal="left" vertical="center"/>
    </xf>
    <xf numFmtId="3" fontId="0" fillId="40" borderId="230" xfId="0" applyNumberFormat="1" applyFill="1" applyBorder="1" applyAlignment="1">
      <alignment horizontal="left" vertical="center"/>
    </xf>
    <xf numFmtId="3" fontId="0" fillId="40" borderId="167" xfId="0" applyNumberFormat="1" applyFill="1" applyBorder="1" applyAlignment="1">
      <alignment horizontal="left" vertical="center"/>
    </xf>
    <xf numFmtId="0" fontId="37" fillId="40" borderId="230" xfId="0" applyFont="1" applyFill="1" applyBorder="1" applyAlignment="1">
      <alignment horizontal="left" vertical="center"/>
    </xf>
    <xf numFmtId="0" fontId="37" fillId="40" borderId="167" xfId="0" applyFont="1" applyFill="1" applyBorder="1" applyAlignment="1">
      <alignment horizontal="left" vertical="center"/>
    </xf>
    <xf numFmtId="0" fontId="37" fillId="40" borderId="343" xfId="0" applyFont="1" applyFill="1" applyBorder="1" applyAlignment="1">
      <alignment horizontal="left" vertical="center"/>
    </xf>
    <xf numFmtId="2" fontId="1" fillId="40" borderId="230" xfId="0" applyNumberFormat="1" applyFont="1" applyFill="1" applyBorder="1" applyAlignment="1">
      <alignment horizontal="left" vertical="center"/>
    </xf>
    <xf numFmtId="2" fontId="1" fillId="40" borderId="167" xfId="0" applyNumberFormat="1" applyFont="1" applyFill="1" applyBorder="1" applyAlignment="1">
      <alignment horizontal="left" vertical="center"/>
    </xf>
    <xf numFmtId="2" fontId="1" fillId="40" borderId="343" xfId="0" applyNumberFormat="1" applyFont="1" applyFill="1" applyBorder="1" applyAlignment="1">
      <alignment horizontal="left" vertical="center"/>
    </xf>
    <xf numFmtId="223" fontId="0" fillId="40" borderId="230" xfId="0" quotePrefix="1" applyNumberFormat="1" applyFill="1" applyBorder="1" applyAlignment="1">
      <alignment horizontal="left"/>
    </xf>
    <xf numFmtId="223" fontId="0" fillId="40" borderId="167" xfId="0" quotePrefix="1" applyNumberFormat="1" applyFill="1" applyBorder="1" applyAlignment="1">
      <alignment horizontal="left"/>
    </xf>
    <xf numFmtId="223" fontId="0" fillId="40" borderId="343" xfId="0" quotePrefix="1" applyNumberFormat="1" applyFill="1" applyBorder="1" applyAlignment="1">
      <alignment horizontal="left"/>
    </xf>
    <xf numFmtId="170" fontId="0" fillId="40" borderId="230" xfId="0" applyNumberFormat="1" applyFill="1" applyBorder="1" applyAlignment="1">
      <alignment horizontal="left"/>
    </xf>
    <xf numFmtId="170" fontId="0" fillId="40" borderId="167" xfId="0" applyNumberFormat="1" applyFill="1" applyBorder="1" applyAlignment="1">
      <alignment horizontal="left"/>
    </xf>
    <xf numFmtId="170" fontId="0" fillId="40" borderId="343" xfId="0" applyNumberFormat="1" applyFill="1" applyBorder="1" applyAlignment="1">
      <alignment horizontal="left"/>
    </xf>
    <xf numFmtId="2" fontId="4" fillId="40" borderId="230" xfId="0" applyNumberFormat="1" applyFont="1" applyFill="1" applyBorder="1" applyAlignment="1">
      <alignment horizontal="left" vertical="center"/>
    </xf>
    <xf numFmtId="2" fontId="4" fillId="40" borderId="167" xfId="0" applyNumberFormat="1" applyFont="1" applyFill="1" applyBorder="1" applyAlignment="1">
      <alignment horizontal="left" vertical="center"/>
    </xf>
    <xf numFmtId="2" fontId="4" fillId="40" borderId="343" xfId="0" applyNumberFormat="1" applyFont="1" applyFill="1" applyBorder="1" applyAlignment="1">
      <alignment horizontal="left" vertical="center"/>
    </xf>
    <xf numFmtId="0" fontId="72" fillId="0" borderId="0" xfId="0" applyFont="1" applyFill="1" applyBorder="1" applyAlignment="1">
      <alignment horizontal="center"/>
    </xf>
    <xf numFmtId="0" fontId="9" fillId="40" borderId="329" xfId="0" applyFont="1" applyFill="1" applyBorder="1" applyAlignment="1">
      <alignment horizontal="center"/>
    </xf>
    <xf numFmtId="0" fontId="9" fillId="40" borderId="195" xfId="0" applyFont="1" applyFill="1" applyBorder="1" applyAlignment="1">
      <alignment horizontal="center"/>
    </xf>
    <xf numFmtId="0" fontId="9" fillId="40" borderId="342" xfId="0" applyFont="1" applyFill="1" applyBorder="1" applyAlignment="1">
      <alignment horizontal="center"/>
    </xf>
    <xf numFmtId="2" fontId="0" fillId="40" borderId="230" xfId="0" applyNumberFormat="1" applyFont="1" applyFill="1" applyBorder="1" applyAlignment="1">
      <alignment horizontal="left" vertical="center"/>
    </xf>
    <xf numFmtId="2" fontId="0" fillId="40" borderId="167" xfId="0" applyNumberFormat="1" applyFont="1" applyFill="1" applyBorder="1" applyAlignment="1">
      <alignment horizontal="left" vertical="center"/>
    </xf>
    <xf numFmtId="2" fontId="0" fillId="40" borderId="343" xfId="0" applyNumberFormat="1" applyFont="1" applyFill="1" applyBorder="1" applyAlignment="1">
      <alignment horizontal="left" vertical="center"/>
    </xf>
    <xf numFmtId="2" fontId="0" fillId="40" borderId="167" xfId="0" applyNumberFormat="1" applyFill="1" applyBorder="1" applyAlignment="1">
      <alignment horizontal="left" vertical="center"/>
    </xf>
    <xf numFmtId="0" fontId="13" fillId="40" borderId="230" xfId="0" applyFont="1" applyFill="1" applyBorder="1" applyAlignment="1">
      <alignment horizontal="left" vertical="center"/>
    </xf>
    <xf numFmtId="0" fontId="13" fillId="40" borderId="167" xfId="0" applyFont="1" applyFill="1" applyBorder="1" applyAlignment="1">
      <alignment horizontal="left" vertical="center"/>
    </xf>
    <xf numFmtId="0" fontId="13" fillId="40" borderId="343" xfId="0" applyFont="1" applyFill="1" applyBorder="1" applyAlignment="1">
      <alignment horizontal="left" vertical="center"/>
    </xf>
    <xf numFmtId="0" fontId="1" fillId="40" borderId="230" xfId="0" applyNumberFormat="1" applyFont="1" applyFill="1" applyBorder="1" applyAlignment="1">
      <alignment horizontal="left" vertical="center"/>
    </xf>
    <xf numFmtId="0" fontId="1" fillId="40" borderId="343" xfId="0" applyNumberFormat="1" applyFont="1" applyFill="1" applyBorder="1" applyAlignment="1">
      <alignment horizontal="left" vertical="center"/>
    </xf>
    <xf numFmtId="0" fontId="16" fillId="40" borderId="230" xfId="0" applyFont="1" applyFill="1" applyBorder="1" applyAlignment="1">
      <alignment horizontal="left" vertical="center"/>
    </xf>
    <xf numFmtId="0" fontId="16" fillId="40" borderId="167" xfId="0" applyFont="1" applyFill="1" applyBorder="1" applyAlignment="1">
      <alignment horizontal="left" vertical="center"/>
    </xf>
    <xf numFmtId="0" fontId="16" fillId="40" borderId="343" xfId="0" applyFont="1" applyFill="1" applyBorder="1" applyAlignment="1">
      <alignment horizontal="left" vertical="center"/>
    </xf>
    <xf numFmtId="1" fontId="4" fillId="40" borderId="230" xfId="0" applyNumberFormat="1" applyFont="1" applyFill="1" applyBorder="1" applyAlignment="1">
      <alignment horizontal="left" vertical="center"/>
    </xf>
    <xf numFmtId="1" fontId="4" fillId="40" borderId="343" xfId="0" applyNumberFormat="1" applyFont="1" applyFill="1" applyBorder="1" applyAlignment="1">
      <alignment horizontal="left" vertical="center"/>
    </xf>
    <xf numFmtId="0" fontId="0" fillId="40" borderId="230" xfId="0" applyFill="1" applyBorder="1" applyAlignment="1">
      <alignment horizontal="left" vertical="center" indent="1"/>
    </xf>
    <xf numFmtId="0" fontId="0" fillId="40" borderId="167" xfId="0" applyFill="1" applyBorder="1" applyAlignment="1">
      <alignment horizontal="left" vertical="center" indent="1"/>
    </xf>
    <xf numFmtId="0" fontId="0" fillId="40" borderId="343" xfId="0" applyFill="1" applyBorder="1" applyAlignment="1">
      <alignment horizontal="left" vertical="center" indent="1"/>
    </xf>
    <xf numFmtId="2" fontId="14" fillId="40" borderId="167" xfId="0" applyNumberFormat="1" applyFont="1" applyFill="1" applyBorder="1" applyAlignment="1">
      <alignment horizontal="left" vertical="center"/>
    </xf>
    <xf numFmtId="0" fontId="1" fillId="40" borderId="230" xfId="0" applyFont="1" applyFill="1" applyBorder="1" applyAlignment="1">
      <alignment horizontal="left" vertical="center"/>
    </xf>
    <xf numFmtId="0" fontId="1" fillId="40" borderId="343" xfId="0" applyFont="1" applyFill="1" applyBorder="1" applyAlignment="1">
      <alignment horizontal="left" vertical="center"/>
    </xf>
    <xf numFmtId="0" fontId="18" fillId="40" borderId="198" xfId="0" applyFont="1" applyFill="1" applyBorder="1" applyAlignment="1">
      <alignment horizontal="left" vertical="center"/>
    </xf>
    <xf numFmtId="0" fontId="17" fillId="40" borderId="347" xfId="0" applyNumberFormat="1" applyFont="1" applyFill="1" applyBorder="1" applyAlignment="1">
      <alignment horizontal="left" vertical="center"/>
    </xf>
    <xf numFmtId="0" fontId="17" fillId="40" borderId="352" xfId="0" applyNumberFormat="1" applyFont="1" applyFill="1" applyBorder="1" applyAlignment="1">
      <alignment horizontal="left" vertical="center"/>
    </xf>
    <xf numFmtId="0" fontId="0" fillId="0" borderId="194" xfId="0" applyBorder="1" applyAlignment="1">
      <alignment horizontal="left" vertical="center" indent="2"/>
    </xf>
    <xf numFmtId="0" fontId="0" fillId="0" borderId="354" xfId="0" applyBorder="1" applyAlignment="1">
      <alignment horizontal="left" vertical="center" indent="2"/>
    </xf>
    <xf numFmtId="0" fontId="17" fillId="40" borderId="352" xfId="0" applyFont="1" applyFill="1" applyBorder="1" applyAlignment="1">
      <alignment horizontal="left" vertical="center" wrapText="1"/>
    </xf>
    <xf numFmtId="0" fontId="17" fillId="40" borderId="348" xfId="0" applyFont="1" applyFill="1" applyBorder="1" applyAlignment="1">
      <alignment horizontal="left" vertical="center" wrapText="1"/>
    </xf>
    <xf numFmtId="0" fontId="0" fillId="0" borderId="0" xfId="0" applyAlignment="1">
      <alignment horizontal="left"/>
    </xf>
    <xf numFmtId="0" fontId="0" fillId="40" borderId="225" xfId="0" applyFill="1" applyBorder="1" applyAlignment="1">
      <alignment horizontal="left" vertical="center"/>
    </xf>
    <xf numFmtId="0" fontId="17" fillId="40" borderId="167" xfId="0" applyFont="1" applyFill="1" applyBorder="1" applyAlignment="1">
      <alignment horizontal="left" vertical="center"/>
    </xf>
    <xf numFmtId="0" fontId="17" fillId="40" borderId="343" xfId="0" applyFont="1" applyFill="1" applyBorder="1" applyAlignment="1">
      <alignment horizontal="left" vertical="center"/>
    </xf>
    <xf numFmtId="0" fontId="4" fillId="40" borderId="230" xfId="0" applyNumberFormat="1" applyFont="1" applyFill="1" applyBorder="1" applyAlignment="1">
      <alignment horizontal="left" vertical="center"/>
    </xf>
    <xf numFmtId="0" fontId="4" fillId="40" borderId="343" xfId="0" applyNumberFormat="1" applyFont="1" applyFill="1" applyBorder="1" applyAlignment="1">
      <alignment horizontal="left" vertical="center"/>
    </xf>
    <xf numFmtId="0" fontId="31" fillId="40" borderId="230" xfId="0" applyFont="1" applyFill="1" applyBorder="1" applyAlignment="1">
      <alignment horizontal="left"/>
    </xf>
    <xf numFmtId="0" fontId="31" fillId="40" borderId="343" xfId="0" applyFont="1" applyFill="1" applyBorder="1" applyAlignment="1">
      <alignment horizontal="left"/>
    </xf>
    <xf numFmtId="22" fontId="0" fillId="40" borderId="230" xfId="0" applyNumberFormat="1" applyFill="1" applyBorder="1" applyAlignment="1">
      <alignment horizontal="left" vertical="center"/>
    </xf>
    <xf numFmtId="22" fontId="0" fillId="40" borderId="167" xfId="0" applyNumberFormat="1" applyFill="1" applyBorder="1" applyAlignment="1">
      <alignment horizontal="left" vertical="center"/>
    </xf>
    <xf numFmtId="22" fontId="0" fillId="40" borderId="343" xfId="0" applyNumberFormat="1" applyFill="1" applyBorder="1" applyAlignment="1">
      <alignment horizontal="left" vertical="center"/>
    </xf>
    <xf numFmtId="0" fontId="1" fillId="2" borderId="40"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0" borderId="90" xfId="0" applyFont="1" applyFill="1" applyBorder="1" applyAlignment="1">
      <alignment horizontal="center" vertical="center" wrapText="1"/>
    </xf>
    <xf numFmtId="0" fontId="1" fillId="0" borderId="64" xfId="0" applyFont="1" applyFill="1" applyBorder="1" applyAlignment="1">
      <alignment horizontal="center" vertical="center" wrapText="1"/>
    </xf>
    <xf numFmtId="0" fontId="1" fillId="0" borderId="89" xfId="0" applyFont="1" applyFill="1" applyBorder="1" applyAlignment="1">
      <alignment horizontal="center" vertical="center" wrapText="1"/>
    </xf>
    <xf numFmtId="0" fontId="1" fillId="0" borderId="80"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0" borderId="41"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37" fillId="48" borderId="88" xfId="0" applyFont="1" applyFill="1" applyBorder="1" applyAlignment="1">
      <alignment horizontal="center" vertical="center"/>
    </xf>
    <xf numFmtId="0" fontId="37" fillId="48" borderId="91" xfId="0" applyFont="1" applyFill="1" applyBorder="1" applyAlignment="1">
      <alignment horizontal="center" vertical="center"/>
    </xf>
    <xf numFmtId="0" fontId="37" fillId="48" borderId="95" xfId="0" applyFont="1" applyFill="1" applyBorder="1" applyAlignment="1">
      <alignment horizontal="center" vertical="center"/>
    </xf>
    <xf numFmtId="0" fontId="37" fillId="47" borderId="88" xfId="0" applyFont="1" applyFill="1" applyBorder="1" applyAlignment="1">
      <alignment horizontal="center" vertical="center"/>
    </xf>
    <xf numFmtId="0" fontId="4" fillId="0" borderId="70"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1" fillId="0" borderId="79" xfId="0" applyFont="1" applyFill="1" applyBorder="1" applyAlignment="1">
      <alignment horizontal="center" vertical="center" wrapText="1"/>
    </xf>
    <xf numFmtId="0" fontId="37" fillId="46" borderId="88" xfId="0" applyFont="1" applyFill="1" applyBorder="1" applyAlignment="1">
      <alignment horizontal="center" vertical="center"/>
    </xf>
    <xf numFmtId="0" fontId="37" fillId="0" borderId="131" xfId="0" applyFont="1" applyFill="1" applyBorder="1" applyAlignment="1">
      <alignment horizontal="center" vertical="center"/>
    </xf>
    <xf numFmtId="0" fontId="37" fillId="0" borderId="92" xfId="0" applyFont="1" applyFill="1" applyBorder="1" applyAlignment="1">
      <alignment horizontal="center" vertical="center"/>
    </xf>
    <xf numFmtId="0" fontId="37" fillId="0" borderId="93" xfId="0" applyFont="1" applyFill="1" applyBorder="1" applyAlignment="1">
      <alignment horizontal="center" vertical="center"/>
    </xf>
    <xf numFmtId="0" fontId="35" fillId="0" borderId="447" xfId="0" applyFont="1" applyBorder="1" applyAlignment="1">
      <alignment horizontal="center" vertical="center"/>
    </xf>
    <xf numFmtId="0" fontId="35" fillId="0" borderId="448" xfId="0" applyFont="1" applyBorder="1" applyAlignment="1">
      <alignment horizontal="center" vertical="center"/>
    </xf>
    <xf numFmtId="0" fontId="35" fillId="0" borderId="449" xfId="0" applyFont="1" applyBorder="1" applyAlignment="1">
      <alignment horizontal="center" vertical="center"/>
    </xf>
    <xf numFmtId="0" fontId="1" fillId="0" borderId="3" xfId="0" applyFont="1" applyFill="1" applyBorder="1" applyAlignment="1">
      <alignment horizontal="center" vertical="center" wrapText="1"/>
    </xf>
    <xf numFmtId="0" fontId="4" fillId="48" borderId="70" xfId="0" applyFont="1" applyFill="1" applyBorder="1" applyAlignment="1">
      <alignment horizontal="center" vertical="center" wrapText="1"/>
    </xf>
    <xf numFmtId="0" fontId="4" fillId="48" borderId="22" xfId="0" applyFont="1" applyFill="1" applyBorder="1" applyAlignment="1">
      <alignment horizontal="center" vertical="center" wrapText="1"/>
    </xf>
    <xf numFmtId="0" fontId="4" fillId="48" borderId="37" xfId="0" applyFont="1" applyFill="1" applyBorder="1" applyAlignment="1">
      <alignment horizontal="center" vertical="center" wrapText="1"/>
    </xf>
    <xf numFmtId="0" fontId="4" fillId="47" borderId="70" xfId="0" applyFont="1" applyFill="1" applyBorder="1" applyAlignment="1">
      <alignment horizontal="center" vertical="center" wrapText="1"/>
    </xf>
    <xf numFmtId="0" fontId="4" fillId="47" borderId="22" xfId="0" applyFont="1" applyFill="1" applyBorder="1" applyAlignment="1">
      <alignment horizontal="center" vertical="center" wrapText="1"/>
    </xf>
    <xf numFmtId="0" fontId="4" fillId="47" borderId="37" xfId="0" applyFont="1" applyFill="1" applyBorder="1" applyAlignment="1">
      <alignment horizontal="center" vertical="center" wrapText="1"/>
    </xf>
    <xf numFmtId="0" fontId="4" fillId="46" borderId="22"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7" fillId="6" borderId="447" xfId="0" applyFont="1" applyFill="1" applyBorder="1" applyAlignment="1">
      <alignment horizontal="center" vertical="center"/>
    </xf>
    <xf numFmtId="0" fontId="37" fillId="6" borderId="449" xfId="0" applyFont="1" applyFill="1" applyBorder="1" applyAlignment="1">
      <alignment horizontal="center" vertical="center"/>
    </xf>
    <xf numFmtId="0" fontId="1" fillId="0" borderId="38"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3"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0" fillId="0" borderId="24" xfId="0" applyFont="1" applyFill="1" applyBorder="1" applyAlignment="1">
      <alignment horizontal="left" vertical="center" wrapText="1" indent="1"/>
    </xf>
    <xf numFmtId="0" fontId="0" fillId="0" borderId="12" xfId="0" applyFont="1" applyFill="1" applyBorder="1" applyAlignment="1">
      <alignment horizontal="left" vertical="center" indent="1"/>
    </xf>
    <xf numFmtId="0" fontId="0" fillId="0" borderId="9" xfId="0" applyFont="1" applyFill="1" applyBorder="1" applyAlignment="1">
      <alignment horizontal="left" vertical="center" indent="1"/>
    </xf>
    <xf numFmtId="0" fontId="0" fillId="0" borderId="3" xfId="0" applyFont="1" applyFill="1" applyBorder="1" applyAlignment="1">
      <alignment horizontal="left" vertical="center" indent="1"/>
    </xf>
    <xf numFmtId="0" fontId="0" fillId="0" borderId="12" xfId="0" applyFont="1" applyFill="1" applyBorder="1" applyAlignment="1">
      <alignment horizontal="left" vertical="center" wrapText="1" indent="1"/>
    </xf>
    <xf numFmtId="0" fontId="0" fillId="0" borderId="7" xfId="0" applyFont="1" applyFill="1" applyBorder="1" applyAlignment="1">
      <alignment horizontal="left" vertical="center" wrapText="1" indent="1"/>
    </xf>
    <xf numFmtId="187" fontId="0" fillId="0" borderId="23" xfId="0" applyNumberFormat="1" applyFont="1" applyFill="1" applyBorder="1" applyAlignment="1">
      <alignment horizontal="right" vertical="center" wrapText="1" indent="1"/>
    </xf>
    <xf numFmtId="0" fontId="0" fillId="0" borderId="101" xfId="0" applyFont="1" applyFill="1" applyBorder="1" applyAlignment="1">
      <alignment horizontal="right" vertical="center" wrapText="1" indent="1"/>
    </xf>
    <xf numFmtId="0" fontId="0" fillId="0" borderId="23" xfId="0" applyFont="1" applyFill="1" applyBorder="1" applyAlignment="1">
      <alignment horizontal="right" vertical="center" wrapText="1" indent="1"/>
    </xf>
    <xf numFmtId="166" fontId="0" fillId="0" borderId="355" xfId="0" applyNumberFormat="1" applyFont="1" applyFill="1" applyBorder="1" applyAlignment="1">
      <alignment horizontal="center" vertical="center" wrapText="1"/>
    </xf>
    <xf numFmtId="166" fontId="0" fillId="0" borderId="3" xfId="0" applyNumberFormat="1" applyFont="1" applyFill="1" applyBorder="1" applyAlignment="1">
      <alignment horizontal="center" vertical="center" wrapText="1"/>
    </xf>
    <xf numFmtId="166" fontId="0" fillId="0" borderId="9" xfId="0" applyNumberFormat="1" applyFont="1" applyFill="1" applyBorder="1" applyAlignment="1">
      <alignment horizontal="center" vertical="center" wrapText="1"/>
    </xf>
    <xf numFmtId="2" fontId="0" fillId="0" borderId="366" xfId="0" applyNumberFormat="1" applyFont="1" applyFill="1" applyBorder="1" applyAlignment="1">
      <alignment horizontal="center" vertical="center" wrapText="1"/>
    </xf>
    <xf numFmtId="2" fontId="0" fillId="0" borderId="1" xfId="0" applyNumberFormat="1" applyFont="1" applyFill="1" applyBorder="1" applyAlignment="1">
      <alignment horizontal="center" vertical="center" wrapText="1"/>
    </xf>
    <xf numFmtId="2" fontId="0" fillId="0" borderId="15" xfId="0" applyNumberFormat="1" applyFont="1" applyFill="1" applyBorder="1" applyAlignment="1">
      <alignment horizontal="center" vertical="center" wrapText="1"/>
    </xf>
    <xf numFmtId="3" fontId="0" fillId="0" borderId="355" xfId="0" applyNumberFormat="1" applyFont="1" applyFill="1" applyBorder="1" applyAlignment="1">
      <alignment horizontal="center" vertical="center" wrapText="1"/>
    </xf>
    <xf numFmtId="3" fontId="0" fillId="0" borderId="3" xfId="0" applyNumberFormat="1" applyFont="1" applyFill="1" applyBorder="1" applyAlignment="1">
      <alignment horizontal="center" vertical="center" wrapText="1"/>
    </xf>
    <xf numFmtId="3" fontId="0" fillId="0" borderId="9" xfId="0" applyNumberFormat="1" applyFont="1" applyFill="1" applyBorder="1" applyAlignment="1">
      <alignment horizontal="center" vertical="center" wrapText="1"/>
    </xf>
    <xf numFmtId="1" fontId="0" fillId="0" borderId="357" xfId="0" applyNumberFormat="1" applyFont="1" applyFill="1" applyBorder="1" applyAlignment="1">
      <alignment horizontal="center" vertical="center" wrapText="1"/>
    </xf>
    <xf numFmtId="1" fontId="0" fillId="0" borderId="38" xfId="0" applyNumberFormat="1" applyFont="1" applyFill="1" applyBorder="1" applyAlignment="1">
      <alignment horizontal="center" vertical="center" wrapText="1"/>
    </xf>
    <xf numFmtId="1" fontId="0" fillId="0" borderId="41" xfId="0" applyNumberFormat="1" applyFont="1" applyFill="1" applyBorder="1" applyAlignment="1">
      <alignment horizontal="center" vertical="center" wrapText="1"/>
    </xf>
    <xf numFmtId="1" fontId="0" fillId="0" borderId="40" xfId="0" applyNumberFormat="1" applyFont="1" applyFill="1" applyBorder="1" applyAlignment="1">
      <alignment horizontal="center" vertical="center" wrapText="1"/>
    </xf>
    <xf numFmtId="166" fontId="0" fillId="0" borderId="7" xfId="0" applyNumberFormat="1" applyFont="1" applyFill="1" applyBorder="1" applyAlignment="1">
      <alignment horizontal="center" vertical="center" wrapText="1"/>
    </xf>
    <xf numFmtId="2" fontId="0" fillId="0" borderId="8" xfId="0" applyNumberFormat="1" applyFont="1" applyFill="1" applyBorder="1" applyAlignment="1">
      <alignment horizontal="center" vertical="center" wrapText="1"/>
    </xf>
    <xf numFmtId="3" fontId="0" fillId="0" borderId="7" xfId="0" applyNumberFormat="1" applyFont="1" applyFill="1" applyBorder="1" applyAlignment="1">
      <alignment horizontal="center" vertical="center" wrapText="1"/>
    </xf>
    <xf numFmtId="1" fontId="0" fillId="0" borderId="42" xfId="0" applyNumberFormat="1" applyFont="1" applyFill="1" applyBorder="1" applyAlignment="1">
      <alignment horizontal="center" vertical="center" wrapText="1"/>
    </xf>
    <xf numFmtId="3" fontId="0" fillId="0" borderId="12" xfId="0" applyNumberFormat="1" applyFont="1" applyFill="1" applyBorder="1" applyAlignment="1">
      <alignment horizontal="center" vertical="center" wrapText="1"/>
    </xf>
    <xf numFmtId="189" fontId="0" fillId="0" borderId="358" xfId="0" applyNumberFormat="1" applyFont="1" applyFill="1" applyBorder="1" applyAlignment="1">
      <alignment horizontal="center" vertical="center" wrapText="1"/>
    </xf>
    <xf numFmtId="189" fontId="0" fillId="0" borderId="84" xfId="0" applyNumberFormat="1" applyFont="1" applyFill="1" applyBorder="1" applyAlignment="1">
      <alignment horizontal="center" vertical="center" wrapText="1"/>
    </xf>
    <xf numFmtId="189" fontId="0" fillId="0" borderId="82" xfId="0" applyNumberFormat="1" applyFont="1" applyFill="1" applyBorder="1" applyAlignment="1">
      <alignment horizontal="center" vertical="center" wrapText="1"/>
    </xf>
    <xf numFmtId="3" fontId="0" fillId="0" borderId="318" xfId="0" applyNumberFormat="1" applyFont="1" applyFill="1" applyBorder="1" applyAlignment="1">
      <alignment horizontal="center" vertical="center" wrapText="1"/>
    </xf>
    <xf numFmtId="3" fontId="0" fillId="0" borderId="38" xfId="0" applyNumberFormat="1" applyFont="1" applyFill="1" applyBorder="1" applyAlignment="1">
      <alignment horizontal="center" vertical="center" wrapText="1"/>
    </xf>
    <xf numFmtId="3" fontId="0" fillId="0" borderId="41" xfId="0" applyNumberFormat="1" applyFont="1" applyFill="1" applyBorder="1" applyAlignment="1">
      <alignment horizontal="center" vertical="center" wrapText="1"/>
    </xf>
    <xf numFmtId="3" fontId="0" fillId="0" borderId="306" xfId="0" applyNumberFormat="1" applyFont="1" applyFill="1" applyBorder="1" applyAlignment="1">
      <alignment horizontal="center" vertical="center" wrapText="1"/>
    </xf>
    <xf numFmtId="2" fontId="0" fillId="0" borderId="355" xfId="0" applyNumberFormat="1" applyFont="1" applyFill="1" applyBorder="1" applyAlignment="1">
      <alignment horizontal="center" vertical="center" wrapText="1"/>
    </xf>
    <xf numFmtId="2" fontId="0" fillId="0" borderId="3"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wrapText="1"/>
    </xf>
    <xf numFmtId="189" fontId="0" fillId="0" borderId="106" xfId="0" applyNumberFormat="1" applyFont="1" applyFill="1" applyBorder="1" applyAlignment="1">
      <alignment horizontal="center" vertical="center" wrapText="1"/>
    </xf>
    <xf numFmtId="189" fontId="0" fillId="0" borderId="580" xfId="0" applyNumberFormat="1" applyFont="1" applyFill="1" applyBorder="1" applyAlignment="1">
      <alignment horizontal="center" vertical="center" wrapText="1"/>
    </xf>
    <xf numFmtId="189" fontId="0" fillId="0" borderId="31" xfId="0" applyNumberFormat="1" applyFont="1" applyFill="1" applyBorder="1" applyAlignment="1">
      <alignment horizontal="center" vertical="center" wrapText="1"/>
    </xf>
    <xf numFmtId="189" fontId="0" fillId="0" borderId="35" xfId="0" applyNumberFormat="1" applyFont="1" applyFill="1" applyBorder="1" applyAlignment="1">
      <alignment horizontal="center" vertical="center" wrapText="1"/>
    </xf>
    <xf numFmtId="2" fontId="0" fillId="0" borderId="13" xfId="0" applyNumberFormat="1" applyFont="1" applyFill="1" applyBorder="1" applyAlignment="1">
      <alignment horizontal="center" vertical="center" wrapText="1"/>
    </xf>
    <xf numFmtId="3" fontId="0" fillId="0" borderId="40" xfId="0" applyNumberFormat="1" applyFont="1" applyFill="1" applyBorder="1" applyAlignment="1">
      <alignment horizontal="center" vertical="center" wrapText="1"/>
    </xf>
    <xf numFmtId="187" fontId="0" fillId="0" borderId="12" xfId="0" applyNumberFormat="1" applyFont="1" applyFill="1" applyBorder="1" applyAlignment="1">
      <alignment horizontal="right" vertical="center" wrapText="1" indent="1"/>
    </xf>
    <xf numFmtId="187" fontId="0" fillId="0" borderId="3" xfId="0" applyNumberFormat="1" applyFont="1" applyFill="1" applyBorder="1" applyAlignment="1">
      <alignment horizontal="right" vertical="center" wrapText="1" indent="1"/>
    </xf>
    <xf numFmtId="187" fontId="0" fillId="0" borderId="9" xfId="0" applyNumberFormat="1" applyFont="1" applyFill="1" applyBorder="1" applyAlignment="1">
      <alignment horizontal="right" vertical="center" wrapText="1" indent="1"/>
    </xf>
    <xf numFmtId="0" fontId="0" fillId="0" borderId="27" xfId="0" applyFont="1" applyFill="1" applyBorder="1" applyAlignment="1">
      <alignment horizontal="right" vertical="center" wrapText="1" indent="1"/>
    </xf>
    <xf numFmtId="166" fontId="0" fillId="0" borderId="306" xfId="0" applyNumberFormat="1" applyFont="1" applyFill="1" applyBorder="1" applyAlignment="1">
      <alignment horizontal="center" vertical="center" wrapText="1"/>
    </xf>
    <xf numFmtId="0" fontId="41" fillId="14" borderId="12" xfId="0" applyFont="1" applyFill="1" applyBorder="1" applyAlignment="1">
      <alignment vertical="center" wrapText="1"/>
    </xf>
    <xf numFmtId="0" fontId="41" fillId="14" borderId="3" xfId="0" applyFont="1" applyFill="1" applyBorder="1" applyAlignment="1">
      <alignment vertical="center" wrapText="1"/>
    </xf>
    <xf numFmtId="0" fontId="41" fillId="14" borderId="9" xfId="0" applyFont="1" applyFill="1" applyBorder="1" applyAlignment="1">
      <alignment vertical="center" wrapText="1"/>
    </xf>
    <xf numFmtId="0" fontId="0" fillId="0" borderId="101" xfId="0" applyFont="1" applyFill="1" applyBorder="1" applyAlignment="1">
      <alignment horizontal="right" vertical="center" indent="1"/>
    </xf>
    <xf numFmtId="0" fontId="0" fillId="0" borderId="3" xfId="0" applyFont="1" applyFill="1" applyBorder="1" applyAlignment="1">
      <alignment horizontal="right" vertical="center" indent="1"/>
    </xf>
    <xf numFmtId="0" fontId="0" fillId="0" borderId="7" xfId="0" applyFont="1" applyFill="1" applyBorder="1" applyAlignment="1">
      <alignment horizontal="right" vertical="center" indent="1"/>
    </xf>
    <xf numFmtId="0" fontId="0" fillId="0" borderId="101" xfId="0" applyFont="1" applyFill="1" applyBorder="1" applyAlignment="1">
      <alignment horizontal="left" vertical="center" wrapText="1" indent="1"/>
    </xf>
    <xf numFmtId="2" fontId="0" fillId="0" borderId="64" xfId="0" applyNumberFormat="1" applyFont="1" applyFill="1" applyBorder="1" applyAlignment="1">
      <alignment horizontal="center" vertical="center" wrapText="1"/>
    </xf>
    <xf numFmtId="2" fontId="0" fillId="0" borderId="45" xfId="0" applyNumberFormat="1" applyFont="1" applyFill="1" applyBorder="1" applyAlignment="1">
      <alignment horizontal="center" vertical="center" wrapText="1"/>
    </xf>
    <xf numFmtId="2" fontId="0" fillId="0" borderId="65" xfId="0" applyNumberFormat="1" applyFont="1" applyFill="1" applyBorder="1" applyAlignment="1">
      <alignment horizontal="center" vertical="center" wrapText="1"/>
    </xf>
    <xf numFmtId="166" fontId="0" fillId="0" borderId="12" xfId="0" applyNumberFormat="1" applyFont="1" applyFill="1" applyBorder="1" applyAlignment="1">
      <alignment horizontal="center" vertical="center" wrapText="1"/>
    </xf>
    <xf numFmtId="189" fontId="0" fillId="0" borderId="36" xfId="0" applyNumberFormat="1" applyFont="1" applyFill="1" applyBorder="1" applyAlignment="1">
      <alignment horizontal="center" vertical="center" wrapText="1"/>
    </xf>
    <xf numFmtId="175" fontId="0" fillId="0" borderId="26" xfId="0" applyNumberFormat="1" applyFont="1" applyFill="1" applyBorder="1" applyAlignment="1">
      <alignment horizontal="right" vertical="center" wrapText="1" indent="1"/>
    </xf>
    <xf numFmtId="175" fontId="0" fillId="0" borderId="23" xfId="0" applyNumberFormat="1" applyFont="1" applyFill="1" applyBorder="1" applyAlignment="1">
      <alignment horizontal="right" vertical="center" wrapText="1" indent="1"/>
    </xf>
    <xf numFmtId="3" fontId="0" fillId="0" borderId="42" xfId="0" applyNumberFormat="1" applyFont="1" applyFill="1" applyBorder="1" applyAlignment="1">
      <alignment horizontal="center" vertical="center" wrapText="1"/>
    </xf>
    <xf numFmtId="2" fontId="0" fillId="0" borderId="7" xfId="0" applyNumberFormat="1" applyFont="1" applyFill="1" applyBorder="1" applyAlignment="1">
      <alignment horizontal="center" vertical="center" wrapText="1"/>
    </xf>
    <xf numFmtId="189" fontId="0" fillId="0" borderId="44" xfId="0" applyNumberFormat="1" applyFont="1" applyFill="1" applyBorder="1" applyAlignment="1">
      <alignment horizontal="center" vertical="center" wrapText="1"/>
    </xf>
    <xf numFmtId="2" fontId="0" fillId="0" borderId="12" xfId="0" applyNumberFormat="1" applyFont="1" applyFill="1" applyBorder="1" applyAlignment="1">
      <alignment horizontal="center" vertical="center" wrapText="1"/>
    </xf>
    <xf numFmtId="187" fontId="0" fillId="0" borderId="26" xfId="0" applyNumberFormat="1" applyFont="1" applyFill="1" applyBorder="1" applyAlignment="1">
      <alignment horizontal="right" vertical="center" wrapText="1"/>
    </xf>
    <xf numFmtId="187" fontId="0" fillId="0" borderId="27" xfId="0" applyNumberFormat="1" applyFont="1" applyFill="1" applyBorder="1" applyAlignment="1">
      <alignment horizontal="right" vertical="center" wrapText="1"/>
    </xf>
    <xf numFmtId="189" fontId="0" fillId="0" borderId="81" xfId="0" applyNumberFormat="1" applyFont="1" applyFill="1" applyBorder="1" applyAlignment="1">
      <alignment horizontal="center" vertical="center" wrapText="1"/>
    </xf>
    <xf numFmtId="2" fontId="0" fillId="0" borderId="56" xfId="0" applyNumberFormat="1" applyFont="1" applyFill="1" applyBorder="1" applyAlignment="1">
      <alignment horizontal="left" vertical="center" wrapText="1"/>
    </xf>
    <xf numFmtId="2" fontId="0" fillId="0" borderId="58" xfId="0" applyNumberFormat="1" applyFont="1" applyFill="1" applyBorder="1" applyAlignment="1">
      <alignment horizontal="left" vertical="center" wrapText="1"/>
    </xf>
    <xf numFmtId="2" fontId="0" fillId="0" borderId="371" xfId="0" applyNumberFormat="1" applyFont="1" applyFill="1" applyBorder="1" applyAlignment="1">
      <alignment horizontal="center" vertical="center" wrapText="1"/>
    </xf>
    <xf numFmtId="2" fontId="0" fillId="0" borderId="57" xfId="0" applyNumberFormat="1" applyFont="1" applyFill="1" applyBorder="1" applyAlignment="1">
      <alignment horizontal="center" vertical="center" wrapText="1"/>
    </xf>
    <xf numFmtId="2" fontId="0" fillId="0" borderId="79" xfId="0" applyNumberFormat="1" applyFont="1" applyFill="1" applyBorder="1" applyAlignment="1">
      <alignment horizontal="center" vertical="center" wrapText="1"/>
    </xf>
    <xf numFmtId="2" fontId="0" fillId="0" borderId="58" xfId="0" applyNumberFormat="1" applyFont="1" applyFill="1" applyBorder="1" applyAlignment="1">
      <alignment horizontal="center" vertical="center" wrapText="1"/>
    </xf>
    <xf numFmtId="3" fontId="0" fillId="0" borderId="355" xfId="0" applyNumberFormat="1" applyFont="1" applyFill="1" applyBorder="1" applyAlignment="1">
      <alignment vertical="center" wrapText="1"/>
    </xf>
    <xf numFmtId="3" fontId="0" fillId="0" borderId="3" xfId="0" applyNumberFormat="1" applyFont="1" applyFill="1" applyBorder="1" applyAlignment="1">
      <alignment vertical="center" wrapText="1"/>
    </xf>
    <xf numFmtId="3" fontId="0" fillId="0" borderId="7" xfId="0" applyNumberFormat="1" applyFont="1" applyFill="1" applyBorder="1" applyAlignment="1">
      <alignment vertical="center" wrapText="1"/>
    </xf>
    <xf numFmtId="1" fontId="0" fillId="0" borderId="355" xfId="0" applyNumberFormat="1" applyFont="1" applyFill="1" applyBorder="1" applyAlignment="1">
      <alignment horizontal="center" vertical="center" wrapText="1"/>
    </xf>
    <xf numFmtId="1" fontId="0" fillId="0" borderId="3" xfId="0" applyNumberFormat="1" applyFont="1" applyFill="1" applyBorder="1" applyAlignment="1">
      <alignment horizontal="center" vertical="center" wrapText="1"/>
    </xf>
    <xf numFmtId="1" fontId="0" fillId="0" borderId="7" xfId="0" applyNumberFormat="1" applyFont="1" applyFill="1" applyBorder="1" applyAlignment="1">
      <alignment horizontal="center" vertical="center" wrapText="1"/>
    </xf>
    <xf numFmtId="1" fontId="0" fillId="0" borderId="372" xfId="0" applyNumberFormat="1" applyFont="1" applyFill="1" applyBorder="1" applyAlignment="1">
      <alignment horizontal="right" vertical="center" wrapText="1" indent="1"/>
    </xf>
    <xf numFmtId="1" fontId="0" fillId="0" borderId="134" xfId="0" applyNumberFormat="1" applyFont="1" applyFill="1" applyBorder="1" applyAlignment="1">
      <alignment horizontal="right" vertical="center" wrapText="1" indent="1"/>
    </xf>
    <xf numFmtId="1" fontId="0" fillId="0" borderId="137" xfId="0" applyNumberFormat="1" applyFont="1" applyFill="1" applyBorder="1" applyAlignment="1">
      <alignment horizontal="right" vertical="center" wrapText="1" indent="1"/>
    </xf>
    <xf numFmtId="3" fontId="0" fillId="0" borderId="9" xfId="0" applyNumberFormat="1" applyFont="1" applyFill="1" applyBorder="1" applyAlignment="1">
      <alignment vertical="center" wrapText="1"/>
    </xf>
    <xf numFmtId="1" fontId="0" fillId="0" borderId="9" xfId="0" applyNumberFormat="1" applyFont="1" applyFill="1" applyBorder="1" applyAlignment="1">
      <alignment horizontal="center" vertical="center" wrapText="1"/>
    </xf>
    <xf numFmtId="1" fontId="0" fillId="0" borderId="135" xfId="0" applyNumberFormat="1" applyFont="1" applyFill="1" applyBorder="1" applyAlignment="1">
      <alignment horizontal="right" vertical="center" wrapText="1" indent="1"/>
    </xf>
    <xf numFmtId="193" fontId="4" fillId="0" borderId="54" xfId="0" applyNumberFormat="1" applyFont="1" applyBorder="1" applyAlignment="1">
      <alignment horizontal="center" vertical="center"/>
    </xf>
    <xf numFmtId="193" fontId="4" fillId="0" borderId="57" xfId="0" applyNumberFormat="1" applyFont="1" applyBorder="1" applyAlignment="1">
      <alignment horizontal="center" vertical="center"/>
    </xf>
    <xf numFmtId="193" fontId="4" fillId="0" borderId="58" xfId="0" applyNumberFormat="1" applyFont="1" applyBorder="1" applyAlignment="1">
      <alignment horizontal="center" vertical="center"/>
    </xf>
    <xf numFmtId="3" fontId="0" fillId="0" borderId="12" xfId="0" applyNumberFormat="1" applyFont="1" applyFill="1" applyBorder="1" applyAlignment="1">
      <alignment vertical="center" wrapText="1"/>
    </xf>
    <xf numFmtId="1" fontId="0" fillId="0" borderId="12" xfId="0" applyNumberFormat="1" applyFont="1" applyFill="1" applyBorder="1" applyAlignment="1">
      <alignment horizontal="center" vertical="center" wrapText="1"/>
    </xf>
    <xf numFmtId="1" fontId="0" fillId="0" borderId="140" xfId="0" applyNumberFormat="1" applyFont="1" applyFill="1" applyBorder="1" applyAlignment="1">
      <alignment horizontal="right" vertical="center" wrapText="1" indent="1"/>
    </xf>
    <xf numFmtId="0" fontId="0" fillId="14" borderId="0" xfId="0" applyFill="1" applyAlignment="1">
      <alignment horizontal="left" vertical="center" wrapText="1" indent="1"/>
    </xf>
    <xf numFmtId="0" fontId="41" fillId="14" borderId="7" xfId="0" applyFont="1" applyFill="1" applyBorder="1" applyAlignment="1">
      <alignment vertical="center" wrapText="1"/>
    </xf>
    <xf numFmtId="0" fontId="41" fillId="14" borderId="355" xfId="0" applyFont="1" applyFill="1" applyBorder="1" applyAlignment="1">
      <alignment vertical="center" wrapText="1"/>
    </xf>
    <xf numFmtId="187" fontId="0" fillId="0" borderId="23" xfId="0" applyNumberFormat="1" applyFont="1" applyFill="1" applyBorder="1" applyAlignment="1">
      <alignment horizontal="center" vertical="center" wrapText="1"/>
    </xf>
    <xf numFmtId="187" fontId="0" fillId="0" borderId="27" xfId="0" applyNumberFormat="1" applyFont="1" applyFill="1" applyBorder="1" applyAlignment="1">
      <alignment horizontal="center" vertical="center" wrapText="1"/>
    </xf>
    <xf numFmtId="0" fontId="0" fillId="0" borderId="12" xfId="0" applyFont="1" applyFill="1" applyBorder="1" applyAlignment="1">
      <alignment horizontal="right" vertical="center" indent="1"/>
    </xf>
    <xf numFmtId="0" fontId="0" fillId="0" borderId="9" xfId="0" applyFont="1" applyFill="1" applyBorder="1" applyAlignment="1">
      <alignment horizontal="right" vertical="center" indent="1"/>
    </xf>
    <xf numFmtId="187" fontId="0" fillId="0" borderId="26" xfId="0" applyNumberFormat="1" applyFont="1" applyFill="1" applyBorder="1" applyAlignment="1">
      <alignment horizontal="center" vertical="center" wrapText="1"/>
    </xf>
    <xf numFmtId="0" fontId="0" fillId="14" borderId="70" xfId="0" applyFont="1" applyFill="1" applyBorder="1" applyAlignment="1">
      <alignment horizontal="center"/>
    </xf>
    <xf numFmtId="0" fontId="0" fillId="14" borderId="22" xfId="0" applyFont="1" applyFill="1" applyBorder="1" applyAlignment="1">
      <alignment horizontal="center"/>
    </xf>
    <xf numFmtId="166" fontId="0" fillId="12" borderId="495" xfId="0" applyNumberFormat="1" applyFont="1" applyFill="1" applyBorder="1" applyAlignment="1">
      <alignment horizontal="left" vertical="center" wrapText="1"/>
    </xf>
    <xf numFmtId="166" fontId="0" fillId="12" borderId="3" xfId="0" applyNumberFormat="1" applyFont="1" applyFill="1" applyBorder="1" applyAlignment="1">
      <alignment horizontal="left" vertical="center" wrapText="1"/>
    </xf>
    <xf numFmtId="166" fontId="0" fillId="12" borderId="7" xfId="0" applyNumberFormat="1" applyFont="1" applyFill="1" applyBorder="1" applyAlignment="1">
      <alignment horizontal="left" vertical="center" wrapText="1"/>
    </xf>
    <xf numFmtId="166" fontId="0" fillId="12" borderId="495" xfId="0" applyNumberFormat="1" applyFont="1" applyFill="1" applyBorder="1" applyAlignment="1">
      <alignment vertical="center" wrapText="1"/>
    </xf>
    <xf numFmtId="166" fontId="0" fillId="12" borderId="3" xfId="0" applyNumberFormat="1" applyFont="1" applyFill="1" applyBorder="1" applyAlignment="1">
      <alignment vertical="center" wrapText="1"/>
    </xf>
    <xf numFmtId="166" fontId="0" fillId="12" borderId="7" xfId="0" applyNumberFormat="1" applyFont="1" applyFill="1" applyBorder="1" applyAlignment="1">
      <alignment vertical="center" wrapText="1"/>
    </xf>
    <xf numFmtId="166" fontId="0" fillId="12" borderId="495" xfId="0" applyNumberFormat="1" applyFont="1" applyFill="1" applyBorder="1" applyAlignment="1">
      <alignment horizontal="center" vertical="center" wrapText="1"/>
    </xf>
    <xf numFmtId="166" fontId="0" fillId="12" borderId="3" xfId="0" applyNumberFormat="1" applyFont="1" applyFill="1" applyBorder="1" applyAlignment="1">
      <alignment horizontal="center" vertical="center" wrapText="1"/>
    </xf>
    <xf numFmtId="166" fontId="0" fillId="12" borderId="7" xfId="0" applyNumberFormat="1" applyFont="1" applyFill="1" applyBorder="1" applyAlignment="1">
      <alignment horizontal="center" vertical="center" wrapText="1"/>
    </xf>
    <xf numFmtId="1" fontId="0" fillId="12" borderId="495" xfId="0" applyNumberFormat="1" applyFont="1" applyFill="1" applyBorder="1" applyAlignment="1">
      <alignment horizontal="center" vertical="center" wrapText="1"/>
    </xf>
    <xf numFmtId="1" fontId="0" fillId="12" borderId="3" xfId="0" applyNumberFormat="1" applyFont="1" applyFill="1" applyBorder="1" applyAlignment="1">
      <alignment horizontal="center" vertical="center" wrapText="1"/>
    </xf>
    <xf numFmtId="1" fontId="0" fillId="12" borderId="7" xfId="0" applyNumberFormat="1" applyFont="1" applyFill="1" applyBorder="1" applyAlignment="1">
      <alignment horizontal="center" vertical="center" wrapText="1"/>
    </xf>
    <xf numFmtId="166" fontId="0" fillId="12" borderId="489" xfId="0" applyNumberFormat="1" applyFont="1" applyFill="1" applyBorder="1" applyAlignment="1">
      <alignment horizontal="center" vertical="center" wrapText="1"/>
    </xf>
    <xf numFmtId="166" fontId="0" fillId="12" borderId="38" xfId="0" applyNumberFormat="1" applyFont="1" applyFill="1" applyBorder="1" applyAlignment="1">
      <alignment horizontal="center" vertical="center" wrapText="1"/>
    </xf>
    <xf numFmtId="166" fontId="0" fillId="12" borderId="42" xfId="0" applyNumberFormat="1" applyFont="1" applyFill="1" applyBorder="1" applyAlignment="1">
      <alignment horizontal="center" vertical="center" wrapText="1"/>
    </xf>
    <xf numFmtId="0" fontId="0" fillId="0" borderId="387" xfId="0" applyFont="1" applyBorder="1" applyAlignment="1">
      <alignment horizontal="center" vertical="center"/>
    </xf>
    <xf numFmtId="0" fontId="0" fillId="0" borderId="26" xfId="0" applyFont="1" applyBorder="1" applyAlignment="1">
      <alignment horizontal="center" vertical="center"/>
    </xf>
    <xf numFmtId="0" fontId="37" fillId="0" borderId="121"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0" fillId="0" borderId="12" xfId="0" applyFill="1" applyBorder="1" applyAlignment="1">
      <alignment horizontal="center" vertical="center" wrapText="1"/>
    </xf>
    <xf numFmtId="0" fontId="0" fillId="0" borderId="9" xfId="0" applyFill="1" applyBorder="1" applyAlignment="1">
      <alignment horizontal="center" vertical="center" wrapText="1"/>
    </xf>
    <xf numFmtId="0" fontId="0" fillId="0" borderId="12" xfId="0" applyFill="1" applyBorder="1" applyAlignment="1">
      <alignment horizontal="left" vertical="center" wrapText="1" indent="1"/>
    </xf>
    <xf numFmtId="0" fontId="0" fillId="0" borderId="9" xfId="0" applyFill="1" applyBorder="1" applyAlignment="1">
      <alignment horizontal="left" vertical="center" wrapText="1" indent="1"/>
    </xf>
    <xf numFmtId="0" fontId="0" fillId="0" borderId="3" xfId="0" applyFill="1" applyBorder="1" applyAlignment="1">
      <alignment horizontal="center" vertical="center" wrapText="1"/>
    </xf>
    <xf numFmtId="0" fontId="0" fillId="0" borderId="24" xfId="0" applyFill="1" applyBorder="1" applyAlignment="1">
      <alignment horizontal="left" vertical="center" wrapText="1" indent="1"/>
    </xf>
    <xf numFmtId="0" fontId="0" fillId="0" borderId="3" xfId="0" applyFill="1" applyBorder="1" applyAlignment="1">
      <alignment horizontal="left" vertical="center" wrapText="1" indent="1"/>
    </xf>
    <xf numFmtId="0" fontId="0" fillId="0" borderId="7" xfId="0" applyFill="1" applyBorder="1" applyAlignment="1">
      <alignment horizontal="left" vertical="center" wrapText="1" indent="1"/>
    </xf>
    <xf numFmtId="0" fontId="0" fillId="0" borderId="121" xfId="0" applyFill="1" applyBorder="1" applyAlignment="1">
      <alignment horizontal="center" vertical="center" wrapText="1"/>
    </xf>
    <xf numFmtId="0" fontId="0" fillId="0" borderId="7" xfId="0" applyFill="1" applyBorder="1" applyAlignment="1">
      <alignment horizontal="center" vertical="center" wrapText="1"/>
    </xf>
    <xf numFmtId="0" fontId="0" fillId="0" borderId="121" xfId="0" applyFill="1" applyBorder="1" applyAlignment="1">
      <alignment horizontal="left" vertical="center" wrapText="1" indent="1"/>
    </xf>
    <xf numFmtId="0" fontId="0" fillId="0" borderId="389" xfId="0" applyFill="1" applyBorder="1" applyAlignment="1">
      <alignment horizontal="center" vertical="center" wrapText="1"/>
    </xf>
    <xf numFmtId="0" fontId="0" fillId="0" borderId="40" xfId="0" applyFill="1" applyBorder="1" applyAlignment="1">
      <alignment horizontal="left" vertical="center" wrapText="1" indent="1"/>
    </xf>
    <xf numFmtId="0" fontId="0" fillId="0" borderId="38" xfId="0" applyFill="1" applyBorder="1" applyAlignment="1">
      <alignment horizontal="left" vertical="center" wrapText="1" indent="1"/>
    </xf>
    <xf numFmtId="0" fontId="0" fillId="0" borderId="41" xfId="0" applyFill="1" applyBorder="1" applyAlignment="1">
      <alignment horizontal="left" vertical="center" wrapText="1" indent="1"/>
    </xf>
    <xf numFmtId="0" fontId="0" fillId="0" borderId="36" xfId="0" applyFill="1" applyBorder="1" applyAlignment="1">
      <alignment horizontal="left" vertical="center" wrapText="1" indent="1"/>
    </xf>
    <xf numFmtId="0" fontId="0" fillId="0" borderId="31" xfId="0" applyFill="1" applyBorder="1" applyAlignment="1">
      <alignment horizontal="left" vertical="center" wrapText="1" indent="1"/>
    </xf>
    <xf numFmtId="0" fontId="0" fillId="0" borderId="35" xfId="0" applyFill="1" applyBorder="1" applyAlignment="1">
      <alignment horizontal="left" vertical="center" wrapText="1" indent="1"/>
    </xf>
    <xf numFmtId="0" fontId="0" fillId="0" borderId="40"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41" xfId="0" applyFill="1" applyBorder="1" applyAlignment="1">
      <alignment horizontal="center" vertical="center" wrapText="1"/>
    </xf>
    <xf numFmtId="0" fontId="0" fillId="0" borderId="444" xfId="0" applyFont="1" applyFill="1" applyBorder="1" applyAlignment="1">
      <alignment horizontal="center" vertical="center" wrapText="1"/>
    </xf>
    <xf numFmtId="0" fontId="0" fillId="0" borderId="7" xfId="0" applyFont="1" applyFill="1" applyBorder="1" applyAlignment="1">
      <alignment horizontal="center" vertical="center" wrapText="1"/>
    </xf>
    <xf numFmtId="1" fontId="1" fillId="0" borderId="366"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 fontId="1" fillId="0" borderId="15" xfId="0" applyNumberFormat="1" applyFont="1" applyFill="1" applyBorder="1" applyAlignment="1">
      <alignment horizontal="center" vertical="center" wrapText="1"/>
    </xf>
    <xf numFmtId="1" fontId="1" fillId="0" borderId="13" xfId="0" applyNumberFormat="1" applyFont="1" applyFill="1" applyBorder="1" applyAlignment="1">
      <alignment horizontal="center" vertical="center" wrapText="1"/>
    </xf>
    <xf numFmtId="1" fontId="1" fillId="0" borderId="8" xfId="0" applyNumberFormat="1" applyFont="1" applyFill="1" applyBorder="1" applyAlignment="1">
      <alignment horizontal="center" vertical="center" wrapText="1"/>
    </xf>
    <xf numFmtId="0" fontId="0" fillId="0" borderId="1" xfId="0" applyBorder="1"/>
    <xf numFmtId="0" fontId="0" fillId="0" borderId="8" xfId="0" applyBorder="1"/>
    <xf numFmtId="0" fontId="0" fillId="0" borderId="13" xfId="0" applyFill="1" applyBorder="1" applyAlignment="1">
      <alignment horizontal="center" vertical="center" wrapText="1"/>
    </xf>
    <xf numFmtId="0" fontId="0" fillId="0" borderId="1"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366" xfId="0" applyFill="1" applyBorder="1" applyAlignment="1">
      <alignment horizontal="center" vertical="center" wrapText="1"/>
    </xf>
    <xf numFmtId="0" fontId="0" fillId="0" borderId="8" xfId="0"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0" fillId="0" borderId="36" xfId="0" applyFill="1" applyBorder="1" applyAlignment="1">
      <alignment horizontal="center" vertical="center" wrapText="1"/>
    </xf>
    <xf numFmtId="0" fontId="0" fillId="0" borderId="31" xfId="0" applyFill="1" applyBorder="1" applyAlignment="1">
      <alignment horizontal="center" vertical="center" wrapText="1"/>
    </xf>
    <xf numFmtId="0" fontId="0" fillId="0" borderId="35" xfId="0" applyFill="1" applyBorder="1" applyAlignment="1">
      <alignment horizontal="center" vertical="center" wrapText="1"/>
    </xf>
    <xf numFmtId="0" fontId="0" fillId="0" borderId="357" xfId="0" applyFill="1" applyBorder="1" applyAlignment="1">
      <alignment horizontal="left" vertical="center" wrapText="1" indent="1"/>
    </xf>
    <xf numFmtId="0" fontId="0" fillId="0" borderId="42" xfId="0" applyFill="1" applyBorder="1" applyAlignment="1">
      <alignment horizontal="left" vertical="center" wrapText="1" indent="1"/>
    </xf>
    <xf numFmtId="0" fontId="0" fillId="0" borderId="356" xfId="0" applyFill="1" applyBorder="1" applyAlignment="1">
      <alignment horizontal="left" vertical="center" wrapText="1" indent="1"/>
    </xf>
    <xf numFmtId="0" fontId="0" fillId="0" borderId="44" xfId="0" applyFill="1" applyBorder="1" applyAlignment="1">
      <alignment horizontal="left" vertical="center" wrapText="1" indent="1"/>
    </xf>
    <xf numFmtId="0" fontId="0" fillId="0" borderId="40" xfId="0" applyFont="1" applyFill="1" applyBorder="1" applyAlignment="1">
      <alignment horizontal="left" vertical="center" wrapText="1" indent="1"/>
    </xf>
    <xf numFmtId="0" fontId="0" fillId="0" borderId="38" xfId="0" applyFont="1" applyFill="1" applyBorder="1" applyAlignment="1">
      <alignment horizontal="left" vertical="center" wrapText="1" indent="1"/>
    </xf>
    <xf numFmtId="0" fontId="0" fillId="0" borderId="42" xfId="0" applyFont="1" applyFill="1" applyBorder="1" applyAlignment="1">
      <alignment horizontal="left" vertical="center" wrapText="1" indent="1"/>
    </xf>
    <xf numFmtId="0" fontId="0" fillId="0" borderId="36" xfId="0" applyFont="1" applyFill="1" applyBorder="1" applyAlignment="1">
      <alignment horizontal="left" vertical="center" wrapText="1" indent="1"/>
    </xf>
    <xf numFmtId="0" fontId="0" fillId="0" borderId="31" xfId="0" applyFont="1" applyFill="1" applyBorder="1" applyAlignment="1">
      <alignment horizontal="left" vertical="center" wrapText="1" indent="1"/>
    </xf>
    <xf numFmtId="0" fontId="0" fillId="0" borderId="44" xfId="0" applyFont="1" applyFill="1" applyBorder="1" applyAlignment="1">
      <alignment horizontal="left" vertical="center" wrapText="1" indent="1"/>
    </xf>
    <xf numFmtId="0" fontId="0" fillId="0" borderId="11" xfId="0" applyFont="1" applyFill="1" applyBorder="1" applyAlignment="1">
      <alignment horizontal="left" vertical="center" wrapText="1" indent="1"/>
    </xf>
    <xf numFmtId="0" fontId="0" fillId="0" borderId="2" xfId="0" applyFont="1" applyFill="1" applyBorder="1" applyAlignment="1">
      <alignment horizontal="left" vertical="center" wrapText="1" indent="1"/>
    </xf>
    <xf numFmtId="0" fontId="0" fillId="0" borderId="14" xfId="0" applyFont="1" applyFill="1" applyBorder="1" applyAlignment="1">
      <alignment horizontal="left" vertical="center" wrapText="1" indent="1"/>
    </xf>
    <xf numFmtId="0" fontId="0" fillId="0" borderId="12" xfId="0" applyNumberFormat="1" applyFont="1" applyFill="1" applyBorder="1" applyAlignment="1">
      <alignment horizontal="center" vertical="center" wrapText="1"/>
    </xf>
    <xf numFmtId="0" fontId="0" fillId="0" borderId="3" xfId="0" applyNumberFormat="1" applyFont="1" applyFill="1" applyBorder="1" applyAlignment="1">
      <alignment horizontal="center" vertical="center" wrapText="1"/>
    </xf>
    <xf numFmtId="0" fontId="0" fillId="0" borderId="9" xfId="0" applyNumberFormat="1"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4" fillId="0" borderId="219"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232" xfId="0" applyFont="1" applyFill="1" applyBorder="1" applyAlignment="1">
      <alignment horizontal="center" vertical="center" wrapText="1"/>
    </xf>
    <xf numFmtId="0" fontId="0" fillId="0" borderId="306" xfId="0" applyFont="1" applyFill="1" applyBorder="1" applyAlignment="1">
      <alignment horizontal="center" vertical="center" wrapText="1"/>
    </xf>
    <xf numFmtId="0" fontId="0" fillId="0" borderId="7" xfId="0" applyBorder="1"/>
    <xf numFmtId="0" fontId="0" fillId="0" borderId="306" xfId="0" applyFont="1" applyFill="1" applyBorder="1" applyAlignment="1">
      <alignment horizontal="left" vertical="center" wrapText="1" indent="1"/>
    </xf>
    <xf numFmtId="0" fontId="4" fillId="0" borderId="306" xfId="0" applyFont="1" applyFill="1" applyBorder="1" applyAlignment="1">
      <alignment horizontal="center" vertical="center" wrapText="1"/>
    </xf>
    <xf numFmtId="0" fontId="0" fillId="0" borderId="242" xfId="0" applyFont="1" applyFill="1" applyBorder="1" applyAlignment="1">
      <alignment horizontal="center" vertical="center" wrapText="1"/>
    </xf>
    <xf numFmtId="0" fontId="0" fillId="0" borderId="47" xfId="0" applyFont="1" applyFill="1" applyBorder="1" applyAlignment="1">
      <alignment horizontal="center" vertical="center" wrapText="1"/>
    </xf>
    <xf numFmtId="175" fontId="4" fillId="0" borderId="219" xfId="0" applyNumberFormat="1" applyFont="1" applyFill="1" applyBorder="1" applyAlignment="1">
      <alignment horizontal="center" vertical="center" wrapText="1"/>
    </xf>
    <xf numFmtId="175" fontId="4" fillId="0" borderId="3" xfId="0" applyNumberFormat="1" applyFont="1" applyFill="1" applyBorder="1" applyAlignment="1">
      <alignment horizontal="center" vertical="center" wrapText="1"/>
    </xf>
    <xf numFmtId="175" fontId="4" fillId="0" borderId="7" xfId="0" applyNumberFormat="1" applyFont="1" applyFill="1" applyBorder="1" applyAlignment="1">
      <alignment horizontal="center" vertical="center" wrapText="1"/>
    </xf>
    <xf numFmtId="0" fontId="0" fillId="0" borderId="232" xfId="0" applyFont="1" applyFill="1" applyBorder="1" applyAlignment="1">
      <alignment horizontal="left" vertical="center" wrapText="1" indent="1"/>
    </xf>
    <xf numFmtId="0" fontId="0" fillId="0" borderId="12" xfId="0" applyFont="1" applyBorder="1" applyAlignment="1">
      <alignment horizontal="left" vertical="center" wrapText="1" indent="1"/>
    </xf>
    <xf numFmtId="0" fontId="0" fillId="0" borderId="3" xfId="0" applyFont="1" applyBorder="1" applyAlignment="1">
      <alignment horizontal="left" vertical="center" wrapText="1" indent="1"/>
    </xf>
    <xf numFmtId="0" fontId="0" fillId="0" borderId="9" xfId="0" applyFont="1" applyBorder="1" applyAlignment="1">
      <alignment horizontal="left" vertical="center" wrapText="1" indent="1"/>
    </xf>
    <xf numFmtId="175" fontId="4" fillId="0" borderId="12" xfId="0" applyNumberFormat="1" applyFont="1" applyFill="1" applyBorder="1" applyAlignment="1">
      <alignment horizontal="center" vertical="center" wrapText="1"/>
    </xf>
    <xf numFmtId="0" fontId="0" fillId="0" borderId="3" xfId="0" applyFont="1" applyBorder="1" applyAlignment="1">
      <alignment horizontal="center" vertical="center"/>
    </xf>
    <xf numFmtId="0" fontId="0" fillId="0" borderId="11" xfId="0" applyFill="1" applyBorder="1" applyAlignment="1">
      <alignment horizontal="center" vertical="center" wrapText="1"/>
    </xf>
    <xf numFmtId="0" fontId="0" fillId="0" borderId="2"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3" xfId="0" applyFill="1" applyBorder="1" applyAlignment="1">
      <alignment horizontal="center" vertical="center"/>
    </xf>
    <xf numFmtId="0" fontId="0" fillId="0" borderId="1" xfId="0" applyFill="1" applyBorder="1" applyAlignment="1">
      <alignment horizontal="center" vertical="center"/>
    </xf>
    <xf numFmtId="0" fontId="0" fillId="0" borderId="15" xfId="0" applyFill="1" applyBorder="1" applyAlignment="1">
      <alignment horizontal="center" vertical="center"/>
    </xf>
    <xf numFmtId="0" fontId="4" fillId="0" borderId="26"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0" fillId="0" borderId="218" xfId="0" applyFill="1" applyBorder="1" applyAlignment="1">
      <alignment horizontal="center" vertical="center" wrapText="1"/>
    </xf>
    <xf numFmtId="0" fontId="4" fillId="0" borderId="302" xfId="0" applyFont="1" applyFill="1" applyBorder="1" applyAlignment="1">
      <alignment horizontal="center" vertical="center" wrapText="1"/>
    </xf>
    <xf numFmtId="0" fontId="0" fillId="0" borderId="219" xfId="0" applyFill="1" applyBorder="1" applyAlignment="1">
      <alignment horizontal="center" vertical="center" wrapText="1"/>
    </xf>
    <xf numFmtId="0" fontId="4" fillId="0" borderId="27" xfId="0" applyFont="1" applyFill="1" applyBorder="1" applyAlignment="1">
      <alignment horizontal="center" vertical="center" wrapText="1"/>
    </xf>
    <xf numFmtId="0" fontId="0" fillId="0" borderId="14" xfId="0" applyFill="1" applyBorder="1" applyAlignment="1">
      <alignment horizontal="center" vertical="center" wrapText="1"/>
    </xf>
    <xf numFmtId="0" fontId="0" fillId="0" borderId="133" xfId="0" applyFill="1" applyBorder="1" applyAlignment="1">
      <alignment horizontal="center" vertical="center" wrapText="1"/>
    </xf>
    <xf numFmtId="0" fontId="37" fillId="0" borderId="466" xfId="0" applyFont="1" applyFill="1" applyBorder="1" applyAlignment="1">
      <alignment horizontal="center" vertical="center" wrapText="1"/>
    </xf>
    <xf numFmtId="0" fontId="0" fillId="0" borderId="357" xfId="0" applyFont="1" applyFill="1" applyBorder="1" applyAlignment="1">
      <alignment horizontal="left" vertical="center" wrapText="1" indent="1"/>
    </xf>
    <xf numFmtId="0" fontId="0" fillId="0" borderId="41" xfId="0" applyFont="1" applyFill="1" applyBorder="1" applyAlignment="1">
      <alignment horizontal="left" vertical="center" wrapText="1" indent="1"/>
    </xf>
    <xf numFmtId="0" fontId="0" fillId="0" borderId="356" xfId="0" applyFont="1" applyFill="1" applyBorder="1" applyAlignment="1">
      <alignment horizontal="left" vertical="center" wrapText="1" indent="1"/>
    </xf>
    <xf numFmtId="0" fontId="0" fillId="0" borderId="35" xfId="0" applyFont="1" applyFill="1" applyBorder="1" applyAlignment="1">
      <alignment horizontal="left" vertical="center" wrapText="1" indent="1"/>
    </xf>
    <xf numFmtId="0" fontId="0" fillId="0" borderId="38" xfId="0" applyBorder="1"/>
    <xf numFmtId="0" fontId="0" fillId="0" borderId="42" xfId="0" applyBorder="1"/>
    <xf numFmtId="0" fontId="0" fillId="0" borderId="31" xfId="0" applyBorder="1"/>
    <xf numFmtId="0" fontId="0" fillId="0" borderId="44" xfId="0" applyBorder="1"/>
    <xf numFmtId="0" fontId="0" fillId="0" borderId="376" xfId="0" applyFont="1" applyFill="1" applyBorder="1" applyAlignment="1">
      <alignment horizontal="left" vertical="center" wrapText="1" indent="1"/>
    </xf>
    <xf numFmtId="0" fontId="0" fillId="0" borderId="65" xfId="0" applyFont="1" applyFill="1" applyBorder="1" applyAlignment="1">
      <alignment horizontal="left" vertical="center" wrapText="1" indent="1"/>
    </xf>
    <xf numFmtId="0" fontId="1" fillId="0" borderId="1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7"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44" xfId="0" applyFont="1" applyBorder="1" applyAlignment="1">
      <alignment horizontal="center" vertical="center" wrapText="1"/>
    </xf>
    <xf numFmtId="0" fontId="72" fillId="14" borderId="0" xfId="0" applyFont="1" applyFill="1" applyAlignment="1">
      <alignment horizontal="left" wrapText="1"/>
    </xf>
    <xf numFmtId="0" fontId="1" fillId="0" borderId="56"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79" xfId="0" applyFont="1" applyBorder="1" applyAlignment="1">
      <alignment horizontal="center" vertical="center" wrapText="1"/>
    </xf>
    <xf numFmtId="0" fontId="0" fillId="0" borderId="40" xfId="0" applyBorder="1" applyAlignment="1">
      <alignment horizontal="center" vertical="center"/>
    </xf>
    <xf numFmtId="0" fontId="0" fillId="0" borderId="38" xfId="0" applyBorder="1" applyAlignment="1">
      <alignment horizontal="center" vertical="center"/>
    </xf>
    <xf numFmtId="0" fontId="0" fillId="0" borderId="42" xfId="0" applyBorder="1" applyAlignment="1">
      <alignment horizontal="center" vertical="center"/>
    </xf>
    <xf numFmtId="0" fontId="0" fillId="0" borderId="36" xfId="0" applyFont="1" applyBorder="1" applyAlignment="1">
      <alignment horizontal="center" vertical="center"/>
    </xf>
    <xf numFmtId="0" fontId="0" fillId="0" borderId="31" xfId="0" applyFont="1" applyBorder="1" applyAlignment="1">
      <alignment horizontal="center" vertical="center"/>
    </xf>
    <xf numFmtId="0" fontId="0" fillId="0" borderId="44" xfId="0" applyFont="1" applyBorder="1" applyAlignment="1">
      <alignment horizontal="center" vertical="center"/>
    </xf>
    <xf numFmtId="0" fontId="1" fillId="0" borderId="1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0" fillId="14" borderId="3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44" xfId="0" applyFont="1" applyFill="1" applyBorder="1" applyAlignment="1">
      <alignment horizontal="center" vertical="center" wrapText="1"/>
    </xf>
    <xf numFmtId="194" fontId="0" fillId="14" borderId="13" xfId="0" applyNumberFormat="1" applyFont="1" applyFill="1" applyBorder="1" applyAlignment="1">
      <alignment horizontal="center" vertical="center"/>
    </xf>
    <xf numFmtId="194" fontId="0" fillId="14" borderId="1" xfId="0" applyNumberFormat="1" applyFont="1" applyFill="1" applyBorder="1" applyAlignment="1">
      <alignment horizontal="center" vertical="center"/>
    </xf>
    <xf numFmtId="194" fontId="0" fillId="14" borderId="15" xfId="0" applyNumberFormat="1" applyFont="1" applyFill="1" applyBorder="1" applyAlignment="1">
      <alignment horizontal="center" vertical="center"/>
    </xf>
    <xf numFmtId="173" fontId="0" fillId="14" borderId="70" xfId="0" applyNumberFormat="1" applyFont="1" applyFill="1" applyBorder="1" applyAlignment="1">
      <alignment horizontal="center" vertical="center" wrapText="1"/>
    </xf>
    <xf numFmtId="173" fontId="0" fillId="14" borderId="22" xfId="0" applyNumberFormat="1" applyFont="1" applyFill="1" applyBorder="1" applyAlignment="1">
      <alignment horizontal="center" vertical="center" wrapText="1"/>
    </xf>
    <xf numFmtId="173" fontId="0" fillId="14" borderId="37" xfId="0" applyNumberFormat="1" applyFont="1" applyFill="1" applyBorder="1" applyAlignment="1">
      <alignment horizontal="center" vertical="center" wrapText="1"/>
    </xf>
    <xf numFmtId="176" fontId="0" fillId="14" borderId="70" xfId="0" applyNumberFormat="1" applyFont="1" applyFill="1" applyBorder="1" applyAlignment="1">
      <alignment horizontal="center" vertical="center" wrapText="1"/>
    </xf>
    <xf numFmtId="176" fontId="0" fillId="14" borderId="22" xfId="0" applyNumberFormat="1" applyFont="1" applyFill="1" applyBorder="1" applyAlignment="1">
      <alignment horizontal="center" vertical="center" wrapText="1"/>
    </xf>
    <xf numFmtId="173" fontId="0" fillId="14" borderId="70" xfId="0" applyNumberFormat="1" applyFont="1" applyFill="1" applyBorder="1" applyAlignment="1">
      <alignment horizontal="left" vertical="center" wrapText="1" indent="1"/>
    </xf>
    <xf numFmtId="173" fontId="0" fillId="14" borderId="16" xfId="0" applyNumberFormat="1" applyFont="1" applyFill="1" applyBorder="1" applyAlignment="1">
      <alignment horizontal="left" vertical="center" wrapText="1" indent="1"/>
    </xf>
    <xf numFmtId="9" fontId="0" fillId="14" borderId="70" xfId="0" applyNumberFormat="1" applyFont="1" applyFill="1" applyBorder="1" applyAlignment="1">
      <alignment horizontal="center" vertical="center" wrapText="1"/>
    </xf>
    <xf numFmtId="9" fontId="0" fillId="14" borderId="22" xfId="0" applyNumberFormat="1" applyFont="1" applyFill="1" applyBorder="1" applyAlignment="1">
      <alignment horizontal="center" vertical="center" wrapText="1"/>
    </xf>
    <xf numFmtId="9" fontId="0" fillId="14" borderId="37" xfId="0" applyNumberFormat="1" applyFont="1" applyFill="1" applyBorder="1" applyAlignment="1">
      <alignment horizontal="center" vertical="center" wrapText="1"/>
    </xf>
    <xf numFmtId="176" fontId="0" fillId="14" borderId="11" xfId="0" applyNumberFormat="1" applyFont="1" applyFill="1" applyBorder="1" applyAlignment="1">
      <alignment horizontal="center" vertical="center"/>
    </xf>
    <xf numFmtId="176" fontId="0" fillId="14" borderId="2" xfId="0" applyNumberFormat="1" applyFont="1" applyFill="1" applyBorder="1" applyAlignment="1">
      <alignment horizontal="center" vertical="center"/>
    </xf>
    <xf numFmtId="176" fontId="0" fillId="14" borderId="14" xfId="0" applyNumberFormat="1" applyFont="1" applyFill="1" applyBorder="1" applyAlignment="1">
      <alignment horizontal="center" vertical="center"/>
    </xf>
    <xf numFmtId="173" fontId="0" fillId="14" borderId="12" xfId="0" applyNumberFormat="1" applyFont="1" applyFill="1" applyBorder="1" applyAlignment="1">
      <alignment horizontal="center" vertical="center"/>
    </xf>
    <xf numFmtId="173" fontId="0" fillId="14" borderId="3" xfId="0" applyNumberFormat="1" applyFont="1" applyFill="1" applyBorder="1" applyAlignment="1">
      <alignment horizontal="center" vertical="center"/>
    </xf>
    <xf numFmtId="173" fontId="0" fillId="14" borderId="9" xfId="0" applyNumberFormat="1" applyFont="1" applyFill="1" applyBorder="1" applyAlignment="1">
      <alignment horizontal="center" vertical="center"/>
    </xf>
    <xf numFmtId="0" fontId="37" fillId="14" borderId="36" xfId="0" applyNumberFormat="1" applyFont="1" applyFill="1" applyBorder="1" applyAlignment="1">
      <alignment horizontal="center" vertical="center"/>
    </xf>
    <xf numFmtId="0" fontId="37" fillId="14" borderId="31" xfId="0" applyNumberFormat="1" applyFont="1" applyFill="1" applyBorder="1" applyAlignment="1">
      <alignment horizontal="center" vertical="center"/>
    </xf>
    <xf numFmtId="0" fontId="37" fillId="14" borderId="35" xfId="0" applyNumberFormat="1" applyFont="1" applyFill="1" applyBorder="1" applyAlignment="1">
      <alignment horizontal="center" vertical="center"/>
    </xf>
    <xf numFmtId="173" fontId="0" fillId="14" borderId="40" xfId="0" applyNumberFormat="1" applyFont="1" applyFill="1" applyBorder="1" applyAlignment="1">
      <alignment horizontal="center" vertical="center"/>
    </xf>
    <xf numFmtId="173" fontId="0" fillId="14" borderId="38" xfId="0" applyNumberFormat="1" applyFont="1" applyFill="1" applyBorder="1" applyAlignment="1">
      <alignment horizontal="center" vertical="center"/>
    </xf>
    <xf numFmtId="173" fontId="0" fillId="14" borderId="41" xfId="0" applyNumberFormat="1" applyFont="1" applyFill="1" applyBorder="1" applyAlignment="1">
      <alignment horizontal="center" vertical="center"/>
    </xf>
    <xf numFmtId="0" fontId="0" fillId="14" borderId="73" xfId="0" applyFont="1" applyFill="1" applyBorder="1" applyAlignment="1">
      <alignment horizontal="center" vertical="center" wrapText="1"/>
    </xf>
    <xf numFmtId="0" fontId="0" fillId="14" borderId="48" xfId="0" applyFont="1" applyFill="1" applyBorder="1" applyAlignment="1">
      <alignment horizontal="center" vertical="center" wrapText="1"/>
    </xf>
    <xf numFmtId="0" fontId="0" fillId="14" borderId="66" xfId="0" applyFont="1" applyFill="1" applyBorder="1" applyAlignment="1">
      <alignment horizontal="center" vertical="center" wrapText="1"/>
    </xf>
    <xf numFmtId="0" fontId="0" fillId="14" borderId="89" xfId="0" applyFont="1" applyFill="1" applyBorder="1" applyAlignment="1">
      <alignment horizontal="center" vertical="center" wrapText="1"/>
    </xf>
    <xf numFmtId="0" fontId="0" fillId="14" borderId="19" xfId="0" applyFont="1" applyFill="1" applyBorder="1" applyAlignment="1">
      <alignment horizontal="center" vertical="center" wrapText="1"/>
    </xf>
    <xf numFmtId="0" fontId="0" fillId="14" borderId="80" xfId="0" applyFont="1" applyFill="1" applyBorder="1" applyAlignment="1">
      <alignment horizontal="center" vertical="center" wrapText="1"/>
    </xf>
    <xf numFmtId="195" fontId="0" fillId="14" borderId="64" xfId="0" applyNumberFormat="1" applyFont="1" applyFill="1" applyBorder="1" applyAlignment="1">
      <alignment horizontal="left" vertical="center" wrapText="1" indent="1"/>
    </xf>
    <xf numFmtId="195" fontId="0" fillId="14" borderId="45" xfId="0" applyNumberFormat="1" applyFont="1" applyFill="1" applyBorder="1" applyAlignment="1">
      <alignment horizontal="left" vertical="center" wrapText="1" indent="1"/>
    </xf>
    <xf numFmtId="195" fontId="0" fillId="14" borderId="65" xfId="0" applyNumberFormat="1" applyFont="1" applyFill="1" applyBorder="1" applyAlignment="1">
      <alignment horizontal="left" vertical="center" wrapText="1" indent="1"/>
    </xf>
    <xf numFmtId="194" fontId="0" fillId="14" borderId="36" xfId="0" applyNumberFormat="1" applyFont="1" applyFill="1" applyBorder="1" applyAlignment="1">
      <alignment horizontal="center" vertical="center"/>
    </xf>
    <xf numFmtId="194" fontId="0" fillId="14" borderId="31" xfId="0" applyNumberFormat="1" applyFont="1" applyFill="1" applyBorder="1" applyAlignment="1">
      <alignment horizontal="center" vertical="center"/>
    </xf>
    <xf numFmtId="194" fontId="0" fillId="14" borderId="35" xfId="0" applyNumberFormat="1" applyFont="1" applyFill="1" applyBorder="1" applyAlignment="1">
      <alignment horizontal="center" vertical="center"/>
    </xf>
    <xf numFmtId="173" fontId="0" fillId="14" borderId="36" xfId="0" applyNumberFormat="1" applyFont="1" applyFill="1" applyBorder="1" applyAlignment="1">
      <alignment horizontal="center" vertical="center"/>
    </xf>
    <xf numFmtId="173" fontId="0" fillId="14" borderId="31" xfId="0" applyNumberFormat="1" applyFont="1" applyFill="1" applyBorder="1" applyAlignment="1">
      <alignment horizontal="center" vertical="center"/>
    </xf>
    <xf numFmtId="173" fontId="0" fillId="14" borderId="35" xfId="0" applyNumberFormat="1" applyFont="1" applyFill="1" applyBorder="1" applyAlignment="1">
      <alignment horizontal="center" vertical="center"/>
    </xf>
    <xf numFmtId="164" fontId="0" fillId="14" borderId="11" xfId="0" applyNumberFormat="1" applyFont="1" applyFill="1" applyBorder="1" applyAlignment="1">
      <alignment horizontal="center" vertical="center"/>
    </xf>
    <xf numFmtId="164" fontId="0" fillId="14" borderId="2" xfId="0" applyNumberFormat="1" applyFont="1" applyFill="1" applyBorder="1" applyAlignment="1">
      <alignment horizontal="center" vertical="center"/>
    </xf>
    <xf numFmtId="164" fontId="0" fillId="14" borderId="14" xfId="0" applyNumberFormat="1" applyFont="1" applyFill="1" applyBorder="1" applyAlignment="1">
      <alignment horizontal="center" vertical="center"/>
    </xf>
    <xf numFmtId="164" fontId="0" fillId="14" borderId="12" xfId="0" applyNumberFormat="1" applyFont="1" applyFill="1" applyBorder="1" applyAlignment="1">
      <alignment horizontal="left" vertical="center" indent="1"/>
    </xf>
    <xf numFmtId="164" fontId="0" fillId="14" borderId="3" xfId="0" applyNumberFormat="1" applyFont="1" applyFill="1" applyBorder="1" applyAlignment="1">
      <alignment horizontal="left" vertical="center" indent="1"/>
    </xf>
    <xf numFmtId="164" fontId="0" fillId="14" borderId="9" xfId="0" applyNumberFormat="1" applyFont="1" applyFill="1" applyBorder="1" applyAlignment="1">
      <alignment horizontal="left" vertical="center" indent="1"/>
    </xf>
    <xf numFmtId="14" fontId="0" fillId="14" borderId="12" xfId="0" applyNumberFormat="1" applyFont="1" applyFill="1" applyBorder="1" applyAlignment="1">
      <alignment horizontal="center" vertical="center" wrapText="1"/>
    </xf>
    <xf numFmtId="14" fontId="0" fillId="14" borderId="3" xfId="0" applyNumberFormat="1" applyFont="1" applyFill="1" applyBorder="1" applyAlignment="1">
      <alignment horizontal="center" vertical="center" wrapText="1"/>
    </xf>
    <xf numFmtId="14" fontId="0" fillId="14" borderId="9" xfId="0" applyNumberFormat="1" applyFont="1" applyFill="1" applyBorder="1" applyAlignment="1">
      <alignment horizontal="center" vertical="center" wrapText="1"/>
    </xf>
    <xf numFmtId="0" fontId="0" fillId="14" borderId="12" xfId="0" applyFill="1" applyBorder="1" applyAlignment="1">
      <alignment horizontal="center" vertical="center" wrapText="1"/>
    </xf>
    <xf numFmtId="0" fontId="0" fillId="14" borderId="3" xfId="0" applyFont="1" applyFill="1" applyBorder="1" applyAlignment="1">
      <alignment horizontal="center" vertical="center" wrapText="1"/>
    </xf>
    <xf numFmtId="0" fontId="0" fillId="14" borderId="7" xfId="0" applyFont="1" applyFill="1" applyBorder="1" applyAlignment="1">
      <alignment horizontal="center" vertical="center" wrapText="1"/>
    </xf>
    <xf numFmtId="0" fontId="0" fillId="14" borderId="40" xfId="0" applyFont="1" applyFill="1" applyBorder="1" applyAlignment="1">
      <alignment horizontal="center" vertical="center" wrapText="1"/>
    </xf>
    <xf numFmtId="0" fontId="0" fillId="14" borderId="38" xfId="0" applyFont="1" applyFill="1" applyBorder="1" applyAlignment="1">
      <alignment horizontal="center" vertical="center" wrapText="1"/>
    </xf>
    <xf numFmtId="0" fontId="0" fillId="14" borderId="42" xfId="0" applyFont="1" applyFill="1" applyBorder="1" applyAlignment="1">
      <alignment horizontal="center" vertical="center" wrapText="1"/>
    </xf>
    <xf numFmtId="1" fontId="0" fillId="14" borderId="12" xfId="0" applyNumberFormat="1" applyFont="1" applyFill="1" applyBorder="1" applyAlignment="1">
      <alignment horizontal="left" vertical="center" wrapText="1" indent="1"/>
    </xf>
    <xf numFmtId="1" fontId="0" fillId="14" borderId="9" xfId="0" applyNumberFormat="1" applyFont="1" applyFill="1" applyBorder="1" applyAlignment="1">
      <alignment horizontal="left" vertical="center" wrapText="1" indent="1"/>
    </xf>
    <xf numFmtId="1" fontId="0" fillId="14" borderId="11" xfId="0" applyNumberFormat="1" applyFont="1" applyFill="1" applyBorder="1" applyAlignment="1">
      <alignment horizontal="center" vertical="center" wrapText="1"/>
    </xf>
    <xf numFmtId="1" fontId="0" fillId="14" borderId="14" xfId="0" applyNumberFormat="1" applyFont="1" applyFill="1" applyBorder="1" applyAlignment="1">
      <alignment horizontal="center" vertical="center" wrapText="1"/>
    </xf>
    <xf numFmtId="0" fontId="37" fillId="14" borderId="36" xfId="0" applyNumberFormat="1" applyFont="1" applyFill="1" applyBorder="1" applyAlignment="1">
      <alignment horizontal="center" vertical="center" wrapText="1"/>
    </xf>
    <xf numFmtId="0" fontId="37" fillId="14" borderId="35" xfId="0" applyNumberFormat="1" applyFont="1" applyFill="1" applyBorder="1" applyAlignment="1">
      <alignment horizontal="center" vertical="center" wrapText="1"/>
    </xf>
    <xf numFmtId="173" fontId="0" fillId="14" borderId="90" xfId="0" applyNumberFormat="1" applyFont="1" applyFill="1" applyBorder="1" applyAlignment="1">
      <alignment horizontal="center" vertical="center" wrapText="1"/>
    </xf>
    <xf numFmtId="173" fontId="0" fillId="14" borderId="46" xfId="0" applyNumberFormat="1" applyFont="1" applyFill="1" applyBorder="1" applyAlignment="1">
      <alignment horizontal="center" vertical="center" wrapText="1"/>
    </xf>
    <xf numFmtId="173" fontId="0" fillId="14" borderId="64" xfId="0" applyNumberFormat="1" applyFont="1" applyFill="1" applyBorder="1" applyAlignment="1">
      <alignment horizontal="center" vertical="center" wrapText="1"/>
    </xf>
    <xf numFmtId="173" fontId="0" fillId="14" borderId="71" xfId="0" applyNumberFormat="1" applyFont="1" applyFill="1" applyBorder="1" applyAlignment="1">
      <alignment horizontal="center" vertical="center" wrapText="1"/>
    </xf>
    <xf numFmtId="173" fontId="0" fillId="14" borderId="47" xfId="0" applyNumberFormat="1" applyFont="1" applyFill="1" applyBorder="1" applyAlignment="1">
      <alignment horizontal="center" vertical="center" wrapText="1"/>
    </xf>
    <xf numFmtId="173" fontId="0" fillId="14" borderId="65" xfId="0" applyNumberFormat="1" applyFont="1" applyFill="1" applyBorder="1" applyAlignment="1">
      <alignment horizontal="center" vertical="center" wrapText="1"/>
    </xf>
    <xf numFmtId="176" fontId="0" fillId="14" borderId="90" xfId="0" applyNumberFormat="1" applyFont="1" applyFill="1" applyBorder="1" applyAlignment="1">
      <alignment horizontal="center" vertical="center" wrapText="1"/>
    </xf>
    <xf numFmtId="176" fontId="0" fillId="14" borderId="46" xfId="0" applyNumberFormat="1" applyFont="1" applyFill="1" applyBorder="1" applyAlignment="1">
      <alignment horizontal="center" vertical="center" wrapText="1"/>
    </xf>
    <xf numFmtId="176" fontId="0" fillId="14" borderId="71" xfId="0" applyNumberFormat="1" applyFont="1" applyFill="1" applyBorder="1" applyAlignment="1">
      <alignment horizontal="center" vertical="center" wrapText="1"/>
    </xf>
    <xf numFmtId="176" fontId="0" fillId="14" borderId="47" xfId="0" applyNumberFormat="1" applyFont="1" applyFill="1" applyBorder="1" applyAlignment="1">
      <alignment horizontal="center" vertical="center" wrapText="1"/>
    </xf>
    <xf numFmtId="176" fontId="0" fillId="14" borderId="36" xfId="0" applyNumberFormat="1" applyFont="1" applyFill="1" applyBorder="1" applyAlignment="1">
      <alignment horizontal="center" vertical="center" wrapText="1"/>
    </xf>
    <xf numFmtId="176" fontId="0" fillId="14" borderId="35" xfId="0" applyNumberFormat="1" applyFont="1" applyFill="1" applyBorder="1" applyAlignment="1">
      <alignment horizontal="center" vertical="center" wrapText="1"/>
    </xf>
    <xf numFmtId="0" fontId="0" fillId="14" borderId="12" xfId="0" applyFont="1" applyFill="1" applyBorder="1" applyAlignment="1">
      <alignment horizontal="center" vertical="center" wrapText="1"/>
    </xf>
    <xf numFmtId="0" fontId="0" fillId="14" borderId="0" xfId="0" quotePrefix="1" applyFill="1" applyBorder="1" applyAlignment="1">
      <alignment horizontal="left" vertical="center" wrapText="1"/>
    </xf>
    <xf numFmtId="0" fontId="0" fillId="14" borderId="345" xfId="0" quotePrefix="1" applyFill="1" applyBorder="1" applyAlignment="1">
      <alignment horizontal="left" vertical="center" wrapText="1"/>
    </xf>
    <xf numFmtId="0" fontId="85" fillId="14" borderId="524" xfId="0" applyFont="1" applyFill="1" applyBorder="1" applyAlignment="1">
      <alignment horizontal="center" vertical="center"/>
    </xf>
    <xf numFmtId="0" fontId="85" fillId="14" borderId="522" xfId="0" applyFont="1" applyFill="1" applyBorder="1" applyAlignment="1">
      <alignment horizontal="center" vertical="center"/>
    </xf>
    <xf numFmtId="0" fontId="85" fillId="14" borderId="523" xfId="0" applyFont="1" applyFill="1" applyBorder="1" applyAlignment="1">
      <alignment horizontal="center" vertical="center"/>
    </xf>
    <xf numFmtId="0" fontId="85" fillId="14" borderId="8" xfId="0" applyFont="1" applyFill="1" applyBorder="1" applyAlignment="1">
      <alignment horizontal="center" vertical="center"/>
    </xf>
    <xf numFmtId="0" fontId="85" fillId="14" borderId="19" xfId="0" applyFont="1" applyFill="1" applyBorder="1" applyAlignment="1">
      <alignment horizontal="center" vertical="center"/>
    </xf>
    <xf numFmtId="0" fontId="85" fillId="14" borderId="6" xfId="0" applyFont="1" applyFill="1" applyBorder="1" applyAlignment="1">
      <alignment horizontal="center" vertical="center"/>
    </xf>
    <xf numFmtId="10" fontId="0" fillId="14" borderId="491" xfId="0" applyNumberFormat="1" applyFont="1" applyFill="1" applyBorder="1" applyAlignment="1">
      <alignment horizontal="right" vertical="center" indent="1"/>
    </xf>
    <xf numFmtId="10" fontId="0" fillId="14" borderId="35" xfId="0" applyNumberFormat="1" applyFont="1" applyFill="1" applyBorder="1" applyAlignment="1">
      <alignment horizontal="right" vertical="center" indent="1"/>
    </xf>
    <xf numFmtId="0" fontId="85" fillId="14" borderId="432" xfId="0" applyFont="1" applyFill="1" applyBorder="1" applyAlignment="1">
      <alignment horizontal="center" vertical="top"/>
    </xf>
    <xf numFmtId="0" fontId="37" fillId="14" borderId="33" xfId="0" applyFont="1" applyFill="1" applyBorder="1" applyAlignment="1">
      <alignment horizontal="center" vertical="center"/>
    </xf>
    <xf numFmtId="0" fontId="37" fillId="14" borderId="370" xfId="0" applyFont="1" applyFill="1" applyBorder="1" applyAlignment="1">
      <alignment horizontal="center" vertical="center"/>
    </xf>
    <xf numFmtId="0" fontId="37" fillId="14" borderId="90" xfId="0" applyFont="1" applyFill="1" applyBorder="1" applyAlignment="1">
      <alignment horizontal="right" vertical="center" indent="1"/>
    </xf>
    <xf numFmtId="0" fontId="37" fillId="14" borderId="46" xfId="0" applyFont="1" applyFill="1" applyBorder="1" applyAlignment="1">
      <alignment horizontal="right" vertical="center" indent="1"/>
    </xf>
    <xf numFmtId="0" fontId="37" fillId="14" borderId="11" xfId="0" applyFont="1" applyFill="1" applyBorder="1" applyAlignment="1">
      <alignment horizontal="right" vertical="center" indent="1"/>
    </xf>
    <xf numFmtId="0" fontId="37" fillId="14" borderId="71" xfId="0" applyFont="1" applyFill="1" applyBorder="1" applyAlignment="1">
      <alignment horizontal="right" vertical="center" indent="1"/>
    </xf>
    <xf numFmtId="0" fontId="37" fillId="14" borderId="47" xfId="0" applyFont="1" applyFill="1" applyBorder="1" applyAlignment="1">
      <alignment horizontal="right" vertical="center" indent="1"/>
    </xf>
    <xf numFmtId="0" fontId="37" fillId="14" borderId="14" xfId="0" applyFont="1" applyFill="1" applyBorder="1" applyAlignment="1">
      <alignment horizontal="right" vertical="center" indent="1"/>
    </xf>
    <xf numFmtId="0" fontId="37" fillId="14" borderId="26" xfId="0" applyFont="1" applyFill="1" applyBorder="1" applyAlignment="1">
      <alignment horizontal="center" vertical="center"/>
    </xf>
    <xf numFmtId="0" fontId="37" fillId="14" borderId="364" xfId="0" applyFont="1" applyFill="1" applyBorder="1" applyAlignment="1">
      <alignment horizontal="center" vertical="center"/>
    </xf>
    <xf numFmtId="0" fontId="37" fillId="14" borderId="66" xfId="0" applyFont="1" applyFill="1" applyBorder="1" applyAlignment="1">
      <alignment horizontal="center" vertical="center"/>
    </xf>
    <xf numFmtId="0" fontId="37" fillId="14" borderId="440" xfId="0" applyFont="1" applyFill="1" applyBorder="1" applyAlignment="1">
      <alignment horizontal="center" vertical="center"/>
    </xf>
    <xf numFmtId="0" fontId="9" fillId="14" borderId="422" xfId="0" applyFont="1" applyFill="1" applyBorder="1" applyAlignment="1">
      <alignment horizontal="left" vertical="center" wrapText="1" indent="1"/>
    </xf>
    <xf numFmtId="0" fontId="9" fillId="14" borderId="421" xfId="0" applyFont="1" applyFill="1" applyBorder="1" applyAlignment="1">
      <alignment horizontal="left" vertical="center" wrapText="1" indent="1"/>
    </xf>
    <xf numFmtId="0" fontId="9" fillId="14" borderId="423" xfId="0" applyFont="1" applyFill="1" applyBorder="1" applyAlignment="1">
      <alignment horizontal="left" vertical="center" wrapText="1" indent="1"/>
    </xf>
    <xf numFmtId="0" fontId="9" fillId="14" borderId="424" xfId="0" applyFont="1" applyFill="1" applyBorder="1" applyAlignment="1">
      <alignment horizontal="left" vertical="center" wrapText="1" indent="1"/>
    </xf>
    <xf numFmtId="0" fontId="9" fillId="14" borderId="420" xfId="0" applyFont="1" applyFill="1" applyBorder="1" applyAlignment="1">
      <alignment horizontal="left" vertical="center" wrapText="1" indent="1"/>
    </xf>
    <xf numFmtId="0" fontId="9" fillId="14" borderId="425" xfId="0" applyFont="1" applyFill="1" applyBorder="1" applyAlignment="1">
      <alignment horizontal="left" vertical="center" wrapText="1" indent="1"/>
    </xf>
    <xf numFmtId="0" fontId="73" fillId="14" borderId="420" xfId="0" applyFont="1" applyFill="1" applyBorder="1" applyAlignment="1">
      <alignment horizontal="center"/>
    </xf>
    <xf numFmtId="0" fontId="37" fillId="14" borderId="36" xfId="0" applyFont="1" applyFill="1" applyBorder="1" applyAlignment="1">
      <alignment horizontal="center" vertical="center"/>
    </xf>
    <xf numFmtId="0" fontId="37" fillId="14" borderId="35" xfId="0" applyFont="1" applyFill="1" applyBorder="1" applyAlignment="1">
      <alignment horizontal="center" vertical="center"/>
    </xf>
    <xf numFmtId="0" fontId="0" fillId="14" borderId="0" xfId="0" quotePrefix="1" applyFill="1" applyAlignment="1">
      <alignment horizontal="left" wrapText="1" indent="1"/>
    </xf>
    <xf numFmtId="0" fontId="0" fillId="14" borderId="517" xfId="0" applyFill="1" applyBorder="1" applyAlignment="1">
      <alignment horizontal="center"/>
    </xf>
    <xf numFmtId="0" fontId="0" fillId="14" borderId="518" xfId="0" applyFill="1" applyBorder="1" applyAlignment="1">
      <alignment horizontal="center"/>
    </xf>
    <xf numFmtId="0" fontId="13" fillId="14" borderId="504" xfId="0" applyFont="1" applyFill="1" applyBorder="1" applyAlignment="1">
      <alignment horizontal="center" vertical="center"/>
    </xf>
    <xf numFmtId="0" fontId="13" fillId="14" borderId="520" xfId="0" applyFont="1" applyFill="1" applyBorder="1" applyAlignment="1">
      <alignment horizontal="center" vertical="center"/>
    </xf>
    <xf numFmtId="0" fontId="13" fillId="14" borderId="506" xfId="0" applyFont="1" applyFill="1" applyBorder="1" applyAlignment="1">
      <alignment horizontal="center" vertical="center"/>
    </xf>
    <xf numFmtId="6" fontId="13" fillId="14" borderId="423" xfId="0" applyNumberFormat="1" applyFont="1" applyFill="1" applyBorder="1" applyAlignment="1">
      <alignment horizontal="center" vertical="center"/>
    </xf>
    <xf numFmtId="0" fontId="13" fillId="14" borderId="519" xfId="0" applyFont="1" applyFill="1" applyBorder="1" applyAlignment="1">
      <alignment horizontal="center" vertical="center"/>
    </xf>
    <xf numFmtId="0" fontId="13" fillId="14" borderId="425" xfId="0" applyFont="1" applyFill="1" applyBorder="1" applyAlignment="1">
      <alignment horizontal="center" vertical="center"/>
    </xf>
    <xf numFmtId="0" fontId="85" fillId="14" borderId="47" xfId="0" applyFont="1" applyFill="1" applyBorder="1" applyAlignment="1">
      <alignment horizontal="center"/>
    </xf>
    <xf numFmtId="0" fontId="85" fillId="14" borderId="46" xfId="0" applyFont="1" applyFill="1" applyBorder="1" applyAlignment="1">
      <alignment horizontal="center" vertical="top"/>
    </xf>
    <xf numFmtId="10" fontId="0" fillId="14" borderId="503" xfId="0" applyNumberFormat="1" applyFill="1" applyBorder="1" applyAlignment="1">
      <alignment horizontal="right" vertical="center" indent="1"/>
    </xf>
    <xf numFmtId="0" fontId="85" fillId="14" borderId="427" xfId="0" applyFont="1" applyFill="1" applyBorder="1" applyAlignment="1">
      <alignment horizontal="center"/>
    </xf>
    <xf numFmtId="0" fontId="85" fillId="14" borderId="499" xfId="0" applyFont="1" applyFill="1" applyBorder="1" applyAlignment="1">
      <alignment horizontal="center" vertical="top"/>
    </xf>
    <xf numFmtId="0" fontId="37" fillId="14" borderId="12" xfId="0" applyFont="1" applyFill="1" applyBorder="1" applyAlignment="1">
      <alignment horizontal="center" vertical="center"/>
    </xf>
    <xf numFmtId="0" fontId="37" fillId="14" borderId="9" xfId="0" applyFont="1" applyFill="1" applyBorder="1" applyAlignment="1">
      <alignment horizontal="center" vertical="center"/>
    </xf>
    <xf numFmtId="0" fontId="37" fillId="14" borderId="19" xfId="0" applyFont="1" applyFill="1" applyBorder="1" applyAlignment="1">
      <alignment horizontal="center"/>
    </xf>
    <xf numFmtId="0" fontId="37" fillId="14" borderId="47" xfId="0" applyFont="1" applyFill="1" applyBorder="1" applyAlignment="1">
      <alignment horizontal="center"/>
    </xf>
    <xf numFmtId="0" fontId="85" fillId="14" borderId="0" xfId="0" applyFont="1" applyFill="1" applyBorder="1" applyAlignment="1">
      <alignment horizontal="center" vertical="top"/>
    </xf>
    <xf numFmtId="0" fontId="9" fillId="14" borderId="70" xfId="0" applyFont="1" applyFill="1" applyBorder="1" applyAlignment="1">
      <alignment horizontal="left" vertical="center" wrapText="1" indent="1"/>
    </xf>
    <xf numFmtId="0" fontId="9" fillId="14" borderId="22" xfId="0" applyFont="1" applyFill="1" applyBorder="1" applyAlignment="1">
      <alignment horizontal="left" vertical="center" wrapText="1" indent="1"/>
    </xf>
    <xf numFmtId="0" fontId="9" fillId="14" borderId="37" xfId="0" applyFont="1" applyFill="1" applyBorder="1" applyAlignment="1">
      <alignment horizontal="left" vertical="center" wrapText="1" indent="1"/>
    </xf>
    <xf numFmtId="0" fontId="37" fillId="14" borderId="0" xfId="0" applyFont="1" applyFill="1" applyBorder="1" applyAlignment="1">
      <alignment horizontal="center"/>
    </xf>
    <xf numFmtId="0" fontId="9" fillId="14" borderId="90" xfId="0" applyFont="1" applyFill="1" applyBorder="1" applyAlignment="1">
      <alignment horizontal="center" vertical="center" wrapText="1"/>
    </xf>
    <xf numFmtId="0" fontId="9" fillId="14" borderId="46" xfId="0" applyFont="1" applyFill="1" applyBorder="1" applyAlignment="1">
      <alignment horizontal="center" vertical="center" wrapText="1"/>
    </xf>
    <xf numFmtId="0" fontId="9" fillId="14" borderId="64" xfId="0" applyFont="1" applyFill="1" applyBorder="1" applyAlignment="1">
      <alignment horizontal="center" vertical="center" wrapText="1"/>
    </xf>
    <xf numFmtId="0" fontId="0" fillId="14" borderId="46" xfId="0" applyFont="1" applyFill="1" applyBorder="1" applyAlignment="1">
      <alignment horizontal="left" vertical="center" wrapText="1"/>
    </xf>
    <xf numFmtId="0" fontId="0" fillId="14" borderId="0" xfId="0" applyFont="1" applyFill="1" applyBorder="1" applyAlignment="1">
      <alignment horizontal="left" vertical="center" wrapText="1"/>
    </xf>
    <xf numFmtId="6" fontId="13" fillId="14" borderId="505" xfId="0" applyNumberFormat="1" applyFont="1" applyFill="1" applyBorder="1" applyAlignment="1">
      <alignment horizontal="center" vertical="center"/>
    </xf>
    <xf numFmtId="0" fontId="13" fillId="14" borderId="507" xfId="0" applyFont="1" applyFill="1" applyBorder="1" applyAlignment="1">
      <alignment horizontal="center" vertical="center"/>
    </xf>
    <xf numFmtId="0" fontId="0" fillId="14" borderId="46" xfId="0" applyFill="1" applyBorder="1" applyAlignment="1">
      <alignment horizontal="left" vertical="center" wrapText="1"/>
    </xf>
    <xf numFmtId="0" fontId="37" fillId="14" borderId="73" xfId="0" applyFont="1" applyFill="1" applyBorder="1" applyAlignment="1">
      <alignment horizontal="center" vertical="center"/>
    </xf>
    <xf numFmtId="0" fontId="37" fillId="14" borderId="48" xfId="0" applyFont="1" applyFill="1" applyBorder="1" applyAlignment="1">
      <alignment horizontal="center" vertical="center"/>
    </xf>
    <xf numFmtId="0" fontId="37" fillId="14" borderId="419" xfId="0" applyFont="1" applyFill="1" applyBorder="1" applyAlignment="1">
      <alignment horizontal="center" vertical="center"/>
    </xf>
    <xf numFmtId="0" fontId="37" fillId="14" borderId="360" xfId="0" applyFont="1" applyFill="1" applyBorder="1" applyAlignment="1">
      <alignment horizontal="center" vertical="center"/>
    </xf>
    <xf numFmtId="0" fontId="37" fillId="14" borderId="73" xfId="0" applyFont="1" applyFill="1" applyBorder="1" applyAlignment="1">
      <alignment horizontal="left" vertical="center" wrapText="1" indent="1"/>
    </xf>
    <xf numFmtId="0" fontId="37" fillId="14" borderId="48" xfId="0" applyFont="1" applyFill="1" applyBorder="1" applyAlignment="1">
      <alignment horizontal="left" vertical="center" wrapText="1" indent="1"/>
    </xf>
    <xf numFmtId="0" fontId="37" fillId="14" borderId="66" xfId="0" applyFont="1" applyFill="1" applyBorder="1" applyAlignment="1">
      <alignment horizontal="left" vertical="center" wrapText="1" indent="1"/>
    </xf>
    <xf numFmtId="0" fontId="37" fillId="14" borderId="90" xfId="0" applyFont="1" applyFill="1" applyBorder="1" applyAlignment="1">
      <alignment horizontal="right" vertical="center" wrapText="1" indent="1"/>
    </xf>
    <xf numFmtId="0" fontId="37" fillId="14" borderId="46" xfId="0" applyFont="1" applyFill="1" applyBorder="1" applyAlignment="1">
      <alignment horizontal="right" vertical="center" wrapText="1" indent="1"/>
    </xf>
    <xf numFmtId="0" fontId="37" fillId="14" borderId="71" xfId="0" applyFont="1" applyFill="1" applyBorder="1" applyAlignment="1">
      <alignment horizontal="right" vertical="center" wrapText="1" indent="1"/>
    </xf>
    <xf numFmtId="0" fontId="37" fillId="14" borderId="47" xfId="0" applyFont="1" applyFill="1" applyBorder="1" applyAlignment="1">
      <alignment horizontal="right" vertical="center" wrapText="1" indent="1"/>
    </xf>
    <xf numFmtId="0" fontId="0" fillId="14" borderId="0" xfId="0" applyFill="1" applyAlignment="1">
      <alignment horizontal="left"/>
    </xf>
    <xf numFmtId="0" fontId="0" fillId="14" borderId="0" xfId="0" applyFill="1" applyAlignment="1">
      <alignment horizontal="left" wrapText="1"/>
    </xf>
    <xf numFmtId="212" fontId="13" fillId="14" borderId="0" xfId="0" applyNumberFormat="1" applyFont="1" applyFill="1" applyBorder="1" applyAlignment="1">
      <alignment horizontal="left"/>
    </xf>
    <xf numFmtId="235" fontId="13" fillId="14" borderId="0" xfId="0" applyNumberFormat="1" applyFont="1" applyFill="1" applyBorder="1" applyAlignment="1">
      <alignment horizontal="left"/>
    </xf>
    <xf numFmtId="236" fontId="13" fillId="14" borderId="0" xfId="0" applyNumberFormat="1" applyFont="1" applyFill="1" applyBorder="1" applyAlignment="1">
      <alignment horizontal="left"/>
    </xf>
    <xf numFmtId="0" fontId="13" fillId="14" borderId="0" xfId="0" applyFont="1" applyFill="1" applyBorder="1" applyAlignment="1">
      <alignment horizontal="left"/>
    </xf>
    <xf numFmtId="0" fontId="13" fillId="14" borderId="0" xfId="0" applyFont="1" applyFill="1" applyBorder="1" applyAlignment="1">
      <alignment horizontal="left" vertical="top" wrapText="1"/>
    </xf>
    <xf numFmtId="1" fontId="13" fillId="14" borderId="601" xfId="0" applyNumberFormat="1" applyFont="1" applyFill="1" applyBorder="1" applyAlignment="1">
      <alignment horizontal="left"/>
    </xf>
    <xf numFmtId="0" fontId="13" fillId="14" borderId="0" xfId="0" applyFont="1" applyFill="1" applyBorder="1" applyAlignment="1">
      <alignment horizontal="left" vertical="center" wrapText="1"/>
    </xf>
    <xf numFmtId="17" fontId="13" fillId="14" borderId="0" xfId="0" applyNumberFormat="1" applyFont="1" applyFill="1" applyBorder="1" applyAlignment="1">
      <alignment horizontal="left"/>
    </xf>
    <xf numFmtId="2" fontId="13" fillId="14" borderId="0" xfId="0" applyNumberFormat="1" applyFont="1" applyFill="1" applyBorder="1" applyAlignment="1">
      <alignment horizontal="left"/>
    </xf>
    <xf numFmtId="250" fontId="13" fillId="14" borderId="19" xfId="0" applyNumberFormat="1" applyFont="1" applyFill="1" applyBorder="1" applyAlignment="1">
      <alignment horizontal="left"/>
    </xf>
    <xf numFmtId="0" fontId="9" fillId="14" borderId="19" xfId="0" applyFont="1" applyFill="1" applyBorder="1" applyAlignment="1">
      <alignment horizontal="center" vertical="center"/>
    </xf>
    <xf numFmtId="0" fontId="9" fillId="14" borderId="19" xfId="0" applyFont="1" applyFill="1" applyBorder="1" applyAlignment="1">
      <alignment horizontal="left"/>
    </xf>
    <xf numFmtId="239" fontId="13" fillId="14" borderId="0" xfId="0" applyNumberFormat="1" applyFont="1" applyFill="1" applyBorder="1" applyAlignment="1">
      <alignment horizontal="left"/>
    </xf>
    <xf numFmtId="242" fontId="13" fillId="14" borderId="0" xfId="0" applyNumberFormat="1" applyFont="1" applyFill="1" applyBorder="1" applyAlignment="1">
      <alignment horizontal="left"/>
    </xf>
    <xf numFmtId="9" fontId="13" fillId="14" borderId="0" xfId="0" applyNumberFormat="1" applyFont="1" applyFill="1" applyBorder="1" applyAlignment="1">
      <alignment horizontal="left"/>
    </xf>
    <xf numFmtId="0" fontId="74" fillId="14" borderId="47" xfId="0" applyFont="1" applyFill="1" applyBorder="1" applyAlignment="1">
      <alignment horizontal="left" indent="46"/>
    </xf>
    <xf numFmtId="0" fontId="37" fillId="14" borderId="427" xfId="0" applyFont="1" applyFill="1" applyBorder="1" applyAlignment="1">
      <alignment horizontal="center"/>
    </xf>
    <xf numFmtId="0" fontId="37" fillId="14" borderId="70" xfId="0" applyFont="1" applyFill="1" applyBorder="1" applyAlignment="1">
      <alignment horizontal="right" vertical="center" wrapText="1"/>
    </xf>
    <xf numFmtId="0" fontId="37" fillId="14" borderId="22" xfId="0" applyFont="1" applyFill="1" applyBorder="1" applyAlignment="1">
      <alignment horizontal="right" vertical="center" wrapText="1"/>
    </xf>
    <xf numFmtId="0" fontId="37" fillId="14" borderId="16" xfId="0" applyFont="1" applyFill="1" applyBorder="1" applyAlignment="1">
      <alignment horizontal="right" vertical="center" wrapText="1"/>
    </xf>
    <xf numFmtId="0" fontId="37" fillId="14" borderId="70" xfId="0" applyFont="1" applyFill="1" applyBorder="1" applyAlignment="1">
      <alignment horizontal="right" vertical="center" wrapText="1" indent="1"/>
    </xf>
    <xf numFmtId="0" fontId="37" fillId="14" borderId="22" xfId="0" applyFont="1" applyFill="1" applyBorder="1" applyAlignment="1">
      <alignment horizontal="right" vertical="center" wrapText="1" indent="1"/>
    </xf>
    <xf numFmtId="0" fontId="37" fillId="14" borderId="16" xfId="0" applyFont="1" applyFill="1" applyBorder="1" applyAlignment="1">
      <alignment horizontal="right" vertical="center" wrapText="1" indent="1"/>
    </xf>
    <xf numFmtId="0" fontId="13" fillId="14" borderId="0" xfId="0" applyFont="1" applyFill="1" applyAlignment="1">
      <alignment horizontal="left" vertical="center" wrapText="1"/>
    </xf>
    <xf numFmtId="0" fontId="13" fillId="14" borderId="0" xfId="0" applyFont="1" applyFill="1" applyAlignment="1">
      <alignment horizontal="left" vertical="top" wrapText="1"/>
    </xf>
    <xf numFmtId="0" fontId="0" fillId="14" borderId="36" xfId="0" applyFont="1" applyFill="1" applyBorder="1" applyAlignment="1">
      <alignment horizontal="center" vertical="center"/>
    </xf>
    <xf numFmtId="0" fontId="0" fillId="14" borderId="44" xfId="0" applyFont="1" applyFill="1" applyBorder="1" applyAlignment="1">
      <alignment horizontal="center" vertical="center"/>
    </xf>
    <xf numFmtId="0" fontId="0" fillId="14" borderId="12" xfId="0" applyFont="1" applyFill="1" applyBorder="1" applyAlignment="1">
      <alignment horizontal="left" vertical="center" indent="1"/>
    </xf>
    <xf numFmtId="0" fontId="0" fillId="14" borderId="7" xfId="0" applyFont="1" applyFill="1" applyBorder="1" applyAlignment="1">
      <alignment horizontal="left" vertical="center" indent="1"/>
    </xf>
    <xf numFmtId="0" fontId="0" fillId="14" borderId="554" xfId="0" applyFill="1" applyBorder="1" applyAlignment="1">
      <alignment horizontal="center" vertical="center"/>
    </xf>
    <xf numFmtId="0" fontId="0" fillId="14" borderId="31" xfId="0" applyFill="1" applyBorder="1" applyAlignment="1">
      <alignment horizontal="center" vertical="center"/>
    </xf>
    <xf numFmtId="0" fontId="0" fillId="14" borderId="44" xfId="0" applyFill="1" applyBorder="1" applyAlignment="1">
      <alignment horizontal="center" vertical="center"/>
    </xf>
    <xf numFmtId="0" fontId="0" fillId="14" borderId="31" xfId="0" applyFont="1" applyFill="1" applyBorder="1" applyAlignment="1">
      <alignment horizontal="center" vertical="center"/>
    </xf>
    <xf numFmtId="0" fontId="0" fillId="14" borderId="554" xfId="0" applyFill="1" applyBorder="1" applyAlignment="1">
      <alignment horizontal="right" vertical="center" indent="1"/>
    </xf>
    <xf numFmtId="0" fontId="0" fillId="14" borderId="31" xfId="0" applyFill="1" applyBorder="1" applyAlignment="1">
      <alignment horizontal="right" vertical="center" indent="1"/>
    </xf>
    <xf numFmtId="0" fontId="0" fillId="14" borderId="36" xfId="0" applyFill="1" applyBorder="1" applyAlignment="1">
      <alignment horizontal="right" vertical="center"/>
    </xf>
    <xf numFmtId="0" fontId="0" fillId="14" borderId="44" xfId="0" applyFill="1" applyBorder="1" applyAlignment="1">
      <alignment horizontal="right" vertical="center"/>
    </xf>
    <xf numFmtId="0" fontId="0" fillId="14" borderId="550" xfId="0" applyFill="1" applyBorder="1" applyAlignment="1">
      <alignment horizontal="left" vertical="center" indent="1"/>
    </xf>
    <xf numFmtId="0" fontId="0" fillId="14" borderId="3" xfId="0" applyFill="1" applyBorder="1" applyAlignment="1">
      <alignment horizontal="left" vertical="center" indent="1"/>
    </xf>
    <xf numFmtId="0" fontId="0" fillId="14" borderId="7" xfId="0" applyFill="1" applyBorder="1" applyAlignment="1">
      <alignment horizontal="left" vertical="center" indent="1"/>
    </xf>
    <xf numFmtId="0" fontId="0" fillId="14" borderId="601" xfId="0" applyFill="1" applyBorder="1" applyAlignment="1">
      <alignment horizontal="left" vertical="center" wrapText="1"/>
    </xf>
    <xf numFmtId="0" fontId="0" fillId="14" borderId="558" xfId="0" applyFill="1" applyBorder="1" applyAlignment="1">
      <alignment horizontal="left" vertical="center" wrapText="1"/>
    </xf>
    <xf numFmtId="0" fontId="0" fillId="14" borderId="2" xfId="0" applyFill="1" applyBorder="1" applyAlignment="1">
      <alignment horizontal="left" vertical="center" wrapText="1"/>
    </xf>
    <xf numFmtId="0" fontId="9" fillId="14" borderId="0" xfId="0" applyFont="1" applyFill="1" applyBorder="1" applyAlignment="1">
      <alignment horizontal="center" vertical="center"/>
    </xf>
    <xf numFmtId="0" fontId="0" fillId="0" borderId="3" xfId="0" applyBorder="1" applyAlignment="1">
      <alignment horizontal="left" indent="1"/>
    </xf>
    <xf numFmtId="0" fontId="0" fillId="0" borderId="7" xfId="0" applyBorder="1" applyAlignment="1">
      <alignment horizontal="left" indent="1"/>
    </xf>
    <xf numFmtId="0" fontId="0" fillId="14" borderId="550" xfId="0" applyFont="1" applyFill="1" applyBorder="1" applyAlignment="1">
      <alignment horizontal="left" vertical="center" indent="1"/>
    </xf>
    <xf numFmtId="0" fontId="0" fillId="14" borderId="550" xfId="0" applyFill="1" applyBorder="1" applyAlignment="1">
      <alignment horizontal="left" vertical="center" wrapText="1" indent="1"/>
    </xf>
    <xf numFmtId="0" fontId="0" fillId="14" borderId="3" xfId="0" applyFill="1" applyBorder="1" applyAlignment="1">
      <alignment horizontal="left" vertical="center" wrapText="1" indent="1"/>
    </xf>
    <xf numFmtId="0" fontId="0" fillId="14" borderId="3" xfId="0" applyFont="1" applyFill="1" applyBorder="1" applyAlignment="1">
      <alignment horizontal="left" vertical="center" indent="1"/>
    </xf>
    <xf numFmtId="0" fontId="0" fillId="14" borderId="602" xfId="0" applyFill="1" applyBorder="1" applyAlignment="1">
      <alignment horizontal="left" vertical="center" wrapText="1"/>
    </xf>
    <xf numFmtId="0" fontId="0" fillId="14" borderId="19" xfId="0" applyFill="1" applyBorder="1" applyAlignment="1">
      <alignment horizontal="left" vertical="center" wrapText="1"/>
    </xf>
    <xf numFmtId="0" fontId="0" fillId="14" borderId="6" xfId="0" applyFill="1" applyBorder="1" applyAlignment="1">
      <alignment horizontal="left" vertical="center" wrapText="1"/>
    </xf>
    <xf numFmtId="0" fontId="0" fillId="14" borderId="11" xfId="0" applyFill="1" applyBorder="1" applyAlignment="1">
      <alignment horizontal="left" vertical="center" wrapText="1"/>
    </xf>
    <xf numFmtId="0" fontId="0" fillId="14" borderId="557" xfId="0" applyFill="1" applyBorder="1" applyAlignment="1">
      <alignment horizontal="center" vertical="center" wrapText="1"/>
    </xf>
    <xf numFmtId="0" fontId="0" fillId="14" borderId="601" xfId="0" applyFill="1" applyBorder="1" applyAlignment="1">
      <alignment horizontal="center" vertical="center" wrapText="1"/>
    </xf>
    <xf numFmtId="0" fontId="0" fillId="14" borderId="47" xfId="0" applyFill="1" applyBorder="1" applyAlignment="1">
      <alignment horizontal="center" vertical="center" wrapText="1"/>
    </xf>
    <xf numFmtId="0" fontId="0" fillId="14" borderId="589" xfId="0" applyFill="1" applyBorder="1" applyAlignment="1">
      <alignment horizontal="left" vertical="center" wrapText="1" indent="1"/>
    </xf>
    <xf numFmtId="0" fontId="0" fillId="14" borderId="9" xfId="0" applyFill="1" applyBorder="1" applyAlignment="1">
      <alignment horizontal="left" vertical="center" wrapText="1" indent="1"/>
    </xf>
    <xf numFmtId="0" fontId="0" fillId="14" borderId="580" xfId="0" applyFill="1" applyBorder="1" applyAlignment="1">
      <alignment horizontal="center" vertical="center"/>
    </xf>
    <xf numFmtId="0" fontId="0" fillId="14" borderId="35" xfId="0" applyFill="1" applyBorder="1" applyAlignment="1">
      <alignment horizontal="center" vertical="center"/>
    </xf>
    <xf numFmtId="0" fontId="0" fillId="0" borderId="19" xfId="0" applyBorder="1" applyAlignment="1">
      <alignment horizontal="left" vertical="center" wrapText="1"/>
    </xf>
    <xf numFmtId="237" fontId="13" fillId="14" borderId="19" xfId="0" applyNumberFormat="1" applyFont="1" applyFill="1" applyBorder="1" applyAlignment="1">
      <alignment horizontal="left"/>
    </xf>
    <xf numFmtId="240" fontId="13" fillId="14" borderId="0" xfId="0" applyNumberFormat="1" applyFont="1" applyFill="1" applyBorder="1" applyAlignment="1">
      <alignment horizontal="left"/>
    </xf>
    <xf numFmtId="240" fontId="13" fillId="14" borderId="601" xfId="0" applyNumberFormat="1" applyFont="1" applyFill="1" applyBorder="1" applyAlignment="1">
      <alignment horizontal="left"/>
    </xf>
    <xf numFmtId="239" fontId="13" fillId="14" borderId="19" xfId="0" applyNumberFormat="1" applyFont="1" applyFill="1" applyBorder="1" applyAlignment="1">
      <alignment horizontal="left"/>
    </xf>
    <xf numFmtId="2" fontId="13" fillId="14" borderId="19" xfId="0" applyNumberFormat="1" applyFont="1" applyFill="1" applyBorder="1" applyAlignment="1">
      <alignment horizontal="left"/>
    </xf>
    <xf numFmtId="241" fontId="13" fillId="14" borderId="0" xfId="0" applyNumberFormat="1" applyFont="1" applyFill="1" applyBorder="1" applyAlignment="1">
      <alignment horizontal="left"/>
    </xf>
    <xf numFmtId="0" fontId="13" fillId="14" borderId="0" xfId="0" applyFont="1" applyFill="1" applyAlignment="1">
      <alignment wrapText="1"/>
    </xf>
    <xf numFmtId="0" fontId="13" fillId="14" borderId="0" xfId="0" applyFont="1" applyFill="1" applyBorder="1" applyAlignment="1">
      <alignment horizontal="left" wrapText="1"/>
    </xf>
    <xf numFmtId="0" fontId="13" fillId="14" borderId="345" xfId="0" applyFont="1" applyFill="1" applyBorder="1" applyAlignment="1">
      <alignment horizontal="left" wrapText="1"/>
    </xf>
    <xf numFmtId="248" fontId="13" fillId="14" borderId="0" xfId="0" applyNumberFormat="1" applyFont="1" applyFill="1" applyBorder="1" applyAlignment="1">
      <alignment horizontal="left"/>
    </xf>
    <xf numFmtId="248" fontId="13" fillId="14" borderId="19" xfId="0" applyNumberFormat="1" applyFont="1" applyFill="1" applyBorder="1" applyAlignment="1">
      <alignment horizontal="left"/>
    </xf>
    <xf numFmtId="10" fontId="13" fillId="14" borderId="601" xfId="0" applyNumberFormat="1" applyFont="1" applyFill="1" applyBorder="1" applyAlignment="1">
      <alignment horizontal="left"/>
    </xf>
    <xf numFmtId="0" fontId="13" fillId="14" borderId="345" xfId="0" applyFont="1" applyFill="1" applyBorder="1" applyAlignment="1">
      <alignment horizontal="left" vertical="top" wrapText="1"/>
    </xf>
    <xf numFmtId="249" fontId="13" fillId="14" borderId="0" xfId="0" applyNumberFormat="1" applyFont="1" applyFill="1" applyBorder="1" applyAlignment="1">
      <alignment horizontal="left"/>
    </xf>
    <xf numFmtId="188" fontId="13" fillId="14" borderId="19" xfId="0" applyNumberFormat="1" applyFont="1" applyFill="1" applyBorder="1" applyAlignment="1">
      <alignment horizontal="left"/>
    </xf>
    <xf numFmtId="241" fontId="13" fillId="14" borderId="601" xfId="0" applyNumberFormat="1" applyFont="1" applyFill="1" applyBorder="1" applyAlignment="1">
      <alignment horizontal="left"/>
    </xf>
    <xf numFmtId="247" fontId="13" fillId="14" borderId="0" xfId="0" applyNumberFormat="1" applyFont="1" applyFill="1" applyBorder="1" applyAlignment="1">
      <alignment horizontal="left"/>
    </xf>
    <xf numFmtId="246" fontId="13" fillId="14" borderId="0" xfId="0" applyNumberFormat="1" applyFont="1" applyFill="1" applyBorder="1" applyAlignment="1">
      <alignment horizontal="left"/>
    </xf>
    <xf numFmtId="241" fontId="13" fillId="14" borderId="19" xfId="0" applyNumberFormat="1" applyFont="1" applyFill="1" applyBorder="1" applyAlignment="1">
      <alignment horizontal="left"/>
    </xf>
    <xf numFmtId="0" fontId="37" fillId="18" borderId="487" xfId="0" applyFont="1" applyFill="1" applyBorder="1" applyAlignment="1" applyProtection="1">
      <alignment horizontal="center" vertical="center" wrapText="1"/>
    </xf>
    <xf numFmtId="0" fontId="37" fillId="18" borderId="488" xfId="0" applyFont="1" applyFill="1" applyBorder="1" applyAlignment="1" applyProtection="1">
      <alignment horizontal="center" vertical="center" wrapText="1"/>
    </xf>
    <xf numFmtId="0" fontId="37" fillId="18" borderId="328" xfId="0" applyFont="1" applyFill="1" applyBorder="1" applyAlignment="1" applyProtection="1">
      <alignment horizontal="center" vertical="center" wrapText="1"/>
    </xf>
    <xf numFmtId="0" fontId="0" fillId="41" borderId="473" xfId="0" applyFill="1" applyBorder="1" applyAlignment="1" applyProtection="1">
      <alignment horizontal="left" vertical="center" wrapText="1"/>
    </xf>
    <xf numFmtId="0" fontId="0" fillId="41" borderId="446" xfId="0" applyFont="1" applyFill="1" applyBorder="1" applyAlignment="1" applyProtection="1">
      <alignment horizontal="left" vertical="center" wrapText="1"/>
    </xf>
    <xf numFmtId="0" fontId="0" fillId="41" borderId="474" xfId="0" applyFont="1" applyFill="1" applyBorder="1" applyAlignment="1" applyProtection="1">
      <alignment horizontal="left" vertical="center" wrapText="1"/>
    </xf>
    <xf numFmtId="0" fontId="0" fillId="41" borderId="475" xfId="0" applyFont="1" applyFill="1" applyBorder="1" applyAlignment="1" applyProtection="1">
      <alignment horizontal="left" vertical="center" wrapText="1"/>
    </xf>
    <xf numFmtId="0" fontId="0" fillId="41" borderId="0" xfId="0" applyFont="1" applyFill="1" applyBorder="1" applyAlignment="1" applyProtection="1">
      <alignment horizontal="left" vertical="center" wrapText="1"/>
    </xf>
    <xf numFmtId="0" fontId="0" fillId="41" borderId="476" xfId="0" applyFont="1" applyFill="1" applyBorder="1" applyAlignment="1" applyProtection="1">
      <alignment horizontal="left" vertical="center" wrapText="1"/>
    </xf>
    <xf numFmtId="0" fontId="0" fillId="41" borderId="351" xfId="0" applyFont="1" applyFill="1" applyBorder="1" applyAlignment="1" applyProtection="1">
      <alignment horizontal="left" vertical="center" wrapText="1"/>
    </xf>
    <xf numFmtId="0" fontId="0" fillId="41" borderId="353" xfId="0" applyFont="1" applyFill="1" applyBorder="1" applyAlignment="1" applyProtection="1">
      <alignment horizontal="left" vertical="center" wrapText="1"/>
    </xf>
    <xf numFmtId="0" fontId="0" fillId="41" borderId="477" xfId="0" applyFont="1" applyFill="1" applyBorder="1" applyAlignment="1" applyProtection="1">
      <alignment horizontal="left" vertical="center" wrapText="1"/>
    </xf>
    <xf numFmtId="0" fontId="0" fillId="14" borderId="0" xfId="0" applyFill="1" applyBorder="1" applyAlignment="1" applyProtection="1">
      <alignment horizontal="left" vertical="center" wrapText="1" indent="2"/>
    </xf>
    <xf numFmtId="166" fontId="0" fillId="0" borderId="40" xfId="0" applyNumberFormat="1" applyFill="1" applyBorder="1" applyAlignment="1" applyProtection="1">
      <alignment horizontal="center" vertical="center" wrapText="1"/>
    </xf>
    <xf numFmtId="166" fontId="0" fillId="0" borderId="38" xfId="0" applyNumberFormat="1" applyFill="1" applyBorder="1" applyAlignment="1" applyProtection="1">
      <alignment horizontal="center" vertical="center" wrapText="1"/>
    </xf>
    <xf numFmtId="166" fontId="0" fillId="0" borderId="41" xfId="0" applyNumberFormat="1" applyFill="1" applyBorder="1" applyAlignment="1" applyProtection="1">
      <alignment horizontal="center" vertical="center" wrapText="1"/>
    </xf>
    <xf numFmtId="2" fontId="0" fillId="0" borderId="36" xfId="0" applyNumberFormat="1" applyFill="1" applyBorder="1" applyAlignment="1" applyProtection="1">
      <alignment horizontal="center" vertical="center" wrapText="1"/>
    </xf>
    <xf numFmtId="2" fontId="0" fillId="0" borderId="31" xfId="0" applyNumberFormat="1" applyFill="1" applyBorder="1" applyAlignment="1" applyProtection="1">
      <alignment horizontal="center" vertical="center" wrapText="1"/>
    </xf>
    <xf numFmtId="2" fontId="0" fillId="0" borderId="35" xfId="0" applyNumberFormat="1" applyFill="1" applyBorder="1" applyAlignment="1" applyProtection="1">
      <alignment horizontal="center" vertical="center" wrapText="1"/>
    </xf>
    <xf numFmtId="187" fontId="0" fillId="0" borderId="310" xfId="0" applyNumberFormat="1" applyFill="1" applyBorder="1" applyAlignment="1" applyProtection="1">
      <alignment horizontal="left" vertical="center" wrapText="1" indent="1"/>
    </xf>
    <xf numFmtId="187" fontId="0" fillId="0" borderId="60" xfId="0" applyNumberFormat="1" applyFill="1" applyBorder="1" applyAlignment="1" applyProtection="1">
      <alignment horizontal="left" vertical="center" wrapText="1" indent="1"/>
    </xf>
    <xf numFmtId="0" fontId="1" fillId="0" borderId="309" xfId="0" applyFont="1" applyFill="1" applyBorder="1" applyAlignment="1" applyProtection="1">
      <alignment horizontal="center" vertical="center" wrapText="1"/>
    </xf>
    <xf numFmtId="0" fontId="0" fillId="0" borderId="309" xfId="0" applyFill="1" applyBorder="1" applyAlignment="1" applyProtection="1">
      <alignment vertical="center" wrapText="1"/>
    </xf>
    <xf numFmtId="0" fontId="1" fillId="0" borderId="302" xfId="0" applyFont="1" applyFill="1" applyBorder="1" applyAlignment="1" applyProtection="1">
      <alignment horizontal="center" vertical="center" wrapText="1"/>
    </xf>
    <xf numFmtId="0" fontId="0" fillId="0" borderId="302" xfId="0" applyFill="1" applyBorder="1" applyAlignment="1" applyProtection="1">
      <alignment vertical="center" wrapText="1"/>
    </xf>
    <xf numFmtId="0" fontId="4" fillId="0" borderId="310" xfId="0" applyFont="1" applyFill="1" applyBorder="1" applyAlignment="1" applyProtection="1">
      <alignment horizontal="center" vertical="center" wrapText="1"/>
    </xf>
    <xf numFmtId="166" fontId="0" fillId="0" borderId="42" xfId="0" applyNumberFormat="1" applyFill="1" applyBorder="1" applyAlignment="1" applyProtection="1">
      <alignment horizontal="center" vertical="center" wrapText="1"/>
    </xf>
    <xf numFmtId="187" fontId="0" fillId="0" borderId="36" xfId="0" applyNumberFormat="1" applyFill="1" applyBorder="1" applyAlignment="1" applyProtection="1">
      <alignment horizontal="left" vertical="center" wrapText="1" indent="1"/>
    </xf>
    <xf numFmtId="187" fontId="0" fillId="0" borderId="31" xfId="0" applyNumberFormat="1" applyFill="1" applyBorder="1" applyAlignment="1" applyProtection="1">
      <alignment horizontal="left" vertical="center" wrapText="1" indent="1"/>
    </xf>
    <xf numFmtId="187" fontId="0" fillId="0" borderId="44" xfId="0" applyNumberFormat="1" applyFill="1" applyBorder="1" applyAlignment="1" applyProtection="1">
      <alignment horizontal="left" vertical="center" wrapText="1" indent="1"/>
    </xf>
    <xf numFmtId="166" fontId="0" fillId="0" borderId="309" xfId="0" applyNumberFormat="1" applyFill="1" applyBorder="1" applyAlignment="1" applyProtection="1">
      <alignment horizontal="center" vertical="center" wrapText="1"/>
    </xf>
    <xf numFmtId="0" fontId="0" fillId="37" borderId="306" xfId="0" applyNumberFormat="1" applyFont="1" applyFill="1" applyBorder="1" applyAlignment="1" applyProtection="1">
      <alignment horizontal="left" vertical="center" wrapText="1" indent="1"/>
    </xf>
    <xf numFmtId="0" fontId="0" fillId="37" borderId="3" xfId="0" applyNumberFormat="1" applyFont="1" applyFill="1" applyBorder="1" applyAlignment="1" applyProtection="1">
      <alignment horizontal="left" vertical="center" wrapText="1" indent="1"/>
    </xf>
    <xf numFmtId="0" fontId="0" fillId="37" borderId="7" xfId="0" applyNumberFormat="1" applyFont="1" applyFill="1" applyBorder="1" applyAlignment="1" applyProtection="1">
      <alignment horizontal="left" vertical="center" wrapText="1" indent="1"/>
    </xf>
    <xf numFmtId="0" fontId="1" fillId="24" borderId="306" xfId="0" applyNumberFormat="1" applyFont="1" applyFill="1" applyBorder="1" applyAlignment="1" applyProtection="1">
      <alignment horizontal="left" vertical="center" wrapText="1" indent="1"/>
    </xf>
    <xf numFmtId="0" fontId="1" fillId="24" borderId="3" xfId="0" applyNumberFormat="1" applyFont="1" applyFill="1" applyBorder="1" applyAlignment="1" applyProtection="1">
      <alignment horizontal="left" vertical="center" wrapText="1" indent="1"/>
    </xf>
    <xf numFmtId="0" fontId="1" fillId="24" borderId="7" xfId="0" applyNumberFormat="1" applyFont="1" applyFill="1" applyBorder="1" applyAlignment="1" applyProtection="1">
      <alignment horizontal="left" vertical="center" wrapText="1" indent="1"/>
    </xf>
    <xf numFmtId="175" fontId="1" fillId="0" borderId="3" xfId="0" applyNumberFormat="1" applyFont="1" applyFill="1" applyBorder="1" applyAlignment="1" applyProtection="1">
      <alignment horizontal="left" vertical="center" wrapText="1" indent="1"/>
    </xf>
    <xf numFmtId="175" fontId="1" fillId="0" borderId="7" xfId="0" applyNumberFormat="1" applyFont="1" applyFill="1" applyBorder="1" applyAlignment="1" applyProtection="1">
      <alignment horizontal="left" vertical="center" wrapText="1" indent="1"/>
    </xf>
    <xf numFmtId="187" fontId="0" fillId="0" borderId="302" xfId="0" applyNumberFormat="1" applyFill="1" applyBorder="1" applyAlignment="1" applyProtection="1">
      <alignment horizontal="left" vertical="center" wrapText="1" indent="1"/>
    </xf>
    <xf numFmtId="166" fontId="0" fillId="0" borderId="51" xfId="0" applyNumberFormat="1" applyFill="1" applyBorder="1" applyAlignment="1" applyProtection="1">
      <alignment horizontal="center" vertical="center" wrapText="1"/>
    </xf>
    <xf numFmtId="166" fontId="0" fillId="0" borderId="285" xfId="0" applyNumberFormat="1" applyFill="1" applyBorder="1" applyAlignment="1" applyProtection="1">
      <alignment horizontal="center" vertical="center" wrapText="1"/>
    </xf>
    <xf numFmtId="187" fontId="0" fillId="0" borderId="7" xfId="0" applyNumberFormat="1" applyFill="1" applyBorder="1" applyAlignment="1" applyProtection="1">
      <alignment horizontal="left" vertical="center" wrapText="1" indent="1"/>
    </xf>
    <xf numFmtId="187" fontId="0" fillId="0" borderId="26" xfId="0" applyNumberFormat="1" applyFill="1" applyBorder="1" applyAlignment="1" applyProtection="1">
      <alignment horizontal="left" vertical="center" wrapText="1" indent="1"/>
    </xf>
    <xf numFmtId="187" fontId="0" fillId="0" borderId="303" xfId="0" applyNumberFormat="1" applyFill="1" applyBorder="1" applyAlignment="1" applyProtection="1">
      <alignment horizontal="left" vertical="center" wrapText="1" indent="1"/>
    </xf>
    <xf numFmtId="187" fontId="0" fillId="0" borderId="33" xfId="0" applyNumberFormat="1" applyFill="1" applyBorder="1" applyAlignment="1" applyProtection="1">
      <alignment horizontal="left" vertical="center" wrapText="1" indent="1"/>
    </xf>
    <xf numFmtId="187" fontId="0" fillId="0" borderId="309" xfId="0" applyNumberFormat="1" applyFill="1" applyBorder="1" applyAlignment="1" applyProtection="1">
      <alignment horizontal="right" vertical="center" wrapText="1" indent="1"/>
    </xf>
    <xf numFmtId="187" fontId="0" fillId="0" borderId="12" xfId="0" applyNumberFormat="1" applyFill="1" applyBorder="1" applyAlignment="1" applyProtection="1">
      <alignment horizontal="left" vertical="center" wrapText="1" indent="1"/>
    </xf>
    <xf numFmtId="187" fontId="0" fillId="0" borderId="3" xfId="0" applyNumberFormat="1" applyFill="1" applyBorder="1" applyAlignment="1" applyProtection="1">
      <alignment horizontal="left" vertical="center" wrapText="1" indent="1"/>
    </xf>
    <xf numFmtId="1" fontId="1" fillId="0" borderId="13" xfId="0" applyNumberFormat="1" applyFont="1" applyFill="1" applyBorder="1" applyAlignment="1" applyProtection="1">
      <alignment horizontal="center" vertical="center" wrapText="1"/>
    </xf>
    <xf numFmtId="1" fontId="1" fillId="0" borderId="1" xfId="0" applyNumberFormat="1" applyFont="1" applyFill="1" applyBorder="1" applyAlignment="1" applyProtection="1">
      <alignment horizontal="center" vertical="center" wrapText="1"/>
    </xf>
    <xf numFmtId="1" fontId="1" fillId="0" borderId="8" xfId="0" applyNumberFormat="1" applyFont="1" applyFill="1" applyBorder="1" applyAlignment="1" applyProtection="1">
      <alignment horizontal="center" vertical="center" wrapText="1"/>
    </xf>
    <xf numFmtId="0" fontId="1" fillId="0" borderId="219" xfId="0" applyFont="1" applyFill="1" applyBorder="1" applyAlignment="1" applyProtection="1">
      <alignment horizontal="left" vertical="center" wrapText="1" indent="1"/>
    </xf>
    <xf numFmtId="0" fontId="1" fillId="0" borderId="3" xfId="0" applyFont="1" applyFill="1" applyBorder="1" applyAlignment="1" applyProtection="1">
      <alignment horizontal="left" vertical="center" wrapText="1" indent="1"/>
    </xf>
    <xf numFmtId="0" fontId="1" fillId="0" borderId="7" xfId="0" applyFont="1" applyFill="1" applyBorder="1" applyAlignment="1" applyProtection="1">
      <alignment horizontal="left" vertical="center" wrapText="1" indent="1"/>
    </xf>
    <xf numFmtId="1" fontId="1" fillId="0" borderId="313" xfId="0" applyNumberFormat="1" applyFont="1" applyFill="1" applyBorder="1" applyAlignment="1" applyProtection="1">
      <alignment horizontal="center" vertical="center" wrapText="1"/>
    </xf>
    <xf numFmtId="187" fontId="0" fillId="0" borderId="285" xfId="0" applyNumberFormat="1" applyFill="1" applyBorder="1" applyAlignment="1" applyProtection="1">
      <alignment horizontal="right" vertical="center" wrapText="1" indent="1"/>
    </xf>
    <xf numFmtId="187" fontId="0" fillId="0" borderId="40" xfId="0" applyNumberFormat="1" applyFill="1" applyBorder="1" applyAlignment="1" applyProtection="1">
      <alignment horizontal="left" vertical="center" wrapText="1" indent="1"/>
    </xf>
    <xf numFmtId="187" fontId="0" fillId="0" borderId="38" xfId="0" applyNumberFormat="1" applyFill="1" applyBorder="1" applyAlignment="1" applyProtection="1">
      <alignment horizontal="left" vertical="center" wrapText="1" indent="1"/>
    </xf>
    <xf numFmtId="187" fontId="0" fillId="0" borderId="42" xfId="0" applyNumberFormat="1" applyFill="1" applyBorder="1" applyAlignment="1" applyProtection="1">
      <alignment horizontal="left" vertical="center" wrapText="1" indent="1"/>
    </xf>
    <xf numFmtId="187" fontId="0" fillId="0" borderId="42" xfId="0" applyNumberFormat="1" applyFill="1" applyBorder="1" applyAlignment="1" applyProtection="1">
      <alignment horizontal="right" vertical="center" wrapText="1" indent="1"/>
    </xf>
    <xf numFmtId="0" fontId="0" fillId="0" borderId="73" xfId="0" applyBorder="1" applyAlignment="1" applyProtection="1">
      <alignment horizontal="center" vertical="center" wrapText="1"/>
    </xf>
    <xf numFmtId="0" fontId="0" fillId="0" borderId="48" xfId="0" applyBorder="1" applyAlignment="1" applyProtection="1">
      <alignment horizontal="center" vertical="center" wrapText="1"/>
    </xf>
    <xf numFmtId="0" fontId="0" fillId="0" borderId="66" xfId="0" applyBorder="1" applyAlignment="1" applyProtection="1">
      <alignment horizontal="center" vertical="center" wrapText="1"/>
    </xf>
    <xf numFmtId="0" fontId="0" fillId="0" borderId="51" xfId="0" applyBorder="1" applyAlignment="1" applyProtection="1">
      <alignment horizontal="center" vertical="center" wrapText="1"/>
    </xf>
    <xf numFmtId="0" fontId="0" fillId="0" borderId="33" xfId="0" applyBorder="1" applyAlignment="1" applyProtection="1">
      <alignment horizontal="center" vertical="center" wrapText="1"/>
    </xf>
    <xf numFmtId="187" fontId="0" fillId="0" borderId="51" xfId="0" applyNumberFormat="1" applyFill="1" applyBorder="1" applyAlignment="1" applyProtection="1">
      <alignment horizontal="right" vertical="center" wrapText="1" indent="1"/>
    </xf>
    <xf numFmtId="0" fontId="0" fillId="0" borderId="46" xfId="0" applyFont="1" applyFill="1" applyBorder="1" applyAlignment="1" applyProtection="1">
      <alignment horizontal="left" vertical="center" wrapText="1" indent="1"/>
    </xf>
    <xf numFmtId="0" fontId="0" fillId="0" borderId="0" xfId="0" applyFont="1" applyFill="1" applyBorder="1" applyAlignment="1" applyProtection="1">
      <alignment horizontal="left" vertical="center" wrapText="1" indent="1"/>
    </xf>
    <xf numFmtId="0" fontId="0" fillId="0" borderId="47" xfId="0" applyFont="1" applyFill="1" applyBorder="1" applyAlignment="1" applyProtection="1">
      <alignment horizontal="left" vertical="center" wrapText="1" indent="1"/>
    </xf>
    <xf numFmtId="0" fontId="0" fillId="0" borderId="12" xfId="0" applyNumberFormat="1" applyFont="1" applyFill="1" applyBorder="1" applyAlignment="1" applyProtection="1">
      <alignment horizontal="center" vertical="center" wrapText="1"/>
    </xf>
    <xf numFmtId="0" fontId="0" fillId="0" borderId="3" xfId="0" applyNumberFormat="1" applyFont="1" applyFill="1" applyBorder="1" applyAlignment="1" applyProtection="1">
      <alignment horizontal="center" vertical="center" wrapText="1"/>
    </xf>
    <xf numFmtId="0" fontId="0" fillId="0" borderId="9" xfId="0" applyNumberFormat="1" applyFont="1"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0" fillId="0" borderId="2" xfId="0" applyFont="1" applyFill="1" applyBorder="1" applyAlignment="1" applyProtection="1">
      <alignment horizontal="center" vertical="center" wrapText="1"/>
    </xf>
    <xf numFmtId="0" fontId="0" fillId="0" borderId="6" xfId="0" applyFont="1" applyFill="1" applyBorder="1" applyAlignment="1" applyProtection="1">
      <alignment horizontal="center" vertical="center" wrapText="1"/>
    </xf>
    <xf numFmtId="0" fontId="0" fillId="0" borderId="242"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19" xfId="0" applyFont="1" applyFill="1" applyBorder="1" applyAlignment="1" applyProtection="1">
      <alignment horizontal="center" vertical="center" wrapText="1"/>
    </xf>
    <xf numFmtId="0" fontId="0" fillId="0" borderId="47" xfId="0" applyFont="1" applyFill="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0" fillId="0" borderId="9" xfId="0" applyFont="1" applyBorder="1" applyAlignment="1" applyProtection="1">
      <alignment horizontal="center" vertical="center" wrapText="1"/>
    </xf>
    <xf numFmtId="0" fontId="0" fillId="0" borderId="12" xfId="0" applyFont="1" applyBorder="1" applyAlignment="1" applyProtection="1">
      <alignment horizontal="left" vertical="center" wrapText="1" indent="1"/>
    </xf>
    <xf numFmtId="0" fontId="0" fillId="0" borderId="3" xfId="0" applyFont="1" applyBorder="1" applyAlignment="1" applyProtection="1">
      <alignment horizontal="left" vertical="center" wrapText="1" indent="1"/>
    </xf>
    <xf numFmtId="0" fontId="0" fillId="0" borderId="9" xfId="0" applyFont="1" applyBorder="1" applyAlignment="1" applyProtection="1">
      <alignment horizontal="left" vertical="center" wrapText="1" indent="1"/>
    </xf>
    <xf numFmtId="0" fontId="0" fillId="0" borderId="232" xfId="0" applyFont="1" applyFill="1" applyBorder="1" applyAlignment="1" applyProtection="1">
      <alignment horizontal="center" vertical="center" wrapText="1"/>
    </xf>
    <xf numFmtId="0" fontId="0" fillId="0" borderId="232" xfId="0" applyFont="1" applyFill="1" applyBorder="1" applyAlignment="1" applyProtection="1">
      <alignment horizontal="left" vertical="center" wrapText="1" indent="1"/>
    </xf>
    <xf numFmtId="0" fontId="1" fillId="0" borderId="12" xfId="0" applyFont="1" applyFill="1" applyBorder="1" applyAlignment="1" applyProtection="1">
      <alignment horizontal="left" vertical="center" wrapText="1" indent="1"/>
    </xf>
    <xf numFmtId="0" fontId="1" fillId="0" borderId="9" xfId="0" applyFont="1" applyFill="1" applyBorder="1" applyAlignment="1" applyProtection="1">
      <alignment horizontal="left" vertical="center" wrapText="1" indent="1"/>
    </xf>
    <xf numFmtId="0" fontId="0" fillId="0" borderId="121" xfId="0" applyFont="1" applyFill="1" applyBorder="1" applyAlignment="1" applyProtection="1">
      <alignment horizontal="left" vertical="center" wrapText="1" indent="1"/>
    </xf>
    <xf numFmtId="0" fontId="0" fillId="0" borderId="313" xfId="0" applyFill="1" applyBorder="1" applyAlignment="1" applyProtection="1">
      <alignment horizontal="center" vertical="center" wrapText="1"/>
    </xf>
    <xf numFmtId="175" fontId="1" fillId="0" borderId="12" xfId="0" applyNumberFormat="1" applyFont="1" applyFill="1" applyBorder="1" applyAlignment="1" applyProtection="1">
      <alignment horizontal="left" vertical="center" wrapText="1" indent="1"/>
    </xf>
    <xf numFmtId="0" fontId="0" fillId="0" borderId="121" xfId="0" applyFill="1" applyBorder="1" applyAlignment="1" applyProtection="1">
      <alignment horizontal="left" vertical="center" wrapText="1" indent="1"/>
    </xf>
    <xf numFmtId="175" fontId="1" fillId="0" borderId="219" xfId="0" applyNumberFormat="1" applyFont="1" applyFill="1" applyBorder="1" applyAlignment="1" applyProtection="1">
      <alignment horizontal="left" vertical="center" wrapText="1" indent="1"/>
    </xf>
    <xf numFmtId="1" fontId="1" fillId="0" borderId="15" xfId="0" applyNumberFormat="1" applyFont="1" applyFill="1" applyBorder="1" applyAlignment="1" applyProtection="1">
      <alignment horizontal="center" vertical="center" wrapText="1"/>
    </xf>
    <xf numFmtId="0" fontId="0" fillId="0" borderId="73" xfId="0" applyFill="1" applyBorder="1" applyAlignment="1" applyProtection="1">
      <alignment horizontal="center" vertical="center" wrapText="1"/>
    </xf>
    <xf numFmtId="0" fontId="0" fillId="0" borderId="48" xfId="0" applyFill="1" applyBorder="1" applyAlignment="1" applyProtection="1">
      <alignment horizontal="center" vertical="center" wrapText="1"/>
    </xf>
    <xf numFmtId="0" fontId="0" fillId="0" borderId="66" xfId="0" applyFill="1" applyBorder="1" applyAlignment="1" applyProtection="1">
      <alignment horizontal="center" vertical="center" wrapText="1"/>
    </xf>
    <xf numFmtId="0" fontId="6" fillId="0" borderId="309" xfId="0" applyFont="1" applyBorder="1" applyAlignment="1" applyProtection="1">
      <alignment horizontal="center" vertical="center" wrapText="1"/>
    </xf>
    <xf numFmtId="0" fontId="0" fillId="0" borderId="121" xfId="0" applyFill="1" applyBorder="1" applyAlignment="1" applyProtection="1">
      <alignment horizontal="center" vertical="center" wrapText="1"/>
    </xf>
    <xf numFmtId="0" fontId="0" fillId="0" borderId="7" xfId="0" applyFill="1" applyBorder="1" applyAlignment="1" applyProtection="1">
      <alignment horizontal="center" vertical="center" wrapText="1"/>
    </xf>
    <xf numFmtId="187" fontId="0" fillId="0" borderId="318" xfId="0" applyNumberFormat="1" applyFill="1" applyBorder="1" applyAlignment="1" applyProtection="1">
      <alignment horizontal="right" vertical="center" wrapText="1" indent="1"/>
    </xf>
    <xf numFmtId="0" fontId="1" fillId="0" borderId="306"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306"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1" fillId="0" borderId="7" xfId="0" applyFont="1" applyFill="1" applyBorder="1" applyAlignment="1" applyProtection="1">
      <alignment horizontal="center" vertical="center" wrapText="1"/>
    </xf>
    <xf numFmtId="0" fontId="1" fillId="0" borderId="313"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wrapText="1"/>
    </xf>
    <xf numFmtId="166" fontId="0" fillId="0" borderId="318" xfId="0" applyNumberFormat="1" applyFill="1" applyBorder="1" applyAlignment="1" applyProtection="1">
      <alignment horizontal="center" vertical="center" wrapText="1"/>
    </xf>
    <xf numFmtId="2" fontId="0" fillId="0" borderId="33" xfId="0" applyNumberFormat="1" applyFill="1" applyBorder="1" applyAlignment="1" applyProtection="1">
      <alignment horizontal="left" vertical="center" wrapText="1" indent="1"/>
    </xf>
    <xf numFmtId="2" fontId="0" fillId="0" borderId="310" xfId="0" applyNumberFormat="1" applyFill="1" applyBorder="1" applyAlignment="1" applyProtection="1">
      <alignment horizontal="left" vertical="center" wrapText="1" indent="1"/>
    </xf>
    <xf numFmtId="2" fontId="0" fillId="0" borderId="319" xfId="0" applyNumberFormat="1" applyFill="1" applyBorder="1" applyAlignment="1" applyProtection="1">
      <alignment horizontal="left" vertical="center" wrapText="1" indent="1"/>
    </xf>
    <xf numFmtId="187" fontId="0" fillId="0" borderId="306" xfId="0" applyNumberFormat="1" applyFill="1" applyBorder="1" applyAlignment="1" applyProtection="1">
      <alignment horizontal="left" vertical="center" wrapText="1" indent="1"/>
    </xf>
    <xf numFmtId="187" fontId="0" fillId="0" borderId="319" xfId="0" applyNumberFormat="1" applyFill="1" applyBorder="1" applyAlignment="1" applyProtection="1">
      <alignment horizontal="left" vertical="center" wrapText="1" indent="1"/>
    </xf>
    <xf numFmtId="0" fontId="6" fillId="0" borderId="310" xfId="0" applyFont="1" applyBorder="1" applyAlignment="1" applyProtection="1">
      <alignment horizontal="center" vertical="center" wrapText="1"/>
    </xf>
    <xf numFmtId="0" fontId="1" fillId="0" borderId="314"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xf>
    <xf numFmtId="0" fontId="0" fillId="0" borderId="56" xfId="0" applyBorder="1" applyAlignment="1" applyProtection="1">
      <alignment horizontal="left" vertical="center" wrapText="1" indent="1"/>
    </xf>
    <xf numFmtId="0" fontId="0" fillId="0" borderId="57" xfId="0" applyBorder="1" applyAlignment="1" applyProtection="1">
      <alignment horizontal="left" vertical="center" wrapText="1" indent="1"/>
    </xf>
    <xf numFmtId="0" fontId="0" fillId="0" borderId="79" xfId="0" applyBorder="1" applyAlignment="1" applyProtection="1">
      <alignment horizontal="left" vertical="center" wrapText="1" indent="1"/>
    </xf>
    <xf numFmtId="0" fontId="0" fillId="0" borderId="73" xfId="0" applyFill="1" applyBorder="1" applyAlignment="1" applyProtection="1">
      <alignment horizontal="left" vertical="center" wrapText="1" indent="1"/>
    </xf>
    <xf numFmtId="0" fontId="0" fillId="0" borderId="48" xfId="0" applyFill="1" applyBorder="1" applyAlignment="1" applyProtection="1">
      <alignment horizontal="left" vertical="center" wrapText="1" indent="1"/>
    </xf>
    <xf numFmtId="0" fontId="0" fillId="0" borderId="66" xfId="0" applyFill="1" applyBorder="1" applyAlignment="1" applyProtection="1">
      <alignment horizontal="left" vertical="center" wrapText="1" indent="1"/>
    </xf>
    <xf numFmtId="0" fontId="0" fillId="14" borderId="56" xfId="0" applyFill="1" applyBorder="1" applyAlignment="1" applyProtection="1">
      <alignment vertical="center" wrapText="1"/>
    </xf>
    <xf numFmtId="0" fontId="0" fillId="14" borderId="57" xfId="0" applyFill="1" applyBorder="1" applyAlignment="1" applyProtection="1">
      <alignment vertical="center" wrapText="1"/>
    </xf>
    <xf numFmtId="0" fontId="0" fillId="14" borderId="79" xfId="0" applyFill="1" applyBorder="1" applyAlignment="1" applyProtection="1">
      <alignment vertical="center" wrapText="1"/>
    </xf>
    <xf numFmtId="0" fontId="1" fillId="0" borderId="318" xfId="0" applyFont="1" applyBorder="1" applyAlignment="1" applyProtection="1">
      <alignment horizontal="center" vertical="center" wrapText="1"/>
    </xf>
    <xf numFmtId="0" fontId="1" fillId="0" borderId="38"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 fillId="0" borderId="319" xfId="0" applyFont="1" applyBorder="1" applyAlignment="1" applyProtection="1">
      <alignment horizontal="center" vertical="center" wrapText="1"/>
    </xf>
    <xf numFmtId="0" fontId="1" fillId="0" borderId="31" xfId="0" applyFont="1" applyBorder="1" applyAlignment="1" applyProtection="1">
      <alignment horizontal="center" vertical="center" wrapText="1"/>
    </xf>
    <xf numFmtId="0" fontId="1" fillId="0" borderId="44" xfId="0" applyFont="1" applyBorder="1" applyAlignment="1" applyProtection="1">
      <alignment horizontal="center" vertical="center" wrapText="1"/>
    </xf>
    <xf numFmtId="0" fontId="0" fillId="14" borderId="218" xfId="0" applyFill="1" applyBorder="1" applyAlignment="1" applyProtection="1">
      <alignment horizontal="center" vertical="center" wrapText="1"/>
    </xf>
    <xf numFmtId="0" fontId="0" fillId="14" borderId="2" xfId="0" applyFill="1" applyBorder="1" applyAlignment="1" applyProtection="1">
      <alignment horizontal="center" vertical="center" wrapText="1"/>
    </xf>
    <xf numFmtId="0" fontId="0" fillId="14" borderId="14" xfId="0" applyFill="1" applyBorder="1" applyAlignment="1" applyProtection="1">
      <alignment horizontal="center" vertical="center" wrapText="1"/>
    </xf>
    <xf numFmtId="0" fontId="0" fillId="14" borderId="12" xfId="0" applyFont="1" applyFill="1" applyBorder="1" applyAlignment="1" applyProtection="1">
      <alignment horizontal="left" vertical="center" wrapText="1" indent="1"/>
    </xf>
    <xf numFmtId="0" fontId="0" fillId="14" borderId="3" xfId="0" applyFont="1" applyFill="1" applyBorder="1" applyAlignment="1" applyProtection="1">
      <alignment horizontal="left" vertical="center" wrapText="1" indent="1"/>
    </xf>
    <xf numFmtId="0" fontId="0" fillId="14" borderId="9" xfId="0" applyFont="1" applyFill="1" applyBorder="1" applyAlignment="1" applyProtection="1">
      <alignment horizontal="left" vertical="center" wrapText="1" indent="1"/>
    </xf>
    <xf numFmtId="0" fontId="0" fillId="14" borderId="11" xfId="0" applyFill="1" applyBorder="1" applyAlignment="1" applyProtection="1">
      <alignment horizontal="center" vertical="center" wrapText="1"/>
    </xf>
    <xf numFmtId="0" fontId="0" fillId="14" borderId="12" xfId="0" applyFont="1" applyFill="1" applyBorder="1" applyAlignment="1" applyProtection="1">
      <alignment horizontal="center" vertical="center" wrapText="1"/>
    </xf>
    <xf numFmtId="0" fontId="0" fillId="14" borderId="3" xfId="0" applyFont="1" applyFill="1" applyBorder="1" applyAlignment="1" applyProtection="1">
      <alignment horizontal="center" vertical="center" wrapText="1"/>
    </xf>
    <xf numFmtId="0" fontId="0" fillId="14" borderId="9" xfId="0" applyFont="1" applyFill="1" applyBorder="1" applyAlignment="1" applyProtection="1">
      <alignment horizontal="center" vertical="center" wrapText="1"/>
    </xf>
    <xf numFmtId="0" fontId="0" fillId="14" borderId="6" xfId="0" applyFill="1" applyBorder="1" applyAlignment="1" applyProtection="1">
      <alignment horizontal="center" vertical="center" wrapText="1"/>
    </xf>
    <xf numFmtId="0" fontId="0" fillId="14" borderId="13" xfId="0" applyFill="1" applyBorder="1" applyAlignment="1" applyProtection="1">
      <alignment horizontal="center" vertical="center"/>
    </xf>
    <xf numFmtId="0" fontId="0" fillId="14" borderId="1" xfId="0" applyFill="1" applyBorder="1" applyAlignment="1" applyProtection="1">
      <alignment horizontal="center" vertical="center"/>
    </xf>
    <xf numFmtId="0" fontId="0" fillId="14" borderId="15" xfId="0" applyFill="1" applyBorder="1" applyAlignment="1" applyProtection="1">
      <alignment horizontal="center" vertical="center"/>
    </xf>
    <xf numFmtId="0" fontId="0" fillId="14" borderId="219" xfId="0" applyFill="1" applyBorder="1" applyAlignment="1" applyProtection="1">
      <alignment horizontal="center" vertical="center" wrapText="1"/>
    </xf>
    <xf numFmtId="0" fontId="0" fillId="14" borderId="133" xfId="0" applyFill="1" applyBorder="1" applyAlignment="1" applyProtection="1">
      <alignment horizontal="center" vertical="center" wrapText="1"/>
    </xf>
    <xf numFmtId="0" fontId="37" fillId="14" borderId="121" xfId="0" applyFont="1" applyFill="1" applyBorder="1" applyAlignment="1" applyProtection="1">
      <alignment horizontal="center" vertical="center" wrapText="1"/>
    </xf>
    <xf numFmtId="164" fontId="1" fillId="0" borderId="380" xfId="0" applyNumberFormat="1" applyFont="1" applyFill="1" applyBorder="1" applyAlignment="1">
      <alignment horizontal="left" vertical="center" wrapText="1"/>
    </xf>
    <xf numFmtId="164" fontId="1" fillId="0" borderId="3" xfId="0" applyNumberFormat="1" applyFont="1" applyFill="1" applyBorder="1" applyAlignment="1">
      <alignment horizontal="left" vertical="center" wrapText="1"/>
    </xf>
    <xf numFmtId="164" fontId="1" fillId="0" borderId="9" xfId="0" applyNumberFormat="1" applyFont="1" applyFill="1" applyBorder="1" applyAlignment="1">
      <alignment horizontal="left" vertical="center" wrapText="1"/>
    </xf>
    <xf numFmtId="172" fontId="13" fillId="0" borderId="380" xfId="0" applyNumberFormat="1" applyFont="1" applyFill="1" applyBorder="1" applyAlignment="1">
      <alignment horizontal="center" vertical="center"/>
    </xf>
    <xf numFmtId="172" fontId="13" fillId="0" borderId="3" xfId="0" applyNumberFormat="1" applyFont="1" applyFill="1" applyBorder="1" applyAlignment="1">
      <alignment horizontal="center" vertical="center"/>
    </xf>
    <xf numFmtId="172" fontId="13" fillId="0" borderId="7" xfId="0" applyNumberFormat="1" applyFont="1" applyFill="1" applyBorder="1" applyAlignment="1">
      <alignment horizontal="center" vertical="center"/>
    </xf>
    <xf numFmtId="172" fontId="13" fillId="0" borderId="9" xfId="0" applyNumberFormat="1" applyFont="1" applyFill="1" applyBorder="1" applyAlignment="1">
      <alignment horizontal="center" vertical="center"/>
    </xf>
    <xf numFmtId="185" fontId="13" fillId="0" borderId="12" xfId="0" applyNumberFormat="1" applyFont="1" applyFill="1" applyBorder="1" applyAlignment="1">
      <alignment horizontal="center" vertical="center"/>
    </xf>
    <xf numFmtId="185" fontId="13" fillId="0" borderId="9" xfId="0" applyNumberFormat="1" applyFont="1" applyFill="1" applyBorder="1" applyAlignment="1">
      <alignment horizontal="center" vertical="center"/>
    </xf>
    <xf numFmtId="172" fontId="13" fillId="0" borderId="12" xfId="0" applyNumberFormat="1" applyFont="1" applyFill="1" applyBorder="1" applyAlignment="1">
      <alignment horizontal="center"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57" xfId="0" applyFont="1" applyFill="1" applyBorder="1" applyAlignment="1">
      <alignment horizontal="center" vertical="center"/>
    </xf>
    <xf numFmtId="0" fontId="0" fillId="0" borderId="38" xfId="0" applyFont="1" applyFill="1" applyBorder="1" applyAlignment="1">
      <alignment horizontal="center" vertical="center"/>
    </xf>
    <xf numFmtId="1" fontId="1" fillId="0" borderId="380" xfId="0" applyNumberFormat="1" applyFont="1" applyFill="1" applyBorder="1" applyAlignment="1">
      <alignment horizontal="left" vertical="center" wrapText="1"/>
    </xf>
    <xf numFmtId="1" fontId="1" fillId="0" borderId="3" xfId="0" applyNumberFormat="1" applyFont="1" applyFill="1" applyBorder="1" applyAlignment="1">
      <alignment horizontal="left" vertical="center" wrapText="1"/>
    </xf>
    <xf numFmtId="1" fontId="1" fillId="0" borderId="7" xfId="0" applyNumberFormat="1" applyFont="1" applyFill="1" applyBorder="1" applyAlignment="1">
      <alignment horizontal="left" vertical="center" wrapText="1"/>
    </xf>
    <xf numFmtId="0" fontId="0" fillId="0" borderId="42" xfId="0" applyFont="1" applyFill="1" applyBorder="1" applyAlignment="1">
      <alignment horizontal="center" vertical="center"/>
    </xf>
    <xf numFmtId="164" fontId="1" fillId="0" borderId="12" xfId="0" applyNumberFormat="1" applyFont="1" applyFill="1" applyBorder="1" applyAlignment="1">
      <alignment horizontal="left" vertical="center" wrapText="1"/>
    </xf>
    <xf numFmtId="172" fontId="13" fillId="0" borderId="444" xfId="0" applyNumberFormat="1" applyFont="1" applyFill="1" applyBorder="1" applyAlignment="1">
      <alignment horizontal="center" vertical="center"/>
    </xf>
    <xf numFmtId="172" fontId="13" fillId="0" borderId="380" xfId="0" applyNumberFormat="1" applyFont="1" applyFill="1" applyBorder="1" applyAlignment="1">
      <alignment horizontal="center" vertical="center" wrapText="1"/>
    </xf>
    <xf numFmtId="172" fontId="13" fillId="0" borderId="9" xfId="0" applyNumberFormat="1" applyFont="1" applyFill="1" applyBorder="1" applyAlignment="1">
      <alignment horizontal="center" vertical="center" wrapText="1"/>
    </xf>
    <xf numFmtId="0" fontId="1" fillId="0" borderId="9"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60" xfId="0" applyFont="1" applyBorder="1" applyAlignment="1">
      <alignment horizontal="center" vertical="center" wrapText="1"/>
    </xf>
    <xf numFmtId="0" fontId="4" fillId="0" borderId="63" xfId="0" applyFont="1" applyBorder="1" applyAlignment="1">
      <alignment horizontal="center" vertical="center" wrapText="1"/>
    </xf>
    <xf numFmtId="1" fontId="1" fillId="0" borderId="380" xfId="0" applyNumberFormat="1" applyFont="1" applyFill="1" applyBorder="1" applyAlignment="1">
      <alignment horizontal="center" vertical="center" wrapText="1"/>
    </xf>
    <xf numFmtId="1" fontId="1" fillId="0" borderId="3" xfId="0" applyNumberFormat="1" applyFont="1" applyFill="1" applyBorder="1" applyAlignment="1">
      <alignment horizontal="center" vertical="center" wrapText="1"/>
    </xf>
    <xf numFmtId="1" fontId="1" fillId="0" borderId="7" xfId="0" applyNumberFormat="1" applyFont="1" applyFill="1" applyBorder="1" applyAlignment="1">
      <alignment horizontal="center" vertical="center" wrapText="1"/>
    </xf>
    <xf numFmtId="0" fontId="1" fillId="0" borderId="73" xfId="0" applyFont="1" applyBorder="1" applyAlignment="1">
      <alignment horizontal="center" vertical="center" wrapText="1"/>
    </xf>
    <xf numFmtId="0" fontId="1" fillId="0" borderId="72" xfId="0" applyFont="1" applyBorder="1" applyAlignment="1">
      <alignment horizontal="center" vertical="center" wrapText="1"/>
    </xf>
    <xf numFmtId="0" fontId="25" fillId="0" borderId="73" xfId="0" applyFont="1" applyBorder="1" applyAlignment="1">
      <alignment horizontal="center" vertical="center" wrapText="1"/>
    </xf>
    <xf numFmtId="0" fontId="25" fillId="0" borderId="48" xfId="0" applyFont="1" applyBorder="1" applyAlignment="1">
      <alignment horizontal="center" vertical="center" wrapText="1"/>
    </xf>
    <xf numFmtId="0" fontId="25" fillId="0" borderId="66"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41" xfId="0" applyFont="1" applyBorder="1" applyAlignment="1">
      <alignment horizontal="center" vertical="center" wrapText="1"/>
    </xf>
    <xf numFmtId="1" fontId="1" fillId="0" borderId="9" xfId="0" applyNumberFormat="1" applyFont="1" applyFill="1" applyBorder="1" applyAlignment="1">
      <alignment horizontal="left" vertical="center" wrapText="1"/>
    </xf>
    <xf numFmtId="164" fontId="1" fillId="0" borderId="7" xfId="0" applyNumberFormat="1" applyFont="1" applyFill="1" applyBorder="1" applyAlignment="1">
      <alignment horizontal="left" vertical="center" wrapText="1"/>
    </xf>
    <xf numFmtId="164" fontId="1" fillId="0" borderId="444" xfId="0" applyNumberFormat="1" applyFont="1" applyFill="1" applyBorder="1" applyAlignment="1">
      <alignment horizontal="left" vertical="center" wrapText="1"/>
    </xf>
    <xf numFmtId="14" fontId="1" fillId="0" borderId="441" xfId="0" applyNumberFormat="1" applyFont="1" applyFill="1" applyBorder="1" applyAlignment="1">
      <alignment horizontal="left" vertical="center" wrapText="1" indent="1"/>
    </xf>
    <xf numFmtId="14" fontId="1" fillId="0" borderId="3" xfId="0" applyNumberFormat="1" applyFont="1" applyFill="1" applyBorder="1" applyAlignment="1">
      <alignment horizontal="left" vertical="center" wrapText="1" indent="1"/>
    </xf>
    <xf numFmtId="14" fontId="1" fillId="0" borderId="7" xfId="0" applyNumberFormat="1" applyFont="1" applyFill="1" applyBorder="1" applyAlignment="1">
      <alignment horizontal="left" vertical="center" wrapText="1" indent="1"/>
    </xf>
    <xf numFmtId="0" fontId="13" fillId="0" borderId="441" xfId="0" applyFont="1" applyFill="1" applyBorder="1" applyAlignment="1">
      <alignment horizontal="left" vertical="center" wrapText="1" indent="1"/>
    </xf>
    <xf numFmtId="0" fontId="13" fillId="0" borderId="3" xfId="0" applyFont="1" applyFill="1" applyBorder="1" applyAlignment="1">
      <alignment horizontal="left" vertical="center" wrapText="1" indent="1"/>
    </xf>
    <xf numFmtId="0" fontId="13" fillId="0" borderId="7" xfId="0" applyFont="1" applyFill="1" applyBorder="1" applyAlignment="1">
      <alignment horizontal="left" vertical="center" wrapText="1" indent="1"/>
    </xf>
    <xf numFmtId="14" fontId="1" fillId="0" borderId="9" xfId="0" applyNumberFormat="1" applyFont="1" applyFill="1" applyBorder="1" applyAlignment="1">
      <alignment horizontal="left" vertical="center" wrapText="1" indent="1"/>
    </xf>
    <xf numFmtId="14" fontId="1" fillId="0" borderId="12" xfId="0" applyNumberFormat="1" applyFont="1" applyFill="1" applyBorder="1" applyAlignment="1">
      <alignment horizontal="left" vertical="center" wrapText="1" indent="1"/>
    </xf>
    <xf numFmtId="0" fontId="4" fillId="0" borderId="70"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7" xfId="0" applyFont="1" applyBorder="1" applyAlignment="1">
      <alignment horizontal="center" vertical="center" wrapText="1"/>
    </xf>
    <xf numFmtId="0" fontId="1" fillId="0" borderId="40"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90"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71"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0" borderId="65"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5" xfId="0" applyFont="1" applyFill="1" applyBorder="1" applyAlignment="1">
      <alignment horizontal="center" vertical="center" wrapText="1"/>
    </xf>
    <xf numFmtId="181" fontId="13" fillId="0" borderId="12" xfId="0" applyNumberFormat="1" applyFont="1" applyFill="1" applyBorder="1" applyAlignment="1">
      <alignment horizontal="right" vertical="center" wrapText="1"/>
    </xf>
    <xf numFmtId="181" fontId="13" fillId="0" borderId="9" xfId="0" applyNumberFormat="1" applyFont="1" applyFill="1" applyBorder="1" applyAlignment="1">
      <alignment horizontal="right" vertical="center" wrapText="1"/>
    </xf>
    <xf numFmtId="4" fontId="13" fillId="0" borderId="490" xfId="0" applyNumberFormat="1" applyFont="1" applyFill="1" applyBorder="1" applyAlignment="1">
      <alignment horizontal="right" vertical="center" wrapText="1"/>
    </xf>
    <xf numFmtId="4" fontId="13" fillId="0" borderId="3" xfId="0" applyNumberFormat="1" applyFont="1" applyFill="1" applyBorder="1" applyAlignment="1">
      <alignment horizontal="right" vertical="center" wrapText="1"/>
    </xf>
    <xf numFmtId="4" fontId="13" fillId="0" borderId="9" xfId="0" applyNumberFormat="1" applyFont="1" applyFill="1" applyBorder="1" applyAlignment="1">
      <alignment horizontal="right" vertical="center" wrapText="1"/>
    </xf>
    <xf numFmtId="0" fontId="4" fillId="0" borderId="73"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66" xfId="0" applyFont="1" applyFill="1" applyBorder="1" applyAlignment="1">
      <alignment horizontal="center" vertical="center" wrapText="1"/>
    </xf>
    <xf numFmtId="3" fontId="13" fillId="0" borderId="490"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center" wrapText="1"/>
    </xf>
    <xf numFmtId="3" fontId="13" fillId="0" borderId="9" xfId="0" applyNumberFormat="1"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25" fillId="16" borderId="73" xfId="0" applyFont="1" applyFill="1" applyBorder="1" applyAlignment="1">
      <alignment horizontal="center" vertical="center" wrapText="1"/>
    </xf>
    <xf numFmtId="0" fontId="25" fillId="16" borderId="48" xfId="0" applyFont="1" applyFill="1" applyBorder="1" applyAlignment="1">
      <alignment horizontal="center" vertical="center" wrapText="1"/>
    </xf>
    <xf numFmtId="0" fontId="25" fillId="16" borderId="66" xfId="0" applyFont="1" applyFill="1" applyBorder="1" applyAlignment="1">
      <alignment horizontal="center" vertical="center" wrapText="1"/>
    </xf>
    <xf numFmtId="0" fontId="59" fillId="17" borderId="73" xfId="0" applyFont="1" applyFill="1" applyBorder="1" applyAlignment="1">
      <alignment horizontal="center" vertical="center" wrapText="1"/>
    </xf>
    <xf numFmtId="0" fontId="59" fillId="17" borderId="48" xfId="0" applyFont="1" applyFill="1" applyBorder="1" applyAlignment="1">
      <alignment horizontal="center" vertical="center" wrapText="1"/>
    </xf>
    <xf numFmtId="0" fontId="25" fillId="42" borderId="70"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42" borderId="37" xfId="0" applyFont="1" applyFill="1" applyBorder="1" applyAlignment="1">
      <alignment horizontal="center" vertical="center" wrapText="1"/>
    </xf>
    <xf numFmtId="0" fontId="4" fillId="0" borderId="90"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64" xfId="0" applyFont="1" applyBorder="1" applyAlignment="1">
      <alignment horizontal="center" vertical="center" wrapText="1"/>
    </xf>
    <xf numFmtId="0" fontId="1" fillId="0" borderId="374" xfId="0" applyFont="1" applyBorder="1" applyAlignment="1">
      <alignment horizontal="center" vertical="center" wrapText="1"/>
    </xf>
    <xf numFmtId="0" fontId="1" fillId="0" borderId="387" xfId="0" applyFont="1" applyBorder="1" applyAlignment="1">
      <alignment horizontal="center" vertical="center" wrapText="1"/>
    </xf>
    <xf numFmtId="0" fontId="1" fillId="0" borderId="414" xfId="0" applyFont="1" applyBorder="1" applyAlignment="1">
      <alignment horizontal="center" vertical="center" wrapText="1"/>
    </xf>
    <xf numFmtId="0" fontId="1" fillId="0" borderId="437" xfId="0" applyFont="1" applyBorder="1" applyAlignment="1">
      <alignment horizontal="center" vertical="center" wrapText="1"/>
    </xf>
    <xf numFmtId="0" fontId="1" fillId="0" borderId="368" xfId="0" applyFont="1" applyBorder="1" applyAlignment="1">
      <alignment horizontal="center" vertical="center" wrapText="1"/>
    </xf>
    <xf numFmtId="0" fontId="1" fillId="0" borderId="390" xfId="0" applyFont="1" applyBorder="1" applyAlignment="1">
      <alignment horizontal="center" vertical="center" wrapText="1"/>
    </xf>
    <xf numFmtId="0" fontId="1" fillId="0" borderId="389" xfId="0" applyFont="1" applyBorder="1" applyAlignment="1">
      <alignment horizontal="center" vertical="center" wrapText="1"/>
    </xf>
    <xf numFmtId="0" fontId="1" fillId="0" borderId="415"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58" xfId="0" applyFont="1" applyBorder="1" applyAlignment="1">
      <alignment horizontal="center" vertical="center" wrapText="1"/>
    </xf>
    <xf numFmtId="0" fontId="0" fillId="14" borderId="0" xfId="0" applyFill="1" applyAlignment="1">
      <alignment horizontal="center" vertical="center" wrapText="1"/>
    </xf>
    <xf numFmtId="0" fontId="0" fillId="14" borderId="259" xfId="0" applyFill="1" applyBorder="1" applyAlignment="1">
      <alignment horizontal="center" vertical="center" wrapText="1"/>
    </xf>
    <xf numFmtId="0" fontId="4" fillId="26" borderId="309" xfId="0" applyFont="1" applyFill="1" applyBorder="1" applyAlignment="1">
      <alignment horizontal="center" vertical="center" wrapText="1"/>
    </xf>
    <xf numFmtId="0" fontId="4" fillId="26" borderId="483" xfId="0" applyFont="1" applyFill="1" applyBorder="1" applyAlignment="1">
      <alignment horizontal="center" vertical="center" wrapText="1"/>
    </xf>
    <xf numFmtId="0" fontId="4" fillId="26" borderId="302" xfId="0" applyFont="1" applyFill="1" applyBorder="1" applyAlignment="1">
      <alignment horizontal="center" vertical="center" wrapText="1"/>
    </xf>
    <xf numFmtId="0" fontId="4" fillId="26" borderId="447" xfId="0" applyFont="1" applyFill="1" applyBorder="1" applyAlignment="1">
      <alignment horizontal="center" vertical="center" wrapText="1"/>
    </xf>
    <xf numFmtId="0" fontId="4" fillId="26" borderId="304" xfId="0" applyFont="1" applyFill="1" applyBorder="1" applyAlignment="1">
      <alignment horizontal="center" vertical="center" wrapText="1"/>
    </xf>
    <xf numFmtId="0" fontId="4" fillId="26" borderId="45" xfId="0" applyFont="1" applyFill="1" applyBorder="1" applyAlignment="1">
      <alignment horizontal="center" vertical="center" wrapText="1"/>
    </xf>
    <xf numFmtId="0" fontId="4" fillId="26" borderId="80" xfId="0" applyFont="1" applyFill="1" applyBorder="1" applyAlignment="1">
      <alignment horizontal="center" vertical="center" wrapText="1"/>
    </xf>
    <xf numFmtId="0" fontId="4" fillId="26" borderId="118" xfId="0" applyFont="1" applyFill="1" applyBorder="1" applyAlignment="1">
      <alignment horizontal="center" vertical="center" wrapText="1"/>
    </xf>
    <xf numFmtId="0" fontId="4" fillId="26" borderId="339" xfId="0" applyFont="1" applyFill="1" applyBorder="1" applyAlignment="1">
      <alignment horizontal="center" vertical="center" wrapText="1"/>
    </xf>
    <xf numFmtId="0" fontId="4" fillId="26" borderId="340" xfId="0" applyFont="1" applyFill="1" applyBorder="1" applyAlignment="1">
      <alignment horizontal="center" vertical="center" wrapText="1"/>
    </xf>
    <xf numFmtId="0" fontId="4" fillId="26" borderId="501" xfId="0" applyFont="1" applyFill="1" applyBorder="1" applyAlignment="1">
      <alignment horizontal="center" vertical="center" wrapText="1"/>
    </xf>
    <xf numFmtId="0" fontId="4" fillId="26" borderId="307" xfId="0" applyFont="1" applyFill="1" applyBorder="1" applyAlignment="1">
      <alignment horizontal="center" vertical="center" wrapText="1"/>
    </xf>
    <xf numFmtId="0" fontId="4" fillId="26" borderId="288" xfId="0" applyFont="1" applyFill="1" applyBorder="1" applyAlignment="1">
      <alignment horizontal="center" vertical="center" wrapText="1"/>
    </xf>
    <xf numFmtId="0" fontId="4" fillId="26" borderId="552" xfId="0" applyFont="1" applyFill="1" applyBorder="1" applyAlignment="1">
      <alignment horizontal="center" vertical="center" wrapText="1"/>
    </xf>
    <xf numFmtId="0" fontId="4" fillId="26" borderId="290" xfId="0" applyFont="1" applyFill="1" applyBorder="1" applyAlignment="1">
      <alignment horizontal="center" vertical="center" wrapText="1"/>
    </xf>
    <xf numFmtId="0" fontId="4" fillId="19" borderId="269" xfId="0" applyFont="1" applyFill="1" applyBorder="1" applyAlignment="1">
      <alignment horizontal="center" vertical="center" wrapText="1"/>
    </xf>
    <xf numFmtId="0" fontId="4" fillId="19" borderId="6" xfId="0" applyFont="1" applyFill="1" applyBorder="1" applyAlignment="1">
      <alignment horizontal="center" vertical="center" wrapText="1"/>
    </xf>
    <xf numFmtId="0" fontId="4" fillId="19" borderId="69" xfId="0" applyFont="1" applyFill="1" applyBorder="1" applyAlignment="1">
      <alignment horizontal="center" vertical="center" wrapText="1"/>
    </xf>
    <xf numFmtId="0" fontId="4" fillId="19" borderId="89" xfId="0" applyFont="1" applyFill="1" applyBorder="1" applyAlignment="1">
      <alignment horizontal="center" vertical="center" wrapText="1"/>
    </xf>
    <xf numFmtId="0" fontId="4" fillId="19" borderId="19" xfId="0" applyFont="1" applyFill="1" applyBorder="1" applyAlignment="1">
      <alignment horizontal="center" vertical="center" wrapText="1"/>
    </xf>
    <xf numFmtId="0" fontId="4" fillId="19" borderId="80" xfId="0" applyFont="1" applyFill="1" applyBorder="1" applyAlignment="1">
      <alignment horizontal="center" vertical="center" wrapText="1"/>
    </xf>
    <xf numFmtId="0" fontId="4" fillId="19" borderId="45" xfId="0" applyFont="1" applyFill="1" applyBorder="1" applyAlignment="1">
      <alignment horizontal="center" vertical="center" wrapText="1"/>
    </xf>
    <xf numFmtId="0" fontId="4" fillId="26" borderId="42" xfId="0" applyFont="1" applyFill="1" applyBorder="1" applyAlignment="1">
      <alignment horizontal="center" vertical="center" wrapText="1"/>
    </xf>
    <xf numFmtId="0" fontId="4" fillId="26" borderId="284" xfId="0" applyFont="1" applyFill="1" applyBorder="1" applyAlignment="1">
      <alignment horizontal="center" vertical="center" wrapText="1"/>
    </xf>
    <xf numFmtId="0" fontId="4" fillId="26" borderId="44" xfId="0" applyFont="1" applyFill="1" applyBorder="1" applyAlignment="1">
      <alignment horizontal="center" vertical="center" wrapText="1"/>
    </xf>
    <xf numFmtId="0" fontId="4" fillId="26" borderId="34" xfId="0" applyFont="1" applyFill="1" applyBorder="1" applyAlignment="1">
      <alignment horizontal="center" vertical="center" wrapText="1"/>
    </xf>
    <xf numFmtId="0" fontId="4" fillId="26" borderId="278" xfId="0" applyFont="1" applyFill="1" applyBorder="1" applyAlignment="1">
      <alignment horizontal="center" vertical="center" wrapText="1"/>
    </xf>
    <xf numFmtId="0" fontId="4" fillId="26" borderId="371" xfId="0" applyFont="1" applyFill="1" applyBorder="1" applyAlignment="1">
      <alignment horizontal="center" vertical="center" wrapText="1"/>
    </xf>
    <xf numFmtId="0" fontId="4" fillId="26" borderId="79" xfId="0" applyFont="1" applyFill="1" applyBorder="1" applyAlignment="1">
      <alignment horizontal="center" vertical="center" wrapText="1"/>
    </xf>
    <xf numFmtId="0" fontId="4" fillId="26" borderId="489" xfId="0" applyFont="1" applyFill="1" applyBorder="1" applyAlignment="1">
      <alignment horizontal="center" vertical="center" wrapText="1"/>
    </xf>
    <xf numFmtId="0" fontId="4" fillId="26" borderId="38" xfId="0" applyFont="1" applyFill="1" applyBorder="1" applyAlignment="1">
      <alignment horizontal="center" vertical="center" wrapText="1"/>
    </xf>
    <xf numFmtId="3" fontId="0" fillId="40" borderId="12" xfId="0" applyNumberFormat="1" applyFont="1" applyFill="1" applyBorder="1" applyAlignment="1">
      <alignment horizontal="center" vertical="center" wrapText="1"/>
    </xf>
    <xf numFmtId="3" fontId="0" fillId="40" borderId="3" xfId="0" applyNumberFormat="1" applyFont="1" applyFill="1" applyBorder="1" applyAlignment="1">
      <alignment horizontal="center" vertical="center" wrapText="1"/>
    </xf>
    <xf numFmtId="3" fontId="0" fillId="40" borderId="9" xfId="0" applyNumberFormat="1" applyFont="1" applyFill="1" applyBorder="1" applyAlignment="1">
      <alignment horizontal="center" vertical="center" wrapText="1"/>
    </xf>
    <xf numFmtId="0" fontId="1" fillId="0" borderId="538" xfId="0" applyFont="1" applyBorder="1" applyAlignment="1">
      <alignment horizontal="center" vertical="center" wrapText="1"/>
    </xf>
    <xf numFmtId="0" fontId="1" fillId="0" borderId="540" xfId="0" applyFont="1" applyBorder="1" applyAlignment="1">
      <alignment horizontal="center" vertical="center" wrapText="1"/>
    </xf>
    <xf numFmtId="0" fontId="37" fillId="0" borderId="70" xfId="0" applyFont="1" applyBorder="1" applyAlignment="1">
      <alignment horizontal="center" vertical="center"/>
    </xf>
    <xf numFmtId="0" fontId="37" fillId="0" borderId="22" xfId="0" applyFont="1" applyBorder="1" applyAlignment="1">
      <alignment horizontal="center" vertical="center"/>
    </xf>
    <xf numFmtId="0" fontId="37" fillId="0" borderId="37" xfId="0" applyFont="1" applyBorder="1" applyAlignment="1">
      <alignment horizontal="center" vertical="center"/>
    </xf>
    <xf numFmtId="0" fontId="4" fillId="0" borderId="89"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72" xfId="0" applyFont="1" applyBorder="1" applyAlignment="1">
      <alignment horizontal="center" vertical="center" wrapText="1"/>
    </xf>
    <xf numFmtId="187" fontId="0" fillId="0" borderId="12" xfId="0" applyNumberFormat="1" applyFill="1" applyBorder="1" applyAlignment="1">
      <alignment vertical="center" wrapText="1"/>
    </xf>
    <xf numFmtId="187" fontId="0" fillId="0" borderId="3" xfId="0" applyNumberFormat="1" applyFill="1" applyBorder="1" applyAlignment="1">
      <alignment vertical="center" wrapText="1"/>
    </xf>
    <xf numFmtId="187" fontId="0" fillId="0" borderId="9" xfId="0" applyNumberFormat="1" applyFill="1" applyBorder="1" applyAlignment="1">
      <alignment vertical="center" wrapText="1"/>
    </xf>
    <xf numFmtId="183" fontId="0" fillId="40" borderId="12" xfId="0" applyNumberFormat="1" applyFont="1" applyFill="1" applyBorder="1" applyAlignment="1">
      <alignment horizontal="right" vertical="center" wrapText="1" indent="1"/>
    </xf>
    <xf numFmtId="183" fontId="0" fillId="40" borderId="3" xfId="0" applyNumberFormat="1" applyFont="1" applyFill="1" applyBorder="1" applyAlignment="1">
      <alignment horizontal="right" vertical="center" wrapText="1" indent="1"/>
    </xf>
    <xf numFmtId="183" fontId="0" fillId="40" borderId="9" xfId="0" applyNumberFormat="1" applyFont="1" applyFill="1" applyBorder="1" applyAlignment="1">
      <alignment horizontal="right" vertical="center" wrapText="1" indent="1"/>
    </xf>
    <xf numFmtId="0" fontId="1" fillId="0" borderId="26" xfId="0" applyFont="1" applyFill="1" applyBorder="1" applyAlignment="1">
      <alignment horizontal="left" vertical="center" wrapText="1" indent="1"/>
    </xf>
    <xf numFmtId="0" fontId="1" fillId="0" borderId="23" xfId="0" applyFont="1" applyFill="1" applyBorder="1" applyAlignment="1">
      <alignment horizontal="left" vertical="center" wrapText="1" indent="1"/>
    </xf>
    <xf numFmtId="0" fontId="1" fillId="0" borderId="27" xfId="0" applyFont="1" applyFill="1" applyBorder="1" applyAlignment="1">
      <alignment horizontal="left" vertical="center" wrapText="1" indent="1"/>
    </xf>
    <xf numFmtId="187" fontId="0" fillId="0" borderId="24" xfId="0" applyNumberFormat="1" applyFill="1" applyBorder="1" applyAlignment="1">
      <alignment horizontal="center" vertical="center" wrapText="1"/>
    </xf>
    <xf numFmtId="187" fontId="0" fillId="0" borderId="9" xfId="0" applyNumberFormat="1" applyFill="1" applyBorder="1" applyAlignment="1">
      <alignment horizontal="center" vertical="center" wrapText="1"/>
    </xf>
    <xf numFmtId="187" fontId="0" fillId="0" borderId="7" xfId="0" applyNumberFormat="1" applyFill="1" applyBorder="1" applyAlignment="1">
      <alignment horizontal="center" vertical="center" wrapText="1"/>
    </xf>
    <xf numFmtId="187" fontId="0" fillId="0" borderId="12" xfId="0" applyNumberFormat="1" applyFill="1" applyBorder="1" applyAlignment="1">
      <alignment horizontal="center" vertical="center" wrapText="1"/>
    </xf>
    <xf numFmtId="0" fontId="1" fillId="0" borderId="542" xfId="0" applyFont="1" applyBorder="1" applyAlignment="1">
      <alignment horizontal="center" vertical="center" wrapText="1"/>
    </xf>
    <xf numFmtId="0" fontId="1" fillId="0" borderId="541" xfId="0" applyFont="1" applyBorder="1" applyAlignment="1">
      <alignment horizontal="center" vertical="center" wrapText="1"/>
    </xf>
    <xf numFmtId="0" fontId="1" fillId="38" borderId="540" xfId="0" applyFont="1" applyFill="1" applyBorder="1" applyAlignment="1">
      <alignment horizontal="center" vertical="center" wrapText="1"/>
    </xf>
    <xf numFmtId="0" fontId="1" fillId="38" borderId="7" xfId="0" applyFont="1" applyFill="1" applyBorder="1" applyAlignment="1">
      <alignment horizontal="center" vertical="center" wrapText="1"/>
    </xf>
    <xf numFmtId="2" fontId="0" fillId="29" borderId="121" xfId="0" applyNumberFormat="1" applyFill="1" applyBorder="1" applyAlignment="1">
      <alignment horizontal="right" vertical="center" wrapText="1" indent="1"/>
    </xf>
    <xf numFmtId="2" fontId="0" fillId="29" borderId="3" xfId="0" applyNumberFormat="1" applyFill="1" applyBorder="1" applyAlignment="1">
      <alignment horizontal="right" vertical="center" wrapText="1" indent="1"/>
    </xf>
    <xf numFmtId="2" fontId="0" fillId="29" borderId="7" xfId="0" applyNumberFormat="1" applyFill="1" applyBorder="1" applyAlignment="1">
      <alignment horizontal="right" vertical="center" wrapText="1" indent="1"/>
    </xf>
    <xf numFmtId="2" fontId="0" fillId="29" borderId="122" xfId="0" applyNumberFormat="1" applyFill="1" applyBorder="1" applyAlignment="1">
      <alignment horizontal="right" vertical="center" wrapText="1" indent="1"/>
    </xf>
    <xf numFmtId="2" fontId="0" fillId="29" borderId="44" xfId="0" applyNumberFormat="1" applyFill="1" applyBorder="1" applyAlignment="1">
      <alignment horizontal="right" vertical="center" wrapText="1" indent="1"/>
    </xf>
    <xf numFmtId="166" fontId="0" fillId="29" borderId="121" xfId="0" applyNumberFormat="1" applyFill="1" applyBorder="1" applyAlignment="1">
      <alignment horizontal="right" vertical="center" wrapText="1" indent="1"/>
    </xf>
    <xf numFmtId="166" fontId="0" fillId="29" borderId="3" xfId="0" applyNumberFormat="1" applyFill="1" applyBorder="1" applyAlignment="1">
      <alignment horizontal="right" vertical="center" wrapText="1" indent="1"/>
    </xf>
    <xf numFmtId="166" fontId="0" fillId="29" borderId="9" xfId="0" applyNumberFormat="1" applyFill="1" applyBorder="1" applyAlignment="1">
      <alignment horizontal="right" vertical="center" wrapText="1" indent="1"/>
    </xf>
    <xf numFmtId="0" fontId="4" fillId="38" borderId="23" xfId="0" applyFont="1" applyFill="1" applyBorder="1" applyAlignment="1">
      <alignment horizontal="center" vertical="center" wrapText="1"/>
    </xf>
    <xf numFmtId="0" fontId="4" fillId="38" borderId="114" xfId="0" applyFont="1" applyFill="1" applyBorder="1" applyAlignment="1">
      <alignment horizontal="center" vertical="center" wrapText="1"/>
    </xf>
    <xf numFmtId="0" fontId="4" fillId="38" borderId="34" xfId="0" applyFont="1" applyFill="1" applyBorder="1" applyAlignment="1">
      <alignment horizontal="center" vertical="center" wrapText="1"/>
    </xf>
    <xf numFmtId="166" fontId="0" fillId="40" borderId="12" xfId="0" applyNumberFormat="1" applyFont="1" applyFill="1" applyBorder="1" applyAlignment="1">
      <alignment horizontal="right" vertical="center" wrapText="1" indent="1"/>
    </xf>
    <xf numFmtId="166" fontId="0" fillId="40" borderId="3" xfId="0" applyNumberFormat="1" applyFont="1" applyFill="1" applyBorder="1" applyAlignment="1">
      <alignment horizontal="right" vertical="center" wrapText="1" indent="1"/>
    </xf>
    <xf numFmtId="166" fontId="0" fillId="40" borderId="9" xfId="0" applyNumberFormat="1" applyFont="1" applyFill="1" applyBorder="1" applyAlignment="1">
      <alignment horizontal="right" vertical="center" wrapText="1" indent="1"/>
    </xf>
    <xf numFmtId="2" fontId="0" fillId="40" borderId="12" xfId="0" applyNumberFormat="1" applyFont="1" applyFill="1" applyBorder="1" applyAlignment="1">
      <alignment horizontal="right" vertical="center" wrapText="1" indent="1"/>
    </xf>
    <xf numFmtId="2" fontId="0" fillId="40" borderId="3" xfId="0" applyNumberFormat="1" applyFont="1" applyFill="1" applyBorder="1" applyAlignment="1">
      <alignment horizontal="right" vertical="center" wrapText="1" indent="1"/>
    </xf>
    <xf numFmtId="2" fontId="0" fillId="40" borderId="9" xfId="0" applyNumberFormat="1" applyFont="1" applyFill="1" applyBorder="1" applyAlignment="1">
      <alignment horizontal="right" vertical="center" wrapText="1" indent="1"/>
    </xf>
    <xf numFmtId="171" fontId="0" fillId="40" borderId="12" xfId="0" applyNumberFormat="1" applyFont="1" applyFill="1" applyBorder="1" applyAlignment="1">
      <alignment horizontal="right" vertical="center" wrapText="1" indent="1"/>
    </xf>
    <xf numFmtId="171" fontId="0" fillId="40" borderId="3" xfId="0" applyNumberFormat="1" applyFont="1" applyFill="1" applyBorder="1" applyAlignment="1">
      <alignment horizontal="right" vertical="center" wrapText="1" indent="1"/>
    </xf>
    <xf numFmtId="171" fontId="0" fillId="40" borderId="9" xfId="0" applyNumberFormat="1" applyFont="1" applyFill="1" applyBorder="1" applyAlignment="1">
      <alignment horizontal="right" vertical="center" wrapText="1" indent="1"/>
    </xf>
    <xf numFmtId="183" fontId="4" fillId="19" borderId="293" xfId="0" applyNumberFormat="1" applyFont="1" applyFill="1" applyBorder="1" applyAlignment="1">
      <alignment horizontal="center" vertical="center" wrapText="1"/>
    </xf>
    <xf numFmtId="183" fontId="4" fillId="19" borderId="44" xfId="0" applyNumberFormat="1" applyFont="1" applyFill="1" applyBorder="1" applyAlignment="1">
      <alignment horizontal="center" vertical="center" wrapText="1"/>
    </xf>
    <xf numFmtId="183" fontId="48" fillId="19" borderId="118" xfId="0" applyNumberFormat="1" applyFont="1" applyFill="1" applyBorder="1" applyAlignment="1">
      <alignment horizontal="center" vertical="center" wrapText="1"/>
    </xf>
    <xf numFmtId="183" fontId="48" fillId="19" borderId="89" xfId="0" applyNumberFormat="1" applyFont="1" applyFill="1" applyBorder="1" applyAlignment="1">
      <alignment horizontal="center" vertical="center" wrapText="1"/>
    </xf>
    <xf numFmtId="0" fontId="4" fillId="20" borderId="38"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1" fillId="39" borderId="232" xfId="0" applyFont="1" applyFill="1" applyBorder="1" applyAlignment="1">
      <alignment horizontal="center" vertical="center" wrapText="1"/>
    </xf>
    <xf numFmtId="0" fontId="1" fillId="39" borderId="3" xfId="0" applyFont="1" applyFill="1" applyBorder="1" applyAlignment="1">
      <alignment horizontal="center" vertical="center" wrapText="1"/>
    </xf>
    <xf numFmtId="0" fontId="1" fillId="39" borderId="7" xfId="0" applyFont="1" applyFill="1" applyBorder="1" applyAlignment="1">
      <alignment horizontal="center" vertical="center" wrapText="1"/>
    </xf>
    <xf numFmtId="0" fontId="4" fillId="38" borderId="7" xfId="0" applyFont="1" applyFill="1" applyBorder="1" applyAlignment="1">
      <alignment horizontal="center" vertical="center" wrapText="1"/>
    </xf>
    <xf numFmtId="0" fontId="4" fillId="38" borderId="44" xfId="0" applyFont="1" applyFill="1" applyBorder="1" applyAlignment="1">
      <alignment horizontal="center" vertical="center" wrapText="1"/>
    </xf>
    <xf numFmtId="183" fontId="9" fillId="34" borderId="73" xfId="0" applyNumberFormat="1" applyFont="1" applyFill="1" applyBorder="1" applyAlignment="1">
      <alignment horizontal="center" vertical="center" wrapText="1"/>
    </xf>
    <xf numFmtId="183" fontId="9" fillId="34" borderId="48" xfId="0" applyNumberFormat="1" applyFont="1" applyFill="1" applyBorder="1" applyAlignment="1">
      <alignment horizontal="center" vertical="center" wrapText="1"/>
    </xf>
    <xf numFmtId="183" fontId="9" fillId="34" borderId="66" xfId="0" applyNumberFormat="1" applyFont="1" applyFill="1" applyBorder="1" applyAlignment="1">
      <alignment horizontal="center" vertical="center" wrapText="1"/>
    </xf>
    <xf numFmtId="2" fontId="37" fillId="29" borderId="40" xfId="0" applyNumberFormat="1" applyFont="1" applyFill="1" applyBorder="1" applyAlignment="1">
      <alignment horizontal="center" vertical="center" wrapText="1"/>
    </xf>
    <xf numFmtId="2" fontId="37" fillId="29" borderId="38" xfId="0" applyNumberFormat="1" applyFont="1" applyFill="1" applyBorder="1" applyAlignment="1">
      <alignment horizontal="center" vertical="center" wrapText="1"/>
    </xf>
    <xf numFmtId="2" fontId="37" fillId="29" borderId="41" xfId="0" applyNumberFormat="1" applyFont="1" applyFill="1" applyBorder="1" applyAlignment="1">
      <alignment horizontal="center" vertical="center" wrapText="1"/>
    </xf>
    <xf numFmtId="183" fontId="4" fillId="29" borderId="40" xfId="0" applyNumberFormat="1" applyFont="1" applyFill="1" applyBorder="1" applyAlignment="1">
      <alignment horizontal="left" vertical="center" wrapText="1" indent="1"/>
    </xf>
    <xf numFmtId="183" fontId="32" fillId="29" borderId="38" xfId="0" applyNumberFormat="1" applyFont="1" applyFill="1" applyBorder="1" applyAlignment="1">
      <alignment horizontal="left" vertical="center" wrapText="1" indent="1"/>
    </xf>
    <xf numFmtId="183" fontId="32" fillId="29" borderId="41" xfId="0" applyNumberFormat="1" applyFont="1" applyFill="1" applyBorder="1" applyAlignment="1">
      <alignment horizontal="left" vertical="center" wrapText="1" indent="1"/>
    </xf>
    <xf numFmtId="183" fontId="4" fillId="30" borderId="52" xfId="0" applyNumberFormat="1" applyFont="1" applyFill="1" applyBorder="1" applyAlignment="1">
      <alignment horizontal="center" vertical="center" wrapText="1"/>
    </xf>
    <xf numFmtId="183" fontId="4" fillId="30" borderId="23" xfId="0" applyNumberFormat="1" applyFont="1" applyFill="1" applyBorder="1" applyAlignment="1">
      <alignment horizontal="center" vertical="center" wrapText="1"/>
    </xf>
    <xf numFmtId="183" fontId="4" fillId="30" borderId="34" xfId="0" applyNumberFormat="1" applyFont="1" applyFill="1" applyBorder="1" applyAlignment="1">
      <alignment horizontal="center" vertical="center" wrapText="1"/>
    </xf>
    <xf numFmtId="0" fontId="4" fillId="33" borderId="73" xfId="0" applyFont="1" applyFill="1" applyBorder="1" applyAlignment="1">
      <alignment horizontal="center" vertical="center" wrapText="1"/>
    </xf>
    <xf numFmtId="0" fontId="4" fillId="33" borderId="48" xfId="0" applyFont="1" applyFill="1" applyBorder="1" applyAlignment="1">
      <alignment horizontal="center" vertical="center" wrapText="1"/>
    </xf>
    <xf numFmtId="0" fontId="4" fillId="33" borderId="66" xfId="0" applyFont="1" applyFill="1" applyBorder="1" applyAlignment="1">
      <alignment horizontal="center" vertical="center" wrapText="1"/>
    </xf>
    <xf numFmtId="0" fontId="4" fillId="38" borderId="38" xfId="0" applyFont="1" applyFill="1" applyBorder="1" applyAlignment="1">
      <alignment horizontal="center" vertical="center" wrapText="1"/>
    </xf>
    <xf numFmtId="0" fontId="4" fillId="20" borderId="306" xfId="0" applyFont="1" applyFill="1" applyBorder="1" applyAlignment="1">
      <alignment horizontal="center" vertical="center" wrapText="1"/>
    </xf>
    <xf numFmtId="0" fontId="4" fillId="20" borderId="3" xfId="0" applyFont="1" applyFill="1" applyBorder="1" applyAlignment="1">
      <alignment horizontal="center" vertical="center" wrapText="1"/>
    </xf>
    <xf numFmtId="0" fontId="4" fillId="20" borderId="7" xfId="0" applyFont="1" applyFill="1" applyBorder="1" applyAlignment="1">
      <alignment horizontal="center" vertical="center" wrapText="1"/>
    </xf>
    <xf numFmtId="0" fontId="4" fillId="39" borderId="23" xfId="0" applyFont="1" applyFill="1" applyBorder="1" applyAlignment="1">
      <alignment horizontal="center" vertical="center" wrapText="1"/>
    </xf>
    <xf numFmtId="0" fontId="4" fillId="39" borderId="114" xfId="0" applyFont="1" applyFill="1" applyBorder="1" applyAlignment="1">
      <alignment horizontal="center" vertical="center" wrapText="1"/>
    </xf>
    <xf numFmtId="0" fontId="4" fillId="39" borderId="34" xfId="0" applyFont="1" applyFill="1" applyBorder="1" applyAlignment="1">
      <alignment horizontal="center" vertical="center" wrapText="1"/>
    </xf>
    <xf numFmtId="3" fontId="0" fillId="40" borderId="232" xfId="0" applyNumberFormat="1" applyFill="1" applyBorder="1" applyAlignment="1">
      <alignment horizontal="right" vertical="center" indent="1"/>
    </xf>
    <xf numFmtId="3" fontId="0" fillId="40" borderId="3" xfId="0" applyNumberFormat="1" applyFill="1" applyBorder="1" applyAlignment="1">
      <alignment horizontal="right" vertical="center" indent="1"/>
    </xf>
    <xf numFmtId="3" fontId="0" fillId="40" borderId="7" xfId="0" applyNumberFormat="1" applyFill="1" applyBorder="1" applyAlignment="1">
      <alignment horizontal="right" vertical="center" indent="1"/>
    </xf>
    <xf numFmtId="166" fontId="0" fillId="40" borderId="232" xfId="0" applyNumberFormat="1" applyFill="1" applyBorder="1" applyAlignment="1">
      <alignment horizontal="right" vertical="center" indent="1"/>
    </xf>
    <xf numFmtId="166" fontId="0" fillId="40" borderId="3" xfId="0" applyNumberFormat="1" applyFill="1" applyBorder="1" applyAlignment="1">
      <alignment horizontal="right" vertical="center" indent="1"/>
    </xf>
    <xf numFmtId="166" fontId="0" fillId="40" borderId="7" xfId="0" applyNumberFormat="1" applyFill="1" applyBorder="1" applyAlignment="1">
      <alignment horizontal="right" vertical="center" indent="1"/>
    </xf>
    <xf numFmtId="2" fontId="0" fillId="40" borderId="232" xfId="0" applyNumberFormat="1" applyFill="1" applyBorder="1" applyAlignment="1">
      <alignment horizontal="right" vertical="center" indent="1"/>
    </xf>
    <xf numFmtId="2" fontId="0" fillId="40" borderId="3" xfId="0" applyNumberFormat="1" applyFill="1" applyBorder="1" applyAlignment="1">
      <alignment horizontal="right" vertical="center" indent="1"/>
    </xf>
    <xf numFmtId="2" fontId="0" fillId="40" borderId="7" xfId="0" applyNumberFormat="1" applyFill="1" applyBorder="1" applyAlignment="1">
      <alignment horizontal="right" vertical="center" indent="1"/>
    </xf>
    <xf numFmtId="2" fontId="48" fillId="40" borderId="233" xfId="0" applyNumberFormat="1" applyFont="1" applyFill="1" applyBorder="1" applyAlignment="1">
      <alignment horizontal="right" vertical="center" indent="1"/>
    </xf>
    <xf numFmtId="2" fontId="48" fillId="40" borderId="31" xfId="0" applyNumberFormat="1" applyFont="1" applyFill="1" applyBorder="1" applyAlignment="1">
      <alignment horizontal="right" vertical="center" indent="1"/>
    </xf>
    <xf numFmtId="2" fontId="48" fillId="40" borderId="44" xfId="0" applyNumberFormat="1" applyFont="1" applyFill="1" applyBorder="1" applyAlignment="1">
      <alignment horizontal="right" vertical="center" indent="1"/>
    </xf>
    <xf numFmtId="2" fontId="0" fillId="29" borderId="36" xfId="0" applyNumberFormat="1" applyFill="1" applyBorder="1" applyAlignment="1">
      <alignment horizontal="right" vertical="center" wrapText="1" indent="1"/>
    </xf>
    <xf numFmtId="0" fontId="0" fillId="0" borderId="35" xfId="0" applyBorder="1" applyAlignment="1">
      <alignment horizontal="right" indent="1"/>
    </xf>
    <xf numFmtId="3" fontId="0" fillId="29" borderId="12" xfId="0" applyNumberFormat="1" applyFill="1" applyBorder="1" applyAlignment="1">
      <alignment horizontal="right" vertical="center" wrapText="1" indent="1"/>
    </xf>
    <xf numFmtId="3" fontId="0" fillId="29" borderId="3" xfId="0" applyNumberFormat="1" applyFill="1" applyBorder="1" applyAlignment="1">
      <alignment horizontal="right" vertical="center" wrapText="1" indent="1"/>
    </xf>
    <xf numFmtId="3" fontId="0" fillId="29" borderId="9" xfId="0" applyNumberFormat="1" applyFill="1" applyBorder="1" applyAlignment="1">
      <alignment horizontal="right" vertical="center" wrapText="1" indent="1"/>
    </xf>
    <xf numFmtId="166" fontId="0" fillId="29" borderId="12" xfId="0" applyNumberFormat="1" applyFill="1" applyBorder="1" applyAlignment="1">
      <alignment horizontal="right" vertical="center" wrapText="1" indent="1"/>
    </xf>
    <xf numFmtId="2" fontId="0" fillId="29" borderId="12" xfId="0" applyNumberFormat="1" applyFill="1" applyBorder="1" applyAlignment="1">
      <alignment horizontal="right" vertical="center" wrapText="1" indent="1"/>
    </xf>
    <xf numFmtId="2" fontId="0" fillId="29" borderId="9" xfId="0" applyNumberFormat="1" applyFill="1" applyBorder="1" applyAlignment="1">
      <alignment horizontal="right" vertical="center" wrapText="1" indent="1"/>
    </xf>
    <xf numFmtId="4" fontId="0" fillId="29" borderId="36" xfId="0" applyNumberFormat="1" applyFill="1" applyBorder="1" applyAlignment="1">
      <alignment horizontal="right" vertical="center" wrapText="1" indent="1"/>
    </xf>
    <xf numFmtId="4" fontId="0" fillId="29" borderId="31" xfId="0" applyNumberFormat="1" applyFill="1" applyBorder="1" applyAlignment="1">
      <alignment horizontal="right" vertical="center" wrapText="1" indent="1"/>
    </xf>
    <xf numFmtId="4" fontId="0" fillId="29" borderId="35" xfId="0" applyNumberFormat="1" applyFill="1" applyBorder="1" applyAlignment="1">
      <alignment horizontal="right" vertical="center" wrapText="1" indent="1"/>
    </xf>
    <xf numFmtId="2" fontId="0" fillId="29" borderId="31" xfId="0" applyNumberFormat="1" applyFill="1" applyBorder="1" applyAlignment="1">
      <alignment horizontal="right" vertical="center" wrapText="1" indent="1"/>
    </xf>
    <xf numFmtId="2" fontId="0" fillId="29" borderId="35" xfId="0" applyNumberFormat="1" applyFill="1" applyBorder="1" applyAlignment="1">
      <alignment horizontal="right" vertical="center" wrapText="1" indent="1"/>
    </xf>
    <xf numFmtId="2" fontId="0" fillId="29" borderId="319" xfId="0" applyNumberFormat="1" applyFill="1" applyBorder="1" applyAlignment="1">
      <alignment horizontal="right" vertical="center" wrapText="1" indent="1"/>
    </xf>
    <xf numFmtId="3" fontId="0" fillId="29" borderId="121" xfId="0" applyNumberFormat="1" applyFill="1" applyBorder="1" applyAlignment="1">
      <alignment horizontal="right" vertical="center" wrapText="1" indent="1"/>
    </xf>
    <xf numFmtId="3" fontId="0" fillId="29" borderId="7" xfId="0" applyNumberFormat="1" applyFill="1" applyBorder="1" applyAlignment="1">
      <alignment horizontal="right" vertical="center" wrapText="1" indent="1"/>
    </xf>
    <xf numFmtId="166" fontId="0" fillId="29" borderId="7" xfId="0" applyNumberFormat="1" applyFill="1" applyBorder="1" applyAlignment="1">
      <alignment horizontal="right" vertical="center" wrapText="1" indent="1"/>
    </xf>
    <xf numFmtId="3" fontId="0" fillId="40" borderId="23" xfId="0" applyNumberFormat="1" applyFill="1" applyBorder="1" applyAlignment="1">
      <alignment horizontal="right" vertical="center" indent="1"/>
    </xf>
    <xf numFmtId="3" fontId="0" fillId="40" borderId="27" xfId="0" applyNumberFormat="1" applyFill="1" applyBorder="1" applyAlignment="1">
      <alignment horizontal="right" vertical="center" indent="1"/>
    </xf>
    <xf numFmtId="166" fontId="0" fillId="0" borderId="122" xfId="0" applyNumberFormat="1" applyFill="1" applyBorder="1" applyAlignment="1">
      <alignment horizontal="right" vertical="center" wrapText="1" indent="1"/>
    </xf>
    <xf numFmtId="166" fontId="0" fillId="0" borderId="31" xfId="0" applyNumberFormat="1" applyFill="1" applyBorder="1" applyAlignment="1">
      <alignment horizontal="right" vertical="center" wrapText="1" indent="1"/>
    </xf>
    <xf numFmtId="166" fontId="0" fillId="0" borderId="35" xfId="0" applyNumberFormat="1" applyFill="1" applyBorder="1" applyAlignment="1">
      <alignment horizontal="right" vertical="center" wrapText="1" indent="1"/>
    </xf>
    <xf numFmtId="166" fontId="0" fillId="0" borderId="219" xfId="0" applyNumberFormat="1" applyFill="1" applyBorder="1" applyAlignment="1">
      <alignment horizontal="right" vertical="center" wrapText="1" indent="1"/>
    </xf>
    <xf numFmtId="166" fontId="0" fillId="0" borderId="3" xfId="0" applyNumberFormat="1" applyFill="1" applyBorder="1" applyAlignment="1">
      <alignment horizontal="right" vertical="center" wrapText="1" indent="1"/>
    </xf>
    <xf numFmtId="166" fontId="0" fillId="0" borderId="9" xfId="0" applyNumberFormat="1" applyFill="1" applyBorder="1" applyAlignment="1">
      <alignment horizontal="right" vertical="center" wrapText="1" indent="1"/>
    </xf>
    <xf numFmtId="3" fontId="0" fillId="40" borderId="12" xfId="0" applyNumberFormat="1" applyFill="1" applyBorder="1" applyAlignment="1">
      <alignment horizontal="right" vertical="center" indent="1"/>
    </xf>
    <xf numFmtId="166" fontId="0" fillId="0" borderId="36" xfId="0" applyNumberFormat="1" applyFill="1" applyBorder="1" applyAlignment="1">
      <alignment horizontal="right" vertical="center" wrapText="1" indent="1"/>
    </xf>
    <xf numFmtId="166" fontId="0" fillId="0" borderId="44" xfId="0" applyNumberFormat="1" applyFill="1" applyBorder="1" applyAlignment="1">
      <alignment horizontal="right" vertical="center" wrapText="1" indent="1"/>
    </xf>
    <xf numFmtId="166" fontId="0" fillId="40" borderId="23" xfId="0" applyNumberFormat="1" applyFill="1" applyBorder="1" applyAlignment="1">
      <alignment horizontal="right" vertical="center" indent="1"/>
    </xf>
    <xf numFmtId="166" fontId="0" fillId="40" borderId="27" xfId="0" applyNumberFormat="1" applyFill="1" applyBorder="1" applyAlignment="1">
      <alignment horizontal="right" vertical="center" indent="1"/>
    </xf>
    <xf numFmtId="2" fontId="0" fillId="40" borderId="23" xfId="0" applyNumberFormat="1" applyFill="1" applyBorder="1" applyAlignment="1">
      <alignment horizontal="right" vertical="center" indent="1"/>
    </xf>
    <xf numFmtId="2" fontId="0" fillId="40" borderId="27" xfId="0" applyNumberFormat="1" applyFill="1" applyBorder="1" applyAlignment="1">
      <alignment horizontal="right" vertical="center" indent="1"/>
    </xf>
    <xf numFmtId="183" fontId="37" fillId="40" borderId="51" xfId="0" applyNumberFormat="1" applyFont="1" applyFill="1" applyBorder="1" applyAlignment="1">
      <alignment horizontal="left" vertical="center" wrapText="1" indent="1"/>
    </xf>
    <xf numFmtId="0" fontId="37" fillId="40" borderId="52" xfId="0" applyFont="1" applyFill="1" applyBorder="1" applyAlignment="1">
      <alignment horizontal="left" vertical="center" wrapText="1" indent="1"/>
    </xf>
    <xf numFmtId="183" fontId="37" fillId="40" borderId="52" xfId="0" applyNumberFormat="1" applyFont="1" applyFill="1" applyBorder="1" applyAlignment="1">
      <alignment horizontal="left" vertical="center" wrapText="1" indent="1"/>
    </xf>
    <xf numFmtId="0" fontId="37" fillId="40" borderId="104" xfId="0" applyFont="1" applyFill="1" applyBorder="1" applyAlignment="1">
      <alignment horizontal="left" vertical="center" wrapText="1" indent="1"/>
    </xf>
    <xf numFmtId="171" fontId="0" fillId="40" borderId="23" xfId="0" applyNumberFormat="1" applyFill="1" applyBorder="1" applyAlignment="1">
      <alignment horizontal="right" vertical="center" indent="1"/>
    </xf>
    <xf numFmtId="171" fontId="0" fillId="40" borderId="219" xfId="0" applyNumberFormat="1" applyFill="1" applyBorder="1" applyAlignment="1">
      <alignment horizontal="right" vertical="center" indent="1"/>
    </xf>
    <xf numFmtId="3" fontId="0" fillId="40" borderId="219" xfId="0" applyNumberFormat="1" applyFill="1" applyBorder="1" applyAlignment="1">
      <alignment horizontal="right" vertical="center" indent="1"/>
    </xf>
    <xf numFmtId="166" fontId="0" fillId="40" borderId="302" xfId="0" applyNumberFormat="1" applyFill="1" applyBorder="1" applyAlignment="1">
      <alignment horizontal="right" vertical="center" indent="1"/>
    </xf>
    <xf numFmtId="2" fontId="0" fillId="40" borderId="302" xfId="0" applyNumberFormat="1" applyFill="1" applyBorder="1" applyAlignment="1">
      <alignment horizontal="right" vertical="center" indent="1"/>
    </xf>
    <xf numFmtId="171" fontId="0" fillId="40" borderId="27" xfId="0" applyNumberFormat="1" applyFill="1" applyBorder="1" applyAlignment="1">
      <alignment horizontal="right" vertical="center" indent="1"/>
    </xf>
    <xf numFmtId="3" fontId="0" fillId="40" borderId="9" xfId="0" applyNumberFormat="1" applyFill="1" applyBorder="1" applyAlignment="1">
      <alignment horizontal="right" vertical="center" indent="1"/>
    </xf>
    <xf numFmtId="0" fontId="0" fillId="15" borderId="34" xfId="0" applyFill="1" applyBorder="1" applyAlignment="1">
      <alignment horizontal="right" vertical="center" indent="1"/>
    </xf>
    <xf numFmtId="0" fontId="0" fillId="15" borderId="310" xfId="0" applyFill="1" applyBorder="1" applyAlignment="1">
      <alignment horizontal="right" vertical="center" indent="1"/>
    </xf>
    <xf numFmtId="171" fontId="0" fillId="15" borderId="23" xfId="0" applyNumberFormat="1" applyFill="1" applyBorder="1" applyAlignment="1">
      <alignment horizontal="right" vertical="center" indent="1"/>
    </xf>
    <xf numFmtId="171" fontId="0" fillId="15" borderId="27" xfId="0" applyNumberFormat="1" applyFill="1" applyBorder="1" applyAlignment="1">
      <alignment horizontal="right" vertical="center" indent="1"/>
    </xf>
    <xf numFmtId="183" fontId="37" fillId="15" borderId="52" xfId="0" applyNumberFormat="1" applyFont="1" applyFill="1" applyBorder="1" applyAlignment="1">
      <alignment horizontal="left" vertical="center" wrapText="1" indent="2"/>
    </xf>
    <xf numFmtId="0" fontId="37" fillId="15" borderId="53" xfId="0" applyFont="1" applyFill="1" applyBorder="1" applyAlignment="1">
      <alignment horizontal="left" vertical="center" wrapText="1" indent="2"/>
    </xf>
    <xf numFmtId="183" fontId="37" fillId="15" borderId="51" xfId="0" applyNumberFormat="1" applyFont="1" applyFill="1" applyBorder="1" applyAlignment="1">
      <alignment horizontal="left" vertical="center" wrapText="1" indent="2"/>
    </xf>
    <xf numFmtId="0" fontId="37" fillId="15" borderId="52" xfId="0" applyFont="1" applyFill="1" applyBorder="1" applyAlignment="1">
      <alignment horizontal="left" vertical="center" wrapText="1" indent="2"/>
    </xf>
    <xf numFmtId="0" fontId="0" fillId="15" borderId="26" xfId="0" applyFill="1" applyBorder="1" applyAlignment="1">
      <alignment horizontal="right" vertical="center" indent="1"/>
    </xf>
    <xf numFmtId="0" fontId="0" fillId="15" borderId="23" xfId="0" applyFill="1" applyBorder="1" applyAlignment="1">
      <alignment horizontal="right" vertical="center" indent="1"/>
    </xf>
    <xf numFmtId="166" fontId="0" fillId="0" borderId="12" xfId="0" applyNumberFormat="1" applyFill="1" applyBorder="1" applyAlignment="1">
      <alignment horizontal="right" vertical="center" wrapText="1" indent="1"/>
    </xf>
    <xf numFmtId="166" fontId="0" fillId="0" borderId="7" xfId="0" applyNumberFormat="1" applyFill="1" applyBorder="1" applyAlignment="1">
      <alignment horizontal="right" vertical="center" wrapText="1" indent="1"/>
    </xf>
    <xf numFmtId="0" fontId="37" fillId="40" borderId="309" xfId="0" applyFont="1" applyFill="1" applyBorder="1" applyAlignment="1">
      <alignment horizontal="left" vertical="center" wrapText="1" indent="1"/>
    </xf>
    <xf numFmtId="0" fontId="0" fillId="0" borderId="219" xfId="0" applyFont="1" applyFill="1" applyBorder="1" applyAlignment="1">
      <alignment horizontal="center" vertical="center" wrapText="1"/>
    </xf>
    <xf numFmtId="0" fontId="1" fillId="0" borderId="219" xfId="0" applyFont="1" applyFill="1" applyBorder="1" applyAlignment="1">
      <alignment horizontal="center" vertical="center" wrapText="1"/>
    </xf>
    <xf numFmtId="0" fontId="1" fillId="0" borderId="306" xfId="0" applyFont="1" applyFill="1" applyBorder="1" applyAlignment="1">
      <alignment horizontal="center" vertical="center" wrapText="1"/>
    </xf>
    <xf numFmtId="166" fontId="0" fillId="0" borderId="217" xfId="0" applyNumberFormat="1" applyFill="1" applyBorder="1" applyAlignment="1">
      <alignment horizontal="right" vertical="center" wrapText="1" indent="1"/>
    </xf>
    <xf numFmtId="166" fontId="0" fillId="0" borderId="15" xfId="0" applyNumberFormat="1" applyFill="1" applyBorder="1" applyAlignment="1">
      <alignment horizontal="right" vertical="center" wrapText="1" indent="1"/>
    </xf>
    <xf numFmtId="171" fontId="0" fillId="40" borderId="302" xfId="0" applyNumberFormat="1" applyFill="1" applyBorder="1" applyAlignment="1">
      <alignment horizontal="right" vertical="center" indent="1"/>
    </xf>
    <xf numFmtId="171" fontId="0" fillId="40" borderId="26" xfId="0" applyNumberFormat="1" applyFill="1" applyBorder="1" applyAlignment="1">
      <alignment horizontal="right" vertical="center" indent="1"/>
    </xf>
    <xf numFmtId="0" fontId="0" fillId="15" borderId="302" xfId="0" applyFill="1" applyBorder="1" applyAlignment="1">
      <alignment horizontal="right" vertical="center" indent="1"/>
    </xf>
    <xf numFmtId="171" fontId="0" fillId="15" borderId="34" xfId="0" applyNumberFormat="1" applyFill="1" applyBorder="1" applyAlignment="1">
      <alignment horizontal="right" vertical="center" indent="1"/>
    </xf>
    <xf numFmtId="171" fontId="0" fillId="15" borderId="60" xfId="0" applyNumberFormat="1" applyFill="1" applyBorder="1" applyAlignment="1">
      <alignment horizontal="right" vertical="center" indent="1"/>
    </xf>
    <xf numFmtId="0" fontId="37" fillId="40" borderId="53" xfId="0" applyFont="1" applyFill="1" applyBorder="1" applyAlignment="1">
      <alignment horizontal="left" vertical="center" wrapText="1" indent="1"/>
    </xf>
    <xf numFmtId="171" fontId="0" fillId="40" borderId="232" xfId="0" applyNumberFormat="1" applyFill="1" applyBorder="1" applyAlignment="1">
      <alignment horizontal="right" vertical="center" indent="1"/>
    </xf>
    <xf numFmtId="171" fontId="0" fillId="40" borderId="3" xfId="0" applyNumberFormat="1" applyFill="1" applyBorder="1" applyAlignment="1">
      <alignment horizontal="right" vertical="center" indent="1"/>
    </xf>
    <xf numFmtId="171" fontId="0" fillId="40" borderId="7" xfId="0" applyNumberFormat="1" applyFill="1" applyBorder="1" applyAlignment="1">
      <alignment horizontal="right" vertical="center" indent="1"/>
    </xf>
    <xf numFmtId="0" fontId="0" fillId="15" borderId="33" xfId="0" applyFill="1" applyBorder="1" applyAlignment="1">
      <alignment horizontal="right" vertical="center" indent="1"/>
    </xf>
    <xf numFmtId="3" fontId="0" fillId="40" borderId="302" xfId="0" applyNumberFormat="1" applyFill="1" applyBorder="1" applyAlignment="1">
      <alignment horizontal="right" vertical="center" indent="1"/>
    </xf>
    <xf numFmtId="3" fontId="0" fillId="40" borderId="26" xfId="0" applyNumberFormat="1" applyFill="1" applyBorder="1" applyAlignment="1">
      <alignment horizontal="right" vertical="center" indent="1"/>
    </xf>
    <xf numFmtId="166" fontId="0" fillId="40" borderId="26" xfId="0" applyNumberFormat="1" applyFill="1" applyBorder="1" applyAlignment="1">
      <alignment horizontal="right" vertical="center" indent="1"/>
    </xf>
    <xf numFmtId="2" fontId="0" fillId="40" borderId="26" xfId="0" applyNumberFormat="1" applyFill="1" applyBorder="1" applyAlignment="1">
      <alignment horizontal="right" vertical="center" indent="1"/>
    </xf>
    <xf numFmtId="166" fontId="0" fillId="40" borderId="219" xfId="0" applyNumberFormat="1" applyFill="1" applyBorder="1" applyAlignment="1">
      <alignment horizontal="right" vertical="center" indent="1"/>
    </xf>
    <xf numFmtId="2" fontId="0" fillId="40" borderId="219" xfId="0" applyNumberFormat="1" applyFill="1" applyBorder="1" applyAlignment="1">
      <alignment horizontal="right" vertical="center" indent="1"/>
    </xf>
    <xf numFmtId="2" fontId="48" fillId="40" borderId="34" xfId="0" applyNumberFormat="1" applyFont="1" applyFill="1" applyBorder="1" applyAlignment="1">
      <alignment horizontal="right" vertical="center" indent="1"/>
    </xf>
    <xf numFmtId="2" fontId="48" fillId="40" borderId="60" xfId="0" applyNumberFormat="1" applyFont="1" applyFill="1" applyBorder="1" applyAlignment="1">
      <alignment horizontal="right" vertical="center" indent="1"/>
    </xf>
    <xf numFmtId="2" fontId="48" fillId="40" borderId="33" xfId="0" applyNumberFormat="1" applyFont="1" applyFill="1" applyBorder="1" applyAlignment="1">
      <alignment horizontal="right" vertical="center" indent="1"/>
    </xf>
    <xf numFmtId="2" fontId="48" fillId="40" borderId="310" xfId="0" applyNumberFormat="1" applyFont="1" applyFill="1" applyBorder="1" applyAlignment="1">
      <alignment horizontal="right" vertical="center" indent="1"/>
    </xf>
    <xf numFmtId="2" fontId="37" fillId="29" borderId="52" xfId="0" applyNumberFormat="1" applyFont="1" applyFill="1" applyBorder="1" applyAlignment="1">
      <alignment horizontal="left" vertical="center" wrapText="1" indent="1"/>
    </xf>
    <xf numFmtId="0" fontId="37" fillId="29" borderId="52" xfId="0" applyFont="1" applyFill="1" applyBorder="1" applyAlignment="1">
      <alignment horizontal="left" vertical="center" wrapText="1" indent="1"/>
    </xf>
    <xf numFmtId="0" fontId="37" fillId="29" borderId="104" xfId="0" applyFont="1" applyFill="1" applyBorder="1" applyAlignment="1">
      <alignment horizontal="left" vertical="center" wrapText="1" indent="1"/>
    </xf>
    <xf numFmtId="181" fontId="0" fillId="29" borderId="23" xfId="0" applyNumberFormat="1" applyFill="1" applyBorder="1" applyAlignment="1">
      <alignment horizontal="right" vertical="center" indent="1"/>
    </xf>
    <xf numFmtId="181" fontId="0" fillId="29" borderId="219" xfId="0" applyNumberFormat="1" applyFill="1" applyBorder="1" applyAlignment="1">
      <alignment horizontal="right" vertical="center" indent="1"/>
    </xf>
    <xf numFmtId="0" fontId="37" fillId="15" borderId="104" xfId="0" applyFont="1" applyFill="1" applyBorder="1" applyAlignment="1">
      <alignment horizontal="left" vertical="center" wrapText="1" indent="2"/>
    </xf>
    <xf numFmtId="0" fontId="0" fillId="15" borderId="219" xfId="0" applyFill="1" applyBorder="1" applyAlignment="1">
      <alignment horizontal="right" vertical="center" indent="1"/>
    </xf>
    <xf numFmtId="0" fontId="0" fillId="15" borderId="122" xfId="0" applyFill="1" applyBorder="1" applyAlignment="1">
      <alignment horizontal="right" vertical="center" indent="1"/>
    </xf>
    <xf numFmtId="166" fontId="0" fillId="29" borderId="23" xfId="0" applyNumberFormat="1" applyFill="1" applyBorder="1" applyAlignment="1">
      <alignment horizontal="right" vertical="center" indent="1"/>
    </xf>
    <xf numFmtId="166" fontId="0" fillId="29" borderId="27" xfId="0" applyNumberFormat="1" applyFill="1" applyBorder="1" applyAlignment="1">
      <alignment horizontal="right" vertical="center" indent="1"/>
    </xf>
    <xf numFmtId="2" fontId="0" fillId="29" borderId="23" xfId="0" applyNumberFormat="1" applyFill="1" applyBorder="1" applyAlignment="1">
      <alignment horizontal="right" vertical="center" indent="1"/>
    </xf>
    <xf numFmtId="2" fontId="0" fillId="29" borderId="27" xfId="0" applyNumberFormat="1" applyFill="1" applyBorder="1" applyAlignment="1">
      <alignment horizontal="right" vertical="center" indent="1"/>
    </xf>
    <xf numFmtId="171" fontId="0" fillId="29" borderId="34" xfId="0" applyNumberFormat="1" applyFill="1" applyBorder="1" applyAlignment="1">
      <alignment horizontal="right" vertical="center" indent="1"/>
    </xf>
    <xf numFmtId="171" fontId="0" fillId="29" borderId="60" xfId="0" applyNumberFormat="1" applyFill="1" applyBorder="1" applyAlignment="1">
      <alignment horizontal="right" vertical="center" indent="1"/>
    </xf>
    <xf numFmtId="166" fontId="0" fillId="29" borderId="26" xfId="0" applyNumberFormat="1" applyFill="1" applyBorder="1" applyAlignment="1">
      <alignment horizontal="right" vertical="center" indent="1"/>
    </xf>
    <xf numFmtId="2" fontId="0" fillId="29" borderId="26" xfId="0" applyNumberFormat="1" applyFill="1" applyBorder="1" applyAlignment="1">
      <alignment horizontal="right" vertical="center" indent="1"/>
    </xf>
    <xf numFmtId="171" fontId="0" fillId="29" borderId="33" xfId="0" applyNumberFormat="1" applyFill="1" applyBorder="1" applyAlignment="1">
      <alignment horizontal="right" vertical="center" indent="1"/>
    </xf>
    <xf numFmtId="0" fontId="37" fillId="29" borderId="309" xfId="0" applyFont="1" applyFill="1" applyBorder="1" applyAlignment="1">
      <alignment horizontal="left" vertical="center" wrapText="1" indent="1"/>
    </xf>
    <xf numFmtId="181" fontId="0" fillId="29" borderId="302" xfId="0" applyNumberFormat="1" applyFill="1" applyBorder="1" applyAlignment="1">
      <alignment horizontal="right" vertical="center" indent="1"/>
    </xf>
    <xf numFmtId="3" fontId="0" fillId="29" borderId="23" xfId="0" applyNumberFormat="1" applyFill="1" applyBorder="1" applyAlignment="1">
      <alignment horizontal="right" vertical="center" indent="1"/>
    </xf>
    <xf numFmtId="3" fontId="0" fillId="29" borderId="302" xfId="0" applyNumberFormat="1" applyFill="1" applyBorder="1" applyAlignment="1">
      <alignment horizontal="right" vertical="center" indent="1"/>
    </xf>
    <xf numFmtId="166" fontId="0" fillId="29" borderId="302" xfId="0" applyNumberFormat="1" applyFill="1" applyBorder="1" applyAlignment="1">
      <alignment horizontal="right" vertical="center" indent="1"/>
    </xf>
    <xf numFmtId="2" fontId="0" fillId="29" borderId="302" xfId="0" applyNumberFormat="1" applyFill="1" applyBorder="1" applyAlignment="1">
      <alignment horizontal="right" vertical="center" indent="1"/>
    </xf>
    <xf numFmtId="171" fontId="0" fillId="29" borderId="310" xfId="0" applyNumberFormat="1" applyFill="1" applyBorder="1" applyAlignment="1">
      <alignment horizontal="right" vertical="center" indent="1"/>
    </xf>
    <xf numFmtId="2" fontId="37" fillId="29" borderId="51" xfId="0" applyNumberFormat="1" applyFont="1" applyFill="1" applyBorder="1" applyAlignment="1">
      <alignment horizontal="left" vertical="center" wrapText="1" indent="1"/>
    </xf>
    <xf numFmtId="181" fontId="0" fillId="29" borderId="26" xfId="0" applyNumberFormat="1" applyFill="1" applyBorder="1" applyAlignment="1">
      <alignment horizontal="right" vertical="center" indent="1"/>
    </xf>
    <xf numFmtId="3" fontId="0" fillId="29" borderId="26" xfId="0" applyNumberFormat="1" applyFill="1" applyBorder="1" applyAlignment="1">
      <alignment horizontal="right" vertical="center" indent="1"/>
    </xf>
    <xf numFmtId="0" fontId="37" fillId="29" borderId="53" xfId="0" applyFont="1" applyFill="1" applyBorder="1" applyAlignment="1">
      <alignment horizontal="left" vertical="center" wrapText="1" indent="1"/>
    </xf>
    <xf numFmtId="181" fontId="0" fillId="29" borderId="27" xfId="0" applyNumberFormat="1" applyFill="1" applyBorder="1" applyAlignment="1">
      <alignment horizontal="right" vertical="center" indent="1"/>
    </xf>
    <xf numFmtId="3" fontId="0" fillId="29" borderId="27" xfId="0" applyNumberFormat="1" applyFill="1" applyBorder="1" applyAlignment="1">
      <alignment horizontal="right" vertical="center" indent="1"/>
    </xf>
    <xf numFmtId="3" fontId="0" fillId="29" borderId="12" xfId="0" applyNumberFormat="1" applyFill="1" applyBorder="1" applyAlignment="1">
      <alignment horizontal="right" vertical="center" indent="1"/>
    </xf>
    <xf numFmtId="3" fontId="0" fillId="29" borderId="3" xfId="0" applyNumberFormat="1" applyFill="1" applyBorder="1" applyAlignment="1">
      <alignment horizontal="right" vertical="center" indent="1"/>
    </xf>
    <xf numFmtId="166" fontId="0" fillId="29" borderId="12" xfId="0" applyNumberFormat="1" applyFill="1" applyBorder="1" applyAlignment="1">
      <alignment horizontal="right" vertical="center" indent="1"/>
    </xf>
    <xf numFmtId="166" fontId="0" fillId="29" borderId="3" xfId="0" applyNumberFormat="1" applyFill="1" applyBorder="1" applyAlignment="1">
      <alignment horizontal="right" vertical="center" indent="1"/>
    </xf>
    <xf numFmtId="2" fontId="0" fillId="29" borderId="12" xfId="0" applyNumberFormat="1" applyFill="1" applyBorder="1" applyAlignment="1">
      <alignment horizontal="right" vertical="center" indent="1"/>
    </xf>
    <xf numFmtId="2" fontId="0" fillId="29" borderId="3" xfId="0" applyNumberFormat="1" applyFill="1" applyBorder="1" applyAlignment="1">
      <alignment horizontal="right" vertical="center" indent="1"/>
    </xf>
    <xf numFmtId="166" fontId="0" fillId="40" borderId="12" xfId="0" applyNumberFormat="1" applyFill="1" applyBorder="1" applyAlignment="1">
      <alignment horizontal="right" vertical="center" indent="1"/>
    </xf>
    <xf numFmtId="181" fontId="0" fillId="29" borderId="12" xfId="0" applyNumberFormat="1" applyFill="1" applyBorder="1" applyAlignment="1">
      <alignment horizontal="right" vertical="center" indent="1"/>
    </xf>
    <xf numFmtId="181" fontId="0" fillId="29" borderId="3" xfId="0" applyNumberFormat="1" applyFill="1" applyBorder="1" applyAlignment="1">
      <alignment horizontal="right" vertical="center" indent="1"/>
    </xf>
    <xf numFmtId="183" fontId="37" fillId="40" borderId="40" xfId="0" applyNumberFormat="1" applyFont="1" applyFill="1" applyBorder="1" applyAlignment="1">
      <alignment horizontal="left" vertical="center" wrapText="1" indent="1"/>
    </xf>
    <xf numFmtId="0" fontId="37" fillId="40" borderId="38" xfId="0" applyFont="1" applyFill="1" applyBorder="1" applyAlignment="1">
      <alignment horizontal="left" vertical="center" wrapText="1" indent="1"/>
    </xf>
    <xf numFmtId="0" fontId="37" fillId="40" borderId="42" xfId="0" applyFont="1" applyFill="1" applyBorder="1" applyAlignment="1">
      <alignment horizontal="left" vertical="center" wrapText="1" indent="1"/>
    </xf>
    <xf numFmtId="171" fontId="0" fillId="40" borderId="12" xfId="0" applyNumberFormat="1" applyFill="1" applyBorder="1" applyAlignment="1">
      <alignment horizontal="right" vertical="center" indent="1"/>
    </xf>
    <xf numFmtId="2" fontId="0" fillId="40" borderId="12" xfId="0" applyNumberFormat="1" applyFill="1" applyBorder="1" applyAlignment="1">
      <alignment horizontal="right" vertical="center" indent="1"/>
    </xf>
    <xf numFmtId="2" fontId="48" fillId="40" borderId="36" xfId="0" applyNumberFormat="1" applyFont="1" applyFill="1" applyBorder="1" applyAlignment="1">
      <alignment horizontal="right" vertical="center" indent="1"/>
    </xf>
    <xf numFmtId="183" fontId="37" fillId="40" borderId="42" xfId="0" applyNumberFormat="1" applyFont="1" applyFill="1" applyBorder="1" applyAlignment="1">
      <alignment horizontal="left" vertical="center" wrapText="1" indent="1"/>
    </xf>
    <xf numFmtId="3" fontId="0" fillId="29" borderId="219" xfId="0" applyNumberFormat="1" applyFill="1" applyBorder="1" applyAlignment="1">
      <alignment horizontal="right" vertical="center" indent="1"/>
    </xf>
    <xf numFmtId="166" fontId="0" fillId="29" borderId="219" xfId="0" applyNumberFormat="1" applyFill="1" applyBorder="1" applyAlignment="1">
      <alignment horizontal="right" vertical="center" indent="1"/>
    </xf>
    <xf numFmtId="2" fontId="0" fillId="29" borderId="219" xfId="0" applyNumberFormat="1" applyFill="1" applyBorder="1" applyAlignment="1">
      <alignment horizontal="right" vertical="center" indent="1"/>
    </xf>
    <xf numFmtId="2" fontId="48" fillId="40" borderId="122" xfId="0" applyNumberFormat="1" applyFont="1" applyFill="1" applyBorder="1" applyAlignment="1">
      <alignment horizontal="right" vertical="center" indent="1"/>
    </xf>
    <xf numFmtId="0" fontId="0" fillId="14" borderId="13" xfId="0" applyFill="1" applyBorder="1" applyAlignment="1">
      <alignment horizontal="center" vertical="center"/>
    </xf>
    <xf numFmtId="0" fontId="0" fillId="14" borderId="1" xfId="0" applyFill="1" applyBorder="1" applyAlignment="1">
      <alignment horizontal="center" vertical="center"/>
    </xf>
    <xf numFmtId="0" fontId="0" fillId="14" borderId="15" xfId="0" applyFill="1" applyBorder="1" applyAlignment="1">
      <alignment horizontal="center" vertical="center"/>
    </xf>
    <xf numFmtId="1" fontId="1" fillId="0" borderId="219" xfId="0" applyNumberFormat="1" applyFont="1" applyFill="1" applyBorder="1" applyAlignment="1">
      <alignment horizontal="center" vertical="center" wrapText="1"/>
    </xf>
    <xf numFmtId="1" fontId="1" fillId="0" borderId="9" xfId="0" applyNumberFormat="1" applyFont="1" applyFill="1" applyBorder="1" applyAlignment="1">
      <alignment horizontal="center" vertical="center" wrapText="1"/>
    </xf>
    <xf numFmtId="187" fontId="0" fillId="0" borderId="219" xfId="0" applyNumberFormat="1" applyFont="1" applyFill="1" applyBorder="1" applyAlignment="1">
      <alignment horizontal="center" vertical="center" wrapText="1"/>
    </xf>
    <xf numFmtId="187" fontId="0" fillId="0" borderId="3" xfId="0" applyNumberFormat="1" applyFont="1" applyFill="1" applyBorder="1" applyAlignment="1">
      <alignment horizontal="center" vertical="center" wrapText="1"/>
    </xf>
    <xf numFmtId="187" fontId="0" fillId="0" borderId="7" xfId="0" applyNumberFormat="1" applyFont="1" applyFill="1" applyBorder="1" applyAlignment="1">
      <alignment horizontal="center" vertical="center" wrapText="1"/>
    </xf>
    <xf numFmtId="175" fontId="0" fillId="0" borderId="219" xfId="0" applyNumberFormat="1" applyFill="1" applyBorder="1" applyAlignment="1">
      <alignment horizontal="center" vertical="center" wrapText="1"/>
    </xf>
    <xf numFmtId="175" fontId="0" fillId="0" borderId="3" xfId="0" applyNumberFormat="1" applyFill="1" applyBorder="1" applyAlignment="1">
      <alignment horizontal="center" vertical="center" wrapText="1"/>
    </xf>
    <xf numFmtId="175" fontId="0" fillId="0" borderId="7" xfId="0" applyNumberFormat="1" applyFill="1" applyBorder="1" applyAlignment="1">
      <alignment horizontal="center" vertical="center" wrapText="1"/>
    </xf>
    <xf numFmtId="187" fontId="0" fillId="0" borderId="9" xfId="0" applyNumberFormat="1" applyFont="1" applyFill="1" applyBorder="1" applyAlignment="1">
      <alignment horizontal="center" vertical="center" wrapText="1"/>
    </xf>
    <xf numFmtId="187" fontId="0" fillId="0" borderId="306" xfId="0" applyNumberFormat="1" applyFont="1" applyFill="1" applyBorder="1" applyAlignment="1">
      <alignment horizontal="center" vertical="center" wrapText="1"/>
    </xf>
    <xf numFmtId="1" fontId="1" fillId="0" borderId="306" xfId="0" applyNumberFormat="1" applyFont="1" applyFill="1" applyBorder="1" applyAlignment="1">
      <alignment horizontal="center" vertical="center" wrapText="1"/>
    </xf>
    <xf numFmtId="1" fontId="1" fillId="0" borderId="12" xfId="0" applyNumberFormat="1" applyFont="1" applyFill="1" applyBorder="1" applyAlignment="1">
      <alignment horizontal="center" vertical="center" wrapText="1"/>
    </xf>
    <xf numFmtId="0" fontId="37" fillId="15" borderId="309" xfId="0" applyFont="1" applyFill="1" applyBorder="1" applyAlignment="1">
      <alignment horizontal="left" vertical="center" wrapText="1" indent="2"/>
    </xf>
    <xf numFmtId="0" fontId="0" fillId="14" borderId="219" xfId="0" applyFill="1" applyBorder="1" applyAlignment="1">
      <alignment horizontal="center" vertical="center" wrapText="1"/>
    </xf>
    <xf numFmtId="0" fontId="0" fillId="14" borderId="9" xfId="0" applyFill="1" applyBorder="1" applyAlignment="1">
      <alignment horizontal="center" vertical="center" wrapText="1"/>
    </xf>
    <xf numFmtId="0" fontId="0" fillId="14" borderId="218" xfId="0" applyFill="1" applyBorder="1" applyAlignment="1">
      <alignment horizontal="center" vertical="center" wrapText="1"/>
    </xf>
    <xf numFmtId="0" fontId="0" fillId="14" borderId="2" xfId="0" applyFill="1" applyBorder="1" applyAlignment="1">
      <alignment horizontal="center" vertical="center" wrapText="1"/>
    </xf>
    <xf numFmtId="0" fontId="0" fillId="14" borderId="6" xfId="0" applyFill="1" applyBorder="1" applyAlignment="1">
      <alignment horizontal="center" vertical="center" wrapText="1"/>
    </xf>
    <xf numFmtId="0" fontId="0" fillId="0" borderId="52" xfId="0" applyFont="1" applyFill="1" applyBorder="1" applyAlignment="1">
      <alignment horizontal="center" vertical="center" wrapText="1"/>
    </xf>
    <xf numFmtId="0" fontId="0" fillId="0" borderId="309" xfId="0" applyFont="1" applyFill="1" applyBorder="1" applyAlignment="1">
      <alignment horizontal="center" vertical="center" wrapText="1"/>
    </xf>
    <xf numFmtId="0" fontId="0" fillId="14" borderId="11" xfId="0" applyFill="1" applyBorder="1" applyAlignment="1">
      <alignment horizontal="center" vertical="center" wrapText="1"/>
    </xf>
    <xf numFmtId="175" fontId="0" fillId="0" borderId="12" xfId="0" applyNumberFormat="1" applyFill="1" applyBorder="1" applyAlignment="1">
      <alignment horizontal="center" vertical="center" wrapText="1"/>
    </xf>
    <xf numFmtId="175" fontId="0" fillId="0" borderId="9" xfId="0" applyNumberFormat="1" applyFill="1" applyBorder="1" applyAlignment="1">
      <alignment horizontal="center" vertical="center" wrapText="1"/>
    </xf>
    <xf numFmtId="187" fontId="0" fillId="0" borderId="12" xfId="0" applyNumberFormat="1" applyFont="1" applyFill="1" applyBorder="1" applyAlignment="1">
      <alignment horizontal="center" vertical="center" wrapText="1"/>
    </xf>
    <xf numFmtId="171" fontId="0" fillId="29" borderId="122" xfId="0" applyNumberFormat="1" applyFill="1" applyBorder="1" applyAlignment="1">
      <alignment horizontal="right" vertical="center" indent="1"/>
    </xf>
    <xf numFmtId="0" fontId="0" fillId="0" borderId="53" xfId="0" applyFont="1" applyFill="1" applyBorder="1" applyAlignment="1">
      <alignment horizontal="center" vertical="center" wrapText="1"/>
    </xf>
    <xf numFmtId="0" fontId="4" fillId="14" borderId="23" xfId="0" applyFont="1" applyFill="1" applyBorder="1" applyAlignment="1">
      <alignment horizontal="center" vertical="center" wrapText="1"/>
    </xf>
    <xf numFmtId="0" fontId="4" fillId="14" borderId="302" xfId="0" applyFont="1" applyFill="1" applyBorder="1" applyAlignment="1">
      <alignment horizontal="center" vertical="center" wrapText="1"/>
    </xf>
    <xf numFmtId="0" fontId="4" fillId="14" borderId="27" xfId="0" applyFont="1" applyFill="1" applyBorder="1" applyAlignment="1">
      <alignment horizontal="center" vertical="center" wrapText="1"/>
    </xf>
    <xf numFmtId="0" fontId="4" fillId="14" borderId="26" xfId="0" applyFont="1" applyFill="1" applyBorder="1" applyAlignment="1">
      <alignment horizontal="center" vertical="center" wrapText="1"/>
    </xf>
    <xf numFmtId="0" fontId="0" fillId="0" borderId="52" xfId="0" applyBorder="1"/>
    <xf numFmtId="0" fontId="0" fillId="0" borderId="53" xfId="0" applyBorder="1"/>
    <xf numFmtId="0" fontId="0" fillId="0" borderId="51" xfId="0" applyFont="1" applyFill="1" applyBorder="1" applyAlignment="1">
      <alignment horizontal="center" vertical="center" wrapText="1"/>
    </xf>
    <xf numFmtId="0" fontId="0" fillId="0" borderId="46" xfId="0" applyFont="1" applyFill="1" applyBorder="1" applyAlignment="1">
      <alignment horizontal="left" vertical="center" wrapText="1" indent="1"/>
    </xf>
    <xf numFmtId="0" fontId="0" fillId="0" borderId="0" xfId="0" applyFont="1" applyFill="1" applyBorder="1" applyAlignment="1">
      <alignment horizontal="left" vertical="center" wrapText="1" indent="1"/>
    </xf>
    <xf numFmtId="0" fontId="0" fillId="0" borderId="47" xfId="0" applyFont="1" applyFill="1" applyBorder="1" applyAlignment="1">
      <alignment horizontal="left" vertical="center" wrapText="1" indent="1"/>
    </xf>
    <xf numFmtId="0" fontId="0" fillId="0" borderId="52" xfId="0" applyFill="1" applyBorder="1"/>
    <xf numFmtId="0" fontId="4" fillId="14" borderId="12" xfId="0" applyFont="1" applyFill="1" applyBorder="1" applyAlignment="1">
      <alignment horizontal="center" vertical="center" wrapText="1"/>
    </xf>
    <xf numFmtId="0" fontId="4" fillId="14" borderId="3" xfId="0" applyFont="1" applyFill="1" applyBorder="1" applyAlignment="1">
      <alignment horizontal="center" vertical="center" wrapText="1"/>
    </xf>
    <xf numFmtId="0" fontId="4" fillId="14" borderId="7" xfId="0" applyFont="1" applyFill="1" applyBorder="1" applyAlignment="1">
      <alignment horizontal="center" vertical="center" wrapText="1"/>
    </xf>
    <xf numFmtId="0" fontId="0" fillId="14" borderId="14" xfId="0" applyFill="1" applyBorder="1" applyAlignment="1">
      <alignment horizontal="center" vertical="center" wrapText="1"/>
    </xf>
    <xf numFmtId="171" fontId="0" fillId="29" borderId="36" xfId="0" applyNumberFormat="1" applyFill="1" applyBorder="1" applyAlignment="1">
      <alignment horizontal="right" vertical="center" indent="1"/>
    </xf>
    <xf numFmtId="171" fontId="0" fillId="29" borderId="31" xfId="0" applyNumberFormat="1" applyFill="1" applyBorder="1" applyAlignment="1">
      <alignment horizontal="right" vertical="center" indent="1"/>
    </xf>
    <xf numFmtId="0" fontId="0" fillId="0" borderId="12" xfId="0" applyFont="1" applyBorder="1" applyAlignment="1">
      <alignment horizontal="center" vertical="center"/>
    </xf>
    <xf numFmtId="0" fontId="0" fillId="0" borderId="9" xfId="0" applyFont="1" applyBorder="1" applyAlignment="1">
      <alignment horizontal="center" vertical="center"/>
    </xf>
    <xf numFmtId="0" fontId="0" fillId="15" borderId="36" xfId="0" applyFill="1" applyBorder="1" applyAlignment="1">
      <alignment horizontal="right" vertical="center" indent="1"/>
    </xf>
    <xf numFmtId="0" fontId="0" fillId="15" borderId="31" xfId="0" applyFill="1" applyBorder="1" applyAlignment="1">
      <alignment horizontal="right" vertical="center" indent="1"/>
    </xf>
    <xf numFmtId="0" fontId="0" fillId="15" borderId="12" xfId="0" applyFill="1" applyBorder="1" applyAlignment="1">
      <alignment horizontal="right" vertical="center" indent="1"/>
    </xf>
    <xf numFmtId="0" fontId="0" fillId="15" borderId="3" xfId="0" applyFill="1" applyBorder="1" applyAlignment="1">
      <alignment horizontal="right" vertical="center" indent="1"/>
    </xf>
    <xf numFmtId="183" fontId="37" fillId="15" borderId="40" xfId="0" applyNumberFormat="1" applyFont="1" applyFill="1" applyBorder="1" applyAlignment="1">
      <alignment horizontal="left" vertical="center" wrapText="1" indent="2"/>
    </xf>
    <xf numFmtId="0" fontId="37" fillId="15" borderId="38" xfId="0" applyFont="1" applyFill="1" applyBorder="1" applyAlignment="1">
      <alignment horizontal="left" vertical="center" wrapText="1" indent="2"/>
    </xf>
    <xf numFmtId="2" fontId="37" fillId="29" borderId="40" xfId="0" applyNumberFormat="1" applyFont="1" applyFill="1" applyBorder="1" applyAlignment="1">
      <alignment horizontal="left" vertical="center" wrapText="1" indent="1"/>
    </xf>
    <xf numFmtId="0" fontId="37" fillId="29" borderId="38" xfId="0" applyFont="1" applyFill="1" applyBorder="1" applyAlignment="1">
      <alignment horizontal="left" vertical="center" wrapText="1" indent="1"/>
    </xf>
    <xf numFmtId="0" fontId="37" fillId="29" borderId="42" xfId="0" applyFont="1" applyFill="1" applyBorder="1" applyAlignment="1">
      <alignment horizontal="left" vertical="center" wrapText="1" indent="1"/>
    </xf>
    <xf numFmtId="0" fontId="4" fillId="39" borderId="12" xfId="0" applyFont="1" applyFill="1" applyBorder="1" applyAlignment="1">
      <alignment horizontal="center" vertical="center" wrapText="1"/>
    </xf>
    <xf numFmtId="0" fontId="4" fillId="39" borderId="3" xfId="0" applyFont="1" applyFill="1" applyBorder="1" applyAlignment="1">
      <alignment horizontal="center" vertical="center" wrapText="1"/>
    </xf>
    <xf numFmtId="0" fontId="4" fillId="20" borderId="36" xfId="0" applyFont="1" applyFill="1" applyBorder="1" applyAlignment="1">
      <alignment horizontal="center" vertical="center" wrapText="1"/>
    </xf>
    <xf numFmtId="0" fontId="4" fillId="20" borderId="31" xfId="0" applyFont="1" applyFill="1" applyBorder="1" applyAlignment="1">
      <alignment horizontal="center" vertical="center" wrapText="1"/>
    </xf>
    <xf numFmtId="0" fontId="4" fillId="20" borderId="89" xfId="0" applyFont="1" applyFill="1" applyBorder="1" applyAlignment="1">
      <alignment horizontal="center" vertical="center" wrapText="1"/>
    </xf>
    <xf numFmtId="0" fontId="4" fillId="20" borderId="19" xfId="0" applyFont="1" applyFill="1" applyBorder="1" applyAlignment="1">
      <alignment horizontal="center" vertical="center" wrapText="1"/>
    </xf>
    <xf numFmtId="0" fontId="4" fillId="20" borderId="80" xfId="0" applyFont="1" applyFill="1" applyBorder="1" applyAlignment="1">
      <alignment horizontal="center" vertical="center" wrapText="1"/>
    </xf>
    <xf numFmtId="0" fontId="4" fillId="20" borderId="23" xfId="0" applyFont="1" applyFill="1" applyBorder="1" applyAlignment="1">
      <alignment horizontal="center" vertical="center" wrapText="1"/>
    </xf>
    <xf numFmtId="0" fontId="4" fillId="20" borderId="114" xfId="0" applyFont="1" applyFill="1" applyBorder="1" applyAlignment="1">
      <alignment horizontal="center" vertical="center" wrapText="1"/>
    </xf>
    <xf numFmtId="0" fontId="4" fillId="20" borderId="34" xfId="0" applyFont="1" applyFill="1" applyBorder="1" applyAlignment="1">
      <alignment horizontal="center" vertical="center" wrapText="1"/>
    </xf>
    <xf numFmtId="0" fontId="1" fillId="38" borderId="40" xfId="0" applyFont="1" applyFill="1" applyBorder="1" applyAlignment="1">
      <alignment horizontal="center" vertical="center" wrapText="1"/>
    </xf>
    <xf numFmtId="0" fontId="1" fillId="38" borderId="38" xfId="0" applyFont="1" applyFill="1" applyBorder="1" applyAlignment="1">
      <alignment horizontal="center" vertical="center" wrapText="1"/>
    </xf>
    <xf numFmtId="0" fontId="1" fillId="38" borderId="2" xfId="0" applyFont="1" applyFill="1" applyBorder="1" applyAlignment="1">
      <alignment horizontal="center" vertical="center" wrapText="1"/>
    </xf>
    <xf numFmtId="0" fontId="1" fillId="38" borderId="237" xfId="0" applyFont="1" applyFill="1" applyBorder="1" applyAlignment="1">
      <alignment horizontal="center" vertical="center" wrapText="1"/>
    </xf>
    <xf numFmtId="0" fontId="4" fillId="39" borderId="124" xfId="0" applyFont="1" applyFill="1" applyBorder="1" applyAlignment="1">
      <alignment horizontal="center" vertical="center" wrapText="1"/>
    </xf>
    <xf numFmtId="0" fontId="4" fillId="20" borderId="125" xfId="0" applyFont="1" applyFill="1" applyBorder="1" applyAlignment="1">
      <alignment horizontal="center" vertical="center" wrapText="1"/>
    </xf>
    <xf numFmtId="0" fontId="4" fillId="26" borderId="70" xfId="0" applyFont="1" applyFill="1" applyBorder="1" applyAlignment="1">
      <alignment horizontal="center" vertical="center" wrapText="1"/>
    </xf>
    <xf numFmtId="0" fontId="4" fillId="26" borderId="22" xfId="0" applyFont="1" applyFill="1" applyBorder="1" applyAlignment="1">
      <alignment horizontal="center" vertical="center" wrapText="1"/>
    </xf>
    <xf numFmtId="0" fontId="4" fillId="19" borderId="13"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4" fillId="19" borderId="64" xfId="0" applyFont="1" applyFill="1" applyBorder="1" applyAlignment="1">
      <alignment horizontal="center" vertical="center" wrapText="1"/>
    </xf>
    <xf numFmtId="0" fontId="4" fillId="19" borderId="232" xfId="0" applyFont="1" applyFill="1" applyBorder="1" applyAlignment="1">
      <alignment horizontal="center" vertical="center" wrapText="1"/>
    </xf>
    <xf numFmtId="0" fontId="4" fillId="19" borderId="7" xfId="0" applyFont="1" applyFill="1" applyBorder="1" applyAlignment="1">
      <alignment horizontal="center" vertical="center" wrapText="1"/>
    </xf>
    <xf numFmtId="0" fontId="4" fillId="19" borderId="233" xfId="0" applyFont="1" applyFill="1" applyBorder="1" applyAlignment="1">
      <alignment horizontal="center" vertical="center" wrapText="1"/>
    </xf>
    <xf numFmtId="0" fontId="4" fillId="19" borderId="44" xfId="0" applyFont="1" applyFill="1" applyBorder="1" applyAlignment="1">
      <alignment horizontal="center" vertical="center" wrapText="1"/>
    </xf>
    <xf numFmtId="0" fontId="4" fillId="19" borderId="288" xfId="0" applyFont="1" applyFill="1" applyBorder="1" applyAlignment="1">
      <alignment horizontal="center" vertical="center" wrapText="1"/>
    </xf>
    <xf numFmtId="0" fontId="4" fillId="19" borderId="289" xfId="0" applyFont="1" applyFill="1" applyBorder="1" applyAlignment="1">
      <alignment horizontal="center" vertical="center" wrapText="1"/>
    </xf>
    <xf numFmtId="0" fontId="4" fillId="19" borderId="290" xfId="0" applyFont="1" applyFill="1" applyBorder="1" applyAlignment="1">
      <alignment horizontal="center" vertical="center" wrapText="1"/>
    </xf>
    <xf numFmtId="0" fontId="4" fillId="19" borderId="291" xfId="0" applyFont="1" applyFill="1" applyBorder="1" applyAlignment="1">
      <alignment horizontal="center" vertical="center" wrapText="1"/>
    </xf>
    <xf numFmtId="0" fontId="4" fillId="19" borderId="42" xfId="0" applyFont="1" applyFill="1" applyBorder="1" applyAlignment="1">
      <alignment horizontal="center" vertical="center" wrapText="1"/>
    </xf>
    <xf numFmtId="183" fontId="4" fillId="32" borderId="115" xfId="0" applyNumberFormat="1" applyFont="1" applyFill="1" applyBorder="1" applyAlignment="1">
      <alignment horizontal="center" vertical="center" wrapText="1"/>
    </xf>
    <xf numFmtId="183" fontId="4" fillId="32" borderId="289" xfId="0" applyNumberFormat="1" applyFont="1" applyFill="1" applyBorder="1" applyAlignment="1">
      <alignment horizontal="center" vertical="center" wrapText="1"/>
    </xf>
    <xf numFmtId="183" fontId="4" fillId="32" borderId="75" xfId="0" applyNumberFormat="1" applyFont="1" applyFill="1" applyBorder="1" applyAlignment="1">
      <alignment horizontal="center" vertical="center" wrapText="1"/>
    </xf>
    <xf numFmtId="183" fontId="4" fillId="31" borderId="76" xfId="0" applyNumberFormat="1" applyFont="1" applyFill="1" applyBorder="1" applyAlignment="1">
      <alignment horizontal="center" vertical="center" wrapText="1"/>
    </xf>
    <xf numFmtId="183" fontId="4" fillId="31" borderId="115" xfId="0" applyNumberFormat="1" applyFont="1" applyFill="1" applyBorder="1" applyAlignment="1">
      <alignment horizontal="center" vertical="center" wrapText="1"/>
    </xf>
    <xf numFmtId="183" fontId="4" fillId="31" borderId="75" xfId="0" applyNumberFormat="1" applyFont="1" applyFill="1" applyBorder="1" applyAlignment="1">
      <alignment horizontal="center" vertical="center" wrapText="1"/>
    </xf>
    <xf numFmtId="0" fontId="4" fillId="9" borderId="70" xfId="0" applyFont="1" applyFill="1" applyBorder="1" applyAlignment="1">
      <alignment horizontal="center" vertical="center" wrapText="1"/>
    </xf>
    <xf numFmtId="0" fontId="4" fillId="9" borderId="22" xfId="0" applyFont="1" applyFill="1" applyBorder="1" applyAlignment="1">
      <alignment horizontal="center" vertical="center" wrapText="1"/>
    </xf>
    <xf numFmtId="0" fontId="4" fillId="9" borderId="37" xfId="0" applyFont="1" applyFill="1" applyBorder="1" applyAlignment="1">
      <alignment horizontal="center" vertical="center" wrapText="1"/>
    </xf>
    <xf numFmtId="0" fontId="4" fillId="19" borderId="48" xfId="0" applyFont="1" applyFill="1" applyBorder="1" applyAlignment="1">
      <alignment horizontal="center" vertical="center" wrapText="1"/>
    </xf>
    <xf numFmtId="0" fontId="4" fillId="19" borderId="66" xfId="0" applyFont="1" applyFill="1" applyBorder="1" applyAlignment="1">
      <alignment horizontal="center" vertical="center" wrapText="1"/>
    </xf>
    <xf numFmtId="0" fontId="48" fillId="19" borderId="57" xfId="0" applyFont="1" applyFill="1" applyBorder="1" applyAlignment="1">
      <alignment horizontal="center" vertical="center" wrapText="1"/>
    </xf>
    <xf numFmtId="0" fontId="48" fillId="19" borderId="79" xfId="0" applyFont="1" applyFill="1" applyBorder="1" applyAlignment="1">
      <alignment horizontal="center" vertical="center" wrapText="1"/>
    </xf>
    <xf numFmtId="0" fontId="4" fillId="19" borderId="73" xfId="0" applyFont="1" applyFill="1" applyBorder="1" applyAlignment="1">
      <alignment horizontal="center" vertical="center" wrapText="1"/>
    </xf>
    <xf numFmtId="183" fontId="4" fillId="30" borderId="76" xfId="0" applyNumberFormat="1" applyFont="1" applyFill="1" applyBorder="1" applyAlignment="1">
      <alignment horizontal="center" vertical="center" wrapText="1"/>
    </xf>
    <xf numFmtId="183" fontId="4" fillId="30" borderId="115" xfId="0" applyNumberFormat="1" applyFont="1" applyFill="1" applyBorder="1" applyAlignment="1">
      <alignment horizontal="center" vertical="center" wrapText="1"/>
    </xf>
    <xf numFmtId="183" fontId="4" fillId="30" borderId="75" xfId="0" applyNumberFormat="1" applyFont="1" applyFill="1" applyBorder="1" applyAlignment="1">
      <alignment horizontal="center" vertical="center" wrapText="1"/>
    </xf>
    <xf numFmtId="0" fontId="1" fillId="19" borderId="280" xfId="0" applyFont="1" applyFill="1" applyBorder="1" applyAlignment="1">
      <alignment horizontal="center" vertical="center" wrapText="1"/>
    </xf>
    <xf numFmtId="0" fontId="1" fillId="19" borderId="282" xfId="0" applyFont="1" applyFill="1" applyBorder="1" applyAlignment="1">
      <alignment horizontal="center" vertical="center" wrapText="1"/>
    </xf>
    <xf numFmtId="0" fontId="4" fillId="19" borderId="70" xfId="0" applyFont="1" applyFill="1" applyBorder="1" applyAlignment="1">
      <alignment horizontal="center" vertical="center" wrapText="1"/>
    </xf>
    <xf numFmtId="0" fontId="4" fillId="19" borderId="22" xfId="0" applyFont="1" applyFill="1" applyBorder="1" applyAlignment="1">
      <alignment horizontal="center" vertical="center" wrapText="1"/>
    </xf>
    <xf numFmtId="0" fontId="4" fillId="19" borderId="37" xfId="0" applyFont="1" applyFill="1" applyBorder="1" applyAlignment="1">
      <alignment horizontal="center" vertical="center" wrapText="1"/>
    </xf>
    <xf numFmtId="2" fontId="0" fillId="29" borderId="183" xfId="0" applyNumberFormat="1" applyFill="1" applyBorder="1" applyAlignment="1">
      <alignment horizontal="right" vertical="center" wrapText="1" indent="1"/>
    </xf>
    <xf numFmtId="2" fontId="0" fillId="29" borderId="189" xfId="0" applyNumberFormat="1" applyFill="1" applyBorder="1" applyAlignment="1">
      <alignment horizontal="right" vertical="center" wrapText="1" indent="1"/>
    </xf>
    <xf numFmtId="2" fontId="0" fillId="29" borderId="181" xfId="0" applyNumberFormat="1" applyFill="1" applyBorder="1" applyAlignment="1">
      <alignment horizontal="right" vertical="center" wrapText="1" indent="1"/>
    </xf>
    <xf numFmtId="2" fontId="0" fillId="29" borderId="117" xfId="0" applyNumberFormat="1" applyFill="1" applyBorder="1" applyAlignment="1">
      <alignment horizontal="right" vertical="center" wrapText="1" indent="1"/>
    </xf>
    <xf numFmtId="2" fontId="0" fillId="40" borderId="121" xfId="0" applyNumberFormat="1" applyFont="1" applyFill="1" applyBorder="1" applyAlignment="1">
      <alignment horizontal="right" vertical="center" wrapText="1" indent="1"/>
    </xf>
    <xf numFmtId="2" fontId="0" fillId="40" borderId="7" xfId="0" applyNumberFormat="1" applyFont="1" applyFill="1" applyBorder="1" applyAlignment="1">
      <alignment horizontal="right" vertical="center" wrapText="1" indent="1"/>
    </xf>
    <xf numFmtId="0" fontId="1" fillId="19" borderId="114" xfId="0" applyFont="1" applyFill="1" applyBorder="1" applyAlignment="1">
      <alignment horizontal="center" vertical="center" wrapText="1"/>
    </xf>
    <xf numFmtId="0" fontId="1" fillId="19" borderId="116" xfId="0" applyFont="1" applyFill="1" applyBorder="1" applyAlignment="1">
      <alignment horizontal="center" vertical="center" wrapText="1"/>
    </xf>
    <xf numFmtId="0" fontId="4" fillId="19" borderId="38" xfId="0" applyFont="1" applyFill="1" applyBorder="1" applyAlignment="1">
      <alignment horizontal="center" vertical="center" wrapText="1"/>
    </xf>
    <xf numFmtId="0" fontId="4" fillId="26" borderId="2" xfId="0" applyFont="1" applyFill="1" applyBorder="1" applyAlignment="1">
      <alignment horizontal="center" vertical="center" wrapText="1"/>
    </xf>
    <xf numFmtId="0" fontId="4" fillId="26" borderId="6" xfId="0" applyFont="1" applyFill="1" applyBorder="1" applyAlignment="1">
      <alignment horizontal="center" vertical="center" wrapText="1"/>
    </xf>
    <xf numFmtId="0" fontId="1" fillId="19" borderId="23" xfId="0" applyFont="1" applyFill="1" applyBorder="1" applyAlignment="1">
      <alignment horizontal="center" vertical="center" wrapText="1"/>
    </xf>
    <xf numFmtId="0" fontId="1" fillId="19" borderId="34"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9" borderId="75" xfId="0" applyFont="1" applyFill="1" applyBorder="1" applyAlignment="1">
      <alignment horizontal="center" vertical="center" wrapText="1"/>
    </xf>
    <xf numFmtId="0" fontId="4" fillId="26" borderId="31" xfId="0" applyFont="1" applyFill="1" applyBorder="1" applyAlignment="1">
      <alignment horizontal="center" vertical="center" wrapText="1"/>
    </xf>
    <xf numFmtId="0" fontId="4" fillId="19" borderId="234" xfId="0" applyFont="1" applyFill="1" applyBorder="1" applyAlignment="1">
      <alignment horizontal="center" vertical="center" wrapText="1"/>
    </xf>
    <xf numFmtId="0" fontId="4" fillId="19" borderId="31" xfId="0" applyFont="1" applyFill="1" applyBorder="1" applyAlignment="1">
      <alignment horizontal="center" vertical="center" wrapText="1"/>
    </xf>
    <xf numFmtId="0" fontId="4" fillId="19" borderId="307" xfId="0" applyFont="1" applyFill="1" applyBorder="1" applyAlignment="1">
      <alignment horizontal="center" vertical="center" wrapText="1"/>
    </xf>
    <xf numFmtId="0" fontId="4" fillId="26" borderId="56" xfId="0" applyFont="1" applyFill="1" applyBorder="1" applyAlignment="1">
      <alignment horizontal="center" vertical="center" wrapText="1"/>
    </xf>
    <xf numFmtId="0" fontId="4" fillId="26" borderId="57" xfId="0" applyFont="1" applyFill="1" applyBorder="1" applyAlignment="1">
      <alignment horizontal="center" vertical="center" wrapText="1"/>
    </xf>
    <xf numFmtId="0" fontId="1" fillId="38" borderId="42" xfId="0" applyFont="1" applyFill="1" applyBorder="1" applyAlignment="1">
      <alignment horizontal="center" vertical="center" wrapText="1"/>
    </xf>
    <xf numFmtId="0" fontId="4" fillId="39" borderId="7"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4" fillId="20" borderId="1" xfId="0" applyFont="1" applyFill="1" applyBorder="1" applyAlignment="1">
      <alignment horizontal="center" vertical="center" wrapText="1"/>
    </xf>
    <xf numFmtId="0" fontId="4" fillId="20" borderId="8" xfId="0" applyFont="1" applyFill="1" applyBorder="1" applyAlignment="1">
      <alignment horizontal="center" vertical="center" wrapText="1"/>
    </xf>
    <xf numFmtId="0" fontId="4" fillId="26" borderId="39" xfId="0" applyFont="1" applyFill="1" applyBorder="1" applyAlignment="1">
      <alignment horizontal="center" vertical="center" wrapText="1"/>
    </xf>
    <xf numFmtId="0" fontId="4" fillId="26" borderId="17" xfId="0" applyFont="1" applyFill="1" applyBorder="1" applyAlignment="1">
      <alignment horizontal="center" vertical="center" wrapText="1"/>
    </xf>
    <xf numFmtId="0" fontId="4" fillId="26" borderId="32" xfId="0" applyFont="1" applyFill="1" applyBorder="1" applyAlignment="1">
      <alignment horizontal="center" vertical="center" wrapText="1"/>
    </xf>
    <xf numFmtId="0" fontId="4" fillId="39" borderId="89" xfId="0" applyFont="1" applyFill="1" applyBorder="1" applyAlignment="1">
      <alignment horizontal="center" vertical="center" wrapText="1"/>
    </xf>
    <xf numFmtId="0" fontId="4" fillId="39" borderId="19" xfId="0" applyFont="1" applyFill="1" applyBorder="1" applyAlignment="1">
      <alignment horizontal="center" vertical="center" wrapText="1"/>
    </xf>
    <xf numFmtId="0" fontId="4" fillId="39" borderId="80" xfId="0" applyFont="1" applyFill="1" applyBorder="1" applyAlignment="1">
      <alignment horizontal="center" vertical="center" wrapText="1"/>
    </xf>
    <xf numFmtId="2" fontId="48" fillId="40" borderId="36" xfId="0" applyNumberFormat="1" applyFont="1" applyFill="1" applyBorder="1" applyAlignment="1">
      <alignment horizontal="right" vertical="center" wrapText="1" indent="1"/>
    </xf>
    <xf numFmtId="2" fontId="48" fillId="40" borderId="31" xfId="0" applyNumberFormat="1" applyFont="1" applyFill="1" applyBorder="1" applyAlignment="1">
      <alignment horizontal="right" vertical="center" wrapText="1" indent="1"/>
    </xf>
    <xf numFmtId="2" fontId="48" fillId="40" borderId="35" xfId="0" applyNumberFormat="1" applyFont="1" applyFill="1" applyBorder="1" applyAlignment="1">
      <alignment horizontal="right" vertical="center" wrapText="1" indent="1"/>
    </xf>
    <xf numFmtId="0" fontId="0" fillId="2" borderId="121" xfId="0" applyFill="1" applyBorder="1" applyAlignment="1">
      <alignment horizontal="left" vertical="center" wrapText="1" indent="1"/>
    </xf>
    <xf numFmtId="0" fontId="0" fillId="2" borderId="7" xfId="0" applyFill="1" applyBorder="1" applyAlignment="1">
      <alignment horizontal="left" vertical="center" wrapText="1" indent="1"/>
    </xf>
    <xf numFmtId="0" fontId="0" fillId="2" borderId="121" xfId="0" applyFill="1" applyBorder="1" applyAlignment="1">
      <alignment horizontal="center" vertical="center" wrapText="1"/>
    </xf>
    <xf numFmtId="0" fontId="0" fillId="2" borderId="7" xfId="0" applyFill="1" applyBorder="1" applyAlignment="1">
      <alignment horizontal="center" vertical="center" wrapText="1"/>
    </xf>
    <xf numFmtId="183" fontId="0" fillId="15" borderId="121" xfId="0" applyNumberFormat="1" applyFont="1" applyFill="1" applyBorder="1" applyAlignment="1">
      <alignment horizontal="center" vertical="center" wrapText="1"/>
    </xf>
    <xf numFmtId="183" fontId="0" fillId="15" borderId="7" xfId="0" applyNumberFormat="1" applyFont="1" applyFill="1" applyBorder="1" applyAlignment="1">
      <alignment horizontal="center" vertical="center" wrapText="1"/>
    </xf>
    <xf numFmtId="166" fontId="0" fillId="0" borderId="12" xfId="0" applyNumberFormat="1" applyFill="1" applyBorder="1" applyAlignment="1">
      <alignment horizontal="center" vertical="center" wrapText="1"/>
    </xf>
    <xf numFmtId="166" fontId="0" fillId="0" borderId="3" xfId="0" applyNumberFormat="1" applyFill="1" applyBorder="1" applyAlignment="1">
      <alignment horizontal="center" vertical="center" wrapText="1"/>
    </xf>
    <xf numFmtId="166" fontId="0" fillId="0" borderId="9" xfId="0" applyNumberFormat="1" applyFill="1" applyBorder="1" applyAlignment="1">
      <alignment horizontal="center" vertical="center" wrapText="1"/>
    </xf>
    <xf numFmtId="166" fontId="0" fillId="0" borderId="120" xfId="0" applyNumberFormat="1" applyFill="1" applyBorder="1" applyAlignment="1">
      <alignment horizontal="right" vertical="center" wrapText="1" indent="1"/>
    </xf>
    <xf numFmtId="166" fontId="0" fillId="0" borderId="1" xfId="0" applyNumberFormat="1" applyFill="1" applyBorder="1" applyAlignment="1">
      <alignment horizontal="right" vertical="center" wrapText="1" indent="1"/>
    </xf>
    <xf numFmtId="183" fontId="0" fillId="15" borderId="36" xfId="0" applyNumberFormat="1" applyFill="1" applyBorder="1" applyAlignment="1">
      <alignment horizontal="center" vertical="center" wrapText="1"/>
    </xf>
    <xf numFmtId="183" fontId="0" fillId="15" borderId="31" xfId="0" applyNumberFormat="1" applyFill="1" applyBorder="1" applyAlignment="1">
      <alignment horizontal="center" vertical="center" wrapText="1"/>
    </xf>
    <xf numFmtId="183" fontId="0" fillId="15" borderId="35" xfId="0" applyNumberFormat="1" applyFill="1" applyBorder="1" applyAlignment="1">
      <alignment horizontal="center" vertical="center" wrapText="1"/>
    </xf>
    <xf numFmtId="171" fontId="0" fillId="40" borderId="40" xfId="0" applyNumberFormat="1" applyFont="1" applyFill="1" applyBorder="1" applyAlignment="1">
      <alignment horizontal="center" vertical="center" wrapText="1"/>
    </xf>
    <xf numFmtId="171" fontId="0" fillId="40" borderId="38" xfId="0" applyNumberFormat="1" applyFont="1" applyFill="1" applyBorder="1" applyAlignment="1">
      <alignment horizontal="center" vertical="center" wrapText="1"/>
    </xf>
    <xf numFmtId="171" fontId="0" fillId="40" borderId="41" xfId="0" applyNumberFormat="1" applyFont="1" applyFill="1" applyBorder="1" applyAlignment="1">
      <alignment horizontal="center" vertical="center" wrapText="1"/>
    </xf>
    <xf numFmtId="195" fontId="1" fillId="15" borderId="12" xfId="0" applyNumberFormat="1" applyFont="1" applyFill="1" applyBorder="1" applyAlignment="1">
      <alignment horizontal="center" vertical="center" wrapText="1"/>
    </xf>
    <xf numFmtId="195" fontId="1" fillId="15" borderId="3" xfId="0" applyNumberFormat="1" applyFont="1" applyFill="1" applyBorder="1" applyAlignment="1">
      <alignment horizontal="center" vertical="center" wrapText="1"/>
    </xf>
    <xf numFmtId="195" fontId="1" fillId="15" borderId="9" xfId="0" applyNumberFormat="1" applyFont="1" applyFill="1" applyBorder="1" applyAlignment="1">
      <alignment horizontal="center" vertical="center" wrapText="1"/>
    </xf>
    <xf numFmtId="183" fontId="37" fillId="15" borderId="40" xfId="0" applyNumberFormat="1" applyFont="1" applyFill="1" applyBorder="1" applyAlignment="1">
      <alignment horizontal="center" vertical="center" wrapText="1"/>
    </xf>
    <xf numFmtId="183" fontId="37" fillId="15" borderId="38" xfId="0" applyNumberFormat="1" applyFont="1" applyFill="1" applyBorder="1" applyAlignment="1">
      <alignment horizontal="center" vertical="center" wrapText="1"/>
    </xf>
    <xf numFmtId="183" fontId="37" fillId="15" borderId="41" xfId="0" applyNumberFormat="1" applyFont="1" applyFill="1" applyBorder="1" applyAlignment="1">
      <alignment horizontal="center" vertical="center" wrapText="1"/>
    </xf>
    <xf numFmtId="183" fontId="0" fillId="15" borderId="12" xfId="0" applyNumberFormat="1" applyFill="1" applyBorder="1" applyAlignment="1">
      <alignment horizontal="center" vertical="center" wrapText="1"/>
    </xf>
    <xf numFmtId="183" fontId="0" fillId="15" borderId="3" xfId="0" applyNumberFormat="1" applyFill="1" applyBorder="1" applyAlignment="1">
      <alignment horizontal="center" vertical="center" wrapText="1"/>
    </xf>
    <xf numFmtId="183" fontId="0" fillId="15" borderId="9" xfId="0" applyNumberFormat="1" applyFill="1" applyBorder="1" applyAlignment="1">
      <alignment horizontal="center" vertical="center" wrapText="1"/>
    </xf>
    <xf numFmtId="166" fontId="0" fillId="0" borderId="36" xfId="0" applyNumberFormat="1" applyFill="1" applyBorder="1" applyAlignment="1">
      <alignment horizontal="center" vertical="center" wrapText="1"/>
    </xf>
    <xf numFmtId="166" fontId="0" fillId="0" borderId="31" xfId="0" applyNumberFormat="1" applyFill="1" applyBorder="1" applyAlignment="1">
      <alignment horizontal="center" vertical="center" wrapText="1"/>
    </xf>
    <xf numFmtId="166" fontId="0" fillId="0" borderId="35" xfId="0" applyNumberFormat="1" applyFill="1" applyBorder="1" applyAlignment="1">
      <alignment horizontal="center" vertical="center" wrapText="1"/>
    </xf>
    <xf numFmtId="2" fontId="0" fillId="40" borderId="36" xfId="0" applyNumberFormat="1" applyFont="1" applyFill="1" applyBorder="1" applyAlignment="1">
      <alignment horizontal="right" vertical="center" wrapText="1" indent="1"/>
    </xf>
    <xf numFmtId="2" fontId="0" fillId="40" borderId="31" xfId="0" applyNumberFormat="1" applyFont="1" applyFill="1" applyBorder="1" applyAlignment="1">
      <alignment horizontal="right" vertical="center" wrapText="1" indent="1"/>
    </xf>
    <xf numFmtId="2" fontId="0" fillId="40" borderId="35" xfId="0" applyNumberFormat="1" applyFont="1" applyFill="1" applyBorder="1" applyAlignment="1">
      <alignment horizontal="right" vertical="center" wrapText="1" indent="1"/>
    </xf>
    <xf numFmtId="166" fontId="0" fillId="29" borderId="181" xfId="0" applyNumberFormat="1" applyFill="1" applyBorder="1" applyAlignment="1">
      <alignment horizontal="right" vertical="center" wrapText="1" indent="1"/>
    </xf>
    <xf numFmtId="166" fontId="0" fillId="29" borderId="117" xfId="0" applyNumberFormat="1" applyFill="1" applyBorder="1" applyAlignment="1">
      <alignment horizontal="right" vertical="center" wrapText="1" indent="1"/>
    </xf>
    <xf numFmtId="3" fontId="0" fillId="40" borderId="306" xfId="0" applyNumberFormat="1" applyFont="1" applyFill="1" applyBorder="1" applyAlignment="1">
      <alignment horizontal="right" vertical="center" wrapText="1" indent="1"/>
    </xf>
    <xf numFmtId="3" fontId="0" fillId="40" borderId="7" xfId="0" applyNumberFormat="1" applyFont="1" applyFill="1" applyBorder="1" applyAlignment="1">
      <alignment horizontal="right" vertical="center" wrapText="1" indent="1"/>
    </xf>
    <xf numFmtId="3" fontId="0" fillId="40" borderId="3" xfId="0" applyNumberFormat="1" applyFont="1" applyFill="1" applyBorder="1" applyAlignment="1">
      <alignment horizontal="right" vertical="center" wrapText="1" indent="1"/>
    </xf>
    <xf numFmtId="3" fontId="0" fillId="40" borderId="9" xfId="0" applyNumberFormat="1" applyFont="1" applyFill="1" applyBorder="1" applyAlignment="1">
      <alignment horizontal="right" vertical="center" wrapText="1" indent="1"/>
    </xf>
    <xf numFmtId="2" fontId="37" fillId="29" borderId="104" xfId="0" applyNumberFormat="1" applyFont="1" applyFill="1" applyBorder="1" applyAlignment="1">
      <alignment horizontal="center" vertical="center" wrapText="1"/>
    </xf>
    <xf numFmtId="2" fontId="37" fillId="29" borderId="42" xfId="0" applyNumberFormat="1" applyFont="1" applyFill="1" applyBorder="1" applyAlignment="1">
      <alignment horizontal="center" vertical="center" wrapText="1"/>
    </xf>
    <xf numFmtId="166" fontId="0" fillId="40" borderId="121" xfId="0" applyNumberFormat="1" applyFont="1" applyFill="1" applyBorder="1" applyAlignment="1">
      <alignment horizontal="right" vertical="center" wrapText="1" indent="1"/>
    </xf>
    <xf numFmtId="166" fontId="0" fillId="40" borderId="7" xfId="0" applyNumberFormat="1" applyFont="1" applyFill="1" applyBorder="1" applyAlignment="1">
      <alignment horizontal="right" vertical="center" wrapText="1" indent="1"/>
    </xf>
    <xf numFmtId="3" fontId="0" fillId="40" borderId="121" xfId="0" applyNumberFormat="1" applyFont="1" applyFill="1" applyBorder="1" applyAlignment="1">
      <alignment horizontal="right" vertical="center" wrapText="1" indent="1"/>
    </xf>
    <xf numFmtId="171" fontId="0" fillId="40" borderId="121" xfId="0" applyNumberFormat="1" applyFont="1" applyFill="1" applyBorder="1" applyAlignment="1">
      <alignment horizontal="right" vertical="center" wrapText="1" indent="1"/>
    </xf>
    <xf numFmtId="171" fontId="0" fillId="40" borderId="7" xfId="0" applyNumberFormat="1" applyFont="1" applyFill="1" applyBorder="1" applyAlignment="1">
      <alignment horizontal="right" vertical="center" wrapText="1" indent="1"/>
    </xf>
    <xf numFmtId="183" fontId="4" fillId="40" borderId="104" xfId="0" applyNumberFormat="1" applyFont="1" applyFill="1" applyBorder="1" applyAlignment="1">
      <alignment horizontal="left" vertical="center" wrapText="1" indent="1"/>
    </xf>
    <xf numFmtId="183" fontId="4" fillId="40" borderId="42" xfId="0" applyNumberFormat="1" applyFont="1" applyFill="1" applyBorder="1" applyAlignment="1">
      <alignment horizontal="left" vertical="center" wrapText="1" indent="1"/>
    </xf>
    <xf numFmtId="183" fontId="0" fillId="15" borderId="122" xfId="0" applyNumberFormat="1" applyFont="1" applyFill="1" applyBorder="1" applyAlignment="1">
      <alignment horizontal="center" vertical="center" wrapText="1"/>
    </xf>
    <xf numFmtId="183" fontId="0" fillId="15" borderId="44" xfId="0" applyNumberFormat="1" applyFont="1" applyFill="1" applyBorder="1" applyAlignment="1">
      <alignment horizontal="center" vertical="center" wrapText="1"/>
    </xf>
    <xf numFmtId="2" fontId="48" fillId="40" borderId="122" xfId="0" applyNumberFormat="1" applyFont="1" applyFill="1" applyBorder="1" applyAlignment="1">
      <alignment horizontal="right" vertical="center" wrapText="1" indent="1"/>
    </xf>
    <xf numFmtId="2" fontId="48" fillId="40" borderId="44" xfId="0" applyNumberFormat="1" applyFont="1" applyFill="1" applyBorder="1" applyAlignment="1">
      <alignment horizontal="right" vertical="center" wrapText="1" indent="1"/>
    </xf>
    <xf numFmtId="166" fontId="0" fillId="40" borderId="119" xfId="0" applyNumberFormat="1" applyFont="1" applyFill="1" applyBorder="1" applyAlignment="1">
      <alignment horizontal="right" vertical="center" wrapText="1" indent="1"/>
    </xf>
    <xf numFmtId="187" fontId="0" fillId="0" borderId="3" xfId="0" applyNumberFormat="1" applyFill="1" applyBorder="1" applyAlignment="1">
      <alignment horizontal="center" vertical="center" wrapText="1"/>
    </xf>
    <xf numFmtId="0" fontId="4" fillId="14" borderId="9" xfId="0" applyFont="1" applyFill="1" applyBorder="1" applyAlignment="1">
      <alignment horizontal="center" vertical="center" wrapText="1"/>
    </xf>
    <xf numFmtId="0" fontId="0" fillId="14" borderId="9" xfId="0" applyFont="1" applyFill="1" applyBorder="1" applyAlignment="1">
      <alignment horizontal="center" vertical="center" wrapText="1"/>
    </xf>
    <xf numFmtId="0" fontId="0" fillId="0" borderId="104" xfId="0" applyFill="1" applyBorder="1" applyAlignment="1">
      <alignment horizontal="center" vertical="center" wrapText="1"/>
    </xf>
    <xf numFmtId="0" fontId="0" fillId="0" borderId="42" xfId="0" applyFill="1" applyBorder="1" applyAlignment="1">
      <alignment horizontal="center" vertical="center" wrapText="1"/>
    </xf>
    <xf numFmtId="0" fontId="37" fillId="2" borderId="121" xfId="0" applyFont="1" applyFill="1" applyBorder="1" applyAlignment="1">
      <alignment horizontal="center" vertical="center" wrapText="1"/>
    </xf>
    <xf numFmtId="0" fontId="37" fillId="2" borderId="7" xfId="0" applyFont="1" applyFill="1" applyBorder="1" applyAlignment="1">
      <alignment horizontal="center" vertical="center" wrapText="1"/>
    </xf>
    <xf numFmtId="183" fontId="4" fillId="15" borderId="104" xfId="0" applyNumberFormat="1" applyFont="1" applyFill="1" applyBorder="1" applyAlignment="1">
      <alignment horizontal="center" vertical="center" wrapText="1"/>
    </xf>
    <xf numFmtId="183" fontId="4" fillId="15" borderId="42" xfId="0" applyNumberFormat="1" applyFont="1" applyFill="1" applyBorder="1" applyAlignment="1">
      <alignment horizontal="center" vertical="center" wrapText="1"/>
    </xf>
    <xf numFmtId="166" fontId="0" fillId="0" borderId="8" xfId="0" applyNumberFormat="1" applyFill="1" applyBorder="1" applyAlignment="1">
      <alignment horizontal="right" vertical="center" wrapText="1" indent="1"/>
    </xf>
    <xf numFmtId="166" fontId="0" fillId="2" borderId="121" xfId="0" applyNumberFormat="1" applyFill="1" applyBorder="1" applyAlignment="1">
      <alignment horizontal="right" vertical="center" wrapText="1" indent="1"/>
    </xf>
    <xf numFmtId="166" fontId="0" fillId="2" borderId="7" xfId="0" applyNumberFormat="1" applyFill="1" applyBorder="1" applyAlignment="1">
      <alignment horizontal="right" vertical="center" wrapText="1" indent="1"/>
    </xf>
    <xf numFmtId="166" fontId="0" fillId="0" borderId="233" xfId="0" applyNumberFormat="1" applyFill="1" applyBorder="1" applyAlignment="1">
      <alignment horizontal="center" vertical="center" wrapText="1"/>
    </xf>
    <xf numFmtId="166" fontId="0" fillId="0" borderId="44" xfId="0" applyNumberFormat="1" applyFill="1" applyBorder="1" applyAlignment="1">
      <alignment horizontal="center" vertical="center" wrapText="1"/>
    </xf>
    <xf numFmtId="166" fontId="0" fillId="0" borderId="232" xfId="0" applyNumberFormat="1" applyFill="1" applyBorder="1" applyAlignment="1">
      <alignment horizontal="center" vertical="center" wrapText="1"/>
    </xf>
    <xf numFmtId="166" fontId="0" fillId="0" borderId="24" xfId="0" applyNumberFormat="1" applyFill="1" applyBorder="1" applyAlignment="1">
      <alignment horizontal="right" vertical="center" wrapText="1" indent="1"/>
    </xf>
    <xf numFmtId="187" fontId="0" fillId="2" borderId="121" xfId="0" applyNumberFormat="1" applyFill="1" applyBorder="1" applyAlignment="1">
      <alignment horizontal="center" vertical="center" wrapText="1"/>
    </xf>
    <xf numFmtId="187" fontId="0" fillId="2" borderId="7" xfId="0" applyNumberFormat="1" applyFill="1" applyBorder="1" applyAlignment="1">
      <alignment horizontal="center" vertical="center" wrapText="1"/>
    </xf>
    <xf numFmtId="187" fontId="0" fillId="0" borderId="121" xfId="0" applyNumberFormat="1" applyFill="1" applyBorder="1" applyAlignment="1">
      <alignment horizontal="center" vertical="center" wrapText="1"/>
    </xf>
    <xf numFmtId="0" fontId="1" fillId="2" borderId="121" xfId="0" applyFont="1" applyFill="1" applyBorder="1" applyAlignment="1">
      <alignment horizontal="left" vertical="center" wrapText="1" indent="1"/>
    </xf>
    <xf numFmtId="0" fontId="1" fillId="2" borderId="7" xfId="0" applyFont="1" applyFill="1" applyBorder="1" applyAlignment="1">
      <alignment horizontal="left" vertical="center" wrapText="1" indent="1"/>
    </xf>
    <xf numFmtId="0" fontId="1" fillId="2" borderId="121" xfId="0" applyFont="1" applyFill="1" applyBorder="1" applyAlignment="1">
      <alignment horizontal="center" vertical="center" wrapText="1"/>
    </xf>
    <xf numFmtId="0" fontId="1" fillId="2" borderId="7" xfId="0" applyFont="1" applyFill="1" applyBorder="1" applyAlignment="1">
      <alignment horizontal="center" vertical="center" wrapText="1"/>
    </xf>
    <xf numFmtId="187" fontId="0" fillId="0" borderId="24" xfId="0" applyNumberFormat="1" applyFill="1" applyBorder="1" applyAlignment="1">
      <alignment vertical="center" wrapText="1"/>
    </xf>
    <xf numFmtId="0" fontId="0" fillId="0" borderId="3" xfId="0" applyFill="1" applyBorder="1" applyAlignment="1">
      <alignment vertical="center" wrapText="1"/>
    </xf>
    <xf numFmtId="0" fontId="0" fillId="0" borderId="7" xfId="0" applyFill="1" applyBorder="1" applyAlignment="1">
      <alignment vertical="center" wrapText="1"/>
    </xf>
    <xf numFmtId="0" fontId="0" fillId="2" borderId="121"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14" borderId="133" xfId="0" applyFill="1" applyBorder="1" applyAlignment="1">
      <alignment horizontal="center" vertical="center" wrapText="1"/>
    </xf>
    <xf numFmtId="0" fontId="37" fillId="14" borderId="435" xfId="0" applyFont="1" applyFill="1" applyBorder="1" applyAlignment="1">
      <alignment horizontal="center" vertical="center" wrapText="1"/>
    </xf>
    <xf numFmtId="0" fontId="1" fillId="20" borderId="306" xfId="0" applyFont="1" applyFill="1" applyBorder="1" applyAlignment="1">
      <alignment horizontal="center" vertical="center" wrapText="1"/>
    </xf>
    <xf numFmtId="0" fontId="1" fillId="20" borderId="3" xfId="0" applyFont="1" applyFill="1" applyBorder="1" applyAlignment="1">
      <alignment horizontal="center" vertical="center" wrapText="1"/>
    </xf>
    <xf numFmtId="0" fontId="1" fillId="20" borderId="7" xfId="0" applyFont="1" applyFill="1" applyBorder="1" applyAlignment="1">
      <alignment horizontal="center" vertical="center" wrapText="1"/>
    </xf>
    <xf numFmtId="0" fontId="4" fillId="38" borderId="232" xfId="0" applyFont="1" applyFill="1" applyBorder="1" applyAlignment="1">
      <alignment horizontal="center" vertical="center" wrapText="1"/>
    </xf>
    <xf numFmtId="0" fontId="4" fillId="38" borderId="3" xfId="0" applyFont="1" applyFill="1" applyBorder="1" applyAlignment="1">
      <alignment horizontal="center" vertical="center" wrapText="1"/>
    </xf>
    <xf numFmtId="0" fontId="1" fillId="38" borderId="232" xfId="0" applyFont="1" applyFill="1" applyBorder="1" applyAlignment="1">
      <alignment horizontal="center" vertical="center" wrapText="1"/>
    </xf>
    <xf numFmtId="0" fontId="1" fillId="38" borderId="3" xfId="0" applyFont="1" applyFill="1" applyBorder="1" applyAlignment="1">
      <alignment horizontal="center" vertical="center" wrapText="1"/>
    </xf>
    <xf numFmtId="0" fontId="1" fillId="38" borderId="233" xfId="0" applyFont="1" applyFill="1" applyBorder="1" applyAlignment="1">
      <alignment horizontal="center" vertical="center" wrapText="1"/>
    </xf>
    <xf numFmtId="0" fontId="1" fillId="38" borderId="31" xfId="0" applyFont="1" applyFill="1" applyBorder="1" applyAlignment="1">
      <alignment horizontal="center" vertical="center" wrapText="1"/>
    </xf>
    <xf numFmtId="0" fontId="1" fillId="38" borderId="44" xfId="0" applyFont="1" applyFill="1" applyBorder="1" applyAlignment="1">
      <alignment horizontal="center" vertical="center" wrapText="1"/>
    </xf>
    <xf numFmtId="183" fontId="4" fillId="15" borderId="40" xfId="0" applyNumberFormat="1" applyFont="1" applyFill="1" applyBorder="1" applyAlignment="1">
      <alignment horizontal="center" vertical="center" wrapText="1"/>
    </xf>
    <xf numFmtId="183" fontId="4" fillId="15" borderId="38" xfId="0" applyNumberFormat="1" applyFont="1" applyFill="1" applyBorder="1" applyAlignment="1">
      <alignment horizontal="center" vertical="center" wrapText="1"/>
    </xf>
    <xf numFmtId="183" fontId="4" fillId="15" borderId="41" xfId="0" applyNumberFormat="1" applyFont="1" applyFill="1" applyBorder="1" applyAlignment="1">
      <alignment horizontal="center" vertical="center" wrapText="1"/>
    </xf>
    <xf numFmtId="0" fontId="0" fillId="0" borderId="232" xfId="0" applyFill="1" applyBorder="1" applyAlignment="1">
      <alignment horizontal="center" vertical="center" wrapText="1"/>
    </xf>
    <xf numFmtId="166" fontId="0" fillId="2" borderId="122" xfId="0" applyNumberFormat="1" applyFill="1" applyBorder="1" applyAlignment="1">
      <alignment horizontal="right" vertical="center" wrapText="1" indent="1"/>
    </xf>
    <xf numFmtId="166" fontId="0" fillId="2" borderId="44" xfId="0" applyNumberFormat="1" applyFill="1" applyBorder="1" applyAlignment="1">
      <alignment horizontal="right" vertical="center" wrapText="1" indent="1"/>
    </xf>
    <xf numFmtId="0" fontId="4" fillId="38" borderId="89" xfId="0" applyFont="1" applyFill="1" applyBorder="1" applyAlignment="1">
      <alignment horizontal="center" vertical="center" wrapText="1"/>
    </xf>
    <xf numFmtId="0" fontId="4" fillId="38" borderId="19" xfId="0" applyFont="1" applyFill="1" applyBorder="1" applyAlignment="1">
      <alignment horizontal="center" vertical="center" wrapText="1"/>
    </xf>
    <xf numFmtId="0" fontId="4" fillId="38" borderId="80" xfId="0" applyFont="1" applyFill="1" applyBorder="1" applyAlignment="1">
      <alignment horizontal="center" vertical="center" wrapText="1"/>
    </xf>
    <xf numFmtId="2" fontId="0" fillId="0" borderId="12" xfId="0" applyNumberFormat="1" applyFill="1" applyBorder="1" applyAlignment="1">
      <alignment horizontal="center" vertical="center" wrapText="1"/>
    </xf>
    <xf numFmtId="2" fontId="0" fillId="0" borderId="3" xfId="0" applyNumberFormat="1" applyFill="1" applyBorder="1" applyAlignment="1">
      <alignment horizontal="center" vertical="center" wrapText="1"/>
    </xf>
    <xf numFmtId="2" fontId="0" fillId="0" borderId="9" xfId="0" applyNumberFormat="1" applyFill="1" applyBorder="1" applyAlignment="1">
      <alignment horizontal="center" vertical="center" wrapText="1"/>
    </xf>
    <xf numFmtId="183" fontId="4" fillId="40" borderId="40" xfId="0" applyNumberFormat="1" applyFont="1" applyFill="1" applyBorder="1" applyAlignment="1">
      <alignment horizontal="center" vertical="center" wrapText="1"/>
    </xf>
    <xf numFmtId="183" fontId="4" fillId="40" borderId="38" xfId="0" applyNumberFormat="1" applyFont="1" applyFill="1" applyBorder="1" applyAlignment="1">
      <alignment horizontal="center" vertical="center" wrapText="1"/>
    </xf>
    <xf numFmtId="183" fontId="4" fillId="40" borderId="41" xfId="0" applyNumberFormat="1" applyFont="1" applyFill="1" applyBorder="1" applyAlignment="1">
      <alignment horizontal="center" vertical="center" wrapText="1"/>
    </xf>
    <xf numFmtId="3" fontId="0" fillId="29" borderId="181" xfId="0" applyNumberFormat="1" applyFill="1" applyBorder="1" applyAlignment="1">
      <alignment horizontal="right" vertical="center" wrapText="1" indent="1"/>
    </xf>
    <xf numFmtId="3" fontId="0" fillId="29" borderId="117" xfId="0" applyNumberFormat="1" applyFill="1" applyBorder="1" applyAlignment="1">
      <alignment horizontal="right" vertical="center" wrapText="1" indent="1"/>
    </xf>
    <xf numFmtId="3" fontId="0" fillId="29" borderId="306" xfId="0" applyNumberFormat="1" applyFill="1" applyBorder="1" applyAlignment="1">
      <alignment horizontal="center" vertical="center" wrapText="1"/>
    </xf>
    <xf numFmtId="3" fontId="0" fillId="29" borderId="3" xfId="0" applyNumberFormat="1" applyFill="1" applyBorder="1" applyAlignment="1">
      <alignment horizontal="center" vertical="center" wrapText="1"/>
    </xf>
    <xf numFmtId="3" fontId="0" fillId="29" borderId="9" xfId="0" applyNumberFormat="1" applyFill="1" applyBorder="1" applyAlignment="1">
      <alignment horizontal="center" vertical="center" wrapText="1"/>
    </xf>
    <xf numFmtId="4" fontId="0" fillId="29" borderId="12" xfId="0" applyNumberFormat="1" applyFill="1" applyBorder="1" applyAlignment="1">
      <alignment horizontal="right" vertical="center" wrapText="1" indent="1"/>
    </xf>
    <xf numFmtId="4" fontId="0" fillId="29" borderId="3" xfId="0" applyNumberFormat="1" applyFill="1" applyBorder="1" applyAlignment="1">
      <alignment horizontal="right" vertical="center" wrapText="1" indent="1"/>
    </xf>
    <xf numFmtId="4" fontId="0" fillId="29" borderId="9" xfId="0" applyNumberFormat="1" applyFill="1" applyBorder="1" applyAlignment="1">
      <alignment horizontal="right" vertical="center" wrapText="1" indent="1"/>
    </xf>
    <xf numFmtId="0" fontId="4" fillId="39" borderId="232" xfId="0" applyFont="1" applyFill="1" applyBorder="1" applyAlignment="1">
      <alignment horizontal="center" vertical="center" wrapText="1"/>
    </xf>
    <xf numFmtId="0" fontId="4" fillId="20" borderId="538" xfId="0" applyFont="1" applyFill="1" applyBorder="1" applyAlignment="1">
      <alignment horizontal="center" vertical="center" wrapText="1"/>
    </xf>
    <xf numFmtId="0" fontId="4" fillId="20" borderId="44" xfId="0" applyFont="1" applyFill="1" applyBorder="1" applyAlignment="1">
      <alignment horizontal="center" vertical="center" wrapText="1"/>
    </xf>
    <xf numFmtId="0" fontId="1" fillId="20" borderId="540" xfId="0" applyFont="1" applyFill="1" applyBorder="1" applyAlignment="1">
      <alignment horizontal="center" vertical="center" wrapText="1"/>
    </xf>
    <xf numFmtId="0" fontId="0" fillId="14" borderId="23" xfId="0" applyFill="1" applyBorder="1" applyAlignment="1">
      <alignment horizontal="left" vertical="center" wrapText="1" indent="1"/>
    </xf>
    <xf numFmtId="0" fontId="0" fillId="0" borderId="493" xfId="0" applyBorder="1" applyAlignment="1">
      <alignment horizontal="left" vertical="center" wrapText="1" indent="1"/>
    </xf>
    <xf numFmtId="0" fontId="4" fillId="0" borderId="44"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52" xfId="0" applyFont="1" applyFill="1" applyBorder="1" applyAlignment="1">
      <alignment horizontal="center" vertical="center" wrapText="1"/>
    </xf>
    <xf numFmtId="0" fontId="1" fillId="20" borderId="319" xfId="0" applyFont="1" applyFill="1" applyBorder="1" applyAlignment="1">
      <alignment horizontal="center" vertical="center" wrapText="1"/>
    </xf>
    <xf numFmtId="0" fontId="1" fillId="20" borderId="31" xfId="0" applyFont="1" applyFill="1" applyBorder="1" applyAlignment="1">
      <alignment horizontal="center" vertical="center" wrapText="1"/>
    </xf>
    <xf numFmtId="0" fontId="1" fillId="20" borderId="44" xfId="0" applyFont="1" applyFill="1" applyBorder="1" applyAlignment="1">
      <alignment horizontal="center" vertical="center" wrapText="1"/>
    </xf>
    <xf numFmtId="183" fontId="0" fillId="15" borderId="40" xfId="0" applyNumberFormat="1" applyFill="1" applyBorder="1" applyAlignment="1">
      <alignment horizontal="center" vertical="center" wrapText="1"/>
    </xf>
    <xf numFmtId="183" fontId="0" fillId="15" borderId="38" xfId="0" applyNumberFormat="1" applyFill="1" applyBorder="1" applyAlignment="1">
      <alignment horizontal="center" vertical="center" wrapText="1"/>
    </xf>
    <xf numFmtId="183" fontId="0" fillId="15" borderId="41" xfId="0" applyNumberFormat="1" applyFill="1" applyBorder="1" applyAlignment="1">
      <alignment horizontal="center" vertical="center" wrapText="1"/>
    </xf>
    <xf numFmtId="0" fontId="4" fillId="19" borderId="286" xfId="0" applyFont="1" applyFill="1" applyBorder="1" applyAlignment="1">
      <alignment horizontal="center" vertical="center" wrapText="1"/>
    </xf>
    <xf numFmtId="0" fontId="4" fillId="19" borderId="8" xfId="0" applyFont="1" applyFill="1" applyBorder="1" applyAlignment="1">
      <alignment horizontal="center" vertical="center" wrapText="1"/>
    </xf>
    <xf numFmtId="0" fontId="4" fillId="19" borderId="280" xfId="0" applyFont="1" applyFill="1" applyBorder="1" applyAlignment="1">
      <alignment horizontal="center" vertical="center" wrapText="1"/>
    </xf>
    <xf numFmtId="0" fontId="4" fillId="19" borderId="294" xfId="0" applyFont="1" applyFill="1" applyBorder="1" applyAlignment="1">
      <alignment horizontal="center" vertical="center" wrapText="1"/>
    </xf>
    <xf numFmtId="0" fontId="4" fillId="19" borderId="79" xfId="0" applyFont="1" applyFill="1" applyBorder="1" applyAlignment="1">
      <alignment horizontal="center" vertical="center" wrapText="1"/>
    </xf>
    <xf numFmtId="0" fontId="4" fillId="19" borderId="292" xfId="0" applyFont="1" applyFill="1" applyBorder="1" applyAlignment="1">
      <alignment horizontal="left" vertical="center" wrapText="1"/>
    </xf>
    <xf numFmtId="0" fontId="4" fillId="19" borderId="7" xfId="0" applyFont="1" applyFill="1" applyBorder="1" applyAlignment="1">
      <alignment horizontal="left" vertical="center" wrapText="1"/>
    </xf>
    <xf numFmtId="183" fontId="4" fillId="19" borderId="291" xfId="0" applyNumberFormat="1" applyFont="1" applyFill="1" applyBorder="1" applyAlignment="1">
      <alignment horizontal="center" vertical="center" wrapText="1"/>
    </xf>
    <xf numFmtId="183" fontId="4" fillId="19" borderId="42" xfId="0" applyNumberFormat="1" applyFont="1" applyFill="1" applyBorder="1" applyAlignment="1">
      <alignment horizontal="center" vertical="center" wrapText="1"/>
    </xf>
    <xf numFmtId="183" fontId="4" fillId="19" borderId="292" xfId="0" applyNumberFormat="1" applyFont="1" applyFill="1" applyBorder="1" applyAlignment="1">
      <alignment horizontal="center" vertical="center" wrapText="1"/>
    </xf>
    <xf numFmtId="183" fontId="4" fillId="19" borderId="7" xfId="0" applyNumberFormat="1" applyFont="1" applyFill="1" applyBorder="1" applyAlignment="1">
      <alignment horizontal="center" vertical="center" wrapText="1"/>
    </xf>
    <xf numFmtId="0" fontId="1" fillId="39" borderId="233" xfId="0" applyFont="1" applyFill="1" applyBorder="1" applyAlignment="1">
      <alignment horizontal="center" vertical="center" wrapText="1"/>
    </xf>
    <xf numFmtId="0" fontId="1" fillId="39" borderId="31" xfId="0" applyFont="1" applyFill="1" applyBorder="1" applyAlignment="1">
      <alignment horizontal="center" vertical="center" wrapText="1"/>
    </xf>
    <xf numFmtId="0" fontId="1" fillId="39" borderId="44" xfId="0" applyFont="1" applyFill="1" applyBorder="1" applyAlignment="1">
      <alignment horizontal="center" vertical="center" wrapText="1"/>
    </xf>
    <xf numFmtId="183" fontId="4" fillId="31" borderId="52" xfId="0" applyNumberFormat="1" applyFont="1" applyFill="1" applyBorder="1" applyAlignment="1">
      <alignment horizontal="center" vertical="center" wrapText="1"/>
    </xf>
    <xf numFmtId="183" fontId="4" fillId="31" borderId="23" xfId="0" applyNumberFormat="1" applyFont="1" applyFill="1" applyBorder="1" applyAlignment="1">
      <alignment horizontal="center" vertical="center" wrapText="1"/>
    </xf>
    <xf numFmtId="183" fontId="4" fillId="31" borderId="34" xfId="0" applyNumberFormat="1" applyFont="1" applyFill="1" applyBorder="1" applyAlignment="1">
      <alignment horizontal="center" vertical="center" wrapText="1"/>
    </xf>
    <xf numFmtId="0" fontId="4" fillId="19" borderId="235" xfId="0" applyFont="1" applyFill="1" applyBorder="1" applyAlignment="1">
      <alignment horizontal="center" vertical="center" wrapText="1"/>
    </xf>
    <xf numFmtId="0" fontId="4" fillId="39" borderId="73" xfId="0" applyFont="1" applyFill="1" applyBorder="1" applyAlignment="1">
      <alignment horizontal="center" vertical="center" wrapText="1"/>
    </xf>
    <xf numFmtId="0" fontId="4" fillId="39" borderId="48" xfId="0" applyFont="1" applyFill="1" applyBorder="1" applyAlignment="1">
      <alignment horizontal="center" vertical="center" wrapText="1"/>
    </xf>
    <xf numFmtId="0" fontId="4" fillId="39" borderId="66" xfId="0" applyFont="1" applyFill="1" applyBorder="1" applyAlignment="1">
      <alignment horizontal="center" vertical="center" wrapText="1"/>
    </xf>
    <xf numFmtId="183" fontId="4" fillId="35" borderId="48" xfId="0" applyNumberFormat="1" applyFont="1" applyFill="1" applyBorder="1" applyAlignment="1">
      <alignment horizontal="center" vertical="center" wrapText="1"/>
    </xf>
    <xf numFmtId="183" fontId="4" fillId="38" borderId="51" xfId="0" applyNumberFormat="1" applyFont="1" applyFill="1" applyBorder="1" applyAlignment="1">
      <alignment horizontal="center" vertical="center" wrapText="1"/>
    </xf>
    <xf numFmtId="183" fontId="4" fillId="38" borderId="26" xfId="0" applyNumberFormat="1" applyFont="1" applyFill="1" applyBorder="1" applyAlignment="1">
      <alignment horizontal="center" vertical="center" wrapText="1"/>
    </xf>
    <xf numFmtId="183" fontId="4" fillId="38" borderId="33" xfId="0" applyNumberFormat="1" applyFont="1" applyFill="1" applyBorder="1" applyAlignment="1">
      <alignment horizontal="center" vertical="center" wrapText="1"/>
    </xf>
    <xf numFmtId="183" fontId="4" fillId="19" borderId="294" xfId="0" applyNumberFormat="1" applyFont="1" applyFill="1" applyBorder="1" applyAlignment="1">
      <alignment horizontal="center" vertical="center" wrapText="1"/>
    </xf>
    <xf numFmtId="183" fontId="4" fillId="19" borderId="79" xfId="0" applyNumberFormat="1" applyFont="1" applyFill="1" applyBorder="1" applyAlignment="1">
      <alignment horizontal="center" vertical="center" wrapText="1"/>
    </xf>
    <xf numFmtId="0" fontId="4" fillId="39" borderId="38" xfId="0" applyFont="1" applyFill="1" applyBorder="1" applyAlignment="1">
      <alignment horizontal="center" vertical="center" wrapText="1"/>
    </xf>
    <xf numFmtId="0" fontId="4" fillId="39" borderId="44" xfId="0" applyFont="1" applyFill="1" applyBorder="1" applyAlignment="1">
      <alignment horizontal="center" vertical="center" wrapText="1"/>
    </xf>
    <xf numFmtId="0" fontId="4" fillId="19" borderId="293" xfId="0" applyFont="1" applyFill="1" applyBorder="1" applyAlignment="1">
      <alignment horizontal="center" vertical="center" wrapText="1"/>
    </xf>
    <xf numFmtId="0" fontId="4" fillId="19" borderId="11" xfId="0" applyFont="1" applyFill="1" applyBorder="1" applyAlignment="1">
      <alignment horizontal="center" vertical="center" wrapText="1"/>
    </xf>
    <xf numFmtId="0" fontId="1" fillId="19" borderId="280" xfId="0" quotePrefix="1" applyFont="1" applyFill="1" applyBorder="1" applyAlignment="1">
      <alignment horizontal="center" vertical="center" wrapText="1"/>
    </xf>
    <xf numFmtId="0" fontId="4" fillId="21" borderId="540" xfId="0" applyFont="1" applyFill="1" applyBorder="1" applyAlignment="1">
      <alignment horizontal="center" vertical="center" wrapText="1"/>
    </xf>
    <xf numFmtId="0" fontId="4" fillId="21" borderId="7" xfId="0" applyFont="1" applyFill="1" applyBorder="1" applyAlignment="1">
      <alignment horizontal="center" vertical="center" wrapText="1"/>
    </xf>
    <xf numFmtId="0" fontId="4" fillId="21" borderId="539" xfId="0" applyFont="1" applyFill="1" applyBorder="1" applyAlignment="1">
      <alignment horizontal="center" vertical="center" wrapText="1"/>
    </xf>
    <xf numFmtId="0" fontId="4" fillId="21" borderId="8" xfId="0" applyFont="1" applyFill="1" applyBorder="1" applyAlignment="1">
      <alignment horizontal="center" vertical="center" wrapText="1"/>
    </xf>
    <xf numFmtId="0" fontId="4" fillId="21" borderId="546" xfId="0" applyFont="1" applyFill="1" applyBorder="1" applyAlignment="1">
      <alignment horizontal="center" vertical="center" wrapText="1"/>
    </xf>
    <xf numFmtId="0" fontId="4" fillId="21" borderId="6" xfId="0" applyFont="1" applyFill="1" applyBorder="1" applyAlignment="1">
      <alignment horizontal="center" vertical="center" wrapText="1"/>
    </xf>
    <xf numFmtId="0" fontId="4" fillId="21" borderId="70" xfId="0" applyFont="1" applyFill="1" applyBorder="1" applyAlignment="1">
      <alignment horizontal="center" vertical="center" wrapText="1"/>
    </xf>
    <xf numFmtId="0" fontId="4" fillId="21" borderId="22" xfId="0" applyFont="1" applyFill="1" applyBorder="1" applyAlignment="1">
      <alignment horizontal="center" vertical="center" wrapText="1"/>
    </xf>
    <xf numFmtId="0" fontId="4" fillId="21" borderId="37" xfId="0" applyFont="1" applyFill="1" applyBorder="1" applyAlignment="1">
      <alignment horizontal="center" vertical="center" wrapText="1"/>
    </xf>
    <xf numFmtId="0" fontId="4" fillId="26" borderId="37" xfId="0" applyFont="1" applyFill="1" applyBorder="1" applyAlignment="1">
      <alignment horizontal="center" vertical="center" wrapText="1"/>
    </xf>
    <xf numFmtId="0" fontId="4" fillId="26" borderId="7" xfId="0" applyFont="1" applyFill="1" applyBorder="1" applyAlignment="1">
      <alignment horizontal="center" vertical="center" wrapText="1"/>
    </xf>
    <xf numFmtId="0" fontId="4" fillId="19" borderId="71" xfId="0" applyFont="1" applyFill="1" applyBorder="1" applyAlignment="1">
      <alignment horizontal="center" vertical="center" wrapText="1"/>
    </xf>
    <xf numFmtId="0" fontId="4" fillId="19" borderId="47"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4" fillId="0" borderId="57" xfId="0" applyFont="1" applyFill="1" applyBorder="1" applyAlignment="1">
      <alignment horizontal="center" vertical="center" wrapText="1"/>
    </xf>
    <xf numFmtId="0" fontId="4" fillId="0" borderId="79" xfId="0" applyFont="1" applyFill="1" applyBorder="1" applyAlignment="1">
      <alignment horizontal="center" vertical="center" wrapText="1"/>
    </xf>
    <xf numFmtId="0" fontId="4" fillId="19" borderId="90" xfId="0" applyFont="1" applyFill="1" applyBorder="1" applyAlignment="1">
      <alignment horizontal="center" vertical="center" wrapText="1"/>
    </xf>
    <xf numFmtId="0" fontId="4" fillId="19" borderId="67" xfId="0" applyFont="1" applyFill="1" applyBorder="1" applyAlignment="1">
      <alignment horizontal="center" vertical="center" wrapText="1"/>
    </xf>
    <xf numFmtId="0" fontId="4" fillId="21" borderId="542" xfId="0" applyFont="1" applyFill="1" applyBorder="1" applyAlignment="1">
      <alignment horizontal="center" vertical="center" wrapText="1"/>
    </xf>
    <xf numFmtId="0" fontId="4" fillId="21" borderId="38" xfId="0" applyFont="1" applyFill="1" applyBorder="1" applyAlignment="1">
      <alignment horizontal="center" vertical="center" wrapText="1"/>
    </xf>
    <xf numFmtId="0" fontId="4" fillId="21" borderId="42" xfId="0" applyFont="1" applyFill="1" applyBorder="1" applyAlignment="1">
      <alignment horizontal="center" vertical="center" wrapText="1"/>
    </xf>
    <xf numFmtId="0" fontId="4" fillId="21" borderId="44" xfId="0" applyFont="1" applyFill="1" applyBorder="1" applyAlignment="1">
      <alignment horizontal="center" vertical="center" wrapText="1"/>
    </xf>
    <xf numFmtId="0" fontId="4" fillId="21" borderId="538" xfId="0" applyFont="1" applyFill="1" applyBorder="1" applyAlignment="1">
      <alignment horizontal="center" vertical="center" wrapText="1"/>
    </xf>
    <xf numFmtId="0" fontId="4" fillId="26" borderId="3" xfId="0" applyFont="1" applyFill="1" applyBorder="1" applyAlignment="1">
      <alignment horizontal="center" vertical="center" wrapText="1"/>
    </xf>
    <xf numFmtId="0" fontId="13" fillId="0" borderId="49" xfId="0" applyFont="1" applyFill="1" applyBorder="1" applyAlignment="1">
      <alignment horizontal="center"/>
    </xf>
    <xf numFmtId="0" fontId="13" fillId="0" borderId="72" xfId="0" applyFont="1" applyFill="1" applyBorder="1" applyAlignment="1">
      <alignment horizontal="center"/>
    </xf>
    <xf numFmtId="0" fontId="1" fillId="26" borderId="89" xfId="0" applyFont="1" applyFill="1" applyBorder="1" applyAlignment="1">
      <alignment horizontal="center" vertical="center" wrapText="1"/>
    </xf>
    <xf numFmtId="0" fontId="1" fillId="26" borderId="80" xfId="0" applyFont="1" applyFill="1" applyBorder="1" applyAlignment="1">
      <alignment horizontal="center" vertical="center" wrapText="1"/>
    </xf>
    <xf numFmtId="0" fontId="4" fillId="26" borderId="51" xfId="0" applyFont="1" applyFill="1" applyBorder="1" applyAlignment="1">
      <alignment horizontal="center" vertical="center" wrapText="1"/>
    </xf>
    <xf numFmtId="0" fontId="4" fillId="26" borderId="26" xfId="0" applyFont="1" applyFill="1" applyBorder="1" applyAlignment="1">
      <alignment horizontal="center" vertical="center" wrapText="1"/>
    </xf>
    <xf numFmtId="0" fontId="4" fillId="26" borderId="13" xfId="0" applyFont="1" applyFill="1" applyBorder="1" applyAlignment="1">
      <alignment horizontal="center" vertical="center" wrapText="1"/>
    </xf>
    <xf numFmtId="0" fontId="4" fillId="26" borderId="23" xfId="0" applyFont="1" applyFill="1" applyBorder="1" applyAlignment="1">
      <alignment horizontal="center" vertical="center" wrapText="1"/>
    </xf>
    <xf numFmtId="0" fontId="4" fillId="26" borderId="235" xfId="0" applyFont="1" applyFill="1" applyBorder="1" applyAlignment="1">
      <alignment horizontal="center" vertical="center" wrapText="1"/>
    </xf>
    <xf numFmtId="0" fontId="37" fillId="21" borderId="70" xfId="0" applyFont="1" applyFill="1" applyBorder="1" applyAlignment="1">
      <alignment horizontal="center" vertical="center" wrapText="1"/>
    </xf>
    <xf numFmtId="0" fontId="37" fillId="21" borderId="37" xfId="0" applyFont="1" applyFill="1" applyBorder="1" applyAlignment="1">
      <alignment horizontal="center" vertical="center" wrapText="1"/>
    </xf>
    <xf numFmtId="0" fontId="4" fillId="21" borderId="56" xfId="0" applyFont="1" applyFill="1" applyBorder="1" applyAlignment="1">
      <alignment horizontal="center" vertical="center" wrapText="1"/>
    </xf>
    <xf numFmtId="0" fontId="4" fillId="21" borderId="57" xfId="0" applyFont="1" applyFill="1" applyBorder="1" applyAlignment="1">
      <alignment horizontal="center" vertical="center" wrapText="1"/>
    </xf>
    <xf numFmtId="0" fontId="4" fillId="21" borderId="79" xfId="0" applyFont="1" applyFill="1" applyBorder="1" applyAlignment="1">
      <alignment horizontal="center" vertical="center" wrapText="1"/>
    </xf>
    <xf numFmtId="0" fontId="4" fillId="21" borderId="417" xfId="0" applyFont="1" applyFill="1" applyBorder="1" applyAlignment="1">
      <alignment horizontal="center" vertical="center" wrapText="1"/>
    </xf>
    <xf numFmtId="0" fontId="4" fillId="21" borderId="537" xfId="0" applyFont="1" applyFill="1" applyBorder="1" applyAlignment="1">
      <alignment horizontal="center" vertical="center" wrapText="1"/>
    </xf>
    <xf numFmtId="0" fontId="4" fillId="26" borderId="49" xfId="0" applyFont="1" applyFill="1" applyBorder="1" applyAlignment="1">
      <alignment horizontal="center" vertical="center" wrapText="1"/>
    </xf>
    <xf numFmtId="0" fontId="4" fillId="26" borderId="48" xfId="0" applyFont="1" applyFill="1" applyBorder="1" applyAlignment="1">
      <alignment horizontal="center" vertical="center" wrapText="1"/>
    </xf>
    <xf numFmtId="0" fontId="4" fillId="26" borderId="66" xfId="0" applyFont="1" applyFill="1" applyBorder="1" applyAlignment="1">
      <alignment horizontal="center" vertical="center" wrapText="1"/>
    </xf>
    <xf numFmtId="0" fontId="4" fillId="26" borderId="292" xfId="0" applyFont="1" applyFill="1" applyBorder="1" applyAlignment="1">
      <alignment horizontal="center" vertical="center" wrapText="1"/>
    </xf>
    <xf numFmtId="0" fontId="4" fillId="26" borderId="293" xfId="0" applyFont="1" applyFill="1" applyBorder="1" applyAlignment="1">
      <alignment horizontal="center" vertical="center" wrapText="1"/>
    </xf>
    <xf numFmtId="0" fontId="9" fillId="21" borderId="51" xfId="0" applyFont="1" applyFill="1" applyBorder="1" applyAlignment="1">
      <alignment horizontal="center" vertical="center" wrapText="1"/>
    </xf>
    <xf numFmtId="0" fontId="9" fillId="21" borderId="26" xfId="0" applyFont="1" applyFill="1" applyBorder="1" applyAlignment="1">
      <alignment horizontal="center" vertical="center" wrapText="1"/>
    </xf>
    <xf numFmtId="0" fontId="9" fillId="21" borderId="33" xfId="0" applyFont="1" applyFill="1" applyBorder="1" applyAlignment="1">
      <alignment horizontal="center" vertical="center" wrapText="1"/>
    </xf>
    <xf numFmtId="0" fontId="4" fillId="20" borderId="542" xfId="0" applyFont="1" applyFill="1" applyBorder="1" applyAlignment="1">
      <alignment horizontal="center" vertical="center" wrapText="1"/>
    </xf>
    <xf numFmtId="0" fontId="4" fillId="39" borderId="538" xfId="0" applyFont="1" applyFill="1" applyBorder="1" applyAlignment="1">
      <alignment horizontal="center" vertical="center" wrapText="1"/>
    </xf>
    <xf numFmtId="0" fontId="1" fillId="39" borderId="540" xfId="0" applyFont="1" applyFill="1" applyBorder="1" applyAlignment="1">
      <alignment horizontal="center" vertical="center" wrapText="1"/>
    </xf>
    <xf numFmtId="0" fontId="4" fillId="39" borderId="542" xfId="0" applyFont="1" applyFill="1" applyBorder="1" applyAlignment="1">
      <alignment horizontal="center" vertical="center" wrapText="1"/>
    </xf>
    <xf numFmtId="0" fontId="4" fillId="39" borderId="42" xfId="0" applyFont="1" applyFill="1" applyBorder="1" applyAlignment="1">
      <alignment horizontal="center" vertical="center" wrapText="1"/>
    </xf>
    <xf numFmtId="0" fontId="4" fillId="38" borderId="538" xfId="0" applyFont="1" applyFill="1" applyBorder="1" applyAlignment="1">
      <alignment horizontal="center" vertical="center" wrapText="1"/>
    </xf>
    <xf numFmtId="0" fontId="4" fillId="38" borderId="542" xfId="0" applyFont="1" applyFill="1" applyBorder="1" applyAlignment="1">
      <alignment horizontal="center" vertical="center" wrapText="1"/>
    </xf>
    <xf numFmtId="0" fontId="4" fillId="38" borderId="42" xfId="0" applyFont="1" applyFill="1" applyBorder="1" applyAlignment="1">
      <alignment horizontal="center" vertical="center" wrapText="1"/>
    </xf>
    <xf numFmtId="0" fontId="4" fillId="26" borderId="521" xfId="0" applyFont="1" applyFill="1" applyBorder="1" applyAlignment="1">
      <alignment horizontal="center" vertical="center" wrapText="1"/>
    </xf>
    <xf numFmtId="0" fontId="4" fillId="26" borderId="1" xfId="0" applyFont="1" applyFill="1" applyBorder="1" applyAlignment="1">
      <alignment horizontal="center" vertical="center" wrapText="1"/>
    </xf>
    <xf numFmtId="0" fontId="48" fillId="26" borderId="38" xfId="0" applyFont="1" applyFill="1" applyBorder="1" applyAlignment="1">
      <alignment horizontal="center" vertical="center" wrapText="1"/>
    </xf>
    <xf numFmtId="0" fontId="48" fillId="26" borderId="42" xfId="0" applyFont="1" applyFill="1" applyBorder="1" applyAlignment="1">
      <alignment horizontal="center" vertical="center" wrapText="1"/>
    </xf>
    <xf numFmtId="0" fontId="4" fillId="19" borderId="52" xfId="0" applyFont="1" applyFill="1" applyBorder="1" applyAlignment="1">
      <alignment horizontal="center" vertical="center" wrapText="1"/>
    </xf>
    <xf numFmtId="0" fontId="4" fillId="19" borderId="23" xfId="0" applyFont="1" applyFill="1" applyBorder="1" applyAlignment="1">
      <alignment horizontal="center" vertical="center" wrapText="1"/>
    </xf>
    <xf numFmtId="0" fontId="4" fillId="19" borderId="114" xfId="0" applyFont="1" applyFill="1" applyBorder="1" applyAlignment="1">
      <alignment horizontal="center" vertical="center" wrapText="1"/>
    </xf>
    <xf numFmtId="0" fontId="4" fillId="19" borderId="261" xfId="0" applyFont="1" applyFill="1" applyBorder="1" applyAlignment="1">
      <alignment horizontal="center" vertical="center" wrapText="1"/>
    </xf>
    <xf numFmtId="0" fontId="4" fillId="19" borderId="116" xfId="0" applyFont="1" applyFill="1" applyBorder="1" applyAlignment="1">
      <alignment horizontal="center" vertical="center" wrapText="1"/>
    </xf>
    <xf numFmtId="0" fontId="4" fillId="19" borderId="57" xfId="0" applyFont="1" applyFill="1" applyBorder="1" applyAlignment="1">
      <alignment horizontal="center" vertical="center" wrapText="1"/>
    </xf>
    <xf numFmtId="0" fontId="4" fillId="15" borderId="70" xfId="0" applyFont="1" applyFill="1" applyBorder="1" applyAlignment="1">
      <alignment horizontal="center" vertical="center" wrapText="1"/>
    </xf>
    <xf numFmtId="0" fontId="4" fillId="15" borderId="22" xfId="0" applyFont="1" applyFill="1" applyBorder="1" applyAlignment="1">
      <alignment horizontal="center" vertical="center" wrapText="1"/>
    </xf>
    <xf numFmtId="0" fontId="4" fillId="15" borderId="37" xfId="0" applyFont="1" applyFill="1" applyBorder="1" applyAlignment="1">
      <alignment horizontal="center" vertical="center" wrapText="1"/>
    </xf>
    <xf numFmtId="0" fontId="4" fillId="15" borderId="36" xfId="0" applyFont="1" applyFill="1" applyBorder="1" applyAlignment="1">
      <alignment horizontal="center" vertical="center" wrapText="1"/>
    </xf>
    <xf numFmtId="0" fontId="4" fillId="15" borderId="31" xfId="0" applyFont="1" applyFill="1" applyBorder="1" applyAlignment="1">
      <alignment horizontal="center" vertical="center" wrapText="1"/>
    </xf>
    <xf numFmtId="0" fontId="4" fillId="15" borderId="44" xfId="0" applyFont="1" applyFill="1" applyBorder="1" applyAlignment="1">
      <alignment horizontal="center" vertical="center" wrapText="1"/>
    </xf>
    <xf numFmtId="0" fontId="4" fillId="15" borderId="12" xfId="0" applyFont="1" applyFill="1" applyBorder="1" applyAlignment="1">
      <alignment horizontal="center" vertical="center" wrapText="1"/>
    </xf>
    <xf numFmtId="0" fontId="4" fillId="15" borderId="3" xfId="0" applyFont="1" applyFill="1" applyBorder="1" applyAlignment="1">
      <alignment horizontal="center" vertical="center" wrapText="1"/>
    </xf>
    <xf numFmtId="0" fontId="4" fillId="15" borderId="7" xfId="0" applyFont="1" applyFill="1" applyBorder="1" applyAlignment="1">
      <alignment horizontal="center" vertical="center" wrapText="1"/>
    </xf>
    <xf numFmtId="0" fontId="4" fillId="15" borderId="40" xfId="0" applyFont="1" applyFill="1" applyBorder="1" applyAlignment="1">
      <alignment horizontal="center" vertical="center" wrapText="1"/>
    </xf>
    <xf numFmtId="0" fontId="4" fillId="15" borderId="38" xfId="0" applyFont="1" applyFill="1" applyBorder="1" applyAlignment="1">
      <alignment horizontal="center" vertical="center" wrapText="1"/>
    </xf>
    <xf numFmtId="0" fontId="4" fillId="15" borderId="42" xfId="0" applyFont="1" applyFill="1" applyBorder="1" applyAlignment="1">
      <alignment horizontal="center" vertical="center" wrapText="1"/>
    </xf>
    <xf numFmtId="0" fontId="4" fillId="19" borderId="65" xfId="0" applyFont="1" applyFill="1" applyBorder="1" applyAlignment="1">
      <alignment horizontal="center" vertical="center" wrapText="1"/>
    </xf>
    <xf numFmtId="3" fontId="13" fillId="12" borderId="502" xfId="0" applyNumberFormat="1" applyFont="1" applyFill="1" applyBorder="1" applyAlignment="1">
      <alignment horizontal="right" vertical="center" wrapText="1"/>
    </xf>
    <xf numFmtId="0" fontId="37" fillId="21" borderId="417" xfId="0" applyFont="1" applyFill="1" applyBorder="1" applyAlignment="1">
      <alignment horizontal="center" vertical="center" wrapText="1"/>
    </xf>
    <xf numFmtId="0" fontId="37" fillId="21" borderId="552" xfId="0" applyFont="1" applyFill="1" applyBorder="1" applyAlignment="1">
      <alignment horizontal="center" vertical="center" wrapText="1"/>
    </xf>
    <xf numFmtId="0" fontId="37" fillId="21" borderId="544" xfId="0" applyFont="1" applyFill="1" applyBorder="1" applyAlignment="1">
      <alignment horizontal="center" vertical="center" wrapText="1"/>
    </xf>
    <xf numFmtId="0" fontId="4" fillId="26" borderId="417" xfId="0" applyFont="1" applyFill="1" applyBorder="1" applyAlignment="1">
      <alignment horizontal="center" vertical="center" wrapText="1"/>
    </xf>
    <xf numFmtId="0" fontId="4" fillId="26" borderId="544" xfId="0" applyFont="1" applyFill="1" applyBorder="1" applyAlignment="1">
      <alignment horizontal="center" vertical="center" wrapText="1"/>
    </xf>
    <xf numFmtId="0" fontId="4" fillId="26" borderId="553" xfId="0" applyFont="1" applyFill="1" applyBorder="1" applyAlignment="1">
      <alignment horizontal="center" vertical="center" wrapText="1"/>
    </xf>
    <xf numFmtId="232" fontId="37" fillId="21" borderId="536" xfId="0" applyNumberFormat="1" applyFont="1" applyFill="1" applyBorder="1" applyAlignment="1">
      <alignment horizontal="center" vertical="center"/>
    </xf>
    <xf numFmtId="232" fontId="37" fillId="21" borderId="543" xfId="0" applyNumberFormat="1" applyFont="1" applyFill="1" applyBorder="1" applyAlignment="1">
      <alignment horizontal="center" vertical="center"/>
    </xf>
    <xf numFmtId="0" fontId="37" fillId="21" borderId="549"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80" xfId="0" applyFont="1" applyFill="1" applyBorder="1" applyAlignment="1">
      <alignment horizontal="center" vertical="center" wrapText="1"/>
    </xf>
    <xf numFmtId="0" fontId="4" fillId="21" borderId="73" xfId="0" applyFont="1" applyFill="1" applyBorder="1" applyAlignment="1">
      <alignment horizontal="center" vertical="center" wrapText="1"/>
    </xf>
    <xf numFmtId="0" fontId="4" fillId="21" borderId="48" xfId="0" applyFont="1" applyFill="1" applyBorder="1" applyAlignment="1">
      <alignment horizontal="center" vertical="center" wrapText="1"/>
    </xf>
    <xf numFmtId="0" fontId="37" fillId="21" borderId="554" xfId="0" applyFont="1" applyFill="1" applyBorder="1" applyAlignment="1">
      <alignment horizontal="center" vertical="center" wrapText="1"/>
    </xf>
    <xf numFmtId="0" fontId="37" fillId="21" borderId="44" xfId="0" applyFont="1" applyFill="1" applyBorder="1" applyAlignment="1">
      <alignment horizontal="center" vertical="center" wrapText="1"/>
    </xf>
    <xf numFmtId="0" fontId="9" fillId="21" borderId="73" xfId="0" applyFont="1" applyFill="1" applyBorder="1" applyAlignment="1">
      <alignment horizontal="center" vertical="center" wrapText="1"/>
    </xf>
    <xf numFmtId="0" fontId="9" fillId="21" borderId="48" xfId="0" applyFont="1" applyFill="1" applyBorder="1" applyAlignment="1">
      <alignment horizontal="center" vertical="center" wrapText="1"/>
    </xf>
    <xf numFmtId="0" fontId="9" fillId="21" borderId="66" xfId="0" applyFont="1" applyFill="1" applyBorder="1" applyAlignment="1">
      <alignment horizontal="center" vertical="center" wrapText="1"/>
    </xf>
    <xf numFmtId="0" fontId="4" fillId="21" borderId="31" xfId="0" applyFont="1" applyFill="1" applyBorder="1" applyAlignment="1">
      <alignment horizontal="center" vertical="center" wrapText="1"/>
    </xf>
    <xf numFmtId="0" fontId="4" fillId="21" borderId="553" xfId="0" applyFont="1" applyFill="1" applyBorder="1" applyAlignment="1">
      <alignment horizontal="center" vertical="center" wrapText="1"/>
    </xf>
    <xf numFmtId="0" fontId="4" fillId="21" borderId="600" xfId="0" applyFont="1" applyFill="1" applyBorder="1" applyAlignment="1">
      <alignment horizontal="center" vertical="center" wrapText="1"/>
    </xf>
    <xf numFmtId="0" fontId="4" fillId="21" borderId="544" xfId="0" applyFont="1" applyFill="1" applyBorder="1" applyAlignment="1">
      <alignment horizontal="center" vertical="center" wrapText="1"/>
    </xf>
    <xf numFmtId="0" fontId="19" fillId="45" borderId="24" xfId="0" applyFont="1" applyFill="1" applyBorder="1" applyAlignment="1">
      <alignment horizontal="left" vertical="center" wrapText="1" indent="1"/>
    </xf>
    <xf numFmtId="0" fontId="19" fillId="45" borderId="3" xfId="0" applyFont="1" applyFill="1" applyBorder="1" applyAlignment="1">
      <alignment horizontal="left" vertical="center" wrapText="1" indent="1"/>
    </xf>
    <xf numFmtId="0" fontId="19" fillId="45" borderId="7" xfId="0" applyFont="1" applyFill="1" applyBorder="1" applyAlignment="1">
      <alignment horizontal="left" vertical="center" wrapText="1" indent="1"/>
    </xf>
    <xf numFmtId="0" fontId="22" fillId="45" borderId="24" xfId="0" applyFont="1" applyFill="1" applyBorder="1" applyAlignment="1">
      <alignment horizontal="left" vertical="center" wrapText="1" indent="1"/>
    </xf>
    <xf numFmtId="0" fontId="22" fillId="45" borderId="3" xfId="0" applyFont="1" applyFill="1" applyBorder="1" applyAlignment="1">
      <alignment horizontal="left" vertical="center" wrapText="1" indent="1"/>
    </xf>
    <xf numFmtId="0" fontId="22" fillId="45" borderId="7" xfId="0" applyFont="1" applyFill="1" applyBorder="1" applyAlignment="1">
      <alignment horizontal="left" vertical="center" wrapText="1" indent="1"/>
    </xf>
    <xf numFmtId="0" fontId="19" fillId="14" borderId="24" xfId="0" applyFont="1" applyFill="1" applyBorder="1" applyAlignment="1">
      <alignment horizontal="left" vertical="center" wrapText="1" indent="1"/>
    </xf>
    <xf numFmtId="0" fontId="19" fillId="14" borderId="3" xfId="0" applyFont="1" applyFill="1" applyBorder="1" applyAlignment="1">
      <alignment horizontal="left" vertical="center" wrapText="1" indent="1"/>
    </xf>
    <xf numFmtId="0" fontId="19" fillId="14" borderId="7" xfId="0" applyFont="1" applyFill="1" applyBorder="1" applyAlignment="1">
      <alignment horizontal="left" vertical="center" wrapText="1" indent="1"/>
    </xf>
    <xf numFmtId="0" fontId="22" fillId="14" borderId="24" xfId="0" applyFont="1" applyFill="1" applyBorder="1" applyAlignment="1">
      <alignment horizontal="left" vertical="center" wrapText="1" indent="1"/>
    </xf>
    <xf numFmtId="0" fontId="22" fillId="14" borderId="3" xfId="0" applyFont="1" applyFill="1" applyBorder="1" applyAlignment="1">
      <alignment horizontal="left" vertical="center" wrapText="1" indent="1"/>
    </xf>
    <xf numFmtId="0" fontId="22" fillId="14" borderId="7" xfId="0" applyFont="1" applyFill="1" applyBorder="1" applyAlignment="1">
      <alignment horizontal="left" vertical="center" wrapText="1" indent="1"/>
    </xf>
    <xf numFmtId="0" fontId="43" fillId="45" borderId="101" xfId="0" applyFont="1" applyFill="1" applyBorder="1" applyAlignment="1">
      <alignment horizontal="left" vertical="center" wrapText="1" indent="1"/>
    </xf>
    <xf numFmtId="0" fontId="43" fillId="45" borderId="3" xfId="0" applyFont="1" applyFill="1" applyBorder="1" applyAlignment="1">
      <alignment horizontal="left" vertical="center" wrapText="1" indent="1"/>
    </xf>
    <xf numFmtId="0" fontId="43" fillId="45" borderId="7" xfId="0" applyFont="1" applyFill="1" applyBorder="1" applyAlignment="1">
      <alignment horizontal="left" vertical="center" wrapText="1" indent="1"/>
    </xf>
    <xf numFmtId="0" fontId="42" fillId="14" borderId="101" xfId="0" applyFont="1" applyFill="1" applyBorder="1" applyAlignment="1">
      <alignment horizontal="left" vertical="center" wrapText="1" indent="1"/>
    </xf>
    <xf numFmtId="0" fontId="42" fillId="14" borderId="3" xfId="0" applyFont="1" applyFill="1" applyBorder="1" applyAlignment="1">
      <alignment horizontal="left" vertical="center" wrapText="1" indent="1"/>
    </xf>
    <xf numFmtId="0" fontId="42" fillId="14" borderId="7" xfId="0" applyFont="1" applyFill="1" applyBorder="1" applyAlignment="1">
      <alignment horizontal="left" vertical="center" wrapText="1" indent="1"/>
    </xf>
    <xf numFmtId="0" fontId="43" fillId="14" borderId="101" xfId="0" applyFont="1" applyFill="1" applyBorder="1" applyAlignment="1">
      <alignment horizontal="left" vertical="center" wrapText="1" indent="1"/>
    </xf>
    <xf numFmtId="0" fontId="43" fillId="14" borderId="3" xfId="0" applyFont="1" applyFill="1" applyBorder="1" applyAlignment="1">
      <alignment horizontal="left" vertical="center" wrapText="1" indent="1"/>
    </xf>
    <xf numFmtId="0" fontId="43" fillId="14" borderId="7" xfId="0" applyFont="1" applyFill="1" applyBorder="1" applyAlignment="1">
      <alignment horizontal="left" vertical="center" wrapText="1" indent="1"/>
    </xf>
    <xf numFmtId="0" fontId="42" fillId="45" borderId="101" xfId="0" applyFont="1" applyFill="1" applyBorder="1" applyAlignment="1">
      <alignment horizontal="left" vertical="center" wrapText="1" indent="1"/>
    </xf>
    <xf numFmtId="0" fontId="42" fillId="45" borderId="3" xfId="0" applyFont="1" applyFill="1" applyBorder="1" applyAlignment="1">
      <alignment horizontal="left" vertical="center" wrapText="1" indent="1"/>
    </xf>
    <xf numFmtId="0" fontId="42" fillId="45" borderId="7" xfId="0" applyFont="1" applyFill="1" applyBorder="1" applyAlignment="1">
      <alignment horizontal="left" vertical="center" wrapText="1" indent="1"/>
    </xf>
    <xf numFmtId="0" fontId="42" fillId="45" borderId="389" xfId="0" applyFont="1" applyFill="1" applyBorder="1" applyAlignment="1">
      <alignment horizontal="left" vertical="center" wrapText="1" indent="1"/>
    </xf>
    <xf numFmtId="0" fontId="43" fillId="45" borderId="389" xfId="0" applyFont="1" applyFill="1" applyBorder="1" applyAlignment="1">
      <alignment horizontal="left" vertical="center" wrapText="1" indent="1"/>
    </xf>
    <xf numFmtId="0" fontId="22" fillId="14" borderId="24" xfId="0" applyFont="1" applyFill="1" applyBorder="1" applyAlignment="1">
      <alignment horizontal="center" vertical="center" wrapText="1"/>
    </xf>
    <xf numFmtId="0" fontId="22" fillId="14" borderId="3" xfId="0" applyFont="1" applyFill="1" applyBorder="1" applyAlignment="1">
      <alignment horizontal="center" vertical="center" wrapText="1"/>
    </xf>
    <xf numFmtId="0" fontId="22" fillId="14" borderId="7" xfId="0" applyFont="1" applyFill="1" applyBorder="1" applyAlignment="1">
      <alignment horizontal="center" vertical="center" wrapText="1"/>
    </xf>
    <xf numFmtId="0" fontId="22" fillId="45" borderId="24" xfId="0" applyFont="1" applyFill="1" applyBorder="1" applyAlignment="1">
      <alignment horizontal="center" vertical="center" wrapText="1"/>
    </xf>
    <xf numFmtId="0" fontId="22" fillId="45" borderId="3" xfId="0" applyFont="1" applyFill="1" applyBorder="1" applyAlignment="1">
      <alignment horizontal="center" vertical="center" wrapText="1"/>
    </xf>
    <xf numFmtId="0" fontId="22" fillId="45" borderId="7" xfId="0" applyFont="1" applyFill="1" applyBorder="1" applyAlignment="1">
      <alignment horizontal="center" vertical="center" wrapText="1"/>
    </xf>
    <xf numFmtId="0" fontId="42" fillId="14" borderId="101" xfId="0" applyFont="1" applyFill="1" applyBorder="1" applyAlignment="1">
      <alignment horizontal="center" vertical="center" wrapText="1"/>
    </xf>
    <xf numFmtId="0" fontId="42" fillId="14" borderId="3" xfId="0" applyFont="1" applyFill="1" applyBorder="1" applyAlignment="1">
      <alignment horizontal="center" vertical="center" wrapText="1"/>
    </xf>
    <xf numFmtId="0" fontId="42" fillId="14" borderId="7" xfId="0" applyFont="1" applyFill="1" applyBorder="1" applyAlignment="1">
      <alignment horizontal="center" vertical="center" wrapText="1"/>
    </xf>
    <xf numFmtId="0" fontId="42" fillId="45" borderId="101" xfId="0" applyFont="1" applyFill="1" applyBorder="1" applyAlignment="1">
      <alignment horizontal="center" vertical="center" wrapText="1"/>
    </xf>
    <xf numFmtId="0" fontId="42" fillId="45" borderId="3" xfId="0" applyFont="1" applyFill="1" applyBorder="1" applyAlignment="1">
      <alignment horizontal="center" vertical="center" wrapText="1"/>
    </xf>
    <xf numFmtId="0" fontId="42" fillId="45" borderId="7" xfId="0" applyFont="1" applyFill="1" applyBorder="1" applyAlignment="1">
      <alignment horizontal="center" vertical="center" wrapText="1"/>
    </xf>
    <xf numFmtId="0" fontId="42" fillId="45" borderId="389" xfId="0" applyFont="1" applyFill="1" applyBorder="1" applyAlignment="1">
      <alignment horizontal="center" vertical="center" wrapText="1"/>
    </xf>
    <xf numFmtId="0" fontId="22" fillId="45" borderId="101" xfId="0" applyFont="1" applyFill="1" applyBorder="1" applyAlignment="1">
      <alignment horizontal="center" vertical="center" wrapText="1"/>
    </xf>
    <xf numFmtId="0" fontId="22" fillId="14" borderId="101" xfId="0" applyFont="1" applyFill="1" applyBorder="1" applyAlignment="1">
      <alignment horizontal="center" vertical="center" wrapText="1"/>
    </xf>
    <xf numFmtId="0" fontId="22" fillId="14" borderId="0" xfId="0" applyFont="1" applyFill="1" applyAlignment="1">
      <alignment horizontal="center" vertical="center" wrapText="1"/>
    </xf>
    <xf numFmtId="0" fontId="22" fillId="14" borderId="0" xfId="0" applyFont="1" applyFill="1" applyAlignment="1">
      <alignment horizontal="left" vertical="center" wrapText="1"/>
    </xf>
    <xf numFmtId="0" fontId="22" fillId="14" borderId="5" xfId="0" applyFont="1" applyFill="1" applyBorder="1" applyAlignment="1">
      <alignment horizontal="center" vertical="center" wrapText="1"/>
    </xf>
    <xf numFmtId="0" fontId="42" fillId="14" borderId="101" xfId="0" applyFont="1" applyFill="1" applyBorder="1" applyAlignment="1">
      <alignment horizontal="left" vertical="center" wrapText="1" indent="2"/>
    </xf>
    <xf numFmtId="0" fontId="42" fillId="14" borderId="7" xfId="0" applyFont="1" applyFill="1" applyBorder="1" applyAlignment="1">
      <alignment horizontal="left" vertical="center" wrapText="1" indent="2"/>
    </xf>
    <xf numFmtId="0" fontId="42" fillId="14" borderId="101" xfId="0" applyFont="1" applyFill="1" applyBorder="1" applyAlignment="1">
      <alignment horizontal="right" vertical="center" wrapText="1" indent="1"/>
    </xf>
    <xf numFmtId="0" fontId="42" fillId="14" borderId="7" xfId="0" applyFont="1" applyFill="1" applyBorder="1" applyAlignment="1">
      <alignment horizontal="right" vertical="center" wrapText="1" indent="1"/>
    </xf>
    <xf numFmtId="0" fontId="42" fillId="51" borderId="101" xfId="0" applyFont="1" applyFill="1" applyBorder="1" applyAlignment="1">
      <alignment horizontal="center" vertical="center" wrapText="1"/>
    </xf>
    <xf numFmtId="0" fontId="42" fillId="51" borderId="3" xfId="0" applyFont="1" applyFill="1" applyBorder="1" applyAlignment="1">
      <alignment horizontal="center" vertical="center" wrapText="1"/>
    </xf>
    <xf numFmtId="0" fontId="42" fillId="51" borderId="7" xfId="0" applyFont="1" applyFill="1" applyBorder="1" applyAlignment="1">
      <alignment horizontal="center" vertical="center" wrapText="1"/>
    </xf>
    <xf numFmtId="0" fontId="42" fillId="51" borderId="101" xfId="0" applyFont="1" applyFill="1" applyBorder="1" applyAlignment="1">
      <alignment horizontal="left" vertical="center" wrapText="1" indent="1"/>
    </xf>
    <xf numFmtId="0" fontId="42" fillId="51" borderId="3" xfId="0" applyFont="1" applyFill="1" applyBorder="1" applyAlignment="1">
      <alignment horizontal="left" vertical="center" wrapText="1" indent="1"/>
    </xf>
    <xf numFmtId="0" fontId="42" fillId="51" borderId="7" xfId="0" applyFont="1" applyFill="1" applyBorder="1" applyAlignment="1">
      <alignment horizontal="left" vertical="center" wrapText="1" indent="1"/>
    </xf>
    <xf numFmtId="0" fontId="42" fillId="14" borderId="101" xfId="0" applyFont="1" applyFill="1" applyBorder="1" applyAlignment="1">
      <alignment horizontal="center" vertical="top" wrapText="1"/>
    </xf>
    <xf numFmtId="0" fontId="42" fillId="14" borderId="3" xfId="0" applyFont="1" applyFill="1" applyBorder="1" applyAlignment="1">
      <alignment horizontal="center" vertical="top" wrapText="1"/>
    </xf>
    <xf numFmtId="0" fontId="42" fillId="14" borderId="7" xfId="0" applyFont="1" applyFill="1" applyBorder="1" applyAlignment="1">
      <alignment horizontal="center" vertical="top" wrapText="1"/>
    </xf>
    <xf numFmtId="0" fontId="42" fillId="51" borderId="101" xfId="0" applyFont="1" applyFill="1" applyBorder="1" applyAlignment="1">
      <alignment horizontal="center" vertical="top" wrapText="1"/>
    </xf>
    <xf numFmtId="0" fontId="42" fillId="51" borderId="3" xfId="0" applyFont="1" applyFill="1" applyBorder="1" applyAlignment="1">
      <alignment horizontal="center" vertical="top" wrapText="1"/>
    </xf>
    <xf numFmtId="0" fontId="42" fillId="51" borderId="7" xfId="0" applyFont="1" applyFill="1" applyBorder="1" applyAlignment="1">
      <alignment horizontal="center" vertical="top" wrapText="1"/>
    </xf>
    <xf numFmtId="0" fontId="45" fillId="51" borderId="380" xfId="0" applyFont="1" applyFill="1" applyBorder="1" applyAlignment="1">
      <alignment horizontal="center" vertical="center"/>
    </xf>
    <xf numFmtId="0" fontId="45" fillId="51" borderId="3" xfId="0" applyFont="1" applyFill="1" applyBorder="1" applyAlignment="1">
      <alignment horizontal="center" vertical="center"/>
    </xf>
    <xf numFmtId="0" fontId="45" fillId="51" borderId="7" xfId="0" applyFont="1" applyFill="1" applyBorder="1" applyAlignment="1">
      <alignment horizontal="center" vertical="center"/>
    </xf>
    <xf numFmtId="0" fontId="55" fillId="51" borderId="380" xfId="0" applyFont="1" applyFill="1" applyBorder="1" applyAlignment="1">
      <alignment horizontal="left" vertical="center" indent="1"/>
    </xf>
    <xf numFmtId="0" fontId="55" fillId="51" borderId="3" xfId="0" applyFont="1" applyFill="1" applyBorder="1" applyAlignment="1">
      <alignment horizontal="left" vertical="center" indent="1"/>
    </xf>
    <xf numFmtId="0" fontId="55" fillId="51" borderId="7" xfId="0" applyFont="1" applyFill="1" applyBorder="1" applyAlignment="1">
      <alignment horizontal="left" vertical="center" indent="1"/>
    </xf>
    <xf numFmtId="0" fontId="45" fillId="51" borderId="380" xfId="0" applyFont="1" applyFill="1" applyBorder="1" applyAlignment="1">
      <alignment horizontal="left" vertical="center" indent="1"/>
    </xf>
    <xf numFmtId="0" fontId="45" fillId="51" borderId="3" xfId="0" applyFont="1" applyFill="1" applyBorder="1" applyAlignment="1">
      <alignment horizontal="left" vertical="center" indent="1"/>
    </xf>
    <xf numFmtId="0" fontId="45" fillId="51" borderId="7" xfId="0" applyFont="1" applyFill="1" applyBorder="1" applyAlignment="1">
      <alignment horizontal="left" vertical="center" indent="1"/>
    </xf>
    <xf numFmtId="0" fontId="10" fillId="0" borderId="10" xfId="0" applyFont="1" applyFill="1" applyBorder="1" applyAlignment="1">
      <alignment horizontal="center"/>
    </xf>
    <xf numFmtId="183" fontId="0" fillId="0" borderId="0" xfId="0" applyNumberFormat="1" applyBorder="1" applyAlignment="1">
      <alignment horizontal="center"/>
    </xf>
    <xf numFmtId="183" fontId="0" fillId="0" borderId="19" xfId="0" applyNumberFormat="1" applyBorder="1" applyAlignment="1">
      <alignment horizontal="center"/>
    </xf>
    <xf numFmtId="0" fontId="0" fillId="0" borderId="0" xfId="0" applyBorder="1" applyAlignment="1">
      <alignment horizontal="left" vertical="center" wrapText="1"/>
    </xf>
    <xf numFmtId="0" fontId="37" fillId="0" borderId="0" xfId="0" applyFont="1" applyAlignment="1">
      <alignment horizontal="left" vertical="center" wrapText="1"/>
    </xf>
    <xf numFmtId="0" fontId="0" fillId="0" borderId="0" xfId="0" applyBorder="1" applyAlignment="1">
      <alignment horizontal="left" vertical="top" wrapText="1"/>
    </xf>
    <xf numFmtId="0" fontId="0" fillId="0" borderId="48" xfId="0" applyBorder="1" applyAlignment="1">
      <alignment horizontal="center"/>
    </xf>
    <xf numFmtId="183" fontId="0" fillId="0" borderId="1" xfId="0" applyNumberFormat="1" applyBorder="1" applyAlignment="1">
      <alignment horizontal="right" indent="1"/>
    </xf>
    <xf numFmtId="0" fontId="0" fillId="0" borderId="1" xfId="0" applyBorder="1" applyAlignment="1">
      <alignment horizontal="right" indent="1"/>
    </xf>
    <xf numFmtId="0" fontId="0" fillId="0" borderId="8" xfId="0" applyBorder="1" applyAlignment="1">
      <alignment horizontal="right" indent="1"/>
    </xf>
    <xf numFmtId="183" fontId="0" fillId="0" borderId="1" xfId="0" applyNumberFormat="1" applyBorder="1" applyAlignment="1">
      <alignment horizontal="center"/>
    </xf>
    <xf numFmtId="0" fontId="0" fillId="0" borderId="1" xfId="0" applyBorder="1" applyAlignment="1">
      <alignment horizontal="center"/>
    </xf>
    <xf numFmtId="0" fontId="0" fillId="0" borderId="8" xfId="0" applyBorder="1" applyAlignment="1">
      <alignment horizontal="center"/>
    </xf>
    <xf numFmtId="0" fontId="32" fillId="4" borderId="46"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0" fillId="0" borderId="28" xfId="0" applyBorder="1" applyAlignment="1">
      <alignment horizontal="center"/>
    </xf>
    <xf numFmtId="0" fontId="37" fillId="0" borderId="0" xfId="0" applyFont="1" applyBorder="1" applyAlignment="1">
      <alignment horizontal="left" vertical="center" wrapText="1"/>
    </xf>
    <xf numFmtId="0" fontId="0" fillId="0" borderId="46" xfId="0" applyBorder="1" applyAlignment="1">
      <alignment horizontal="center"/>
    </xf>
    <xf numFmtId="0" fontId="0" fillId="0" borderId="0" xfId="0" applyBorder="1" applyAlignment="1">
      <alignment horizontal="center"/>
    </xf>
    <xf numFmtId="0" fontId="32" fillId="5" borderId="46" xfId="0" applyFont="1" applyFill="1" applyBorder="1" applyAlignment="1">
      <alignment horizontal="center" vertical="center" wrapText="1"/>
    </xf>
    <xf numFmtId="0" fontId="32" fillId="5" borderId="19" xfId="0" applyFont="1" applyFill="1" applyBorder="1" applyAlignment="1">
      <alignment horizontal="center" vertical="center" wrapText="1"/>
    </xf>
    <xf numFmtId="0" fontId="0" fillId="0" borderId="43" xfId="0" applyBorder="1" applyAlignment="1">
      <alignment horizontal="center"/>
    </xf>
    <xf numFmtId="0" fontId="0" fillId="0" borderId="74" xfId="0" applyBorder="1" applyAlignment="1">
      <alignment horizontal="center"/>
    </xf>
    <xf numFmtId="0" fontId="0" fillId="0" borderId="100" xfId="0" applyBorder="1" applyAlignment="1">
      <alignment horizontal="center"/>
    </xf>
    <xf numFmtId="0" fontId="0" fillId="0" borderId="97" xfId="0" applyBorder="1" applyAlignment="1">
      <alignment horizontal="center"/>
    </xf>
    <xf numFmtId="199" fontId="0" fillId="0" borderId="101" xfId="0" applyNumberFormat="1" applyFill="1" applyBorder="1" applyAlignment="1">
      <alignment horizontal="center" vertical="center" wrapText="1"/>
    </xf>
    <xf numFmtId="199" fontId="0" fillId="0" borderId="3" xfId="0" applyNumberFormat="1" applyFill="1" applyBorder="1" applyAlignment="1">
      <alignment horizontal="center" vertical="center" wrapText="1"/>
    </xf>
    <xf numFmtId="199" fontId="0" fillId="0" borderId="12" xfId="0" applyNumberFormat="1" applyFill="1" applyBorder="1" applyAlignment="1">
      <alignment horizontal="center" vertical="center" wrapText="1"/>
    </xf>
    <xf numFmtId="199" fontId="0" fillId="0" borderId="7" xfId="0" applyNumberFormat="1" applyFill="1" applyBorder="1" applyAlignment="1">
      <alignment horizontal="center" vertical="center" wrapText="1"/>
    </xf>
    <xf numFmtId="199" fontId="0" fillId="0" borderId="9" xfId="0" applyNumberFormat="1" applyFill="1" applyBorder="1" applyAlignment="1">
      <alignment horizontal="center" vertical="center" wrapText="1"/>
    </xf>
    <xf numFmtId="0" fontId="0" fillId="0" borderId="2" xfId="0" applyFont="1" applyBorder="1" applyAlignment="1">
      <alignment horizontal="left" vertical="center" wrapText="1"/>
    </xf>
    <xf numFmtId="0" fontId="36" fillId="0" borderId="46" xfId="0" applyFont="1" applyBorder="1" applyAlignment="1">
      <alignment horizontal="left" vertical="center" wrapText="1"/>
    </xf>
    <xf numFmtId="0" fontId="36" fillId="0" borderId="11" xfId="0" applyFont="1" applyBorder="1" applyAlignment="1">
      <alignment horizontal="left" vertical="center" wrapText="1"/>
    </xf>
    <xf numFmtId="0" fontId="36" fillId="0" borderId="20" xfId="0" applyFont="1" applyBorder="1" applyAlignment="1">
      <alignment horizontal="left" vertical="center" wrapText="1"/>
    </xf>
    <xf numFmtId="0" fontId="36" fillId="0" borderId="78" xfId="0" applyFont="1" applyBorder="1" applyAlignment="1">
      <alignment horizontal="left" vertical="center" wrapText="1"/>
    </xf>
    <xf numFmtId="0" fontId="0" fillId="0" borderId="2" xfId="0" applyBorder="1" applyAlignment="1">
      <alignment horizontal="left" vertical="center" wrapText="1"/>
    </xf>
    <xf numFmtId="0" fontId="0" fillId="0" borderId="78" xfId="0" applyBorder="1"/>
    <xf numFmtId="0" fontId="36" fillId="0" borderId="333" xfId="0" applyFont="1" applyBorder="1" applyAlignment="1">
      <alignment horizontal="left" vertical="center" wrapText="1"/>
    </xf>
    <xf numFmtId="0" fontId="36" fillId="0" borderId="334" xfId="0" applyFont="1" applyBorder="1" applyAlignment="1">
      <alignment horizontal="left" vertical="center" wrapText="1"/>
    </xf>
    <xf numFmtId="0" fontId="36" fillId="0" borderId="99" xfId="0" applyFont="1" applyBorder="1" applyAlignment="1">
      <alignment horizontal="left" vertical="center" wrapText="1"/>
    </xf>
    <xf numFmtId="0" fontId="36" fillId="0" borderId="97" xfId="0" applyFont="1" applyBorder="1" applyAlignment="1">
      <alignment horizontal="left" vertical="center" wrapText="1"/>
    </xf>
    <xf numFmtId="0" fontId="36" fillId="0" borderId="0" xfId="0" applyFont="1" applyBorder="1" applyAlignment="1">
      <alignment horizontal="left" vertical="center" wrapText="1"/>
    </xf>
    <xf numFmtId="0" fontId="36" fillId="0" borderId="2" xfId="0" applyFont="1" applyBorder="1" applyAlignment="1">
      <alignment horizontal="left" vertical="center" wrapText="1"/>
    </xf>
    <xf numFmtId="0" fontId="36" fillId="0" borderId="330" xfId="0" applyFont="1" applyBorder="1" applyAlignment="1">
      <alignment horizontal="left" vertical="center" wrapText="1"/>
    </xf>
    <xf numFmtId="0" fontId="0" fillId="0" borderId="1" xfId="0" applyBorder="1" applyAlignment="1">
      <alignment horizontal="left" vertical="center" wrapText="1"/>
    </xf>
    <xf numFmtId="0" fontId="0" fillId="0" borderId="26" xfId="0" applyFill="1" applyBorder="1" applyAlignment="1">
      <alignment horizontal="center" vertical="center" wrapText="1"/>
    </xf>
    <xf numFmtId="0" fontId="0" fillId="0" borderId="23"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98" xfId="0" applyFill="1" applyBorder="1" applyAlignment="1">
      <alignment horizontal="center" vertical="center" wrapText="1"/>
    </xf>
    <xf numFmtId="0" fontId="0" fillId="0" borderId="98" xfId="0" applyFill="1" applyBorder="1" applyAlignment="1">
      <alignment horizontal="left" vertical="center" wrapText="1" indent="1"/>
    </xf>
    <xf numFmtId="0" fontId="0" fillId="0" borderId="0" xfId="0"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wrapText="1"/>
    </xf>
    <xf numFmtId="0" fontId="0" fillId="0" borderId="19" xfId="0" applyBorder="1" applyAlignment="1">
      <alignment horizont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36" xfId="0" applyBorder="1" applyAlignment="1">
      <alignment horizontal="center" vertical="center" wrapText="1"/>
    </xf>
    <xf numFmtId="0" fontId="0" fillId="0" borderId="44" xfId="0" applyBorder="1" applyAlignment="1">
      <alignment horizontal="center" vertical="center" wrapText="1"/>
    </xf>
    <xf numFmtId="0" fontId="0" fillId="0" borderId="555" xfId="0" applyBorder="1" applyAlignment="1">
      <alignment horizontal="center" vertical="center" wrapText="1"/>
    </xf>
    <xf numFmtId="0" fontId="0" fillId="0" borderId="551" xfId="0" applyBorder="1" applyAlignment="1">
      <alignment horizontal="center" vertical="center" wrapText="1"/>
    </xf>
    <xf numFmtId="0" fontId="0" fillId="0" borderId="15" xfId="0" applyBorder="1" applyAlignment="1">
      <alignment horizontal="center" vertical="center" wrapText="1"/>
    </xf>
    <xf numFmtId="0" fontId="0" fillId="0" borderId="47" xfId="0" applyBorder="1" applyAlignment="1">
      <alignment horizontal="center" vertical="center" wrapText="1"/>
    </xf>
    <xf numFmtId="0" fontId="0" fillId="0" borderId="73" xfId="0" applyBorder="1" applyAlignment="1">
      <alignment horizontal="center" vertical="center" wrapText="1"/>
    </xf>
    <xf numFmtId="0" fontId="0" fillId="0" borderId="48" xfId="0" applyBorder="1" applyAlignment="1">
      <alignment horizontal="center" vertical="center" wrapText="1"/>
    </xf>
    <xf numFmtId="0" fontId="0" fillId="0" borderId="66" xfId="0" applyBorder="1" applyAlignment="1">
      <alignment horizontal="center" vertical="center" wrapText="1"/>
    </xf>
    <xf numFmtId="0" fontId="0" fillId="0" borderId="509" xfId="0" applyBorder="1" applyAlignment="1">
      <alignment horizontal="center" vertical="center" wrapText="1"/>
    </xf>
    <xf numFmtId="0" fontId="0" fillId="0" borderId="35" xfId="0" applyBorder="1" applyAlignment="1">
      <alignment horizontal="center" vertical="center" wrapText="1"/>
    </xf>
    <xf numFmtId="0" fontId="0" fillId="0" borderId="13" xfId="0" applyBorder="1" applyAlignment="1">
      <alignment horizontal="center" vertical="center" wrapText="1"/>
    </xf>
    <xf numFmtId="0" fontId="0" fillId="0" borderId="8" xfId="0" applyBorder="1" applyAlignment="1">
      <alignment horizontal="center" vertical="center" wrapText="1"/>
    </xf>
  </cellXfs>
  <cellStyles count="3">
    <cellStyle name="Comma" xfId="1" builtinId="3"/>
    <cellStyle name="Hyperlink" xfId="2" builtinId="8"/>
    <cellStyle name="Normal" xfId="0" builtinId="0"/>
  </cellStyles>
  <dxfs count="0"/>
  <tableStyles count="0" defaultTableStyle="TableStyleMedium9" defaultPivotStyle="PivotStyleLight16"/>
  <colors>
    <mruColors>
      <color rgb="FFFFFFC1"/>
      <color rgb="FFFFFFCC"/>
      <color rgb="FF82AAE6"/>
      <color rgb="FF0000FF"/>
      <color rgb="FFFFFFFF"/>
      <color rgb="FFFFFFEB"/>
      <color rgb="FFEFFFEF"/>
      <color rgb="FFE1F0FF"/>
      <color rgb="FFF7FFF7"/>
      <color rgb="FFE1FFE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Ozone  Season NOx Emissions &amp; Emission Rate for TA&amp;O Turbines</a:t>
            </a:r>
          </a:p>
        </c:rich>
      </c:tx>
      <c:layout>
        <c:manualLayout>
          <c:xMode val="edge"/>
          <c:yMode val="edge"/>
          <c:x val="0.17032686199776298"/>
          <c:y val="8.0804753269365752E-3"/>
        </c:manualLayout>
      </c:layout>
    </c:title>
    <c:plotArea>
      <c:layout>
        <c:manualLayout>
          <c:layoutTarget val="inner"/>
          <c:xMode val="edge"/>
          <c:yMode val="edge"/>
          <c:x val="8.2446847774536022E-2"/>
          <c:y val="7.6895121621391893E-2"/>
          <c:w val="0.82634882826124278"/>
          <c:h val="0.81324287745790469"/>
        </c:manualLayout>
      </c:layout>
      <c:barChart>
        <c:barDir val="col"/>
        <c:grouping val="clustered"/>
        <c:ser>
          <c:idx val="0"/>
          <c:order val="0"/>
          <c:tx>
            <c:strRef>
              <c:f>'5(em)'!$AQ$14</c:f>
              <c:strCache>
                <c:ptCount val="1"/>
                <c:pt idx="0">
                  <c:v>2010</c:v>
                </c:pt>
              </c:strCache>
            </c:strRef>
          </c:tx>
          <c:cat>
            <c:strRef>
              <c:f>'5(em)'!$O$19:$O$45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'5(em)'!$AP$19:$AP$45</c:f>
              <c:numCache>
                <c:formatCode>#,##0.00</c:formatCode>
                <c:ptCount val="27"/>
                <c:pt idx="0">
                  <c:v>4.2</c:v>
                </c:pt>
                <c:pt idx="1">
                  <c:v>1.1000000000000001</c:v>
                </c:pt>
                <c:pt idx="2">
                  <c:v>1.1000000000000001</c:v>
                </c:pt>
                <c:pt idx="3">
                  <c:v>1.5</c:v>
                </c:pt>
                <c:pt idx="4">
                  <c:v>1.5</c:v>
                </c:pt>
                <c:pt idx="5">
                  <c:v>1.4</c:v>
                </c:pt>
                <c:pt idx="6">
                  <c:v>1.3</c:v>
                </c:pt>
                <c:pt idx="7">
                  <c:v>1.2</c:v>
                </c:pt>
                <c:pt idx="8">
                  <c:v>1.2</c:v>
                </c:pt>
                <c:pt idx="9">
                  <c:v>1.7</c:v>
                </c:pt>
                <c:pt idx="10">
                  <c:v>1.5</c:v>
                </c:pt>
                <c:pt idx="11">
                  <c:v>0.7</c:v>
                </c:pt>
                <c:pt idx="12">
                  <c:v>3.53925</c:v>
                </c:pt>
                <c:pt idx="13">
                  <c:v>1.0596479999999999</c:v>
                </c:pt>
                <c:pt idx="14">
                  <c:v>0.93286249999999993</c:v>
                </c:pt>
                <c:pt idx="15">
                  <c:v>1.246256</c:v>
                </c:pt>
                <c:pt idx="16">
                  <c:v>1.0507039999999999</c:v>
                </c:pt>
                <c:pt idx="17">
                  <c:v>1.1086784999999999</c:v>
                </c:pt>
                <c:pt idx="18">
                  <c:v>4.3757000000000001</c:v>
                </c:pt>
                <c:pt idx="19">
                  <c:v>3.0838000000000001</c:v>
                </c:pt>
                <c:pt idx="20">
                  <c:v>6.7687499999999989</c:v>
                </c:pt>
                <c:pt idx="21">
                  <c:v>1.2460030434782612</c:v>
                </c:pt>
                <c:pt idx="22">
                  <c:v>1.8676250000000001</c:v>
                </c:pt>
                <c:pt idx="23">
                  <c:v>1.9</c:v>
                </c:pt>
                <c:pt idx="24">
                  <c:v>1.2</c:v>
                </c:pt>
                <c:pt idx="25">
                  <c:v>2.2000000000000002</c:v>
                </c:pt>
                <c:pt idx="26">
                  <c:v>2.2999999999999998</c:v>
                </c:pt>
              </c:numCache>
            </c:numRef>
          </c:val>
        </c:ser>
        <c:ser>
          <c:idx val="1"/>
          <c:order val="1"/>
          <c:tx>
            <c:strRef>
              <c:f>'5(em)'!$BC$14</c:f>
              <c:strCache>
                <c:ptCount val="1"/>
                <c:pt idx="0">
                  <c:v>2009</c:v>
                </c:pt>
              </c:strCache>
            </c:strRef>
          </c:tx>
          <c:cat>
            <c:strRef>
              <c:f>'5(em)'!$O$19:$O$45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'5(em)'!$BB$19:$BB$45</c:f>
              <c:numCache>
                <c:formatCode>0.00</c:formatCode>
                <c:ptCount val="27"/>
                <c:pt idx="0" formatCode="#,##0.00">
                  <c:v>2.7</c:v>
                </c:pt>
                <c:pt idx="1">
                  <c:v>0.4</c:v>
                </c:pt>
                <c:pt idx="2">
                  <c:v>0.3</c:v>
                </c:pt>
                <c:pt idx="3">
                  <c:v>0.4</c:v>
                </c:pt>
                <c:pt idx="4">
                  <c:v>0.4</c:v>
                </c:pt>
                <c:pt idx="5">
                  <c:v>0.4</c:v>
                </c:pt>
                <c:pt idx="6">
                  <c:v>0.4</c:v>
                </c:pt>
                <c:pt idx="7">
                  <c:v>0.4</c:v>
                </c:pt>
                <c:pt idx="8">
                  <c:v>0.3</c:v>
                </c:pt>
                <c:pt idx="9">
                  <c:v>0.3</c:v>
                </c:pt>
                <c:pt idx="10">
                  <c:v>1.2</c:v>
                </c:pt>
                <c:pt idx="11">
                  <c:v>0.7</c:v>
                </c:pt>
                <c:pt idx="12">
                  <c:v>0.19057499999999999</c:v>
                </c:pt>
                <c:pt idx="13">
                  <c:v>0.18892799999999998</c:v>
                </c:pt>
                <c:pt idx="14">
                  <c:v>0.13551249999999998</c:v>
                </c:pt>
                <c:pt idx="15">
                  <c:v>0.17266000000000001</c:v>
                </c:pt>
                <c:pt idx="16">
                  <c:v>0.25239400000000001</c:v>
                </c:pt>
                <c:pt idx="17">
                  <c:v>0.35208899999999999</c:v>
                </c:pt>
                <c:pt idx="18">
                  <c:v>0.43510000000000004</c:v>
                </c:pt>
                <c:pt idx="19">
                  <c:v>0.47872000000000003</c:v>
                </c:pt>
                <c:pt idx="20">
                  <c:v>1.4287049999999999</c:v>
                </c:pt>
                <c:pt idx="21">
                  <c:v>0.43123728813559326</c:v>
                </c:pt>
                <c:pt idx="22">
                  <c:v>0.29111500000000001</c:v>
                </c:pt>
                <c:pt idx="23">
                  <c:v>0.4</c:v>
                </c:pt>
                <c:pt idx="24">
                  <c:v>0.3</c:v>
                </c:pt>
                <c:pt idx="25">
                  <c:v>0.5</c:v>
                </c:pt>
                <c:pt idx="26">
                  <c:v>0.4</c:v>
                </c:pt>
              </c:numCache>
            </c:numRef>
          </c:val>
        </c:ser>
        <c:ser>
          <c:idx val="2"/>
          <c:order val="2"/>
          <c:tx>
            <c:strRef>
              <c:f>'5(em)'!$BO$14</c:f>
              <c:strCache>
                <c:ptCount val="1"/>
                <c:pt idx="0">
                  <c:v>2008</c:v>
                </c:pt>
              </c:strCache>
            </c:strRef>
          </c:tx>
          <c:cat>
            <c:strRef>
              <c:f>'5(em)'!$O$19:$O$45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'5(em)'!$BN$19:$BN$45</c:f>
              <c:numCache>
                <c:formatCode>0.00</c:formatCode>
                <c:ptCount val="27"/>
                <c:pt idx="0">
                  <c:v>7.2</c:v>
                </c:pt>
                <c:pt idx="1">
                  <c:v>0.7</c:v>
                </c:pt>
                <c:pt idx="2">
                  <c:v>0.6</c:v>
                </c:pt>
                <c:pt idx="3">
                  <c:v>0.6</c:v>
                </c:pt>
                <c:pt idx="4">
                  <c:v>0.6</c:v>
                </c:pt>
                <c:pt idx="5">
                  <c:v>0.6</c:v>
                </c:pt>
                <c:pt idx="6">
                  <c:v>0.6</c:v>
                </c:pt>
                <c:pt idx="7">
                  <c:v>0.5</c:v>
                </c:pt>
                <c:pt idx="8">
                  <c:v>0.4</c:v>
                </c:pt>
                <c:pt idx="9">
                  <c:v>1</c:v>
                </c:pt>
                <c:pt idx="10">
                  <c:v>0.7</c:v>
                </c:pt>
                <c:pt idx="11">
                  <c:v>0.8</c:v>
                </c:pt>
                <c:pt idx="12">
                  <c:v>0.64541399999999993</c:v>
                </c:pt>
                <c:pt idx="13">
                  <c:v>0.26304</c:v>
                </c:pt>
                <c:pt idx="14">
                  <c:v>0.20581250000000001</c:v>
                </c:pt>
                <c:pt idx="15">
                  <c:v>0.15471499999999999</c:v>
                </c:pt>
                <c:pt idx="16">
                  <c:v>0.13269600000000001</c:v>
                </c:pt>
                <c:pt idx="17">
                  <c:v>0.11405700000000001</c:v>
                </c:pt>
                <c:pt idx="18">
                  <c:v>0.78279999999999994</c:v>
                </c:pt>
                <c:pt idx="19">
                  <c:v>0.49300000000000005</c:v>
                </c:pt>
                <c:pt idx="20">
                  <c:v>1.2112499999999999</c:v>
                </c:pt>
                <c:pt idx="21">
                  <c:v>0.52482543846720708</c:v>
                </c:pt>
                <c:pt idx="22">
                  <c:v>0.45291999999999999</c:v>
                </c:pt>
                <c:pt idx="23">
                  <c:v>0.4</c:v>
                </c:pt>
                <c:pt idx="24">
                  <c:v>0.4</c:v>
                </c:pt>
                <c:pt idx="25">
                  <c:v>0.4</c:v>
                </c:pt>
                <c:pt idx="26">
                  <c:v>0.5</c:v>
                </c:pt>
              </c:numCache>
            </c:numRef>
          </c:val>
        </c:ser>
        <c:axId val="93352320"/>
        <c:axId val="93353856"/>
      </c:barChart>
      <c:lineChart>
        <c:grouping val="standard"/>
        <c:ser>
          <c:idx val="3"/>
          <c:order val="3"/>
          <c:tx>
            <c:strRef>
              <c:f>'5(em)'!$BZ$15</c:f>
              <c:strCache>
                <c:ptCount val="1"/>
                <c:pt idx="0">
                  <c:v>NOx emissions rate (3-year average)</c:v>
                </c:pt>
              </c:strCache>
            </c:strRef>
          </c:tx>
          <c:spPr>
            <a:ln>
              <a:noFill/>
            </a:ln>
          </c:spPr>
          <c:marker>
            <c:symbol val="diamond"/>
            <c:size val="15"/>
            <c:spPr>
              <a:solidFill>
                <a:srgbClr val="FFFF99"/>
              </a:solidFill>
            </c:spPr>
          </c:marker>
          <c:val>
            <c:numRef>
              <c:f>'5(em)'!$BZ$19:$BZ$45</c:f>
              <c:numCache>
                <c:formatCode>#,##0</c:formatCode>
                <c:ptCount val="27"/>
                <c:pt idx="0">
                  <c:v>483.25490827124167</c:v>
                </c:pt>
                <c:pt idx="1">
                  <c:v>5471.7613541142955</c:v>
                </c:pt>
                <c:pt idx="2">
                  <c:v>4717.0150111326575</c:v>
                </c:pt>
                <c:pt idx="3">
                  <c:v>5089.8039344765921</c:v>
                </c:pt>
                <c:pt idx="4">
                  <c:v>5089.8039344765921</c:v>
                </c:pt>
                <c:pt idx="5">
                  <c:v>5535.3740837611804</c:v>
                </c:pt>
                <c:pt idx="6">
                  <c:v>5400.9654816106431</c:v>
                </c:pt>
                <c:pt idx="7">
                  <c:v>5774.1743275451145</c:v>
                </c:pt>
                <c:pt idx="8">
                  <c:v>4878.8091590057884</c:v>
                </c:pt>
                <c:pt idx="9">
                  <c:v>6235.1757914715154</c:v>
                </c:pt>
                <c:pt idx="10">
                  <c:v>4852.0836286800195</c:v>
                </c:pt>
                <c:pt idx="11">
                  <c:v>6547.2504791390238</c:v>
                </c:pt>
                <c:pt idx="12">
                  <c:v>7229.5386496443089</c:v>
                </c:pt>
                <c:pt idx="13">
                  <c:v>1453.9275065938966</c:v>
                </c:pt>
                <c:pt idx="14">
                  <c:v>1373.9765680269145</c:v>
                </c:pt>
                <c:pt idx="15">
                  <c:v>1413.6341112562859</c:v>
                </c:pt>
                <c:pt idx="16">
                  <c:v>1754.1828137706696</c:v>
                </c:pt>
                <c:pt idx="17">
                  <c:v>1591.1901401578555</c:v>
                </c:pt>
                <c:pt idx="18">
                  <c:v>6459.3829404142898</c:v>
                </c:pt>
                <c:pt idx="19">
                  <c:v>5430.4723404723409</c:v>
                </c:pt>
                <c:pt idx="20">
                  <c:v>4726.3362381989828</c:v>
                </c:pt>
                <c:pt idx="21">
                  <c:v>7260.5838406260782</c:v>
                </c:pt>
                <c:pt idx="22">
                  <c:v>4212.1107776217905</c:v>
                </c:pt>
                <c:pt idx="23">
                  <c:v>785.54490096880556</c:v>
                </c:pt>
                <c:pt idx="24">
                  <c:v>788.10057072215022</c:v>
                </c:pt>
                <c:pt idx="25">
                  <c:v>841.68959370233267</c:v>
                </c:pt>
                <c:pt idx="26">
                  <c:v>856.81469326842068</c:v>
                </c:pt>
              </c:numCache>
            </c:numRef>
          </c:val>
        </c:ser>
        <c:dropLines>
          <c:spPr>
            <a:ln>
              <a:solidFill>
                <a:srgbClr val="4F81BD"/>
              </a:solidFill>
            </a:ln>
          </c:spPr>
        </c:dropLines>
        <c:marker val="1"/>
        <c:axId val="93366528"/>
        <c:axId val="93364608"/>
      </c:lineChart>
      <c:catAx>
        <c:axId val="93352320"/>
        <c:scaling>
          <c:orientation val="minMax"/>
        </c:scaling>
        <c:axPos val="b"/>
        <c:tickLblPos val="nextTo"/>
        <c:crossAx val="93353856"/>
        <c:crosses val="autoZero"/>
        <c:auto val="1"/>
        <c:lblAlgn val="ctr"/>
        <c:lblOffset val="100"/>
      </c:catAx>
      <c:valAx>
        <c:axId val="93353856"/>
        <c:scaling>
          <c:orientation val="minMax"/>
        </c:scaling>
        <c:axPos val="l"/>
        <c:majorGridlines/>
        <c:title>
          <c:tx>
            <c:rich>
              <a:bodyPr rot="-5400000" vert="horz"/>
              <a:lstStyle/>
              <a:p>
                <a:pPr>
                  <a:defRPr/>
                </a:pPr>
                <a:r>
                  <a:rPr lang="en-US" sz="1100"/>
                  <a:t>NOx Emissions (tons)</a:t>
                </a:r>
              </a:p>
            </c:rich>
          </c:tx>
          <c:layout>
            <c:manualLayout>
              <c:xMode val="edge"/>
              <c:yMode val="edge"/>
              <c:x val="1.0253521490642901E-2"/>
              <c:y val="0.40711087042089672"/>
            </c:manualLayout>
          </c:layout>
        </c:title>
        <c:numFmt formatCode="#,##0.00" sourceLinked="1"/>
        <c:tickLblPos val="nextTo"/>
        <c:crossAx val="93352320"/>
        <c:crosses val="autoZero"/>
        <c:crossBetween val="between"/>
      </c:valAx>
      <c:valAx>
        <c:axId val="93364608"/>
        <c:scaling>
          <c:orientation val="minMax"/>
        </c:scaling>
        <c:axPos val="r"/>
        <c:title>
          <c:tx>
            <c:rich>
              <a:bodyPr rot="-5400000" vert="horz"/>
              <a:lstStyle/>
              <a:p>
                <a:pPr>
                  <a:defRPr/>
                </a:pPr>
                <a:r>
                  <a:rPr lang="en-US" sz="1100"/>
                  <a:t>NOx Emissions Rate</a:t>
                </a:r>
                <a:r>
                  <a:rPr lang="en-US" sz="1100" baseline="0"/>
                  <a:t> (gram/MWh)</a:t>
                </a:r>
                <a:endParaRPr lang="en-US" sz="1100"/>
              </a:p>
            </c:rich>
          </c:tx>
          <c:layout>
            <c:manualLayout>
              <c:xMode val="edge"/>
              <c:yMode val="edge"/>
              <c:x val="0.96306736921165348"/>
              <c:y val="0.31727457102027939"/>
            </c:manualLayout>
          </c:layout>
        </c:title>
        <c:numFmt formatCode="#,##0" sourceLinked="1"/>
        <c:tickLblPos val="nextTo"/>
        <c:crossAx val="93366528"/>
        <c:crosses val="max"/>
        <c:crossBetween val="between"/>
      </c:valAx>
      <c:catAx>
        <c:axId val="93366528"/>
        <c:scaling>
          <c:orientation val="minMax"/>
        </c:scaling>
        <c:delete val="1"/>
        <c:axPos val="b"/>
        <c:tickLblPos val="none"/>
        <c:crossAx val="93364608"/>
        <c:crosses val="autoZero"/>
        <c:auto val="1"/>
        <c:lblAlgn val="ctr"/>
        <c:lblOffset val="100"/>
      </c:catAx>
    </c:plotArea>
    <c:legend>
      <c:legendPos val="t"/>
      <c:layout>
        <c:manualLayout>
          <c:xMode val="edge"/>
          <c:yMode val="edge"/>
          <c:x val="9.1173413460739969E-2"/>
          <c:y val="0.10892763132699709"/>
          <c:w val="0.44266724427786602"/>
          <c:h val="3.6493329983586592E-2"/>
        </c:manualLayout>
      </c:layout>
    </c:legend>
    <c:plotVisOnly val="1"/>
    <c:dispBlanksAs val="gap"/>
  </c:chart>
  <c:printSettings>
    <c:headerFooter/>
    <c:pageMargins b="0.75000000000000577" l="0.70000000000000062" r="0.70000000000000062" t="0.75000000000000577"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xVal>
            <c:numRef>
              <c:f>ac!$G$53:$G$69</c:f>
              <c:numCache>
                <c:formatCode>#,##0</c:formatCode>
                <c:ptCount val="17"/>
                <c:pt idx="0">
                  <c:v>1017740</c:v>
                </c:pt>
                <c:pt idx="1">
                  <c:v>1017740</c:v>
                </c:pt>
                <c:pt idx="2">
                  <c:v>1233270</c:v>
                </c:pt>
                <c:pt idx="3">
                  <c:v>1233270</c:v>
                </c:pt>
                <c:pt idx="4">
                  <c:v>557770</c:v>
                </c:pt>
                <c:pt idx="5">
                  <c:v>557770</c:v>
                </c:pt>
                <c:pt idx="6">
                  <c:v>557770</c:v>
                </c:pt>
                <c:pt idx="7">
                  <c:v>352730</c:v>
                </c:pt>
                <c:pt idx="8">
                  <c:v>352730</c:v>
                </c:pt>
                <c:pt idx="9">
                  <c:v>352730</c:v>
                </c:pt>
                <c:pt idx="10">
                  <c:v>448035</c:v>
                </c:pt>
                <c:pt idx="11">
                  <c:v>448035</c:v>
                </c:pt>
                <c:pt idx="12">
                  <c:v>448035</c:v>
                </c:pt>
                <c:pt idx="13">
                  <c:v>299765</c:v>
                </c:pt>
                <c:pt idx="14">
                  <c:v>299765</c:v>
                </c:pt>
                <c:pt idx="15">
                  <c:v>370125</c:v>
                </c:pt>
                <c:pt idx="16">
                  <c:v>370125</c:v>
                </c:pt>
              </c:numCache>
            </c:numRef>
          </c:xVal>
          <c:yVal>
            <c:numRef>
              <c:f>ac!$K$53:$K$69</c:f>
              <c:numCache>
                <c:formatCode>"$"#,##0.00</c:formatCode>
                <c:ptCount val="17"/>
                <c:pt idx="0">
                  <c:v>0.14511270068976359</c:v>
                </c:pt>
                <c:pt idx="1">
                  <c:v>0.15268437911450861</c:v>
                </c:pt>
                <c:pt idx="2">
                  <c:v>0.2759484946524281</c:v>
                </c:pt>
                <c:pt idx="3">
                  <c:v>0.1500441914584803</c:v>
                </c:pt>
                <c:pt idx="4">
                  <c:v>0.29172598024275237</c:v>
                </c:pt>
                <c:pt idx="5">
                  <c:v>0.19488319558240852</c:v>
                </c:pt>
                <c:pt idx="6">
                  <c:v>8.5954784230058978E-2</c:v>
                </c:pt>
                <c:pt idx="7">
                  <c:v>1.2805828820911179E-2</c:v>
                </c:pt>
                <c:pt idx="8">
                  <c:v>0.39025600317523318</c:v>
                </c:pt>
                <c:pt idx="9">
                  <c:v>0.15995804156153431</c:v>
                </c:pt>
                <c:pt idx="10">
                  <c:v>0.36535538518196126</c:v>
                </c:pt>
                <c:pt idx="11">
                  <c:v>0.23508431260950596</c:v>
                </c:pt>
                <c:pt idx="12">
                  <c:v>0.10311248005178167</c:v>
                </c:pt>
                <c:pt idx="13">
                  <c:v>1.7823962103647856E-2</c:v>
                </c:pt>
                <c:pt idx="14">
                  <c:v>0.20757593448201092</c:v>
                </c:pt>
                <c:pt idx="15">
                  <c:v>1.521918270854441E-2</c:v>
                </c:pt>
                <c:pt idx="16">
                  <c:v>0.21855859506923336</c:v>
                </c:pt>
              </c:numCache>
            </c:numRef>
          </c:yVal>
        </c:ser>
        <c:axId val="96654464"/>
        <c:axId val="96656000"/>
      </c:scatterChart>
      <c:valAx>
        <c:axId val="96654464"/>
        <c:scaling>
          <c:orientation val="minMax"/>
        </c:scaling>
        <c:axPos val="b"/>
        <c:numFmt formatCode="#,##0" sourceLinked="1"/>
        <c:tickLblPos val="nextTo"/>
        <c:crossAx val="96656000"/>
        <c:crosses val="autoZero"/>
        <c:crossBetween val="midCat"/>
      </c:valAx>
      <c:valAx>
        <c:axId val="96656000"/>
        <c:scaling>
          <c:orientation val="minMax"/>
        </c:scaling>
        <c:axPos val="l"/>
        <c:majorGridlines/>
        <c:numFmt formatCode="&quot;$&quot;#,##0.00" sourceLinked="1"/>
        <c:tickLblPos val="nextTo"/>
        <c:crossAx val="96654464"/>
        <c:crosses val="autoZero"/>
        <c:crossBetween val="midCat"/>
      </c:valAx>
    </c:plotArea>
    <c:legend>
      <c:legendPos val="r"/>
    </c:legend>
    <c:plotVisOnly val="1"/>
    <c:dispBlanksAs val="gap"/>
  </c:chart>
  <c:printSettings>
    <c:headerFooter/>
    <c:pageMargins b="0.75000000000000344" l="0.70000000000000062" r="0.70000000000000062" t="0.750000000000003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trendline>
            <c:trendlineType val="linear"/>
            <c:dispRSqr val="1"/>
            <c:dispEq val="1"/>
            <c:trendlineLbl>
              <c:numFmt formatCode="#,##0.000000" sourceLinked="0"/>
            </c:trendlineLbl>
          </c:trendline>
          <c:xVal>
            <c:numRef>
              <c:f>cc!$L$11:$L$21</c:f>
              <c:numCache>
                <c:formatCode>0.0</c:formatCode>
                <c:ptCount val="11"/>
                <c:pt idx="0">
                  <c:v>3.6610169491525424</c:v>
                </c:pt>
                <c:pt idx="1">
                  <c:v>4.2983050847457624</c:v>
                </c:pt>
                <c:pt idx="2">
                  <c:v>9.3830508474576266</c:v>
                </c:pt>
                <c:pt idx="3">
                  <c:v>10.006779661016948</c:v>
                </c:pt>
                <c:pt idx="4">
                  <c:v>21.925423728813559</c:v>
                </c:pt>
                <c:pt idx="5">
                  <c:v>26.684745762711863</c:v>
                </c:pt>
                <c:pt idx="6">
                  <c:v>34.874576271186434</c:v>
                </c:pt>
                <c:pt idx="7">
                  <c:v>40.325423728813561</c:v>
                </c:pt>
                <c:pt idx="8">
                  <c:v>82.630508474576274</c:v>
                </c:pt>
                <c:pt idx="9">
                  <c:v>84.745762711864401</c:v>
                </c:pt>
                <c:pt idx="10">
                  <c:v>160</c:v>
                </c:pt>
              </c:numCache>
            </c:numRef>
          </c:xVal>
          <c:yVal>
            <c:numRef>
              <c:f>cc!$M$11:$M$21</c:f>
              <c:numCache>
                <c:formatCode>"$"#,##0.00</c:formatCode>
                <c:ptCount val="11"/>
                <c:pt idx="0">
                  <c:v>0.63923585598824395</c:v>
                </c:pt>
                <c:pt idx="1">
                  <c:v>0.67935341660543713</c:v>
                </c:pt>
                <c:pt idx="2">
                  <c:v>0.92138133725202054</c:v>
                </c:pt>
                <c:pt idx="3">
                  <c:v>0.95224099926524619</c:v>
                </c:pt>
                <c:pt idx="4">
                  <c:v>1.5749448934606907</c:v>
                </c:pt>
                <c:pt idx="5">
                  <c:v>1.7920646583394562</c:v>
                </c:pt>
                <c:pt idx="6">
                  <c:v>2.1700955180014696</c:v>
                </c:pt>
                <c:pt idx="7">
                  <c:v>2.3960323291697283</c:v>
                </c:pt>
                <c:pt idx="8">
                  <c:v>4.6047024246877299</c:v>
                </c:pt>
                <c:pt idx="9">
                  <c:v>4.666421748714181</c:v>
                </c:pt>
                <c:pt idx="10">
                  <c:v>8.4555473916238064</c:v>
                </c:pt>
              </c:numCache>
            </c:numRef>
          </c:yVal>
        </c:ser>
        <c:axId val="96779264"/>
        <c:axId val="96781056"/>
      </c:scatterChart>
      <c:valAx>
        <c:axId val="96779264"/>
        <c:scaling>
          <c:orientation val="minMax"/>
        </c:scaling>
        <c:axPos val="b"/>
        <c:numFmt formatCode="0.0" sourceLinked="1"/>
        <c:tickLblPos val="nextTo"/>
        <c:crossAx val="96781056"/>
        <c:crosses val="autoZero"/>
        <c:crossBetween val="midCat"/>
      </c:valAx>
      <c:valAx>
        <c:axId val="96781056"/>
        <c:scaling>
          <c:orientation val="minMax"/>
        </c:scaling>
        <c:axPos val="l"/>
        <c:majorGridlines/>
        <c:numFmt formatCode="&quot;$&quot;#,##0.00" sourceLinked="1"/>
        <c:tickLblPos val="nextTo"/>
        <c:crossAx val="96779264"/>
        <c:crosses val="autoZero"/>
        <c:crossBetween val="midCat"/>
      </c:valAx>
      <c:spPr>
        <a:ln>
          <a:solidFill>
            <a:schemeClr val="accent1"/>
          </a:solidFill>
        </a:ln>
      </c:spPr>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0993832662529278E-2"/>
          <c:y val="2.2406119294525656E-2"/>
          <c:w val="0.88664691623900393"/>
          <c:h val="0.86571376858747962"/>
        </c:manualLayout>
      </c:layout>
      <c:barChart>
        <c:barDir val="col"/>
        <c:grouping val="clustered"/>
        <c:ser>
          <c:idx val="0"/>
          <c:order val="0"/>
          <c:tx>
            <c:strRef>
              <c:f>'5(em)'!$AQ$14</c:f>
              <c:strCache>
                <c:ptCount val="1"/>
                <c:pt idx="0">
                  <c:v>2010</c:v>
                </c:pt>
              </c:strCache>
            </c:strRef>
          </c:tx>
          <c:cat>
            <c:strRef>
              <c:f>'5(em)'!$O$19:$O$45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'5(em)'!$AQ$19:$AQ$45</c:f>
              <c:numCache>
                <c:formatCode>#,##0</c:formatCode>
                <c:ptCount val="27"/>
                <c:pt idx="0">
                  <c:v>472.76001800990542</c:v>
                </c:pt>
                <c:pt idx="1">
                  <c:v>4977.3755656108597</c:v>
                </c:pt>
                <c:pt idx="2">
                  <c:v>4977.3755656108597</c:v>
                </c:pt>
                <c:pt idx="3">
                  <c:v>5263.1578947368425</c:v>
                </c:pt>
                <c:pt idx="4">
                  <c:v>5263.1578947368425</c:v>
                </c:pt>
                <c:pt idx="5">
                  <c:v>5645.1612903225805</c:v>
                </c:pt>
                <c:pt idx="6">
                  <c:v>5241.9354838709678</c:v>
                </c:pt>
                <c:pt idx="7">
                  <c:v>5454.545454545455</c:v>
                </c:pt>
                <c:pt idx="8">
                  <c:v>5454.545454545455</c:v>
                </c:pt>
                <c:pt idx="9">
                  <c:v>5647.8405315614618</c:v>
                </c:pt>
                <c:pt idx="10">
                  <c:v>4587.1559633027518</c:v>
                </c:pt>
                <c:pt idx="11">
                  <c:v>6140.3508771929828</c:v>
                </c:pt>
                <c:pt idx="12">
                  <c:v>6912.59765625</c:v>
                </c:pt>
                <c:pt idx="13">
                  <c:v>1565.2112259970459</c:v>
                </c:pt>
                <c:pt idx="14">
                  <c:v>1507.0476575121161</c:v>
                </c:pt>
                <c:pt idx="15">
                  <c:v>1577.5392405063292</c:v>
                </c:pt>
                <c:pt idx="16">
                  <c:v>2207.3613445378146</c:v>
                </c:pt>
                <c:pt idx="17">
                  <c:v>1835.5604304635763</c:v>
                </c:pt>
                <c:pt idx="18">
                  <c:v>6847.7308294209706</c:v>
                </c:pt>
                <c:pt idx="19">
                  <c:v>6589.3162393162393</c:v>
                </c:pt>
                <c:pt idx="20">
                  <c:v>5308.823529411764</c:v>
                </c:pt>
                <c:pt idx="21">
                  <c:v>6107.8580562659863</c:v>
                </c:pt>
                <c:pt idx="22">
                  <c:v>4113.7114537444932</c:v>
                </c:pt>
                <c:pt idx="23">
                  <c:v>753.37034099920697</c:v>
                </c:pt>
                <c:pt idx="24">
                  <c:v>677.58328627893843</c:v>
                </c:pt>
                <c:pt idx="25">
                  <c:v>828.93745290128106</c:v>
                </c:pt>
                <c:pt idx="26">
                  <c:v>780.98471986417655</c:v>
                </c:pt>
              </c:numCache>
            </c:numRef>
          </c:val>
        </c:ser>
        <c:ser>
          <c:idx val="1"/>
          <c:order val="1"/>
          <c:tx>
            <c:strRef>
              <c:f>'5(em)'!$BC$14</c:f>
              <c:strCache>
                <c:ptCount val="1"/>
                <c:pt idx="0">
                  <c:v>2009</c:v>
                </c:pt>
              </c:strCache>
            </c:strRef>
          </c:tx>
          <c:cat>
            <c:strRef>
              <c:f>'5(em)'!$O$19:$O$45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'5(em)'!$BC$19:$BC$45</c:f>
              <c:numCache>
                <c:formatCode>0</c:formatCode>
                <c:ptCount val="27"/>
                <c:pt idx="0">
                  <c:v>476.27447521608747</c:v>
                </c:pt>
                <c:pt idx="1">
                  <c:v>5882.3529411764703</c:v>
                </c:pt>
                <c:pt idx="2">
                  <c:v>4411.7647058823532</c:v>
                </c:pt>
                <c:pt idx="3">
                  <c:v>5128.2051282051279</c:v>
                </c:pt>
                <c:pt idx="4">
                  <c:v>5128.2051282051279</c:v>
                </c:pt>
                <c:pt idx="5">
                  <c:v>5555.5555555555557</c:v>
                </c:pt>
                <c:pt idx="6">
                  <c:v>5555.5555555555557</c:v>
                </c:pt>
                <c:pt idx="7">
                  <c:v>6250</c:v>
                </c:pt>
                <c:pt idx="8">
                  <c:v>4687.5</c:v>
                </c:pt>
                <c:pt idx="9">
                  <c:v>6521.739130434783</c:v>
                </c:pt>
                <c:pt idx="10">
                  <c:v>5333.333333333333</c:v>
                </c:pt>
                <c:pt idx="11">
                  <c:v>5882.3529411764703</c:v>
                </c:pt>
                <c:pt idx="12">
                  <c:v>9528.75</c:v>
                </c:pt>
                <c:pt idx="13">
                  <c:v>1359.1942446043163</c:v>
                </c:pt>
                <c:pt idx="14">
                  <c:v>1328.5539215686272</c:v>
                </c:pt>
                <c:pt idx="15">
                  <c:v>1318.0152671755725</c:v>
                </c:pt>
                <c:pt idx="16">
                  <c:v>1628.3483870967741</c:v>
                </c:pt>
                <c:pt idx="17">
                  <c:v>1684.6363636363637</c:v>
                </c:pt>
                <c:pt idx="18">
                  <c:v>7017.7419354838721</c:v>
                </c:pt>
                <c:pt idx="19">
                  <c:v>5260.6593406593411</c:v>
                </c:pt>
                <c:pt idx="20">
                  <c:v>5879.4444444444443</c:v>
                </c:pt>
                <c:pt idx="21">
                  <c:v>7840.6779661016953</c:v>
                </c:pt>
                <c:pt idx="22">
                  <c:v>4478.6923076923076</c:v>
                </c:pt>
                <c:pt idx="23">
                  <c:v>806.45161290322585</c:v>
                </c:pt>
                <c:pt idx="24">
                  <c:v>835.65459610027858</c:v>
                </c:pt>
                <c:pt idx="25">
                  <c:v>889.6797153024911</c:v>
                </c:pt>
                <c:pt idx="26">
                  <c:v>902.93453724604967</c:v>
                </c:pt>
              </c:numCache>
            </c:numRef>
          </c:val>
        </c:ser>
        <c:ser>
          <c:idx val="2"/>
          <c:order val="2"/>
          <c:tx>
            <c:strRef>
              <c:f>'5(em)'!$BO$14</c:f>
              <c:strCache>
                <c:ptCount val="1"/>
                <c:pt idx="0">
                  <c:v>2008</c:v>
                </c:pt>
              </c:strCache>
            </c:strRef>
          </c:tx>
          <c:cat>
            <c:strRef>
              <c:f>'5(em)'!$O$19:$O$45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'5(em)'!$BO$19:$BO$45</c:f>
              <c:numCache>
                <c:formatCode>0</c:formatCode>
                <c:ptCount val="27"/>
                <c:pt idx="0">
                  <c:v>500.73023158773213</c:v>
                </c:pt>
                <c:pt idx="1">
                  <c:v>5555.5555555555557</c:v>
                </c:pt>
                <c:pt idx="2">
                  <c:v>4761.9047619047615</c:v>
                </c:pt>
                <c:pt idx="3">
                  <c:v>4878.0487804878048</c:v>
                </c:pt>
                <c:pt idx="4">
                  <c:v>4878.0487804878048</c:v>
                </c:pt>
                <c:pt idx="5">
                  <c:v>5405.405405405405</c:v>
                </c:pt>
                <c:pt idx="6">
                  <c:v>5405.405405405405</c:v>
                </c:pt>
                <c:pt idx="7">
                  <c:v>5617.9775280898875</c:v>
                </c:pt>
                <c:pt idx="8">
                  <c:v>4494.3820224719102</c:v>
                </c:pt>
                <c:pt idx="9">
                  <c:v>6535.9477124183004</c:v>
                </c:pt>
                <c:pt idx="10">
                  <c:v>4635.7615894039736</c:v>
                </c:pt>
                <c:pt idx="11">
                  <c:v>7619.0476190476193</c:v>
                </c:pt>
                <c:pt idx="12">
                  <c:v>5247.2682926829257</c:v>
                </c:pt>
                <c:pt idx="13">
                  <c:v>1437.377049180328</c:v>
                </c:pt>
                <c:pt idx="14">
                  <c:v>1286.328125</c:v>
                </c:pt>
                <c:pt idx="15">
                  <c:v>1345.3478260869565</c:v>
                </c:pt>
                <c:pt idx="16">
                  <c:v>1426.8387096774193</c:v>
                </c:pt>
                <c:pt idx="17">
                  <c:v>1253.3736263736264</c:v>
                </c:pt>
                <c:pt idx="18">
                  <c:v>5512.6760563380276</c:v>
                </c:pt>
                <c:pt idx="19">
                  <c:v>4441.4414414414423</c:v>
                </c:pt>
                <c:pt idx="20">
                  <c:v>2990.7407407407409</c:v>
                </c:pt>
                <c:pt idx="21">
                  <c:v>7833.2154995105539</c:v>
                </c:pt>
                <c:pt idx="22">
                  <c:v>4043.9285714285716</c:v>
                </c:pt>
                <c:pt idx="23">
                  <c:v>796.81274900398409</c:v>
                </c:pt>
                <c:pt idx="24">
                  <c:v>851.063829787234</c:v>
                </c:pt>
                <c:pt idx="25">
                  <c:v>806.45161290322585</c:v>
                </c:pt>
                <c:pt idx="26">
                  <c:v>886.52482269503548</c:v>
                </c:pt>
              </c:numCache>
            </c:numRef>
          </c:val>
        </c:ser>
        <c:axId val="93375872"/>
        <c:axId val="93304320"/>
      </c:barChart>
      <c:catAx>
        <c:axId val="93375872"/>
        <c:scaling>
          <c:orientation val="minMax"/>
        </c:scaling>
        <c:axPos val="b"/>
        <c:title>
          <c:tx>
            <c:rich>
              <a:bodyPr/>
              <a:lstStyle/>
              <a:p>
                <a:pPr>
                  <a:defRPr/>
                </a:pPr>
                <a:r>
                  <a:rPr lang="en-US" sz="1600"/>
                  <a:t>OZONE  SEASON 2010, 2009 and 2008 NOx Emissions Rate for TA&amp;O</a:t>
                </a:r>
                <a:r>
                  <a:rPr lang="en-US" sz="1600" baseline="0"/>
                  <a:t> Turbines</a:t>
                </a:r>
                <a:endParaRPr lang="en-US" sz="1600"/>
              </a:p>
            </c:rich>
          </c:tx>
          <c:layout>
            <c:manualLayout>
              <c:xMode val="edge"/>
              <c:yMode val="edge"/>
              <c:x val="0.17061923728081171"/>
              <c:y val="4.9469561888579733E-2"/>
            </c:manualLayout>
          </c:layout>
        </c:title>
        <c:tickLblPos val="nextTo"/>
        <c:crossAx val="93304320"/>
        <c:crosses val="autoZero"/>
        <c:auto val="1"/>
        <c:lblAlgn val="ctr"/>
        <c:lblOffset val="100"/>
      </c:catAx>
      <c:valAx>
        <c:axId val="93304320"/>
        <c:scaling>
          <c:orientation val="minMax"/>
        </c:scaling>
        <c:axPos val="l"/>
        <c:majorGridlines/>
        <c:title>
          <c:tx>
            <c:rich>
              <a:bodyPr rot="-5400000" vert="horz"/>
              <a:lstStyle/>
              <a:p>
                <a:pPr>
                  <a:defRPr/>
                </a:pPr>
                <a:r>
                  <a:rPr lang="en-US" sz="1100"/>
                  <a:t>NOx Emissions Rate (grams/MWh)</a:t>
                </a:r>
              </a:p>
            </c:rich>
          </c:tx>
        </c:title>
        <c:numFmt formatCode="#,##0" sourceLinked="1"/>
        <c:tickLblPos val="nextTo"/>
        <c:crossAx val="93375872"/>
        <c:crosses val="autoZero"/>
        <c:crossBetween val="between"/>
      </c:valAx>
      <c:spPr>
        <a:ln>
          <a:solidFill>
            <a:schemeClr val="accent1"/>
          </a:solidFill>
        </a:ln>
      </c:spPr>
    </c:plotArea>
    <c:legend>
      <c:legendPos val="r"/>
      <c:layout>
        <c:manualLayout>
          <c:xMode val="edge"/>
          <c:yMode val="edge"/>
          <c:x val="0.88096468913259951"/>
          <c:y val="0.32619144438443082"/>
          <c:w val="5.4584604354782934E-2"/>
          <c:h val="0.10947998995075969"/>
        </c:manualLayout>
      </c:layout>
    </c:legend>
    <c:plotVisOnly val="1"/>
    <c:dispBlanksAs val="gap"/>
  </c:chart>
  <c:printSettings>
    <c:headerFooter/>
    <c:pageMargins b="0.75000000000000577" l="0.70000000000000062" r="0.70000000000000062" t="0.750000000000005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Number</a:t>
            </a:r>
            <a:r>
              <a:rPr lang="en-US" baseline="0"/>
              <a:t> of Operating Hours During Ozone Season for TA&amp;O Turbines</a:t>
            </a:r>
            <a:endParaRPr lang="en-US"/>
          </a:p>
        </c:rich>
      </c:tx>
      <c:layout>
        <c:manualLayout>
          <c:xMode val="edge"/>
          <c:yMode val="edge"/>
          <c:x val="0.12874559179312423"/>
          <c:y val="3.2289779156661612E-2"/>
        </c:manualLayout>
      </c:layout>
      <c:overlay val="1"/>
    </c:title>
    <c:plotArea>
      <c:layout>
        <c:manualLayout>
          <c:layoutTarget val="inner"/>
          <c:xMode val="edge"/>
          <c:yMode val="edge"/>
          <c:x val="9.7387693375187087E-2"/>
          <c:y val="9.1021900002431252E-2"/>
          <c:w val="0.86853474525131558"/>
          <c:h val="0.80113421027415765"/>
        </c:manualLayout>
      </c:layout>
      <c:barChart>
        <c:barDir val="col"/>
        <c:grouping val="clustered"/>
        <c:ser>
          <c:idx val="0"/>
          <c:order val="0"/>
          <c:tx>
            <c:strRef>
              <c:f>'5(em)'!$AQ$14</c:f>
              <c:strCache>
                <c:ptCount val="1"/>
                <c:pt idx="0">
                  <c:v>2010</c:v>
                </c:pt>
              </c:strCache>
            </c:strRef>
          </c:tx>
          <c:cat>
            <c:strRef>
              <c:f>'5(em)'!$C$19:$C$45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'5(em)'!$AJ$19:$AJ$45</c:f>
              <c:numCache>
                <c:formatCode>#,##0</c:formatCode>
                <c:ptCount val="27"/>
                <c:pt idx="0">
                  <c:v>229</c:v>
                </c:pt>
                <c:pt idx="1">
                  <c:v>15</c:v>
                </c:pt>
                <c:pt idx="2">
                  <c:v>15</c:v>
                </c:pt>
                <c:pt idx="3">
                  <c:v>19</c:v>
                </c:pt>
                <c:pt idx="4">
                  <c:v>19</c:v>
                </c:pt>
                <c:pt idx="5">
                  <c:v>18</c:v>
                </c:pt>
                <c:pt idx="6">
                  <c:v>18</c:v>
                </c:pt>
                <c:pt idx="7">
                  <c:v>16</c:v>
                </c:pt>
                <c:pt idx="8">
                  <c:v>16</c:v>
                </c:pt>
                <c:pt idx="9">
                  <c:v>20</c:v>
                </c:pt>
                <c:pt idx="10">
                  <c:v>19</c:v>
                </c:pt>
                <c:pt idx="11">
                  <c:v>11</c:v>
                </c:pt>
                <c:pt idx="12">
                  <c:v>39</c:v>
                </c:pt>
                <c:pt idx="13">
                  <c:v>44</c:v>
                </c:pt>
                <c:pt idx="14">
                  <c:v>40</c:v>
                </c:pt>
                <c:pt idx="15">
                  <c:v>51</c:v>
                </c:pt>
                <c:pt idx="16">
                  <c:v>35</c:v>
                </c:pt>
                <c:pt idx="17">
                  <c:v>42</c:v>
                </c:pt>
                <c:pt idx="18">
                  <c:v>46</c:v>
                </c:pt>
                <c:pt idx="19">
                  <c:v>36</c:v>
                </c:pt>
                <c:pt idx="20">
                  <c:v>95</c:v>
                </c:pt>
                <c:pt idx="21">
                  <c:v>21</c:v>
                </c:pt>
                <c:pt idx="22">
                  <c:v>24</c:v>
                </c:pt>
                <c:pt idx="23">
                  <c:v>82</c:v>
                </c:pt>
                <c:pt idx="24">
                  <c:v>57</c:v>
                </c:pt>
                <c:pt idx="25">
                  <c:v>85</c:v>
                </c:pt>
                <c:pt idx="26">
                  <c:v>96</c:v>
                </c:pt>
              </c:numCache>
            </c:numRef>
          </c:val>
        </c:ser>
        <c:ser>
          <c:idx val="1"/>
          <c:order val="1"/>
          <c:tx>
            <c:strRef>
              <c:f>'5(em)'!$BC$14</c:f>
              <c:strCache>
                <c:ptCount val="1"/>
                <c:pt idx="0">
                  <c:v>2009</c:v>
                </c:pt>
              </c:strCache>
            </c:strRef>
          </c:tx>
          <c:cat>
            <c:strRef>
              <c:f>'5(em)'!$C$19:$C$45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'5(em)'!$AV$19:$AV$45</c:f>
              <c:numCache>
                <c:formatCode>General</c:formatCode>
                <c:ptCount val="27"/>
                <c:pt idx="0">
                  <c:v>152</c:v>
                </c:pt>
                <c:pt idx="1">
                  <c:v>8</c:v>
                </c:pt>
                <c:pt idx="2">
                  <c:v>8</c:v>
                </c:pt>
                <c:pt idx="3">
                  <c:v>7</c:v>
                </c:pt>
                <c:pt idx="4">
                  <c:v>7</c:v>
                </c:pt>
                <c:pt idx="5">
                  <c:v>8</c:v>
                </c:pt>
                <c:pt idx="6">
                  <c:v>8</c:v>
                </c:pt>
                <c:pt idx="7">
                  <c:v>6</c:v>
                </c:pt>
                <c:pt idx="8">
                  <c:v>6</c:v>
                </c:pt>
                <c:pt idx="9">
                  <c:v>3</c:v>
                </c:pt>
                <c:pt idx="10">
                  <c:v>15</c:v>
                </c:pt>
                <c:pt idx="11">
                  <c:v>8</c:v>
                </c:pt>
                <c:pt idx="12">
                  <c:v>2</c:v>
                </c:pt>
                <c:pt idx="13">
                  <c:v>8</c:v>
                </c:pt>
                <c:pt idx="14">
                  <c:v>6</c:v>
                </c:pt>
                <c:pt idx="15">
                  <c:v>7</c:v>
                </c:pt>
                <c:pt idx="16">
                  <c:v>8</c:v>
                </c:pt>
                <c:pt idx="17">
                  <c:v>13</c:v>
                </c:pt>
                <c:pt idx="18">
                  <c:v>5</c:v>
                </c:pt>
                <c:pt idx="19">
                  <c:v>6</c:v>
                </c:pt>
                <c:pt idx="20">
                  <c:v>20</c:v>
                </c:pt>
                <c:pt idx="21">
                  <c:v>6</c:v>
                </c:pt>
                <c:pt idx="22">
                  <c:v>4</c:v>
                </c:pt>
                <c:pt idx="23">
                  <c:v>18</c:v>
                </c:pt>
                <c:pt idx="24">
                  <c:v>13</c:v>
                </c:pt>
                <c:pt idx="25">
                  <c:v>19</c:v>
                </c:pt>
                <c:pt idx="26">
                  <c:v>16</c:v>
                </c:pt>
              </c:numCache>
            </c:numRef>
          </c:val>
        </c:ser>
        <c:ser>
          <c:idx val="2"/>
          <c:order val="2"/>
          <c:tx>
            <c:strRef>
              <c:f>'5(em)'!$BO$14</c:f>
              <c:strCache>
                <c:ptCount val="1"/>
                <c:pt idx="0">
                  <c:v>2008</c:v>
                </c:pt>
              </c:strCache>
            </c:strRef>
          </c:tx>
          <c:cat>
            <c:strRef>
              <c:f>'5(em)'!$C$19:$C$45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'5(em)'!$BH$19:$BH$45</c:f>
              <c:numCache>
                <c:formatCode>General</c:formatCode>
                <c:ptCount val="27"/>
                <c:pt idx="0">
                  <c:v>324</c:v>
                </c:pt>
                <c:pt idx="1">
                  <c:v>12</c:v>
                </c:pt>
                <c:pt idx="2">
                  <c:v>12</c:v>
                </c:pt>
                <c:pt idx="3">
                  <c:v>11</c:v>
                </c:pt>
                <c:pt idx="4">
                  <c:v>11</c:v>
                </c:pt>
                <c:pt idx="5">
                  <c:v>12</c:v>
                </c:pt>
                <c:pt idx="6">
                  <c:v>12</c:v>
                </c:pt>
                <c:pt idx="7">
                  <c:v>9</c:v>
                </c:pt>
                <c:pt idx="8">
                  <c:v>9</c:v>
                </c:pt>
                <c:pt idx="9">
                  <c:v>15</c:v>
                </c:pt>
                <c:pt idx="10">
                  <c:v>10</c:v>
                </c:pt>
                <c:pt idx="11">
                  <c:v>24</c:v>
                </c:pt>
                <c:pt idx="12">
                  <c:v>7</c:v>
                </c:pt>
                <c:pt idx="13">
                  <c:v>11</c:v>
                </c:pt>
                <c:pt idx="14">
                  <c:v>9</c:v>
                </c:pt>
                <c:pt idx="15">
                  <c:v>6</c:v>
                </c:pt>
                <c:pt idx="16">
                  <c:v>4</c:v>
                </c:pt>
                <c:pt idx="17">
                  <c:v>4</c:v>
                </c:pt>
                <c:pt idx="18">
                  <c:v>8</c:v>
                </c:pt>
                <c:pt idx="19">
                  <c:v>6</c:v>
                </c:pt>
                <c:pt idx="20">
                  <c:v>17</c:v>
                </c:pt>
                <c:pt idx="21">
                  <c:v>8</c:v>
                </c:pt>
                <c:pt idx="22">
                  <c:v>6</c:v>
                </c:pt>
                <c:pt idx="23">
                  <c:v>16</c:v>
                </c:pt>
                <c:pt idx="24">
                  <c:v>16</c:v>
                </c:pt>
                <c:pt idx="25">
                  <c:v>17</c:v>
                </c:pt>
                <c:pt idx="26">
                  <c:v>20</c:v>
                </c:pt>
              </c:numCache>
            </c:numRef>
          </c:val>
        </c:ser>
        <c:axId val="93772800"/>
        <c:axId val="93762304"/>
      </c:barChart>
      <c:catAx>
        <c:axId val="93772800"/>
        <c:scaling>
          <c:orientation val="minMax"/>
        </c:scaling>
        <c:axPos val="b"/>
        <c:tickLblPos val="nextTo"/>
        <c:crossAx val="93762304"/>
        <c:crosses val="autoZero"/>
        <c:auto val="1"/>
        <c:lblAlgn val="ctr"/>
        <c:lblOffset val="100"/>
      </c:catAx>
      <c:valAx>
        <c:axId val="93762304"/>
        <c:scaling>
          <c:orientation val="minMax"/>
        </c:scaling>
        <c:axPos val="l"/>
        <c:majorGridlines/>
        <c:title>
          <c:tx>
            <c:rich>
              <a:bodyPr rot="-5400000" vert="horz"/>
              <a:lstStyle/>
              <a:p>
                <a:pPr>
                  <a:defRPr/>
                </a:pPr>
                <a:r>
                  <a:rPr lang="en-US"/>
                  <a:t>Operating Time (hours/O</a:t>
                </a:r>
                <a:r>
                  <a:rPr lang="en-US" baseline="-25000"/>
                  <a:t>3 </a:t>
                </a:r>
                <a:r>
                  <a:rPr lang="en-US"/>
                  <a:t>season)</a:t>
                </a:r>
              </a:p>
            </c:rich>
          </c:tx>
        </c:title>
        <c:numFmt formatCode="#,##0" sourceLinked="1"/>
        <c:tickLblPos val="nextTo"/>
        <c:crossAx val="93772800"/>
        <c:crosses val="autoZero"/>
        <c:crossBetween val="between"/>
      </c:valAx>
      <c:spPr>
        <a:ln>
          <a:solidFill>
            <a:srgbClr val="4F81BD"/>
          </a:solidFill>
        </a:ln>
      </c:spPr>
    </c:plotArea>
    <c:legend>
      <c:legendPos val="t"/>
      <c:layout>
        <c:manualLayout>
          <c:xMode val="edge"/>
          <c:yMode val="edge"/>
          <c:x val="0.3633702690782461"/>
          <c:y val="0.11705044944289801"/>
          <c:w val="0.30109044874669444"/>
          <c:h val="4.6583885970043294E-2"/>
        </c:manualLayout>
      </c:layout>
    </c:legend>
    <c:plotVisOnly val="1"/>
    <c:dispBlanksAs val="gap"/>
  </c:chart>
  <c:printSettings>
    <c:headerFooter/>
    <c:pageMargins b="0.75000000000000444" l="0.70000000000000062" r="0.70000000000000062" t="0.75000000000000444"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Electri</a:t>
            </a:r>
            <a:r>
              <a:rPr lang="en-US" baseline="0"/>
              <a:t>c Generation</a:t>
            </a:r>
            <a:r>
              <a:rPr lang="en-US"/>
              <a:t> </a:t>
            </a:r>
            <a:r>
              <a:rPr lang="en-US" baseline="0"/>
              <a:t>During Ozone Season for TA&amp;O Turbines</a:t>
            </a:r>
            <a:endParaRPr lang="en-US"/>
          </a:p>
        </c:rich>
      </c:tx>
      <c:layout>
        <c:manualLayout>
          <c:xMode val="edge"/>
          <c:yMode val="edge"/>
          <c:x val="0.16390052261818269"/>
          <c:y val="3.2289779156661612E-2"/>
        </c:manualLayout>
      </c:layout>
      <c:overlay val="1"/>
    </c:title>
    <c:plotArea>
      <c:layout>
        <c:manualLayout>
          <c:layoutTarget val="inner"/>
          <c:xMode val="edge"/>
          <c:yMode val="edge"/>
          <c:x val="9.7387693375187087E-2"/>
          <c:y val="9.1021900002431252E-2"/>
          <c:w val="0.86853474525131558"/>
          <c:h val="0.80113421027415765"/>
        </c:manualLayout>
      </c:layout>
      <c:barChart>
        <c:barDir val="col"/>
        <c:grouping val="clustered"/>
        <c:ser>
          <c:idx val="0"/>
          <c:order val="0"/>
          <c:tx>
            <c:strRef>
              <c:f>'5(em)'!$AQ$14</c:f>
              <c:strCache>
                <c:ptCount val="1"/>
                <c:pt idx="0">
                  <c:v>2010</c:v>
                </c:pt>
              </c:strCache>
            </c:strRef>
          </c:tx>
          <c:cat>
            <c:strRef>
              <c:f>'5(em)'!$C$19:$C$45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'5(em)'!$AL$19:$AL$45</c:f>
              <c:numCache>
                <c:formatCode>#,##0</c:formatCode>
                <c:ptCount val="27"/>
                <c:pt idx="0">
                  <c:v>8884</c:v>
                </c:pt>
                <c:pt idx="1">
                  <c:v>221</c:v>
                </c:pt>
                <c:pt idx="2">
                  <c:v>221</c:v>
                </c:pt>
                <c:pt idx="3">
                  <c:v>285</c:v>
                </c:pt>
                <c:pt idx="4">
                  <c:v>285</c:v>
                </c:pt>
                <c:pt idx="5">
                  <c:v>248</c:v>
                </c:pt>
                <c:pt idx="6">
                  <c:v>248</c:v>
                </c:pt>
                <c:pt idx="7">
                  <c:v>220</c:v>
                </c:pt>
                <c:pt idx="8">
                  <c:v>220</c:v>
                </c:pt>
                <c:pt idx="9">
                  <c:v>301</c:v>
                </c:pt>
                <c:pt idx="10">
                  <c:v>327</c:v>
                </c:pt>
                <c:pt idx="11">
                  <c:v>114</c:v>
                </c:pt>
                <c:pt idx="12">
                  <c:v>512</c:v>
                </c:pt>
                <c:pt idx="13">
                  <c:v>677</c:v>
                </c:pt>
                <c:pt idx="14">
                  <c:v>619</c:v>
                </c:pt>
                <c:pt idx="15">
                  <c:v>790</c:v>
                </c:pt>
                <c:pt idx="16">
                  <c:v>476</c:v>
                </c:pt>
                <c:pt idx="17">
                  <c:v>604</c:v>
                </c:pt>
                <c:pt idx="18">
                  <c:v>639</c:v>
                </c:pt>
                <c:pt idx="19">
                  <c:v>468</c:v>
                </c:pt>
                <c:pt idx="20">
                  <c:v>1275</c:v>
                </c:pt>
                <c:pt idx="21">
                  <c:v>204</c:v>
                </c:pt>
                <c:pt idx="22">
                  <c:v>454</c:v>
                </c:pt>
                <c:pt idx="23">
                  <c:v>2522</c:v>
                </c:pt>
                <c:pt idx="24">
                  <c:v>1771</c:v>
                </c:pt>
                <c:pt idx="25">
                  <c:v>2654</c:v>
                </c:pt>
                <c:pt idx="26">
                  <c:v>2945</c:v>
                </c:pt>
              </c:numCache>
            </c:numRef>
          </c:val>
        </c:ser>
        <c:ser>
          <c:idx val="1"/>
          <c:order val="1"/>
          <c:tx>
            <c:strRef>
              <c:f>'5(em)'!$BC$14</c:f>
              <c:strCache>
                <c:ptCount val="1"/>
                <c:pt idx="0">
                  <c:v>2009</c:v>
                </c:pt>
              </c:strCache>
            </c:strRef>
          </c:tx>
          <c:cat>
            <c:strRef>
              <c:f>'5(em)'!$C$19:$C$45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'5(em)'!$AX$19:$AX$45</c:f>
              <c:numCache>
                <c:formatCode>#,##0</c:formatCode>
                <c:ptCount val="27"/>
                <c:pt idx="0">
                  <c:v>5669</c:v>
                </c:pt>
                <c:pt idx="1">
                  <c:v>68</c:v>
                </c:pt>
                <c:pt idx="2">
                  <c:v>68</c:v>
                </c:pt>
                <c:pt idx="3">
                  <c:v>78</c:v>
                </c:pt>
                <c:pt idx="4">
                  <c:v>78</c:v>
                </c:pt>
                <c:pt idx="5">
                  <c:v>72</c:v>
                </c:pt>
                <c:pt idx="6">
                  <c:v>72</c:v>
                </c:pt>
                <c:pt idx="7">
                  <c:v>64</c:v>
                </c:pt>
                <c:pt idx="8">
                  <c:v>64</c:v>
                </c:pt>
                <c:pt idx="9">
                  <c:v>46</c:v>
                </c:pt>
                <c:pt idx="10">
                  <c:v>225</c:v>
                </c:pt>
                <c:pt idx="11">
                  <c:v>119</c:v>
                </c:pt>
                <c:pt idx="12">
                  <c:v>20</c:v>
                </c:pt>
                <c:pt idx="13">
                  <c:v>139</c:v>
                </c:pt>
                <c:pt idx="14">
                  <c:v>102</c:v>
                </c:pt>
                <c:pt idx="15">
                  <c:v>131</c:v>
                </c:pt>
                <c:pt idx="16">
                  <c:v>155</c:v>
                </c:pt>
                <c:pt idx="17">
                  <c:v>209</c:v>
                </c:pt>
                <c:pt idx="18">
                  <c:v>62</c:v>
                </c:pt>
                <c:pt idx="19">
                  <c:v>91</c:v>
                </c:pt>
                <c:pt idx="20">
                  <c:v>243</c:v>
                </c:pt>
                <c:pt idx="21">
                  <c:v>55</c:v>
                </c:pt>
                <c:pt idx="22">
                  <c:v>65</c:v>
                </c:pt>
                <c:pt idx="23">
                  <c:v>496</c:v>
                </c:pt>
                <c:pt idx="24">
                  <c:v>359</c:v>
                </c:pt>
                <c:pt idx="25">
                  <c:v>562</c:v>
                </c:pt>
                <c:pt idx="26">
                  <c:v>443</c:v>
                </c:pt>
              </c:numCache>
            </c:numRef>
          </c:val>
        </c:ser>
        <c:ser>
          <c:idx val="2"/>
          <c:order val="2"/>
          <c:tx>
            <c:strRef>
              <c:f>'5(em)'!$BO$14</c:f>
              <c:strCache>
                <c:ptCount val="1"/>
                <c:pt idx="0">
                  <c:v>2008</c:v>
                </c:pt>
              </c:strCache>
            </c:strRef>
          </c:tx>
          <c:cat>
            <c:strRef>
              <c:f>'5(em)'!$C$19:$C$45</c:f>
              <c:strCache>
                <c:ptCount val="27"/>
                <c:pt idx="0">
                  <c:v>GT </c:v>
                </c:pt>
                <c:pt idx="1">
                  <c:v>11A</c:v>
                </c:pt>
                <c:pt idx="2">
                  <c:v>11B</c:v>
                </c:pt>
                <c:pt idx="3">
                  <c:v>12A</c:v>
                </c:pt>
                <c:pt idx="4">
                  <c:v>12B</c:v>
                </c:pt>
                <c:pt idx="5">
                  <c:v>13A</c:v>
                </c:pt>
                <c:pt idx="6">
                  <c:v>13B</c:v>
                </c:pt>
                <c:pt idx="7">
                  <c:v>14A</c:v>
                </c:pt>
                <c:pt idx="8">
                  <c:v>14B</c:v>
                </c:pt>
                <c:pt idx="9">
                  <c:v>10</c:v>
                </c:pt>
                <c:pt idx="10">
                  <c:v>TRBINE</c:v>
                </c:pt>
                <c:pt idx="11">
                  <c:v>BHB4 </c:v>
                </c:pt>
                <c:pt idx="12">
                  <c:v>BR10</c:v>
                </c:pt>
                <c:pt idx="13">
                  <c:v>CC10</c:v>
                </c:pt>
                <c:pt idx="14">
                  <c:v>CC11</c:v>
                </c:pt>
                <c:pt idx="15">
                  <c:v>CC12</c:v>
                </c:pt>
                <c:pt idx="16">
                  <c:v>CC13</c:v>
                </c:pt>
                <c:pt idx="17">
                  <c:v>CC14</c:v>
                </c:pt>
                <c:pt idx="18">
                  <c:v>FD10</c:v>
                </c:pt>
                <c:pt idx="19">
                  <c:v>TT10</c:v>
                </c:pt>
                <c:pt idx="20">
                  <c:v>MD10</c:v>
                </c:pt>
                <c:pt idx="21">
                  <c:v>NH10</c:v>
                </c:pt>
                <c:pt idx="22">
                  <c:v>DV10</c:v>
                </c:pt>
                <c:pt idx="23">
                  <c:v>DV11</c:v>
                </c:pt>
                <c:pt idx="24">
                  <c:v>DV12</c:v>
                </c:pt>
                <c:pt idx="25">
                  <c:v>DV13</c:v>
                </c:pt>
                <c:pt idx="26">
                  <c:v>DV14</c:v>
                </c:pt>
              </c:strCache>
            </c:strRef>
          </c:cat>
          <c:val>
            <c:numRef>
              <c:f>'5(em)'!$BJ$19:$BJ$45</c:f>
              <c:numCache>
                <c:formatCode>#,##0</c:formatCode>
                <c:ptCount val="27"/>
                <c:pt idx="0">
                  <c:v>14379</c:v>
                </c:pt>
                <c:pt idx="1">
                  <c:v>126</c:v>
                </c:pt>
                <c:pt idx="2">
                  <c:v>126</c:v>
                </c:pt>
                <c:pt idx="3">
                  <c:v>123</c:v>
                </c:pt>
                <c:pt idx="4">
                  <c:v>123</c:v>
                </c:pt>
                <c:pt idx="5">
                  <c:v>111</c:v>
                </c:pt>
                <c:pt idx="6">
                  <c:v>111</c:v>
                </c:pt>
                <c:pt idx="7">
                  <c:v>89</c:v>
                </c:pt>
                <c:pt idx="8">
                  <c:v>89</c:v>
                </c:pt>
                <c:pt idx="9">
                  <c:v>153</c:v>
                </c:pt>
                <c:pt idx="10">
                  <c:v>151</c:v>
                </c:pt>
                <c:pt idx="11">
                  <c:v>105</c:v>
                </c:pt>
                <c:pt idx="12">
                  <c:v>123</c:v>
                </c:pt>
                <c:pt idx="13">
                  <c:v>183</c:v>
                </c:pt>
                <c:pt idx="14">
                  <c:v>160</c:v>
                </c:pt>
                <c:pt idx="15">
                  <c:v>115</c:v>
                </c:pt>
                <c:pt idx="16">
                  <c:v>93</c:v>
                </c:pt>
                <c:pt idx="17">
                  <c:v>91</c:v>
                </c:pt>
                <c:pt idx="18">
                  <c:v>142</c:v>
                </c:pt>
                <c:pt idx="19">
                  <c:v>111</c:v>
                </c:pt>
                <c:pt idx="20">
                  <c:v>405</c:v>
                </c:pt>
                <c:pt idx="21">
                  <c:v>67</c:v>
                </c:pt>
                <c:pt idx="22">
                  <c:v>112</c:v>
                </c:pt>
                <c:pt idx="23">
                  <c:v>502</c:v>
                </c:pt>
                <c:pt idx="24">
                  <c:v>470</c:v>
                </c:pt>
                <c:pt idx="25">
                  <c:v>496</c:v>
                </c:pt>
                <c:pt idx="26">
                  <c:v>564</c:v>
                </c:pt>
              </c:numCache>
            </c:numRef>
          </c:val>
        </c:ser>
        <c:axId val="93804800"/>
        <c:axId val="93859840"/>
      </c:barChart>
      <c:catAx>
        <c:axId val="93804800"/>
        <c:scaling>
          <c:orientation val="minMax"/>
        </c:scaling>
        <c:axPos val="b"/>
        <c:tickLblPos val="nextTo"/>
        <c:crossAx val="93859840"/>
        <c:crosses val="autoZero"/>
        <c:auto val="1"/>
        <c:lblAlgn val="ctr"/>
        <c:lblOffset val="100"/>
      </c:catAx>
      <c:valAx>
        <c:axId val="93859840"/>
        <c:scaling>
          <c:orientation val="minMax"/>
        </c:scaling>
        <c:axPos val="l"/>
        <c:majorGridlines/>
        <c:title>
          <c:tx>
            <c:rich>
              <a:bodyPr rot="-5400000" vert="horz"/>
              <a:lstStyle/>
              <a:p>
                <a:pPr>
                  <a:defRPr/>
                </a:pPr>
                <a:r>
                  <a:rPr lang="en-US"/>
                  <a:t>Gross Load (MWh)</a:t>
                </a:r>
              </a:p>
            </c:rich>
          </c:tx>
        </c:title>
        <c:numFmt formatCode="#,##0" sourceLinked="1"/>
        <c:tickLblPos val="nextTo"/>
        <c:crossAx val="93804800"/>
        <c:crosses val="autoZero"/>
        <c:crossBetween val="between"/>
      </c:valAx>
      <c:spPr>
        <a:ln>
          <a:solidFill>
            <a:srgbClr val="4F81BD"/>
          </a:solidFill>
        </a:ln>
      </c:spPr>
    </c:plotArea>
    <c:legend>
      <c:legendPos val="t"/>
      <c:layout>
        <c:manualLayout>
          <c:xMode val="edge"/>
          <c:yMode val="edge"/>
          <c:x val="0.3633702690782481"/>
          <c:y val="0.11705044944289801"/>
          <c:w val="0.30109044874669444"/>
          <c:h val="4.6583885970043294E-2"/>
        </c:manualLayout>
      </c:layout>
    </c:legend>
    <c:plotVisOnly val="1"/>
    <c:dispBlanksAs val="gap"/>
  </c:chart>
  <c:printSettings>
    <c:headerFooter/>
    <c:pageMargins b="0.75000000000000577" l="0.70000000000000062" r="0.70000000000000062" t="0.75000000000000577"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800" b="1" i="0" baseline="0"/>
              <a:t>Ozone  Season NOx Emissions &amp; Emissions Rate for TA&amp;O Boilers</a:t>
            </a:r>
          </a:p>
        </c:rich>
      </c:tx>
      <c:layout>
        <c:manualLayout>
          <c:xMode val="edge"/>
          <c:yMode val="edge"/>
          <c:x val="0.12346866136297789"/>
          <c:y val="2.6235445564787796E-2"/>
        </c:manualLayout>
      </c:layout>
    </c:title>
    <c:plotArea>
      <c:layout>
        <c:manualLayout>
          <c:layoutTarget val="inner"/>
          <c:xMode val="edge"/>
          <c:yMode val="edge"/>
          <c:x val="0.10588346832457685"/>
          <c:y val="8.6985677607848519E-2"/>
          <c:w val="0.79998263014244653"/>
          <c:h val="0.82131532224706949"/>
        </c:manualLayout>
      </c:layout>
      <c:barChart>
        <c:barDir val="col"/>
        <c:grouping val="clustered"/>
        <c:ser>
          <c:idx val="0"/>
          <c:order val="0"/>
          <c:tx>
            <c:strRef>
              <c:f>'5(em)'!$AQ$14</c:f>
              <c:strCache>
                <c:ptCount val="1"/>
                <c:pt idx="0">
                  <c:v>2010</c:v>
                </c:pt>
              </c:strCache>
            </c:strRef>
          </c:tx>
          <c:cat>
            <c:strRef>
              <c:f>'5(em)'!$O$48:$O$57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'5(em)'!$AP$48:$AP$57</c:f>
              <c:numCache>
                <c:formatCode>#,##0.00</c:formatCode>
                <c:ptCount val="10"/>
                <c:pt idx="0">
                  <c:v>94.2</c:v>
                </c:pt>
                <c:pt idx="1">
                  <c:v>189.3</c:v>
                </c:pt>
                <c:pt idx="2">
                  <c:v>80.5</c:v>
                </c:pt>
                <c:pt idx="3">
                  <c:v>27.4</c:v>
                </c:pt>
                <c:pt idx="4">
                  <c:v>44.3</c:v>
                </c:pt>
                <c:pt idx="5">
                  <c:v>30.6</c:v>
                </c:pt>
                <c:pt idx="6">
                  <c:v>34.299999999999997</c:v>
                </c:pt>
                <c:pt idx="7">
                  <c:v>102</c:v>
                </c:pt>
                <c:pt idx="8">
                  <c:v>11.8</c:v>
                </c:pt>
                <c:pt idx="9">
                  <c:v>500.5</c:v>
                </c:pt>
              </c:numCache>
            </c:numRef>
          </c:val>
        </c:ser>
        <c:ser>
          <c:idx val="1"/>
          <c:order val="1"/>
          <c:tx>
            <c:strRef>
              <c:f>'5(em)'!$BC$14</c:f>
              <c:strCache>
                <c:ptCount val="1"/>
                <c:pt idx="0">
                  <c:v>2009</c:v>
                </c:pt>
              </c:strCache>
            </c:strRef>
          </c:tx>
          <c:cat>
            <c:strRef>
              <c:f>'5(em)'!$O$48:$O$57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'5(em)'!$BB$48:$BB$57</c:f>
              <c:numCache>
                <c:formatCode>0.00</c:formatCode>
                <c:ptCount val="10"/>
                <c:pt idx="0">
                  <c:v>38.5</c:v>
                </c:pt>
                <c:pt idx="1">
                  <c:v>54.4</c:v>
                </c:pt>
                <c:pt idx="2">
                  <c:v>16.8</c:v>
                </c:pt>
                <c:pt idx="3">
                  <c:v>4.5999999999999996</c:v>
                </c:pt>
                <c:pt idx="4">
                  <c:v>25.4</c:v>
                </c:pt>
                <c:pt idx="5">
                  <c:v>7.6</c:v>
                </c:pt>
                <c:pt idx="6">
                  <c:v>9.1</c:v>
                </c:pt>
                <c:pt idx="7">
                  <c:v>23.9</c:v>
                </c:pt>
                <c:pt idx="8">
                  <c:v>5.4</c:v>
                </c:pt>
                <c:pt idx="9">
                  <c:v>109.5</c:v>
                </c:pt>
              </c:numCache>
            </c:numRef>
          </c:val>
        </c:ser>
        <c:ser>
          <c:idx val="2"/>
          <c:order val="2"/>
          <c:tx>
            <c:strRef>
              <c:f>'5(em)'!$BO$14</c:f>
              <c:strCache>
                <c:ptCount val="1"/>
                <c:pt idx="0">
                  <c:v>2008</c:v>
                </c:pt>
              </c:strCache>
            </c:strRef>
          </c:tx>
          <c:cat>
            <c:strRef>
              <c:f>'5(em)'!$O$48:$O$57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'5(em)'!$BN$48:$BN$57</c:f>
              <c:numCache>
                <c:formatCode>0.00</c:formatCode>
                <c:ptCount val="10"/>
                <c:pt idx="0">
                  <c:v>33.5</c:v>
                </c:pt>
                <c:pt idx="1">
                  <c:v>83.7</c:v>
                </c:pt>
                <c:pt idx="2">
                  <c:v>21</c:v>
                </c:pt>
                <c:pt idx="3">
                  <c:v>8</c:v>
                </c:pt>
                <c:pt idx="4">
                  <c:v>17.3</c:v>
                </c:pt>
                <c:pt idx="5">
                  <c:v>49.5</c:v>
                </c:pt>
                <c:pt idx="6">
                  <c:v>76.7</c:v>
                </c:pt>
                <c:pt idx="7">
                  <c:v>32.200000000000003</c:v>
                </c:pt>
                <c:pt idx="8">
                  <c:v>11.3</c:v>
                </c:pt>
                <c:pt idx="9">
                  <c:v>916.7</c:v>
                </c:pt>
              </c:numCache>
            </c:numRef>
          </c:val>
        </c:ser>
        <c:axId val="93878912"/>
        <c:axId val="93991296"/>
      </c:barChart>
      <c:lineChart>
        <c:grouping val="standard"/>
        <c:ser>
          <c:idx val="3"/>
          <c:order val="3"/>
          <c:tx>
            <c:strRef>
              <c:f>'5(em)'!$BZ$15</c:f>
              <c:strCache>
                <c:ptCount val="1"/>
                <c:pt idx="0">
                  <c:v>NOx emissions rate (3-year average)</c:v>
                </c:pt>
              </c:strCache>
            </c:strRef>
          </c:tx>
          <c:spPr>
            <a:ln>
              <a:noFill/>
            </a:ln>
          </c:spPr>
          <c:marker>
            <c:symbol val="diamond"/>
            <c:size val="24"/>
            <c:spPr>
              <a:solidFill>
                <a:srgbClr val="FFFF99"/>
              </a:solidFill>
            </c:spPr>
          </c:marker>
          <c:val>
            <c:numRef>
              <c:f>'5(em)'!$BZ$48:$BZ$57</c:f>
              <c:numCache>
                <c:formatCode>#,##0</c:formatCode>
                <c:ptCount val="10"/>
                <c:pt idx="0">
                  <c:v>942.91624939026724</c:v>
                </c:pt>
                <c:pt idx="1">
                  <c:v>1740.3514277569675</c:v>
                </c:pt>
                <c:pt idx="2">
                  <c:v>1443.8976132490377</c:v>
                </c:pt>
                <c:pt idx="3">
                  <c:v>657.9608315237615</c:v>
                </c:pt>
                <c:pt idx="4">
                  <c:v>1272.9282223121352</c:v>
                </c:pt>
                <c:pt idx="5">
                  <c:v>961.8804832434131</c:v>
                </c:pt>
                <c:pt idx="6">
                  <c:v>955.71246710660046</c:v>
                </c:pt>
                <c:pt idx="7">
                  <c:v>846.09442338877614</c:v>
                </c:pt>
                <c:pt idx="8">
                  <c:v>1711.4245419874514</c:v>
                </c:pt>
                <c:pt idx="9">
                  <c:v>764.70063725364878</c:v>
                </c:pt>
              </c:numCache>
            </c:numRef>
          </c:val>
        </c:ser>
        <c:dropLines>
          <c:spPr>
            <a:ln>
              <a:solidFill>
                <a:schemeClr val="accent1"/>
              </a:solidFill>
            </a:ln>
          </c:spPr>
        </c:dropLines>
        <c:marker val="1"/>
        <c:axId val="93995392"/>
        <c:axId val="93993216"/>
      </c:lineChart>
      <c:catAx>
        <c:axId val="93878912"/>
        <c:scaling>
          <c:orientation val="minMax"/>
        </c:scaling>
        <c:axPos val="b"/>
        <c:tickLblPos val="nextTo"/>
        <c:crossAx val="93991296"/>
        <c:crosses val="autoZero"/>
        <c:auto val="1"/>
        <c:lblAlgn val="ctr"/>
        <c:lblOffset val="100"/>
      </c:catAx>
      <c:valAx>
        <c:axId val="93991296"/>
        <c:scaling>
          <c:orientation val="minMax"/>
        </c:scaling>
        <c:axPos val="l"/>
        <c:majorGridlines/>
        <c:title>
          <c:tx>
            <c:rich>
              <a:bodyPr rot="-5400000" vert="horz"/>
              <a:lstStyle/>
              <a:p>
                <a:pPr>
                  <a:defRPr/>
                </a:pPr>
                <a:r>
                  <a:rPr lang="en-US" sz="1100"/>
                  <a:t>NOx Emissions (tons)</a:t>
                </a:r>
              </a:p>
            </c:rich>
          </c:tx>
          <c:layout>
            <c:manualLayout>
              <c:xMode val="edge"/>
              <c:yMode val="edge"/>
              <c:x val="1.0253521490642901E-2"/>
              <c:y val="0.40711087042089616"/>
            </c:manualLayout>
          </c:layout>
        </c:title>
        <c:numFmt formatCode="General" sourceLinked="0"/>
        <c:tickLblPos val="nextTo"/>
        <c:crossAx val="93878912"/>
        <c:crosses val="autoZero"/>
        <c:crossBetween val="between"/>
      </c:valAx>
      <c:valAx>
        <c:axId val="93993216"/>
        <c:scaling>
          <c:orientation val="minMax"/>
        </c:scaling>
        <c:axPos val="r"/>
        <c:title>
          <c:tx>
            <c:rich>
              <a:bodyPr rot="-5400000" vert="horz"/>
              <a:lstStyle/>
              <a:p>
                <a:pPr>
                  <a:defRPr/>
                </a:pPr>
                <a:r>
                  <a:rPr lang="en-US" sz="1100"/>
                  <a:t>NOx Emissions Rate</a:t>
                </a:r>
                <a:r>
                  <a:rPr lang="en-US" sz="1100" baseline="0"/>
                  <a:t> (gram/MWh)</a:t>
                </a:r>
                <a:endParaRPr lang="en-US" sz="1100"/>
              </a:p>
            </c:rich>
          </c:tx>
          <c:layout>
            <c:manualLayout>
              <c:xMode val="edge"/>
              <c:yMode val="edge"/>
              <c:x val="0.96306736921165526"/>
              <c:y val="0.31727457102027812"/>
            </c:manualLayout>
          </c:layout>
        </c:title>
        <c:numFmt formatCode="#,##0" sourceLinked="1"/>
        <c:tickLblPos val="nextTo"/>
        <c:crossAx val="93995392"/>
        <c:crosses val="max"/>
        <c:crossBetween val="between"/>
      </c:valAx>
      <c:catAx>
        <c:axId val="93995392"/>
        <c:scaling>
          <c:orientation val="minMax"/>
        </c:scaling>
        <c:delete val="1"/>
        <c:axPos val="b"/>
        <c:tickLblPos val="none"/>
        <c:crossAx val="93993216"/>
        <c:crosses val="autoZero"/>
        <c:auto val="1"/>
        <c:lblAlgn val="ctr"/>
        <c:lblOffset val="100"/>
      </c:catAx>
    </c:plotArea>
    <c:legend>
      <c:legendPos val="t"/>
      <c:layout>
        <c:manualLayout>
          <c:xMode val="edge"/>
          <c:yMode val="edge"/>
          <c:x val="0.10728609008889375"/>
          <c:y val="0.12305440970803652"/>
          <c:w val="0.45292076576851253"/>
          <c:h val="3.6493329983586592E-2"/>
        </c:manualLayout>
      </c:layout>
    </c:legend>
    <c:plotVisOnly val="1"/>
    <c:dispBlanksAs val="gap"/>
  </c:chart>
  <c:printSettings>
    <c:headerFooter/>
    <c:pageMargins b="0.75000000000000444" l="0.70000000000000062" r="0.70000000000000062" t="0.750000000000004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0891412785322728E-2"/>
          <c:y val="2.2406119294525656E-2"/>
          <c:w val="0.87503102584118164"/>
          <c:h val="0.89186276907419959"/>
        </c:manualLayout>
      </c:layout>
      <c:barChart>
        <c:barDir val="col"/>
        <c:grouping val="clustered"/>
        <c:ser>
          <c:idx val="0"/>
          <c:order val="0"/>
          <c:tx>
            <c:strRef>
              <c:f>'5(em)'!$AQ$14</c:f>
              <c:strCache>
                <c:ptCount val="1"/>
                <c:pt idx="0">
                  <c:v>2010</c:v>
                </c:pt>
              </c:strCache>
            </c:strRef>
          </c:tx>
          <c:cat>
            <c:strRef>
              <c:f>'5(em)'!$O$48:$O$57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'5(em)'!$AQ$48:$AQ$57</c:f>
              <c:numCache>
                <c:formatCode>#,##0</c:formatCode>
                <c:ptCount val="10"/>
                <c:pt idx="0">
                  <c:v>842.31233513658515</c:v>
                </c:pt>
                <c:pt idx="1">
                  <c:v>1341.3450296541414</c:v>
                </c:pt>
                <c:pt idx="2">
                  <c:v>1446.0211963355487</c:v>
                </c:pt>
                <c:pt idx="3">
                  <c:v>597.00191737842079</c:v>
                </c:pt>
                <c:pt idx="4">
                  <c:v>1067.5985058440776</c:v>
                </c:pt>
                <c:pt idx="5">
                  <c:v>945.02779493514515</c:v>
                </c:pt>
                <c:pt idx="6">
                  <c:v>953.51940398087402</c:v>
                </c:pt>
                <c:pt idx="7">
                  <c:v>747.78962185305204</c:v>
                </c:pt>
                <c:pt idx="8">
                  <c:v>1696.8651136036813</c:v>
                </c:pt>
                <c:pt idx="9">
                  <c:v>737.29365352943432</c:v>
                </c:pt>
              </c:numCache>
            </c:numRef>
          </c:val>
        </c:ser>
        <c:ser>
          <c:idx val="1"/>
          <c:order val="1"/>
          <c:tx>
            <c:strRef>
              <c:f>'5(em)'!$BC$14</c:f>
              <c:strCache>
                <c:ptCount val="1"/>
                <c:pt idx="0">
                  <c:v>2009</c:v>
                </c:pt>
              </c:strCache>
            </c:strRef>
          </c:tx>
          <c:cat>
            <c:strRef>
              <c:f>'5(em)'!$O$48:$O$57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'5(em)'!$BC$48:$BC$57</c:f>
              <c:numCache>
                <c:formatCode>0</c:formatCode>
                <c:ptCount val="10"/>
                <c:pt idx="0">
                  <c:v>957.09242778302587</c:v>
                </c:pt>
                <c:pt idx="1">
                  <c:v>1325.3100104757959</c:v>
                </c:pt>
                <c:pt idx="2">
                  <c:v>1537.6166941241077</c:v>
                </c:pt>
                <c:pt idx="3">
                  <c:v>738.71848402119804</c:v>
                </c:pt>
                <c:pt idx="4">
                  <c:v>1540.8881339480708</c:v>
                </c:pt>
                <c:pt idx="5">
                  <c:v>917.20975138788322</c:v>
                </c:pt>
                <c:pt idx="6">
                  <c:v>894.34889434889431</c:v>
                </c:pt>
                <c:pt idx="7">
                  <c:v>892.45705750560114</c:v>
                </c:pt>
                <c:pt idx="8">
                  <c:v>1704.5454545454545</c:v>
                </c:pt>
                <c:pt idx="9">
                  <c:v>847.95638638933201</c:v>
                </c:pt>
              </c:numCache>
            </c:numRef>
          </c:val>
        </c:ser>
        <c:ser>
          <c:idx val="2"/>
          <c:order val="2"/>
          <c:tx>
            <c:strRef>
              <c:f>'5(em)'!$BO$14</c:f>
              <c:strCache>
                <c:ptCount val="1"/>
                <c:pt idx="0">
                  <c:v>2008</c:v>
                </c:pt>
              </c:strCache>
            </c:strRef>
          </c:tx>
          <c:cat>
            <c:strRef>
              <c:f>'5(em)'!$O$48:$O$57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'5(em)'!$BO$48:$BO$57</c:f>
              <c:numCache>
                <c:formatCode>0</c:formatCode>
                <c:ptCount val="10"/>
                <c:pt idx="0">
                  <c:v>1029.3439852511906</c:v>
                </c:pt>
                <c:pt idx="1">
                  <c:v>2554.3992431409652</c:v>
                </c:pt>
                <c:pt idx="2">
                  <c:v>1348.0549492874566</c:v>
                </c:pt>
                <c:pt idx="3">
                  <c:v>638.16209317166556</c:v>
                </c:pt>
                <c:pt idx="4">
                  <c:v>1210.2980271442564</c:v>
                </c:pt>
                <c:pt idx="5">
                  <c:v>1023.4039034072114</c:v>
                </c:pt>
                <c:pt idx="6">
                  <c:v>1019.2691029900333</c:v>
                </c:pt>
                <c:pt idx="7">
                  <c:v>898.03659080767522</c:v>
                </c:pt>
                <c:pt idx="8">
                  <c:v>1732.8630578132188</c:v>
                </c:pt>
                <c:pt idx="9">
                  <c:v>708.85187184217978</c:v>
                </c:pt>
              </c:numCache>
            </c:numRef>
          </c:val>
        </c:ser>
        <c:axId val="94025216"/>
        <c:axId val="94027136"/>
      </c:barChart>
      <c:catAx>
        <c:axId val="94025216"/>
        <c:scaling>
          <c:orientation val="minMax"/>
        </c:scaling>
        <c:axPos val="b"/>
        <c:title>
          <c:tx>
            <c:rich>
              <a:bodyPr/>
              <a:lstStyle/>
              <a:p>
                <a:pPr>
                  <a:defRPr/>
                </a:pPr>
                <a:r>
                  <a:rPr lang="en-US" sz="1600"/>
                  <a:t>OZONE SEASON 2010,</a:t>
                </a:r>
                <a:r>
                  <a:rPr lang="en-US" sz="1600" baseline="0"/>
                  <a:t> 2009 and 2008 </a:t>
                </a:r>
                <a:r>
                  <a:rPr lang="en-US" sz="1600"/>
                  <a:t>NOx Emissions Rate for TA&amp;O Boilers</a:t>
                </a:r>
              </a:p>
            </c:rich>
          </c:tx>
          <c:layout>
            <c:manualLayout>
              <c:xMode val="edge"/>
              <c:yMode val="edge"/>
              <c:x val="0.15888285039692393"/>
              <c:y val="4.5017926092862121E-2"/>
            </c:manualLayout>
          </c:layout>
        </c:title>
        <c:tickLblPos val="nextTo"/>
        <c:crossAx val="94027136"/>
        <c:crosses val="autoZero"/>
        <c:auto val="1"/>
        <c:lblAlgn val="ctr"/>
        <c:lblOffset val="100"/>
      </c:catAx>
      <c:valAx>
        <c:axId val="94027136"/>
        <c:scaling>
          <c:orientation val="minMax"/>
        </c:scaling>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1100" b="1" i="0" baseline="0">
                    <a:latin typeface="+mn-lt"/>
                  </a:rPr>
                  <a:t>NOx Emissions  Rate (grams/MWh</a:t>
                </a:r>
                <a:r>
                  <a:rPr lang="en-US" sz="1100" b="1" i="0" baseline="0"/>
                  <a:t>)</a:t>
                </a:r>
                <a:endParaRPr lang="en-US" sz="1100"/>
              </a:p>
            </c:rich>
          </c:tx>
          <c:layout>
            <c:manualLayout>
              <c:xMode val="edge"/>
              <c:yMode val="edge"/>
              <c:x val="7.0236045522405963E-3"/>
              <c:y val="0.34551525636447938"/>
            </c:manualLayout>
          </c:layout>
        </c:title>
        <c:numFmt formatCode="#,##0" sourceLinked="1"/>
        <c:tickLblPos val="nextTo"/>
        <c:crossAx val="94025216"/>
        <c:crosses val="autoZero"/>
        <c:crossBetween val="between"/>
      </c:valAx>
      <c:spPr>
        <a:ln>
          <a:solidFill>
            <a:srgbClr val="4F81BD"/>
          </a:solidFill>
        </a:ln>
      </c:spPr>
    </c:plotArea>
    <c:legend>
      <c:legendPos val="r"/>
      <c:layout>
        <c:manualLayout>
          <c:xMode val="edge"/>
          <c:yMode val="edge"/>
          <c:x val="0.86924637885758482"/>
          <c:y val="0.33426388917359967"/>
          <c:w val="5.4584604354782934E-2"/>
          <c:h val="0.10947998995075969"/>
        </c:manualLayout>
      </c:layout>
    </c:legend>
    <c:plotVisOnly val="1"/>
    <c:dispBlanksAs val="gap"/>
  </c:chart>
  <c:printSettings>
    <c:headerFooter/>
    <c:pageMargins b="0.75000000000000577" l="0.70000000000000062" r="0.70000000000000062" t="0.75000000000000577"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Number</a:t>
            </a:r>
            <a:r>
              <a:rPr lang="en-US" baseline="0"/>
              <a:t> of Operating Hours During Ozone Season for TA&amp;O Boilers</a:t>
            </a:r>
            <a:endParaRPr lang="en-US"/>
          </a:p>
        </c:rich>
      </c:tx>
      <c:layout>
        <c:manualLayout>
          <c:xMode val="edge"/>
          <c:yMode val="edge"/>
          <c:x val="0.12874559179312456"/>
          <c:y val="3.2289779156661612E-2"/>
        </c:manualLayout>
      </c:layout>
      <c:overlay val="1"/>
    </c:title>
    <c:plotArea>
      <c:layout>
        <c:manualLayout>
          <c:layoutTarget val="inner"/>
          <c:xMode val="edge"/>
          <c:yMode val="edge"/>
          <c:x val="9.5922904590809766E-2"/>
          <c:y val="9.3040011199722744E-2"/>
          <c:w val="0.86853474525131558"/>
          <c:h val="0.80113421027415765"/>
        </c:manualLayout>
      </c:layout>
      <c:barChart>
        <c:barDir val="col"/>
        <c:grouping val="clustered"/>
        <c:ser>
          <c:idx val="0"/>
          <c:order val="0"/>
          <c:tx>
            <c:strRef>
              <c:f>'5(em)'!$AQ$14</c:f>
              <c:strCache>
                <c:ptCount val="1"/>
                <c:pt idx="0">
                  <c:v>2010</c:v>
                </c:pt>
              </c:strCache>
            </c:strRef>
          </c:tx>
          <c:cat>
            <c:strRef>
              <c:f>'5(em)'!$C$48:$C$57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'5(em)'!$AJ$48:$AJ$57</c:f>
              <c:numCache>
                <c:formatCode>#,##0</c:formatCode>
                <c:ptCount val="10"/>
                <c:pt idx="0">
                  <c:v>1670</c:v>
                </c:pt>
                <c:pt idx="1">
                  <c:v>1084</c:v>
                </c:pt>
                <c:pt idx="2">
                  <c:v>461</c:v>
                </c:pt>
                <c:pt idx="3">
                  <c:v>932</c:v>
                </c:pt>
                <c:pt idx="4">
                  <c:v>376</c:v>
                </c:pt>
                <c:pt idx="5">
                  <c:v>707</c:v>
                </c:pt>
                <c:pt idx="6">
                  <c:v>711</c:v>
                </c:pt>
                <c:pt idx="7">
                  <c:v>849</c:v>
                </c:pt>
                <c:pt idx="8">
                  <c:v>122</c:v>
                </c:pt>
                <c:pt idx="9">
                  <c:v>2522</c:v>
                </c:pt>
              </c:numCache>
            </c:numRef>
          </c:val>
        </c:ser>
        <c:ser>
          <c:idx val="1"/>
          <c:order val="1"/>
          <c:tx>
            <c:strRef>
              <c:f>'5(em)'!$BC$14</c:f>
              <c:strCache>
                <c:ptCount val="1"/>
                <c:pt idx="0">
                  <c:v>2009</c:v>
                </c:pt>
              </c:strCache>
            </c:strRef>
          </c:tx>
          <c:cat>
            <c:strRef>
              <c:f>'5(em)'!$C$48:$C$57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'5(em)'!$AV$48:$AV$57</c:f>
              <c:numCache>
                <c:formatCode>General</c:formatCode>
                <c:ptCount val="10"/>
                <c:pt idx="0">
                  <c:v>647</c:v>
                </c:pt>
                <c:pt idx="1">
                  <c:v>293</c:v>
                </c:pt>
                <c:pt idx="2">
                  <c:v>74</c:v>
                </c:pt>
                <c:pt idx="3">
                  <c:v>112</c:v>
                </c:pt>
                <c:pt idx="4">
                  <c:v>146</c:v>
                </c:pt>
                <c:pt idx="5">
                  <c:v>219</c:v>
                </c:pt>
                <c:pt idx="6">
                  <c:v>184</c:v>
                </c:pt>
                <c:pt idx="7">
                  <c:v>205</c:v>
                </c:pt>
                <c:pt idx="8">
                  <c:v>64</c:v>
                </c:pt>
                <c:pt idx="9">
                  <c:v>556</c:v>
                </c:pt>
              </c:numCache>
            </c:numRef>
          </c:val>
        </c:ser>
        <c:ser>
          <c:idx val="2"/>
          <c:order val="2"/>
          <c:tx>
            <c:strRef>
              <c:f>'5(em)'!$BO$14</c:f>
              <c:strCache>
                <c:ptCount val="1"/>
                <c:pt idx="0">
                  <c:v>2008</c:v>
                </c:pt>
              </c:strCache>
            </c:strRef>
          </c:tx>
          <c:cat>
            <c:strRef>
              <c:f>'5(em)'!$C$48:$C$57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'5(em)'!$BH$48:$BH$57</c:f>
              <c:numCache>
                <c:formatCode>General</c:formatCode>
                <c:ptCount val="10"/>
                <c:pt idx="0">
                  <c:v>501</c:v>
                </c:pt>
                <c:pt idx="1">
                  <c:v>315</c:v>
                </c:pt>
                <c:pt idx="2">
                  <c:v>131</c:v>
                </c:pt>
                <c:pt idx="3">
                  <c:v>245</c:v>
                </c:pt>
                <c:pt idx="4">
                  <c:v>79</c:v>
                </c:pt>
                <c:pt idx="5">
                  <c:v>829</c:v>
                </c:pt>
                <c:pt idx="6">
                  <c:v>1523</c:v>
                </c:pt>
                <c:pt idx="7">
                  <c:v>227</c:v>
                </c:pt>
                <c:pt idx="8">
                  <c:v>152</c:v>
                </c:pt>
                <c:pt idx="9">
                  <c:v>3474</c:v>
                </c:pt>
              </c:numCache>
            </c:numRef>
          </c:val>
        </c:ser>
        <c:axId val="94078080"/>
        <c:axId val="94079616"/>
      </c:barChart>
      <c:catAx>
        <c:axId val="94078080"/>
        <c:scaling>
          <c:orientation val="minMax"/>
        </c:scaling>
        <c:axPos val="b"/>
        <c:tickLblPos val="nextTo"/>
        <c:crossAx val="94079616"/>
        <c:crosses val="autoZero"/>
        <c:auto val="1"/>
        <c:lblAlgn val="ctr"/>
        <c:lblOffset val="100"/>
      </c:catAx>
      <c:valAx>
        <c:axId val="94079616"/>
        <c:scaling>
          <c:orientation val="minMax"/>
        </c:scaling>
        <c:axPos val="l"/>
        <c:majorGridlines/>
        <c:title>
          <c:tx>
            <c:rich>
              <a:bodyPr rot="-5400000" vert="horz"/>
              <a:lstStyle/>
              <a:p>
                <a:pPr>
                  <a:defRPr/>
                </a:pPr>
                <a:r>
                  <a:rPr lang="en-US"/>
                  <a:t>Operating Time (hours/O</a:t>
                </a:r>
                <a:r>
                  <a:rPr lang="en-US" baseline="-25000"/>
                  <a:t>3 </a:t>
                </a:r>
                <a:r>
                  <a:rPr lang="en-US"/>
                  <a:t>season)</a:t>
                </a:r>
              </a:p>
            </c:rich>
          </c:tx>
        </c:title>
        <c:numFmt formatCode="#,##0" sourceLinked="1"/>
        <c:tickLblPos val="nextTo"/>
        <c:crossAx val="94078080"/>
        <c:crosses val="autoZero"/>
        <c:crossBetween val="between"/>
      </c:valAx>
      <c:spPr>
        <a:ln>
          <a:solidFill>
            <a:srgbClr val="4F81BD"/>
          </a:solidFill>
        </a:ln>
      </c:spPr>
    </c:plotArea>
    <c:legend>
      <c:legendPos val="t"/>
      <c:layout>
        <c:manualLayout>
          <c:xMode val="edge"/>
          <c:yMode val="edge"/>
          <c:x val="0.34579280366570891"/>
          <c:y val="0.11705044944289801"/>
          <c:w val="0.29962565996231688"/>
          <c:h val="3.6493329983586592E-2"/>
        </c:manualLayout>
      </c:layout>
    </c:legend>
    <c:plotVisOnly val="1"/>
    <c:dispBlanksAs val="gap"/>
  </c:chart>
  <c:printSettings>
    <c:headerFooter/>
    <c:pageMargins b="0.75000000000000577" l="0.70000000000000062" r="0.70000000000000062" t="0.75000000000000577"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Electric Generation </a:t>
            </a:r>
            <a:r>
              <a:rPr lang="en-US" baseline="0"/>
              <a:t>During Ozone Season for TA&amp;O Boilers</a:t>
            </a:r>
            <a:endParaRPr lang="en-US"/>
          </a:p>
        </c:rich>
      </c:tx>
      <c:layout>
        <c:manualLayout>
          <c:xMode val="edge"/>
          <c:yMode val="edge"/>
          <c:x val="0.19319629830573534"/>
          <c:y val="3.2289779156661612E-2"/>
        </c:manualLayout>
      </c:layout>
      <c:overlay val="1"/>
    </c:title>
    <c:plotArea>
      <c:layout>
        <c:manualLayout>
          <c:layoutTarget val="inner"/>
          <c:xMode val="edge"/>
          <c:yMode val="edge"/>
          <c:x val="0.11350037000334018"/>
          <c:y val="9.3040011199722744E-2"/>
          <c:w val="0.85095727983879144"/>
          <c:h val="0.80113421027415765"/>
        </c:manualLayout>
      </c:layout>
      <c:barChart>
        <c:barDir val="col"/>
        <c:grouping val="clustered"/>
        <c:ser>
          <c:idx val="0"/>
          <c:order val="0"/>
          <c:tx>
            <c:strRef>
              <c:f>'5(em)'!$AQ$14</c:f>
              <c:strCache>
                <c:ptCount val="1"/>
                <c:pt idx="0">
                  <c:v>2010</c:v>
                </c:pt>
              </c:strCache>
            </c:strRef>
          </c:tx>
          <c:cat>
            <c:strRef>
              <c:f>'5(em)'!$C$48:$C$57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'5(em)'!$AL$48:$AL$57</c:f>
              <c:numCache>
                <c:formatCode>#,##0</c:formatCode>
                <c:ptCount val="10"/>
                <c:pt idx="0">
                  <c:v>111835</c:v>
                </c:pt>
                <c:pt idx="1">
                  <c:v>141127</c:v>
                </c:pt>
                <c:pt idx="2">
                  <c:v>55670</c:v>
                </c:pt>
                <c:pt idx="3">
                  <c:v>45896</c:v>
                </c:pt>
                <c:pt idx="4">
                  <c:v>41495</c:v>
                </c:pt>
                <c:pt idx="5">
                  <c:v>32380</c:v>
                </c:pt>
                <c:pt idx="6">
                  <c:v>35972</c:v>
                </c:pt>
                <c:pt idx="7">
                  <c:v>136402</c:v>
                </c:pt>
                <c:pt idx="8">
                  <c:v>6954</c:v>
                </c:pt>
                <c:pt idx="9">
                  <c:v>678834</c:v>
                </c:pt>
              </c:numCache>
            </c:numRef>
          </c:val>
        </c:ser>
        <c:ser>
          <c:idx val="1"/>
          <c:order val="1"/>
          <c:tx>
            <c:strRef>
              <c:f>'5(em)'!$BC$14</c:f>
              <c:strCache>
                <c:ptCount val="1"/>
                <c:pt idx="0">
                  <c:v>2009</c:v>
                </c:pt>
              </c:strCache>
            </c:strRef>
          </c:tx>
          <c:cat>
            <c:strRef>
              <c:f>'5(em)'!$C$48:$C$57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'5(em)'!$AX$48:$AX$57</c:f>
              <c:numCache>
                <c:formatCode>#,##0</c:formatCode>
                <c:ptCount val="10"/>
                <c:pt idx="0">
                  <c:v>40226</c:v>
                </c:pt>
                <c:pt idx="1">
                  <c:v>41047</c:v>
                </c:pt>
                <c:pt idx="2">
                  <c:v>10926</c:v>
                </c:pt>
                <c:pt idx="3">
                  <c:v>6227</c:v>
                </c:pt>
                <c:pt idx="4">
                  <c:v>16484</c:v>
                </c:pt>
                <c:pt idx="5">
                  <c:v>8286</c:v>
                </c:pt>
                <c:pt idx="6">
                  <c:v>10175</c:v>
                </c:pt>
                <c:pt idx="7">
                  <c:v>26780</c:v>
                </c:pt>
                <c:pt idx="8">
                  <c:v>3168</c:v>
                </c:pt>
                <c:pt idx="9">
                  <c:v>129134</c:v>
                </c:pt>
              </c:numCache>
            </c:numRef>
          </c:val>
        </c:ser>
        <c:ser>
          <c:idx val="2"/>
          <c:order val="2"/>
          <c:tx>
            <c:strRef>
              <c:f>'5(em)'!$BO$14</c:f>
              <c:strCache>
                <c:ptCount val="1"/>
                <c:pt idx="0">
                  <c:v>2008</c:v>
                </c:pt>
              </c:strCache>
            </c:strRef>
          </c:tx>
          <c:cat>
            <c:strRef>
              <c:f>'5(em)'!$C$48:$C$57</c:f>
              <c:strCache>
                <c:ptCount val="10"/>
                <c:pt idx="0">
                  <c:v>MD2</c:v>
                </c:pt>
                <c:pt idx="1">
                  <c:v>MD3 </c:v>
                </c:pt>
                <c:pt idx="2">
                  <c:v>MD4 </c:v>
                </c:pt>
                <c:pt idx="3">
                  <c:v>MV5 </c:v>
                </c:pt>
                <c:pt idx="4">
                  <c:v>MV6 </c:v>
                </c:pt>
                <c:pt idx="5">
                  <c:v>NH1 </c:v>
                </c:pt>
                <c:pt idx="6">
                  <c:v>NH2 </c:v>
                </c:pt>
                <c:pt idx="7">
                  <c:v>NHB1</c:v>
                </c:pt>
                <c:pt idx="8">
                  <c:v>BHB2</c:v>
                </c:pt>
                <c:pt idx="9">
                  <c:v>BHB3</c:v>
                </c:pt>
              </c:strCache>
            </c:strRef>
          </c:cat>
          <c:val>
            <c:numRef>
              <c:f>'5(em)'!$BJ$48:$BJ$57</c:f>
              <c:numCache>
                <c:formatCode>#,##0</c:formatCode>
                <c:ptCount val="10"/>
                <c:pt idx="0">
                  <c:v>32545</c:v>
                </c:pt>
                <c:pt idx="1">
                  <c:v>32767</c:v>
                </c:pt>
                <c:pt idx="2">
                  <c:v>15578</c:v>
                </c:pt>
                <c:pt idx="3">
                  <c:v>12536</c:v>
                </c:pt>
                <c:pt idx="4">
                  <c:v>14294</c:v>
                </c:pt>
                <c:pt idx="5">
                  <c:v>48368</c:v>
                </c:pt>
                <c:pt idx="6">
                  <c:v>75250</c:v>
                </c:pt>
                <c:pt idx="7">
                  <c:v>35856</c:v>
                </c:pt>
                <c:pt idx="8">
                  <c:v>6521</c:v>
                </c:pt>
                <c:pt idx="9">
                  <c:v>1293218</c:v>
                </c:pt>
              </c:numCache>
            </c:numRef>
          </c:val>
        </c:ser>
        <c:axId val="94208000"/>
        <c:axId val="94209536"/>
      </c:barChart>
      <c:catAx>
        <c:axId val="94208000"/>
        <c:scaling>
          <c:orientation val="minMax"/>
        </c:scaling>
        <c:axPos val="b"/>
        <c:tickLblPos val="nextTo"/>
        <c:crossAx val="94209536"/>
        <c:crosses val="autoZero"/>
        <c:auto val="1"/>
        <c:lblAlgn val="ctr"/>
        <c:lblOffset val="100"/>
      </c:catAx>
      <c:valAx>
        <c:axId val="94209536"/>
        <c:scaling>
          <c:orientation val="minMax"/>
        </c:scaling>
        <c:axPos val="l"/>
        <c:majorGridlines/>
        <c:title>
          <c:tx>
            <c:rich>
              <a:bodyPr rot="-5400000" vert="horz"/>
              <a:lstStyle/>
              <a:p>
                <a:pPr>
                  <a:defRPr/>
                </a:pPr>
                <a:r>
                  <a:rPr lang="en-US"/>
                  <a:t>Gross</a:t>
                </a:r>
                <a:r>
                  <a:rPr lang="en-US" baseline="0"/>
                  <a:t> Load</a:t>
                </a:r>
                <a:r>
                  <a:rPr lang="en-US"/>
                  <a:t> (MWh)</a:t>
                </a:r>
              </a:p>
            </c:rich>
          </c:tx>
        </c:title>
        <c:numFmt formatCode="#,##0" sourceLinked="1"/>
        <c:tickLblPos val="nextTo"/>
        <c:crossAx val="94208000"/>
        <c:crosses val="autoZero"/>
        <c:crossBetween val="between"/>
      </c:valAx>
      <c:spPr>
        <a:ln>
          <a:solidFill>
            <a:srgbClr val="4F81BD"/>
          </a:solidFill>
        </a:ln>
      </c:spPr>
    </c:plotArea>
    <c:legend>
      <c:legendPos val="t"/>
      <c:layout>
        <c:manualLayout>
          <c:xMode val="edge"/>
          <c:yMode val="edge"/>
          <c:x val="0.34579280366570891"/>
          <c:y val="0.11705044944289801"/>
          <c:w val="0.29962565996231688"/>
          <c:h val="3.6493329983586592E-2"/>
        </c:manualLayout>
      </c:layout>
    </c:legend>
    <c:plotVisOnly val="1"/>
    <c:dispBlanksAs val="gap"/>
  </c:chart>
  <c:printSettings>
    <c:headerFooter/>
    <c:pageMargins b="0.75000000000000577" l="0.70000000000000062" r="0.70000000000000062" t="0.75000000000000577"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977996500437439"/>
          <c:y val="4.2141294838145743E-2"/>
          <c:w val="0.79194225721784772"/>
          <c:h val="0.8326195683872849"/>
        </c:manualLayout>
      </c:layout>
      <c:scatterChart>
        <c:scatterStyle val="lineMarker"/>
        <c:ser>
          <c:idx val="0"/>
          <c:order val="0"/>
          <c:spPr>
            <a:ln w="28575">
              <a:noFill/>
            </a:ln>
          </c:spPr>
          <c:trendline>
            <c:trendlineType val="power"/>
            <c:dispRSqr val="1"/>
            <c:dispEq val="1"/>
            <c:trendlineLbl>
              <c:layout>
                <c:manualLayout>
                  <c:x val="4.3566054243219833E-2"/>
                  <c:y val="-0.60765930300379856"/>
                </c:manualLayout>
              </c:layout>
              <c:numFmt formatCode="General" sourceLinked="0"/>
            </c:trendlineLbl>
          </c:trendline>
          <c:xVal>
            <c:numRef>
              <c:f>ac!$F$52:$F$69</c:f>
              <c:numCache>
                <c:formatCode>#,##0.0</c:formatCode>
                <c:ptCount val="18"/>
                <c:pt idx="0">
                  <c:v>235.95</c:v>
                </c:pt>
                <c:pt idx="1">
                  <c:v>1331.1</c:v>
                </c:pt>
                <c:pt idx="2">
                  <c:v>1331.1</c:v>
                </c:pt>
                <c:pt idx="3">
                  <c:v>731.05</c:v>
                </c:pt>
                <c:pt idx="4">
                  <c:v>731.05</c:v>
                </c:pt>
                <c:pt idx="5">
                  <c:v>243.6</c:v>
                </c:pt>
                <c:pt idx="6">
                  <c:v>243.6</c:v>
                </c:pt>
                <c:pt idx="7">
                  <c:v>243.6</c:v>
                </c:pt>
                <c:pt idx="8">
                  <c:v>573.9</c:v>
                </c:pt>
                <c:pt idx="9">
                  <c:v>573.9</c:v>
                </c:pt>
                <c:pt idx="10">
                  <c:v>573.9</c:v>
                </c:pt>
                <c:pt idx="11">
                  <c:v>231.15</c:v>
                </c:pt>
                <c:pt idx="12">
                  <c:v>231.15</c:v>
                </c:pt>
                <c:pt idx="13">
                  <c:v>231.15</c:v>
                </c:pt>
                <c:pt idx="14">
                  <c:v>418.45</c:v>
                </c:pt>
                <c:pt idx="15">
                  <c:v>418.45</c:v>
                </c:pt>
                <c:pt idx="16">
                  <c:v>565.35</c:v>
                </c:pt>
                <c:pt idx="17">
                  <c:v>565.35</c:v>
                </c:pt>
              </c:numCache>
            </c:numRef>
          </c:xVal>
          <c:yVal>
            <c:numRef>
              <c:f>ac!$J$52:$J$69</c:f>
              <c:numCache>
                <c:formatCode>"$"#,##0.00</c:formatCode>
                <c:ptCount val="18"/>
                <c:pt idx="0">
                  <c:v>84.763721127357499</c:v>
                </c:pt>
                <c:pt idx="1">
                  <c:v>18.781458943730751</c:v>
                </c:pt>
                <c:pt idx="4">
                  <c:v>27.357909855687026</c:v>
                </c:pt>
                <c:pt idx="5">
                  <c:v>82.101806239737272</c:v>
                </c:pt>
                <c:pt idx="6">
                  <c:v>82.101806239737272</c:v>
                </c:pt>
                <c:pt idx="7">
                  <c:v>82.101806239737272</c:v>
                </c:pt>
                <c:pt idx="8">
                  <c:v>34.849276877504792</c:v>
                </c:pt>
                <c:pt idx="9">
                  <c:v>34.849276877504792</c:v>
                </c:pt>
                <c:pt idx="11">
                  <c:v>86.523902227990476</c:v>
                </c:pt>
                <c:pt idx="12">
                  <c:v>86.523902227990476</c:v>
                </c:pt>
                <c:pt idx="13">
                  <c:v>86.523902227990476</c:v>
                </c:pt>
                <c:pt idx="15">
                  <c:v>47.795435535906321</c:v>
                </c:pt>
                <c:pt idx="17">
                  <c:v>35.376315556734767</c:v>
                </c:pt>
              </c:numCache>
            </c:numRef>
          </c:yVal>
        </c:ser>
        <c:axId val="96617216"/>
        <c:axId val="96618752"/>
      </c:scatterChart>
      <c:valAx>
        <c:axId val="96617216"/>
        <c:scaling>
          <c:orientation val="minMax"/>
        </c:scaling>
        <c:axPos val="b"/>
        <c:numFmt formatCode="#,##0.0" sourceLinked="1"/>
        <c:tickLblPos val="nextTo"/>
        <c:crossAx val="96618752"/>
        <c:crosses val="autoZero"/>
        <c:crossBetween val="midCat"/>
      </c:valAx>
      <c:valAx>
        <c:axId val="96618752"/>
        <c:scaling>
          <c:orientation val="minMax"/>
        </c:scaling>
        <c:axPos val="l"/>
        <c:majorGridlines/>
        <c:numFmt formatCode="&quot;$&quot;#,##0.00" sourceLinked="1"/>
        <c:tickLblPos val="nextTo"/>
        <c:crossAx val="96617216"/>
        <c:crosses val="autoZero"/>
        <c:crossBetween val="midCat"/>
      </c:valAx>
    </c:plotArea>
    <c:plotVisOnly val="1"/>
    <c:dispBlanksAs val="gap"/>
  </c:chart>
  <c:printSettings>
    <c:headerFooter/>
    <c:pageMargins b="0.75000000000000344" l="0.70000000000000062" r="0.70000000000000062" t="0.750000000000003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gif"/></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13770</xdr:colOff>
      <xdr:row>19</xdr:row>
      <xdr:rowOff>20104</xdr:rowOff>
    </xdr:from>
    <xdr:to>
      <xdr:col>9</xdr:col>
      <xdr:colOff>358277</xdr:colOff>
      <xdr:row>25</xdr:row>
      <xdr:rowOff>39704</xdr:rowOff>
    </xdr:to>
    <xdr:pic>
      <xdr:nvPicPr>
        <xdr:cNvPr id="4" name="Picture 3" descr="C:\Documents and Settings\VesaD\My Documents\My Pictures\deepcirclejpeg.jpg"/>
        <xdr:cNvPicPr>
          <a:picLocks noChangeAspect="1"/>
        </xdr:cNvPicPr>
      </xdr:nvPicPr>
      <xdr:blipFill>
        <a:blip xmlns:r="http://schemas.openxmlformats.org/officeDocument/2006/relationships" r:embed="rId1" cstate="print"/>
        <a:srcRect/>
        <a:stretch>
          <a:fillRect/>
        </a:stretch>
      </xdr:blipFill>
      <xdr:spPr bwMode="auto">
        <a:xfrm>
          <a:off x="1664770" y="1163104"/>
          <a:ext cx="1074758" cy="1067350"/>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0.95912</cdr:y>
    </cdr:from>
    <cdr:to>
      <cdr:x>0.0627</cdr:x>
      <cdr:y>1</cdr:y>
    </cdr:to>
    <cdr:sp macro="" textlink="">
      <cdr:nvSpPr>
        <cdr:cNvPr id="5" name="TextBox 1"/>
        <cdr:cNvSpPr txBox="1"/>
      </cdr:nvSpPr>
      <cdr:spPr>
        <a:xfrm xmlns:a="http://schemas.openxmlformats.org/drawingml/2006/main">
          <a:off x="0" y="6033112"/>
          <a:ext cx="543431" cy="257160"/>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FIG 8.</a:t>
          </a:r>
        </a:p>
      </cdr:txBody>
    </cdr:sp>
  </cdr:relSizeAnchor>
</c:userShapes>
</file>

<file path=xl/drawings/drawing11.xml><?xml version="1.0" encoding="utf-8"?>
<xdr:wsDr xmlns:xdr="http://schemas.openxmlformats.org/drawingml/2006/spreadsheetDrawing" xmlns:a="http://schemas.openxmlformats.org/drawingml/2006/main">
  <xdr:twoCellAnchor>
    <xdr:from>
      <xdr:col>30</xdr:col>
      <xdr:colOff>176893</xdr:colOff>
      <xdr:row>20</xdr:row>
      <xdr:rowOff>244928</xdr:rowOff>
    </xdr:from>
    <xdr:to>
      <xdr:col>30</xdr:col>
      <xdr:colOff>776968</xdr:colOff>
      <xdr:row>20</xdr:row>
      <xdr:rowOff>560613</xdr:rowOff>
    </xdr:to>
    <xdr:pic>
      <xdr:nvPicPr>
        <xdr:cNvPr id="4"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929286" y="4418239"/>
          <a:ext cx="600075" cy="1360"/>
        </a:xfrm>
        <a:prstGeom prst="rect">
          <a:avLst/>
        </a:prstGeom>
        <a:noFill/>
      </xdr:spPr>
    </xdr:pic>
    <xdr:clientData/>
  </xdr:twoCellAnchor>
  <xdr:twoCellAnchor>
    <xdr:from>
      <xdr:col>30</xdr:col>
      <xdr:colOff>110218</xdr:colOff>
      <xdr:row>18</xdr:row>
      <xdr:rowOff>81642</xdr:rowOff>
    </xdr:from>
    <xdr:to>
      <xdr:col>30</xdr:col>
      <xdr:colOff>710293</xdr:colOff>
      <xdr:row>20</xdr:row>
      <xdr:rowOff>73477</xdr:rowOff>
    </xdr:to>
    <xdr:pic>
      <xdr:nvPicPr>
        <xdr:cNvPr id="5" name="Picture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862611" y="4014106"/>
          <a:ext cx="600075" cy="318407"/>
        </a:xfrm>
        <a:prstGeom prst="rect">
          <a:avLst/>
        </a:prstGeom>
        <a:noFill/>
      </xdr:spPr>
    </xdr:pic>
    <xdr:clientData/>
  </xdr:twoCellAnchor>
  <xdr:twoCellAnchor>
    <xdr:from>
      <xdr:col>27</xdr:col>
      <xdr:colOff>176893</xdr:colOff>
      <xdr:row>20</xdr:row>
      <xdr:rowOff>244928</xdr:rowOff>
    </xdr:from>
    <xdr:to>
      <xdr:col>27</xdr:col>
      <xdr:colOff>776968</xdr:colOff>
      <xdr:row>20</xdr:row>
      <xdr:rowOff>560613</xdr:rowOff>
    </xdr:to>
    <xdr:pic>
      <xdr:nvPicPr>
        <xdr:cNvPr id="6"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0029714" y="3111953"/>
          <a:ext cx="600075" cy="1360"/>
        </a:xfrm>
        <a:prstGeom prst="rect">
          <a:avLst/>
        </a:prstGeom>
        <a:noFill/>
      </xdr:spPr>
    </xdr:pic>
    <xdr:clientData/>
  </xdr:twoCellAnchor>
  <xdr:twoCellAnchor>
    <xdr:from>
      <xdr:col>27</xdr:col>
      <xdr:colOff>110218</xdr:colOff>
      <xdr:row>18</xdr:row>
      <xdr:rowOff>81642</xdr:rowOff>
    </xdr:from>
    <xdr:to>
      <xdr:col>27</xdr:col>
      <xdr:colOff>710293</xdr:colOff>
      <xdr:row>20</xdr:row>
      <xdr:rowOff>73477</xdr:rowOff>
    </xdr:to>
    <xdr:pic>
      <xdr:nvPicPr>
        <xdr:cNvPr id="7" name="Picture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9963039" y="2707821"/>
          <a:ext cx="600075" cy="318406"/>
        </a:xfrm>
        <a:prstGeom prst="rect">
          <a:avLst/>
        </a:prstGeom>
        <a:noFill/>
      </xdr:spPr>
    </xdr:pic>
    <xdr:clientData/>
  </xdr:twoCellAnchor>
  <xdr:twoCellAnchor>
    <xdr:from>
      <xdr:col>25</xdr:col>
      <xdr:colOff>66675</xdr:colOff>
      <xdr:row>14</xdr:row>
      <xdr:rowOff>171454</xdr:rowOff>
    </xdr:from>
    <xdr:to>
      <xdr:col>27</xdr:col>
      <xdr:colOff>962025</xdr:colOff>
      <xdr:row>15</xdr:row>
      <xdr:rowOff>105510</xdr:rowOff>
    </xdr:to>
    <xdr:sp macro="" textlink="">
      <xdr:nvSpPr>
        <xdr:cNvPr id="8" name="Right Brace 7"/>
        <xdr:cNvSpPr/>
      </xdr:nvSpPr>
      <xdr:spPr>
        <a:xfrm rot="5400000">
          <a:off x="19740197" y="767132"/>
          <a:ext cx="162656" cy="2857500"/>
        </a:xfrm>
        <a:prstGeom prst="rightBrace">
          <a:avLst>
            <a:gd name="adj1" fmla="val 128333"/>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28</xdr:col>
      <xdr:colOff>168511</xdr:colOff>
      <xdr:row>14</xdr:row>
      <xdr:rowOff>142878</xdr:rowOff>
    </xdr:from>
    <xdr:to>
      <xdr:col>30</xdr:col>
      <xdr:colOff>847724</xdr:colOff>
      <xdr:row>15</xdr:row>
      <xdr:rowOff>91583</xdr:rowOff>
    </xdr:to>
    <xdr:sp macro="" textlink="">
      <xdr:nvSpPr>
        <xdr:cNvPr id="10" name="Right Brace 9"/>
        <xdr:cNvSpPr/>
      </xdr:nvSpPr>
      <xdr:spPr>
        <a:xfrm rot="5400000">
          <a:off x="22431740" y="901574"/>
          <a:ext cx="177305" cy="2546113"/>
        </a:xfrm>
        <a:prstGeom prst="rightBrace">
          <a:avLst>
            <a:gd name="adj1" fmla="val 128333"/>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32</xdr:col>
      <xdr:colOff>0</xdr:colOff>
      <xdr:row>15</xdr:row>
      <xdr:rowOff>7328</xdr:rowOff>
    </xdr:from>
    <xdr:to>
      <xdr:col>33</xdr:col>
      <xdr:colOff>849922</xdr:colOff>
      <xdr:row>15</xdr:row>
      <xdr:rowOff>119058</xdr:rowOff>
    </xdr:to>
    <xdr:sp macro="" textlink="">
      <xdr:nvSpPr>
        <xdr:cNvPr id="11" name="Right Brace 10"/>
        <xdr:cNvSpPr/>
      </xdr:nvSpPr>
      <xdr:spPr>
        <a:xfrm rot="5400000">
          <a:off x="25092821" y="1114607"/>
          <a:ext cx="111730" cy="1859572"/>
        </a:xfrm>
        <a:prstGeom prst="rightBrace">
          <a:avLst>
            <a:gd name="adj1" fmla="val 128333"/>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22</xdr:col>
      <xdr:colOff>683080</xdr:colOff>
      <xdr:row>14</xdr:row>
      <xdr:rowOff>193222</xdr:rowOff>
    </xdr:from>
    <xdr:to>
      <xdr:col>24</xdr:col>
      <xdr:colOff>68037</xdr:colOff>
      <xdr:row>15</xdr:row>
      <xdr:rowOff>152216</xdr:rowOff>
    </xdr:to>
    <xdr:sp macro="" textlink="">
      <xdr:nvSpPr>
        <xdr:cNvPr id="2" name="Left Brace 1"/>
        <xdr:cNvSpPr/>
      </xdr:nvSpPr>
      <xdr:spPr>
        <a:xfrm rot="16200000">
          <a:off x="14982918" y="2235562"/>
          <a:ext cx="163101" cy="677636"/>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67</xdr:col>
      <xdr:colOff>163286</xdr:colOff>
      <xdr:row>31</xdr:row>
      <xdr:rowOff>244928</xdr:rowOff>
    </xdr:from>
    <xdr:to>
      <xdr:col>67</xdr:col>
      <xdr:colOff>763361</xdr:colOff>
      <xdr:row>31</xdr:row>
      <xdr:rowOff>560613</xdr:rowOff>
    </xdr:to>
    <xdr:pic>
      <xdr:nvPicPr>
        <xdr:cNvPr id="1026"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4753893" y="1782535"/>
          <a:ext cx="600075" cy="315685"/>
        </a:xfrm>
        <a:prstGeom prst="rect">
          <a:avLst/>
        </a:prstGeom>
        <a:noFill/>
      </xdr:spPr>
    </xdr:pic>
    <xdr:clientData/>
  </xdr:twoCellAnchor>
  <xdr:twoCellAnchor>
    <xdr:from>
      <xdr:col>68</xdr:col>
      <xdr:colOff>40820</xdr:colOff>
      <xdr:row>31</xdr:row>
      <xdr:rowOff>244929</xdr:rowOff>
    </xdr:from>
    <xdr:to>
      <xdr:col>68</xdr:col>
      <xdr:colOff>1030060</xdr:colOff>
      <xdr:row>31</xdr:row>
      <xdr:rowOff>594632</xdr:rowOff>
    </xdr:to>
    <xdr:pic>
      <xdr:nvPicPr>
        <xdr:cNvPr id="1028" name="Picture 4"/>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45611141" y="1782536"/>
          <a:ext cx="989240" cy="349703"/>
        </a:xfrm>
        <a:prstGeom prst="rect">
          <a:avLst/>
        </a:prstGeom>
        <a:noFill/>
      </xdr:spPr>
    </xdr:pic>
    <xdr:clientData/>
  </xdr:twoCellAnchor>
  <xdr:twoCellAnchor>
    <xdr:from>
      <xdr:col>80</xdr:col>
      <xdr:colOff>176893</xdr:colOff>
      <xdr:row>31</xdr:row>
      <xdr:rowOff>244928</xdr:rowOff>
    </xdr:from>
    <xdr:to>
      <xdr:col>80</xdr:col>
      <xdr:colOff>776968</xdr:colOff>
      <xdr:row>31</xdr:row>
      <xdr:rowOff>560613</xdr:rowOff>
    </xdr:to>
    <xdr:pic>
      <xdr:nvPicPr>
        <xdr:cNvPr id="8"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7967679" y="4327071"/>
          <a:ext cx="600075" cy="315685"/>
        </a:xfrm>
        <a:prstGeom prst="rect">
          <a:avLst/>
        </a:prstGeom>
        <a:noFill/>
      </xdr:spPr>
    </xdr:pic>
    <xdr:clientData/>
  </xdr:twoCellAnchor>
  <xdr:twoCellAnchor>
    <xdr:from>
      <xdr:col>81</xdr:col>
      <xdr:colOff>68034</xdr:colOff>
      <xdr:row>31</xdr:row>
      <xdr:rowOff>244929</xdr:rowOff>
    </xdr:from>
    <xdr:to>
      <xdr:col>81</xdr:col>
      <xdr:colOff>1057274</xdr:colOff>
      <xdr:row>31</xdr:row>
      <xdr:rowOff>594632</xdr:rowOff>
    </xdr:to>
    <xdr:pic>
      <xdr:nvPicPr>
        <xdr:cNvPr id="9" name="Picture 4"/>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68974605" y="4327072"/>
          <a:ext cx="989240" cy="349703"/>
        </a:xfrm>
        <a:prstGeom prst="rect">
          <a:avLst/>
        </a:prstGeom>
        <a:noFill/>
      </xdr:spPr>
    </xdr:pic>
    <xdr:clientData/>
  </xdr:twoCellAnchor>
  <xdr:twoCellAnchor>
    <xdr:from>
      <xdr:col>90</xdr:col>
      <xdr:colOff>81643</xdr:colOff>
      <xdr:row>30</xdr:row>
      <xdr:rowOff>149678</xdr:rowOff>
    </xdr:from>
    <xdr:to>
      <xdr:col>90</xdr:col>
      <xdr:colOff>681718</xdr:colOff>
      <xdr:row>31</xdr:row>
      <xdr:rowOff>182335</xdr:rowOff>
    </xdr:to>
    <xdr:pic>
      <xdr:nvPicPr>
        <xdr:cNvPr id="10"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5207929" y="2979964"/>
          <a:ext cx="600075" cy="277585"/>
        </a:xfrm>
        <a:prstGeom prst="rect">
          <a:avLst/>
        </a:prstGeom>
        <a:noFill/>
      </xdr:spPr>
    </xdr:pic>
    <xdr:clientData/>
  </xdr:twoCellAnchor>
  <xdr:twoCellAnchor>
    <xdr:from>
      <xdr:col>91</xdr:col>
      <xdr:colOff>27212</xdr:colOff>
      <xdr:row>30</xdr:row>
      <xdr:rowOff>149678</xdr:rowOff>
    </xdr:from>
    <xdr:to>
      <xdr:col>91</xdr:col>
      <xdr:colOff>806902</xdr:colOff>
      <xdr:row>31</xdr:row>
      <xdr:rowOff>235403</xdr:rowOff>
    </xdr:to>
    <xdr:pic>
      <xdr:nvPicPr>
        <xdr:cNvPr id="11" name="Picture 4"/>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5997141" y="2979964"/>
          <a:ext cx="779690" cy="330653"/>
        </a:xfrm>
        <a:prstGeom prst="rect">
          <a:avLst/>
        </a:prstGeom>
        <a:noFill/>
      </xdr:spPr>
    </xdr:pic>
    <xdr:clientData/>
  </xdr:twoCellAnchor>
  <xdr:twoCellAnchor>
    <xdr:from>
      <xdr:col>257</xdr:col>
      <xdr:colOff>174623</xdr:colOff>
      <xdr:row>2</xdr:row>
      <xdr:rowOff>149679</xdr:rowOff>
    </xdr:from>
    <xdr:to>
      <xdr:col>258</xdr:col>
      <xdr:colOff>174624</xdr:colOff>
      <xdr:row>5</xdr:row>
      <xdr:rowOff>29482</xdr:rowOff>
    </xdr:to>
    <xdr:pic>
      <xdr:nvPicPr>
        <xdr:cNvPr id="1025" name="Picture 1"/>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273133909" y="489858"/>
          <a:ext cx="1224644" cy="396874"/>
        </a:xfrm>
        <a:prstGeom prst="rect">
          <a:avLst/>
        </a:prstGeom>
        <a:noFill/>
      </xdr:spPr>
    </xdr:pic>
    <xdr:clientData/>
  </xdr:twoCellAnchor>
  <xdr:twoCellAnchor>
    <xdr:from>
      <xdr:col>309</xdr:col>
      <xdr:colOff>283480</xdr:colOff>
      <xdr:row>4</xdr:row>
      <xdr:rowOff>95251</xdr:rowOff>
    </xdr:from>
    <xdr:to>
      <xdr:col>310</xdr:col>
      <xdr:colOff>176892</xdr:colOff>
      <xdr:row>6</xdr:row>
      <xdr:rowOff>138340</xdr:rowOff>
    </xdr:to>
    <xdr:pic>
      <xdr:nvPicPr>
        <xdr:cNvPr id="12" name="Picture 1"/>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27317551" y="762001"/>
          <a:ext cx="859520" cy="39687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190501</xdr:colOff>
      <xdr:row>7</xdr:row>
      <xdr:rowOff>102394</xdr:rowOff>
    </xdr:from>
    <xdr:to>
      <xdr:col>9</xdr:col>
      <xdr:colOff>376240</xdr:colOff>
      <xdr:row>13</xdr:row>
      <xdr:rowOff>133350</xdr:rowOff>
    </xdr:to>
    <xdr:pic>
      <xdr:nvPicPr>
        <xdr:cNvPr id="2" name="Picture 1" descr="EPA Logo"/>
        <xdr:cNvPicPr>
          <a:picLocks noChangeAspect="1" noChangeArrowheads="1"/>
        </xdr:cNvPicPr>
      </xdr:nvPicPr>
      <xdr:blipFill>
        <a:blip xmlns:r="http://schemas.openxmlformats.org/officeDocument/2006/relationships" r:embed="rId1" cstate="print"/>
        <a:srcRect/>
        <a:stretch>
          <a:fillRect/>
        </a:stretch>
      </xdr:blipFill>
      <xdr:spPr bwMode="auto">
        <a:xfrm>
          <a:off x="1409701" y="1559719"/>
          <a:ext cx="952501" cy="105727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247650</xdr:colOff>
      <xdr:row>74</xdr:row>
      <xdr:rowOff>133350</xdr:rowOff>
    </xdr:from>
    <xdr:to>
      <xdr:col>20</xdr:col>
      <xdr:colOff>552450</xdr:colOff>
      <xdr:row>91</xdr:row>
      <xdr:rowOff>123825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447675</xdr:colOff>
      <xdr:row>48</xdr:row>
      <xdr:rowOff>133350</xdr:rowOff>
    </xdr:from>
    <xdr:to>
      <xdr:col>20</xdr:col>
      <xdr:colOff>142875</xdr:colOff>
      <xdr:row>65</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161925</xdr:colOff>
      <xdr:row>6</xdr:row>
      <xdr:rowOff>47625</xdr:rowOff>
    </xdr:from>
    <xdr:to>
      <xdr:col>24</xdr:col>
      <xdr:colOff>466725</xdr:colOff>
      <xdr:row>24</xdr:row>
      <xdr:rowOff>38100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2181987" y="1944766"/>
    <xdr:ext cx="8673171" cy="62957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194830" y="8736465"/>
    <xdr:ext cx="8666807" cy="6290272"/>
    <xdr:graphicFrame macro="">
      <xdr:nvGraphicFramePr>
        <xdr:cNvPr id="4"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190751" y="15501938"/>
    <xdr:ext cx="8666807" cy="6290272"/>
    <xdr:graphicFrame macro="">
      <xdr:nvGraphicFramePr>
        <xdr:cNvPr id="6"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178844" y="22288500"/>
    <xdr:ext cx="8666807" cy="6290272"/>
    <xdr:graphicFrame macro="">
      <xdr:nvGraphicFramePr>
        <xdr:cNvPr id="8"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11480272" y="1936749"/>
    <xdr:ext cx="8657167" cy="6286500"/>
    <xdr:graphicFrame macro="">
      <xdr:nvGraphicFramePr>
        <xdr:cNvPr id="10"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11465719" y="8739188"/>
    <xdr:ext cx="8666807" cy="6290272"/>
    <xdr:graphicFrame macro="">
      <xdr:nvGraphicFramePr>
        <xdr:cNvPr id="11"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11477625" y="15501938"/>
    <xdr:ext cx="8666807" cy="6290272"/>
    <xdr:graphicFrame macro="">
      <xdr:nvGraphicFramePr>
        <xdr:cNvPr id="12"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absoluteAnchor>
    <xdr:pos x="11489531" y="22288501"/>
    <xdr:ext cx="8666807" cy="6290272"/>
    <xdr:graphicFrame macro="">
      <xdr:nvGraphicFramePr>
        <xdr:cNvPr id="13"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0.10329</cdr:x>
      <cdr:y>0.07891</cdr:y>
    </cdr:from>
    <cdr:to>
      <cdr:x>0.28451</cdr:x>
      <cdr:y>0.14618</cdr:y>
    </cdr:to>
    <cdr:sp macro="" textlink="">
      <cdr:nvSpPr>
        <cdr:cNvPr id="4" name="TextBox 3"/>
        <cdr:cNvSpPr txBox="1"/>
      </cdr:nvSpPr>
      <cdr:spPr>
        <a:xfrm xmlns:a="http://schemas.openxmlformats.org/drawingml/2006/main">
          <a:off x="895513" y="496603"/>
          <a:ext cx="1571218" cy="423333"/>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100"/>
            <a:t>NOx Emissions</a:t>
          </a:r>
        </a:p>
      </cdr:txBody>
    </cdr:sp>
  </cdr:relSizeAnchor>
  <cdr:relSizeAnchor xmlns:cdr="http://schemas.openxmlformats.org/drawingml/2006/chartDrawing">
    <cdr:from>
      <cdr:x>0.00174</cdr:x>
      <cdr:y>0.95915</cdr:y>
    </cdr:from>
    <cdr:to>
      <cdr:x>0.0644</cdr:x>
      <cdr:y>1</cdr:y>
    </cdr:to>
    <cdr:sp macro="" textlink="">
      <cdr:nvSpPr>
        <cdr:cNvPr id="5" name="TextBox 1"/>
        <cdr:cNvSpPr txBox="1"/>
      </cdr:nvSpPr>
      <cdr:spPr>
        <a:xfrm xmlns:a="http://schemas.openxmlformats.org/drawingml/2006/main">
          <a:off x="15081" y="6038633"/>
          <a:ext cx="543431" cy="257160"/>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FIG 1.</a:t>
          </a:r>
        </a:p>
      </cdr:txBody>
    </cdr:sp>
  </cdr:relSizeAnchor>
</c:userShapes>
</file>

<file path=xl/drawings/drawing4.xml><?xml version="1.0" encoding="utf-8"?>
<c:userShapes xmlns:c="http://schemas.openxmlformats.org/drawingml/2006/chart">
  <cdr:relSizeAnchor xmlns:cdr="http://schemas.openxmlformats.org/drawingml/2006/chartDrawing">
    <cdr:from>
      <cdr:x>0.47424</cdr:x>
      <cdr:y>0.95827</cdr:y>
    </cdr:from>
    <cdr:to>
      <cdr:x>0.54802</cdr:x>
      <cdr:y>0.98445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111723" y="6030422"/>
          <a:ext cx="639686" cy="164752"/>
        </a:xfrm>
        <a:prstGeom xmlns:a="http://schemas.openxmlformats.org/drawingml/2006/main" prst="rect">
          <a:avLst/>
        </a:prstGeom>
      </cdr:spPr>
    </cdr:pic>
  </cdr:relSizeAnchor>
  <cdr:relSizeAnchor xmlns:cdr="http://schemas.openxmlformats.org/drawingml/2006/chartDrawing">
    <cdr:from>
      <cdr:x>0.00115</cdr:x>
      <cdr:y>0.95912</cdr:y>
    </cdr:from>
    <cdr:to>
      <cdr:x>0.06385</cdr:x>
      <cdr:y>1</cdr:y>
    </cdr:to>
    <cdr:sp macro="" textlink="">
      <cdr:nvSpPr>
        <cdr:cNvPr id="4" name="TextBox 1"/>
        <cdr:cNvSpPr txBox="1"/>
      </cdr:nvSpPr>
      <cdr:spPr>
        <a:xfrm xmlns:a="http://schemas.openxmlformats.org/drawingml/2006/main">
          <a:off x="9978" y="6033112"/>
          <a:ext cx="543431" cy="257160"/>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FIG 2.</a:t>
          </a:r>
        </a:p>
      </cdr:txBody>
    </cdr:sp>
  </cdr:relSizeAnchor>
</c:userShapes>
</file>

<file path=xl/drawings/drawing5.xml><?xml version="1.0" encoding="utf-8"?>
<c:userShapes xmlns:c="http://schemas.openxmlformats.org/drawingml/2006/chart">
  <cdr:relSizeAnchor xmlns:cdr="http://schemas.openxmlformats.org/drawingml/2006/chartDrawing">
    <cdr:from>
      <cdr:x>0.00037</cdr:x>
      <cdr:y>0.95912</cdr:y>
    </cdr:from>
    <cdr:to>
      <cdr:x>0.06307</cdr:x>
      <cdr:y>1</cdr:y>
    </cdr:to>
    <cdr:sp macro="" textlink="">
      <cdr:nvSpPr>
        <cdr:cNvPr id="3" name="TextBox 1"/>
        <cdr:cNvSpPr txBox="1"/>
      </cdr:nvSpPr>
      <cdr:spPr>
        <a:xfrm xmlns:a="http://schemas.openxmlformats.org/drawingml/2006/main">
          <a:off x="3175" y="6033112"/>
          <a:ext cx="543431" cy="257160"/>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FIG 3.</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0.95637</cdr:y>
    </cdr:from>
    <cdr:to>
      <cdr:x>0.0627</cdr:x>
      <cdr:y>0.99725</cdr:y>
    </cdr:to>
    <cdr:sp macro="" textlink="">
      <cdr:nvSpPr>
        <cdr:cNvPr id="2" name="TextBox 1"/>
        <cdr:cNvSpPr txBox="1"/>
      </cdr:nvSpPr>
      <cdr:spPr>
        <a:xfrm xmlns:a="http://schemas.openxmlformats.org/drawingml/2006/main">
          <a:off x="0" y="6015832"/>
          <a:ext cx="543431" cy="257160"/>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FIG 4.</a:t>
          </a:r>
        </a:p>
      </cdr:txBody>
    </cdr:sp>
  </cdr:relSizeAnchor>
</c:userShapes>
</file>

<file path=xl/drawings/drawing7.xml><?xml version="1.0" encoding="utf-8"?>
<c:userShapes xmlns:c="http://schemas.openxmlformats.org/drawingml/2006/chart">
  <cdr:relSizeAnchor xmlns:cdr="http://schemas.openxmlformats.org/drawingml/2006/chartDrawing">
    <cdr:from>
      <cdr:x>0.123</cdr:x>
      <cdr:y>0.09314</cdr:y>
    </cdr:from>
    <cdr:to>
      <cdr:x>0.31268</cdr:x>
      <cdr:y>0.16171</cdr:y>
    </cdr:to>
    <cdr:sp macro="" textlink="">
      <cdr:nvSpPr>
        <cdr:cNvPr id="2" name="TextBox 1"/>
        <cdr:cNvSpPr txBox="1"/>
      </cdr:nvSpPr>
      <cdr:spPr>
        <a:xfrm xmlns:a="http://schemas.openxmlformats.org/drawingml/2006/main">
          <a:off x="1066474" y="586154"/>
          <a:ext cx="1644488" cy="431474"/>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100"/>
            <a:t>NOx Emissions</a:t>
          </a:r>
        </a:p>
      </cdr:txBody>
    </cdr:sp>
  </cdr:relSizeAnchor>
  <cdr:relSizeAnchor xmlns:cdr="http://schemas.openxmlformats.org/drawingml/2006/chartDrawing">
    <cdr:from>
      <cdr:x>0</cdr:x>
      <cdr:y>0.95909</cdr:y>
    </cdr:from>
    <cdr:to>
      <cdr:x>0.06277</cdr:x>
      <cdr:y>1</cdr:y>
    </cdr:to>
    <cdr:sp macro="" textlink="">
      <cdr:nvSpPr>
        <cdr:cNvPr id="4" name="TextBox 1"/>
        <cdr:cNvSpPr txBox="1"/>
      </cdr:nvSpPr>
      <cdr:spPr>
        <a:xfrm xmlns:a="http://schemas.openxmlformats.org/drawingml/2006/main">
          <a:off x="0" y="6029340"/>
          <a:ext cx="543431" cy="257160"/>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FIG 5.</a:t>
          </a:r>
        </a:p>
      </cdr:txBody>
    </cdr:sp>
  </cdr:relSizeAnchor>
</c:userShapes>
</file>

<file path=xl/drawings/drawing8.xml><?xml version="1.0" encoding="utf-8"?>
<c:userShapes xmlns:c="http://schemas.openxmlformats.org/drawingml/2006/chart">
  <cdr:relSizeAnchor xmlns:cdr="http://schemas.openxmlformats.org/drawingml/2006/chartDrawing">
    <cdr:from>
      <cdr:x>0.46298</cdr:x>
      <cdr:y>0.96086</cdr:y>
    </cdr:from>
    <cdr:to>
      <cdr:x>0.54243</cdr:x>
      <cdr:y>0.99379</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014107" y="6046674"/>
          <a:ext cx="688908" cy="207282"/>
        </a:xfrm>
        <a:prstGeom xmlns:a="http://schemas.openxmlformats.org/drawingml/2006/main" prst="rect">
          <a:avLst/>
        </a:prstGeom>
      </cdr:spPr>
    </cdr:pic>
  </cdr:relSizeAnchor>
  <cdr:relSizeAnchor xmlns:cdr="http://schemas.openxmlformats.org/drawingml/2006/chartDrawing">
    <cdr:from>
      <cdr:x>0</cdr:x>
      <cdr:y>0.95912</cdr:y>
    </cdr:from>
    <cdr:to>
      <cdr:x>0.0627</cdr:x>
      <cdr:y>1</cdr:y>
    </cdr:to>
    <cdr:sp macro="" textlink="">
      <cdr:nvSpPr>
        <cdr:cNvPr id="5" name="TextBox 1"/>
        <cdr:cNvSpPr txBox="1"/>
      </cdr:nvSpPr>
      <cdr:spPr>
        <a:xfrm xmlns:a="http://schemas.openxmlformats.org/drawingml/2006/main">
          <a:off x="0" y="6033112"/>
          <a:ext cx="543431" cy="257160"/>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FIG 6.</a:t>
          </a:r>
        </a:p>
      </cdr:txBody>
    </cdr:sp>
  </cdr:relSizeAnchor>
</c:userShapes>
</file>

<file path=xl/drawings/drawing9.xml><?xml version="1.0" encoding="utf-8"?>
<c:userShapes xmlns:c="http://schemas.openxmlformats.org/drawingml/2006/chart">
  <cdr:relSizeAnchor xmlns:cdr="http://schemas.openxmlformats.org/drawingml/2006/chartDrawing">
    <cdr:from>
      <cdr:x>0.00037</cdr:x>
      <cdr:y>0.95912</cdr:y>
    </cdr:from>
    <cdr:to>
      <cdr:x>0.06307</cdr:x>
      <cdr:y>1</cdr:y>
    </cdr:to>
    <cdr:sp macro="" textlink="">
      <cdr:nvSpPr>
        <cdr:cNvPr id="2" name="TextBox 1"/>
        <cdr:cNvSpPr txBox="1"/>
      </cdr:nvSpPr>
      <cdr:spPr>
        <a:xfrm xmlns:a="http://schemas.openxmlformats.org/drawingml/2006/main">
          <a:off x="3175" y="6033112"/>
          <a:ext cx="543431" cy="257160"/>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FIG 7.</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bls.gov/data/inflation_calculator.htm" TargetMode="External"/><Relationship Id="rId1" Type="http://schemas.openxmlformats.org/officeDocument/2006/relationships/hyperlink" Target="http://www.bls.gov/data/inflation_calculator.ht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www.bls.gov/data/inflation_calculator.htm"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n.wikipedia.org/wiki/Granit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V57"/>
  <sheetViews>
    <sheetView tabSelected="1" zoomScale="70" zoomScaleNormal="70" workbookViewId="0"/>
  </sheetViews>
  <sheetFormatPr defaultColWidth="0" defaultRowHeight="12.75" zeroHeight="1"/>
  <cols>
    <col min="1" max="1" width="3.7109375" style="5132" customWidth="1"/>
    <col min="2" max="2" width="40.7109375" style="5132" customWidth="1"/>
    <col min="3" max="4" width="3.7109375" style="271" customWidth="1"/>
    <col min="5" max="5" width="10.7109375" customWidth="1"/>
    <col min="6" max="6" width="2.85546875" style="271" customWidth="1"/>
    <col min="7" max="7" width="4.42578125" customWidth="1"/>
    <col min="8" max="8" width="2.7109375" style="271" customWidth="1"/>
    <col min="9" max="13" width="10.7109375" customWidth="1"/>
    <col min="14" max="14" width="13.140625" customWidth="1"/>
    <col min="15" max="15" width="9.7109375" customWidth="1"/>
    <col min="16" max="16" width="6.7109375" customWidth="1"/>
    <col min="17" max="17" width="3.7109375" customWidth="1"/>
    <col min="18" max="21" width="40.7109375" style="5132" customWidth="1"/>
    <col min="22" max="22" width="0" hidden="1" customWidth="1"/>
    <col min="23" max="16384" width="9.140625" hidden="1"/>
  </cols>
  <sheetData>
    <row r="1" spans="1:21" s="5132" customFormat="1" ht="19.5" customHeight="1"/>
    <row r="2" spans="1:21" s="271" customFormat="1" ht="12.75" customHeight="1">
      <c r="A2" s="5132"/>
      <c r="B2" s="5132"/>
      <c r="C2" s="5133"/>
      <c r="D2" s="5133"/>
      <c r="E2" s="5133"/>
      <c r="F2" s="5133"/>
      <c r="G2" s="5133"/>
      <c r="H2" s="5133"/>
      <c r="I2" s="5133"/>
      <c r="J2" s="5133"/>
      <c r="K2" s="5133"/>
      <c r="L2" s="5133"/>
      <c r="M2" s="5133"/>
      <c r="N2" s="5133"/>
      <c r="O2" s="5133"/>
      <c r="P2" s="5133"/>
      <c r="Q2" s="5133"/>
      <c r="R2" s="5132"/>
      <c r="S2" s="5132"/>
      <c r="T2" s="5132"/>
      <c r="U2" s="5132"/>
    </row>
    <row r="3" spans="1:21" s="271" customFormat="1" ht="19.5" customHeight="1">
      <c r="A3" s="5132"/>
      <c r="B3" s="5132"/>
      <c r="C3" s="5133"/>
      <c r="D3" s="5133"/>
      <c r="E3" s="7405"/>
      <c r="F3" s="7405"/>
      <c r="G3" s="7405"/>
      <c r="H3" s="7405"/>
      <c r="I3" s="7405"/>
      <c r="J3" s="7405"/>
      <c r="K3" s="7405"/>
      <c r="L3" s="7405"/>
      <c r="M3" s="7405"/>
      <c r="N3" s="7405"/>
      <c r="O3" s="7405"/>
      <c r="P3" s="7405"/>
      <c r="Q3" s="5133"/>
      <c r="R3" s="5132"/>
      <c r="S3" s="5132"/>
      <c r="T3" s="5132"/>
      <c r="U3" s="5132"/>
    </row>
    <row r="4" spans="1:21" s="271" customFormat="1" ht="19.5" customHeight="1">
      <c r="A4" s="5132"/>
      <c r="B4" s="5132"/>
      <c r="C4" s="5133"/>
      <c r="D4" s="5133"/>
      <c r="E4" s="7405"/>
      <c r="F4" s="7405"/>
      <c r="G4" s="7405"/>
      <c r="H4" s="7405"/>
      <c r="I4" s="7405"/>
      <c r="J4" s="7405"/>
      <c r="K4" s="7405"/>
      <c r="L4" s="7405"/>
      <c r="M4" s="7405"/>
      <c r="N4" s="7405"/>
      <c r="O4" s="7405"/>
      <c r="P4" s="7405"/>
      <c r="Q4" s="5133"/>
      <c r="R4" s="5132"/>
      <c r="S4" s="5132"/>
      <c r="T4" s="5132"/>
      <c r="U4" s="5132"/>
    </row>
    <row r="5" spans="1:21" s="271" customFormat="1" ht="19.5" customHeight="1">
      <c r="A5" s="5132"/>
      <c r="B5" s="5132"/>
      <c r="C5" s="5133"/>
      <c r="D5" s="5133"/>
      <c r="E5" s="7405"/>
      <c r="F5" s="7405"/>
      <c r="G5" s="7405"/>
      <c r="H5" s="7405"/>
      <c r="I5" s="7405"/>
      <c r="J5" s="7405"/>
      <c r="K5" s="7405"/>
      <c r="L5" s="7405"/>
      <c r="M5" s="7405"/>
      <c r="N5" s="7405"/>
      <c r="O5" s="7405"/>
      <c r="P5" s="7405"/>
      <c r="Q5" s="5133"/>
      <c r="R5" s="5132"/>
      <c r="S5" s="5132"/>
      <c r="T5" s="5132"/>
      <c r="U5" s="5132"/>
    </row>
    <row r="6" spans="1:21" s="271" customFormat="1" ht="19.5" customHeight="1">
      <c r="A6" s="5132"/>
      <c r="B6" s="5132"/>
      <c r="C6" s="5133"/>
      <c r="D6" s="5133"/>
      <c r="E6" s="7405"/>
      <c r="F6" s="7405"/>
      <c r="G6" s="7405"/>
      <c r="H6" s="7405"/>
      <c r="I6" s="7405"/>
      <c r="J6" s="7405"/>
      <c r="K6" s="5968" t="s">
        <v>2125</v>
      </c>
      <c r="L6" s="7405"/>
      <c r="M6" s="7405"/>
      <c r="N6" s="7405"/>
      <c r="O6" s="7405"/>
      <c r="P6" s="7405"/>
      <c r="Q6" s="5133"/>
      <c r="R6" s="5132"/>
      <c r="S6" s="5132"/>
      <c r="T6" s="5132"/>
      <c r="U6" s="5132"/>
    </row>
    <row r="7" spans="1:21" s="271" customFormat="1" ht="12.75" customHeight="1">
      <c r="A7" s="5132"/>
      <c r="B7" s="5132"/>
      <c r="C7" s="5133"/>
      <c r="D7" s="5133"/>
      <c r="E7" s="5133"/>
      <c r="F7" s="5133"/>
      <c r="G7" s="5133"/>
      <c r="H7" s="5133"/>
      <c r="I7" s="5133"/>
      <c r="J7" s="5133"/>
      <c r="K7" s="5133"/>
      <c r="L7" s="5133"/>
      <c r="M7" s="5133"/>
      <c r="N7" s="5133"/>
      <c r="O7" s="5133"/>
      <c r="P7" s="5133"/>
      <c r="Q7" s="5133"/>
      <c r="R7" s="5132"/>
      <c r="S7" s="5132"/>
      <c r="T7" s="5132"/>
      <c r="U7" s="5132"/>
    </row>
    <row r="8" spans="1:21">
      <c r="C8" s="5133"/>
      <c r="D8" s="5133"/>
      <c r="E8" s="7405"/>
      <c r="F8" s="7405"/>
      <c r="G8" s="7405"/>
      <c r="H8" s="7405"/>
      <c r="I8" s="7405"/>
      <c r="J8" s="7405"/>
      <c r="K8" s="7405"/>
      <c r="L8" s="7405"/>
      <c r="M8" s="7405"/>
      <c r="N8" s="5974" t="s">
        <v>2126</v>
      </c>
      <c r="O8" s="8805">
        <v>40905</v>
      </c>
      <c r="P8" s="8805"/>
      <c r="Q8" s="5133"/>
    </row>
    <row r="9" spans="1:21" s="271" customFormat="1">
      <c r="A9" s="5132"/>
      <c r="B9" s="5132"/>
      <c r="C9" s="5133"/>
      <c r="D9" s="5133"/>
      <c r="E9" s="7405"/>
      <c r="F9" s="7405"/>
      <c r="G9" s="7405"/>
      <c r="H9" s="7405"/>
      <c r="I9" s="7405"/>
      <c r="J9" s="7405"/>
      <c r="K9" s="7405"/>
      <c r="L9" s="7405"/>
      <c r="M9" s="7405"/>
      <c r="N9" s="5974"/>
      <c r="O9" s="8485"/>
      <c r="P9" s="8485"/>
      <c r="Q9" s="5133"/>
      <c r="R9" s="5132"/>
      <c r="S9" s="5132"/>
      <c r="T9" s="5132"/>
      <c r="U9" s="5132"/>
    </row>
    <row r="10" spans="1:21" s="271" customFormat="1">
      <c r="A10" s="5132"/>
      <c r="B10" s="5132"/>
      <c r="C10" s="5133"/>
      <c r="D10" s="5133"/>
      <c r="E10" s="7405"/>
      <c r="F10" s="7405"/>
      <c r="G10" s="7405"/>
      <c r="H10" s="7405"/>
      <c r="I10" s="7405"/>
      <c r="J10" s="7405"/>
      <c r="K10" s="7405"/>
      <c r="L10" s="7405"/>
      <c r="M10" s="7405"/>
      <c r="N10" s="5974"/>
      <c r="O10" s="8729"/>
      <c r="P10" s="8729"/>
      <c r="Q10" s="5133"/>
      <c r="R10" s="5132"/>
      <c r="S10" s="5132"/>
      <c r="T10" s="5132"/>
      <c r="U10" s="5132"/>
    </row>
    <row r="11" spans="1:21" s="271" customFormat="1">
      <c r="A11" s="5132"/>
      <c r="B11" s="5132"/>
      <c r="C11" s="5133"/>
      <c r="D11" s="5133"/>
      <c r="E11" s="7405"/>
      <c r="F11" s="7405"/>
      <c r="G11" s="7405"/>
      <c r="H11" s="7405"/>
      <c r="I11" s="7405"/>
      <c r="J11" s="7405"/>
      <c r="K11" s="7405"/>
      <c r="L11" s="7405"/>
      <c r="M11" s="7405"/>
      <c r="N11" s="5974"/>
      <c r="O11" s="8729"/>
      <c r="P11" s="8729"/>
      <c r="Q11" s="5133"/>
      <c r="R11" s="5132"/>
      <c r="S11" s="5132"/>
      <c r="T11" s="5132"/>
      <c r="U11" s="5132"/>
    </row>
    <row r="12" spans="1:21" ht="18">
      <c r="C12" s="5133"/>
      <c r="D12" s="5133"/>
      <c r="E12" s="5969" t="s">
        <v>1969</v>
      </c>
      <c r="F12" s="5127"/>
      <c r="G12" s="5121"/>
      <c r="H12" s="5121"/>
      <c r="I12" s="5121"/>
      <c r="J12" s="5121"/>
      <c r="K12" s="5121"/>
      <c r="L12" s="5121"/>
      <c r="M12" s="5121"/>
      <c r="N12" s="5121"/>
      <c r="O12" s="5121"/>
      <c r="P12" s="5121"/>
      <c r="Q12" s="5133"/>
    </row>
    <row r="13" spans="1:21" s="271" customFormat="1" ht="18">
      <c r="A13" s="5132"/>
      <c r="B13" s="5132"/>
      <c r="C13" s="5133"/>
      <c r="D13" s="5133"/>
      <c r="E13" s="5969"/>
      <c r="F13" s="5127"/>
      <c r="G13" s="5121"/>
      <c r="H13" s="5121"/>
      <c r="I13" s="5121"/>
      <c r="J13" s="5121"/>
      <c r="K13" s="5121"/>
      <c r="L13" s="5121"/>
      <c r="M13" s="5121"/>
      <c r="N13" s="5121"/>
      <c r="O13" s="5121"/>
      <c r="P13" s="5121"/>
      <c r="Q13" s="5133"/>
      <c r="R13" s="5132"/>
      <c r="S13" s="5132"/>
      <c r="T13" s="5132"/>
      <c r="U13" s="5132"/>
    </row>
    <row r="14" spans="1:21">
      <c r="C14" s="5133"/>
      <c r="D14" s="5133"/>
      <c r="E14" s="5970"/>
      <c r="F14" s="5121"/>
      <c r="G14" s="5121"/>
      <c r="H14" s="5121"/>
      <c r="I14" s="5121"/>
      <c r="J14" s="5121"/>
      <c r="K14" s="5121"/>
      <c r="L14" s="5121"/>
      <c r="M14" s="5121"/>
      <c r="N14" s="5121"/>
      <c r="O14" s="5121"/>
      <c r="P14" s="5121"/>
      <c r="Q14" s="5133"/>
    </row>
    <row r="15" spans="1:21">
      <c r="C15" s="5133"/>
      <c r="D15" s="5133"/>
      <c r="E15" s="5971" t="s">
        <v>2120</v>
      </c>
      <c r="F15" s="5121"/>
      <c r="G15" s="5121"/>
      <c r="H15" s="5121"/>
      <c r="I15" s="5121"/>
      <c r="J15" s="5121"/>
      <c r="K15" s="5121"/>
      <c r="L15" s="5121"/>
      <c r="M15" s="5121"/>
      <c r="N15" s="5121"/>
      <c r="O15" s="5128" t="s">
        <v>540</v>
      </c>
      <c r="P15" s="5121"/>
      <c r="Q15" s="5133"/>
    </row>
    <row r="16" spans="1:21">
      <c r="C16" s="5133"/>
      <c r="D16" s="5133"/>
      <c r="E16" s="5121"/>
      <c r="F16" s="5121"/>
      <c r="G16" s="5121"/>
      <c r="H16" s="5121"/>
      <c r="I16" s="5121"/>
      <c r="J16" s="5121"/>
      <c r="K16" s="5121"/>
      <c r="L16" s="5121"/>
      <c r="M16" s="5121"/>
      <c r="N16" s="5121"/>
      <c r="O16" s="5121"/>
      <c r="P16" s="5121"/>
      <c r="Q16" s="5133"/>
    </row>
    <row r="17" spans="1:21" ht="27.95" customHeight="1">
      <c r="C17" s="5133"/>
      <c r="D17" s="5133"/>
      <c r="E17" s="5972">
        <v>1</v>
      </c>
      <c r="F17" s="5129"/>
      <c r="G17" s="8802" t="str">
        <f>+'1(abs)'!$F$5</f>
        <v>SUMMARY</v>
      </c>
      <c r="H17" s="8802"/>
      <c r="I17" s="8802"/>
      <c r="J17" s="8802"/>
      <c r="K17" s="8802"/>
      <c r="L17" s="8802"/>
      <c r="M17" s="8802"/>
      <c r="N17" s="8802"/>
      <c r="O17" s="5130">
        <v>1</v>
      </c>
      <c r="P17" s="5121"/>
      <c r="Q17" s="5133"/>
    </row>
    <row r="18" spans="1:21" ht="30" customHeight="1">
      <c r="C18" s="5133"/>
      <c r="D18" s="5133"/>
      <c r="E18" s="7778">
        <f>1+E17</f>
        <v>2</v>
      </c>
      <c r="F18" s="5122"/>
      <c r="G18" s="8803" t="str">
        <f>+'2(gnl)'!$K$10&amp;" - "&amp;'2(gnl)'!$AF$20&amp;" (General Table)"</f>
        <v>NOx CONTROL TECHNOLOGY OPTIONS AND COST OVERVIEW OF ACTIVE TA&amp;O UNITS - Table 1 (General Table)</v>
      </c>
      <c r="H18" s="8803"/>
      <c r="I18" s="8803"/>
      <c r="J18" s="8803"/>
      <c r="K18" s="8803"/>
      <c r="L18" s="8803"/>
      <c r="M18" s="8803"/>
      <c r="N18" s="8803"/>
      <c r="O18" s="5130">
        <f>1+O17</f>
        <v>2</v>
      </c>
      <c r="P18" s="5121"/>
      <c r="Q18" s="5133"/>
    </row>
    <row r="19" spans="1:21" ht="24.95" customHeight="1">
      <c r="C19" s="5133"/>
      <c r="D19" s="5133"/>
      <c r="E19" s="5122">
        <f>1+E18</f>
        <v>3</v>
      </c>
      <c r="F19" s="5122"/>
      <c r="G19" s="8804" t="str">
        <f>+'3(lst)'!$G$19&amp;" - "&amp;'3(lst)'!$N$20</f>
        <v>LIST OF 2010 ACTIVE TRADING AGREMENTS &amp; ORDERS - Table 2</v>
      </c>
      <c r="H19" s="8804"/>
      <c r="I19" s="8804"/>
      <c r="J19" s="8804"/>
      <c r="K19" s="8804"/>
      <c r="L19" s="8804"/>
      <c r="M19" s="8804"/>
      <c r="N19" s="8804"/>
      <c r="O19" s="5130">
        <f>1+O18</f>
        <v>3</v>
      </c>
      <c r="P19" s="5121"/>
      <c r="Q19" s="5133"/>
    </row>
    <row r="20" spans="1:21" ht="24.95" customHeight="1">
      <c r="C20" s="5133"/>
      <c r="D20" s="5133"/>
      <c r="E20" s="5122">
        <f t="shared" ref="E20:E29" si="0">1+E19</f>
        <v>4</v>
      </c>
      <c r="F20" s="5965"/>
      <c r="G20" s="5121" t="str">
        <f>+'4(rd)'!$P$25</f>
        <v>EMISSION UNIT SPECIFICATIONS AND RECORD DATA</v>
      </c>
      <c r="H20" s="5121"/>
      <c r="I20" s="5121"/>
      <c r="J20" s="5121"/>
      <c r="K20" s="5121"/>
      <c r="L20" s="5121"/>
      <c r="M20" s="5121"/>
      <c r="N20" s="5121"/>
      <c r="O20" s="5130">
        <v>4</v>
      </c>
      <c r="P20" s="5965"/>
      <c r="Q20" s="5133"/>
    </row>
    <row r="21" spans="1:21" ht="24.95" customHeight="1">
      <c r="C21" s="5133"/>
      <c r="D21" s="5133"/>
      <c r="E21" s="5122">
        <f t="shared" si="0"/>
        <v>5</v>
      </c>
      <c r="F21" s="5965"/>
      <c r="G21" s="8803" t="str">
        <f>+'5(em)'!H13&amp;" - "&amp;'5(em)'!DF14</f>
        <v>TA&amp;O UNITS EPA CAIROS NOx EMISSIONS DATA (OZONE SEASON) - Table 3</v>
      </c>
      <c r="H21" s="8803"/>
      <c r="I21" s="8803"/>
      <c r="J21" s="8803"/>
      <c r="K21" s="8803"/>
      <c r="L21" s="8803"/>
      <c r="M21" s="8803"/>
      <c r="N21" s="8803"/>
      <c r="O21" s="5130">
        <v>5</v>
      </c>
      <c r="P21" s="5965"/>
      <c r="Q21" s="5133"/>
    </row>
    <row r="22" spans="1:21" ht="23.1" customHeight="1">
      <c r="C22" s="5133"/>
      <c r="D22" s="5133"/>
      <c r="E22" s="5122">
        <f t="shared" si="0"/>
        <v>6</v>
      </c>
      <c r="F22" s="5965"/>
      <c r="G22" s="5121" t="str">
        <f>+'6(gph)'!C2&amp;" - Figures 1, 2, 3, 4, 5, 6, 7 and 8"</f>
        <v>TA&amp;O EMISSION UNITS NOx GRAPHS  - Figures 1, 2, 3, 4, 5, 6, 7 and 8</v>
      </c>
      <c r="H22" s="5121"/>
      <c r="I22" s="5121"/>
      <c r="J22" s="5121"/>
      <c r="K22" s="5121"/>
      <c r="L22" s="5121"/>
      <c r="M22" s="5121"/>
      <c r="N22" s="5121"/>
      <c r="O22" s="5130">
        <v>6</v>
      </c>
      <c r="P22" s="5965"/>
      <c r="Q22" s="5133"/>
    </row>
    <row r="23" spans="1:21" ht="30" customHeight="1">
      <c r="C23" s="5133"/>
      <c r="D23" s="5133"/>
      <c r="E23" s="5122">
        <f t="shared" si="0"/>
        <v>7</v>
      </c>
      <c r="F23" s="5965"/>
      <c r="G23" s="8803" t="str">
        <f>+'7(op)'!I10&amp;" - "&amp;'7(op)'!Z12</f>
        <v>LIST OF NOx CONTROL TECHNOLOGIES / OPTIONS ASSESSSED BY EMMISSION UNIT OWNERS - Table 4</v>
      </c>
      <c r="H23" s="8803"/>
      <c r="I23" s="8803"/>
      <c r="J23" s="8803"/>
      <c r="K23" s="8803"/>
      <c r="L23" s="8803"/>
      <c r="M23" s="8803"/>
      <c r="N23" s="8803"/>
      <c r="O23" s="5130">
        <v>7</v>
      </c>
      <c r="P23" s="5965"/>
      <c r="Q23" s="5133"/>
    </row>
    <row r="24" spans="1:21" s="271" customFormat="1" ht="24.95" customHeight="1">
      <c r="A24" s="5132"/>
      <c r="B24" s="5132"/>
      <c r="C24" s="5133"/>
      <c r="D24" s="5133"/>
      <c r="E24" s="5122">
        <f>1+E23</f>
        <v>8</v>
      </c>
      <c r="F24" s="5965"/>
      <c r="G24" s="8803" t="str">
        <f>+'8(csp)'!D9&amp;" - "&amp;'8(csp)'!S10</f>
        <v>TA&amp;O UNITS OWNERS' COST ANALYSIS REPORTS SPECIFICATIONS - Table 5</v>
      </c>
      <c r="H24" s="8803"/>
      <c r="I24" s="8803"/>
      <c r="J24" s="8803"/>
      <c r="K24" s="8803"/>
      <c r="L24" s="8803"/>
      <c r="M24" s="8803"/>
      <c r="N24" s="8803"/>
      <c r="O24" s="5130">
        <v>8</v>
      </c>
      <c r="P24" s="5965"/>
      <c r="Q24" s="5133"/>
      <c r="R24" s="5132"/>
      <c r="S24" s="5132"/>
      <c r="T24" s="5132"/>
      <c r="U24" s="5132"/>
    </row>
    <row r="25" spans="1:21" ht="23.1" customHeight="1">
      <c r="C25" s="5133"/>
      <c r="D25" s="5133"/>
      <c r="E25" s="5122">
        <f>1+E24</f>
        <v>9</v>
      </c>
      <c r="F25" s="5121"/>
      <c r="G25" s="5121" t="str">
        <f>+'9(tcc)'!F8&amp;" - "&amp;'9(tcc)'!AT8</f>
        <v>TOTAL CAPITAL COST ELEMENTS DEFINITION - Figure 9</v>
      </c>
      <c r="H25" s="5121"/>
      <c r="I25" s="5121"/>
      <c r="J25" s="5121"/>
      <c r="K25" s="5121"/>
      <c r="L25" s="5121"/>
      <c r="M25" s="5121"/>
      <c r="N25" s="5121"/>
      <c r="O25" s="5130">
        <f>1+O24</f>
        <v>9</v>
      </c>
      <c r="P25" s="5121"/>
      <c r="Q25" s="5133"/>
    </row>
    <row r="26" spans="1:21" ht="23.1" customHeight="1">
      <c r="C26" s="5133"/>
      <c r="D26" s="5133"/>
      <c r="E26" s="5122">
        <f>1+E25</f>
        <v>10</v>
      </c>
      <c r="F26" s="5121"/>
      <c r="G26" s="5121" t="str">
        <f>+'10(tac)'!F11&amp;" - "&amp;'10(tac)'!AI12</f>
        <v>TOTAL ANNUAL COST ELEMENTS DEFINITION - Figure 10</v>
      </c>
      <c r="H26" s="5121"/>
      <c r="I26" s="5121"/>
      <c r="J26" s="5121"/>
      <c r="K26" s="5121"/>
      <c r="L26" s="5121"/>
      <c r="M26" s="5121"/>
      <c r="N26" s="5121"/>
      <c r="O26" s="5130">
        <f>1+O25</f>
        <v>10</v>
      </c>
      <c r="P26" s="5121"/>
      <c r="Q26" s="5133"/>
    </row>
    <row r="27" spans="1:21" ht="30" customHeight="1">
      <c r="C27" s="5133"/>
      <c r="D27" s="5133"/>
      <c r="E27" s="5972">
        <f>1+E26</f>
        <v>11</v>
      </c>
      <c r="F27" s="5965"/>
      <c r="G27" s="8802" t="str">
        <f>+'11(eff)'!J13&amp;" - "&amp;'11(eff)'!AJ16</f>
        <v>TA&amp;O UNITS - PROPOSED NOx CONTROL TECHNOLOGIES EFFICENCY ASSESSMENT - Table 6</v>
      </c>
      <c r="H27" s="8802"/>
      <c r="I27" s="8802"/>
      <c r="J27" s="8802"/>
      <c r="K27" s="8802"/>
      <c r="L27" s="8802"/>
      <c r="M27" s="8802"/>
      <c r="N27" s="8802"/>
      <c r="O27" s="5130">
        <f>1+O26</f>
        <v>11</v>
      </c>
      <c r="P27" s="5965"/>
      <c r="Q27" s="5133"/>
    </row>
    <row r="28" spans="1:21" ht="23.1" customHeight="1">
      <c r="C28" s="5133"/>
      <c r="D28" s="5133"/>
      <c r="E28" s="5122">
        <f>1+E27</f>
        <v>12</v>
      </c>
      <c r="F28" s="5121"/>
      <c r="G28" s="5121" t="str">
        <f>+'12(id)'!H14&amp;" - "&amp;'12(id)'!T15</f>
        <v>EMISSION UNITS ID AND RECORD DATA - Table 7</v>
      </c>
      <c r="H28" s="5121"/>
      <c r="I28" s="5121"/>
      <c r="J28" s="5121"/>
      <c r="K28" s="5121"/>
      <c r="L28" s="5121"/>
      <c r="M28" s="5121"/>
      <c r="N28" s="5121"/>
      <c r="O28" s="5130">
        <v>12</v>
      </c>
      <c r="P28" s="5121"/>
      <c r="Q28" s="5133"/>
    </row>
    <row r="29" spans="1:21" s="271" customFormat="1" ht="23.1" customHeight="1">
      <c r="A29" s="5132"/>
      <c r="B29" s="5132"/>
      <c r="C29" s="5133"/>
      <c r="D29" s="5133"/>
      <c r="E29" s="5122">
        <f t="shared" si="0"/>
        <v>13</v>
      </c>
      <c r="F29" s="5121"/>
      <c r="G29" s="5121" t="str">
        <f>+'13(an)'!K26&amp;" - "&amp;'13(an)'!X27</f>
        <v>NOx CONTROL OPTIONS COST ANALYSIS - Table 8</v>
      </c>
      <c r="H29" s="5121"/>
      <c r="I29" s="5121"/>
      <c r="J29" s="5121"/>
      <c r="K29" s="5121"/>
      <c r="L29" s="5121"/>
      <c r="M29" s="5121"/>
      <c r="N29" s="5121"/>
      <c r="O29" s="5130">
        <v>13</v>
      </c>
      <c r="P29" s="5121"/>
      <c r="Q29" s="5133"/>
      <c r="R29" s="5132"/>
      <c r="S29" s="5132"/>
      <c r="T29" s="5132"/>
      <c r="U29" s="5132"/>
    </row>
    <row r="30" spans="1:21" ht="12.75" customHeight="1">
      <c r="C30" s="5133"/>
      <c r="D30" s="5133"/>
      <c r="E30" s="5122"/>
      <c r="F30" s="5121"/>
      <c r="G30" s="5121"/>
      <c r="H30" s="5121"/>
      <c r="I30" s="5121"/>
      <c r="J30" s="5121"/>
      <c r="K30" s="5121"/>
      <c r="L30" s="5121"/>
      <c r="M30" s="5121"/>
      <c r="N30" s="5121"/>
      <c r="O30" s="5121"/>
      <c r="P30" s="5121"/>
      <c r="Q30" s="5133"/>
    </row>
    <row r="31" spans="1:21" ht="12.75" customHeight="1">
      <c r="C31" s="5133"/>
      <c r="D31" s="5133"/>
      <c r="E31" s="5973" t="s">
        <v>2119</v>
      </c>
      <c r="F31" s="5121"/>
      <c r="G31" s="5121"/>
      <c r="H31" s="5121"/>
      <c r="I31" s="5121"/>
      <c r="J31" s="5121"/>
      <c r="K31" s="5121"/>
      <c r="L31" s="5121"/>
      <c r="M31" s="5121"/>
      <c r="N31" s="5121"/>
      <c r="O31" s="5121"/>
      <c r="P31" s="5121"/>
      <c r="Q31" s="5133"/>
    </row>
    <row r="32" spans="1:21" ht="23.1" customHeight="1">
      <c r="C32" s="5133"/>
      <c r="D32" s="5133"/>
      <c r="E32" s="8673">
        <v>1</v>
      </c>
      <c r="F32" s="5121"/>
      <c r="G32" s="5121" t="str">
        <f>+'A1(epa)'!P9</f>
        <v>Unit CAIROS Emissions Report - Ozone Season</v>
      </c>
      <c r="H32" s="5121"/>
      <c r="I32" s="5121"/>
      <c r="J32" s="5121"/>
      <c r="K32" s="5121"/>
      <c r="L32" s="5121"/>
      <c r="M32" s="5121"/>
      <c r="N32" s="5121"/>
      <c r="O32" s="5130" t="s">
        <v>2121</v>
      </c>
      <c r="P32" s="5121"/>
      <c r="Q32" s="5133"/>
    </row>
    <row r="33" spans="1:21" ht="23.1" customHeight="1">
      <c r="C33" s="5133"/>
      <c r="D33" s="5133"/>
      <c r="E33" s="8673">
        <f>1+E32</f>
        <v>2</v>
      </c>
      <c r="F33" s="5121"/>
      <c r="G33" s="5121" t="str">
        <f>+'A2(SCR)'!F6</f>
        <v>Major Equipment List for an SCR Application</v>
      </c>
      <c r="H33" s="5121"/>
      <c r="I33" s="5121"/>
      <c r="J33" s="5121"/>
      <c r="K33" s="5121"/>
      <c r="L33" s="5121"/>
      <c r="M33" s="5121"/>
      <c r="N33" s="5121"/>
      <c r="O33" s="5130" t="s">
        <v>2122</v>
      </c>
      <c r="P33" s="5121"/>
      <c r="Q33" s="5133"/>
    </row>
    <row r="34" spans="1:21" ht="23.1" customHeight="1">
      <c r="C34" s="5133"/>
      <c r="D34" s="5133"/>
      <c r="E34" s="8673"/>
      <c r="F34" s="5121"/>
      <c r="G34" s="5121"/>
      <c r="H34" s="5121"/>
      <c r="I34" s="5121"/>
      <c r="J34" s="5121"/>
      <c r="K34" s="5121"/>
      <c r="L34" s="5121"/>
      <c r="M34" s="5121"/>
      <c r="N34" s="5121"/>
      <c r="O34" s="5130"/>
      <c r="P34" s="5121"/>
      <c r="Q34" s="5133"/>
    </row>
    <row r="35" spans="1:21" s="271" customFormat="1" ht="23.1" customHeight="1">
      <c r="A35" s="5132"/>
      <c r="B35" s="5132"/>
      <c r="C35" s="5133"/>
      <c r="D35" s="5133"/>
      <c r="E35" s="8673"/>
      <c r="F35" s="5121"/>
      <c r="G35" s="5121"/>
      <c r="H35" s="5121"/>
      <c r="I35" s="5121"/>
      <c r="J35" s="5121"/>
      <c r="K35" s="5121"/>
      <c r="L35" s="5121"/>
      <c r="M35" s="5121"/>
      <c r="N35" s="5121"/>
      <c r="O35" s="5130"/>
      <c r="P35" s="5121"/>
      <c r="Q35" s="5133"/>
      <c r="R35" s="5132"/>
      <c r="S35" s="5132"/>
      <c r="T35" s="5132"/>
      <c r="U35" s="5132"/>
    </row>
    <row r="36" spans="1:21" s="271" customFormat="1" ht="23.1" customHeight="1">
      <c r="A36" s="5132"/>
      <c r="B36" s="5132"/>
      <c r="C36" s="5133"/>
      <c r="D36" s="5133"/>
      <c r="E36" s="8673"/>
      <c r="F36" s="5121"/>
      <c r="G36" s="5121"/>
      <c r="H36" s="5121"/>
      <c r="I36" s="5121"/>
      <c r="J36" s="5121"/>
      <c r="K36" s="5121"/>
      <c r="L36" s="5121"/>
      <c r="M36" s="5121"/>
      <c r="N36" s="5121"/>
      <c r="O36" s="5130"/>
      <c r="P36" s="5121"/>
      <c r="Q36" s="5133"/>
      <c r="R36" s="5132"/>
      <c r="S36" s="5132"/>
      <c r="T36" s="5132"/>
      <c r="U36" s="5132"/>
    </row>
    <row r="37" spans="1:21">
      <c r="C37" s="5133"/>
      <c r="D37" s="5133"/>
      <c r="E37" s="7405"/>
      <c r="F37" s="7405"/>
      <c r="G37" s="7405"/>
      <c r="H37" s="7405"/>
      <c r="I37" s="7405"/>
      <c r="J37" s="7405"/>
      <c r="K37" s="7405"/>
      <c r="L37" s="7405"/>
      <c r="M37" s="7405"/>
      <c r="N37" s="7405"/>
      <c r="O37" s="7405"/>
      <c r="P37" s="7405"/>
      <c r="Q37" s="5133"/>
    </row>
    <row r="38" spans="1:21" ht="18" customHeight="1">
      <c r="C38" s="5133"/>
      <c r="D38" s="5133"/>
      <c r="E38" s="5133"/>
      <c r="F38" s="5133"/>
      <c r="G38" s="5133"/>
      <c r="H38" s="5133"/>
      <c r="I38" s="5133"/>
      <c r="J38" s="5133"/>
      <c r="K38" s="5133"/>
      <c r="L38" s="5133"/>
      <c r="M38" s="5133"/>
      <c r="N38" s="5133"/>
      <c r="O38" s="5133"/>
      <c r="P38" s="5133"/>
      <c r="Q38" s="5133"/>
    </row>
    <row r="39" spans="1:21" s="271" customFormat="1" ht="219.95" customHeight="1">
      <c r="A39" s="5132"/>
      <c r="B39" s="5132"/>
      <c r="C39" s="5132"/>
      <c r="D39" s="5132"/>
      <c r="E39" s="5132"/>
      <c r="F39" s="5132"/>
      <c r="G39" s="5132"/>
      <c r="H39" s="5132"/>
      <c r="I39" s="5132"/>
      <c r="J39" s="5132"/>
      <c r="K39" s="5132"/>
      <c r="L39" s="5132"/>
      <c r="M39" s="5132"/>
      <c r="N39" s="5132"/>
      <c r="O39" s="5132"/>
      <c r="P39" s="5132"/>
      <c r="Q39" s="5132"/>
      <c r="R39" s="5132"/>
      <c r="S39" s="5132"/>
      <c r="T39" s="5132"/>
      <c r="U39" s="5132"/>
    </row>
    <row r="40" spans="1:21" s="271" customFormat="1" ht="219.95" customHeight="1">
      <c r="A40" s="5132"/>
      <c r="B40" s="5132"/>
      <c r="C40" s="5132"/>
      <c r="D40" s="5132"/>
      <c r="E40" s="5132"/>
      <c r="F40" s="5132"/>
      <c r="G40" s="5132"/>
      <c r="H40" s="5132"/>
      <c r="I40" s="5132"/>
      <c r="J40" s="5132"/>
      <c r="K40" s="5132"/>
      <c r="L40" s="5132"/>
      <c r="M40" s="5132"/>
      <c r="N40" s="5132"/>
      <c r="O40" s="5132"/>
      <c r="P40" s="5132"/>
      <c r="Q40" s="5132"/>
      <c r="R40" s="5132"/>
      <c r="S40" s="5132"/>
      <c r="T40" s="5132"/>
      <c r="U40" s="5132"/>
    </row>
    <row r="41" spans="1:21" s="271" customFormat="1" ht="219.95" customHeight="1">
      <c r="A41" s="5132"/>
      <c r="B41" s="5132"/>
      <c r="C41" s="5132"/>
      <c r="D41" s="5132"/>
      <c r="E41" s="5132"/>
      <c r="F41" s="5132"/>
      <c r="G41" s="5132"/>
      <c r="H41" s="5132"/>
      <c r="I41" s="5132"/>
      <c r="J41" s="5132"/>
      <c r="K41" s="5132"/>
      <c r="L41" s="5132"/>
      <c r="M41" s="5132"/>
      <c r="N41" s="5132"/>
      <c r="O41" s="5132"/>
      <c r="P41" s="5132"/>
      <c r="Q41" s="5132"/>
      <c r="R41" s="5132"/>
      <c r="S41" s="5132"/>
      <c r="T41" s="5132"/>
      <c r="U41" s="5132"/>
    </row>
    <row r="42" spans="1:21" s="271" customFormat="1" ht="219.95" customHeight="1">
      <c r="A42" s="5132"/>
      <c r="B42" s="5132"/>
      <c r="C42" s="5132"/>
      <c r="D42" s="5132"/>
      <c r="E42" s="5132"/>
      <c r="F42" s="5132"/>
      <c r="G42" s="5132"/>
      <c r="H42" s="5132"/>
      <c r="I42" s="5132"/>
      <c r="J42" s="5132"/>
      <c r="K42" s="5132"/>
      <c r="L42" s="5132"/>
      <c r="M42" s="5132"/>
      <c r="N42" s="5132"/>
      <c r="O42" s="5132"/>
      <c r="P42" s="5132"/>
      <c r="Q42" s="5132"/>
      <c r="R42" s="5132"/>
      <c r="S42" s="5132"/>
      <c r="T42" s="5132"/>
      <c r="U42" s="5132"/>
    </row>
    <row r="43" spans="1:21" s="5132" customFormat="1" ht="219.95" customHeight="1"/>
    <row r="44" spans="1:21" s="5132" customFormat="1" ht="219.95" hidden="1" customHeight="1"/>
    <row r="45" spans="1:21" hidden="1"/>
    <row r="46" spans="1:21" hidden="1"/>
    <row r="47" spans="1:21" hidden="1"/>
    <row r="48" spans="1:21" hidden="1"/>
    <row r="49" hidden="1"/>
    <row r="50"/>
    <row r="51"/>
    <row r="52"/>
    <row r="53"/>
    <row r="54"/>
    <row r="55"/>
    <row r="56"/>
    <row r="57"/>
  </sheetData>
  <sheetProtection password="C665" sheet="1" objects="1" scenarios="1"/>
  <mergeCells count="8">
    <mergeCell ref="G17:N17"/>
    <mergeCell ref="G18:N18"/>
    <mergeCell ref="G19:N19"/>
    <mergeCell ref="G27:N27"/>
    <mergeCell ref="O8:P8"/>
    <mergeCell ref="G21:N21"/>
    <mergeCell ref="G23:N23"/>
    <mergeCell ref="G24:N24"/>
  </mergeCells>
  <hyperlinks>
    <hyperlink ref="O17" location="'1(abs)'!A1" display="'1(abs)'!A1"/>
    <hyperlink ref="O18" location="'2(gnl)'!A1" display="'2(gnl)'!A1"/>
    <hyperlink ref="O19" location="'3(lst)'!A1" display="'3(lst)'!A1"/>
    <hyperlink ref="O20" location="'4(rd)'!A1" display="'4(rd)'!A1"/>
    <hyperlink ref="O21" location="'5(em)'!A1" display="'5(em)'!A1"/>
    <hyperlink ref="O22" location="'6(gph)'!A1" display="'6(gph)'!A1"/>
    <hyperlink ref="O23" location="'7(op)'!A1" display="'7(op)'!A1"/>
    <hyperlink ref="O27" location="'11(eff)'!A1" display="'11(eff)'!A1"/>
    <hyperlink ref="O25" location="'9(tcc)'!A1" display="'9(tcc)'!A1"/>
    <hyperlink ref="O26" location="'10(tac)'!A1" display="'10(tac)'!A1"/>
    <hyperlink ref="O28" location="'12(id)'!A1" display="'12(id)'!A1"/>
    <hyperlink ref="O32" location="'A1(epa)'!A1" display="A1"/>
    <hyperlink ref="O33" location="'A2(SCR)'!A1" display="A2"/>
    <hyperlink ref="O24" location="'8(csp)'!A1" display="'8(csp)'!A1"/>
    <hyperlink ref="O29" location="'13(an)'!A1" display="'13(an)'!A1"/>
  </hyperlinks>
  <pageMargins left="0.7" right="0.7" top="0.75" bottom="0.75" header="0.3" footer="0.3"/>
  <pageSetup scale="96" orientation="portrait" r:id="rId1"/>
</worksheet>
</file>

<file path=xl/worksheets/sheet10.xml><?xml version="1.0" encoding="utf-8"?>
<worksheet xmlns="http://schemas.openxmlformats.org/spreadsheetml/2006/main" xmlns:r="http://schemas.openxmlformats.org/officeDocument/2006/relationships">
  <sheetPr>
    <tabColor rgb="FFFFFFCC"/>
    <pageSetUpPr fitToPage="1"/>
  </sheetPr>
  <dimension ref="A1:BG236"/>
  <sheetViews>
    <sheetView zoomScale="80" zoomScaleNormal="80" workbookViewId="0">
      <pane xSplit="4" ySplit="6" topLeftCell="E7" activePane="bottomRight" state="frozen"/>
      <selection activeCell="G6" sqref="G6"/>
      <selection pane="topRight" activeCell="G6" sqref="G6"/>
      <selection pane="bottomLeft" activeCell="G6" sqref="G6"/>
      <selection pane="bottomRight" activeCell="R17" sqref="R17"/>
    </sheetView>
  </sheetViews>
  <sheetFormatPr defaultColWidth="0" defaultRowHeight="12.75" zeroHeight="1"/>
  <cols>
    <col min="1" max="1" width="9.140625" style="5132" customWidth="1"/>
    <col min="2" max="3" width="3.85546875" style="5132" customWidth="1"/>
    <col min="4" max="4" width="2.7109375" style="5132" customWidth="1"/>
    <col min="5" max="5" width="10.140625" style="5133" customWidth="1"/>
    <col min="6" max="6" width="3.7109375" style="5133" customWidth="1"/>
    <col min="7" max="7" width="3.7109375" customWidth="1"/>
    <col min="8" max="9" width="3.7109375" style="271" customWidth="1"/>
    <col min="10" max="10" width="25.7109375" customWidth="1"/>
    <col min="11" max="11" width="8.5703125" style="271" customWidth="1"/>
    <col min="12" max="12" width="11.7109375" customWidth="1"/>
    <col min="13" max="13" width="3.7109375" customWidth="1"/>
    <col min="14" max="14" width="3.7109375" style="271" customWidth="1"/>
    <col min="15" max="15" width="3.7109375" customWidth="1"/>
    <col min="16" max="17" width="3.7109375" style="271" customWidth="1"/>
    <col min="18" max="18" width="25.7109375" customWidth="1"/>
    <col min="19" max="19" width="7.7109375" customWidth="1"/>
    <col min="20" max="20" width="11.7109375" customWidth="1"/>
    <col min="21" max="21" width="4.28515625" style="271" customWidth="1"/>
    <col min="22" max="22" width="3.7109375" customWidth="1"/>
    <col min="23" max="24" width="3.7109375" style="271" customWidth="1"/>
    <col min="25" max="25" width="3.7109375" customWidth="1"/>
    <col min="26" max="27" width="3.7109375" style="271" customWidth="1"/>
    <col min="28" max="28" width="25.7109375" customWidth="1"/>
    <col min="29" max="29" width="8.5703125" customWidth="1"/>
    <col min="30" max="30" width="11.7109375" customWidth="1"/>
    <col min="31" max="31" width="4.28515625" style="23" customWidth="1"/>
    <col min="32" max="32" width="3.28515625" style="271" customWidth="1"/>
    <col min="33" max="33" width="3.7109375" customWidth="1"/>
    <col min="34" max="35" width="3.7109375" style="271" customWidth="1"/>
    <col min="36" max="36" width="25.7109375" customWidth="1"/>
    <col min="37" max="37" width="8.5703125" customWidth="1"/>
    <col min="38" max="38" width="11.7109375" customWidth="1"/>
    <col min="39" max="39" width="4.28515625" style="23" customWidth="1"/>
    <col min="40" max="40" width="3.140625" style="271" customWidth="1"/>
    <col min="41" max="41" width="3.7109375" customWidth="1"/>
    <col min="42" max="42" width="3.7109375" style="271" customWidth="1"/>
    <col min="43" max="43" width="3.7109375" customWidth="1"/>
    <col min="44" max="44" width="25.7109375" customWidth="1"/>
    <col min="45" max="45" width="8.5703125" customWidth="1"/>
    <col min="46" max="46" width="11.7109375" customWidth="1"/>
    <col min="47" max="47" width="4.28515625" style="6587" customWidth="1"/>
    <col min="48" max="48" width="3.7109375" style="5133" customWidth="1"/>
    <col min="49" max="52" width="40.7109375" style="5132" customWidth="1"/>
    <col min="53" max="59" width="0" hidden="1" customWidth="1"/>
    <col min="60" max="16384" width="9.140625" hidden="1"/>
  </cols>
  <sheetData>
    <row r="1" spans="1:52">
      <c r="G1" s="5133"/>
      <c r="H1" s="5133"/>
      <c r="I1" s="5133"/>
      <c r="J1" s="5133"/>
      <c r="K1" s="5133"/>
      <c r="L1" s="5133"/>
      <c r="M1" s="5133"/>
      <c r="N1" s="5133"/>
      <c r="O1" s="5133"/>
      <c r="P1" s="5133"/>
      <c r="Q1" s="5133"/>
      <c r="R1" s="5133"/>
      <c r="S1" s="5133"/>
      <c r="T1" s="5133"/>
      <c r="U1" s="5133"/>
      <c r="V1" s="5133"/>
      <c r="W1" s="5133"/>
      <c r="X1" s="5133"/>
      <c r="Y1" s="5133"/>
      <c r="Z1" s="5133"/>
      <c r="AA1" s="5133"/>
      <c r="AB1" s="5133"/>
      <c r="AC1" s="5133"/>
      <c r="AD1" s="5133"/>
      <c r="AE1" s="5936"/>
      <c r="AF1" s="5133"/>
      <c r="AG1" s="5133"/>
      <c r="AH1" s="5133"/>
      <c r="AI1" s="5133"/>
      <c r="AJ1" s="5133"/>
      <c r="AK1" s="5133"/>
      <c r="AL1" s="5133"/>
      <c r="AM1" s="5936"/>
      <c r="AN1" s="5133"/>
      <c r="AO1" s="5133"/>
      <c r="AP1" s="5133"/>
      <c r="AQ1" s="5133"/>
      <c r="AR1" s="5133"/>
      <c r="AS1" s="5133"/>
      <c r="AT1" s="5133"/>
      <c r="AU1" s="7885"/>
    </row>
    <row r="2" spans="1:52" s="271" customFormat="1">
      <c r="A2" s="5132"/>
      <c r="B2" s="5132"/>
      <c r="C2" s="5132"/>
      <c r="D2" s="5132"/>
      <c r="E2" s="5133"/>
      <c r="F2" s="6736" t="s">
        <v>2023</v>
      </c>
      <c r="G2" s="6737"/>
      <c r="H2" s="6738"/>
      <c r="I2" s="6738"/>
      <c r="J2" s="6738"/>
      <c r="K2" s="6738"/>
      <c r="L2" s="6738"/>
      <c r="M2" s="6738"/>
      <c r="N2" s="6738"/>
      <c r="O2" s="6738"/>
      <c r="P2" s="6738"/>
      <c r="Q2" s="6738"/>
      <c r="R2" s="6738"/>
      <c r="S2" s="6738"/>
      <c r="T2" s="6738"/>
      <c r="U2" s="6738"/>
      <c r="V2" s="6738"/>
      <c r="W2" s="6738"/>
      <c r="X2" s="6738"/>
      <c r="Y2" s="6738"/>
      <c r="Z2" s="6738"/>
      <c r="AA2" s="6739"/>
      <c r="AB2" s="5951"/>
      <c r="AC2" s="5951"/>
      <c r="AD2" s="5951"/>
      <c r="AE2" s="7444"/>
      <c r="AF2" s="5951"/>
      <c r="AG2" s="5951"/>
      <c r="AH2" s="5951"/>
      <c r="AI2" s="5951"/>
      <c r="AJ2" s="5951"/>
      <c r="AK2" s="5951"/>
      <c r="AL2" s="5951"/>
      <c r="AM2" s="7444"/>
      <c r="AN2" s="5951"/>
      <c r="AO2" s="5951"/>
      <c r="AP2" s="5951"/>
      <c r="AQ2" s="5951"/>
      <c r="AR2" s="5951"/>
      <c r="AS2" s="5951"/>
      <c r="AT2" s="5951"/>
      <c r="AU2" s="8171"/>
      <c r="AV2" s="5133"/>
      <c r="AW2" s="5132"/>
      <c r="AX2" s="5132"/>
      <c r="AY2" s="5132"/>
      <c r="AZ2" s="5132"/>
    </row>
    <row r="3" spans="1:52" s="271" customFormat="1">
      <c r="A3" s="5132"/>
      <c r="B3" s="5132"/>
      <c r="C3" s="5132"/>
      <c r="D3" s="5132"/>
      <c r="E3" s="5133"/>
      <c r="F3" s="6740" t="s">
        <v>2021</v>
      </c>
      <c r="G3" s="5121" t="s">
        <v>2329</v>
      </c>
      <c r="H3" s="7405"/>
      <c r="I3" s="7405"/>
      <c r="J3" s="7405"/>
      <c r="K3" s="7405"/>
      <c r="L3" s="7405"/>
      <c r="M3" s="7405"/>
      <c r="N3" s="7405"/>
      <c r="O3" s="7405"/>
      <c r="P3" s="7405"/>
      <c r="Q3" s="7405"/>
      <c r="R3" s="7405"/>
      <c r="S3" s="7405"/>
      <c r="T3" s="7405"/>
      <c r="U3" s="7405"/>
      <c r="V3" s="7405"/>
      <c r="W3" s="7405"/>
      <c r="X3" s="7405"/>
      <c r="Y3" s="7405"/>
      <c r="Z3" s="7405"/>
      <c r="AA3" s="6741"/>
      <c r="AB3" s="5951"/>
      <c r="AC3" s="5951"/>
      <c r="AD3" s="5951"/>
      <c r="AE3" s="7444"/>
      <c r="AF3" s="5951"/>
      <c r="AG3" s="5951"/>
      <c r="AH3" s="5951"/>
      <c r="AI3" s="5951"/>
      <c r="AJ3" s="5951"/>
      <c r="AK3" s="5951"/>
      <c r="AL3" s="5951"/>
      <c r="AM3" s="7444"/>
      <c r="AN3" s="5951"/>
      <c r="AO3" s="5951"/>
      <c r="AP3" s="5951"/>
      <c r="AQ3" s="5951"/>
      <c r="AR3" s="5951"/>
      <c r="AS3" s="5951"/>
      <c r="AT3" s="5951"/>
      <c r="AU3" s="8171"/>
      <c r="AV3" s="5133"/>
      <c r="AW3" s="5132"/>
      <c r="AX3" s="5132"/>
      <c r="AY3" s="5132"/>
      <c r="AZ3" s="5132"/>
    </row>
    <row r="4" spans="1:52" s="271" customFormat="1">
      <c r="A4" s="5132"/>
      <c r="B4" s="5132"/>
      <c r="C4" s="5132"/>
      <c r="D4" s="5132"/>
      <c r="E4" s="5133"/>
      <c r="F4" s="8063" t="s">
        <v>2021</v>
      </c>
      <c r="G4" s="6742" t="s">
        <v>2583</v>
      </c>
      <c r="H4" s="6742"/>
      <c r="I4" s="6742"/>
      <c r="J4" s="6742"/>
      <c r="K4" s="6742"/>
      <c r="L4" s="6742"/>
      <c r="M4" s="6742"/>
      <c r="N4" s="6742"/>
      <c r="O4" s="6742"/>
      <c r="P4" s="6742"/>
      <c r="Q4" s="6742"/>
      <c r="R4" s="6742"/>
      <c r="S4" s="6742"/>
      <c r="T4" s="6742"/>
      <c r="U4" s="6742"/>
      <c r="V4" s="6742"/>
      <c r="W4" s="6742"/>
      <c r="X4" s="6742"/>
      <c r="Y4" s="6742"/>
      <c r="Z4" s="6742"/>
      <c r="AA4" s="6743"/>
      <c r="AB4" s="5951"/>
      <c r="AC4" s="5951"/>
      <c r="AD4" s="5951"/>
      <c r="AE4" s="7444"/>
      <c r="AF4" s="5951"/>
      <c r="AG4" s="5951"/>
      <c r="AH4" s="5951"/>
      <c r="AI4" s="5951"/>
      <c r="AJ4" s="5951"/>
      <c r="AK4" s="5951"/>
      <c r="AL4" s="5951"/>
      <c r="AM4" s="7444"/>
      <c r="AN4" s="5951"/>
      <c r="AO4" s="5951"/>
      <c r="AP4" s="5951"/>
      <c r="AQ4" s="5951"/>
      <c r="AR4" s="5951"/>
      <c r="AS4" s="5951"/>
      <c r="AT4" s="5951"/>
      <c r="AU4" s="8171"/>
      <c r="AV4" s="5133"/>
      <c r="AW4" s="5132"/>
      <c r="AX4" s="5132"/>
      <c r="AY4" s="5132"/>
      <c r="AZ4" s="5132"/>
    </row>
    <row r="5" spans="1:52" s="271" customFormat="1">
      <c r="A5" s="5132"/>
      <c r="B5" s="5132"/>
      <c r="C5" s="5132"/>
      <c r="D5" s="5132"/>
      <c r="E5" s="7086" t="s">
        <v>2430</v>
      </c>
      <c r="F5" s="5133"/>
      <c r="G5" s="5133"/>
      <c r="H5" s="5133"/>
      <c r="I5" s="5133"/>
      <c r="J5" s="5133"/>
      <c r="K5" s="5133"/>
      <c r="L5" s="5133"/>
      <c r="M5" s="5133"/>
      <c r="N5" s="5133"/>
      <c r="O5" s="5133"/>
      <c r="P5" s="5133"/>
      <c r="Q5" s="5133"/>
      <c r="R5" s="5133"/>
      <c r="S5" s="5133"/>
      <c r="T5" s="5133"/>
      <c r="U5" s="5133"/>
      <c r="V5" s="5133"/>
      <c r="W5" s="5133"/>
      <c r="X5" s="5133"/>
      <c r="Y5" s="5133"/>
      <c r="Z5" s="5133"/>
      <c r="AA5" s="5133"/>
      <c r="AB5" s="5133"/>
      <c r="AC5" s="5133"/>
      <c r="AD5" s="5133"/>
      <c r="AE5" s="5936"/>
      <c r="AF5" s="5133"/>
      <c r="AG5" s="5133"/>
      <c r="AH5" s="5133"/>
      <c r="AI5" s="5133"/>
      <c r="AJ5" s="5133"/>
      <c r="AK5" s="5133"/>
      <c r="AL5" s="5133"/>
      <c r="AM5" s="5936"/>
      <c r="AN5" s="5133"/>
      <c r="AO5" s="5133"/>
      <c r="AP5" s="5133"/>
      <c r="AQ5" s="5133"/>
      <c r="AR5" s="5133"/>
      <c r="AS5" s="5133"/>
      <c r="AT5" s="5133"/>
      <c r="AU5" s="7885"/>
      <c r="AV5" s="5133"/>
      <c r="AW5" s="5132"/>
      <c r="AX5" s="5132"/>
      <c r="AY5" s="5132"/>
      <c r="AZ5" s="5132"/>
    </row>
    <row r="6" spans="1:52" s="5132" customFormat="1">
      <c r="AE6" s="5142"/>
      <c r="AM6" s="5142"/>
      <c r="AU6" s="5138"/>
    </row>
    <row r="7" spans="1:52">
      <c r="G7" s="5133"/>
      <c r="H7" s="5133"/>
      <c r="I7" s="5133"/>
      <c r="J7" s="5133"/>
      <c r="K7" s="5133"/>
      <c r="L7" s="5133"/>
      <c r="M7" s="5133"/>
      <c r="N7" s="5133"/>
      <c r="O7" s="5133"/>
      <c r="P7" s="5133"/>
      <c r="Q7" s="5133"/>
      <c r="R7" s="5133"/>
      <c r="S7" s="5133"/>
      <c r="T7" s="5133"/>
      <c r="U7" s="5133"/>
      <c r="V7" s="5133"/>
      <c r="W7" s="5133"/>
      <c r="X7" s="5133"/>
      <c r="Y7" s="5133"/>
      <c r="Z7" s="5133"/>
      <c r="AA7" s="5133"/>
      <c r="AB7" s="5133"/>
      <c r="AC7" s="5133"/>
      <c r="AD7" s="5133"/>
      <c r="AE7" s="5936"/>
      <c r="AF7" s="5133"/>
      <c r="AG7" s="5133"/>
      <c r="AH7" s="5133"/>
      <c r="AI7" s="5133"/>
      <c r="AJ7" s="5133"/>
      <c r="AK7" s="5133"/>
      <c r="AL7" s="5133"/>
      <c r="AM7" s="5936"/>
      <c r="AN7" s="5133"/>
      <c r="AO7" s="5133"/>
      <c r="AP7" s="5133"/>
      <c r="AQ7" s="5133"/>
      <c r="AR7" s="5133"/>
      <c r="AS7" s="5133"/>
      <c r="AT7" s="5133"/>
      <c r="AU7" s="7885"/>
    </row>
    <row r="8" spans="1:52" ht="18">
      <c r="F8" s="6508" t="s">
        <v>2332</v>
      </c>
      <c r="G8" s="5133"/>
      <c r="H8" s="5133"/>
      <c r="I8" s="5133"/>
      <c r="J8" s="5133"/>
      <c r="K8" s="5133"/>
      <c r="L8" s="5133"/>
      <c r="M8" s="5133"/>
      <c r="N8" s="5133"/>
      <c r="O8" s="5133"/>
      <c r="P8" s="5133"/>
      <c r="Q8" s="5133"/>
      <c r="R8" s="5133"/>
      <c r="S8" s="5133"/>
      <c r="T8" s="5133"/>
      <c r="U8" s="5133"/>
      <c r="V8" s="5133"/>
      <c r="W8" s="5133"/>
      <c r="X8" s="5133"/>
      <c r="Y8" s="5133"/>
      <c r="Z8" s="5133"/>
      <c r="AA8" s="5133"/>
      <c r="AB8" s="6895"/>
      <c r="AC8" s="6894">
        <f>+F81</f>
        <v>1</v>
      </c>
      <c r="AD8" s="6748">
        <f>+F83</f>
        <v>2</v>
      </c>
      <c r="AE8" s="5936"/>
      <c r="AF8" s="5133"/>
      <c r="AG8" s="5133"/>
      <c r="AH8" s="5133"/>
      <c r="AI8" s="5133"/>
      <c r="AJ8" s="5133"/>
      <c r="AK8" s="5133"/>
      <c r="AL8" s="5133"/>
      <c r="AM8" s="5936"/>
      <c r="AN8" s="5133"/>
      <c r="AO8" s="5133"/>
      <c r="AP8" s="5133"/>
      <c r="AQ8" s="5133"/>
      <c r="AR8" s="5133"/>
      <c r="AS8" s="5133"/>
      <c r="AT8" s="7781" t="s">
        <v>2584</v>
      </c>
      <c r="AU8" s="7885"/>
    </row>
    <row r="9" spans="1:52" ht="15" customHeight="1" thickBot="1">
      <c r="F9" s="6370"/>
      <c r="G9" s="9884" t="s">
        <v>2403</v>
      </c>
      <c r="H9" s="9884"/>
      <c r="I9" s="9884"/>
      <c r="J9" s="9884"/>
      <c r="K9" s="9884"/>
      <c r="L9" s="9884"/>
      <c r="M9" s="9884"/>
      <c r="N9" s="9884"/>
      <c r="O9" s="9884"/>
      <c r="P9" s="9884"/>
      <c r="Q9" s="9884"/>
      <c r="R9" s="9884"/>
      <c r="S9" s="9884"/>
      <c r="T9" s="9884"/>
      <c r="U9" s="9884"/>
      <c r="V9" s="9884"/>
      <c r="W9" s="9884"/>
      <c r="X9" s="9884"/>
      <c r="Y9" s="9884"/>
      <c r="Z9" s="9884"/>
      <c r="AA9" s="9884"/>
      <c r="AB9" s="9884"/>
      <c r="AC9" s="9884"/>
      <c r="AD9" s="9884"/>
      <c r="AE9" s="9884"/>
      <c r="AF9" s="9884"/>
      <c r="AG9" s="9884"/>
      <c r="AH9" s="9884"/>
      <c r="AI9" s="9884"/>
      <c r="AJ9" s="9884"/>
      <c r="AK9" s="9884"/>
      <c r="AL9" s="9884"/>
      <c r="AM9" s="9884"/>
      <c r="AN9" s="9884"/>
      <c r="AO9" s="9884"/>
      <c r="AP9" s="9884"/>
      <c r="AQ9" s="9884"/>
      <c r="AR9" s="9884"/>
      <c r="AS9" s="9884"/>
      <c r="AT9" s="9884"/>
      <c r="AU9" s="6714"/>
    </row>
    <row r="10" spans="1:52">
      <c r="G10" s="5133"/>
      <c r="H10" s="5133"/>
      <c r="I10" s="5133"/>
      <c r="J10" s="5133"/>
      <c r="K10" s="5133"/>
      <c r="L10" s="5133"/>
      <c r="M10" s="5133"/>
      <c r="N10" s="5133"/>
      <c r="O10" s="5133"/>
      <c r="P10" s="5133"/>
      <c r="Q10" s="5133"/>
      <c r="R10" s="5133"/>
      <c r="S10" s="5133"/>
      <c r="T10" s="5133"/>
      <c r="U10" s="5133"/>
      <c r="V10" s="5133"/>
      <c r="W10" s="7405"/>
      <c r="X10" s="5133"/>
      <c r="Y10" s="5133"/>
      <c r="Z10" s="5133"/>
      <c r="AA10" s="5133"/>
      <c r="AB10" s="5133"/>
      <c r="AC10" s="5133"/>
      <c r="AD10" s="5133"/>
      <c r="AE10" s="5936"/>
      <c r="AF10" s="5133"/>
      <c r="AG10" s="5133"/>
      <c r="AH10" s="5133"/>
      <c r="AI10" s="5133"/>
      <c r="AJ10" s="5133"/>
      <c r="AK10" s="5133"/>
      <c r="AL10" s="5133"/>
      <c r="AM10" s="5936"/>
      <c r="AN10" s="5133"/>
      <c r="AO10" s="5133"/>
      <c r="AP10" s="5133"/>
      <c r="AQ10" s="5133"/>
      <c r="AR10" s="5133"/>
      <c r="AS10" s="5133"/>
      <c r="AT10" s="5133"/>
      <c r="AU10" s="7885"/>
    </row>
    <row r="11" spans="1:52" ht="15" customHeight="1">
      <c r="F11" s="6559"/>
      <c r="G11" s="9887" t="s">
        <v>1994</v>
      </c>
      <c r="H11" s="9887"/>
      <c r="I11" s="9887"/>
      <c r="J11" s="9887"/>
      <c r="K11" s="9887"/>
      <c r="L11" s="9887"/>
      <c r="M11" s="9887"/>
      <c r="N11" s="9887"/>
      <c r="O11" s="9887"/>
      <c r="P11" s="9887"/>
      <c r="Q11" s="9887"/>
      <c r="R11" s="9887"/>
      <c r="S11" s="9887"/>
      <c r="T11" s="9887"/>
      <c r="U11" s="6577"/>
      <c r="V11" s="6560"/>
      <c r="W11" s="6561"/>
      <c r="X11" s="6559"/>
      <c r="Y11" s="9887" t="s">
        <v>1993</v>
      </c>
      <c r="Z11" s="9887"/>
      <c r="AA11" s="9887"/>
      <c r="AB11" s="9887"/>
      <c r="AC11" s="9887"/>
      <c r="AD11" s="9887"/>
      <c r="AE11" s="9887"/>
      <c r="AF11" s="9887"/>
      <c r="AG11" s="9887"/>
      <c r="AH11" s="9887"/>
      <c r="AI11" s="9887"/>
      <c r="AJ11" s="9887"/>
      <c r="AK11" s="9887"/>
      <c r="AL11" s="9887"/>
      <c r="AM11" s="9887"/>
      <c r="AN11" s="9887"/>
      <c r="AO11" s="9887"/>
      <c r="AP11" s="9887"/>
      <c r="AQ11" s="9887"/>
      <c r="AR11" s="9887"/>
      <c r="AS11" s="9887"/>
      <c r="AT11" s="9887"/>
      <c r="AU11" s="6715"/>
    </row>
    <row r="12" spans="1:52" ht="9.9499999999999993" customHeight="1">
      <c r="A12" s="5348"/>
      <c r="B12" s="5348"/>
      <c r="C12" s="5348"/>
      <c r="D12" s="5348"/>
      <c r="E12" s="5356"/>
      <c r="F12" s="6562"/>
      <c r="G12" s="6563"/>
      <c r="H12" s="6574"/>
      <c r="I12" s="6564"/>
      <c r="J12" s="6564"/>
      <c r="K12" s="6564"/>
      <c r="L12" s="6564"/>
      <c r="M12" s="6564"/>
      <c r="N12" s="6576"/>
      <c r="O12" s="6564"/>
      <c r="P12" s="6575"/>
      <c r="Q12" s="6564"/>
      <c r="R12" s="6564"/>
      <c r="S12" s="6564"/>
      <c r="T12" s="6565"/>
      <c r="U12" s="5415"/>
      <c r="V12" s="6566"/>
      <c r="W12" s="5415"/>
      <c r="X12" s="6562"/>
      <c r="Y12" s="6563"/>
      <c r="Z12" s="6575"/>
      <c r="AA12" s="6564"/>
      <c r="AB12" s="6564"/>
      <c r="AC12" s="6564"/>
      <c r="AD12" s="6564"/>
      <c r="AE12" s="6705"/>
      <c r="AF12" s="6564"/>
      <c r="AG12" s="6564"/>
      <c r="AH12" s="6564"/>
      <c r="AI12" s="6575"/>
      <c r="AJ12" s="6564"/>
      <c r="AK12" s="6564"/>
      <c r="AL12" s="6564"/>
      <c r="AM12" s="6705"/>
      <c r="AN12" s="6564"/>
      <c r="AO12" s="6564"/>
      <c r="AP12" s="6575"/>
      <c r="AQ12" s="6564"/>
      <c r="AR12" s="6564"/>
      <c r="AS12" s="6564"/>
      <c r="AT12" s="6565"/>
      <c r="AU12" s="6716"/>
      <c r="AV12" s="5356"/>
    </row>
    <row r="13" spans="1:52" ht="13.5" thickBot="1">
      <c r="A13" s="5348"/>
      <c r="B13" s="5348"/>
      <c r="C13" s="5348"/>
      <c r="D13" s="5348"/>
      <c r="E13" s="5356"/>
      <c r="F13" s="6562"/>
      <c r="G13" s="9892" t="s">
        <v>2325</v>
      </c>
      <c r="H13" s="9892"/>
      <c r="I13" s="9892"/>
      <c r="J13" s="9892"/>
      <c r="K13" s="9892"/>
      <c r="L13" s="9892"/>
      <c r="M13" s="5415"/>
      <c r="N13" s="5415"/>
      <c r="O13" s="9891" t="s">
        <v>2326</v>
      </c>
      <c r="P13" s="9891"/>
      <c r="Q13" s="9891"/>
      <c r="R13" s="9891"/>
      <c r="S13" s="9891"/>
      <c r="T13" s="9891"/>
      <c r="U13" s="7887"/>
      <c r="V13" s="6566"/>
      <c r="W13" s="5415"/>
      <c r="X13" s="6562"/>
      <c r="Y13" s="9891" t="s">
        <v>2327</v>
      </c>
      <c r="Z13" s="9891"/>
      <c r="AA13" s="9891"/>
      <c r="AB13" s="9891"/>
      <c r="AC13" s="9891"/>
      <c r="AD13" s="9891"/>
      <c r="AE13" s="6658"/>
      <c r="AF13" s="5415"/>
      <c r="AG13" s="9891" t="s">
        <v>1731</v>
      </c>
      <c r="AH13" s="9891"/>
      <c r="AI13" s="9891"/>
      <c r="AJ13" s="9891"/>
      <c r="AK13" s="9891"/>
      <c r="AL13" s="9891"/>
      <c r="AM13" s="6658"/>
      <c r="AN13" s="5415"/>
      <c r="AO13" s="9897" t="s">
        <v>2242</v>
      </c>
      <c r="AP13" s="9897"/>
      <c r="AQ13" s="9897"/>
      <c r="AR13" s="9897"/>
      <c r="AS13" s="9897"/>
      <c r="AT13" s="9897"/>
      <c r="AU13" s="6716"/>
      <c r="AV13" s="5356"/>
    </row>
    <row r="14" spans="1:52" ht="21.95" customHeight="1" thickBot="1">
      <c r="A14" s="5348"/>
      <c r="B14" s="5348"/>
      <c r="C14" s="5348"/>
      <c r="D14" s="5348"/>
      <c r="E14" s="5356"/>
      <c r="F14" s="6562"/>
      <c r="G14" s="9910" t="s">
        <v>2315</v>
      </c>
      <c r="H14" s="9911"/>
      <c r="I14" s="9911"/>
      <c r="J14" s="9911"/>
      <c r="K14" s="9911"/>
      <c r="L14" s="9912"/>
      <c r="M14" s="6702">
        <f>+F85</f>
        <v>3</v>
      </c>
      <c r="N14" s="5121"/>
      <c r="O14" s="9894" t="s">
        <v>1988</v>
      </c>
      <c r="P14" s="9895"/>
      <c r="Q14" s="9895"/>
      <c r="R14" s="9895"/>
      <c r="S14" s="9895"/>
      <c r="T14" s="9896"/>
      <c r="U14" s="6702">
        <f>+F97</f>
        <v>8</v>
      </c>
      <c r="V14" s="6589"/>
      <c r="W14" s="6062"/>
      <c r="X14" s="6640"/>
      <c r="Y14" s="9894" t="s">
        <v>1989</v>
      </c>
      <c r="Z14" s="9895"/>
      <c r="AA14" s="9895"/>
      <c r="AB14" s="9895"/>
      <c r="AC14" s="9895"/>
      <c r="AD14" s="9896"/>
      <c r="AE14" s="6708">
        <f>+AB85</f>
        <v>11</v>
      </c>
      <c r="AF14" s="6062"/>
      <c r="AG14" s="9894" t="str">
        <f>+PROPER("SALE TAX &amp; CONTINGENCY FACTORS")</f>
        <v>Sale Tax &amp; Contingency Factors</v>
      </c>
      <c r="AH14" s="9895"/>
      <c r="AI14" s="9895"/>
      <c r="AJ14" s="9895"/>
      <c r="AK14" s="9895"/>
      <c r="AL14" s="9896"/>
      <c r="AM14" s="6708">
        <f>+AB90</f>
        <v>13</v>
      </c>
      <c r="AN14" s="5415"/>
      <c r="AO14" s="9898" t="s">
        <v>2067</v>
      </c>
      <c r="AP14" s="9899"/>
      <c r="AQ14" s="9899"/>
      <c r="AR14" s="9899"/>
      <c r="AS14" s="9899"/>
      <c r="AT14" s="9900"/>
      <c r="AU14" s="6744">
        <f>+AB94</f>
        <v>15</v>
      </c>
      <c r="AV14" s="5356"/>
    </row>
    <row r="15" spans="1:52" ht="15" customHeight="1">
      <c r="A15" s="5348"/>
      <c r="B15" s="5348"/>
      <c r="C15" s="5348"/>
      <c r="D15" s="5348"/>
      <c r="E15" s="5356"/>
      <c r="F15" s="6562"/>
      <c r="G15" s="6590">
        <v>1</v>
      </c>
      <c r="H15" s="6591" t="s">
        <v>1675</v>
      </c>
      <c r="I15" s="6592"/>
      <c r="J15" s="6592"/>
      <c r="K15" s="6592"/>
      <c r="L15" s="6593"/>
      <c r="M15" s="6594"/>
      <c r="N15" s="6062"/>
      <c r="O15" s="6590">
        <v>1</v>
      </c>
      <c r="P15" s="6591" t="s">
        <v>2059</v>
      </c>
      <c r="Q15" s="6592"/>
      <c r="R15" s="6592"/>
      <c r="S15" s="6592"/>
      <c r="T15" s="6593"/>
      <c r="U15" s="6062"/>
      <c r="V15" s="6589"/>
      <c r="W15" s="6062"/>
      <c r="X15" s="6640"/>
      <c r="Y15" s="6590">
        <v>1</v>
      </c>
      <c r="Z15" s="6591" t="s">
        <v>2002</v>
      </c>
      <c r="AA15" s="6592"/>
      <c r="AB15" s="6592"/>
      <c r="AC15" s="6592"/>
      <c r="AD15" s="6641" t="s">
        <v>2269</v>
      </c>
      <c r="AE15" s="6658"/>
      <c r="AF15" s="6062"/>
      <c r="AG15" s="6590">
        <v>1</v>
      </c>
      <c r="AH15" s="9905" t="s">
        <v>2291</v>
      </c>
      <c r="AI15" s="9901"/>
      <c r="AJ15" s="9901"/>
      <c r="AK15" s="9901"/>
      <c r="AL15" s="6593"/>
      <c r="AM15" s="6658"/>
      <c r="AN15" s="5415"/>
      <c r="AO15" s="6642" t="s">
        <v>1984</v>
      </c>
      <c r="AP15" s="9901" t="s">
        <v>2009</v>
      </c>
      <c r="AQ15" s="9901"/>
      <c r="AR15" s="9901"/>
      <c r="AS15" s="6643" t="s">
        <v>2010</v>
      </c>
      <c r="AT15" s="6644">
        <v>0</v>
      </c>
      <c r="AU15" s="6716"/>
      <c r="AV15" s="5356"/>
    </row>
    <row r="16" spans="1:52" s="271" customFormat="1" ht="12.75" customHeight="1">
      <c r="A16" s="5348"/>
      <c r="B16" s="5348"/>
      <c r="C16" s="5348"/>
      <c r="D16" s="5348"/>
      <c r="E16" s="5356"/>
      <c r="F16" s="6562"/>
      <c r="G16" s="6601">
        <v>2</v>
      </c>
      <c r="H16" s="6602" t="s">
        <v>1683</v>
      </c>
      <c r="I16" s="6603"/>
      <c r="J16" s="6603"/>
      <c r="K16" s="6604"/>
      <c r="L16" s="6605"/>
      <c r="M16" s="6594"/>
      <c r="N16" s="6062"/>
      <c r="O16" s="6598"/>
      <c r="P16" s="6599" t="s">
        <v>1984</v>
      </c>
      <c r="Q16" s="6594" t="s">
        <v>2162</v>
      </c>
      <c r="R16" s="6594"/>
      <c r="S16" s="6062"/>
      <c r="T16" s="6600"/>
      <c r="U16" s="6062"/>
      <c r="V16" s="6589"/>
      <c r="W16" s="6062"/>
      <c r="X16" s="6640"/>
      <c r="Y16" s="6598"/>
      <c r="Z16" s="6599" t="s">
        <v>1984</v>
      </c>
      <c r="AA16" s="6062" t="s">
        <v>1990</v>
      </c>
      <c r="AB16" s="6062"/>
      <c r="AC16" s="6062"/>
      <c r="AD16" s="6645"/>
      <c r="AE16" s="6658"/>
      <c r="AF16" s="6062"/>
      <c r="AG16" s="6598"/>
      <c r="AH16" s="9902"/>
      <c r="AI16" s="9902"/>
      <c r="AJ16" s="9902"/>
      <c r="AK16" s="9902"/>
      <c r="AL16" s="6600"/>
      <c r="AM16" s="6658"/>
      <c r="AN16" s="5415"/>
      <c r="AO16" s="6646"/>
      <c r="AP16" s="9902"/>
      <c r="AQ16" s="9902"/>
      <c r="AR16" s="9902"/>
      <c r="AS16" s="6647"/>
      <c r="AT16" s="6600"/>
      <c r="AU16" s="6716"/>
      <c r="AV16" s="5356"/>
      <c r="AW16" s="5132"/>
      <c r="AX16" s="5132"/>
      <c r="AY16" s="5132"/>
      <c r="AZ16" s="5132"/>
    </row>
    <row r="17" spans="1:52" s="271" customFormat="1" ht="12.75" customHeight="1">
      <c r="A17" s="5348"/>
      <c r="B17" s="5348"/>
      <c r="C17" s="5348"/>
      <c r="D17" s="5348"/>
      <c r="E17" s="5356"/>
      <c r="F17" s="6562"/>
      <c r="G17" s="6598"/>
      <c r="H17" s="6599" t="s">
        <v>1984</v>
      </c>
      <c r="I17" s="5121" t="s">
        <v>2285</v>
      </c>
      <c r="J17" s="6062"/>
      <c r="K17" s="6062"/>
      <c r="L17" s="6600"/>
      <c r="M17" s="6594"/>
      <c r="N17" s="6062"/>
      <c r="O17" s="6598"/>
      <c r="P17" s="6599"/>
      <c r="Q17" s="6594"/>
      <c r="R17" s="6594" t="s">
        <v>2164</v>
      </c>
      <c r="S17" s="6062"/>
      <c r="T17" s="6600"/>
      <c r="U17" s="6062"/>
      <c r="V17" s="6589"/>
      <c r="W17" s="6062"/>
      <c r="X17" s="6640"/>
      <c r="Y17" s="6598"/>
      <c r="Z17" s="6599"/>
      <c r="AA17" s="6062"/>
      <c r="AB17" s="6062" t="s">
        <v>1991</v>
      </c>
      <c r="AC17" s="6062"/>
      <c r="AD17" s="6645"/>
      <c r="AE17" s="6658"/>
      <c r="AF17" s="6062"/>
      <c r="AG17" s="6616"/>
      <c r="AH17" s="6648"/>
      <c r="AI17" s="6648"/>
      <c r="AJ17" s="6648"/>
      <c r="AK17" s="6648"/>
      <c r="AL17" s="6618"/>
      <c r="AM17" s="6658"/>
      <c r="AN17" s="5415"/>
      <c r="AO17" s="6646"/>
      <c r="AP17" s="7888"/>
      <c r="AQ17" s="7888"/>
      <c r="AR17" s="7888"/>
      <c r="AS17" s="6647"/>
      <c r="AT17" s="6600"/>
      <c r="AU17" s="6716"/>
      <c r="AV17" s="5356"/>
      <c r="AW17" s="5132"/>
      <c r="AX17" s="5132"/>
      <c r="AY17" s="5132"/>
      <c r="AZ17" s="5132"/>
    </row>
    <row r="18" spans="1:52" s="271" customFormat="1" ht="12.75" customHeight="1">
      <c r="A18" s="5348"/>
      <c r="B18" s="5348"/>
      <c r="C18" s="5348"/>
      <c r="D18" s="5348"/>
      <c r="E18" s="5356"/>
      <c r="F18" s="6562"/>
      <c r="G18" s="6598"/>
      <c r="H18" s="6594"/>
      <c r="I18" s="6062"/>
      <c r="J18" s="6062" t="s">
        <v>2150</v>
      </c>
      <c r="K18" s="6062"/>
      <c r="L18" s="6600"/>
      <c r="M18" s="6594"/>
      <c r="N18" s="6062"/>
      <c r="O18" s="6598"/>
      <c r="P18" s="6599"/>
      <c r="Q18" s="6594"/>
      <c r="R18" s="6594" t="s">
        <v>2055</v>
      </c>
      <c r="S18" s="6062"/>
      <c r="T18" s="6600"/>
      <c r="U18" s="6062"/>
      <c r="V18" s="6589"/>
      <c r="W18" s="6062"/>
      <c r="X18" s="6640"/>
      <c r="Y18" s="6598"/>
      <c r="Z18" s="6599"/>
      <c r="AA18" s="6062"/>
      <c r="AB18" s="6062" t="s">
        <v>1992</v>
      </c>
      <c r="AC18" s="6062"/>
      <c r="AD18" s="6645"/>
      <c r="AE18" s="6658"/>
      <c r="AF18" s="6062"/>
      <c r="AG18" s="6601">
        <v>2</v>
      </c>
      <c r="AH18" s="6649" t="s">
        <v>2231</v>
      </c>
      <c r="AI18" s="6649"/>
      <c r="AJ18" s="6602"/>
      <c r="AK18" s="6603"/>
      <c r="AL18" s="6650"/>
      <c r="AN18" s="5415"/>
      <c r="AO18" s="6646"/>
      <c r="AP18" s="7888"/>
      <c r="AQ18" s="7888"/>
      <c r="AR18" s="7888"/>
      <c r="AS18" s="6647"/>
      <c r="AT18" s="6600"/>
      <c r="AU18" s="6716"/>
      <c r="AV18" s="5356"/>
      <c r="AW18" s="5132"/>
      <c r="AX18" s="5132"/>
      <c r="AY18" s="5132"/>
      <c r="AZ18" s="5132"/>
    </row>
    <row r="19" spans="1:52" s="271" customFormat="1" ht="12.75" customHeight="1">
      <c r="A19" s="5348"/>
      <c r="B19" s="5348"/>
      <c r="C19" s="5348"/>
      <c r="D19" s="5348"/>
      <c r="E19" s="5356"/>
      <c r="F19" s="6562"/>
      <c r="G19" s="6598"/>
      <c r="H19" s="6594"/>
      <c r="I19" s="6062"/>
      <c r="J19" s="6062" t="s">
        <v>2151</v>
      </c>
      <c r="K19" s="6062"/>
      <c r="L19" s="6600"/>
      <c r="M19" s="6594"/>
      <c r="N19" s="6062"/>
      <c r="O19" s="6598"/>
      <c r="P19" s="6599"/>
      <c r="Q19" s="6594"/>
      <c r="R19" s="6606" t="s">
        <v>2056</v>
      </c>
      <c r="S19" s="6062"/>
      <c r="T19" s="6600"/>
      <c r="U19" s="6062"/>
      <c r="V19" s="6589"/>
      <c r="W19" s="6062"/>
      <c r="X19" s="6640"/>
      <c r="Y19" s="6598"/>
      <c r="Z19" s="6599"/>
      <c r="AA19" s="6062"/>
      <c r="AB19" s="6062" t="s">
        <v>2224</v>
      </c>
      <c r="AC19" s="6062"/>
      <c r="AD19" s="6645"/>
      <c r="AE19" s="6658"/>
      <c r="AF19" s="6062"/>
      <c r="AG19" s="6646"/>
      <c r="AH19" s="6599" t="s">
        <v>1984</v>
      </c>
      <c r="AI19" s="6594" t="s">
        <v>2001</v>
      </c>
      <c r="AJ19" s="6594"/>
      <c r="AK19" s="6062"/>
      <c r="AL19" s="7891"/>
      <c r="AM19" s="6658"/>
      <c r="AN19" s="5415"/>
      <c r="AO19" s="6646"/>
      <c r="AP19" s="7888"/>
      <c r="AQ19" s="7888"/>
      <c r="AR19" s="7888"/>
      <c r="AS19" s="6647"/>
      <c r="AT19" s="6600"/>
      <c r="AU19" s="6716"/>
      <c r="AV19" s="5356"/>
      <c r="AW19" s="5132"/>
      <c r="AX19" s="5132"/>
      <c r="AY19" s="5132"/>
      <c r="AZ19" s="5132"/>
    </row>
    <row r="20" spans="1:52" s="271" customFormat="1" ht="12.75" customHeight="1">
      <c r="A20" s="5348"/>
      <c r="B20" s="5348"/>
      <c r="C20" s="5348"/>
      <c r="D20" s="5348"/>
      <c r="E20" s="5356"/>
      <c r="F20" s="6562"/>
      <c r="G20" s="6598"/>
      <c r="H20" s="6594"/>
      <c r="I20" s="6062"/>
      <c r="J20" s="6062" t="s">
        <v>2170</v>
      </c>
      <c r="K20" s="6062"/>
      <c r="L20" s="6600"/>
      <c r="M20" s="6594"/>
      <c r="N20" s="6062"/>
      <c r="O20" s="6598"/>
      <c r="P20" s="6599"/>
      <c r="Q20" s="6594"/>
      <c r="R20" s="6594" t="s">
        <v>2051</v>
      </c>
      <c r="S20" s="6062"/>
      <c r="T20" s="6600"/>
      <c r="U20" s="6062"/>
      <c r="V20" s="6589"/>
      <c r="W20" s="6062"/>
      <c r="X20" s="6640"/>
      <c r="Y20" s="6598"/>
      <c r="Z20" s="6599"/>
      <c r="AA20" s="6062"/>
      <c r="AB20" s="6594" t="s">
        <v>2221</v>
      </c>
      <c r="AC20" s="6062"/>
      <c r="AD20" s="6645"/>
      <c r="AE20" s="6658"/>
      <c r="AF20" s="6062"/>
      <c r="AG20" s="6607"/>
      <c r="AH20" s="6599" t="s">
        <v>1984</v>
      </c>
      <c r="AI20" s="7405" t="s">
        <v>2232</v>
      </c>
      <c r="AJ20" s="7405"/>
      <c r="AK20" s="7405"/>
      <c r="AL20" s="6608"/>
      <c r="AM20" s="6658"/>
      <c r="AN20" s="5415"/>
      <c r="AO20" s="6646"/>
      <c r="AP20" s="7888"/>
      <c r="AQ20" s="7888"/>
      <c r="AR20" s="7888"/>
      <c r="AS20" s="6647"/>
      <c r="AT20" s="6600"/>
      <c r="AU20" s="6716"/>
      <c r="AV20" s="5356"/>
      <c r="AW20" s="5132"/>
      <c r="AX20" s="5132"/>
      <c r="AY20" s="5132"/>
      <c r="AZ20" s="5132"/>
    </row>
    <row r="21" spans="1:52" s="271" customFormat="1" ht="12.75" customHeight="1">
      <c r="A21" s="5348"/>
      <c r="B21" s="5348"/>
      <c r="C21" s="5348"/>
      <c r="D21" s="5348"/>
      <c r="E21" s="5356"/>
      <c r="F21" s="6562"/>
      <c r="G21" s="6598"/>
      <c r="H21" s="5133"/>
      <c r="I21" s="5133"/>
      <c r="J21" s="6062" t="s">
        <v>869</v>
      </c>
      <c r="K21" s="6062"/>
      <c r="L21" s="6600"/>
      <c r="M21" s="6594"/>
      <c r="N21" s="6062"/>
      <c r="O21" s="6598"/>
      <c r="P21" s="6599"/>
      <c r="Q21" s="6594"/>
      <c r="R21" s="6594" t="s">
        <v>867</v>
      </c>
      <c r="S21" s="6062"/>
      <c r="T21" s="6600"/>
      <c r="U21" s="6062"/>
      <c r="V21" s="6589"/>
      <c r="W21" s="6062"/>
      <c r="X21" s="6640"/>
      <c r="Y21" s="6598"/>
      <c r="Z21" s="6599" t="s">
        <v>1984</v>
      </c>
      <c r="AA21" s="6594" t="s">
        <v>2068</v>
      </c>
      <c r="AB21" s="5133"/>
      <c r="AC21" s="6062"/>
      <c r="AD21" s="6645"/>
      <c r="AE21" s="6658"/>
      <c r="AF21" s="6062"/>
      <c r="AG21" s="6646"/>
      <c r="AH21" s="6599" t="s">
        <v>1984</v>
      </c>
      <c r="AI21" s="6594" t="s">
        <v>2233</v>
      </c>
      <c r="AJ21" s="6594"/>
      <c r="AK21" s="6062"/>
      <c r="AL21" s="7891"/>
      <c r="AM21" s="6658"/>
      <c r="AN21" s="5415"/>
      <c r="AO21" s="6646"/>
      <c r="AP21" s="7888"/>
      <c r="AQ21" s="7888"/>
      <c r="AR21" s="7888"/>
      <c r="AS21" s="6647"/>
      <c r="AT21" s="6600"/>
      <c r="AU21" s="6716"/>
      <c r="AV21" s="5356"/>
      <c r="AW21" s="5132"/>
      <c r="AX21" s="5132"/>
      <c r="AY21" s="5132"/>
      <c r="AZ21" s="5132"/>
    </row>
    <row r="22" spans="1:52" s="271" customFormat="1" ht="12.75" customHeight="1">
      <c r="A22" s="5348"/>
      <c r="B22" s="5348"/>
      <c r="C22" s="5348"/>
      <c r="D22" s="5348"/>
      <c r="E22" s="5356"/>
      <c r="F22" s="6562"/>
      <c r="G22" s="6598"/>
      <c r="H22" s="6599" t="s">
        <v>1984</v>
      </c>
      <c r="I22" s="5121" t="s">
        <v>2283</v>
      </c>
      <c r="J22" s="6062"/>
      <c r="K22" s="6062"/>
      <c r="L22" s="6600"/>
      <c r="M22" s="6594"/>
      <c r="N22" s="6062"/>
      <c r="O22" s="6598"/>
      <c r="P22" s="6599"/>
      <c r="Q22" s="5133"/>
      <c r="R22" s="6594" t="s">
        <v>2152</v>
      </c>
      <c r="S22" s="6062"/>
      <c r="T22" s="6600"/>
      <c r="U22" s="6062"/>
      <c r="V22" s="6589"/>
      <c r="W22" s="6062"/>
      <c r="X22" s="6640"/>
      <c r="Y22" s="6598"/>
      <c r="Z22" s="5133"/>
      <c r="AA22" s="5133"/>
      <c r="AB22" s="5133" t="s">
        <v>2316</v>
      </c>
      <c r="AC22" s="6062"/>
      <c r="AD22" s="6645"/>
      <c r="AE22" s="6658"/>
      <c r="AF22" s="6062"/>
      <c r="AG22" s="6646"/>
      <c r="AH22" s="6599" t="s">
        <v>1984</v>
      </c>
      <c r="AI22" s="6594" t="s">
        <v>2234</v>
      </c>
      <c r="AJ22" s="6594"/>
      <c r="AK22" s="6062"/>
      <c r="AL22" s="7891"/>
      <c r="AM22" s="6658"/>
      <c r="AN22" s="5415"/>
      <c r="AO22" s="6651" t="s">
        <v>1984</v>
      </c>
      <c r="AP22" s="6610" t="s">
        <v>2044</v>
      </c>
      <c r="AQ22" s="6610"/>
      <c r="AR22" s="6610"/>
      <c r="AS22" s="6652" t="s">
        <v>2012</v>
      </c>
      <c r="AT22" s="6653">
        <v>0</v>
      </c>
      <c r="AU22" s="6716"/>
      <c r="AV22" s="5356"/>
      <c r="AW22" s="5132"/>
      <c r="AX22" s="5132"/>
      <c r="AY22" s="5132"/>
      <c r="AZ22" s="5132"/>
    </row>
    <row r="23" spans="1:52" s="271" customFormat="1" ht="12.75" customHeight="1">
      <c r="A23" s="5348"/>
      <c r="B23" s="5348"/>
      <c r="C23" s="5348"/>
      <c r="D23" s="5348"/>
      <c r="E23" s="5356"/>
      <c r="F23" s="6562"/>
      <c r="G23" s="6598"/>
      <c r="H23" s="6599"/>
      <c r="I23" s="5133"/>
      <c r="J23" s="6062" t="s">
        <v>2049</v>
      </c>
      <c r="K23" s="6062"/>
      <c r="L23" s="6600"/>
      <c r="M23" s="6594"/>
      <c r="N23" s="6062"/>
      <c r="O23" s="6598"/>
      <c r="P23" s="6599"/>
      <c r="Q23" s="5133"/>
      <c r="R23" s="7103" t="s">
        <v>2317</v>
      </c>
      <c r="S23" s="6062"/>
      <c r="T23" s="6600"/>
      <c r="U23" s="6062"/>
      <c r="V23" s="6589"/>
      <c r="W23" s="6062"/>
      <c r="X23" s="6640"/>
      <c r="Y23" s="6598"/>
      <c r="Z23" s="6599"/>
      <c r="AA23" s="7405"/>
      <c r="AB23" s="6594" t="s">
        <v>2158</v>
      </c>
      <c r="AC23" s="6062"/>
      <c r="AD23" s="6645"/>
      <c r="AE23" s="6658"/>
      <c r="AF23" s="6062"/>
      <c r="AG23" s="6616"/>
      <c r="AH23" s="6614"/>
      <c r="AI23" s="6617"/>
      <c r="AJ23" s="6615"/>
      <c r="AK23" s="6617"/>
      <c r="AL23" s="6618"/>
      <c r="AM23" s="6658"/>
      <c r="AN23" s="5415"/>
      <c r="AO23" s="6646" t="s">
        <v>1984</v>
      </c>
      <c r="AP23" s="6594" t="s">
        <v>1676</v>
      </c>
      <c r="AQ23" s="6594"/>
      <c r="AR23" s="6594"/>
      <c r="AS23" s="6647"/>
      <c r="AT23" s="6600"/>
      <c r="AU23" s="6716"/>
      <c r="AV23" s="5356"/>
      <c r="AW23" s="5132"/>
      <c r="AX23" s="5132"/>
      <c r="AY23" s="5132"/>
      <c r="AZ23" s="5132"/>
    </row>
    <row r="24" spans="1:52" s="271" customFormat="1" ht="12.75" customHeight="1">
      <c r="A24" s="5348"/>
      <c r="B24" s="5348"/>
      <c r="C24" s="5348"/>
      <c r="D24" s="5348"/>
      <c r="E24" s="5356"/>
      <c r="F24" s="6562"/>
      <c r="G24" s="6598"/>
      <c r="H24" s="6599"/>
      <c r="I24" s="5133"/>
      <c r="J24" s="7405" t="s">
        <v>2318</v>
      </c>
      <c r="K24" s="6062"/>
      <c r="L24" s="6600"/>
      <c r="M24" s="6594"/>
      <c r="N24" s="6062"/>
      <c r="O24" s="6598"/>
      <c r="P24" s="6599" t="s">
        <v>1984</v>
      </c>
      <c r="Q24" s="6594" t="s">
        <v>2161</v>
      </c>
      <c r="R24" s="6594"/>
      <c r="S24" s="6062"/>
      <c r="T24" s="6600"/>
      <c r="U24" s="6062"/>
      <c r="V24" s="6589"/>
      <c r="W24" s="6062"/>
      <c r="X24" s="6640"/>
      <c r="Y24" s="6598">
        <v>2</v>
      </c>
      <c r="Z24" s="6062" t="s">
        <v>2003</v>
      </c>
      <c r="AA24" s="6062"/>
      <c r="AB24" s="6062"/>
      <c r="AC24" s="6062"/>
      <c r="AD24" s="6654" t="s">
        <v>2270</v>
      </c>
      <c r="AE24" s="6658"/>
      <c r="AF24" s="6062"/>
      <c r="AG24" s="6598">
        <v>3</v>
      </c>
      <c r="AH24" s="7103" t="s">
        <v>2230</v>
      </c>
      <c r="AI24" s="7103"/>
      <c r="AJ24" s="6594"/>
      <c r="AK24" s="6062"/>
      <c r="AL24" s="7891"/>
      <c r="AM24" s="6658"/>
      <c r="AN24" s="5415"/>
      <c r="AO24" s="6646" t="s">
        <v>1984</v>
      </c>
      <c r="AP24" s="5415" t="s">
        <v>2011</v>
      </c>
      <c r="AQ24" s="5415"/>
      <c r="AR24" s="6594"/>
      <c r="AS24" s="6647"/>
      <c r="AT24" s="6600"/>
      <c r="AU24" s="6716"/>
      <c r="AV24" s="5356"/>
      <c r="AW24" s="5132"/>
      <c r="AX24" s="5132"/>
      <c r="AY24" s="5132"/>
      <c r="AZ24" s="5132"/>
    </row>
    <row r="25" spans="1:52" s="271" customFormat="1" ht="12.75" customHeight="1">
      <c r="A25" s="5348"/>
      <c r="B25" s="5348"/>
      <c r="C25" s="5348"/>
      <c r="D25" s="5348"/>
      <c r="E25" s="5356"/>
      <c r="F25" s="6562"/>
      <c r="G25" s="6598"/>
      <c r="H25" s="6599" t="s">
        <v>1984</v>
      </c>
      <c r="I25" s="5121" t="s">
        <v>2284</v>
      </c>
      <c r="J25" s="6062"/>
      <c r="K25" s="6062"/>
      <c r="L25" s="6600"/>
      <c r="M25" s="6594"/>
      <c r="N25" s="6062"/>
      <c r="O25" s="6607"/>
      <c r="P25" s="6599"/>
      <c r="Q25" s="5133"/>
      <c r="R25" s="6594" t="s">
        <v>2167</v>
      </c>
      <c r="S25" s="7405"/>
      <c r="T25" s="6608"/>
      <c r="U25" s="7405"/>
      <c r="V25" s="6589"/>
      <c r="W25" s="6062"/>
      <c r="X25" s="6640"/>
      <c r="Y25" s="6598"/>
      <c r="Z25" s="6599" t="s">
        <v>1984</v>
      </c>
      <c r="AA25" s="5133" t="s">
        <v>2277</v>
      </c>
      <c r="AB25" s="6062"/>
      <c r="AC25" s="6062"/>
      <c r="AD25" s="6645"/>
      <c r="AE25" s="6658"/>
      <c r="AF25" s="6062"/>
      <c r="AG25" s="6655"/>
      <c r="AH25" s="6614"/>
      <c r="AI25" s="6614"/>
      <c r="AJ25" s="6596"/>
      <c r="AK25" s="6617"/>
      <c r="AL25" s="7889"/>
      <c r="AM25" s="6658"/>
      <c r="AN25" s="5415"/>
      <c r="AO25" s="6646" t="s">
        <v>1984</v>
      </c>
      <c r="AP25" s="6606" t="s">
        <v>1681</v>
      </c>
      <c r="AQ25" s="6606"/>
      <c r="AR25" s="5415"/>
      <c r="AS25" s="6647"/>
      <c r="AT25" s="6600"/>
      <c r="AU25" s="6716"/>
      <c r="AV25" s="5356"/>
      <c r="AW25" s="5132"/>
      <c r="AX25" s="5132"/>
      <c r="AY25" s="5132"/>
      <c r="AZ25" s="5132"/>
    </row>
    <row r="26" spans="1:52" s="271" customFormat="1" ht="12.75" customHeight="1">
      <c r="A26" s="5348"/>
      <c r="B26" s="5348"/>
      <c r="C26" s="5348"/>
      <c r="D26" s="5348"/>
      <c r="E26" s="5356"/>
      <c r="F26" s="6562"/>
      <c r="G26" s="6598"/>
      <c r="H26" s="6599"/>
      <c r="I26" s="5133"/>
      <c r="J26" s="6062" t="s">
        <v>885</v>
      </c>
      <c r="K26" s="6062"/>
      <c r="L26" s="6600"/>
      <c r="M26" s="6594"/>
      <c r="N26" s="6062"/>
      <c r="O26" s="6607"/>
      <c r="P26" s="6599"/>
      <c r="Q26" s="5133"/>
      <c r="R26" s="6594" t="s">
        <v>2060</v>
      </c>
      <c r="S26" s="7405"/>
      <c r="T26" s="6608"/>
      <c r="U26" s="7405"/>
      <c r="V26" s="6589"/>
      <c r="W26" s="6062"/>
      <c r="X26" s="6640"/>
      <c r="Y26" s="6607"/>
      <c r="Z26" s="6599"/>
      <c r="AA26" s="5133"/>
      <c r="AB26" s="5121" t="s">
        <v>2064</v>
      </c>
      <c r="AC26" s="6062"/>
      <c r="AD26" s="6645"/>
      <c r="AE26" s="6658"/>
      <c r="AF26" s="6062"/>
      <c r="AG26" s="6598"/>
      <c r="AH26" s="7405"/>
      <c r="AI26" s="7405"/>
      <c r="AJ26" s="7405"/>
      <c r="AK26" s="7405"/>
      <c r="AL26" s="6608"/>
      <c r="AM26" s="6658"/>
      <c r="AN26" s="5415"/>
      <c r="AO26" s="6646" t="s">
        <v>1984</v>
      </c>
      <c r="AP26" s="6606" t="s">
        <v>2331</v>
      </c>
      <c r="AQ26" s="6606"/>
      <c r="AR26" s="5415"/>
      <c r="AS26" s="6647"/>
      <c r="AT26" s="6600"/>
      <c r="AU26" s="6716"/>
      <c r="AV26" s="5356"/>
      <c r="AW26" s="5132"/>
      <c r="AX26" s="5132"/>
      <c r="AY26" s="5132"/>
      <c r="AZ26" s="5132"/>
    </row>
    <row r="27" spans="1:52" s="271" customFormat="1" ht="12.75" customHeight="1">
      <c r="A27" s="5348"/>
      <c r="B27" s="5348"/>
      <c r="C27" s="5348"/>
      <c r="D27" s="5348"/>
      <c r="E27" s="5356"/>
      <c r="F27" s="6562"/>
      <c r="G27" s="6598"/>
      <c r="H27" s="6599"/>
      <c r="I27" s="5133"/>
      <c r="J27" s="6062" t="s">
        <v>2168</v>
      </c>
      <c r="K27" s="6062"/>
      <c r="L27" s="6600"/>
      <c r="M27" s="6594"/>
      <c r="N27" s="6062"/>
      <c r="O27" s="6607"/>
      <c r="P27" s="6599"/>
      <c r="Q27" s="5133"/>
      <c r="R27" s="6594" t="s">
        <v>2046</v>
      </c>
      <c r="S27" s="7405"/>
      <c r="T27" s="6608"/>
      <c r="U27" s="7405"/>
      <c r="V27" s="6589"/>
      <c r="W27" s="6062"/>
      <c r="X27" s="6640"/>
      <c r="Y27" s="6607"/>
      <c r="Z27" s="6599"/>
      <c r="AA27" s="5133"/>
      <c r="AB27" s="6594" t="s">
        <v>2004</v>
      </c>
      <c r="AC27" s="6062"/>
      <c r="AD27" s="6645"/>
      <c r="AE27" s="6658"/>
      <c r="AF27" s="6062"/>
      <c r="AG27" s="6607"/>
      <c r="AH27" s="7405"/>
      <c r="AI27" s="7405"/>
      <c r="AJ27" s="7405"/>
      <c r="AK27" s="7405"/>
      <c r="AL27" s="6608"/>
      <c r="AM27" s="6658"/>
      <c r="AN27" s="5415"/>
      <c r="AO27" s="6607"/>
      <c r="AP27" s="7405"/>
      <c r="AQ27" s="7405"/>
      <c r="AR27" s="7405"/>
      <c r="AS27" s="6656"/>
      <c r="AT27" s="6608"/>
      <c r="AU27" s="6716"/>
      <c r="AV27" s="5356"/>
      <c r="AW27" s="5132"/>
      <c r="AX27" s="5132"/>
      <c r="AY27" s="5132"/>
      <c r="AZ27" s="5132"/>
    </row>
    <row r="28" spans="1:52" s="271" customFormat="1" ht="12.75" customHeight="1">
      <c r="A28" s="5348"/>
      <c r="B28" s="5348"/>
      <c r="C28" s="5348"/>
      <c r="D28" s="5348"/>
      <c r="E28" s="5356"/>
      <c r="F28" s="6562"/>
      <c r="G28" s="6598"/>
      <c r="H28" s="6599"/>
      <c r="I28" s="5133"/>
      <c r="J28" s="6062" t="s">
        <v>2215</v>
      </c>
      <c r="K28" s="6062"/>
      <c r="L28" s="6600"/>
      <c r="M28" s="6594"/>
      <c r="N28" s="6062"/>
      <c r="O28" s="6598"/>
      <c r="P28" s="6599"/>
      <c r="Q28" s="5133"/>
      <c r="R28" s="6594" t="s">
        <v>2153</v>
      </c>
      <c r="S28" s="6062"/>
      <c r="T28" s="6600"/>
      <c r="U28" s="6062"/>
      <c r="V28" s="6589"/>
      <c r="W28" s="6062"/>
      <c r="X28" s="6640"/>
      <c r="Y28" s="6607"/>
      <c r="Z28" s="6599"/>
      <c r="AA28" s="5133"/>
      <c r="AB28" s="6594" t="s">
        <v>2157</v>
      </c>
      <c r="AC28" s="6062"/>
      <c r="AD28" s="6645"/>
      <c r="AE28" s="6658"/>
      <c r="AF28" s="6062"/>
      <c r="AG28" s="6607"/>
      <c r="AH28" s="7405"/>
      <c r="AI28" s="7405"/>
      <c r="AJ28" s="7405"/>
      <c r="AK28" s="7405"/>
      <c r="AL28" s="6608"/>
      <c r="AM28" s="6658"/>
      <c r="AN28" s="5415"/>
      <c r="AO28" s="6607"/>
      <c r="AP28" s="7405"/>
      <c r="AQ28" s="7405"/>
      <c r="AR28" s="7405"/>
      <c r="AS28" s="6656"/>
      <c r="AT28" s="6608"/>
      <c r="AU28" s="6716"/>
      <c r="AV28" s="5356"/>
      <c r="AW28" s="5132"/>
      <c r="AX28" s="5132"/>
      <c r="AY28" s="5132"/>
      <c r="AZ28" s="5132"/>
    </row>
    <row r="29" spans="1:52" s="271" customFormat="1" ht="12.75" customHeight="1">
      <c r="A29" s="5348"/>
      <c r="B29" s="5348"/>
      <c r="C29" s="5348"/>
      <c r="D29" s="5348"/>
      <c r="E29" s="5356"/>
      <c r="F29" s="6562"/>
      <c r="G29" s="6598"/>
      <c r="H29" s="6599" t="s">
        <v>1984</v>
      </c>
      <c r="I29" s="6062" t="s">
        <v>2057</v>
      </c>
      <c r="J29" s="6062"/>
      <c r="K29" s="6062"/>
      <c r="L29" s="6600"/>
      <c r="M29" s="6594"/>
      <c r="N29" s="6062"/>
      <c r="O29" s="6598"/>
      <c r="P29" s="6599"/>
      <c r="Q29" s="5133"/>
      <c r="R29" s="7103" t="s">
        <v>2319</v>
      </c>
      <c r="S29" s="6062"/>
      <c r="T29" s="6600"/>
      <c r="U29" s="7405"/>
      <c r="V29" s="6589"/>
      <c r="W29" s="6062"/>
      <c r="X29" s="6640"/>
      <c r="Y29" s="6607"/>
      <c r="Z29" s="6599"/>
      <c r="AA29" s="5133"/>
      <c r="AB29" s="5133" t="s">
        <v>2280</v>
      </c>
      <c r="AC29" s="6062"/>
      <c r="AD29" s="6645"/>
      <c r="AE29" s="6658"/>
      <c r="AF29" s="6062"/>
      <c r="AG29" s="6607"/>
      <c r="AH29" s="7405"/>
      <c r="AI29" s="7405"/>
      <c r="AJ29" s="7405"/>
      <c r="AK29" s="7405"/>
      <c r="AL29" s="6608"/>
      <c r="AM29" s="6658"/>
      <c r="AN29" s="5415"/>
      <c r="AO29" s="6651" t="s">
        <v>1984</v>
      </c>
      <c r="AP29" s="6610" t="s">
        <v>1998</v>
      </c>
      <c r="AQ29" s="6610"/>
      <c r="AR29" s="6610"/>
      <c r="AS29" s="6652" t="s">
        <v>2014</v>
      </c>
      <c r="AT29" s="6749" t="s">
        <v>2015</v>
      </c>
      <c r="AU29" s="6716"/>
      <c r="AV29" s="5356"/>
      <c r="AW29" s="5132"/>
      <c r="AX29" s="5132"/>
      <c r="AY29" s="5132"/>
      <c r="AZ29" s="5132"/>
    </row>
    <row r="30" spans="1:52" s="271" customFormat="1" ht="12.75" customHeight="1">
      <c r="A30" s="5348"/>
      <c r="B30" s="5348"/>
      <c r="C30" s="5348"/>
      <c r="D30" s="5348"/>
      <c r="E30" s="5356"/>
      <c r="F30" s="6562"/>
      <c r="G30" s="6598"/>
      <c r="H30" s="6599" t="s">
        <v>1984</v>
      </c>
      <c r="I30" s="6062" t="s">
        <v>2154</v>
      </c>
      <c r="J30" s="6062"/>
      <c r="K30" s="6062"/>
      <c r="L30" s="6600"/>
      <c r="M30" s="6594"/>
      <c r="N30" s="6062"/>
      <c r="O30" s="6607"/>
      <c r="P30" s="7405"/>
      <c r="Q30" s="5133"/>
      <c r="R30" s="6594" t="s">
        <v>1387</v>
      </c>
      <c r="S30" s="7405"/>
      <c r="T30" s="6608"/>
      <c r="U30" s="7405"/>
      <c r="V30" s="6589"/>
      <c r="W30" s="6062"/>
      <c r="X30" s="6640"/>
      <c r="Y30" s="6598"/>
      <c r="Z30" s="6594"/>
      <c r="AA30" s="7405"/>
      <c r="AB30" s="7405" t="s">
        <v>1386</v>
      </c>
      <c r="AC30" s="7405"/>
      <c r="AD30" s="6657"/>
      <c r="AE30" s="6658"/>
      <c r="AF30" s="6062"/>
      <c r="AG30" s="6607"/>
      <c r="AH30" s="7405"/>
      <c r="AI30" s="7405"/>
      <c r="AJ30" s="7405"/>
      <c r="AK30" s="7405"/>
      <c r="AL30" s="6608"/>
      <c r="AM30" s="6658"/>
      <c r="AN30" s="5415"/>
      <c r="AO30" s="6646"/>
      <c r="AP30" s="5940"/>
      <c r="AQ30" s="7103" t="s">
        <v>2296</v>
      </c>
      <c r="AR30" s="6594"/>
      <c r="AS30" s="6647"/>
      <c r="AT30" s="6600"/>
      <c r="AU30" s="6716"/>
      <c r="AV30" s="5356"/>
      <c r="AW30" s="5132"/>
      <c r="AX30" s="5132"/>
      <c r="AY30" s="5132"/>
      <c r="AZ30" s="5132"/>
    </row>
    <row r="31" spans="1:52" s="271" customFormat="1" ht="12.75" customHeight="1">
      <c r="A31" s="5348"/>
      <c r="B31" s="5348"/>
      <c r="C31" s="5348"/>
      <c r="D31" s="5348"/>
      <c r="E31" s="5356"/>
      <c r="F31" s="6562"/>
      <c r="G31" s="6598"/>
      <c r="H31" s="6599"/>
      <c r="I31" s="5133"/>
      <c r="J31" s="6062" t="s">
        <v>877</v>
      </c>
      <c r="K31" s="6062"/>
      <c r="L31" s="6600"/>
      <c r="M31" s="6594"/>
      <c r="N31" s="6062"/>
      <c r="O31" s="6607"/>
      <c r="P31" s="6599"/>
      <c r="Q31" s="5133"/>
      <c r="R31" s="7103" t="s">
        <v>2320</v>
      </c>
      <c r="S31" s="7405"/>
      <c r="T31" s="6608"/>
      <c r="U31" s="7405"/>
      <c r="V31" s="6589"/>
      <c r="W31" s="6062"/>
      <c r="X31" s="6640"/>
      <c r="Y31" s="6607"/>
      <c r="Z31" s="6599"/>
      <c r="AA31" s="5415"/>
      <c r="AB31" s="5415" t="s">
        <v>2226</v>
      </c>
      <c r="AC31" s="7405"/>
      <c r="AD31" s="6608"/>
      <c r="AE31" s="6658"/>
      <c r="AF31" s="6062"/>
      <c r="AG31" s="6607"/>
      <c r="AH31" s="7405"/>
      <c r="AI31" s="7405"/>
      <c r="AJ31" s="7405"/>
      <c r="AK31" s="7405"/>
      <c r="AL31" s="6608"/>
      <c r="AM31" s="6658"/>
      <c r="AN31" s="5415"/>
      <c r="AO31" s="6646"/>
      <c r="AP31" s="5940"/>
      <c r="AQ31" s="7103" t="s">
        <v>2295</v>
      </c>
      <c r="AR31" s="6594"/>
      <c r="AS31" s="6647"/>
      <c r="AT31" s="6600"/>
      <c r="AU31" s="6716"/>
      <c r="AV31" s="5356"/>
      <c r="AW31" s="5132"/>
      <c r="AX31" s="5132"/>
      <c r="AY31" s="5132"/>
      <c r="AZ31" s="5132"/>
    </row>
    <row r="32" spans="1:52" s="271" customFormat="1" ht="12.75" customHeight="1">
      <c r="A32" s="5348"/>
      <c r="B32" s="5348"/>
      <c r="C32" s="5348"/>
      <c r="D32" s="5348"/>
      <c r="E32" s="5356"/>
      <c r="F32" s="6562"/>
      <c r="G32" s="6598"/>
      <c r="H32" s="6599"/>
      <c r="I32" s="5133"/>
      <c r="J32" s="6062" t="s">
        <v>2155</v>
      </c>
      <c r="K32" s="6062"/>
      <c r="L32" s="6600"/>
      <c r="M32" s="6594"/>
      <c r="N32" s="6062"/>
      <c r="O32" s="6607"/>
      <c r="P32" s="6599" t="s">
        <v>1984</v>
      </c>
      <c r="Q32" s="6594" t="s">
        <v>2052</v>
      </c>
      <c r="R32" s="6594"/>
      <c r="S32" s="7405"/>
      <c r="T32" s="6608"/>
      <c r="U32" s="7405"/>
      <c r="V32" s="6589"/>
      <c r="W32" s="6062"/>
      <c r="X32" s="6640"/>
      <c r="Y32" s="6607"/>
      <c r="Z32" s="6599"/>
      <c r="AA32" s="5133"/>
      <c r="AB32" s="5415" t="s">
        <v>2227</v>
      </c>
      <c r="AC32" s="6062"/>
      <c r="AD32" s="6645"/>
      <c r="AE32" s="6658"/>
      <c r="AF32" s="6062"/>
      <c r="AG32" s="6646"/>
      <c r="AH32" s="7103"/>
      <c r="AI32" s="7103"/>
      <c r="AJ32" s="6594"/>
      <c r="AK32" s="6062"/>
      <c r="AL32" s="7891"/>
      <c r="AM32" s="6658"/>
      <c r="AN32" s="5415"/>
      <c r="AO32" s="6607"/>
      <c r="AP32" s="5133"/>
      <c r="AQ32" s="5128" t="s">
        <v>1999</v>
      </c>
      <c r="AR32" s="6594" t="s">
        <v>2065</v>
      </c>
      <c r="AS32" s="6656"/>
      <c r="AT32" s="6608"/>
      <c r="AU32" s="6716"/>
      <c r="AV32" s="5356"/>
      <c r="AW32" s="5132"/>
      <c r="AX32" s="5132"/>
      <c r="AY32" s="5132"/>
      <c r="AZ32" s="5132"/>
    </row>
    <row r="33" spans="1:52" s="271" customFormat="1" ht="12.75" customHeight="1">
      <c r="A33" s="5348"/>
      <c r="B33" s="5348"/>
      <c r="C33" s="5348"/>
      <c r="D33" s="5348"/>
      <c r="E33" s="5356"/>
      <c r="F33" s="6562"/>
      <c r="G33" s="6598"/>
      <c r="H33" s="6599" t="s">
        <v>1984</v>
      </c>
      <c r="I33" s="6062" t="s">
        <v>2047</v>
      </c>
      <c r="J33" s="6062"/>
      <c r="K33" s="6062"/>
      <c r="L33" s="6600"/>
      <c r="M33" s="6594"/>
      <c r="N33" s="6062"/>
      <c r="O33" s="6607"/>
      <c r="P33" s="6599" t="s">
        <v>1984</v>
      </c>
      <c r="Q33" s="6594" t="s">
        <v>2058</v>
      </c>
      <c r="R33" s="6594"/>
      <c r="S33" s="7405"/>
      <c r="T33" s="6608"/>
      <c r="U33" s="7405"/>
      <c r="V33" s="6589"/>
      <c r="W33" s="6062"/>
      <c r="X33" s="6640"/>
      <c r="Y33" s="6607"/>
      <c r="Z33" s="6599"/>
      <c r="AA33" s="5133"/>
      <c r="AB33" s="7405" t="s">
        <v>2279</v>
      </c>
      <c r="AC33" s="6062"/>
      <c r="AD33" s="6654"/>
      <c r="AE33" s="6658"/>
      <c r="AF33" s="6062"/>
      <c r="AG33" s="6646"/>
      <c r="AH33" s="7103"/>
      <c r="AI33" s="7103"/>
      <c r="AJ33" s="6594"/>
      <c r="AK33" s="6062"/>
      <c r="AL33" s="7891"/>
      <c r="AM33" s="6658"/>
      <c r="AN33" s="5415"/>
      <c r="AO33" s="6646"/>
      <c r="AP33" s="6658"/>
      <c r="AQ33" s="5128" t="s">
        <v>1999</v>
      </c>
      <c r="AR33" s="7405" t="s">
        <v>2063</v>
      </c>
      <c r="AS33" s="6647"/>
      <c r="AT33" s="6600"/>
      <c r="AU33" s="6716"/>
      <c r="AV33" s="5356"/>
      <c r="AW33" s="5132"/>
      <c r="AX33" s="5132"/>
      <c r="AY33" s="5132"/>
      <c r="AZ33" s="5132"/>
    </row>
    <row r="34" spans="1:52" s="271" customFormat="1" ht="12.75" customHeight="1">
      <c r="A34" s="5348"/>
      <c r="B34" s="5348"/>
      <c r="C34" s="5348"/>
      <c r="D34" s="5348"/>
      <c r="E34" s="5356"/>
      <c r="F34" s="6562"/>
      <c r="G34" s="6598"/>
      <c r="H34" s="6599" t="s">
        <v>1984</v>
      </c>
      <c r="I34" s="6062" t="s">
        <v>2050</v>
      </c>
      <c r="J34" s="6594"/>
      <c r="K34" s="6062"/>
      <c r="L34" s="6600"/>
      <c r="M34" s="6594"/>
      <c r="N34" s="6062"/>
      <c r="O34" s="6609">
        <v>2</v>
      </c>
      <c r="P34" s="6610" t="s">
        <v>2222</v>
      </c>
      <c r="Q34" s="6611"/>
      <c r="R34" s="6611"/>
      <c r="S34" s="6611"/>
      <c r="T34" s="6612"/>
      <c r="U34" s="7405"/>
      <c r="V34" s="6589"/>
      <c r="W34" s="6062"/>
      <c r="X34" s="6640"/>
      <c r="Y34" s="6607"/>
      <c r="Z34" s="6599"/>
      <c r="AA34" s="5133"/>
      <c r="AB34" s="5133" t="s">
        <v>2062</v>
      </c>
      <c r="AC34" s="6062"/>
      <c r="AD34" s="6654"/>
      <c r="AE34" s="6658"/>
      <c r="AF34" s="6062"/>
      <c r="AG34" s="6646"/>
      <c r="AH34" s="7103"/>
      <c r="AI34" s="7103"/>
      <c r="AJ34" s="6594"/>
      <c r="AK34" s="6062"/>
      <c r="AL34" s="7891"/>
      <c r="AM34" s="6658"/>
      <c r="AN34" s="5415"/>
      <c r="AO34" s="6607"/>
      <c r="AP34" s="5940"/>
      <c r="AQ34" s="7405" t="s">
        <v>2321</v>
      </c>
      <c r="AS34" s="6656"/>
      <c r="AT34" s="6608"/>
      <c r="AU34" s="6716"/>
      <c r="AV34" s="5356"/>
      <c r="AW34" s="5132"/>
      <c r="AX34" s="5132"/>
      <c r="AY34" s="5132"/>
      <c r="AZ34" s="5132"/>
    </row>
    <row r="35" spans="1:52" s="271" customFormat="1" ht="12.75" customHeight="1">
      <c r="A35" s="5348"/>
      <c r="B35" s="5348"/>
      <c r="C35" s="5348"/>
      <c r="D35" s="5348"/>
      <c r="E35" s="5356"/>
      <c r="F35" s="6562"/>
      <c r="G35" s="6609">
        <f>1+G16</f>
        <v>3</v>
      </c>
      <c r="H35" s="6610" t="s">
        <v>2216</v>
      </c>
      <c r="I35" s="6613"/>
      <c r="J35" s="6610"/>
      <c r="K35" s="6613"/>
      <c r="L35" s="6605"/>
      <c r="M35" s="6594"/>
      <c r="N35" s="6062"/>
      <c r="O35" s="6598"/>
      <c r="P35" s="6599" t="s">
        <v>1984</v>
      </c>
      <c r="Q35" s="7103" t="s">
        <v>2286</v>
      </c>
      <c r="R35" s="6594"/>
      <c r="S35" s="7405"/>
      <c r="T35" s="6608"/>
      <c r="U35" s="7405"/>
      <c r="V35" s="6589"/>
      <c r="W35" s="6062"/>
      <c r="X35" s="6640"/>
      <c r="Y35" s="6607"/>
      <c r="Z35" s="6599"/>
      <c r="AA35" s="5133"/>
      <c r="AB35" s="5133" t="s">
        <v>2065</v>
      </c>
      <c r="AC35" s="6062"/>
      <c r="AD35" s="6654"/>
      <c r="AE35" s="6658"/>
      <c r="AF35" s="6062"/>
      <c r="AG35" s="6646"/>
      <c r="AH35" s="7103"/>
      <c r="AI35" s="7103"/>
      <c r="AJ35" s="6594"/>
      <c r="AK35" s="6062"/>
      <c r="AL35" s="7891"/>
      <c r="AM35" s="6658"/>
      <c r="AN35" s="5415"/>
      <c r="AO35" s="6607"/>
      <c r="AP35" s="7405"/>
      <c r="AQ35" s="7405"/>
      <c r="AR35" s="7405"/>
      <c r="AS35" s="6656"/>
      <c r="AT35" s="6608"/>
      <c r="AU35" s="6716"/>
      <c r="AV35" s="5356"/>
      <c r="AW35" s="5132"/>
      <c r="AX35" s="5132"/>
      <c r="AY35" s="5132"/>
      <c r="AZ35" s="5132"/>
    </row>
    <row r="36" spans="1:52" s="271" customFormat="1" ht="12.75" customHeight="1">
      <c r="A36" s="5348"/>
      <c r="B36" s="5348"/>
      <c r="C36" s="5348"/>
      <c r="D36" s="5348"/>
      <c r="E36" s="5356"/>
      <c r="F36" s="6562"/>
      <c r="G36" s="6598"/>
      <c r="H36" s="6599" t="s">
        <v>1984</v>
      </c>
      <c r="I36" s="6062" t="s">
        <v>2213</v>
      </c>
      <c r="J36" s="6594"/>
      <c r="K36" s="6062"/>
      <c r="L36" s="6600"/>
      <c r="M36" s="6594"/>
      <c r="N36" s="6062"/>
      <c r="O36" s="6607"/>
      <c r="P36" s="6599"/>
      <c r="Q36" s="7405"/>
      <c r="R36" s="7103" t="s">
        <v>2287</v>
      </c>
      <c r="S36" s="7405"/>
      <c r="T36" s="6608"/>
      <c r="U36" s="7405"/>
      <c r="V36" s="6589"/>
      <c r="W36" s="6062"/>
      <c r="X36" s="6640"/>
      <c r="Y36" s="6607"/>
      <c r="Z36" s="6599"/>
      <c r="AA36" s="5133"/>
      <c r="AB36" s="6062" t="s">
        <v>2063</v>
      </c>
      <c r="AC36" s="6062"/>
      <c r="AD36" s="6654"/>
      <c r="AE36" s="6658"/>
      <c r="AF36" s="6062"/>
      <c r="AG36" s="6646"/>
      <c r="AH36" s="7103"/>
      <c r="AI36" s="7103"/>
      <c r="AJ36" s="6594"/>
      <c r="AK36" s="6062"/>
      <c r="AL36" s="7891"/>
      <c r="AM36" s="6658"/>
      <c r="AN36" s="5415"/>
      <c r="AO36" s="6651" t="s">
        <v>1984</v>
      </c>
      <c r="AP36" s="6610" t="s">
        <v>1661</v>
      </c>
      <c r="AQ36" s="6610"/>
      <c r="AR36" s="6610"/>
      <c r="AS36" s="6652" t="s">
        <v>2018</v>
      </c>
      <c r="AT36" s="6659">
        <v>0</v>
      </c>
      <c r="AU36" s="6716"/>
      <c r="AV36" s="5356"/>
      <c r="AW36" s="5132"/>
      <c r="AX36" s="5132"/>
      <c r="AY36" s="5132"/>
      <c r="AZ36" s="5132"/>
    </row>
    <row r="37" spans="1:52" ht="12.75" customHeight="1">
      <c r="A37" s="5348"/>
      <c r="B37" s="5348"/>
      <c r="C37" s="5348"/>
      <c r="D37" s="5348"/>
      <c r="E37" s="5356"/>
      <c r="F37" s="6562"/>
      <c r="G37" s="6598"/>
      <c r="H37" s="6594"/>
      <c r="I37" s="6062"/>
      <c r="J37" s="6062" t="s">
        <v>2053</v>
      </c>
      <c r="K37" s="6062"/>
      <c r="L37" s="6600"/>
      <c r="M37" s="6594"/>
      <c r="N37" s="6062"/>
      <c r="O37" s="6607"/>
      <c r="P37" s="7405"/>
      <c r="Q37" s="7405"/>
      <c r="R37" s="7103" t="s">
        <v>2048</v>
      </c>
      <c r="S37" s="7405"/>
      <c r="T37" s="6608"/>
      <c r="U37" s="7405"/>
      <c r="V37" s="6589"/>
      <c r="W37" s="6062"/>
      <c r="X37" s="6640"/>
      <c r="Y37" s="6607"/>
      <c r="Z37" s="6599" t="s">
        <v>1984</v>
      </c>
      <c r="AA37" s="5133" t="s">
        <v>2276</v>
      </c>
      <c r="AB37" s="6062"/>
      <c r="AC37" s="6062"/>
      <c r="AD37" s="6600"/>
      <c r="AE37" s="6658"/>
      <c r="AF37" s="6062"/>
      <c r="AG37" s="6646"/>
      <c r="AH37" s="7103"/>
      <c r="AI37" s="7103"/>
      <c r="AJ37" s="6594"/>
      <c r="AK37" s="6062"/>
      <c r="AL37" s="7891"/>
      <c r="AM37" s="6658"/>
      <c r="AN37" s="5415"/>
      <c r="AO37" s="6607"/>
      <c r="AP37" s="9843" t="s">
        <v>2328</v>
      </c>
      <c r="AQ37" s="9843"/>
      <c r="AR37" s="9844"/>
      <c r="AS37" s="6656"/>
      <c r="AT37" s="6608"/>
      <c r="AU37" s="6716"/>
      <c r="AV37" s="5356"/>
    </row>
    <row r="38" spans="1:52" s="271" customFormat="1" ht="12.75" customHeight="1">
      <c r="A38" s="5348"/>
      <c r="B38" s="5348"/>
      <c r="C38" s="5348"/>
      <c r="D38" s="5348"/>
      <c r="E38" s="5356"/>
      <c r="F38" s="6562"/>
      <c r="G38" s="6598"/>
      <c r="H38" s="6594"/>
      <c r="I38" s="6062"/>
      <c r="J38" s="7405" t="s">
        <v>2281</v>
      </c>
      <c r="K38" s="6062"/>
      <c r="L38" s="6600"/>
      <c r="M38" s="6594"/>
      <c r="N38" s="6062"/>
      <c r="O38" s="6607"/>
      <c r="P38" s="6599" t="s">
        <v>1984</v>
      </c>
      <c r="Q38" s="7103" t="s">
        <v>2289</v>
      </c>
      <c r="R38" s="7405"/>
      <c r="S38" s="7405"/>
      <c r="T38" s="6608"/>
      <c r="U38" s="7405"/>
      <c r="V38" s="6589"/>
      <c r="W38" s="6062"/>
      <c r="X38" s="6640"/>
      <c r="Y38" s="6607"/>
      <c r="Z38" s="6599"/>
      <c r="AA38" s="5133"/>
      <c r="AB38" s="6594" t="s">
        <v>2159</v>
      </c>
      <c r="AC38" s="6062"/>
      <c r="AD38" s="6600"/>
      <c r="AE38" s="6658"/>
      <c r="AF38" s="6062"/>
      <c r="AG38" s="6646"/>
      <c r="AH38" s="7103"/>
      <c r="AI38" s="7103"/>
      <c r="AJ38" s="6594"/>
      <c r="AK38" s="6062"/>
      <c r="AL38" s="7891"/>
      <c r="AM38" s="6658"/>
      <c r="AN38" s="5415"/>
      <c r="AO38" s="6607"/>
      <c r="AP38" s="9843"/>
      <c r="AQ38" s="9843"/>
      <c r="AR38" s="9844"/>
      <c r="AS38" s="6656"/>
      <c r="AT38" s="6608"/>
      <c r="AU38" s="6716"/>
      <c r="AV38" s="5356"/>
      <c r="AW38" s="5132"/>
      <c r="AX38" s="5132"/>
      <c r="AY38" s="5132"/>
      <c r="AZ38" s="5132"/>
    </row>
    <row r="39" spans="1:52" s="271" customFormat="1" ht="12.75" customHeight="1">
      <c r="A39" s="5348"/>
      <c r="B39" s="5348"/>
      <c r="C39" s="5348"/>
      <c r="D39" s="5348"/>
      <c r="E39" s="5356"/>
      <c r="F39" s="6562"/>
      <c r="G39" s="6598"/>
      <c r="H39" s="6599"/>
      <c r="I39" s="7405"/>
      <c r="J39" s="6062" t="s">
        <v>2156</v>
      </c>
      <c r="K39" s="6062"/>
      <c r="L39" s="6600"/>
      <c r="M39" s="6594"/>
      <c r="N39" s="6062"/>
      <c r="O39" s="6607"/>
      <c r="P39" s="6599"/>
      <c r="Q39" s="7405"/>
      <c r="R39" s="7405" t="s">
        <v>2290</v>
      </c>
      <c r="S39" s="7405"/>
      <c r="T39" s="6608"/>
      <c r="U39" s="7405"/>
      <c r="V39" s="6589"/>
      <c r="W39" s="6062"/>
      <c r="X39" s="6640"/>
      <c r="Y39" s="6607"/>
      <c r="Z39" s="6599"/>
      <c r="AA39" s="5133"/>
      <c r="AB39" s="6594" t="s">
        <v>2005</v>
      </c>
      <c r="AC39" s="6062"/>
      <c r="AD39" s="6600"/>
      <c r="AE39" s="6658"/>
      <c r="AF39" s="6062"/>
      <c r="AG39" s="6646"/>
      <c r="AH39" s="6594"/>
      <c r="AI39" s="6594"/>
      <c r="AJ39" s="6594"/>
      <c r="AK39" s="6062"/>
      <c r="AL39" s="7891"/>
      <c r="AM39" s="6658"/>
      <c r="AN39" s="5415"/>
      <c r="AO39" s="6607"/>
      <c r="AP39" s="7405"/>
      <c r="AQ39" s="7405"/>
      <c r="AR39" s="7405"/>
      <c r="AS39" s="6660"/>
      <c r="AT39" s="6608"/>
      <c r="AU39" s="6716"/>
      <c r="AV39" s="5356"/>
      <c r="AW39" s="5132"/>
      <c r="AX39" s="5132"/>
      <c r="AY39" s="5132"/>
      <c r="AZ39" s="5132"/>
    </row>
    <row r="40" spans="1:52" s="271" customFormat="1" ht="12.75" customHeight="1">
      <c r="A40" s="5348"/>
      <c r="B40" s="5348"/>
      <c r="C40" s="5348"/>
      <c r="D40" s="5348"/>
      <c r="E40" s="5356"/>
      <c r="F40" s="6562"/>
      <c r="G40" s="6598"/>
      <c r="H40" s="6599" t="s">
        <v>1984</v>
      </c>
      <c r="I40" s="6062" t="s">
        <v>1985</v>
      </c>
      <c r="J40" s="6594"/>
      <c r="K40" s="6062"/>
      <c r="L40" s="6600"/>
      <c r="M40" s="6594"/>
      <c r="N40" s="6062"/>
      <c r="O40" s="6607"/>
      <c r="P40" s="7405"/>
      <c r="Q40" s="7405"/>
      <c r="R40" s="7103" t="s">
        <v>2288</v>
      </c>
      <c r="S40" s="7405"/>
      <c r="T40" s="6608"/>
      <c r="U40" s="7405"/>
      <c r="V40" s="6589"/>
      <c r="W40" s="6062"/>
      <c r="X40" s="6640"/>
      <c r="Y40" s="6607"/>
      <c r="Z40" s="7405"/>
      <c r="AA40" s="5133"/>
      <c r="AB40" s="6594" t="s">
        <v>2160</v>
      </c>
      <c r="AC40" s="7405"/>
      <c r="AD40" s="6608"/>
      <c r="AE40" s="6658"/>
      <c r="AF40" s="6062"/>
      <c r="AG40" s="6646"/>
      <c r="AH40" s="6594"/>
      <c r="AI40" s="6594"/>
      <c r="AJ40" s="6594"/>
      <c r="AK40" s="6062"/>
      <c r="AL40" s="7891"/>
      <c r="AM40" s="6658"/>
      <c r="AN40" s="5415"/>
      <c r="AO40" s="6607"/>
      <c r="AP40" s="7405"/>
      <c r="AQ40" s="7405"/>
      <c r="AR40" s="7405"/>
      <c r="AS40" s="6660"/>
      <c r="AT40" s="6608"/>
      <c r="AU40" s="6716"/>
      <c r="AV40" s="5356"/>
      <c r="AW40" s="5132"/>
      <c r="AX40" s="5132"/>
      <c r="AY40" s="5132"/>
      <c r="AZ40" s="5132"/>
    </row>
    <row r="41" spans="1:52" s="271" customFormat="1" ht="12.75" customHeight="1">
      <c r="A41" s="5348"/>
      <c r="B41" s="5348"/>
      <c r="C41" s="5348"/>
      <c r="D41" s="5348"/>
      <c r="E41" s="5356"/>
      <c r="F41" s="6562"/>
      <c r="G41" s="6598"/>
      <c r="H41" s="6599" t="s">
        <v>1984</v>
      </c>
      <c r="I41" s="6062" t="s">
        <v>874</v>
      </c>
      <c r="J41" s="6594"/>
      <c r="K41" s="6062"/>
      <c r="L41" s="6600"/>
      <c r="M41" s="6594"/>
      <c r="N41" s="6062"/>
      <c r="O41" s="6607"/>
      <c r="P41" s="6599" t="s">
        <v>1984</v>
      </c>
      <c r="Q41" s="7103" t="s">
        <v>2323</v>
      </c>
      <c r="R41" s="7405"/>
      <c r="S41" s="7405"/>
      <c r="T41" s="6608"/>
      <c r="U41" s="7405"/>
      <c r="V41" s="6589"/>
      <c r="W41" s="6062"/>
      <c r="X41" s="6640"/>
      <c r="Y41" s="6601">
        <v>3</v>
      </c>
      <c r="Z41" s="6602" t="s">
        <v>2000</v>
      </c>
      <c r="AA41" s="6661"/>
      <c r="AB41" s="6602"/>
      <c r="AC41" s="6602"/>
      <c r="AD41" s="6662" t="s">
        <v>2269</v>
      </c>
      <c r="AE41" s="6658"/>
      <c r="AF41" s="6062"/>
      <c r="AG41" s="6646"/>
      <c r="AH41" s="6594"/>
      <c r="AI41" s="6594"/>
      <c r="AJ41" s="6594"/>
      <c r="AK41" s="6062"/>
      <c r="AL41" s="7891"/>
      <c r="AM41" s="6658"/>
      <c r="AN41" s="5415"/>
      <c r="AO41" s="6607"/>
      <c r="AP41" s="7405"/>
      <c r="AQ41" s="7405"/>
      <c r="AR41" s="7405"/>
      <c r="AS41" s="6660"/>
      <c r="AT41" s="6608"/>
      <c r="AU41" s="6716"/>
      <c r="AV41" s="5356"/>
      <c r="AW41" s="5132"/>
      <c r="AX41" s="5132"/>
      <c r="AY41" s="5132"/>
      <c r="AZ41" s="5132"/>
    </row>
    <row r="42" spans="1:52" s="271" customFormat="1" ht="12.75" customHeight="1">
      <c r="A42" s="5348"/>
      <c r="B42" s="5348"/>
      <c r="C42" s="5348"/>
      <c r="D42" s="5348"/>
      <c r="E42" s="5356"/>
      <c r="F42" s="6562"/>
      <c r="G42" s="6609">
        <f>1+G35</f>
        <v>4</v>
      </c>
      <c r="H42" s="6610" t="s">
        <v>2214</v>
      </c>
      <c r="I42" s="6613"/>
      <c r="J42" s="6610"/>
      <c r="K42" s="6613"/>
      <c r="L42" s="6605"/>
      <c r="M42" s="6594"/>
      <c r="N42" s="6062"/>
      <c r="O42" s="6609">
        <v>3</v>
      </c>
      <c r="P42" s="6611" t="s">
        <v>2165</v>
      </c>
      <c r="Q42" s="6611"/>
      <c r="R42" s="6611"/>
      <c r="S42" s="6613"/>
      <c r="T42" s="6605"/>
      <c r="U42" s="7405"/>
      <c r="V42" s="6589"/>
      <c r="W42" s="6062"/>
      <c r="X42" s="6640"/>
      <c r="Y42" s="6595"/>
      <c r="Z42" s="6614"/>
      <c r="AA42" s="6617"/>
      <c r="AB42" s="6617"/>
      <c r="AC42" s="6617"/>
      <c r="AD42" s="6663"/>
      <c r="AE42" s="6658"/>
      <c r="AF42" s="6062"/>
      <c r="AG42" s="6646"/>
      <c r="AH42" s="6594"/>
      <c r="AI42" s="6594"/>
      <c r="AJ42" s="6594"/>
      <c r="AK42" s="6062"/>
      <c r="AL42" s="7891"/>
      <c r="AM42" s="6658"/>
      <c r="AN42" s="5415"/>
      <c r="AO42" s="6607"/>
      <c r="AP42" s="7405"/>
      <c r="AQ42" s="7405"/>
      <c r="AR42" s="7405"/>
      <c r="AS42" s="6660"/>
      <c r="AT42" s="6608"/>
      <c r="AU42" s="6716"/>
      <c r="AV42" s="5356"/>
      <c r="AW42" s="5132"/>
      <c r="AX42" s="5132"/>
      <c r="AY42" s="5132"/>
      <c r="AZ42" s="5132"/>
    </row>
    <row r="43" spans="1:52" s="271" customFormat="1" ht="12.75" customHeight="1">
      <c r="A43" s="5348"/>
      <c r="B43" s="5348"/>
      <c r="C43" s="5348"/>
      <c r="D43" s="5348"/>
      <c r="E43" s="5356"/>
      <c r="F43" s="6562"/>
      <c r="G43" s="6607"/>
      <c r="H43" s="6599" t="s">
        <v>1984</v>
      </c>
      <c r="I43" s="6062" t="s">
        <v>2211</v>
      </c>
      <c r="J43" s="6594"/>
      <c r="K43" s="7405"/>
      <c r="L43" s="6608"/>
      <c r="M43" s="6594"/>
      <c r="N43" s="6062"/>
      <c r="O43" s="6598"/>
      <c r="P43" s="6599" t="s">
        <v>1984</v>
      </c>
      <c r="Q43" s="6594" t="s">
        <v>1997</v>
      </c>
      <c r="R43" s="6594"/>
      <c r="S43" s="6062"/>
      <c r="T43" s="6600"/>
      <c r="U43" s="7405"/>
      <c r="V43" s="6589"/>
      <c r="W43" s="6062"/>
      <c r="X43" s="6640"/>
      <c r="Y43" s="6607"/>
      <c r="Z43" s="7405"/>
      <c r="AA43" s="7405"/>
      <c r="AB43" s="7405"/>
      <c r="AC43" s="7405"/>
      <c r="AD43" s="6608"/>
      <c r="AE43" s="6658"/>
      <c r="AF43" s="6062"/>
      <c r="AG43" s="6646"/>
      <c r="AH43" s="6594"/>
      <c r="AI43" s="6594"/>
      <c r="AJ43" s="6594"/>
      <c r="AK43" s="6062"/>
      <c r="AL43" s="7891"/>
      <c r="AM43" s="6658"/>
      <c r="AN43" s="5415"/>
      <c r="AO43" s="6651" t="s">
        <v>1984</v>
      </c>
      <c r="AP43" s="6610" t="s">
        <v>2016</v>
      </c>
      <c r="AQ43" s="6610"/>
      <c r="AR43" s="6610"/>
      <c r="AS43" s="6652" t="s">
        <v>556</v>
      </c>
      <c r="AT43" s="6659">
        <v>0</v>
      </c>
      <c r="AU43" s="6716"/>
      <c r="AV43" s="5356"/>
      <c r="AW43" s="5132"/>
      <c r="AX43" s="5132"/>
      <c r="AY43" s="5132"/>
      <c r="AZ43" s="5132"/>
    </row>
    <row r="44" spans="1:52" s="271" customFormat="1" ht="12.75" customHeight="1">
      <c r="A44" s="5348"/>
      <c r="B44" s="5348"/>
      <c r="C44" s="5348"/>
      <c r="D44" s="5348"/>
      <c r="E44" s="5356"/>
      <c r="F44" s="6562"/>
      <c r="G44" s="6607"/>
      <c r="H44" s="7405"/>
      <c r="I44" s="7405"/>
      <c r="J44" s="6062" t="s">
        <v>2054</v>
      </c>
      <c r="K44" s="7405"/>
      <c r="L44" s="6608"/>
      <c r="M44" s="6594"/>
      <c r="N44" s="6062"/>
      <c r="O44" s="6598"/>
      <c r="P44" s="6599" t="s">
        <v>1984</v>
      </c>
      <c r="Q44" s="6594" t="s">
        <v>2166</v>
      </c>
      <c r="R44" s="6594"/>
      <c r="S44" s="6062"/>
      <c r="T44" s="6600"/>
      <c r="U44" s="7405"/>
      <c r="V44" s="6589"/>
      <c r="W44" s="6062"/>
      <c r="X44" s="6640"/>
      <c r="Y44" s="6607"/>
      <c r="Z44" s="7405"/>
      <c r="AA44" s="7405"/>
      <c r="AB44" s="7405"/>
      <c r="AC44" s="7405"/>
      <c r="AD44" s="6608"/>
      <c r="AE44" s="6658"/>
      <c r="AF44" s="6062"/>
      <c r="AG44" s="6646"/>
      <c r="AH44" s="6594"/>
      <c r="AI44" s="6594"/>
      <c r="AJ44" s="6594"/>
      <c r="AK44" s="6062"/>
      <c r="AL44" s="6600"/>
      <c r="AM44" s="6658"/>
      <c r="AN44" s="5415"/>
      <c r="AO44" s="6664"/>
      <c r="AP44" s="6658" t="s">
        <v>1999</v>
      </c>
      <c r="AQ44" s="5415" t="s">
        <v>2241</v>
      </c>
      <c r="AR44" s="5415"/>
      <c r="AS44" s="6647"/>
      <c r="AT44" s="6665"/>
      <c r="AU44" s="6716"/>
      <c r="AV44" s="5356"/>
      <c r="AW44" s="5132"/>
      <c r="AX44" s="5132"/>
      <c r="AY44" s="5132"/>
      <c r="AZ44" s="5132"/>
    </row>
    <row r="45" spans="1:52" s="271" customFormat="1" ht="12.75" customHeight="1">
      <c r="A45" s="5348"/>
      <c r="B45" s="5348"/>
      <c r="C45" s="5348"/>
      <c r="D45" s="5348"/>
      <c r="E45" s="5356"/>
      <c r="F45" s="6562"/>
      <c r="G45" s="6607"/>
      <c r="H45" s="7405"/>
      <c r="I45" s="7405"/>
      <c r="J45" s="7405" t="s">
        <v>2282</v>
      </c>
      <c r="K45" s="6062"/>
      <c r="L45" s="6600"/>
      <c r="M45" s="6594"/>
      <c r="N45" s="6062"/>
      <c r="O45" s="6598"/>
      <c r="P45" s="6599" t="s">
        <v>1984</v>
      </c>
      <c r="Q45" s="6594" t="s">
        <v>2225</v>
      </c>
      <c r="R45" s="6594"/>
      <c r="S45" s="6062"/>
      <c r="T45" s="6600"/>
      <c r="U45" s="7405"/>
      <c r="V45" s="6589"/>
      <c r="W45" s="6062"/>
      <c r="X45" s="6640"/>
      <c r="Y45" s="6607"/>
      <c r="Z45" s="7405"/>
      <c r="AA45" s="7405"/>
      <c r="AB45" s="7405"/>
      <c r="AC45" s="7405"/>
      <c r="AD45" s="6608"/>
      <c r="AE45" s="6658"/>
      <c r="AF45" s="6062"/>
      <c r="AG45" s="6646"/>
      <c r="AH45" s="6594"/>
      <c r="AI45" s="6594"/>
      <c r="AJ45" s="6594"/>
      <c r="AK45" s="6062"/>
      <c r="AL45" s="6600"/>
      <c r="AM45" s="6658"/>
      <c r="AN45" s="5415"/>
      <c r="AO45" s="6607"/>
      <c r="AP45" s="7405"/>
      <c r="AQ45" s="7405"/>
      <c r="AR45" s="7405"/>
      <c r="AS45" s="6660"/>
      <c r="AT45" s="6608"/>
      <c r="AU45" s="6716"/>
      <c r="AV45" s="5356"/>
      <c r="AW45" s="5132"/>
      <c r="AX45" s="5132"/>
      <c r="AY45" s="5132"/>
      <c r="AZ45" s="5132"/>
    </row>
    <row r="46" spans="1:52" ht="12.75" customHeight="1">
      <c r="A46" s="5348"/>
      <c r="B46" s="5348"/>
      <c r="C46" s="5348"/>
      <c r="D46" s="5348"/>
      <c r="E46" s="5356"/>
      <c r="F46" s="6562"/>
      <c r="G46" s="6598"/>
      <c r="H46" s="6599" t="s">
        <v>1984</v>
      </c>
      <c r="I46" s="6062" t="s">
        <v>2212</v>
      </c>
      <c r="J46" s="6594"/>
      <c r="K46" s="6062"/>
      <c r="L46" s="6600"/>
      <c r="M46" s="6594"/>
      <c r="N46" s="6062"/>
      <c r="O46" s="6598"/>
      <c r="P46" s="6599" t="s">
        <v>1984</v>
      </c>
      <c r="Q46" s="6594" t="s">
        <v>2220</v>
      </c>
      <c r="R46" s="7405"/>
      <c r="S46" s="6062"/>
      <c r="T46" s="6600"/>
      <c r="U46" s="7405"/>
      <c r="V46" s="6589"/>
      <c r="W46" s="6062"/>
      <c r="X46" s="6640"/>
      <c r="Y46" s="6607"/>
      <c r="Z46" s="7405"/>
      <c r="AA46" s="7405"/>
      <c r="AB46" s="7405"/>
      <c r="AC46" s="7405"/>
      <c r="AD46" s="6608"/>
      <c r="AE46" s="6658"/>
      <c r="AF46" s="6062"/>
      <c r="AG46" s="6646"/>
      <c r="AH46" s="6594"/>
      <c r="AI46" s="6594"/>
      <c r="AJ46" s="6594"/>
      <c r="AK46" s="6062"/>
      <c r="AL46" s="6600"/>
      <c r="AM46" s="6658"/>
      <c r="AN46" s="5415"/>
      <c r="AO46" s="6646" t="s">
        <v>1984</v>
      </c>
      <c r="AP46" s="5415" t="s">
        <v>2017</v>
      </c>
      <c r="AQ46" s="5939"/>
      <c r="AR46" s="5939"/>
      <c r="AS46" s="6647"/>
      <c r="AT46" s="6665"/>
      <c r="AU46" s="6716"/>
      <c r="AV46" s="5356"/>
    </row>
    <row r="47" spans="1:52" s="271" customFormat="1" ht="12.75" customHeight="1">
      <c r="A47" s="5348"/>
      <c r="B47" s="5348"/>
      <c r="C47" s="5348"/>
      <c r="D47" s="5348"/>
      <c r="E47" s="5356"/>
      <c r="F47" s="6562"/>
      <c r="G47" s="6609">
        <f>1+G42</f>
        <v>5</v>
      </c>
      <c r="H47" s="6610" t="s">
        <v>2217</v>
      </c>
      <c r="I47" s="6611"/>
      <c r="J47" s="6611"/>
      <c r="K47" s="6613"/>
      <c r="L47" s="6605"/>
      <c r="N47" s="6062"/>
      <c r="O47" s="6598"/>
      <c r="P47" s="6599" t="s">
        <v>1984</v>
      </c>
      <c r="Q47" s="6594" t="s">
        <v>2223</v>
      </c>
      <c r="R47" s="7405"/>
      <c r="S47" s="6062"/>
      <c r="T47" s="6600"/>
      <c r="U47" s="6062"/>
      <c r="V47" s="6589"/>
      <c r="W47" s="6062"/>
      <c r="X47" s="6640"/>
      <c r="Y47" s="6607"/>
      <c r="Z47" s="7405"/>
      <c r="AA47" s="7405"/>
      <c r="AB47" s="7405"/>
      <c r="AC47" s="7405"/>
      <c r="AD47" s="6608"/>
      <c r="AE47" s="6658"/>
      <c r="AF47" s="6062"/>
      <c r="AG47" s="6646"/>
      <c r="AH47" s="6594"/>
      <c r="AI47" s="6594"/>
      <c r="AJ47" s="6594"/>
      <c r="AK47" s="6062"/>
      <c r="AL47" s="6600"/>
      <c r="AM47" s="6658"/>
      <c r="AN47" s="5415"/>
      <c r="AO47" s="6646"/>
      <c r="AP47" s="6594"/>
      <c r="AQ47" s="6594"/>
      <c r="AR47" s="6594"/>
      <c r="AS47" s="6666"/>
      <c r="AT47" s="6600"/>
      <c r="AU47" s="6716"/>
      <c r="AV47" s="5356"/>
      <c r="AW47" s="5132"/>
      <c r="AX47" s="5132"/>
      <c r="AY47" s="5132"/>
      <c r="AZ47" s="5132"/>
    </row>
    <row r="48" spans="1:52" s="271" customFormat="1" ht="12.75" customHeight="1">
      <c r="A48" s="5348"/>
      <c r="B48" s="5348"/>
      <c r="C48" s="5348"/>
      <c r="D48" s="5348"/>
      <c r="E48" s="5356"/>
      <c r="F48" s="6562"/>
      <c r="G48" s="6598"/>
      <c r="H48" s="6599" t="s">
        <v>1984</v>
      </c>
      <c r="I48" s="6062" t="s">
        <v>2218</v>
      </c>
      <c r="J48" s="6594"/>
      <c r="K48" s="6062"/>
      <c r="L48" s="6600"/>
      <c r="M48" s="6594"/>
      <c r="N48" s="6062"/>
      <c r="O48" s="6616"/>
      <c r="P48" s="6614"/>
      <c r="Q48" s="6617"/>
      <c r="R48" s="6615"/>
      <c r="S48" s="6617"/>
      <c r="T48" s="6618"/>
      <c r="U48" s="6062"/>
      <c r="V48" s="6589"/>
      <c r="W48" s="6062"/>
      <c r="X48" s="6640"/>
      <c r="Y48" s="6607"/>
      <c r="Z48" s="7405"/>
      <c r="AA48" s="7405"/>
      <c r="AB48" s="7405"/>
      <c r="AC48" s="7405"/>
      <c r="AD48" s="6608"/>
      <c r="AE48" s="6658"/>
      <c r="AF48" s="6062"/>
      <c r="AG48" s="6646"/>
      <c r="AH48" s="6594"/>
      <c r="AI48" s="6594"/>
      <c r="AJ48" s="6594"/>
      <c r="AK48" s="6062"/>
      <c r="AL48" s="6600"/>
      <c r="AM48" s="6658"/>
      <c r="AN48" s="5415"/>
      <c r="AO48" s="6607"/>
      <c r="AP48" s="7405"/>
      <c r="AQ48" s="7405"/>
      <c r="AR48" s="7405"/>
      <c r="AS48" s="6660"/>
      <c r="AT48" s="6608"/>
      <c r="AU48" s="6716"/>
      <c r="AV48" s="5356"/>
      <c r="AW48" s="5132"/>
      <c r="AX48" s="5132"/>
      <c r="AY48" s="5132"/>
      <c r="AZ48" s="5132"/>
    </row>
    <row r="49" spans="1:52" s="271" customFormat="1" ht="12.75" customHeight="1">
      <c r="A49" s="5348"/>
      <c r="B49" s="5348"/>
      <c r="C49" s="5348"/>
      <c r="D49" s="5348"/>
      <c r="E49" s="5356"/>
      <c r="F49" s="6562"/>
      <c r="G49" s="6598"/>
      <c r="H49" s="6599" t="s">
        <v>1984</v>
      </c>
      <c r="I49" s="5121" t="s">
        <v>2219</v>
      </c>
      <c r="J49" s="6062"/>
      <c r="K49" s="6062"/>
      <c r="L49" s="6600"/>
      <c r="M49" s="6702">
        <f>+F87</f>
        <v>4</v>
      </c>
      <c r="N49" s="6062"/>
      <c r="O49" s="6607"/>
      <c r="P49" s="7405"/>
      <c r="Q49" s="7405"/>
      <c r="R49" s="7405"/>
      <c r="S49" s="7405"/>
      <c r="T49" s="6608"/>
      <c r="U49" s="6062"/>
      <c r="V49" s="6589"/>
      <c r="W49" s="6062"/>
      <c r="X49" s="6640"/>
      <c r="Y49" s="6607"/>
      <c r="Z49" s="7405"/>
      <c r="AA49" s="7405"/>
      <c r="AB49" s="7405"/>
      <c r="AC49" s="7405"/>
      <c r="AD49" s="6608"/>
      <c r="AE49" s="6658"/>
      <c r="AF49" s="6062"/>
      <c r="AG49" s="6646"/>
      <c r="AH49" s="6594"/>
      <c r="AI49" s="6594"/>
      <c r="AJ49" s="6594"/>
      <c r="AK49" s="6062"/>
      <c r="AL49" s="6600"/>
      <c r="AM49" s="6658"/>
      <c r="AN49" s="5415"/>
      <c r="AO49" s="6607"/>
      <c r="AP49" s="7405"/>
      <c r="AQ49" s="7405"/>
      <c r="AR49" s="7405"/>
      <c r="AS49" s="6660"/>
      <c r="AT49" s="6608"/>
      <c r="AU49" s="6716"/>
      <c r="AV49" s="5356"/>
      <c r="AW49" s="5132"/>
      <c r="AX49" s="5132"/>
      <c r="AY49" s="5132"/>
      <c r="AZ49" s="5132"/>
    </row>
    <row r="50" spans="1:52" s="2" customFormat="1" ht="12.75" customHeight="1" thickBot="1">
      <c r="A50" s="5349"/>
      <c r="B50" s="5349"/>
      <c r="C50" s="5349"/>
      <c r="D50" s="5349"/>
      <c r="E50" s="5357"/>
      <c r="F50" s="6640"/>
      <c r="G50" s="6598"/>
      <c r="H50" s="6599" t="s">
        <v>1984</v>
      </c>
      <c r="I50" s="6062" t="s">
        <v>2169</v>
      </c>
      <c r="J50" s="5121"/>
      <c r="K50" s="6062"/>
      <c r="L50" s="6600"/>
      <c r="M50" s="5131"/>
      <c r="N50" s="6062"/>
      <c r="O50" s="6703"/>
      <c r="P50" s="5121"/>
      <c r="Q50" s="5121"/>
      <c r="R50" s="5121"/>
      <c r="S50" s="5121"/>
      <c r="T50" s="6704"/>
      <c r="U50" s="6062"/>
      <c r="V50" s="6589"/>
      <c r="W50" s="6062"/>
      <c r="X50" s="6640"/>
      <c r="Y50" s="6703"/>
      <c r="Z50" s="5121"/>
      <c r="AA50" s="5121"/>
      <c r="AB50" s="5121"/>
      <c r="AC50" s="5121"/>
      <c r="AD50" s="6704"/>
      <c r="AE50" s="6658"/>
      <c r="AF50" s="6062"/>
      <c r="AG50" s="6646"/>
      <c r="AH50" s="6594"/>
      <c r="AI50" s="6594"/>
      <c r="AJ50" s="6594"/>
      <c r="AK50" s="6062"/>
      <c r="AL50" s="6600"/>
      <c r="AM50" s="6658"/>
      <c r="AN50" s="6062"/>
      <c r="AO50" s="6646"/>
      <c r="AP50" s="6594"/>
      <c r="AQ50" s="6594"/>
      <c r="AR50" s="6594"/>
      <c r="AS50" s="6666"/>
      <c r="AT50" s="6600"/>
      <c r="AU50" s="6717"/>
      <c r="AV50" s="5357"/>
      <c r="AW50" s="5134"/>
      <c r="AX50" s="5134"/>
      <c r="AY50" s="5134"/>
      <c r="AZ50" s="5134"/>
    </row>
    <row r="51" spans="1:52" s="271" customFormat="1" ht="12.75" customHeight="1" thickBot="1">
      <c r="A51" s="5348"/>
      <c r="B51" s="5348"/>
      <c r="C51" s="5348"/>
      <c r="D51" s="5348"/>
      <c r="E51" s="5356"/>
      <c r="F51" s="6562"/>
      <c r="G51" s="6595"/>
      <c r="H51" s="6596"/>
      <c r="I51" s="6596"/>
      <c r="J51" s="6596"/>
      <c r="K51" s="6596"/>
      <c r="L51" s="6597"/>
      <c r="M51" s="5133"/>
      <c r="N51" s="6062"/>
      <c r="O51" s="6607"/>
      <c r="P51" s="7405"/>
      <c r="Q51" s="7405"/>
      <c r="R51" s="7405"/>
      <c r="S51" s="7405"/>
      <c r="T51" s="6608"/>
      <c r="U51" s="6062"/>
      <c r="V51" s="6589"/>
      <c r="W51" s="6062"/>
      <c r="X51" s="6640"/>
      <c r="Y51" s="6607"/>
      <c r="Z51" s="7405"/>
      <c r="AA51" s="7405"/>
      <c r="AB51" s="7405"/>
      <c r="AC51" s="7405"/>
      <c r="AD51" s="6608"/>
      <c r="AE51" s="6658"/>
      <c r="AF51" s="6062"/>
      <c r="AG51" s="6646"/>
      <c r="AH51" s="6594"/>
      <c r="AI51" s="6594"/>
      <c r="AJ51" s="6594"/>
      <c r="AK51" s="6062"/>
      <c r="AL51" s="6600"/>
      <c r="AM51" s="6658"/>
      <c r="AN51" s="5415"/>
      <c r="AO51" s="6646"/>
      <c r="AP51" s="6594"/>
      <c r="AQ51" s="6594"/>
      <c r="AR51" s="6594"/>
      <c r="AS51" s="6666"/>
      <c r="AT51" s="6600"/>
      <c r="AU51" s="6716"/>
      <c r="AV51" s="5356"/>
      <c r="AW51" s="5132"/>
      <c r="AX51" s="5132"/>
      <c r="AY51" s="5132"/>
      <c r="AZ51" s="5132"/>
    </row>
    <row r="52" spans="1:52" s="271" customFormat="1">
      <c r="A52" s="5348"/>
      <c r="B52" s="5348"/>
      <c r="C52" s="5348"/>
      <c r="D52" s="5348"/>
      <c r="E52" s="5356"/>
      <c r="F52" s="6562"/>
      <c r="G52" s="6701" t="s">
        <v>2396</v>
      </c>
      <c r="H52" s="6619"/>
      <c r="I52" s="6619"/>
      <c r="J52" s="6619"/>
      <c r="K52" s="6887"/>
      <c r="L52" s="6620"/>
      <c r="M52" s="6594"/>
      <c r="N52" s="6062"/>
      <c r="O52" s="6701" t="s">
        <v>2395</v>
      </c>
      <c r="P52" s="6619"/>
      <c r="Q52" s="6619"/>
      <c r="R52" s="6619"/>
      <c r="S52" s="6886" t="s">
        <v>2393</v>
      </c>
      <c r="T52" s="6621"/>
      <c r="U52" s="6622"/>
      <c r="V52" s="6589"/>
      <c r="W52" s="6062"/>
      <c r="X52" s="6640"/>
      <c r="Y52" s="6701" t="s">
        <v>2394</v>
      </c>
      <c r="Z52" s="6619"/>
      <c r="AA52" s="6619"/>
      <c r="AB52" s="6619"/>
      <c r="AC52" s="6619"/>
      <c r="AD52" s="6621"/>
      <c r="AE52" s="6658"/>
      <c r="AF52" s="6062"/>
      <c r="AG52" s="6646"/>
      <c r="AH52" s="6594"/>
      <c r="AI52" s="6594"/>
      <c r="AJ52" s="6594"/>
      <c r="AK52" s="6062"/>
      <c r="AL52" s="6600"/>
      <c r="AM52" s="6658"/>
      <c r="AN52" s="5415"/>
      <c r="AO52" s="6646"/>
      <c r="AP52" s="6594"/>
      <c r="AQ52" s="6594"/>
      <c r="AR52" s="6594"/>
      <c r="AS52" s="6666"/>
      <c r="AT52" s="6600"/>
      <c r="AU52" s="6716"/>
      <c r="AV52" s="5356"/>
      <c r="AW52" s="5132"/>
      <c r="AX52" s="5132"/>
      <c r="AY52" s="5132"/>
      <c r="AZ52" s="5132"/>
    </row>
    <row r="53" spans="1:52" s="271" customFormat="1">
      <c r="A53" s="5348"/>
      <c r="B53" s="5348"/>
      <c r="C53" s="5348"/>
      <c r="D53" s="5348"/>
      <c r="E53" s="5356"/>
      <c r="F53" s="6562"/>
      <c r="G53" s="6623" t="s">
        <v>1984</v>
      </c>
      <c r="H53" s="6624" t="s">
        <v>1986</v>
      </c>
      <c r="I53" s="6625"/>
      <c r="J53" s="6624"/>
      <c r="K53" s="6626"/>
      <c r="L53" s="9886" t="s">
        <v>2392</v>
      </c>
      <c r="M53" s="6702">
        <f>+F88</f>
        <v>5</v>
      </c>
      <c r="N53" s="6062"/>
      <c r="O53" s="6623" t="s">
        <v>1984</v>
      </c>
      <c r="P53" s="6624" t="s">
        <v>2228</v>
      </c>
      <c r="Q53" s="6625"/>
      <c r="R53" s="6624"/>
      <c r="S53" s="6627"/>
      <c r="T53" s="9851">
        <v>0</v>
      </c>
      <c r="U53" s="6702">
        <f>+AB81</f>
        <v>9</v>
      </c>
      <c r="V53" s="6589"/>
      <c r="W53" s="6062"/>
      <c r="X53" s="6640"/>
      <c r="Y53" s="6623" t="s">
        <v>1984</v>
      </c>
      <c r="Z53" s="6624" t="s">
        <v>2228</v>
      </c>
      <c r="AA53" s="6625"/>
      <c r="AB53" s="6624"/>
      <c r="AC53" s="6627"/>
      <c r="AD53" s="9851">
        <v>0</v>
      </c>
      <c r="AE53" s="6658"/>
      <c r="AF53" s="6062"/>
      <c r="AG53" s="6646"/>
      <c r="AH53" s="6594"/>
      <c r="AI53" s="6594"/>
      <c r="AJ53" s="6594"/>
      <c r="AK53" s="6062"/>
      <c r="AL53" s="6600"/>
      <c r="AM53" s="6658"/>
      <c r="AN53" s="5415"/>
      <c r="AO53" s="6607"/>
      <c r="AP53" s="7405"/>
      <c r="AQ53" s="7405"/>
      <c r="AR53" s="7405"/>
      <c r="AS53" s="6667"/>
      <c r="AT53" s="6608"/>
      <c r="AU53" s="6716"/>
      <c r="AV53" s="5356"/>
      <c r="AW53" s="5132"/>
      <c r="AX53" s="5132"/>
      <c r="AY53" s="5132"/>
      <c r="AZ53" s="5132"/>
    </row>
    <row r="54" spans="1:52" s="271" customFormat="1" ht="13.5" thickBot="1">
      <c r="A54" s="5348"/>
      <c r="B54" s="5348"/>
      <c r="C54" s="5348"/>
      <c r="D54" s="5348"/>
      <c r="E54" s="5356"/>
      <c r="F54" s="6562"/>
      <c r="G54" s="8484" t="s">
        <v>1984</v>
      </c>
      <c r="H54" s="6629" t="s">
        <v>1987</v>
      </c>
      <c r="I54" s="6630"/>
      <c r="J54" s="6629"/>
      <c r="K54" s="6631"/>
      <c r="L54" s="9852"/>
      <c r="M54" s="6594"/>
      <c r="N54" s="6062"/>
      <c r="O54" s="6628" t="s">
        <v>1984</v>
      </c>
      <c r="P54" s="6629" t="s">
        <v>2229</v>
      </c>
      <c r="Q54" s="6630"/>
      <c r="R54" s="6629"/>
      <c r="S54" s="6632"/>
      <c r="T54" s="9852"/>
      <c r="U54" s="6633"/>
      <c r="V54" s="6589"/>
      <c r="W54" s="6062"/>
      <c r="X54" s="6640"/>
      <c r="Y54" s="6628" t="s">
        <v>1984</v>
      </c>
      <c r="Z54" s="6629" t="s">
        <v>2229</v>
      </c>
      <c r="AA54" s="6630"/>
      <c r="AB54" s="6629"/>
      <c r="AC54" s="6632"/>
      <c r="AD54" s="9852"/>
      <c r="AE54" s="6658"/>
      <c r="AF54" s="6062"/>
      <c r="AG54" s="6646"/>
      <c r="AH54" s="6594"/>
      <c r="AI54" s="6594"/>
      <c r="AJ54" s="6594"/>
      <c r="AK54" s="6062"/>
      <c r="AL54" s="6600"/>
      <c r="AM54" s="6658"/>
      <c r="AN54" s="5415"/>
      <c r="AO54" s="6668"/>
      <c r="AP54" s="6370"/>
      <c r="AQ54" s="6370"/>
      <c r="AR54" s="6370"/>
      <c r="AS54" s="6669"/>
      <c r="AT54" s="6670"/>
      <c r="AU54" s="6716"/>
      <c r="AV54" s="5356"/>
      <c r="AW54" s="5132"/>
      <c r="AX54" s="5132"/>
      <c r="AY54" s="5132"/>
      <c r="AZ54" s="5132"/>
    </row>
    <row r="55" spans="1:52" s="271" customFormat="1" ht="11.1" customHeight="1">
      <c r="A55" s="5348"/>
      <c r="B55" s="5348"/>
      <c r="C55" s="5348"/>
      <c r="D55" s="5348"/>
      <c r="E55" s="5356"/>
      <c r="F55" s="6562"/>
      <c r="G55" s="9856" t="s">
        <v>2061</v>
      </c>
      <c r="H55" s="9857"/>
      <c r="I55" s="9857"/>
      <c r="J55" s="9858"/>
      <c r="K55" s="9889" t="s">
        <v>2121</v>
      </c>
      <c r="L55" s="9873"/>
      <c r="M55" s="6594"/>
      <c r="N55" s="6062"/>
      <c r="O55" s="9856" t="s">
        <v>2293</v>
      </c>
      <c r="P55" s="9857"/>
      <c r="Q55" s="9857"/>
      <c r="R55" s="9858"/>
      <c r="S55" s="9862" t="s">
        <v>2122</v>
      </c>
      <c r="T55" s="9864" t="s">
        <v>2246</v>
      </c>
      <c r="U55" s="6702">
        <f>+AB83</f>
        <v>10</v>
      </c>
      <c r="V55" s="6589"/>
      <c r="W55" s="6062"/>
      <c r="X55" s="6640"/>
      <c r="Y55" s="9906" t="s">
        <v>2235</v>
      </c>
      <c r="Z55" s="9907"/>
      <c r="AA55" s="9907"/>
      <c r="AB55" s="9907"/>
      <c r="AC55" s="9862" t="s">
        <v>2006</v>
      </c>
      <c r="AD55" s="9864" t="s">
        <v>2292</v>
      </c>
      <c r="AE55" s="6708">
        <f>+AB87</f>
        <v>12</v>
      </c>
      <c r="AF55" s="6062"/>
      <c r="AG55" s="9856" t="s">
        <v>2236</v>
      </c>
      <c r="AH55" s="9857"/>
      <c r="AI55" s="9857"/>
      <c r="AJ55" s="9858"/>
      <c r="AK55" s="9862" t="s">
        <v>2019</v>
      </c>
      <c r="AL55" s="9864" t="s">
        <v>2020</v>
      </c>
      <c r="AM55" s="6708">
        <f>+AB92</f>
        <v>14</v>
      </c>
      <c r="AN55" s="5415"/>
      <c r="AO55" s="9913" t="s">
        <v>2243</v>
      </c>
      <c r="AP55" s="9914"/>
      <c r="AQ55" s="9914"/>
      <c r="AR55" s="9914"/>
      <c r="AS55" s="9914"/>
      <c r="AT55" s="9854" t="s">
        <v>2015</v>
      </c>
      <c r="AU55" s="6716"/>
      <c r="AV55" s="5356"/>
      <c r="AW55" s="5132"/>
      <c r="AX55" s="5132"/>
      <c r="AY55" s="5132"/>
      <c r="AZ55" s="5132"/>
    </row>
    <row r="56" spans="1:52" ht="11.1" customHeight="1" thickBot="1">
      <c r="A56" s="5348"/>
      <c r="B56" s="5348"/>
      <c r="C56" s="5348"/>
      <c r="D56" s="5348"/>
      <c r="E56" s="5356"/>
      <c r="F56" s="6562"/>
      <c r="G56" s="9859"/>
      <c r="H56" s="9860"/>
      <c r="I56" s="9860"/>
      <c r="J56" s="9861"/>
      <c r="K56" s="9890"/>
      <c r="L56" s="9874"/>
      <c r="M56" s="6594"/>
      <c r="N56" s="6062"/>
      <c r="O56" s="9859"/>
      <c r="P56" s="9860"/>
      <c r="Q56" s="9860"/>
      <c r="R56" s="9861"/>
      <c r="S56" s="9863"/>
      <c r="T56" s="9865"/>
      <c r="U56" s="6634"/>
      <c r="V56" s="6589"/>
      <c r="W56" s="6062"/>
      <c r="X56" s="6640"/>
      <c r="Y56" s="9908"/>
      <c r="Z56" s="9909"/>
      <c r="AA56" s="9909"/>
      <c r="AB56" s="9909"/>
      <c r="AC56" s="9863"/>
      <c r="AD56" s="9865"/>
      <c r="AE56" s="6658"/>
      <c r="AF56" s="6062"/>
      <c r="AG56" s="9859"/>
      <c r="AH56" s="9860"/>
      <c r="AI56" s="9860"/>
      <c r="AJ56" s="9861"/>
      <c r="AK56" s="9863"/>
      <c r="AL56" s="9865"/>
      <c r="AM56" s="6658"/>
      <c r="AN56" s="5415"/>
      <c r="AO56" s="9915"/>
      <c r="AP56" s="9916"/>
      <c r="AQ56" s="9916"/>
      <c r="AR56" s="9916"/>
      <c r="AS56" s="9916"/>
      <c r="AT56" s="9855"/>
      <c r="AU56" s="6716"/>
      <c r="AV56" s="5356"/>
    </row>
    <row r="57" spans="1:52" s="271" customFormat="1" ht="9" customHeight="1">
      <c r="A57" s="5348"/>
      <c r="B57" s="5348"/>
      <c r="C57" s="5348"/>
      <c r="D57" s="5348"/>
      <c r="E57" s="5356"/>
      <c r="F57" s="6562"/>
      <c r="G57" s="5133"/>
      <c r="H57" s="5133"/>
      <c r="I57" s="5133"/>
      <c r="J57" s="5133"/>
      <c r="K57" s="5133"/>
      <c r="L57" s="5133"/>
      <c r="M57" s="7885"/>
      <c r="N57" s="5133"/>
      <c r="O57" s="5133"/>
      <c r="P57" s="5133"/>
      <c r="Q57" s="5133"/>
      <c r="R57" s="5133"/>
      <c r="S57" s="5133"/>
      <c r="T57" s="5133"/>
      <c r="U57" s="5133"/>
      <c r="V57" s="6589"/>
      <c r="W57" s="6062"/>
      <c r="X57" s="6640"/>
      <c r="Y57" s="5133"/>
      <c r="Z57" s="5133"/>
      <c r="AA57" s="5133"/>
      <c r="AB57" s="5133"/>
      <c r="AC57" s="5133"/>
      <c r="AD57" s="5133"/>
      <c r="AE57" s="6658"/>
      <c r="AF57" s="6062"/>
      <c r="AG57" s="6599"/>
      <c r="AH57" s="6594"/>
      <c r="AI57" s="6594"/>
      <c r="AJ57" s="6594"/>
      <c r="AK57" s="6594"/>
      <c r="AL57" s="6594"/>
      <c r="AM57" s="6658"/>
      <c r="AN57" s="5415"/>
      <c r="AO57" s="5133"/>
      <c r="AP57" s="5133"/>
      <c r="AQ57" s="5133"/>
      <c r="AR57" s="5133"/>
      <c r="AS57" s="5133"/>
      <c r="AT57" s="5133"/>
      <c r="AU57" s="6716"/>
      <c r="AV57" s="5356"/>
      <c r="AW57" s="5132"/>
      <c r="AX57" s="5132"/>
      <c r="AY57" s="5132"/>
      <c r="AZ57" s="5132"/>
    </row>
    <row r="58" spans="1:52" s="271" customFormat="1" ht="13.5" customHeight="1" thickBot="1">
      <c r="A58" s="5348"/>
      <c r="B58" s="5348"/>
      <c r="C58" s="5348"/>
      <c r="D58" s="5348"/>
      <c r="E58" s="5356"/>
      <c r="F58" s="6562"/>
      <c r="G58" s="9872" t="s">
        <v>1995</v>
      </c>
      <c r="H58" s="9872"/>
      <c r="I58" s="9872"/>
      <c r="J58" s="9872"/>
      <c r="K58" s="9872"/>
      <c r="L58" s="9872"/>
      <c r="M58" s="7885"/>
      <c r="N58" s="5133"/>
      <c r="O58" s="5133"/>
      <c r="P58" s="5133"/>
      <c r="Q58" s="5133"/>
      <c r="R58" s="5133"/>
      <c r="S58" s="5133"/>
      <c r="T58" s="5133"/>
      <c r="U58" s="5133"/>
      <c r="V58" s="6589"/>
      <c r="W58" s="6062"/>
      <c r="X58" s="6640"/>
      <c r="Y58" s="5133"/>
      <c r="Z58" s="5133"/>
      <c r="AA58" s="5133"/>
      <c r="AB58" s="5133"/>
      <c r="AC58" s="5133"/>
      <c r="AD58" s="5133"/>
      <c r="AE58" s="6658"/>
      <c r="AF58" s="6062"/>
      <c r="AG58" s="6599"/>
      <c r="AH58" s="6594"/>
      <c r="AI58" s="6594"/>
      <c r="AJ58" s="6594"/>
      <c r="AK58" s="6594"/>
      <c r="AL58" s="6594"/>
      <c r="AM58" s="6658"/>
      <c r="AN58" s="5415"/>
      <c r="AO58" s="5133" t="s">
        <v>912</v>
      </c>
      <c r="AP58" s="5133"/>
      <c r="AQ58" s="5133" t="s">
        <v>2333</v>
      </c>
      <c r="AR58" s="5133"/>
      <c r="AS58" s="5133"/>
      <c r="AT58" s="5133"/>
      <c r="AU58" s="6716"/>
      <c r="AV58" s="5356"/>
      <c r="AW58" s="5132"/>
      <c r="AX58" s="5132"/>
      <c r="AY58" s="5132"/>
      <c r="AZ58" s="5132"/>
    </row>
    <row r="59" spans="1:52" s="271" customFormat="1" ht="11.1" customHeight="1">
      <c r="A59" s="5348"/>
      <c r="B59" s="5348"/>
      <c r="C59" s="5348"/>
      <c r="D59" s="5348"/>
      <c r="E59" s="5356"/>
      <c r="F59" s="6562"/>
      <c r="G59" s="9866" t="s">
        <v>2237</v>
      </c>
      <c r="H59" s="9867"/>
      <c r="I59" s="9867"/>
      <c r="J59" s="9867"/>
      <c r="K59" s="9867"/>
      <c r="L59" s="9868"/>
      <c r="M59" s="6702">
        <f>+F90</f>
        <v>6</v>
      </c>
      <c r="N59" s="6062"/>
      <c r="O59" s="6635"/>
      <c r="P59" s="7405"/>
      <c r="Q59" s="7405"/>
      <c r="R59" s="7405"/>
      <c r="S59" s="6062"/>
      <c r="T59" s="6062"/>
      <c r="U59" s="6062"/>
      <c r="V59" s="6589"/>
      <c r="W59" s="6062"/>
      <c r="X59" s="6640"/>
      <c r="Y59" s="5133"/>
      <c r="Z59" s="5133"/>
      <c r="AA59" s="5133"/>
      <c r="AB59" s="5133"/>
      <c r="AC59" s="5133"/>
      <c r="AD59" s="5133"/>
      <c r="AE59" s="6658"/>
      <c r="AF59" s="6062"/>
      <c r="AG59" s="5133"/>
      <c r="AH59" s="5133"/>
      <c r="AI59" s="5133"/>
      <c r="AJ59" s="5133"/>
      <c r="AK59" s="5133"/>
      <c r="AL59" s="5133"/>
      <c r="AM59" s="6658"/>
      <c r="AN59" s="5415"/>
      <c r="AO59" s="5133"/>
      <c r="AP59" s="5133"/>
      <c r="AQ59" s="5133" t="s">
        <v>2334</v>
      </c>
      <c r="AR59" s="5133"/>
      <c r="AS59" s="5133"/>
      <c r="AT59" s="5133"/>
      <c r="AU59" s="6716"/>
      <c r="AV59" s="5356"/>
      <c r="AW59" s="5132"/>
      <c r="AX59" s="5132"/>
      <c r="AY59" s="5132"/>
      <c r="AZ59" s="5132"/>
    </row>
    <row r="60" spans="1:52" s="271" customFormat="1" ht="11.1" customHeight="1" thickBot="1">
      <c r="A60" s="5348"/>
      <c r="B60" s="5348"/>
      <c r="C60" s="5348"/>
      <c r="D60" s="5348"/>
      <c r="E60" s="5356"/>
      <c r="F60" s="6562"/>
      <c r="G60" s="9869"/>
      <c r="H60" s="9870"/>
      <c r="I60" s="9870"/>
      <c r="J60" s="9870"/>
      <c r="K60" s="9870"/>
      <c r="L60" s="9871"/>
      <c r="M60" s="6594"/>
      <c r="N60" s="6062"/>
      <c r="O60" s="6635"/>
      <c r="P60" s="7405"/>
      <c r="Q60" s="7405"/>
      <c r="R60" s="7405"/>
      <c r="S60" s="6062"/>
      <c r="T60" s="6062"/>
      <c r="U60" s="6062"/>
      <c r="V60" s="6589"/>
      <c r="W60" s="6062"/>
      <c r="X60" s="6640"/>
      <c r="Y60" s="5133"/>
      <c r="Z60" s="5133"/>
      <c r="AA60" s="5133"/>
      <c r="AB60" s="5133"/>
      <c r="AC60" s="5133"/>
      <c r="AD60" s="5133"/>
      <c r="AE60" s="6658"/>
      <c r="AF60" s="6062"/>
      <c r="AG60" s="5133"/>
      <c r="AH60" s="5133"/>
      <c r="AI60" s="5133"/>
      <c r="AJ60" s="5133"/>
      <c r="AK60" s="5133"/>
      <c r="AL60" s="5133"/>
      <c r="AM60" s="6658"/>
      <c r="AN60" s="5415"/>
      <c r="AO60" s="5133"/>
      <c r="AP60" s="5133"/>
      <c r="AQ60" s="5133"/>
      <c r="AR60" s="5133"/>
      <c r="AS60" s="5133"/>
      <c r="AT60" s="5133"/>
      <c r="AU60" s="6716"/>
      <c r="AV60" s="5356"/>
      <c r="AW60" s="5132"/>
      <c r="AX60" s="5132"/>
      <c r="AY60" s="5132"/>
      <c r="AZ60" s="5132"/>
    </row>
    <row r="61" spans="1:52" s="271" customFormat="1" ht="15" customHeight="1">
      <c r="A61" s="5348"/>
      <c r="B61" s="5348"/>
      <c r="C61" s="5348"/>
      <c r="D61" s="5348"/>
      <c r="E61" s="5356"/>
      <c r="F61" s="6562"/>
      <c r="G61" s="6636" t="s">
        <v>1984</v>
      </c>
      <c r="H61" s="6637" t="s">
        <v>2163</v>
      </c>
      <c r="I61" s="6637"/>
      <c r="J61" s="6637"/>
      <c r="K61" s="9878" t="s">
        <v>2123</v>
      </c>
      <c r="L61" s="9903">
        <v>0</v>
      </c>
      <c r="M61" s="6594"/>
      <c r="N61" s="6062"/>
      <c r="O61" s="6635"/>
      <c r="P61" s="7405"/>
      <c r="Q61" s="7405"/>
      <c r="R61" s="7405"/>
      <c r="S61" s="6062"/>
      <c r="T61" s="6062"/>
      <c r="U61" s="6062"/>
      <c r="V61" s="6589"/>
      <c r="W61" s="6062"/>
      <c r="X61" s="6640"/>
      <c r="Y61" s="5133"/>
      <c r="Z61" s="5133"/>
      <c r="AA61" s="5133"/>
      <c r="AB61" s="5133"/>
      <c r="AC61" s="5133"/>
      <c r="AD61" s="5133"/>
      <c r="AE61" s="6658"/>
      <c r="AF61" s="6062"/>
      <c r="AG61" s="5133"/>
      <c r="AH61" s="5133"/>
      <c r="AI61" s="5133"/>
      <c r="AJ61" s="5133"/>
      <c r="AK61" s="5133"/>
      <c r="AL61" s="5133"/>
      <c r="AM61" s="6658"/>
      <c r="AN61" s="5415"/>
      <c r="AO61" s="5133"/>
      <c r="AP61" s="5133"/>
      <c r="AQ61" s="5133"/>
      <c r="AR61" s="5133"/>
      <c r="AS61" s="5133"/>
      <c r="AT61" s="5133"/>
      <c r="AU61" s="6716"/>
      <c r="AV61" s="5356"/>
      <c r="AW61" s="5132"/>
      <c r="AX61" s="5132"/>
      <c r="AY61" s="5132"/>
      <c r="AZ61" s="5132"/>
    </row>
    <row r="62" spans="1:52" s="271" customFormat="1" ht="15" customHeight="1" thickBot="1">
      <c r="A62" s="5348"/>
      <c r="B62" s="5348"/>
      <c r="C62" s="5348"/>
      <c r="D62" s="5348"/>
      <c r="E62" s="5356"/>
      <c r="F62" s="6562"/>
      <c r="G62" s="6638" t="s">
        <v>1984</v>
      </c>
      <c r="H62" s="6639" t="s">
        <v>2322</v>
      </c>
      <c r="I62" s="6639"/>
      <c r="J62" s="6639"/>
      <c r="K62" s="9880"/>
      <c r="L62" s="9904"/>
      <c r="M62" s="6594"/>
      <c r="N62" s="6062"/>
      <c r="O62" s="6635"/>
      <c r="P62" s="7405"/>
      <c r="Q62" s="7405"/>
      <c r="R62" s="6594"/>
      <c r="S62" s="6062"/>
      <c r="T62" s="6062"/>
      <c r="U62" s="6062"/>
      <c r="V62" s="6589"/>
      <c r="W62" s="6062"/>
      <c r="X62" s="6640"/>
      <c r="Y62" s="5133"/>
      <c r="Z62" s="5133"/>
      <c r="AA62" s="5133"/>
      <c r="AB62" s="5133"/>
      <c r="AC62" s="5133"/>
      <c r="AD62" s="5133"/>
      <c r="AE62" s="6658"/>
      <c r="AF62" s="6062"/>
      <c r="AG62" s="5133"/>
      <c r="AH62" s="5133"/>
      <c r="AI62" s="5133"/>
      <c r="AJ62" s="5133"/>
      <c r="AK62" s="5133"/>
      <c r="AL62" s="5133"/>
      <c r="AM62" s="6658"/>
      <c r="AN62" s="5415"/>
      <c r="AO62" s="5133"/>
      <c r="AP62" s="5133"/>
      <c r="AQ62" s="5133"/>
      <c r="AR62" s="5133"/>
      <c r="AS62" s="5133"/>
      <c r="AT62" s="5133"/>
      <c r="AU62" s="6716"/>
      <c r="AV62" s="5356"/>
      <c r="AW62" s="5132"/>
      <c r="AX62" s="5132"/>
      <c r="AY62" s="5132"/>
      <c r="AZ62" s="5132"/>
    </row>
    <row r="63" spans="1:52" s="271" customFormat="1" ht="9" customHeight="1">
      <c r="A63" s="5348"/>
      <c r="B63" s="5348"/>
      <c r="C63" s="5348"/>
      <c r="D63" s="5348"/>
      <c r="E63" s="5356"/>
      <c r="F63" s="6562"/>
      <c r="G63" s="5415"/>
      <c r="H63" s="5415"/>
      <c r="I63" s="5415"/>
      <c r="J63" s="5415"/>
      <c r="K63" s="5415"/>
      <c r="L63" s="5415"/>
      <c r="M63" s="6594"/>
      <c r="N63" s="6062"/>
      <c r="O63" s="6599"/>
      <c r="P63" s="6599"/>
      <c r="Q63" s="7405"/>
      <c r="R63" s="6594"/>
      <c r="S63" s="6594"/>
      <c r="T63" s="6594"/>
      <c r="U63" s="6594"/>
      <c r="V63" s="6589"/>
      <c r="W63" s="6062"/>
      <c r="X63" s="6640"/>
      <c r="Y63" s="5133"/>
      <c r="Z63" s="5133"/>
      <c r="AA63" s="5133"/>
      <c r="AB63" s="5133"/>
      <c r="AC63" s="5133"/>
      <c r="AD63" s="5133"/>
      <c r="AE63" s="6658"/>
      <c r="AF63" s="6062"/>
      <c r="AG63" s="5133"/>
      <c r="AH63" s="5133"/>
      <c r="AI63" s="5133"/>
      <c r="AJ63" s="5133"/>
      <c r="AK63" s="5133"/>
      <c r="AL63" s="5133"/>
      <c r="AM63" s="6658"/>
      <c r="AN63" s="5415"/>
      <c r="AO63" s="5133"/>
      <c r="AP63" s="5133"/>
      <c r="AQ63" s="5133"/>
      <c r="AR63" s="5133"/>
      <c r="AS63" s="5133"/>
      <c r="AT63" s="5133"/>
      <c r="AU63" s="6716"/>
      <c r="AV63" s="5356"/>
      <c r="AW63" s="5132"/>
      <c r="AX63" s="5132"/>
      <c r="AY63" s="5132"/>
      <c r="AZ63" s="5132"/>
    </row>
    <row r="64" spans="1:52" s="271" customFormat="1" ht="13.5" thickBot="1">
      <c r="A64" s="5348"/>
      <c r="B64" s="5348"/>
      <c r="C64" s="5348"/>
      <c r="D64" s="5348"/>
      <c r="E64" s="5356"/>
      <c r="F64" s="6562"/>
      <c r="G64" s="9872" t="s">
        <v>1996</v>
      </c>
      <c r="H64" s="9872"/>
      <c r="I64" s="9872"/>
      <c r="J64" s="9872"/>
      <c r="K64" s="9872"/>
      <c r="L64" s="9872"/>
      <c r="M64" s="6594"/>
      <c r="N64" s="6062"/>
      <c r="O64" s="6599"/>
      <c r="P64" s="6599"/>
      <c r="Q64" s="7405"/>
      <c r="R64" s="6594"/>
      <c r="S64" s="6594"/>
      <c r="T64" s="6594"/>
      <c r="U64" s="6594"/>
      <c r="V64" s="6589"/>
      <c r="W64" s="6062"/>
      <c r="X64" s="6640"/>
      <c r="Y64" s="5133"/>
      <c r="Z64" s="5133"/>
      <c r="AA64" s="5133"/>
      <c r="AB64" s="5133"/>
      <c r="AC64" s="5133"/>
      <c r="AD64" s="5133"/>
      <c r="AE64" s="6658"/>
      <c r="AF64" s="6062"/>
      <c r="AG64" s="5133"/>
      <c r="AH64" s="5133"/>
      <c r="AI64" s="5133"/>
      <c r="AJ64" s="5133"/>
      <c r="AK64" s="5133"/>
      <c r="AL64" s="5133"/>
      <c r="AM64" s="6658"/>
      <c r="AN64" s="5415"/>
      <c r="AO64" s="5133"/>
      <c r="AP64" s="5133"/>
      <c r="AQ64" s="5133"/>
      <c r="AR64" s="5133"/>
      <c r="AS64" s="5133"/>
      <c r="AT64" s="5133"/>
      <c r="AU64" s="6716"/>
      <c r="AV64" s="5356"/>
      <c r="AW64" s="5132"/>
      <c r="AX64" s="5132"/>
      <c r="AY64" s="5132"/>
      <c r="AZ64" s="5132"/>
    </row>
    <row r="65" spans="1:52" s="271" customFormat="1" ht="11.1" customHeight="1">
      <c r="A65" s="5348"/>
      <c r="B65" s="5348"/>
      <c r="C65" s="5348"/>
      <c r="D65" s="5348"/>
      <c r="E65" s="5356"/>
      <c r="F65" s="6562"/>
      <c r="G65" s="9866" t="s">
        <v>2238</v>
      </c>
      <c r="H65" s="9867"/>
      <c r="I65" s="9867"/>
      <c r="J65" s="9867"/>
      <c r="K65" s="9878" t="s">
        <v>2124</v>
      </c>
      <c r="L65" s="9881">
        <v>0</v>
      </c>
      <c r="M65" s="6702">
        <f>+F94</f>
        <v>7</v>
      </c>
      <c r="N65" s="6062"/>
      <c r="O65" s="6599"/>
      <c r="P65" s="6599"/>
      <c r="Q65" s="7405"/>
      <c r="R65" s="6594"/>
      <c r="S65" s="6594"/>
      <c r="T65" s="6594"/>
      <c r="U65" s="6594"/>
      <c r="V65" s="6589"/>
      <c r="W65" s="6062"/>
      <c r="X65" s="6640"/>
      <c r="Y65" s="5133"/>
      <c r="Z65" s="5133"/>
      <c r="AA65" s="5133"/>
      <c r="AB65" s="5133"/>
      <c r="AC65" s="5133"/>
      <c r="AD65" s="5133"/>
      <c r="AE65" s="6658"/>
      <c r="AF65" s="6062"/>
      <c r="AG65" s="5133"/>
      <c r="AH65" s="5133"/>
      <c r="AI65" s="5133"/>
      <c r="AJ65" s="5133"/>
      <c r="AK65" s="5133"/>
      <c r="AL65" s="5133"/>
      <c r="AM65" s="6658"/>
      <c r="AN65" s="5415"/>
      <c r="AO65" s="5133"/>
      <c r="AP65" s="5133"/>
      <c r="AQ65" s="5133"/>
      <c r="AR65" s="5133"/>
      <c r="AS65" s="5133"/>
      <c r="AT65" s="5133"/>
      <c r="AU65" s="6716"/>
      <c r="AV65" s="5356"/>
      <c r="AW65" s="5132"/>
      <c r="AX65" s="5132"/>
      <c r="AY65" s="5132"/>
      <c r="AZ65" s="5132"/>
    </row>
    <row r="66" spans="1:52" s="271" customFormat="1" ht="11.1" customHeight="1" thickBot="1">
      <c r="A66" s="5348"/>
      <c r="B66" s="5348"/>
      <c r="C66" s="5348"/>
      <c r="D66" s="5348"/>
      <c r="E66" s="5356"/>
      <c r="F66" s="6562"/>
      <c r="G66" s="9869"/>
      <c r="H66" s="9870"/>
      <c r="I66" s="9870"/>
      <c r="J66" s="9870"/>
      <c r="K66" s="9879"/>
      <c r="L66" s="9882"/>
      <c r="M66" s="6062"/>
      <c r="N66" s="6062"/>
      <c r="O66" s="6599"/>
      <c r="P66" s="6599"/>
      <c r="Q66" s="7405"/>
      <c r="R66" s="6594"/>
      <c r="S66" s="6594"/>
      <c r="T66" s="6594"/>
      <c r="U66" s="6594"/>
      <c r="V66" s="6589"/>
      <c r="W66" s="6062"/>
      <c r="X66" s="6640"/>
      <c r="Y66" s="5133"/>
      <c r="Z66" s="5133"/>
      <c r="AA66" s="5133"/>
      <c r="AB66" s="5133"/>
      <c r="AC66" s="5133"/>
      <c r="AD66" s="5133"/>
      <c r="AE66" s="6658"/>
      <c r="AF66" s="6062"/>
      <c r="AG66" s="5133"/>
      <c r="AH66" s="5133"/>
      <c r="AI66" s="5133"/>
      <c r="AJ66" s="5133"/>
      <c r="AK66" s="5133"/>
      <c r="AL66" s="5133"/>
      <c r="AM66" s="6658"/>
      <c r="AN66" s="5415"/>
      <c r="AO66" s="5133"/>
      <c r="AP66" s="5133"/>
      <c r="AQ66" s="5133"/>
      <c r="AR66" s="5133"/>
      <c r="AS66" s="5133"/>
      <c r="AT66" s="5133"/>
      <c r="AU66" s="6716"/>
      <c r="AV66" s="5356"/>
      <c r="AW66" s="5132"/>
      <c r="AX66" s="5132"/>
      <c r="AY66" s="5132"/>
      <c r="AZ66" s="5132"/>
    </row>
    <row r="67" spans="1:52" s="271" customFormat="1" ht="15.95" customHeight="1" thickBot="1">
      <c r="A67" s="5348"/>
      <c r="B67" s="5348"/>
      <c r="C67" s="5348"/>
      <c r="D67" s="5348"/>
      <c r="E67" s="5356"/>
      <c r="F67" s="6562"/>
      <c r="G67" s="9876" t="s">
        <v>2278</v>
      </c>
      <c r="H67" s="9877"/>
      <c r="I67" s="9877"/>
      <c r="J67" s="9877"/>
      <c r="K67" s="9880"/>
      <c r="L67" s="9883"/>
      <c r="M67" s="6062"/>
      <c r="N67" s="6062"/>
      <c r="O67" s="6599"/>
      <c r="P67" s="6599"/>
      <c r="Q67" s="7405"/>
      <c r="R67" s="5415"/>
      <c r="S67" s="6594"/>
      <c r="T67" s="6594"/>
      <c r="U67" s="6594"/>
      <c r="V67" s="6589"/>
      <c r="W67" s="6062"/>
      <c r="X67" s="6640"/>
      <c r="Y67" s="5133"/>
      <c r="Z67" s="5133"/>
      <c r="AA67" s="5133"/>
      <c r="AB67" s="5133"/>
      <c r="AC67" s="5133"/>
      <c r="AD67" s="5133"/>
      <c r="AE67" s="6658"/>
      <c r="AF67" s="6062"/>
      <c r="AG67" s="5133"/>
      <c r="AH67" s="5133"/>
      <c r="AI67" s="5133"/>
      <c r="AJ67" s="5133"/>
      <c r="AK67" s="5133"/>
      <c r="AL67" s="5133"/>
      <c r="AM67" s="6658"/>
      <c r="AN67" s="5415"/>
      <c r="AO67" s="5133"/>
      <c r="AP67" s="5133"/>
      <c r="AQ67" s="5133"/>
      <c r="AR67" s="5133"/>
      <c r="AS67" s="5133"/>
      <c r="AT67" s="5133"/>
      <c r="AU67" s="6716"/>
      <c r="AV67" s="5356"/>
      <c r="AW67" s="5132"/>
      <c r="AX67" s="5132"/>
      <c r="AY67" s="5132"/>
      <c r="AZ67" s="5132"/>
    </row>
    <row r="68" spans="1:52" s="271" customFormat="1" ht="9" customHeight="1">
      <c r="A68" s="5348"/>
      <c r="B68" s="5348"/>
      <c r="C68" s="5348"/>
      <c r="D68" s="5348"/>
      <c r="E68" s="5356"/>
      <c r="F68" s="6562"/>
      <c r="G68" s="6065"/>
      <c r="H68" s="6065"/>
      <c r="I68" s="6065"/>
      <c r="J68" s="6065"/>
      <c r="K68" s="6673"/>
      <c r="L68" s="6673"/>
      <c r="M68" s="6062"/>
      <c r="N68" s="6062"/>
      <c r="O68" s="6599"/>
      <c r="P68" s="6599"/>
      <c r="Q68" s="7405"/>
      <c r="R68" s="5415"/>
      <c r="S68" s="6594"/>
      <c r="T68" s="6594"/>
      <c r="U68" s="6594"/>
      <c r="V68" s="6589"/>
      <c r="W68" s="6062"/>
      <c r="X68" s="6640"/>
      <c r="Y68" s="5133"/>
      <c r="Z68" s="5133"/>
      <c r="AA68" s="5133"/>
      <c r="AB68" s="5133"/>
      <c r="AC68" s="5133"/>
      <c r="AD68" s="5133"/>
      <c r="AE68" s="6658"/>
      <c r="AF68" s="6062"/>
      <c r="AG68" s="5133"/>
      <c r="AH68" s="5133"/>
      <c r="AI68" s="5133"/>
      <c r="AJ68" s="5133"/>
      <c r="AK68" s="5133"/>
      <c r="AL68" s="5133"/>
      <c r="AM68" s="6658"/>
      <c r="AN68" s="5415"/>
      <c r="AO68" s="5133"/>
      <c r="AP68" s="5133"/>
      <c r="AQ68" s="5133"/>
      <c r="AR68" s="5133"/>
      <c r="AS68" s="5133"/>
      <c r="AT68" s="5133"/>
      <c r="AU68" s="6716"/>
      <c r="AV68" s="5356"/>
      <c r="AW68" s="5132"/>
      <c r="AX68" s="5132"/>
      <c r="AY68" s="5132"/>
      <c r="AZ68" s="5132"/>
    </row>
    <row r="69" spans="1:52" ht="9.9499999999999993" customHeight="1">
      <c r="A69" s="5348"/>
      <c r="B69" s="5348"/>
      <c r="C69" s="5348"/>
      <c r="D69" s="5348"/>
      <c r="E69" s="5356"/>
      <c r="F69" s="6562"/>
      <c r="G69" s="6674"/>
      <c r="H69" s="5418"/>
      <c r="I69" s="5418"/>
      <c r="J69" s="5418"/>
      <c r="K69" s="5418"/>
      <c r="L69" s="5418"/>
      <c r="M69" s="5418"/>
      <c r="N69" s="5418"/>
      <c r="O69" s="5418"/>
      <c r="P69" s="5418"/>
      <c r="Q69" s="5418"/>
      <c r="R69" s="5418"/>
      <c r="S69" s="5418"/>
      <c r="T69" s="6675"/>
      <c r="U69" s="5415"/>
      <c r="V69" s="6566"/>
      <c r="W69" s="5415"/>
      <c r="X69" s="6562"/>
      <c r="Y69" s="6676"/>
      <c r="Z69" s="6596"/>
      <c r="AA69" s="6596"/>
      <c r="AB69" s="6596"/>
      <c r="AC69" s="6596"/>
      <c r="AD69" s="6677"/>
      <c r="AE69" s="6658"/>
      <c r="AF69" s="5415"/>
      <c r="AG69" s="6676"/>
      <c r="AH69" s="6596"/>
      <c r="AI69" s="6596"/>
      <c r="AJ69" s="6596"/>
      <c r="AK69" s="6596"/>
      <c r="AL69" s="6677"/>
      <c r="AM69" s="6658"/>
      <c r="AN69" s="5415"/>
      <c r="AO69" s="6676"/>
      <c r="AP69" s="6596"/>
      <c r="AQ69" s="6596"/>
      <c r="AR69" s="6596"/>
      <c r="AS69" s="6596"/>
      <c r="AT69" s="6677"/>
      <c r="AU69" s="6716"/>
      <c r="AV69" s="5356"/>
    </row>
    <row r="70" spans="1:52" s="6735" customFormat="1" ht="18.95" customHeight="1">
      <c r="A70" s="6723"/>
      <c r="B70" s="6723"/>
      <c r="C70" s="6723"/>
      <c r="D70" s="6723"/>
      <c r="E70" s="6724"/>
      <c r="F70" s="6725"/>
      <c r="G70" s="9853" t="s">
        <v>2239</v>
      </c>
      <c r="H70" s="9853"/>
      <c r="I70" s="9853"/>
      <c r="J70" s="9853"/>
      <c r="K70" s="9853"/>
      <c r="L70" s="9853"/>
      <c r="M70" s="9853"/>
      <c r="N70" s="9888"/>
      <c r="O70" s="9853"/>
      <c r="P70" s="9853"/>
      <c r="Q70" s="9853"/>
      <c r="R70" s="9853"/>
      <c r="S70" s="9853"/>
      <c r="T70" s="9853"/>
      <c r="U70" s="6726"/>
      <c r="V70" s="6727"/>
      <c r="W70" s="6728"/>
      <c r="X70" s="6729"/>
      <c r="Y70" s="9853" t="s">
        <v>2007</v>
      </c>
      <c r="Z70" s="9853"/>
      <c r="AA70" s="9853"/>
      <c r="AB70" s="9853"/>
      <c r="AC70" s="9853"/>
      <c r="AD70" s="9853"/>
      <c r="AE70" s="6730"/>
      <c r="AF70" s="6731"/>
      <c r="AG70" s="9853" t="s">
        <v>2008</v>
      </c>
      <c r="AH70" s="9853"/>
      <c r="AI70" s="9853"/>
      <c r="AJ70" s="9853"/>
      <c r="AK70" s="9853"/>
      <c r="AL70" s="9853"/>
      <c r="AM70" s="6730"/>
      <c r="AN70" s="6732"/>
      <c r="AO70" s="9853" t="s">
        <v>2294</v>
      </c>
      <c r="AP70" s="9853"/>
      <c r="AQ70" s="9853"/>
      <c r="AR70" s="9853"/>
      <c r="AS70" s="9853"/>
      <c r="AT70" s="9853"/>
      <c r="AU70" s="6733"/>
      <c r="AV70" s="6734"/>
      <c r="AW70" s="6723"/>
      <c r="AX70" s="6723"/>
      <c r="AY70" s="6723"/>
      <c r="AZ70" s="6723"/>
    </row>
    <row r="71" spans="1:52" s="271" customFormat="1" ht="9" customHeight="1">
      <c r="A71" s="5348"/>
      <c r="B71" s="5348"/>
      <c r="C71" s="5348"/>
      <c r="D71" s="5348"/>
      <c r="E71" s="5356"/>
      <c r="F71" s="5415"/>
      <c r="G71" s="6634"/>
      <c r="H71" s="6634"/>
      <c r="I71" s="6634"/>
      <c r="J71" s="6634"/>
      <c r="K71" s="6634"/>
      <c r="L71" s="6634"/>
      <c r="M71" s="6634"/>
      <c r="N71" s="6634"/>
      <c r="O71" s="6634"/>
      <c r="P71" s="6634"/>
      <c r="Q71" s="6634"/>
      <c r="R71" s="6634"/>
      <c r="S71" s="6634"/>
      <c r="T71" s="6634"/>
      <c r="U71" s="6634"/>
      <c r="V71" s="5939"/>
      <c r="W71" s="7887"/>
      <c r="X71" s="6634"/>
      <c r="Y71" s="6634"/>
      <c r="Z71" s="6634"/>
      <c r="AA71" s="6634"/>
      <c r="AB71" s="6634"/>
      <c r="AC71" s="6634"/>
      <c r="AD71" s="6634"/>
      <c r="AE71" s="6634"/>
      <c r="AF71" s="6634"/>
      <c r="AG71" s="6634"/>
      <c r="AH71" s="6634"/>
      <c r="AI71" s="6634"/>
      <c r="AJ71" s="6634"/>
      <c r="AK71" s="6634"/>
      <c r="AL71" s="6634"/>
      <c r="AM71" s="6634"/>
      <c r="AN71" s="5410"/>
      <c r="AO71" s="5410"/>
      <c r="AP71" s="5410"/>
      <c r="AQ71" s="5410"/>
      <c r="AR71" s="5410"/>
      <c r="AS71" s="5410"/>
      <c r="AT71" s="5410"/>
      <c r="AU71" s="6606"/>
      <c r="AV71" s="6672"/>
      <c r="AW71" s="5132"/>
      <c r="AX71" s="5132"/>
      <c r="AY71" s="5132"/>
      <c r="AZ71" s="5132"/>
    </row>
    <row r="72" spans="1:52" ht="13.5" thickBot="1">
      <c r="A72" s="5348"/>
      <c r="B72" s="5348"/>
      <c r="C72" s="5348"/>
      <c r="D72" s="5348"/>
      <c r="E72" s="5356"/>
      <c r="F72" s="6568"/>
      <c r="G72" s="6127"/>
      <c r="H72" s="6127"/>
      <c r="I72" s="6127"/>
      <c r="J72" s="6127"/>
      <c r="K72" s="6127"/>
      <c r="L72" s="6127"/>
      <c r="M72" s="6127"/>
      <c r="N72" s="6127"/>
      <c r="O72" s="6127"/>
      <c r="P72" s="6127"/>
      <c r="Q72" s="6127"/>
      <c r="R72" s="6127"/>
      <c r="S72" s="6127"/>
      <c r="T72" s="6127"/>
      <c r="U72" s="6127"/>
      <c r="V72" s="6127"/>
      <c r="W72" s="6127"/>
      <c r="X72" s="6127"/>
      <c r="Y72" s="6127"/>
      <c r="Z72" s="6127"/>
      <c r="AA72" s="6127"/>
      <c r="AB72" s="6127"/>
      <c r="AC72" s="6127"/>
      <c r="AD72" s="6127"/>
      <c r="AE72" s="6706"/>
      <c r="AF72" s="6127"/>
      <c r="AG72" s="6127"/>
      <c r="AH72" s="6127"/>
      <c r="AI72" s="6127"/>
      <c r="AJ72" s="6127"/>
      <c r="AK72" s="6127"/>
      <c r="AL72" s="6671"/>
      <c r="AM72" s="6713"/>
      <c r="AN72" s="5410"/>
      <c r="AO72" s="5410"/>
      <c r="AP72" s="5410"/>
      <c r="AQ72" s="5410"/>
      <c r="AR72" s="5410"/>
      <c r="AS72" s="5410"/>
      <c r="AT72" s="5410"/>
      <c r="AU72" s="6606"/>
      <c r="AV72" s="6672"/>
    </row>
    <row r="73" spans="1:52" ht="18.95" customHeight="1">
      <c r="A73" s="5348"/>
      <c r="B73" s="5348"/>
      <c r="C73" s="5348"/>
      <c r="D73" s="5348"/>
      <c r="E73" s="5356"/>
      <c r="F73" s="9885" t="s">
        <v>2066</v>
      </c>
      <c r="G73" s="9885"/>
      <c r="H73" s="9885"/>
      <c r="I73" s="9885"/>
      <c r="J73" s="9885"/>
      <c r="K73" s="9885"/>
      <c r="L73" s="9885"/>
      <c r="M73" s="9885"/>
      <c r="N73" s="9885"/>
      <c r="O73" s="9885"/>
      <c r="P73" s="9885"/>
      <c r="Q73" s="9885"/>
      <c r="R73" s="9885"/>
      <c r="S73" s="9885"/>
      <c r="T73" s="9885"/>
      <c r="U73" s="9885"/>
      <c r="V73" s="9885"/>
      <c r="W73" s="9885"/>
      <c r="X73" s="9885"/>
      <c r="Y73" s="9885"/>
      <c r="Z73" s="9885"/>
      <c r="AA73" s="9885"/>
      <c r="AB73" s="9885"/>
      <c r="AC73" s="9885"/>
      <c r="AD73" s="9885"/>
      <c r="AE73" s="9885"/>
      <c r="AF73" s="9885"/>
      <c r="AG73" s="9885"/>
      <c r="AH73" s="9885"/>
      <c r="AI73" s="9885"/>
      <c r="AJ73" s="9885"/>
      <c r="AK73" s="9885"/>
      <c r="AL73" s="9885"/>
      <c r="AM73" s="9893"/>
      <c r="AN73" s="5410"/>
      <c r="AO73" s="5410"/>
      <c r="AP73" s="5410"/>
      <c r="AQ73" s="5410"/>
      <c r="AR73" s="5410"/>
      <c r="AS73" s="5410"/>
      <c r="AT73" s="5410"/>
      <c r="AU73" s="6606"/>
      <c r="AV73" s="6672"/>
    </row>
    <row r="74" spans="1:52" s="271" customFormat="1" ht="13.5" thickBot="1">
      <c r="A74" s="5132"/>
      <c r="B74" s="5132"/>
      <c r="C74" s="5132"/>
      <c r="D74" s="5132"/>
      <c r="E74" s="5133"/>
      <c r="F74" s="6569"/>
      <c r="G74" s="6063"/>
      <c r="H74" s="6063"/>
      <c r="I74" s="6063"/>
      <c r="J74" s="6063"/>
      <c r="K74" s="6063"/>
      <c r="L74" s="6063"/>
      <c r="M74" s="6063"/>
      <c r="N74" s="6063"/>
      <c r="O74" s="6063"/>
      <c r="P74" s="6063"/>
      <c r="Q74" s="6063"/>
      <c r="R74" s="6063"/>
      <c r="S74" s="6063"/>
      <c r="T74" s="6063"/>
      <c r="U74" s="6063"/>
      <c r="V74" s="6063"/>
      <c r="W74" s="6063"/>
      <c r="X74" s="6063"/>
      <c r="Y74" s="6063"/>
      <c r="Z74" s="6063"/>
      <c r="AA74" s="6063"/>
      <c r="AB74" s="6063"/>
      <c r="AC74" s="6063"/>
      <c r="AD74" s="6063"/>
      <c r="AE74" s="6707"/>
      <c r="AF74" s="6063"/>
      <c r="AG74" s="6063"/>
      <c r="AH74" s="6063"/>
      <c r="AI74" s="6063"/>
      <c r="AJ74" s="6063"/>
      <c r="AK74" s="6063"/>
      <c r="AL74" s="6063"/>
      <c r="AM74" s="6707"/>
      <c r="AN74" s="6063"/>
      <c r="AO74" s="6063"/>
      <c r="AP74" s="6063"/>
      <c r="AQ74" s="6063"/>
      <c r="AR74" s="6063"/>
      <c r="AS74" s="6063"/>
      <c r="AT74" s="6370"/>
      <c r="AU74" s="6718"/>
      <c r="AV74" s="5133"/>
      <c r="AW74" s="5132"/>
      <c r="AX74" s="5132"/>
      <c r="AY74" s="5132"/>
      <c r="AZ74" s="5132"/>
    </row>
    <row r="75" spans="1:52" s="271" customFormat="1" ht="20.100000000000001" customHeight="1">
      <c r="A75" s="5132"/>
      <c r="B75" s="5132"/>
      <c r="C75" s="5132"/>
      <c r="D75" s="5132"/>
      <c r="E75" s="5133"/>
      <c r="F75" s="9885" t="s">
        <v>2013</v>
      </c>
      <c r="G75" s="9885"/>
      <c r="H75" s="9885"/>
      <c r="I75" s="9885"/>
      <c r="J75" s="9885"/>
      <c r="K75" s="9885"/>
      <c r="L75" s="9885"/>
      <c r="M75" s="9885"/>
      <c r="N75" s="9885"/>
      <c r="O75" s="9885"/>
      <c r="P75" s="9885"/>
      <c r="Q75" s="9885"/>
      <c r="R75" s="9885"/>
      <c r="S75" s="9885"/>
      <c r="T75" s="9885"/>
      <c r="U75" s="9885"/>
      <c r="V75" s="9885"/>
      <c r="W75" s="9885"/>
      <c r="X75" s="9885"/>
      <c r="Y75" s="9885"/>
      <c r="Z75" s="9885"/>
      <c r="AA75" s="9885"/>
      <c r="AB75" s="9885"/>
      <c r="AC75" s="9885"/>
      <c r="AD75" s="9885"/>
      <c r="AE75" s="9885"/>
      <c r="AF75" s="9885"/>
      <c r="AG75" s="9885"/>
      <c r="AH75" s="9885"/>
      <c r="AI75" s="9885"/>
      <c r="AJ75" s="9885"/>
      <c r="AK75" s="9885"/>
      <c r="AL75" s="9885"/>
      <c r="AM75" s="9885"/>
      <c r="AN75" s="9885"/>
      <c r="AO75" s="9885"/>
      <c r="AP75" s="9885"/>
      <c r="AQ75" s="9885"/>
      <c r="AR75" s="9885"/>
      <c r="AS75" s="9885"/>
      <c r="AT75" s="9885"/>
      <c r="AU75" s="9885"/>
      <c r="AV75" s="5133"/>
      <c r="AW75" s="5132"/>
      <c r="AX75" s="5132"/>
      <c r="AY75" s="5132"/>
      <c r="AZ75" s="5132"/>
    </row>
    <row r="76" spans="1:52" s="271" customFormat="1" ht="9.9499999999999993" customHeight="1">
      <c r="A76" s="5132"/>
      <c r="B76" s="5132"/>
      <c r="C76" s="5132"/>
      <c r="D76" s="5132"/>
      <c r="E76" s="5133"/>
      <c r="F76" s="6679"/>
      <c r="G76" s="6679"/>
      <c r="H76" s="6679"/>
      <c r="I76" s="6679"/>
      <c r="J76" s="6679"/>
      <c r="K76" s="6679"/>
      <c r="L76" s="6679"/>
      <c r="M76" s="6679"/>
      <c r="N76" s="6679"/>
      <c r="O76" s="6679"/>
      <c r="P76" s="6679"/>
      <c r="Q76" s="6679"/>
      <c r="R76" s="6679"/>
      <c r="S76" s="6679"/>
      <c r="T76" s="6679"/>
      <c r="U76" s="6679"/>
      <c r="V76" s="6679"/>
      <c r="W76" s="6679"/>
      <c r="X76" s="6679"/>
      <c r="Y76" s="6679"/>
      <c r="Z76" s="6679"/>
      <c r="AA76" s="6679"/>
      <c r="AB76" s="6679"/>
      <c r="AC76" s="6679"/>
      <c r="AD76" s="6679"/>
      <c r="AE76" s="6679"/>
      <c r="AF76" s="6679"/>
      <c r="AG76" s="6679"/>
      <c r="AH76" s="6679"/>
      <c r="AI76" s="6679"/>
      <c r="AJ76" s="6679"/>
      <c r="AK76" s="6679"/>
      <c r="AL76" s="6679"/>
      <c r="AM76" s="6679"/>
      <c r="AN76" s="6679"/>
      <c r="AO76" s="6679"/>
      <c r="AP76" s="6679"/>
      <c r="AQ76" s="6679"/>
      <c r="AR76" s="6679"/>
      <c r="AS76" s="6679"/>
      <c r="AT76" s="6679"/>
      <c r="AU76" s="6719"/>
      <c r="AV76" s="5133"/>
      <c r="AW76" s="5132"/>
      <c r="AX76" s="5132"/>
      <c r="AY76" s="5132"/>
      <c r="AZ76" s="5132"/>
    </row>
    <row r="77" spans="1:52" s="271" customFormat="1" ht="12" customHeight="1">
      <c r="A77" s="5132"/>
      <c r="B77" s="5132"/>
      <c r="C77" s="5132"/>
      <c r="D77" s="5132"/>
      <c r="E77" s="5133"/>
      <c r="F77" s="7405"/>
      <c r="G77" s="5939"/>
      <c r="H77" s="5939"/>
      <c r="I77" s="5939"/>
      <c r="J77" s="5939"/>
      <c r="K77" s="5133"/>
      <c r="L77" s="5133"/>
      <c r="M77" s="5133"/>
      <c r="N77" s="5133"/>
      <c r="O77" s="5133"/>
      <c r="P77" s="5133"/>
      <c r="Q77" s="5133"/>
      <c r="R77" s="9845" t="s">
        <v>2330</v>
      </c>
      <c r="S77" s="9846"/>
      <c r="T77" s="9846"/>
      <c r="U77" s="9846"/>
      <c r="V77" s="9846"/>
      <c r="W77" s="9846"/>
      <c r="X77" s="9846"/>
      <c r="Y77" s="9846"/>
      <c r="Z77" s="9846"/>
      <c r="AA77" s="9846"/>
      <c r="AB77" s="9846"/>
      <c r="AC77" s="9846"/>
      <c r="AD77" s="9846"/>
      <c r="AE77" s="9846"/>
      <c r="AF77" s="9846"/>
      <c r="AG77" s="9846"/>
      <c r="AH77" s="9846"/>
      <c r="AI77" s="9846"/>
      <c r="AJ77" s="9846"/>
      <c r="AK77" s="9847"/>
      <c r="AL77" s="6702">
        <f>+AB97</f>
        <v>16</v>
      </c>
      <c r="AM77" s="5939"/>
      <c r="AN77" s="5939"/>
      <c r="AO77" s="5939"/>
      <c r="AP77" s="5939"/>
      <c r="AQ77" s="5939"/>
      <c r="AR77" s="5939"/>
      <c r="AS77" s="5939"/>
      <c r="AT77" s="5939"/>
      <c r="AU77" s="5950"/>
      <c r="AV77" s="5133"/>
      <c r="AW77" s="5132"/>
      <c r="AX77" s="5132"/>
      <c r="AY77" s="5132"/>
      <c r="AZ77" s="5132"/>
    </row>
    <row r="78" spans="1:52" s="271" customFormat="1" ht="12" customHeight="1">
      <c r="A78" s="5132"/>
      <c r="B78" s="5132"/>
      <c r="C78" s="5132"/>
      <c r="D78" s="5132"/>
      <c r="E78" s="5133"/>
      <c r="F78" s="5939"/>
      <c r="G78" s="5939"/>
      <c r="H78" s="5939"/>
      <c r="I78" s="5939"/>
      <c r="J78" s="5939"/>
      <c r="K78" s="5133"/>
      <c r="L78" s="5133"/>
      <c r="M78" s="5133"/>
      <c r="N78" s="5133"/>
      <c r="O78" s="5133"/>
      <c r="P78" s="5133"/>
      <c r="Q78" s="5133"/>
      <c r="R78" s="9848"/>
      <c r="S78" s="9849"/>
      <c r="T78" s="9849"/>
      <c r="U78" s="9849"/>
      <c r="V78" s="9849"/>
      <c r="W78" s="9849"/>
      <c r="X78" s="9849"/>
      <c r="Y78" s="9849"/>
      <c r="Z78" s="9849"/>
      <c r="AA78" s="9849"/>
      <c r="AB78" s="9849"/>
      <c r="AC78" s="9849"/>
      <c r="AD78" s="9849"/>
      <c r="AE78" s="9849"/>
      <c r="AF78" s="9849"/>
      <c r="AG78" s="9849"/>
      <c r="AH78" s="9849"/>
      <c r="AI78" s="9849"/>
      <c r="AJ78" s="9849"/>
      <c r="AK78" s="9850"/>
      <c r="AL78" s="5939"/>
      <c r="AM78" s="5939"/>
      <c r="AN78" s="5939"/>
      <c r="AO78" s="5939"/>
      <c r="AP78" s="5939"/>
      <c r="AQ78" s="5939"/>
      <c r="AR78" s="5939"/>
      <c r="AS78" s="5939"/>
      <c r="AT78" s="5939"/>
      <c r="AU78" s="5950"/>
      <c r="AV78" s="5133"/>
      <c r="AW78" s="5132"/>
      <c r="AX78" s="5132"/>
      <c r="AY78" s="5132"/>
      <c r="AZ78" s="5132"/>
    </row>
    <row r="79" spans="1:52" s="271" customFormat="1" ht="12.75" customHeight="1">
      <c r="A79" s="5132"/>
      <c r="B79" s="5132"/>
      <c r="C79" s="5132"/>
      <c r="D79" s="5132"/>
      <c r="E79" s="5133"/>
      <c r="F79" s="6679"/>
      <c r="G79" s="6679"/>
      <c r="H79" s="6679"/>
      <c r="I79" s="6679"/>
      <c r="J79" s="6679"/>
      <c r="K79" s="6679"/>
      <c r="L79" s="6679"/>
      <c r="M79" s="6679"/>
      <c r="N79" s="6679"/>
      <c r="O79" s="6679"/>
      <c r="P79" s="6679"/>
      <c r="Q79" s="6679"/>
      <c r="R79" s="5133"/>
      <c r="S79" s="5133"/>
      <c r="T79" s="5133"/>
      <c r="U79" s="5133"/>
      <c r="V79" s="5133"/>
      <c r="W79" s="5133"/>
      <c r="X79" s="5133"/>
      <c r="Y79" s="5133"/>
      <c r="Z79" s="5133"/>
      <c r="AA79" s="5133"/>
      <c r="AB79" s="5133"/>
      <c r="AC79" s="5133"/>
      <c r="AD79" s="5133"/>
      <c r="AE79" s="5133"/>
      <c r="AF79" s="5133"/>
      <c r="AG79" s="5133"/>
      <c r="AH79" s="5133"/>
      <c r="AI79" s="5133"/>
      <c r="AJ79" s="5133"/>
      <c r="AK79" s="5133"/>
      <c r="AL79" s="6679"/>
      <c r="AM79" s="6679"/>
      <c r="AN79" s="6679"/>
      <c r="AO79" s="6679"/>
      <c r="AP79" s="6679"/>
      <c r="AQ79" s="6679"/>
      <c r="AR79" s="6679"/>
      <c r="AS79" s="6679"/>
      <c r="AT79" s="6679"/>
      <c r="AU79" s="6719"/>
      <c r="AV79" s="5133"/>
      <c r="AW79" s="5132"/>
      <c r="AX79" s="5132"/>
      <c r="AY79" s="5132"/>
      <c r="AZ79" s="5132"/>
    </row>
    <row r="80" spans="1:52" s="271" customFormat="1">
      <c r="A80" s="5132"/>
      <c r="B80" s="5132"/>
      <c r="C80" s="5132"/>
      <c r="D80" s="5132"/>
      <c r="E80" s="5133"/>
      <c r="F80" s="5938" t="s">
        <v>2244</v>
      </c>
      <c r="G80" s="5948"/>
      <c r="H80" s="5133"/>
      <c r="I80" s="5948"/>
      <c r="J80" s="5948"/>
      <c r="K80" s="5948"/>
      <c r="L80" s="5948"/>
      <c r="M80" s="5948"/>
      <c r="N80" s="5948"/>
      <c r="O80" s="5948"/>
      <c r="P80" s="5948"/>
      <c r="Q80" s="5948"/>
      <c r="R80" s="5948"/>
      <c r="S80" s="5948"/>
      <c r="T80" s="5948"/>
      <c r="U80" s="5948"/>
      <c r="V80" s="5948"/>
      <c r="W80" s="5948"/>
      <c r="X80" s="5948"/>
      <c r="Y80" s="5948"/>
      <c r="Z80" s="5948"/>
      <c r="AA80" s="5948"/>
      <c r="AB80" s="5133"/>
      <c r="AC80" s="5133"/>
      <c r="AD80" s="5133"/>
      <c r="AE80" s="5133"/>
      <c r="AF80" s="5133"/>
      <c r="AG80" s="5133"/>
      <c r="AH80" s="5133"/>
      <c r="AI80" s="5133"/>
      <c r="AJ80" s="5133"/>
      <c r="AK80" s="5133"/>
      <c r="AL80" s="5133"/>
      <c r="AM80" s="5133"/>
      <c r="AN80" s="5133"/>
      <c r="AO80" s="5133"/>
      <c r="AP80" s="5133"/>
      <c r="AQ80" s="5133"/>
      <c r="AR80" s="5133"/>
      <c r="AS80" s="5133"/>
      <c r="AT80" s="5133"/>
      <c r="AU80" s="7885"/>
      <c r="AV80" s="5133"/>
      <c r="AW80" s="5132"/>
      <c r="AX80" s="5132"/>
      <c r="AY80" s="5132"/>
      <c r="AZ80" s="5132"/>
    </row>
    <row r="81" spans="1:52" s="271" customFormat="1" ht="12.75" customHeight="1">
      <c r="A81" s="5132"/>
      <c r="B81" s="5132"/>
      <c r="C81" s="5132"/>
      <c r="D81" s="5132"/>
      <c r="E81" s="5133"/>
      <c r="F81" s="6746">
        <v>1</v>
      </c>
      <c r="G81" s="8815" t="s">
        <v>2447</v>
      </c>
      <c r="H81" s="8815"/>
      <c r="I81" s="8815"/>
      <c r="J81" s="8815"/>
      <c r="K81" s="8815"/>
      <c r="L81" s="8815"/>
      <c r="M81" s="8815"/>
      <c r="N81" s="8815"/>
      <c r="O81" s="8815"/>
      <c r="P81" s="8815"/>
      <c r="Q81" s="8815"/>
      <c r="R81" s="8815"/>
      <c r="S81" s="8815"/>
      <c r="T81" s="8815"/>
      <c r="U81" s="8815"/>
      <c r="V81" s="8815"/>
      <c r="W81" s="8815"/>
      <c r="X81" s="8815"/>
      <c r="Y81" s="8815"/>
      <c r="Z81" s="8815"/>
      <c r="AA81" s="8815"/>
      <c r="AB81" s="6720">
        <f>1+F97</f>
        <v>9</v>
      </c>
      <c r="AC81" s="8815" t="s">
        <v>2402</v>
      </c>
      <c r="AD81" s="8815"/>
      <c r="AE81" s="8815"/>
      <c r="AF81" s="8815"/>
      <c r="AG81" s="8815"/>
      <c r="AH81" s="8815"/>
      <c r="AI81" s="8815"/>
      <c r="AJ81" s="8815"/>
      <c r="AK81" s="8815"/>
      <c r="AL81" s="8815"/>
      <c r="AM81" s="8815"/>
      <c r="AN81" s="8815"/>
      <c r="AO81" s="8815"/>
      <c r="AP81" s="8815"/>
      <c r="AQ81" s="8815"/>
      <c r="AR81" s="8815"/>
      <c r="AS81" s="8815"/>
      <c r="AT81" s="8815"/>
      <c r="AU81" s="5949"/>
      <c r="AV81" s="5949"/>
      <c r="AW81" s="5132"/>
      <c r="AX81" s="5132"/>
      <c r="AY81" s="5132"/>
      <c r="AZ81" s="5132"/>
    </row>
    <row r="82" spans="1:52" s="271" customFormat="1">
      <c r="A82" s="5132"/>
      <c r="B82" s="5132"/>
      <c r="C82" s="5132"/>
      <c r="D82" s="5132"/>
      <c r="E82" s="5133"/>
      <c r="F82" s="6888"/>
      <c r="G82" s="8815"/>
      <c r="H82" s="8815"/>
      <c r="I82" s="8815"/>
      <c r="J82" s="8815"/>
      <c r="K82" s="8815"/>
      <c r="L82" s="8815"/>
      <c r="M82" s="8815"/>
      <c r="N82" s="8815"/>
      <c r="O82" s="8815"/>
      <c r="P82" s="8815"/>
      <c r="Q82" s="8815"/>
      <c r="R82" s="8815"/>
      <c r="S82" s="8815"/>
      <c r="T82" s="8815"/>
      <c r="U82" s="8815"/>
      <c r="V82" s="8815"/>
      <c r="W82" s="8815"/>
      <c r="X82" s="8815"/>
      <c r="Y82" s="8815"/>
      <c r="Z82" s="8815"/>
      <c r="AA82" s="8815"/>
      <c r="AB82" s="5133"/>
      <c r="AC82" s="8815"/>
      <c r="AD82" s="8815"/>
      <c r="AE82" s="8815"/>
      <c r="AF82" s="8815"/>
      <c r="AG82" s="8815"/>
      <c r="AH82" s="8815"/>
      <c r="AI82" s="8815"/>
      <c r="AJ82" s="8815"/>
      <c r="AK82" s="8815"/>
      <c r="AL82" s="8815"/>
      <c r="AM82" s="8815"/>
      <c r="AN82" s="8815"/>
      <c r="AO82" s="8815"/>
      <c r="AP82" s="8815"/>
      <c r="AQ82" s="8815"/>
      <c r="AR82" s="8815"/>
      <c r="AS82" s="8815"/>
      <c r="AT82" s="8815"/>
      <c r="AU82" s="5949"/>
      <c r="AV82" s="5949"/>
      <c r="AW82" s="5132"/>
      <c r="AX82" s="5132"/>
      <c r="AY82" s="5132"/>
      <c r="AZ82" s="5132"/>
    </row>
    <row r="83" spans="1:52" s="271" customFormat="1">
      <c r="A83" s="5132"/>
      <c r="B83" s="5132"/>
      <c r="C83" s="5132"/>
      <c r="D83" s="5132"/>
      <c r="E83" s="5133"/>
      <c r="F83" s="6746">
        <f>1+F81</f>
        <v>2</v>
      </c>
      <c r="G83" s="8815" t="s">
        <v>2413</v>
      </c>
      <c r="H83" s="8815"/>
      <c r="I83" s="8815"/>
      <c r="J83" s="8815"/>
      <c r="K83" s="8815"/>
      <c r="L83" s="8815"/>
      <c r="M83" s="8815"/>
      <c r="N83" s="8815"/>
      <c r="O83" s="8815"/>
      <c r="P83" s="8815"/>
      <c r="Q83" s="8815"/>
      <c r="R83" s="8815"/>
      <c r="S83" s="8815"/>
      <c r="T83" s="8815"/>
      <c r="U83" s="8815"/>
      <c r="V83" s="8815"/>
      <c r="W83" s="8815"/>
      <c r="X83" s="8815"/>
      <c r="Y83" s="8815"/>
      <c r="Z83" s="8815"/>
      <c r="AA83" s="8815"/>
      <c r="AB83" s="6721">
        <f>1+AB81</f>
        <v>10</v>
      </c>
      <c r="AC83" s="8815" t="s">
        <v>2404</v>
      </c>
      <c r="AD83" s="8815"/>
      <c r="AE83" s="8815"/>
      <c r="AF83" s="8815"/>
      <c r="AG83" s="8815"/>
      <c r="AH83" s="8815"/>
      <c r="AI83" s="8815"/>
      <c r="AJ83" s="8815"/>
      <c r="AK83" s="8815"/>
      <c r="AL83" s="8815"/>
      <c r="AM83" s="8815"/>
      <c r="AN83" s="8815"/>
      <c r="AO83" s="8815"/>
      <c r="AP83" s="8815"/>
      <c r="AQ83" s="8815"/>
      <c r="AR83" s="8815"/>
      <c r="AS83" s="8815"/>
      <c r="AT83" s="8815"/>
      <c r="AU83" s="5949"/>
      <c r="AV83" s="5949"/>
      <c r="AW83" s="5132"/>
      <c r="AX83" s="5132"/>
      <c r="AY83" s="5132"/>
      <c r="AZ83" s="5132"/>
    </row>
    <row r="84" spans="1:52" s="271" customFormat="1">
      <c r="A84" s="5132"/>
      <c r="B84" s="5132"/>
      <c r="C84" s="5132"/>
      <c r="D84" s="5132"/>
      <c r="E84" s="5133"/>
      <c r="F84" s="6888"/>
      <c r="G84" s="8815"/>
      <c r="H84" s="8815"/>
      <c r="I84" s="8815"/>
      <c r="J84" s="8815"/>
      <c r="K84" s="8815"/>
      <c r="L84" s="8815"/>
      <c r="M84" s="8815"/>
      <c r="N84" s="8815"/>
      <c r="O84" s="8815"/>
      <c r="P84" s="8815"/>
      <c r="Q84" s="8815"/>
      <c r="R84" s="8815"/>
      <c r="S84" s="8815"/>
      <c r="T84" s="8815"/>
      <c r="U84" s="8815"/>
      <c r="V84" s="8815"/>
      <c r="W84" s="8815"/>
      <c r="X84" s="8815"/>
      <c r="Y84" s="8815"/>
      <c r="Z84" s="8815"/>
      <c r="AA84" s="8815"/>
      <c r="AB84" s="6720"/>
      <c r="AC84" s="8815"/>
      <c r="AD84" s="8815"/>
      <c r="AE84" s="8815"/>
      <c r="AF84" s="8815"/>
      <c r="AG84" s="8815"/>
      <c r="AH84" s="8815"/>
      <c r="AI84" s="8815"/>
      <c r="AJ84" s="8815"/>
      <c r="AK84" s="8815"/>
      <c r="AL84" s="8815"/>
      <c r="AM84" s="8815"/>
      <c r="AN84" s="8815"/>
      <c r="AO84" s="8815"/>
      <c r="AP84" s="8815"/>
      <c r="AQ84" s="8815"/>
      <c r="AR84" s="8815"/>
      <c r="AS84" s="8815"/>
      <c r="AT84" s="8815"/>
      <c r="AU84" s="5949"/>
      <c r="AV84" s="5949"/>
      <c r="AW84" s="5132"/>
      <c r="AX84" s="5132"/>
      <c r="AY84" s="5132"/>
      <c r="AZ84" s="5132"/>
    </row>
    <row r="85" spans="1:52" s="271" customFormat="1" ht="12.75" customHeight="1">
      <c r="A85" s="5132"/>
      <c r="B85" s="5132"/>
      <c r="C85" s="5132"/>
      <c r="D85" s="5132"/>
      <c r="E85" s="5133"/>
      <c r="F85" s="6746">
        <f>1+F83</f>
        <v>3</v>
      </c>
      <c r="G85" s="8808" t="s">
        <v>2391</v>
      </c>
      <c r="H85" s="8808"/>
      <c r="I85" s="8808"/>
      <c r="J85" s="8808"/>
      <c r="K85" s="8808"/>
      <c r="L85" s="8808"/>
      <c r="M85" s="8808"/>
      <c r="N85" s="8808"/>
      <c r="O85" s="8808"/>
      <c r="P85" s="8808"/>
      <c r="Q85" s="8808"/>
      <c r="R85" s="8808"/>
      <c r="S85" s="8808"/>
      <c r="T85" s="8808"/>
      <c r="U85" s="8808"/>
      <c r="V85" s="8808"/>
      <c r="W85" s="8808"/>
      <c r="X85" s="8808"/>
      <c r="Y85" s="8808"/>
      <c r="Z85" s="8808"/>
      <c r="AA85" s="8808"/>
      <c r="AB85" s="6721">
        <f>1+AB83</f>
        <v>11</v>
      </c>
      <c r="AC85" s="8815" t="s">
        <v>2405</v>
      </c>
      <c r="AD85" s="8815"/>
      <c r="AE85" s="8815"/>
      <c r="AF85" s="8815"/>
      <c r="AG85" s="8815"/>
      <c r="AH85" s="8815"/>
      <c r="AI85" s="8815"/>
      <c r="AJ85" s="8815"/>
      <c r="AK85" s="8815"/>
      <c r="AL85" s="8815"/>
      <c r="AM85" s="8815"/>
      <c r="AN85" s="8815"/>
      <c r="AO85" s="8815"/>
      <c r="AP85" s="8815"/>
      <c r="AQ85" s="8815"/>
      <c r="AR85" s="8815"/>
      <c r="AS85" s="8815"/>
      <c r="AT85" s="8815"/>
      <c r="AU85" s="5949"/>
      <c r="AV85" s="5949"/>
      <c r="AW85" s="5132"/>
      <c r="AX85" s="5132"/>
      <c r="AY85" s="5132"/>
      <c r="AZ85" s="5132"/>
    </row>
    <row r="86" spans="1:52" s="271" customFormat="1">
      <c r="A86" s="5132"/>
      <c r="B86" s="5132"/>
      <c r="C86" s="5132"/>
      <c r="D86" s="5132"/>
      <c r="E86" s="5133"/>
      <c r="F86" s="6746"/>
      <c r="G86" s="8808"/>
      <c r="H86" s="8808"/>
      <c r="I86" s="8808"/>
      <c r="J86" s="8808"/>
      <c r="K86" s="8808"/>
      <c r="L86" s="8808"/>
      <c r="M86" s="8808"/>
      <c r="N86" s="8808"/>
      <c r="O86" s="8808"/>
      <c r="P86" s="8808"/>
      <c r="Q86" s="8808"/>
      <c r="R86" s="8808"/>
      <c r="S86" s="8808"/>
      <c r="T86" s="8808"/>
      <c r="U86" s="8808"/>
      <c r="V86" s="8808"/>
      <c r="W86" s="8808"/>
      <c r="X86" s="8808"/>
      <c r="Y86" s="8808"/>
      <c r="Z86" s="8808"/>
      <c r="AA86" s="8808"/>
      <c r="AB86" s="6467"/>
      <c r="AC86" s="8815"/>
      <c r="AD86" s="8815"/>
      <c r="AE86" s="8815"/>
      <c r="AF86" s="8815"/>
      <c r="AG86" s="8815"/>
      <c r="AH86" s="8815"/>
      <c r="AI86" s="8815"/>
      <c r="AJ86" s="8815"/>
      <c r="AK86" s="8815"/>
      <c r="AL86" s="8815"/>
      <c r="AM86" s="8815"/>
      <c r="AN86" s="8815"/>
      <c r="AO86" s="8815"/>
      <c r="AP86" s="8815"/>
      <c r="AQ86" s="8815"/>
      <c r="AR86" s="8815"/>
      <c r="AS86" s="8815"/>
      <c r="AT86" s="8815"/>
      <c r="AU86" s="5949"/>
      <c r="AV86" s="5949"/>
      <c r="AW86" s="5132"/>
      <c r="AX86" s="5132"/>
      <c r="AY86" s="5132"/>
      <c r="AZ86" s="5132"/>
    </row>
    <row r="87" spans="1:52" s="271" customFormat="1" ht="12.75" customHeight="1">
      <c r="A87" s="5132"/>
      <c r="B87" s="5132"/>
      <c r="C87" s="5132"/>
      <c r="D87" s="5132"/>
      <c r="E87" s="5133"/>
      <c r="F87" s="6746">
        <f>1+F85</f>
        <v>4</v>
      </c>
      <c r="G87" s="8808" t="s">
        <v>2844</v>
      </c>
      <c r="H87" s="8808"/>
      <c r="I87" s="8808"/>
      <c r="J87" s="8808"/>
      <c r="K87" s="8808"/>
      <c r="L87" s="8808"/>
      <c r="M87" s="8808"/>
      <c r="N87" s="8808"/>
      <c r="O87" s="8808"/>
      <c r="P87" s="8808"/>
      <c r="Q87" s="8808"/>
      <c r="R87" s="8808"/>
      <c r="S87" s="8808"/>
      <c r="T87" s="8808"/>
      <c r="U87" s="8808"/>
      <c r="V87" s="8808"/>
      <c r="W87" s="8808"/>
      <c r="X87" s="8808"/>
      <c r="Y87" s="8808"/>
      <c r="Z87" s="8808"/>
      <c r="AA87" s="8808"/>
      <c r="AB87" s="6721">
        <f>1+AB85</f>
        <v>12</v>
      </c>
      <c r="AC87" s="8815" t="s">
        <v>2406</v>
      </c>
      <c r="AD87" s="8815"/>
      <c r="AE87" s="8815"/>
      <c r="AF87" s="8815"/>
      <c r="AG87" s="8815"/>
      <c r="AH87" s="8815"/>
      <c r="AI87" s="8815"/>
      <c r="AJ87" s="8815"/>
      <c r="AK87" s="8815"/>
      <c r="AL87" s="8815"/>
      <c r="AM87" s="8815"/>
      <c r="AN87" s="8815"/>
      <c r="AO87" s="8815"/>
      <c r="AP87" s="8815"/>
      <c r="AQ87" s="8815"/>
      <c r="AR87" s="8815"/>
      <c r="AS87" s="8815"/>
      <c r="AT87" s="8815"/>
      <c r="AU87" s="5949"/>
      <c r="AV87" s="5133"/>
      <c r="AW87" s="5132"/>
      <c r="AX87" s="5132"/>
      <c r="AY87" s="5132"/>
      <c r="AZ87" s="5132"/>
    </row>
    <row r="88" spans="1:52" s="271" customFormat="1" ht="12.75" customHeight="1">
      <c r="A88" s="5132"/>
      <c r="B88" s="5132"/>
      <c r="C88" s="5132"/>
      <c r="D88" s="5132"/>
      <c r="E88" s="5133"/>
      <c r="F88" s="6746">
        <f>1+F87</f>
        <v>5</v>
      </c>
      <c r="G88" s="8808" t="s">
        <v>2397</v>
      </c>
      <c r="H88" s="8808"/>
      <c r="I88" s="8808"/>
      <c r="J88" s="8808"/>
      <c r="K88" s="8808"/>
      <c r="L88" s="8808"/>
      <c r="M88" s="8808"/>
      <c r="N88" s="8808"/>
      <c r="O88" s="8808"/>
      <c r="P88" s="8808"/>
      <c r="Q88" s="8808"/>
      <c r="R88" s="8808"/>
      <c r="S88" s="8808"/>
      <c r="T88" s="8808"/>
      <c r="U88" s="8808"/>
      <c r="V88" s="8808"/>
      <c r="W88" s="8808"/>
      <c r="X88" s="8808"/>
      <c r="Y88" s="8808"/>
      <c r="Z88" s="8808"/>
      <c r="AA88" s="8808"/>
      <c r="AB88" s="5133"/>
      <c r="AC88" s="8815"/>
      <c r="AD88" s="8815"/>
      <c r="AE88" s="8815"/>
      <c r="AF88" s="8815"/>
      <c r="AG88" s="8815"/>
      <c r="AH88" s="8815"/>
      <c r="AI88" s="8815"/>
      <c r="AJ88" s="8815"/>
      <c r="AK88" s="8815"/>
      <c r="AL88" s="8815"/>
      <c r="AM88" s="8815"/>
      <c r="AN88" s="8815"/>
      <c r="AO88" s="8815"/>
      <c r="AP88" s="8815"/>
      <c r="AQ88" s="8815"/>
      <c r="AR88" s="8815"/>
      <c r="AS88" s="8815"/>
      <c r="AT88" s="8815"/>
      <c r="AU88" s="5949"/>
      <c r="AV88" s="5133"/>
      <c r="AW88" s="5132"/>
      <c r="AX88" s="5132"/>
      <c r="AY88" s="5132"/>
      <c r="AZ88" s="5132"/>
    </row>
    <row r="89" spans="1:52" s="271" customFormat="1" ht="12.75" customHeight="1">
      <c r="A89" s="5132"/>
      <c r="B89" s="5132"/>
      <c r="C89" s="5132"/>
      <c r="D89" s="5132"/>
      <c r="E89" s="5133"/>
      <c r="F89" s="5353"/>
      <c r="G89" s="8808"/>
      <c r="H89" s="8808"/>
      <c r="I89" s="8808"/>
      <c r="J89" s="8808"/>
      <c r="K89" s="8808"/>
      <c r="L89" s="8808"/>
      <c r="M89" s="8808"/>
      <c r="N89" s="8808"/>
      <c r="O89" s="8808"/>
      <c r="P89" s="8808"/>
      <c r="Q89" s="8808"/>
      <c r="R89" s="8808"/>
      <c r="S89" s="8808"/>
      <c r="T89" s="8808"/>
      <c r="U89" s="8808"/>
      <c r="V89" s="8808"/>
      <c r="W89" s="8808"/>
      <c r="X89" s="8808"/>
      <c r="Y89" s="8808"/>
      <c r="Z89" s="8808"/>
      <c r="AA89" s="8808"/>
      <c r="AB89" s="5133"/>
      <c r="AC89" s="8815"/>
      <c r="AD89" s="8815"/>
      <c r="AE89" s="8815"/>
      <c r="AF89" s="8815"/>
      <c r="AG89" s="8815"/>
      <c r="AH89" s="8815"/>
      <c r="AI89" s="8815"/>
      <c r="AJ89" s="8815"/>
      <c r="AK89" s="8815"/>
      <c r="AL89" s="8815"/>
      <c r="AM89" s="8815"/>
      <c r="AN89" s="8815"/>
      <c r="AO89" s="8815"/>
      <c r="AP89" s="8815"/>
      <c r="AQ89" s="8815"/>
      <c r="AR89" s="8815"/>
      <c r="AS89" s="8815"/>
      <c r="AT89" s="8815"/>
      <c r="AU89" s="5949"/>
      <c r="AV89" s="5133"/>
      <c r="AW89" s="5132"/>
      <c r="AX89" s="5132"/>
      <c r="AY89" s="5132"/>
      <c r="AZ89" s="5132"/>
    </row>
    <row r="90" spans="1:52" s="271" customFormat="1">
      <c r="A90" s="5132"/>
      <c r="B90" s="5132"/>
      <c r="C90" s="5132"/>
      <c r="D90" s="5132"/>
      <c r="E90" s="5133"/>
      <c r="F90" s="6746">
        <f>1+F88</f>
        <v>6</v>
      </c>
      <c r="G90" s="8808" t="s">
        <v>2245</v>
      </c>
      <c r="H90" s="8808"/>
      <c r="I90" s="8808"/>
      <c r="J90" s="8808"/>
      <c r="K90" s="8808"/>
      <c r="L90" s="8808"/>
      <c r="M90" s="8808"/>
      <c r="N90" s="8808"/>
      <c r="O90" s="8808"/>
      <c r="P90" s="8808"/>
      <c r="Q90" s="8808"/>
      <c r="R90" s="8808"/>
      <c r="S90" s="8808"/>
      <c r="T90" s="8808"/>
      <c r="U90" s="8808"/>
      <c r="V90" s="8808"/>
      <c r="W90" s="8808"/>
      <c r="X90" s="8808"/>
      <c r="Y90" s="8808"/>
      <c r="Z90" s="8808"/>
      <c r="AA90" s="8808"/>
      <c r="AB90" s="6721">
        <f>1+AB87</f>
        <v>13</v>
      </c>
      <c r="AC90" s="8815" t="s">
        <v>2407</v>
      </c>
      <c r="AD90" s="8815"/>
      <c r="AE90" s="8815"/>
      <c r="AF90" s="8815"/>
      <c r="AG90" s="8815"/>
      <c r="AH90" s="8815"/>
      <c r="AI90" s="8815"/>
      <c r="AJ90" s="8815"/>
      <c r="AK90" s="8815"/>
      <c r="AL90" s="8815"/>
      <c r="AM90" s="8815"/>
      <c r="AN90" s="8815"/>
      <c r="AO90" s="8815"/>
      <c r="AP90" s="8815"/>
      <c r="AQ90" s="8815"/>
      <c r="AR90" s="8815"/>
      <c r="AS90" s="8815"/>
      <c r="AT90" s="8815"/>
      <c r="AU90" s="5949"/>
      <c r="AV90" s="5133"/>
      <c r="AW90" s="5132"/>
      <c r="AX90" s="5132"/>
      <c r="AY90" s="5132"/>
      <c r="AZ90" s="5132"/>
    </row>
    <row r="91" spans="1:52" s="271" customFormat="1" ht="12.75" customHeight="1">
      <c r="A91" s="5132"/>
      <c r="B91" s="5132"/>
      <c r="C91" s="5132"/>
      <c r="D91" s="5132"/>
      <c r="E91" s="5133"/>
      <c r="F91" s="5353"/>
      <c r="G91" s="6747" t="s">
        <v>2324</v>
      </c>
      <c r="H91" s="8808" t="s">
        <v>2398</v>
      </c>
      <c r="I91" s="8808"/>
      <c r="J91" s="8808"/>
      <c r="K91" s="8808"/>
      <c r="L91" s="8808"/>
      <c r="M91" s="8808"/>
      <c r="N91" s="8808"/>
      <c r="O91" s="8808"/>
      <c r="P91" s="8808"/>
      <c r="Q91" s="8808"/>
      <c r="R91" s="8808"/>
      <c r="S91" s="8808"/>
      <c r="T91" s="8808"/>
      <c r="U91" s="8808"/>
      <c r="V91" s="8808"/>
      <c r="W91" s="8808"/>
      <c r="X91" s="8808"/>
      <c r="Y91" s="8808"/>
      <c r="Z91" s="8808"/>
      <c r="AA91" s="8808"/>
      <c r="AB91" s="6467"/>
      <c r="AC91" s="8815"/>
      <c r="AD91" s="8815"/>
      <c r="AE91" s="8815"/>
      <c r="AF91" s="8815"/>
      <c r="AG91" s="8815"/>
      <c r="AH91" s="8815"/>
      <c r="AI91" s="8815"/>
      <c r="AJ91" s="8815"/>
      <c r="AK91" s="8815"/>
      <c r="AL91" s="8815"/>
      <c r="AM91" s="8815"/>
      <c r="AN91" s="8815"/>
      <c r="AO91" s="8815"/>
      <c r="AP91" s="8815"/>
      <c r="AQ91" s="8815"/>
      <c r="AR91" s="8815"/>
      <c r="AS91" s="8815"/>
      <c r="AT91" s="8815"/>
      <c r="AU91" s="6159"/>
      <c r="AV91" s="5133"/>
      <c r="AW91" s="5132"/>
      <c r="AX91" s="5132"/>
      <c r="AY91" s="5132"/>
      <c r="AZ91" s="5132"/>
    </row>
    <row r="92" spans="1:52" s="271" customFormat="1" ht="12.75" customHeight="1">
      <c r="A92" s="5132"/>
      <c r="B92" s="5132"/>
      <c r="C92" s="5132"/>
      <c r="D92" s="5132"/>
      <c r="E92" s="5133"/>
      <c r="F92" s="5353"/>
      <c r="G92" s="6747"/>
      <c r="H92" s="8808"/>
      <c r="I92" s="8808"/>
      <c r="J92" s="8808"/>
      <c r="K92" s="8808"/>
      <c r="L92" s="8808"/>
      <c r="M92" s="8808"/>
      <c r="N92" s="8808"/>
      <c r="O92" s="8808"/>
      <c r="P92" s="8808"/>
      <c r="Q92" s="8808"/>
      <c r="R92" s="8808"/>
      <c r="S92" s="8808"/>
      <c r="T92" s="8808"/>
      <c r="U92" s="8808"/>
      <c r="V92" s="8808"/>
      <c r="W92" s="8808"/>
      <c r="X92" s="8808"/>
      <c r="Y92" s="8808"/>
      <c r="Z92" s="8808"/>
      <c r="AA92" s="8808"/>
      <c r="AB92" s="6721">
        <f>1+AB90</f>
        <v>14</v>
      </c>
      <c r="AC92" s="9918" t="s">
        <v>2408</v>
      </c>
      <c r="AD92" s="9918"/>
      <c r="AE92" s="9918"/>
      <c r="AF92" s="9918"/>
      <c r="AG92" s="9918"/>
      <c r="AH92" s="9918"/>
      <c r="AI92" s="9918"/>
      <c r="AJ92" s="9918"/>
      <c r="AK92" s="9918"/>
      <c r="AL92" s="9918"/>
      <c r="AM92" s="9918"/>
      <c r="AN92" s="9918"/>
      <c r="AO92" s="9918"/>
      <c r="AP92" s="9918"/>
      <c r="AQ92" s="9918"/>
      <c r="AR92" s="9918"/>
      <c r="AS92" s="9918"/>
      <c r="AT92" s="9918"/>
      <c r="AU92" s="9918"/>
      <c r="AV92" s="5133"/>
      <c r="AW92" s="5132"/>
      <c r="AX92" s="5132"/>
      <c r="AY92" s="5132"/>
      <c r="AZ92" s="5132"/>
    </row>
    <row r="93" spans="1:52" s="271" customFormat="1" ht="12.75" customHeight="1">
      <c r="A93" s="5132"/>
      <c r="B93" s="5132"/>
      <c r="C93" s="5132"/>
      <c r="D93" s="5132"/>
      <c r="E93" s="5133"/>
      <c r="F93" s="6746"/>
      <c r="G93" s="6747" t="s">
        <v>2324</v>
      </c>
      <c r="H93" s="8808" t="s">
        <v>2399</v>
      </c>
      <c r="I93" s="8808"/>
      <c r="J93" s="8808"/>
      <c r="K93" s="8808"/>
      <c r="L93" s="8808"/>
      <c r="M93" s="8808"/>
      <c r="N93" s="8808"/>
      <c r="O93" s="8808"/>
      <c r="P93" s="8808"/>
      <c r="Q93" s="8808"/>
      <c r="R93" s="8808"/>
      <c r="S93" s="8808"/>
      <c r="T93" s="8808"/>
      <c r="U93" s="8808"/>
      <c r="V93" s="8808"/>
      <c r="W93" s="8808"/>
      <c r="X93" s="8808"/>
      <c r="Y93" s="8808"/>
      <c r="Z93" s="8808"/>
      <c r="AA93" s="8808"/>
      <c r="AB93" s="5133"/>
      <c r="AC93" s="9918"/>
      <c r="AD93" s="9918"/>
      <c r="AE93" s="9918"/>
      <c r="AF93" s="9918"/>
      <c r="AG93" s="9918"/>
      <c r="AH93" s="9918"/>
      <c r="AI93" s="9918"/>
      <c r="AJ93" s="9918"/>
      <c r="AK93" s="9918"/>
      <c r="AL93" s="9918"/>
      <c r="AM93" s="9918"/>
      <c r="AN93" s="9918"/>
      <c r="AO93" s="9918"/>
      <c r="AP93" s="9918"/>
      <c r="AQ93" s="9918"/>
      <c r="AR93" s="9918"/>
      <c r="AS93" s="9918"/>
      <c r="AT93" s="9918"/>
      <c r="AU93" s="9918"/>
      <c r="AV93" s="5133"/>
      <c r="AW93" s="5132"/>
      <c r="AX93" s="5132"/>
      <c r="AY93" s="5132"/>
      <c r="AZ93" s="5132"/>
    </row>
    <row r="94" spans="1:52" s="271" customFormat="1" ht="12.75" customHeight="1">
      <c r="A94" s="5132"/>
      <c r="B94" s="5132"/>
      <c r="C94" s="5132"/>
      <c r="D94" s="5132"/>
      <c r="E94" s="5133"/>
      <c r="F94" s="6746">
        <f>1+F90</f>
        <v>7</v>
      </c>
      <c r="G94" s="8815" t="s">
        <v>2400</v>
      </c>
      <c r="H94" s="8815"/>
      <c r="I94" s="8815"/>
      <c r="J94" s="8815"/>
      <c r="K94" s="8815"/>
      <c r="L94" s="8815"/>
      <c r="M94" s="8815"/>
      <c r="N94" s="8815"/>
      <c r="O94" s="8815"/>
      <c r="P94" s="8815"/>
      <c r="Q94" s="8815"/>
      <c r="R94" s="8815"/>
      <c r="S94" s="8815"/>
      <c r="T94" s="8815"/>
      <c r="U94" s="8815"/>
      <c r="V94" s="8815"/>
      <c r="W94" s="8815"/>
      <c r="X94" s="8815"/>
      <c r="Y94" s="8815"/>
      <c r="Z94" s="8815"/>
      <c r="AA94" s="8815"/>
      <c r="AB94" s="6721">
        <f>1+AB92</f>
        <v>15</v>
      </c>
      <c r="AC94" s="9918" t="s">
        <v>2409</v>
      </c>
      <c r="AD94" s="9918"/>
      <c r="AE94" s="9918"/>
      <c r="AF94" s="9918"/>
      <c r="AG94" s="9918"/>
      <c r="AH94" s="9918"/>
      <c r="AI94" s="9918"/>
      <c r="AJ94" s="9918"/>
      <c r="AK94" s="9918"/>
      <c r="AL94" s="9918"/>
      <c r="AM94" s="9918"/>
      <c r="AN94" s="9918"/>
      <c r="AO94" s="9918"/>
      <c r="AP94" s="9918"/>
      <c r="AQ94" s="9918"/>
      <c r="AR94" s="9918"/>
      <c r="AS94" s="9918"/>
      <c r="AT94" s="9918"/>
      <c r="AU94" s="5133"/>
      <c r="AV94" s="5133"/>
      <c r="AW94" s="5132"/>
      <c r="AX94" s="5132"/>
      <c r="AY94" s="5132"/>
      <c r="AZ94" s="5132"/>
    </row>
    <row r="95" spans="1:52" s="271" customFormat="1" ht="12.75" customHeight="1">
      <c r="A95" s="5132"/>
      <c r="B95" s="5132"/>
      <c r="C95" s="5132"/>
      <c r="D95" s="5132"/>
      <c r="E95" s="5133"/>
      <c r="F95" s="6746"/>
      <c r="G95" s="8815"/>
      <c r="H95" s="8815"/>
      <c r="I95" s="8815"/>
      <c r="J95" s="8815"/>
      <c r="K95" s="8815"/>
      <c r="L95" s="8815"/>
      <c r="M95" s="8815"/>
      <c r="N95" s="8815"/>
      <c r="O95" s="8815"/>
      <c r="P95" s="8815"/>
      <c r="Q95" s="8815"/>
      <c r="R95" s="8815"/>
      <c r="S95" s="8815"/>
      <c r="T95" s="8815"/>
      <c r="U95" s="8815"/>
      <c r="V95" s="8815"/>
      <c r="W95" s="8815"/>
      <c r="X95" s="8815"/>
      <c r="Y95" s="8815"/>
      <c r="Z95" s="8815"/>
      <c r="AA95" s="8815"/>
      <c r="AB95" s="6467"/>
      <c r="AC95" s="9875" t="s">
        <v>2410</v>
      </c>
      <c r="AD95" s="9875"/>
      <c r="AE95" s="9875"/>
      <c r="AF95" s="9875"/>
      <c r="AG95" s="9875"/>
      <c r="AH95" s="9875"/>
      <c r="AI95" s="9875"/>
      <c r="AJ95" s="9875"/>
      <c r="AK95" s="9875"/>
      <c r="AL95" s="9875"/>
      <c r="AM95" s="9875"/>
      <c r="AN95" s="9875"/>
      <c r="AO95" s="9875"/>
      <c r="AP95" s="9875"/>
      <c r="AQ95" s="9875"/>
      <c r="AR95" s="9875"/>
      <c r="AS95" s="9875"/>
      <c r="AT95" s="9875"/>
      <c r="AU95" s="5133"/>
      <c r="AV95" s="5133"/>
      <c r="AW95" s="5132"/>
      <c r="AX95" s="5132"/>
      <c r="AY95" s="5132"/>
      <c r="AZ95" s="5132"/>
    </row>
    <row r="96" spans="1:52" s="271" customFormat="1" ht="12.75" customHeight="1">
      <c r="A96" s="5132"/>
      <c r="B96" s="5132"/>
      <c r="C96" s="5132"/>
      <c r="D96" s="5132"/>
      <c r="E96" s="5133"/>
      <c r="F96" s="6746"/>
      <c r="G96" s="8815"/>
      <c r="H96" s="8815"/>
      <c r="I96" s="8815"/>
      <c r="J96" s="8815"/>
      <c r="K96" s="8815"/>
      <c r="L96" s="8815"/>
      <c r="M96" s="8815"/>
      <c r="N96" s="8815"/>
      <c r="O96" s="8815"/>
      <c r="P96" s="8815"/>
      <c r="Q96" s="8815"/>
      <c r="R96" s="8815"/>
      <c r="S96" s="8815"/>
      <c r="T96" s="8815"/>
      <c r="U96" s="8815"/>
      <c r="V96" s="8815"/>
      <c r="W96" s="8815"/>
      <c r="X96" s="8815"/>
      <c r="Y96" s="8815"/>
      <c r="Z96" s="8815"/>
      <c r="AA96" s="8815"/>
      <c r="AB96" s="6467"/>
      <c r="AC96" s="9875" t="s">
        <v>2411</v>
      </c>
      <c r="AD96" s="9875"/>
      <c r="AE96" s="9875"/>
      <c r="AF96" s="9875"/>
      <c r="AG96" s="9875"/>
      <c r="AH96" s="9875"/>
      <c r="AI96" s="9875"/>
      <c r="AJ96" s="9875"/>
      <c r="AK96" s="9875"/>
      <c r="AL96" s="9875"/>
      <c r="AM96" s="9875"/>
      <c r="AN96" s="9875"/>
      <c r="AO96" s="9875"/>
      <c r="AP96" s="9875"/>
      <c r="AQ96" s="9875"/>
      <c r="AR96" s="9875"/>
      <c r="AS96" s="9875"/>
      <c r="AT96" s="9875"/>
      <c r="AU96" s="7886"/>
      <c r="AV96" s="5133"/>
      <c r="AW96" s="5132"/>
      <c r="AX96" s="5132"/>
      <c r="AY96" s="5132"/>
      <c r="AZ96" s="5132"/>
    </row>
    <row r="97" spans="1:52" s="271" customFormat="1" ht="12.75" customHeight="1">
      <c r="A97" s="5132"/>
      <c r="B97" s="5132"/>
      <c r="C97" s="5132"/>
      <c r="D97" s="5132"/>
      <c r="E97" s="5133"/>
      <c r="F97" s="6746">
        <f>1+F94</f>
        <v>8</v>
      </c>
      <c r="G97" s="8815" t="s">
        <v>2401</v>
      </c>
      <c r="H97" s="8815"/>
      <c r="I97" s="8815"/>
      <c r="J97" s="8815"/>
      <c r="K97" s="8815"/>
      <c r="L97" s="8815"/>
      <c r="M97" s="8815"/>
      <c r="N97" s="8815"/>
      <c r="O97" s="8815"/>
      <c r="P97" s="8815"/>
      <c r="Q97" s="8815"/>
      <c r="R97" s="8815"/>
      <c r="S97" s="8815"/>
      <c r="T97" s="8815"/>
      <c r="U97" s="8815"/>
      <c r="V97" s="8815"/>
      <c r="W97" s="8815"/>
      <c r="X97" s="8815"/>
      <c r="Y97" s="8815"/>
      <c r="Z97" s="8815"/>
      <c r="AA97" s="8815"/>
      <c r="AB97" s="6721">
        <f>1+AB94</f>
        <v>16</v>
      </c>
      <c r="AC97" s="9917" t="s">
        <v>2412</v>
      </c>
      <c r="AD97" s="9917"/>
      <c r="AE97" s="9917"/>
      <c r="AF97" s="9917"/>
      <c r="AG97" s="9917"/>
      <c r="AH97" s="9917"/>
      <c r="AI97" s="9917"/>
      <c r="AJ97" s="9917"/>
      <c r="AK97" s="9917"/>
      <c r="AL97" s="9917"/>
      <c r="AM97" s="9917"/>
      <c r="AN97" s="9917"/>
      <c r="AO97" s="9917"/>
      <c r="AP97" s="9917"/>
      <c r="AQ97" s="9917"/>
      <c r="AR97" s="9917"/>
      <c r="AS97" s="9917"/>
      <c r="AT97" s="9917"/>
      <c r="AU97" s="6722"/>
      <c r="AV97" s="5133"/>
      <c r="AW97" s="5132"/>
      <c r="AX97" s="5132"/>
      <c r="AY97" s="5132"/>
      <c r="AZ97" s="5132"/>
    </row>
    <row r="98" spans="1:52" s="271" customFormat="1" ht="12.75" customHeight="1">
      <c r="A98" s="5132"/>
      <c r="B98" s="5132"/>
      <c r="C98" s="5132"/>
      <c r="D98" s="5132"/>
      <c r="E98" s="5133"/>
      <c r="F98" s="6746"/>
      <c r="G98" s="8815"/>
      <c r="H98" s="8815"/>
      <c r="I98" s="8815"/>
      <c r="J98" s="8815"/>
      <c r="K98" s="8815"/>
      <c r="L98" s="8815"/>
      <c r="M98" s="8815"/>
      <c r="N98" s="8815"/>
      <c r="O98" s="8815"/>
      <c r="P98" s="8815"/>
      <c r="Q98" s="8815"/>
      <c r="R98" s="8815"/>
      <c r="S98" s="8815"/>
      <c r="T98" s="8815"/>
      <c r="U98" s="8815"/>
      <c r="V98" s="8815"/>
      <c r="W98" s="8815"/>
      <c r="X98" s="8815"/>
      <c r="Y98" s="8815"/>
      <c r="Z98" s="8815"/>
      <c r="AA98" s="8815"/>
      <c r="AB98" s="5133"/>
      <c r="AC98" s="5133"/>
      <c r="AD98" s="5133"/>
      <c r="AE98" s="5133"/>
      <c r="AF98" s="5133"/>
      <c r="AG98" s="5133"/>
      <c r="AH98" s="5133"/>
      <c r="AI98" s="5133"/>
      <c r="AJ98" s="5133"/>
      <c r="AK98" s="5133"/>
      <c r="AL98" s="5133"/>
      <c r="AM98" s="5133"/>
      <c r="AN98" s="5133"/>
      <c r="AO98" s="5133"/>
      <c r="AP98" s="5133"/>
      <c r="AQ98" s="5133"/>
      <c r="AR98" s="5133"/>
      <c r="AS98" s="5133"/>
      <c r="AT98" s="5133"/>
      <c r="AU98" s="6722"/>
      <c r="AV98" s="5133"/>
      <c r="AW98" s="5132"/>
      <c r="AX98" s="5132"/>
      <c r="AY98" s="5132"/>
      <c r="AZ98" s="5132"/>
    </row>
    <row r="99" spans="1:52" s="271" customFormat="1">
      <c r="A99" s="5132"/>
      <c r="B99" s="5132"/>
      <c r="C99" s="5132"/>
      <c r="D99" s="5132"/>
      <c r="E99" s="5133"/>
      <c r="F99" s="5353"/>
      <c r="G99" s="5949"/>
      <c r="H99" s="5949"/>
      <c r="I99" s="5949"/>
      <c r="J99" s="5949"/>
      <c r="K99" s="5949"/>
      <c r="L99" s="5949"/>
      <c r="M99" s="5949"/>
      <c r="N99" s="5949"/>
      <c r="O99" s="5949"/>
      <c r="P99" s="5949"/>
      <c r="Q99" s="5949"/>
      <c r="R99" s="5949"/>
      <c r="S99" s="5949"/>
      <c r="T99" s="5949"/>
      <c r="U99" s="5949"/>
      <c r="V99" s="5949"/>
      <c r="W99" s="5949"/>
      <c r="X99" s="5949"/>
      <c r="Y99" s="5949"/>
      <c r="Z99" s="5949"/>
      <c r="AA99" s="5949"/>
      <c r="AB99" s="5133"/>
      <c r="AC99" s="5133"/>
      <c r="AD99" s="5133"/>
      <c r="AE99" s="5133"/>
      <c r="AF99" s="5133"/>
      <c r="AG99" s="5133"/>
      <c r="AH99" s="5133"/>
      <c r="AI99" s="5133"/>
      <c r="AJ99" s="5133"/>
      <c r="AK99" s="5133"/>
      <c r="AL99" s="5133"/>
      <c r="AM99" s="5133"/>
      <c r="AN99" s="5133"/>
      <c r="AO99" s="5133"/>
      <c r="AP99" s="5133"/>
      <c r="AQ99" s="5133"/>
      <c r="AR99" s="5133"/>
      <c r="AS99" s="5133"/>
      <c r="AT99" s="5133"/>
      <c r="AU99" s="5133"/>
      <c r="AV99" s="5133"/>
      <c r="AW99" s="5132"/>
      <c r="AX99" s="5132"/>
      <c r="AY99" s="5132"/>
      <c r="AZ99" s="5132"/>
    </row>
    <row r="100" spans="1:52" s="271" customFormat="1">
      <c r="A100" s="5132"/>
      <c r="B100" s="5132"/>
      <c r="C100" s="5132"/>
      <c r="D100" s="5132"/>
      <c r="E100" s="5133"/>
      <c r="F100" s="5133"/>
      <c r="G100" s="5133"/>
      <c r="H100" s="5133"/>
      <c r="I100" s="5133"/>
      <c r="J100" s="5133"/>
      <c r="K100" s="5133"/>
      <c r="L100" s="5133"/>
      <c r="M100" s="5133"/>
      <c r="N100" s="5133"/>
      <c r="O100" s="5133"/>
      <c r="P100" s="5133"/>
      <c r="Q100" s="5133"/>
      <c r="R100" s="5133"/>
      <c r="S100" s="5133"/>
      <c r="T100" s="5133"/>
      <c r="U100" s="5133"/>
      <c r="V100" s="5133"/>
      <c r="W100" s="5133"/>
      <c r="X100" s="5133"/>
      <c r="Y100" s="5133"/>
      <c r="Z100" s="5133"/>
      <c r="AA100" s="5133"/>
      <c r="AB100" s="5133"/>
      <c r="AC100" s="5133"/>
      <c r="AD100" s="5133"/>
      <c r="AE100" s="5133"/>
      <c r="AF100" s="5133"/>
      <c r="AG100" s="5133"/>
      <c r="AH100" s="5133"/>
      <c r="AI100" s="5133"/>
      <c r="AJ100" s="5133"/>
      <c r="AK100" s="5133"/>
      <c r="AL100" s="5133"/>
      <c r="AM100" s="5133"/>
      <c r="AN100" s="5133"/>
      <c r="AO100" s="5133"/>
      <c r="AP100" s="5133"/>
      <c r="AQ100" s="5133"/>
      <c r="AR100" s="5133"/>
      <c r="AS100" s="5133"/>
      <c r="AT100" s="5133"/>
      <c r="AU100" s="5133"/>
      <c r="AV100" s="5133"/>
      <c r="AW100" s="5132"/>
      <c r="AX100" s="5132"/>
      <c r="AY100" s="5132"/>
      <c r="AZ100" s="5132"/>
    </row>
    <row r="101" spans="1:52" s="5132" customFormat="1" ht="219.95" customHeight="1"/>
    <row r="102" spans="1:52" s="5132" customFormat="1" ht="219.95" customHeight="1">
      <c r="AE102" s="5142"/>
      <c r="AM102" s="5142"/>
      <c r="AU102" s="5138"/>
    </row>
    <row r="103" spans="1:52" s="5132" customFormat="1" ht="219.95" customHeight="1">
      <c r="AE103" s="5142"/>
      <c r="AM103" s="5142"/>
      <c r="AU103" s="5138"/>
    </row>
    <row r="104" spans="1:52" s="5132" customFormat="1" ht="219.95" customHeight="1">
      <c r="AE104" s="5142"/>
      <c r="AM104" s="5142"/>
      <c r="AU104" s="5138"/>
    </row>
    <row r="105" spans="1:52" s="5132" customFormat="1" ht="219.95" customHeight="1">
      <c r="AE105" s="5142"/>
      <c r="AM105" s="5142"/>
      <c r="AU105" s="5138"/>
    </row>
    <row r="106" spans="1:52" hidden="1"/>
    <row r="107" spans="1:52" hidden="1"/>
    <row r="108" spans="1:52" hidden="1"/>
    <row r="109" spans="1:52" hidden="1"/>
    <row r="110" spans="1:52" hidden="1"/>
    <row r="111" spans="1:52" hidden="1"/>
    <row r="112" spans="1:5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t="12.75" hidden="1" customHeight="1"/>
    <row r="130" hidden="1"/>
    <row r="131" hidden="1"/>
    <row r="132" hidden="1"/>
    <row r="133" ht="12.75" hidden="1" customHeight="1"/>
    <row r="134" hidden="1"/>
    <row r="135" hidden="1"/>
    <row r="136" hidden="1"/>
    <row r="137" hidden="1"/>
    <row r="138" hidden="1"/>
    <row r="139" ht="12.75" hidden="1" customHeight="1"/>
    <row r="140" hidden="1"/>
    <row r="141" hidden="1"/>
    <row r="142" hidden="1"/>
    <row r="143" hidden="1"/>
    <row r="144" ht="12.75" hidden="1" customHeight="1"/>
    <row r="145" ht="12.75" hidden="1" customHeight="1"/>
    <row r="146" ht="13.5" hidden="1" customHeight="1"/>
    <row r="147" ht="12.75" hidden="1" customHeight="1"/>
    <row r="148" ht="13.5" hidden="1" customHeight="1"/>
    <row r="149" ht="12.75" hidden="1" customHeight="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row r="233"/>
    <row r="234"/>
    <row r="235"/>
    <row r="236"/>
  </sheetData>
  <sheetProtection password="C665" sheet="1" objects="1" scenarios="1"/>
  <mergeCells count="69">
    <mergeCell ref="G97:AA98"/>
    <mergeCell ref="AC97:AT97"/>
    <mergeCell ref="AC94:AT94"/>
    <mergeCell ref="H93:AA93"/>
    <mergeCell ref="H91:AA92"/>
    <mergeCell ref="AC92:AU93"/>
    <mergeCell ref="AC95:AT95"/>
    <mergeCell ref="AO13:AT13"/>
    <mergeCell ref="AO14:AT14"/>
    <mergeCell ref="AP15:AR16"/>
    <mergeCell ref="K61:K62"/>
    <mergeCell ref="L61:L62"/>
    <mergeCell ref="AH15:AK16"/>
    <mergeCell ref="AD53:AD54"/>
    <mergeCell ref="Y55:AB56"/>
    <mergeCell ref="AC55:AC56"/>
    <mergeCell ref="AD55:AD56"/>
    <mergeCell ref="O14:T14"/>
    <mergeCell ref="G14:L14"/>
    <mergeCell ref="AG55:AJ56"/>
    <mergeCell ref="AK55:AK56"/>
    <mergeCell ref="AL55:AL56"/>
    <mergeCell ref="AO55:AS56"/>
    <mergeCell ref="G9:AT9"/>
    <mergeCell ref="F75:AU75"/>
    <mergeCell ref="L53:L54"/>
    <mergeCell ref="G11:T11"/>
    <mergeCell ref="G70:T70"/>
    <mergeCell ref="Y11:AT11"/>
    <mergeCell ref="G55:J56"/>
    <mergeCell ref="K55:K56"/>
    <mergeCell ref="O13:T13"/>
    <mergeCell ref="Y13:AD13"/>
    <mergeCell ref="AG13:AL13"/>
    <mergeCell ref="G13:L13"/>
    <mergeCell ref="G58:L58"/>
    <mergeCell ref="F73:AM73"/>
    <mergeCell ref="AG14:AL14"/>
    <mergeCell ref="Y14:AD14"/>
    <mergeCell ref="G67:J67"/>
    <mergeCell ref="K65:K67"/>
    <mergeCell ref="L65:L67"/>
    <mergeCell ref="G65:J66"/>
    <mergeCell ref="Y70:AD70"/>
    <mergeCell ref="AC83:AT84"/>
    <mergeCell ref="AC96:AT96"/>
    <mergeCell ref="G83:AA84"/>
    <mergeCell ref="AC81:AT82"/>
    <mergeCell ref="G94:AA96"/>
    <mergeCell ref="G85:AA86"/>
    <mergeCell ref="G87:AA87"/>
    <mergeCell ref="G88:AA89"/>
    <mergeCell ref="AC87:AT89"/>
    <mergeCell ref="AP37:AR38"/>
    <mergeCell ref="R77:AK78"/>
    <mergeCell ref="AC85:AT86"/>
    <mergeCell ref="AC90:AT91"/>
    <mergeCell ref="T53:T54"/>
    <mergeCell ref="AO70:AT70"/>
    <mergeCell ref="AT55:AT56"/>
    <mergeCell ref="AG70:AL70"/>
    <mergeCell ref="O55:R56"/>
    <mergeCell ref="S55:S56"/>
    <mergeCell ref="T55:T56"/>
    <mergeCell ref="G90:AA90"/>
    <mergeCell ref="G81:AA82"/>
    <mergeCell ref="G59:L60"/>
    <mergeCell ref="G64:L64"/>
    <mergeCell ref="L55:L56"/>
  </mergeCells>
  <hyperlinks>
    <hyperlink ref="AC8" location="'9(cst)'!A88" display="'9(cst)'!A88"/>
    <hyperlink ref="M14" location="'9(cst)'!A88" display="'9(cst)'!A88"/>
    <hyperlink ref="M49" location="'9(cst)'!A90" display="'9(cst)'!A90"/>
    <hyperlink ref="M53" location="'9(cst)'!A95" display="'9(cst)'!A95"/>
    <hyperlink ref="M59" location="'9(cst)'!A97" display="'9(cst)'!A97"/>
    <hyperlink ref="M65" location="'9(cst)'!A99" display="'9(cst)'!A99"/>
    <hyperlink ref="U53" location="'9(cst)'!AB86" display="'9(cst)'!AB86"/>
    <hyperlink ref="U55" location="'9(cst)'!AB88" display="'9(cst)'!AB88"/>
    <hyperlink ref="U14" location="'9(cst)'!A101" display="'9(cst)'!A101"/>
    <hyperlink ref="AE14" location="'9(cst)'!AB90" display="'9(cst)'!AB90"/>
    <hyperlink ref="AE55" location="'9(cst)'!AB93" display="'9(cst)'!AB93"/>
    <hyperlink ref="AM14" location="'9(cst)'!AB95" display="'9(cst)'!AB95"/>
    <hyperlink ref="AM55" location="'9(cst)'!AB97" display="'9(cst)'!AB97"/>
    <hyperlink ref="AU14" location="'9(cst)'!AB100" display="'9(cst)'!AB100"/>
    <hyperlink ref="AL77" location="'9(cst)'!AB102" display="'9(cst)'!AB102"/>
    <hyperlink ref="AD8" location="'9(cst)'!A90" display="'9(cst)'!A90"/>
    <hyperlink ref="E5" location="'Table of Contents'!A1" display="x"/>
  </hyperlinks>
  <pageMargins left="0.7" right="0.2" top="0.1" bottom="0.1" header="0" footer="0"/>
  <pageSetup paperSize="5" scale="50" orientation="landscape" r:id="rId1"/>
</worksheet>
</file>

<file path=xl/worksheets/sheet11.xml><?xml version="1.0" encoding="utf-8"?>
<worksheet xmlns="http://schemas.openxmlformats.org/spreadsheetml/2006/main" xmlns:r="http://schemas.openxmlformats.org/officeDocument/2006/relationships">
  <sheetPr>
    <tabColor rgb="FFFFFFCC"/>
  </sheetPr>
  <dimension ref="A1:AL385"/>
  <sheetViews>
    <sheetView zoomScale="80" zoomScaleNormal="80" zoomScaleSheetLayoutView="90" workbookViewId="0">
      <pane xSplit="4" ySplit="7" topLeftCell="E8" activePane="bottomRight" state="frozen"/>
      <selection activeCell="G6" sqref="G6"/>
      <selection pane="topRight" activeCell="G6" sqref="G6"/>
      <selection pane="bottomLeft" activeCell="G6" sqref="G6"/>
      <selection pane="bottomRight" activeCell="H37" sqref="H37:AI38"/>
    </sheetView>
  </sheetViews>
  <sheetFormatPr defaultColWidth="0" defaultRowHeight="12.75" zeroHeight="1"/>
  <cols>
    <col min="1" max="1" width="3.5703125" customWidth="1"/>
    <col min="2" max="3" width="3.85546875" customWidth="1"/>
    <col min="4" max="4" width="2.7109375" customWidth="1"/>
    <col min="5" max="5" width="3.5703125" customWidth="1"/>
    <col min="6" max="6" width="4.7109375" customWidth="1"/>
    <col min="7" max="8" width="2.7109375" customWidth="1"/>
    <col min="9" max="9" width="2.7109375" style="271" customWidth="1"/>
    <col min="10" max="10" width="12.140625" customWidth="1"/>
    <col min="11" max="11" width="7.7109375" style="271" customWidth="1"/>
    <col min="12" max="12" width="10.7109375" customWidth="1"/>
    <col min="13" max="13" width="3.7109375" customWidth="1"/>
    <col min="14" max="15" width="2.7109375" customWidth="1"/>
    <col min="16" max="16" width="7.5703125" customWidth="1"/>
    <col min="17" max="17" width="6" style="271" customWidth="1"/>
    <col min="18" max="18" width="7.7109375" style="271" customWidth="1"/>
    <col min="19" max="19" width="11.28515625" customWidth="1"/>
    <col min="20" max="20" width="4.28515625" customWidth="1"/>
    <col min="21" max="21" width="1.7109375" customWidth="1"/>
    <col min="22" max="22" width="3.7109375" customWidth="1"/>
    <col min="23" max="24" width="2.7109375" customWidth="1"/>
    <col min="25" max="25" width="13.140625" style="271" customWidth="1"/>
    <col min="26" max="26" width="8.7109375" style="271" customWidth="1"/>
    <col min="27" max="27" width="12.7109375" customWidth="1"/>
    <col min="28" max="28" width="4.28515625" customWidth="1"/>
    <col min="29" max="29" width="1.7109375" customWidth="1"/>
    <col min="30" max="30" width="3.7109375" style="271" customWidth="1"/>
    <col min="31" max="32" width="2.7109375" customWidth="1"/>
    <col min="33" max="33" width="13.85546875" customWidth="1"/>
    <col min="34" max="34" width="7.7109375" style="271" customWidth="1"/>
    <col min="35" max="35" width="11.7109375" customWidth="1"/>
    <col min="36" max="36" width="4.28515625" customWidth="1"/>
    <col min="37" max="37" width="4.28515625" style="271" customWidth="1"/>
    <col min="38" max="38" width="3.7109375" customWidth="1"/>
    <col min="39" max="44" width="40.7109375" style="5132" customWidth="1"/>
    <col min="45" max="50" width="16.7109375" style="5132" customWidth="1"/>
    <col min="51" max="52" width="40.7109375" style="5132" customWidth="1"/>
    <col min="53" max="16384" width="0" style="5132" hidden="1"/>
  </cols>
  <sheetData>
    <row r="1" spans="1:38">
      <c r="A1" s="5132"/>
      <c r="B1" s="5132"/>
      <c r="C1" s="5132"/>
      <c r="D1" s="5132"/>
      <c r="E1" s="5133"/>
      <c r="F1" s="5133"/>
      <c r="G1" s="5133"/>
      <c r="H1" s="5133"/>
      <c r="I1" s="5133"/>
      <c r="J1" s="5133"/>
      <c r="K1" s="5133"/>
      <c r="L1" s="5133"/>
      <c r="M1" s="5133"/>
      <c r="N1" s="5133"/>
      <c r="O1" s="5133"/>
      <c r="P1" s="5133"/>
      <c r="Q1" s="5133"/>
      <c r="R1" s="5133"/>
      <c r="S1" s="5133"/>
      <c r="T1" s="5133"/>
      <c r="U1" s="5133"/>
      <c r="V1" s="5133"/>
      <c r="W1" s="5133"/>
      <c r="X1" s="5133"/>
      <c r="Y1" s="5133"/>
      <c r="Z1" s="5133"/>
      <c r="AA1" s="5133"/>
      <c r="AB1" s="5133"/>
      <c r="AC1" s="5133"/>
      <c r="AD1" s="5133"/>
      <c r="AE1" s="5133"/>
      <c r="AF1" s="5133"/>
      <c r="AG1" s="5133"/>
      <c r="AH1" s="5133"/>
      <c r="AI1" s="5133"/>
      <c r="AJ1" s="5133"/>
      <c r="AK1" s="5133"/>
      <c r="AL1" s="5133"/>
    </row>
    <row r="2" spans="1:38">
      <c r="A2" s="5132"/>
      <c r="B2" s="5132"/>
      <c r="C2" s="5132"/>
      <c r="D2" s="5132"/>
      <c r="E2" s="5133"/>
      <c r="F2" s="6736" t="s">
        <v>2023</v>
      </c>
      <c r="G2" s="6737"/>
      <c r="H2" s="6738"/>
      <c r="I2" s="6738"/>
      <c r="J2" s="6738"/>
      <c r="K2" s="6738"/>
      <c r="L2" s="6738"/>
      <c r="M2" s="6738"/>
      <c r="N2" s="6738"/>
      <c r="O2" s="6738"/>
      <c r="P2" s="6738"/>
      <c r="Q2" s="6738"/>
      <c r="R2" s="6738"/>
      <c r="S2" s="6738"/>
      <c r="T2" s="6738"/>
      <c r="U2" s="6738"/>
      <c r="V2" s="6738"/>
      <c r="W2" s="6738"/>
      <c r="X2" s="6738"/>
      <c r="Y2" s="6738"/>
      <c r="Z2" s="6738"/>
      <c r="AA2" s="6738"/>
      <c r="AB2" s="6738"/>
      <c r="AC2" s="6738"/>
      <c r="AD2" s="6738"/>
      <c r="AE2" s="6738"/>
      <c r="AF2" s="6738"/>
      <c r="AG2" s="6738"/>
      <c r="AH2" s="6738"/>
      <c r="AI2" s="6738"/>
      <c r="AJ2" s="6738"/>
      <c r="AK2" s="6739"/>
      <c r="AL2" s="5133"/>
    </row>
    <row r="3" spans="1:38" ht="12.75" customHeight="1">
      <c r="A3" s="5132"/>
      <c r="B3" s="5132"/>
      <c r="C3" s="5132"/>
      <c r="D3" s="5132"/>
      <c r="E3" s="5133"/>
      <c r="F3" s="8748" t="s">
        <v>2021</v>
      </c>
      <c r="G3" s="7405" t="s">
        <v>2586</v>
      </c>
      <c r="H3" s="7405"/>
      <c r="I3" s="7405"/>
      <c r="J3" s="7405"/>
      <c r="K3" s="7405"/>
      <c r="L3" s="7405"/>
      <c r="M3" s="7405"/>
      <c r="N3" s="7405"/>
      <c r="O3" s="7405"/>
      <c r="P3" s="7405"/>
      <c r="Q3" s="7405"/>
      <c r="R3" s="7405"/>
      <c r="S3" s="7405"/>
      <c r="T3" s="7405"/>
      <c r="U3" s="7405"/>
      <c r="V3" s="7405"/>
      <c r="W3" s="7405"/>
      <c r="X3" s="7405"/>
      <c r="Y3" s="7405"/>
      <c r="Z3" s="7405"/>
      <c r="AA3" s="7405"/>
      <c r="AB3" s="7405"/>
      <c r="AC3" s="7405"/>
      <c r="AD3" s="7405"/>
      <c r="AE3" s="7405"/>
      <c r="AF3" s="7405"/>
      <c r="AG3" s="7405"/>
      <c r="AH3" s="7405"/>
      <c r="AI3" s="7405"/>
      <c r="AJ3" s="7405"/>
      <c r="AK3" s="6741"/>
      <c r="AL3" s="5133"/>
    </row>
    <row r="4" spans="1:38" ht="12.75" customHeight="1">
      <c r="A4" s="5132"/>
      <c r="B4" s="5132"/>
      <c r="C4" s="5132"/>
      <c r="D4" s="5132"/>
      <c r="E4" s="5133"/>
      <c r="F4" s="8748" t="s">
        <v>2021</v>
      </c>
      <c r="G4" s="7405" t="s">
        <v>2587</v>
      </c>
      <c r="H4" s="7405"/>
      <c r="I4" s="7405"/>
      <c r="J4" s="7405"/>
      <c r="K4" s="7405"/>
      <c r="L4" s="7405"/>
      <c r="M4" s="7405"/>
      <c r="N4" s="7405"/>
      <c r="O4" s="7405"/>
      <c r="P4" s="7405"/>
      <c r="Q4" s="7405"/>
      <c r="R4" s="7405"/>
      <c r="S4" s="7405"/>
      <c r="T4" s="7405"/>
      <c r="U4" s="7405"/>
      <c r="V4" s="7405"/>
      <c r="W4" s="7405"/>
      <c r="X4" s="7405"/>
      <c r="Y4" s="7405"/>
      <c r="Z4" s="7405"/>
      <c r="AA4" s="7405"/>
      <c r="AB4" s="7405"/>
      <c r="AC4" s="7405"/>
      <c r="AD4" s="7405"/>
      <c r="AE4" s="7405"/>
      <c r="AF4" s="7405"/>
      <c r="AG4" s="7405"/>
      <c r="AH4" s="7405"/>
      <c r="AI4" s="7405"/>
      <c r="AJ4" s="7405"/>
      <c r="AK4" s="6741"/>
      <c r="AL4" s="5133"/>
    </row>
    <row r="5" spans="1:38">
      <c r="A5" s="5132"/>
      <c r="B5" s="5132"/>
      <c r="C5" s="5132"/>
      <c r="D5" s="5132"/>
      <c r="E5" s="5133"/>
      <c r="F5" s="8749" t="s">
        <v>2021</v>
      </c>
      <c r="G5" s="6742" t="s">
        <v>2842</v>
      </c>
      <c r="H5" s="6742"/>
      <c r="I5" s="6742"/>
      <c r="J5" s="6742"/>
      <c r="K5" s="6742"/>
      <c r="L5" s="6742"/>
      <c r="M5" s="6742"/>
      <c r="N5" s="6742"/>
      <c r="O5" s="6742"/>
      <c r="P5" s="6742"/>
      <c r="Q5" s="6742"/>
      <c r="R5" s="6742"/>
      <c r="S5" s="6742"/>
      <c r="T5" s="6742"/>
      <c r="U5" s="6742"/>
      <c r="V5" s="6742"/>
      <c r="W5" s="6742"/>
      <c r="X5" s="6742"/>
      <c r="Y5" s="6742"/>
      <c r="Z5" s="6742"/>
      <c r="AA5" s="6742"/>
      <c r="AB5" s="6742"/>
      <c r="AC5" s="6742"/>
      <c r="AD5" s="6742"/>
      <c r="AE5" s="6742"/>
      <c r="AF5" s="6742"/>
      <c r="AG5" s="6742"/>
      <c r="AH5" s="6742"/>
      <c r="AI5" s="6742"/>
      <c r="AJ5" s="6742"/>
      <c r="AK5" s="6743"/>
      <c r="AL5" s="5133"/>
    </row>
    <row r="6" spans="1:38">
      <c r="A6" s="5132"/>
      <c r="B6" s="5132"/>
      <c r="C6" s="5132"/>
      <c r="D6" s="5132"/>
      <c r="E6" s="7086" t="s">
        <v>2430</v>
      </c>
      <c r="F6" s="5133"/>
      <c r="G6" s="5133"/>
      <c r="H6" s="5133"/>
      <c r="I6" s="5133"/>
      <c r="J6" s="5133"/>
      <c r="K6" s="5133"/>
      <c r="L6" s="5133"/>
      <c r="M6" s="5133"/>
      <c r="N6" s="5133"/>
      <c r="O6" s="5133"/>
      <c r="P6" s="5133"/>
      <c r="Q6" s="5133"/>
      <c r="R6" s="5133"/>
      <c r="S6" s="5133"/>
      <c r="T6" s="5133"/>
      <c r="U6" s="5133"/>
      <c r="V6" s="5133"/>
      <c r="W6" s="5133"/>
      <c r="X6" s="5133"/>
      <c r="Y6" s="5133"/>
      <c r="Z6" s="5133"/>
      <c r="AA6" s="5133"/>
      <c r="AB6" s="5133"/>
      <c r="AC6" s="5133"/>
      <c r="AD6" s="5133"/>
      <c r="AE6" s="5133"/>
      <c r="AF6" s="5133"/>
      <c r="AG6" s="5133"/>
      <c r="AH6" s="5133"/>
      <c r="AI6" s="5133"/>
      <c r="AJ6" s="5133"/>
      <c r="AK6" s="5133"/>
      <c r="AL6" s="5133"/>
    </row>
    <row r="7" spans="1:38">
      <c r="A7" s="5132"/>
      <c r="B7" s="5132"/>
      <c r="C7" s="5132"/>
      <c r="D7" s="5132"/>
      <c r="E7" s="5132"/>
      <c r="F7" s="5132"/>
      <c r="G7" s="5132"/>
      <c r="H7" s="5132"/>
      <c r="I7" s="5132"/>
      <c r="J7" s="5132"/>
      <c r="K7" s="5132"/>
      <c r="L7" s="5132"/>
      <c r="M7" s="5132"/>
      <c r="N7" s="5132"/>
      <c r="O7" s="5132"/>
      <c r="P7" s="5132"/>
      <c r="Q7" s="5132"/>
      <c r="R7" s="5132"/>
      <c r="S7" s="5132"/>
      <c r="T7" s="5132"/>
      <c r="U7" s="5132"/>
      <c r="V7" s="5132"/>
      <c r="W7" s="5132"/>
      <c r="X7" s="5132"/>
      <c r="Y7" s="5132"/>
      <c r="Z7" s="5132"/>
      <c r="AA7" s="5132"/>
      <c r="AB7" s="5132"/>
      <c r="AC7" s="5132"/>
      <c r="AD7" s="5132"/>
      <c r="AE7" s="5132"/>
      <c r="AF7" s="5132"/>
      <c r="AG7" s="5132"/>
      <c r="AH7" s="5132"/>
      <c r="AI7" s="5132"/>
      <c r="AJ7" s="5132"/>
      <c r="AK7" s="5132"/>
      <c r="AL7" s="5132"/>
    </row>
    <row r="8" spans="1:38">
      <c r="A8" s="5132"/>
      <c r="B8" s="5132"/>
      <c r="C8" s="5132"/>
      <c r="D8" s="5132"/>
      <c r="E8" s="5133"/>
      <c r="F8" s="5133"/>
      <c r="G8" s="5133"/>
      <c r="H8" s="5133"/>
      <c r="I8" s="5133"/>
      <c r="J8" s="5133"/>
      <c r="K8" s="5133"/>
      <c r="L8" s="5133"/>
      <c r="M8" s="5133"/>
      <c r="N8" s="5133"/>
      <c r="O8" s="5133"/>
      <c r="P8" s="5133"/>
      <c r="Q8" s="5133"/>
      <c r="R8" s="5133"/>
      <c r="S8" s="5133"/>
      <c r="T8" s="5133"/>
      <c r="U8" s="5133"/>
      <c r="V8" s="5133"/>
      <c r="W8" s="5133"/>
      <c r="X8" s="5133"/>
      <c r="Y8" s="5133"/>
      <c r="Z8" s="5133"/>
      <c r="AA8" s="5133"/>
      <c r="AB8" s="5133"/>
      <c r="AC8" s="5133"/>
      <c r="AD8" s="5133"/>
      <c r="AE8" s="5133"/>
      <c r="AF8" s="5133"/>
      <c r="AG8" s="5133"/>
      <c r="AH8" s="5133"/>
      <c r="AI8" s="5133"/>
      <c r="AJ8" s="5133"/>
      <c r="AK8" s="5133"/>
      <c r="AL8" s="5133"/>
    </row>
    <row r="9" spans="1:38" ht="18">
      <c r="A9" s="5132"/>
      <c r="B9" s="5132"/>
      <c r="C9" s="5132"/>
      <c r="D9" s="5132"/>
      <c r="E9" s="5133"/>
      <c r="F9" s="6508"/>
      <c r="G9" s="5133"/>
      <c r="H9" s="5133"/>
      <c r="I9" s="5133"/>
      <c r="J9" s="5133"/>
      <c r="K9" s="5133"/>
      <c r="L9" s="5133"/>
      <c r="M9" s="5133"/>
      <c r="N9" s="5133"/>
      <c r="O9" s="5133"/>
      <c r="P9" s="5133"/>
      <c r="Q9" s="5133"/>
      <c r="R9" s="5133"/>
      <c r="S9" s="5133"/>
      <c r="T9" s="5133"/>
      <c r="U9" s="5133"/>
      <c r="V9" s="5133"/>
      <c r="W9" s="5133"/>
      <c r="X9" s="5133"/>
      <c r="Y9" s="5133"/>
      <c r="Z9" s="5133"/>
      <c r="AA9" s="5133"/>
      <c r="AB9" s="5133"/>
      <c r="AC9" s="5133"/>
      <c r="AD9" s="5133"/>
      <c r="AE9" s="5133"/>
      <c r="AF9" s="5133"/>
      <c r="AG9" s="5133"/>
      <c r="AH9" s="5133"/>
      <c r="AI9" s="5133"/>
      <c r="AJ9" s="5133"/>
      <c r="AK9" s="5133"/>
      <c r="AL9" s="5133"/>
    </row>
    <row r="10" spans="1:38" ht="18">
      <c r="A10" s="5132"/>
      <c r="B10" s="5132"/>
      <c r="C10" s="5132"/>
      <c r="D10" s="5132"/>
      <c r="E10" s="5133"/>
      <c r="F10" s="6508"/>
      <c r="G10" s="5133"/>
      <c r="H10" s="5133"/>
      <c r="I10" s="5133"/>
      <c r="J10" s="5133"/>
      <c r="K10" s="5133"/>
      <c r="L10" s="5133"/>
      <c r="M10" s="5133"/>
      <c r="N10" s="5133"/>
      <c r="O10" s="5133"/>
      <c r="P10" s="5133"/>
      <c r="Q10" s="5133"/>
      <c r="R10" s="5133"/>
      <c r="S10" s="5133"/>
      <c r="T10" s="5133"/>
      <c r="U10" s="5133"/>
      <c r="V10" s="5133"/>
      <c r="W10" s="5133"/>
      <c r="X10" s="5133"/>
      <c r="Y10" s="5133"/>
      <c r="Z10" s="5133"/>
      <c r="AA10" s="5133"/>
      <c r="AB10" s="5133"/>
      <c r="AC10" s="5133"/>
      <c r="AD10" s="5133"/>
      <c r="AE10" s="5133"/>
      <c r="AF10" s="5133"/>
      <c r="AG10" s="5133"/>
      <c r="AH10" s="5133"/>
      <c r="AI10" s="5133"/>
      <c r="AJ10" s="5133"/>
      <c r="AK10" s="5133"/>
      <c r="AL10" s="5133"/>
    </row>
    <row r="11" spans="1:38" ht="18">
      <c r="A11" s="5132"/>
      <c r="B11" s="5132"/>
      <c r="C11" s="5132"/>
      <c r="D11" s="5132"/>
      <c r="E11" s="5133"/>
      <c r="F11" s="6508" t="s">
        <v>2335</v>
      </c>
      <c r="G11" s="5133"/>
      <c r="H11" s="5133"/>
      <c r="I11" s="5133"/>
      <c r="J11" s="5133"/>
      <c r="K11" s="5133"/>
      <c r="L11" s="5133"/>
      <c r="M11" s="5133"/>
      <c r="N11" s="5133"/>
      <c r="O11" s="5133"/>
      <c r="P11" s="5133"/>
      <c r="Q11" s="5133"/>
      <c r="R11" s="5133"/>
      <c r="S11" s="5133"/>
      <c r="T11" s="5133"/>
      <c r="U11" s="5133"/>
      <c r="V11" s="5133"/>
      <c r="W11" s="5133"/>
      <c r="X11" s="5133"/>
      <c r="Y11" s="5133"/>
      <c r="Z11" s="5133"/>
      <c r="AA11" s="5133"/>
      <c r="AB11" s="5133"/>
      <c r="AC11" s="5133"/>
      <c r="AD11" s="5133"/>
      <c r="AE11" s="5133"/>
      <c r="AF11" s="5133"/>
      <c r="AG11" s="5133"/>
      <c r="AH11" s="5133"/>
      <c r="AI11" s="5133"/>
      <c r="AJ11" s="5133"/>
      <c r="AK11" s="5133"/>
      <c r="AL11" s="5133"/>
    </row>
    <row r="12" spans="1:38">
      <c r="A12" s="5132"/>
      <c r="B12" s="5132"/>
      <c r="C12" s="5132"/>
      <c r="D12" s="5132"/>
      <c r="E12" s="5133"/>
      <c r="F12" s="5133"/>
      <c r="G12" s="5133"/>
      <c r="H12" s="5133"/>
      <c r="I12" s="5133"/>
      <c r="J12" s="5133"/>
      <c r="K12" s="5133"/>
      <c r="L12" s="5133"/>
      <c r="M12" s="5133"/>
      <c r="N12" s="5133"/>
      <c r="O12" s="5133"/>
      <c r="P12" s="5133"/>
      <c r="Q12" s="5133"/>
      <c r="R12" s="5133"/>
      <c r="S12" s="5133"/>
      <c r="T12" s="5133"/>
      <c r="U12" s="5133"/>
      <c r="V12" s="5133"/>
      <c r="W12" s="5133"/>
      <c r="X12" s="5133"/>
      <c r="Y12" s="6696">
        <f>+F36</f>
        <v>1</v>
      </c>
      <c r="Z12" s="6588">
        <f>+F41</f>
        <v>2</v>
      </c>
      <c r="AB12" s="5133"/>
      <c r="AC12" s="5133"/>
      <c r="AD12" s="5133"/>
      <c r="AE12" s="5133"/>
      <c r="AF12" s="5133"/>
      <c r="AG12" s="5133"/>
      <c r="AH12" s="5133"/>
      <c r="AI12" s="5997" t="s">
        <v>2585</v>
      </c>
      <c r="AJ12" s="5133"/>
      <c r="AK12" s="5133"/>
      <c r="AL12" s="5133"/>
    </row>
    <row r="13" spans="1:38" ht="18.75" thickBot="1">
      <c r="A13" s="5132"/>
      <c r="B13" s="5132"/>
      <c r="C13" s="5132"/>
      <c r="D13" s="5132"/>
      <c r="E13" s="5133"/>
      <c r="F13" s="6370"/>
      <c r="G13" s="9934" t="s">
        <v>2313</v>
      </c>
      <c r="H13" s="9934"/>
      <c r="I13" s="9934"/>
      <c r="J13" s="9934"/>
      <c r="K13" s="9934"/>
      <c r="L13" s="9934"/>
      <c r="M13" s="9934"/>
      <c r="N13" s="9934"/>
      <c r="O13" s="9934"/>
      <c r="P13" s="9934"/>
      <c r="Q13" s="9934"/>
      <c r="R13" s="9934"/>
      <c r="S13" s="9934"/>
      <c r="T13" s="9934"/>
      <c r="U13" s="9934"/>
      <c r="V13" s="9934"/>
      <c r="W13" s="9934"/>
      <c r="X13" s="9934"/>
      <c r="Y13" s="9934"/>
      <c r="Z13" s="9934"/>
      <c r="AA13" s="9934"/>
      <c r="AB13" s="9934"/>
      <c r="AC13" s="9934"/>
      <c r="AD13" s="9934"/>
      <c r="AE13" s="9934"/>
      <c r="AF13" s="9934"/>
      <c r="AG13" s="9934"/>
      <c r="AH13" s="9934"/>
      <c r="AI13" s="9934"/>
      <c r="AJ13" s="9934"/>
      <c r="AK13" s="8746"/>
      <c r="AL13" s="5133"/>
    </row>
    <row r="14" spans="1:38" ht="9.9499999999999993" customHeight="1">
      <c r="A14" s="5132"/>
      <c r="B14" s="5132"/>
      <c r="C14" s="5132"/>
      <c r="D14" s="5132"/>
      <c r="E14" s="5133"/>
      <c r="F14" s="6750"/>
      <c r="G14" s="6751"/>
      <c r="H14" s="6751"/>
      <c r="I14" s="6751"/>
      <c r="J14" s="6751"/>
      <c r="K14" s="6751"/>
      <c r="L14" s="6751"/>
      <c r="M14" s="6751"/>
      <c r="N14" s="6751"/>
      <c r="O14" s="6751"/>
      <c r="P14" s="6751"/>
      <c r="Q14" s="6751"/>
      <c r="R14" s="6751"/>
      <c r="S14" s="6751"/>
      <c r="T14" s="6751"/>
      <c r="U14" s="6751"/>
      <c r="V14" s="6751"/>
      <c r="W14" s="6751"/>
      <c r="X14" s="6751"/>
      <c r="Y14" s="6751"/>
      <c r="Z14" s="6751"/>
      <c r="AA14" s="6751"/>
      <c r="AB14" s="6751"/>
      <c r="AC14" s="6751"/>
      <c r="AD14" s="6751"/>
      <c r="AE14" s="6751"/>
      <c r="AF14" s="6751"/>
      <c r="AG14" s="6751"/>
      <c r="AH14" s="6751"/>
      <c r="AI14" s="6751"/>
      <c r="AJ14" s="6752"/>
      <c r="AK14" s="7405"/>
      <c r="AL14" s="5133"/>
    </row>
    <row r="15" spans="1:38" ht="9.9499999999999993" customHeight="1">
      <c r="A15" s="5132"/>
      <c r="B15" s="5132"/>
      <c r="C15" s="5132"/>
      <c r="D15" s="5132"/>
      <c r="E15" s="5133"/>
      <c r="F15" s="5133"/>
      <c r="G15" s="5133"/>
      <c r="H15" s="5133"/>
      <c r="I15" s="5133"/>
      <c r="J15" s="5133"/>
      <c r="K15" s="5133"/>
      <c r="L15" s="5133"/>
      <c r="M15" s="5133"/>
      <c r="N15" s="5133"/>
      <c r="O15" s="5133"/>
      <c r="P15" s="5133"/>
      <c r="Q15" s="5133"/>
      <c r="R15" s="5133"/>
      <c r="S15" s="5133"/>
      <c r="T15" s="5133"/>
      <c r="U15" s="5118"/>
      <c r="V15" s="5133"/>
      <c r="W15" s="5133"/>
      <c r="X15" s="5133"/>
      <c r="Y15" s="5133"/>
      <c r="Z15" s="5133"/>
      <c r="AA15" s="5133"/>
      <c r="AB15" s="5133"/>
      <c r="AC15" s="5133"/>
      <c r="AD15" s="5133"/>
      <c r="AE15" s="5133"/>
      <c r="AF15" s="5133"/>
      <c r="AG15" s="5133"/>
      <c r="AH15" s="5133"/>
      <c r="AI15" s="5133"/>
      <c r="AJ15" s="5133"/>
      <c r="AK15" s="5133"/>
      <c r="AL15" s="5133"/>
    </row>
    <row r="16" spans="1:38" ht="18">
      <c r="A16" s="5132"/>
      <c r="B16" s="5132"/>
      <c r="C16" s="5132"/>
      <c r="D16" s="5132"/>
      <c r="E16" s="5133"/>
      <c r="F16" s="6559"/>
      <c r="G16" s="7094"/>
      <c r="H16" s="7094"/>
      <c r="I16" s="7094"/>
      <c r="J16" s="7094"/>
      <c r="K16" s="7094"/>
      <c r="L16" s="7094"/>
      <c r="M16" s="6947"/>
      <c r="N16" s="7094"/>
      <c r="O16" s="7095" t="s">
        <v>2307</v>
      </c>
      <c r="P16" s="7096">
        <f>+F48</f>
        <v>5</v>
      </c>
      <c r="Q16" s="7096"/>
      <c r="R16" s="7094"/>
      <c r="S16" s="7094"/>
      <c r="T16" s="6697"/>
      <c r="U16" s="6561"/>
      <c r="V16" s="6559"/>
      <c r="W16" s="9935" t="s">
        <v>2308</v>
      </c>
      <c r="X16" s="9935"/>
      <c r="Y16" s="9935"/>
      <c r="Z16" s="9935"/>
      <c r="AA16" s="9935"/>
      <c r="AB16" s="6685"/>
      <c r="AC16" s="6683"/>
      <c r="AD16" s="6690"/>
      <c r="AE16" s="9935" t="s">
        <v>2314</v>
      </c>
      <c r="AF16" s="9935"/>
      <c r="AG16" s="9935"/>
      <c r="AH16" s="9935"/>
      <c r="AI16" s="9935"/>
      <c r="AJ16" s="6685"/>
      <c r="AK16" s="6683"/>
      <c r="AL16" s="5133"/>
    </row>
    <row r="17" spans="1:38" ht="9.9499999999999993" customHeight="1">
      <c r="A17" s="5348"/>
      <c r="B17" s="5348"/>
      <c r="C17" s="5348"/>
      <c r="D17" s="5348"/>
      <c r="E17" s="5356"/>
      <c r="F17" s="6562"/>
      <c r="G17" s="6680"/>
      <c r="H17" s="6681"/>
      <c r="I17" s="8499"/>
      <c r="J17" s="6681"/>
      <c r="K17" s="6753"/>
      <c r="L17" s="6681"/>
      <c r="M17" s="6681"/>
      <c r="N17" s="6681"/>
      <c r="O17" s="6681"/>
      <c r="P17" s="6681"/>
      <c r="Q17" s="8499"/>
      <c r="R17" s="6753"/>
      <c r="S17" s="6682"/>
      <c r="T17" s="6566"/>
      <c r="U17" s="5415"/>
      <c r="V17" s="6562"/>
      <c r="W17" s="6754"/>
      <c r="X17" s="6753"/>
      <c r="Y17" s="6753"/>
      <c r="Z17" s="6753"/>
      <c r="AA17" s="6755"/>
      <c r="AB17" s="6566"/>
      <c r="AC17" s="5415"/>
      <c r="AD17" s="6562"/>
      <c r="AE17" s="6680"/>
      <c r="AF17" s="6681"/>
      <c r="AG17" s="6681"/>
      <c r="AH17" s="6753"/>
      <c r="AI17" s="6682"/>
      <c r="AJ17" s="6566"/>
      <c r="AK17" s="5415"/>
      <c r="AL17" s="5356"/>
    </row>
    <row r="18" spans="1:38" ht="13.5" thickBot="1">
      <c r="A18" s="5348"/>
      <c r="B18" s="5348"/>
      <c r="C18" s="5348"/>
      <c r="D18" s="5348"/>
      <c r="E18" s="5356"/>
      <c r="F18" s="6562"/>
      <c r="G18" s="9892" t="s">
        <v>2297</v>
      </c>
      <c r="H18" s="9892"/>
      <c r="I18" s="9892"/>
      <c r="J18" s="9892"/>
      <c r="K18" s="9892"/>
      <c r="L18" s="9892"/>
      <c r="M18" s="5415"/>
      <c r="N18" s="9891" t="s">
        <v>2298</v>
      </c>
      <c r="O18" s="9891"/>
      <c r="P18" s="9891"/>
      <c r="Q18" s="9891"/>
      <c r="R18" s="9891"/>
      <c r="S18" s="9891"/>
      <c r="T18" s="6698"/>
      <c r="U18" s="5415"/>
      <c r="V18" s="6562"/>
      <c r="W18" s="6684"/>
      <c r="X18" s="6684"/>
      <c r="Y18" s="6684"/>
      <c r="Z18" s="6684"/>
      <c r="AA18" s="6684"/>
      <c r="AB18" s="6566"/>
      <c r="AC18" s="5415"/>
      <c r="AD18" s="6562"/>
      <c r="AE18" s="6684"/>
      <c r="AF18" s="6684"/>
      <c r="AG18" s="6684"/>
      <c r="AH18" s="6684"/>
      <c r="AI18" s="6684"/>
      <c r="AJ18" s="6566"/>
      <c r="AK18" s="5415"/>
      <c r="AL18" s="5356"/>
    </row>
    <row r="19" spans="1:38" ht="12.75" customHeight="1">
      <c r="A19" s="5348"/>
      <c r="B19" s="5348"/>
      <c r="C19" s="5348"/>
      <c r="D19" s="5348"/>
      <c r="E19" s="5356"/>
      <c r="F19" s="6562"/>
      <c r="G19" s="6590">
        <v>1</v>
      </c>
      <c r="H19" s="9905" t="s">
        <v>2598</v>
      </c>
      <c r="I19" s="9905"/>
      <c r="J19" s="9972"/>
      <c r="K19" s="9330" t="str">
        <f>+$K$31&amp;G19</f>
        <v>A1</v>
      </c>
      <c r="L19" s="9944"/>
      <c r="M19" s="6588">
        <f>+F43</f>
        <v>3</v>
      </c>
      <c r="N19" s="6590">
        <v>1</v>
      </c>
      <c r="O19" s="6678" t="s">
        <v>1385</v>
      </c>
      <c r="P19" s="6592"/>
      <c r="Q19" s="6592"/>
      <c r="R19" s="9330" t="str">
        <f t="shared" ref="R19" si="0">+$R$31&amp;N19</f>
        <v>B1</v>
      </c>
      <c r="S19" s="9944"/>
      <c r="T19" s="6699">
        <f>+F51</f>
        <v>7</v>
      </c>
      <c r="U19" s="6062"/>
      <c r="V19" s="6640"/>
      <c r="W19" s="6590">
        <v>1</v>
      </c>
      <c r="X19" s="6678" t="s">
        <v>1183</v>
      </c>
      <c r="Y19" s="6678"/>
      <c r="Z19" s="9330" t="str">
        <f>+$Z$31&amp;W19</f>
        <v>C1</v>
      </c>
      <c r="AA19" s="9954" t="s">
        <v>2484</v>
      </c>
      <c r="AB19" s="6686">
        <f>+F57</f>
        <v>10</v>
      </c>
      <c r="AC19" s="6062"/>
      <c r="AD19" s="6640"/>
      <c r="AE19" s="6590">
        <v>1</v>
      </c>
      <c r="AF19" s="6678" t="s">
        <v>2448</v>
      </c>
      <c r="AG19" s="6592"/>
      <c r="AH19" s="9946" t="str">
        <f>+$AH$31&amp;AE19</f>
        <v>E1</v>
      </c>
      <c r="AI19" s="9944"/>
      <c r="AJ19" s="6691"/>
      <c r="AK19" s="7405"/>
      <c r="AL19" s="5356"/>
    </row>
    <row r="20" spans="1:38" ht="12.75" customHeight="1">
      <c r="A20" s="5348"/>
      <c r="B20" s="5348"/>
      <c r="C20" s="5348"/>
      <c r="D20" s="5348"/>
      <c r="E20" s="5356"/>
      <c r="F20" s="6562"/>
      <c r="G20" s="6616"/>
      <c r="H20" s="9970"/>
      <c r="I20" s="9970"/>
      <c r="J20" s="9971"/>
      <c r="K20" s="9947"/>
      <c r="L20" s="9945"/>
      <c r="M20" s="6588"/>
      <c r="N20" s="6598"/>
      <c r="O20" s="6599" t="s">
        <v>1984</v>
      </c>
      <c r="P20" s="7103" t="s">
        <v>1300</v>
      </c>
      <c r="Q20" s="7103"/>
      <c r="R20" s="9963"/>
      <c r="S20" s="9951"/>
      <c r="T20" s="6699"/>
      <c r="U20" s="6062"/>
      <c r="V20" s="6640"/>
      <c r="W20" s="6616"/>
      <c r="X20" s="7104"/>
      <c r="Y20" s="7104"/>
      <c r="Z20" s="9958"/>
      <c r="AA20" s="9955"/>
      <c r="AB20" s="6686"/>
      <c r="AC20" s="6062"/>
      <c r="AD20" s="6640"/>
      <c r="AE20" s="6616"/>
      <c r="AF20" s="7104"/>
      <c r="AG20" s="6617"/>
      <c r="AH20" s="9947"/>
      <c r="AI20" s="9945"/>
      <c r="AJ20" s="6691"/>
      <c r="AK20" s="7405"/>
      <c r="AL20" s="5356"/>
    </row>
    <row r="21" spans="1:38" ht="12.75" customHeight="1">
      <c r="A21" s="5348"/>
      <c r="B21" s="5348"/>
      <c r="C21" s="5348"/>
      <c r="D21" s="5348"/>
      <c r="E21" s="5356"/>
      <c r="F21" s="6562"/>
      <c r="G21" s="6598">
        <f>1+G19</f>
        <v>2</v>
      </c>
      <c r="H21" s="7103" t="s">
        <v>2300</v>
      </c>
      <c r="I21" s="7103"/>
      <c r="J21" s="6062"/>
      <c r="K21" s="9956" t="str">
        <f t="shared" ref="K21" si="1">+$K$31&amp;G21</f>
        <v>A2</v>
      </c>
      <c r="L21" s="9948"/>
      <c r="M21" s="6588">
        <f>+F45</f>
        <v>4</v>
      </c>
      <c r="N21" s="6598"/>
      <c r="O21" s="6599" t="s">
        <v>1984</v>
      </c>
      <c r="P21" s="7103" t="s">
        <v>2304</v>
      </c>
      <c r="Q21" s="7103"/>
      <c r="R21" s="9963"/>
      <c r="S21" s="9951"/>
      <c r="T21" s="6589"/>
      <c r="U21" s="6062"/>
      <c r="V21" s="6640"/>
      <c r="W21" s="6598">
        <f>1+W19</f>
        <v>2</v>
      </c>
      <c r="X21" s="8803" t="s">
        <v>2450</v>
      </c>
      <c r="Y21" s="8803"/>
      <c r="Z21" s="9957" t="str">
        <f t="shared" ref="Z21" si="2">+$Z$31&amp;W21</f>
        <v>C2</v>
      </c>
      <c r="AA21" s="8172"/>
      <c r="AB21" s="6686">
        <f>+F58</f>
        <v>11</v>
      </c>
      <c r="AC21" s="6062"/>
      <c r="AD21" s="6640"/>
      <c r="AE21" s="6598">
        <f>1+AE19</f>
        <v>2</v>
      </c>
      <c r="AF21" s="7222" t="s">
        <v>2449</v>
      </c>
      <c r="AG21" s="7225"/>
      <c r="AH21" s="9956" t="str">
        <f t="shared" ref="AH21" si="3">+$AH$31&amp;AE21</f>
        <v>E2</v>
      </c>
      <c r="AI21" s="9948"/>
      <c r="AJ21" s="6691"/>
      <c r="AK21" s="7405"/>
      <c r="AL21" s="5356"/>
    </row>
    <row r="22" spans="1:38" ht="12.75" customHeight="1">
      <c r="A22" s="5348"/>
      <c r="B22" s="5348"/>
      <c r="C22" s="5348"/>
      <c r="D22" s="5348"/>
      <c r="E22" s="5356"/>
      <c r="F22" s="6562"/>
      <c r="G22" s="6598"/>
      <c r="H22" s="6599" t="s">
        <v>1984</v>
      </c>
      <c r="I22" s="6594" t="s">
        <v>2301</v>
      </c>
      <c r="J22" s="5121"/>
      <c r="K22" s="9968"/>
      <c r="L22" s="9949"/>
      <c r="M22" s="6594"/>
      <c r="N22" s="6598"/>
      <c r="O22" s="6599" t="s">
        <v>1984</v>
      </c>
      <c r="P22" s="7103" t="s">
        <v>2780</v>
      </c>
      <c r="Q22" s="7103"/>
      <c r="R22" s="9963"/>
      <c r="S22" s="9951"/>
      <c r="T22" s="6589"/>
      <c r="U22" s="6062"/>
      <c r="V22" s="6640"/>
      <c r="W22" s="6598"/>
      <c r="X22" s="8803"/>
      <c r="Y22" s="8803"/>
      <c r="Z22" s="9957"/>
      <c r="AA22" s="8172"/>
      <c r="AB22" s="6589"/>
      <c r="AC22" s="6062"/>
      <c r="AD22" s="6640"/>
      <c r="AE22" s="6598"/>
      <c r="AF22" s="7103"/>
      <c r="AG22" s="5121"/>
      <c r="AH22" s="9957"/>
      <c r="AI22" s="9949"/>
      <c r="AJ22" s="6691"/>
      <c r="AK22" s="7405"/>
      <c r="AL22" s="5356"/>
    </row>
    <row r="23" spans="1:38" ht="12.75" customHeight="1">
      <c r="A23" s="5348"/>
      <c r="B23" s="5348"/>
      <c r="C23" s="5348"/>
      <c r="D23" s="5348"/>
      <c r="E23" s="5356"/>
      <c r="F23" s="6562"/>
      <c r="G23" s="6598"/>
      <c r="H23" s="6599" t="s">
        <v>1984</v>
      </c>
      <c r="I23" s="6594" t="s">
        <v>1873</v>
      </c>
      <c r="J23" s="5121"/>
      <c r="K23" s="9968" t="str">
        <f t="shared" ref="K23" si="4">+$K$31&amp;G23</f>
        <v>A</v>
      </c>
      <c r="L23" s="9949"/>
      <c r="M23" s="6594"/>
      <c r="N23" s="6616"/>
      <c r="O23" s="6614"/>
      <c r="P23" s="6596"/>
      <c r="Q23" s="6596"/>
      <c r="R23" s="9964"/>
      <c r="S23" s="9945"/>
      <c r="T23" s="6589"/>
      <c r="U23" s="6062"/>
      <c r="V23" s="6640"/>
      <c r="W23" s="6703"/>
      <c r="X23" s="5121"/>
      <c r="Y23" s="5121" t="s">
        <v>2309</v>
      </c>
      <c r="Z23" s="9957" t="str">
        <f t="shared" ref="Z23" si="5">+$Z$31&amp;W23</f>
        <v>C</v>
      </c>
      <c r="AA23" s="8172" t="s">
        <v>2337</v>
      </c>
      <c r="AB23" s="6589"/>
      <c r="AC23" s="6062"/>
      <c r="AD23" s="6640"/>
      <c r="AE23" s="6598"/>
      <c r="AF23" s="7103"/>
      <c r="AG23" s="5121"/>
      <c r="AH23" s="9957" t="str">
        <f t="shared" ref="AH23" si="6">+$AH$31&amp;AE23</f>
        <v>E</v>
      </c>
      <c r="AI23" s="9949"/>
      <c r="AJ23" s="6691"/>
      <c r="AK23" s="7405"/>
      <c r="AL23" s="5356"/>
    </row>
    <row r="24" spans="1:38" ht="12.75" customHeight="1">
      <c r="A24" s="5348"/>
      <c r="B24" s="5348"/>
      <c r="C24" s="5348"/>
      <c r="D24" s="5348"/>
      <c r="E24" s="5356"/>
      <c r="F24" s="6562"/>
      <c r="G24" s="6598"/>
      <c r="H24" s="6599" t="s">
        <v>1984</v>
      </c>
      <c r="I24" s="6594" t="s">
        <v>2302</v>
      </c>
      <c r="J24" s="5121"/>
      <c r="K24" s="9968"/>
      <c r="L24" s="9949"/>
      <c r="M24" s="6594"/>
      <c r="N24" s="7087">
        <f>1+N19</f>
        <v>2</v>
      </c>
      <c r="O24" s="9959" t="s">
        <v>2781</v>
      </c>
      <c r="P24" s="9959"/>
      <c r="Q24" s="9960"/>
      <c r="R24" s="9965" t="str">
        <f>+$R$31&amp;N24</f>
        <v>B2</v>
      </c>
      <c r="S24" s="9948"/>
      <c r="T24" s="6699">
        <f>+F53</f>
        <v>8</v>
      </c>
      <c r="U24" s="6062"/>
      <c r="V24" s="6640"/>
      <c r="W24" s="6703"/>
      <c r="X24" s="5121"/>
      <c r="Y24" s="6945" t="s">
        <v>2310</v>
      </c>
      <c r="Z24" s="9957"/>
      <c r="AA24" s="8172" t="s">
        <v>2337</v>
      </c>
      <c r="AB24" s="6589"/>
      <c r="AC24" s="6062"/>
      <c r="AD24" s="6640"/>
      <c r="AE24" s="6598"/>
      <c r="AF24" s="7103"/>
      <c r="AG24" s="5121"/>
      <c r="AH24" s="9957"/>
      <c r="AI24" s="9949"/>
      <c r="AJ24" s="6691"/>
      <c r="AK24" s="7405"/>
      <c r="AL24" s="5356"/>
    </row>
    <row r="25" spans="1:38" ht="12.75" customHeight="1">
      <c r="A25" s="5348"/>
      <c r="B25" s="5348"/>
      <c r="C25" s="5348"/>
      <c r="D25" s="5348"/>
      <c r="E25" s="5356"/>
      <c r="F25" s="6562"/>
      <c r="G25" s="6598"/>
      <c r="H25" s="6599" t="s">
        <v>1984</v>
      </c>
      <c r="I25" s="6594" t="s">
        <v>1431</v>
      </c>
      <c r="J25" s="5121"/>
      <c r="K25" s="9968" t="str">
        <f t="shared" ref="K25" si="7">+$K$31&amp;G25</f>
        <v>A</v>
      </c>
      <c r="L25" s="9949"/>
      <c r="M25" s="6594"/>
      <c r="N25" s="6607"/>
      <c r="O25" s="8803"/>
      <c r="P25" s="8803"/>
      <c r="Q25" s="9961"/>
      <c r="R25" s="9963"/>
      <c r="S25" s="9949"/>
      <c r="T25" s="6589"/>
      <c r="U25" s="6062"/>
      <c r="V25" s="6640"/>
      <c r="W25" s="6598"/>
      <c r="X25" s="6945"/>
      <c r="Y25" s="8814" t="s">
        <v>2311</v>
      </c>
      <c r="Z25" s="9957" t="str">
        <f t="shared" ref="Z25" si="8">+$Z$31&amp;W25</f>
        <v>C</v>
      </c>
      <c r="AA25" s="8172" t="s">
        <v>2336</v>
      </c>
      <c r="AB25" s="7092"/>
      <c r="AC25" s="5131"/>
      <c r="AD25" s="7093"/>
      <c r="AE25" s="6703"/>
      <c r="AF25" s="5121"/>
      <c r="AG25" s="5121"/>
      <c r="AH25" s="9957" t="str">
        <f t="shared" ref="AH25" si="9">+$AH$31&amp;AE25</f>
        <v>E</v>
      </c>
      <c r="AI25" s="9949"/>
      <c r="AJ25" s="6691"/>
      <c r="AK25" s="7405"/>
      <c r="AL25" s="5356"/>
    </row>
    <row r="26" spans="1:38" ht="12.75" customHeight="1">
      <c r="A26" s="5348"/>
      <c r="B26" s="5348"/>
      <c r="C26" s="5348"/>
      <c r="D26" s="5348"/>
      <c r="E26" s="5356"/>
      <c r="F26" s="6562"/>
      <c r="G26" s="6616"/>
      <c r="H26" s="6614" t="s">
        <v>1984</v>
      </c>
      <c r="I26" s="6615" t="s">
        <v>2303</v>
      </c>
      <c r="J26" s="7091"/>
      <c r="K26" s="9947"/>
      <c r="L26" s="9950"/>
      <c r="M26" s="6594"/>
      <c r="N26" s="6616"/>
      <c r="O26" s="7104"/>
      <c r="P26" s="7091"/>
      <c r="Q26" s="7091"/>
      <c r="R26" s="9964"/>
      <c r="S26" s="9950"/>
      <c r="T26" s="6589"/>
      <c r="U26" s="6062"/>
      <c r="V26" s="6640"/>
      <c r="W26" s="7090"/>
      <c r="X26" s="7091"/>
      <c r="Y26" s="9980"/>
      <c r="Z26" s="9958"/>
      <c r="AA26" s="8173"/>
      <c r="AB26" s="6589"/>
      <c r="AC26" s="6062"/>
      <c r="AD26" s="6640"/>
      <c r="AE26" s="6703"/>
      <c r="AF26" s="5121"/>
      <c r="AG26" s="5121"/>
      <c r="AH26" s="9957"/>
      <c r="AI26" s="9949"/>
      <c r="AJ26" s="6691"/>
      <c r="AK26" s="7405"/>
      <c r="AL26" s="5356"/>
    </row>
    <row r="27" spans="1:38" ht="12.75" customHeight="1">
      <c r="A27" s="5348"/>
      <c r="B27" s="5348"/>
      <c r="C27" s="5348"/>
      <c r="D27" s="5348"/>
      <c r="E27" s="5356"/>
      <c r="F27" s="6562"/>
      <c r="G27" s="7087">
        <f>1+G21</f>
        <v>3</v>
      </c>
      <c r="H27" s="9959" t="s">
        <v>2716</v>
      </c>
      <c r="I27" s="9959"/>
      <c r="J27" s="9969"/>
      <c r="K27" s="9966" t="str">
        <f>+$K$31&amp;G27</f>
        <v>A3</v>
      </c>
      <c r="L27" s="9948"/>
      <c r="M27" s="6588">
        <f>1+M21</f>
        <v>5</v>
      </c>
      <c r="N27" s="6598">
        <f>1+N24</f>
        <v>3</v>
      </c>
      <c r="O27" s="9959" t="s">
        <v>2306</v>
      </c>
      <c r="P27" s="9959"/>
      <c r="Q27" s="9960"/>
      <c r="R27" s="9956" t="str">
        <f>+$R$31&amp;N27</f>
        <v>B3</v>
      </c>
      <c r="S27" s="9948"/>
      <c r="T27" s="6699">
        <f>+F55</f>
        <v>9</v>
      </c>
      <c r="U27" s="6062"/>
      <c r="V27" s="6640"/>
      <c r="W27" s="7087">
        <f>1+W21</f>
        <v>3</v>
      </c>
      <c r="X27" s="7088" t="s">
        <v>2312</v>
      </c>
      <c r="Y27" s="7088"/>
      <c r="Z27" s="9956" t="str">
        <f>+$Z$31&amp;W27</f>
        <v>C3</v>
      </c>
      <c r="AA27" s="9952" t="s">
        <v>2338</v>
      </c>
      <c r="AB27" s="6686">
        <f>+F60</f>
        <v>12</v>
      </c>
      <c r="AC27" s="6062"/>
      <c r="AD27" s="6640"/>
      <c r="AE27" s="6703"/>
      <c r="AF27" s="5121"/>
      <c r="AG27" s="5121"/>
      <c r="AH27" s="9957" t="str">
        <f t="shared" ref="AH27" si="10">+$AH$31&amp;AE27</f>
        <v>E</v>
      </c>
      <c r="AI27" s="9949"/>
      <c r="AJ27" s="6691"/>
      <c r="AK27" s="7405"/>
      <c r="AL27" s="5356"/>
    </row>
    <row r="28" spans="1:38" ht="12.75" customHeight="1">
      <c r="A28" s="5348"/>
      <c r="B28" s="5348"/>
      <c r="C28" s="5348"/>
      <c r="D28" s="5348"/>
      <c r="E28" s="5356"/>
      <c r="F28" s="6562"/>
      <c r="G28" s="6598"/>
      <c r="H28" s="9970"/>
      <c r="I28" s="9970"/>
      <c r="J28" s="9971"/>
      <c r="K28" s="9967"/>
      <c r="L28" s="9949"/>
      <c r="M28" s="6594"/>
      <c r="N28" s="6703"/>
      <c r="O28" s="8803"/>
      <c r="P28" s="8803"/>
      <c r="Q28" s="9961"/>
      <c r="R28" s="9957"/>
      <c r="S28" s="9949"/>
      <c r="T28" s="6589"/>
      <c r="U28" s="6062"/>
      <c r="V28" s="6640"/>
      <c r="W28" s="6598"/>
      <c r="X28" s="7103"/>
      <c r="Y28" s="7103"/>
      <c r="Z28" s="9957"/>
      <c r="AA28" s="9953"/>
      <c r="AB28" s="6589"/>
      <c r="AC28" s="6062"/>
      <c r="AD28" s="6640"/>
      <c r="AE28" s="6703"/>
      <c r="AF28" s="5121"/>
      <c r="AG28" s="5121"/>
      <c r="AH28" s="9957"/>
      <c r="AI28" s="9949"/>
      <c r="AJ28" s="6691"/>
      <c r="AK28" s="7405"/>
      <c r="AL28" s="5356"/>
    </row>
    <row r="29" spans="1:38" ht="12.75" customHeight="1">
      <c r="A29" s="5348"/>
      <c r="B29" s="5348"/>
      <c r="C29" s="5348"/>
      <c r="D29" s="5348"/>
      <c r="E29" s="5356"/>
      <c r="F29" s="6562"/>
      <c r="G29" s="7087">
        <f>1+G27</f>
        <v>4</v>
      </c>
      <c r="H29" s="9973" t="s">
        <v>2599</v>
      </c>
      <c r="I29" s="9974"/>
      <c r="J29" s="9973"/>
      <c r="K29" s="9976" t="str">
        <f>+$K$31&amp;G29</f>
        <v>A4</v>
      </c>
      <c r="L29" s="9978"/>
      <c r="M29" s="6588">
        <f>+F50</f>
        <v>6</v>
      </c>
      <c r="N29" s="6703"/>
      <c r="O29" s="5121"/>
      <c r="P29" s="5121"/>
      <c r="Q29" s="5121"/>
      <c r="R29" s="8177"/>
      <c r="S29" s="8176"/>
      <c r="T29" s="6589"/>
      <c r="U29" s="6062"/>
      <c r="V29" s="6640"/>
      <c r="W29" s="6598"/>
      <c r="X29" s="7103"/>
      <c r="Y29" s="7103"/>
      <c r="Z29" s="8177"/>
      <c r="AA29" s="8183"/>
      <c r="AB29" s="6589"/>
      <c r="AC29" s="6062"/>
      <c r="AD29" s="6640"/>
      <c r="AE29" s="6703"/>
      <c r="AF29" s="5121"/>
      <c r="AG29" s="5121"/>
      <c r="AH29" s="8177"/>
      <c r="AI29" s="8176"/>
      <c r="AJ29" s="6691"/>
      <c r="AK29" s="7405"/>
      <c r="AL29" s="5356"/>
    </row>
    <row r="30" spans="1:38" ht="12.75" customHeight="1" thickBot="1">
      <c r="A30" s="5348"/>
      <c r="B30" s="5348"/>
      <c r="C30" s="5348"/>
      <c r="D30" s="5348"/>
      <c r="E30" s="5356"/>
      <c r="F30" s="6562"/>
      <c r="G30" s="7089"/>
      <c r="H30" s="9975"/>
      <c r="I30" s="9975"/>
      <c r="J30" s="9975"/>
      <c r="K30" s="9977"/>
      <c r="L30" s="9979"/>
      <c r="M30" s="6594"/>
      <c r="N30" s="7223"/>
      <c r="O30" s="7224"/>
      <c r="P30" s="7224"/>
      <c r="Q30" s="7224"/>
      <c r="R30" s="8174"/>
      <c r="S30" s="8175"/>
      <c r="T30" s="6589"/>
      <c r="U30" s="6062"/>
      <c r="V30" s="6640"/>
      <c r="W30" s="7089"/>
      <c r="X30" s="6946"/>
      <c r="Y30" s="6946"/>
      <c r="Z30" s="8174"/>
      <c r="AA30" s="8178"/>
      <c r="AB30" s="6589"/>
      <c r="AC30" s="6062"/>
      <c r="AD30" s="6640"/>
      <c r="AE30" s="6703"/>
      <c r="AF30" s="5121"/>
      <c r="AG30" s="5121"/>
      <c r="AH30" s="8177"/>
      <c r="AI30" s="8176"/>
      <c r="AJ30" s="6691"/>
      <c r="AK30" s="7405"/>
      <c r="AL30" s="5356"/>
    </row>
    <row r="31" spans="1:38" ht="27.95" customHeight="1" thickBot="1">
      <c r="A31" s="5348"/>
      <c r="B31" s="5348"/>
      <c r="C31" s="5348"/>
      <c r="D31" s="5348"/>
      <c r="E31" s="5356"/>
      <c r="F31" s="6562"/>
      <c r="G31" s="9936" t="s">
        <v>2482</v>
      </c>
      <c r="H31" s="9937"/>
      <c r="I31" s="9937"/>
      <c r="J31" s="9938"/>
      <c r="K31" s="7226" t="s">
        <v>2271</v>
      </c>
      <c r="L31" s="6670"/>
      <c r="M31" s="6594"/>
      <c r="N31" s="9939" t="s">
        <v>2483</v>
      </c>
      <c r="O31" s="9940"/>
      <c r="P31" s="9940"/>
      <c r="Q31" s="9941"/>
      <c r="R31" s="7226" t="s">
        <v>2006</v>
      </c>
      <c r="S31" s="6670"/>
      <c r="T31" s="6589"/>
      <c r="U31" s="6062"/>
      <c r="V31" s="6640"/>
      <c r="W31" s="9936" t="s">
        <v>1659</v>
      </c>
      <c r="X31" s="9937"/>
      <c r="Y31" s="9938"/>
      <c r="Z31" s="7226" t="s">
        <v>2019</v>
      </c>
      <c r="AA31" s="6670"/>
      <c r="AB31" s="6589"/>
      <c r="AC31" s="6062"/>
      <c r="AD31" s="6640"/>
      <c r="AE31" s="9939" t="s">
        <v>2485</v>
      </c>
      <c r="AF31" s="9940"/>
      <c r="AG31" s="9941"/>
      <c r="AH31" s="7227" t="s">
        <v>2010</v>
      </c>
      <c r="AI31" s="6756"/>
      <c r="AJ31" s="6686">
        <f>+F61</f>
        <v>13</v>
      </c>
      <c r="AK31" s="8747"/>
      <c r="AL31" s="5356"/>
    </row>
    <row r="32" spans="1:38">
      <c r="A32" s="5348"/>
      <c r="B32" s="5348"/>
      <c r="C32" s="5348"/>
      <c r="D32" s="5348"/>
      <c r="E32" s="5356"/>
      <c r="F32" s="6567"/>
      <c r="G32" s="6688"/>
      <c r="H32" s="6688"/>
      <c r="I32" s="6688"/>
      <c r="J32" s="6688"/>
      <c r="K32" s="6688"/>
      <c r="L32" s="6688"/>
      <c r="M32" s="6695"/>
      <c r="N32" s="6688"/>
      <c r="O32" s="6688"/>
      <c r="P32" s="6688"/>
      <c r="Q32" s="6688"/>
      <c r="R32" s="6688"/>
      <c r="S32" s="6688"/>
      <c r="T32" s="6700"/>
      <c r="U32" s="6062"/>
      <c r="V32" s="6687"/>
      <c r="W32" s="6688"/>
      <c r="X32" s="6688"/>
      <c r="Y32" s="6688"/>
      <c r="Z32" s="6688"/>
      <c r="AA32" s="6688"/>
      <c r="AB32" s="6689"/>
      <c r="AC32" s="6062"/>
      <c r="AD32" s="6687"/>
      <c r="AE32" s="6692"/>
      <c r="AF32" s="6693"/>
      <c r="AG32" s="6693"/>
      <c r="AH32" s="6693"/>
      <c r="AI32" s="6693"/>
      <c r="AJ32" s="6694"/>
      <c r="AK32" s="5415"/>
      <c r="AL32" s="5356"/>
    </row>
    <row r="33" spans="1:38">
      <c r="A33" s="5348"/>
      <c r="B33" s="5348"/>
      <c r="C33" s="5348"/>
      <c r="D33" s="5348"/>
      <c r="E33" s="5356"/>
      <c r="F33" s="6382"/>
      <c r="G33" s="6119"/>
      <c r="H33" s="6119"/>
      <c r="I33" s="6119"/>
      <c r="J33" s="6119"/>
      <c r="K33" s="6119"/>
      <c r="L33" s="6119"/>
      <c r="M33" s="6985"/>
      <c r="N33" s="6119"/>
      <c r="O33" s="6119"/>
      <c r="P33" s="6119"/>
      <c r="Q33" s="6119"/>
      <c r="R33" s="6119"/>
      <c r="S33" s="6119"/>
      <c r="T33" s="6119"/>
      <c r="U33" s="8479"/>
      <c r="V33" s="8479"/>
      <c r="W33" s="6382"/>
      <c r="X33" s="6382"/>
      <c r="Y33" s="6382"/>
      <c r="Z33" s="6382"/>
      <c r="AA33" s="6382"/>
      <c r="AB33" s="8479"/>
      <c r="AC33" s="8479"/>
      <c r="AD33" s="8479"/>
      <c r="AE33" s="8480"/>
      <c r="AF33" s="6637"/>
      <c r="AG33" s="6637"/>
      <c r="AH33" s="6637"/>
      <c r="AI33" s="6637"/>
      <c r="AJ33" s="6382"/>
      <c r="AK33" s="6382"/>
      <c r="AL33" s="5356"/>
    </row>
    <row r="34" spans="1:38">
      <c r="A34" s="5348"/>
      <c r="B34" s="5348"/>
      <c r="C34" s="5348"/>
      <c r="D34" s="5348"/>
      <c r="E34" s="5356"/>
      <c r="F34" s="6382"/>
      <c r="G34" s="6119"/>
      <c r="H34" s="6119"/>
      <c r="I34" s="6119"/>
      <c r="J34" s="6119"/>
      <c r="K34" s="6119"/>
      <c r="L34" s="6119"/>
      <c r="M34" s="6985"/>
      <c r="N34" s="6119"/>
      <c r="O34" s="6119"/>
      <c r="P34" s="6119"/>
      <c r="Q34" s="6119"/>
      <c r="R34" s="6119"/>
      <c r="S34" s="6119"/>
      <c r="T34" s="6119"/>
      <c r="U34" s="8479"/>
      <c r="V34" s="8479"/>
      <c r="W34" s="6382"/>
      <c r="X34" s="6382"/>
      <c r="Y34" s="6382"/>
      <c r="Z34" s="6382"/>
      <c r="AA34" s="6382"/>
      <c r="AB34" s="8479"/>
      <c r="AC34" s="8479"/>
      <c r="AD34" s="8479"/>
      <c r="AE34" s="8480"/>
      <c r="AF34" s="6637"/>
      <c r="AG34" s="6637"/>
      <c r="AH34" s="6637"/>
      <c r="AI34" s="6637"/>
      <c r="AJ34" s="6382"/>
      <c r="AK34" s="6382"/>
      <c r="AL34" s="5356"/>
    </row>
    <row r="35" spans="1:38">
      <c r="A35" s="5132"/>
      <c r="B35" s="5132"/>
      <c r="C35" s="5132"/>
      <c r="D35" s="5132"/>
      <c r="E35" s="5133"/>
      <c r="F35" s="8481" t="s">
        <v>2244</v>
      </c>
      <c r="G35" s="8482"/>
      <c r="H35" s="6119"/>
      <c r="I35" s="6119"/>
      <c r="J35" s="8482"/>
      <c r="K35" s="8482"/>
      <c r="L35" s="8482"/>
      <c r="M35" s="8482"/>
      <c r="N35" s="8482"/>
      <c r="O35" s="8482"/>
      <c r="P35" s="8482"/>
      <c r="Q35" s="8482"/>
      <c r="R35" s="8482"/>
      <c r="S35" s="8482"/>
      <c r="T35" s="8482"/>
      <c r="U35" s="8482"/>
      <c r="V35" s="8482"/>
      <c r="W35" s="8482"/>
      <c r="X35" s="8482"/>
      <c r="Y35" s="8482"/>
      <c r="Z35" s="8482"/>
      <c r="AA35" s="8482"/>
      <c r="AB35" s="8482"/>
      <c r="AC35" s="8482"/>
      <c r="AD35" s="8482"/>
      <c r="AE35" s="8482"/>
      <c r="AF35" s="8482"/>
      <c r="AG35" s="8482"/>
      <c r="AH35" s="8482"/>
      <c r="AI35" s="8482"/>
      <c r="AJ35" s="8482"/>
      <c r="AK35" s="8482"/>
      <c r="AL35" s="5133"/>
    </row>
    <row r="36" spans="1:38">
      <c r="A36" s="5132"/>
      <c r="B36" s="5132"/>
      <c r="C36" s="5132"/>
      <c r="D36" s="5132"/>
      <c r="E36" s="5133"/>
      <c r="F36" s="8483">
        <v>1</v>
      </c>
      <c r="G36" s="8482" t="s">
        <v>2714</v>
      </c>
      <c r="H36" s="6119"/>
      <c r="I36" s="6119"/>
      <c r="J36" s="8482"/>
      <c r="K36" s="8482"/>
      <c r="L36" s="8482"/>
      <c r="M36" s="8482"/>
      <c r="N36" s="8482"/>
      <c r="O36" s="8482"/>
      <c r="P36" s="8482"/>
      <c r="Q36" s="8482"/>
      <c r="R36" s="8482"/>
      <c r="S36" s="8482"/>
      <c r="T36" s="8482"/>
      <c r="U36" s="8482"/>
      <c r="V36" s="8482"/>
      <c r="W36" s="8482"/>
      <c r="X36" s="8482"/>
      <c r="Y36" s="8482"/>
      <c r="Z36" s="8482"/>
      <c r="AA36" s="8482"/>
      <c r="AB36" s="8482"/>
      <c r="AC36" s="8482"/>
      <c r="AD36" s="8482"/>
      <c r="AE36" s="8482"/>
      <c r="AF36" s="8482"/>
      <c r="AG36" s="8482"/>
      <c r="AH36" s="8482"/>
      <c r="AI36" s="8482"/>
      <c r="AJ36" s="8482"/>
      <c r="AK36" s="8482"/>
      <c r="AL36" s="5133"/>
    </row>
    <row r="37" spans="1:38">
      <c r="A37" s="5132"/>
      <c r="B37" s="5132"/>
      <c r="C37" s="5132"/>
      <c r="D37" s="5132"/>
      <c r="E37" s="5133"/>
      <c r="F37" s="8481"/>
      <c r="G37" s="8482" t="s">
        <v>1984</v>
      </c>
      <c r="H37" s="9942" t="s">
        <v>2715</v>
      </c>
      <c r="I37" s="9942"/>
      <c r="J37" s="9942"/>
      <c r="K37" s="9942"/>
      <c r="L37" s="9942"/>
      <c r="M37" s="9942"/>
      <c r="N37" s="9942"/>
      <c r="O37" s="9942"/>
      <c r="P37" s="9942"/>
      <c r="Q37" s="9942"/>
      <c r="R37" s="9942"/>
      <c r="S37" s="9942"/>
      <c r="T37" s="9942"/>
      <c r="U37" s="9942"/>
      <c r="V37" s="9942"/>
      <c r="W37" s="9942"/>
      <c r="X37" s="9942"/>
      <c r="Y37" s="9942"/>
      <c r="Z37" s="9942"/>
      <c r="AA37" s="9942"/>
      <c r="AB37" s="9942"/>
      <c r="AC37" s="9942"/>
      <c r="AD37" s="9942"/>
      <c r="AE37" s="9942"/>
      <c r="AF37" s="9942"/>
      <c r="AG37" s="9942"/>
      <c r="AH37" s="9942"/>
      <c r="AI37" s="9942"/>
      <c r="AJ37" s="8482"/>
      <c r="AK37" s="8482"/>
      <c r="AL37" s="5133"/>
    </row>
    <row r="38" spans="1:38">
      <c r="A38" s="5132"/>
      <c r="B38" s="5132"/>
      <c r="C38" s="5132"/>
      <c r="D38" s="5132"/>
      <c r="E38" s="5133"/>
      <c r="F38" s="8481"/>
      <c r="G38" s="8482"/>
      <c r="H38" s="9942"/>
      <c r="I38" s="9942"/>
      <c r="J38" s="9942"/>
      <c r="K38" s="9942"/>
      <c r="L38" s="9942"/>
      <c r="M38" s="9942"/>
      <c r="N38" s="9942"/>
      <c r="O38" s="9942"/>
      <c r="P38" s="9942"/>
      <c r="Q38" s="9942"/>
      <c r="R38" s="9942"/>
      <c r="S38" s="9942"/>
      <c r="T38" s="9942"/>
      <c r="U38" s="9942"/>
      <c r="V38" s="9942"/>
      <c r="W38" s="9942"/>
      <c r="X38" s="9942"/>
      <c r="Y38" s="9942"/>
      <c r="Z38" s="9942"/>
      <c r="AA38" s="9942"/>
      <c r="AB38" s="9942"/>
      <c r="AC38" s="9942"/>
      <c r="AD38" s="9942"/>
      <c r="AE38" s="9942"/>
      <c r="AF38" s="9942"/>
      <c r="AG38" s="9942"/>
      <c r="AH38" s="9942"/>
      <c r="AI38" s="9942"/>
      <c r="AJ38" s="8482"/>
      <c r="AK38" s="8482"/>
      <c r="AL38" s="5133"/>
    </row>
    <row r="39" spans="1:38">
      <c r="A39" s="5132"/>
      <c r="B39" s="5132"/>
      <c r="C39" s="5132"/>
      <c r="D39" s="5132"/>
      <c r="E39" s="5133"/>
      <c r="F39" s="8481"/>
      <c r="G39" s="8482" t="s">
        <v>1984</v>
      </c>
      <c r="H39" s="9943" t="s">
        <v>2782</v>
      </c>
      <c r="I39" s="9943"/>
      <c r="J39" s="9943"/>
      <c r="K39" s="9943"/>
      <c r="L39" s="9943"/>
      <c r="M39" s="9943"/>
      <c r="N39" s="9943"/>
      <c r="O39" s="9943"/>
      <c r="P39" s="9943"/>
      <c r="Q39" s="9943"/>
      <c r="R39" s="9943"/>
      <c r="S39" s="9943"/>
      <c r="T39" s="9943"/>
      <c r="U39" s="9943"/>
      <c r="V39" s="9943"/>
      <c r="W39" s="9943"/>
      <c r="X39" s="9943"/>
      <c r="Y39" s="9943"/>
      <c r="Z39" s="9943"/>
      <c r="AA39" s="9943"/>
      <c r="AB39" s="9943"/>
      <c r="AC39" s="9943"/>
      <c r="AD39" s="9943"/>
      <c r="AE39" s="9943"/>
      <c r="AF39" s="9943"/>
      <c r="AG39" s="9943"/>
      <c r="AH39" s="9943"/>
      <c r="AI39" s="9943"/>
      <c r="AJ39" s="8482"/>
      <c r="AK39" s="8482"/>
      <c r="AL39" s="5133"/>
    </row>
    <row r="40" spans="1:38">
      <c r="A40" s="5132"/>
      <c r="B40" s="5132"/>
      <c r="C40" s="5132"/>
      <c r="D40" s="5132"/>
      <c r="E40" s="5133"/>
      <c r="F40" s="8481"/>
      <c r="G40" s="8482"/>
      <c r="H40" s="9943"/>
      <c r="I40" s="9943"/>
      <c r="J40" s="9943"/>
      <c r="K40" s="9943"/>
      <c r="L40" s="9943"/>
      <c r="M40" s="9943"/>
      <c r="N40" s="9943"/>
      <c r="O40" s="9943"/>
      <c r="P40" s="9943"/>
      <c r="Q40" s="9943"/>
      <c r="R40" s="9943"/>
      <c r="S40" s="9943"/>
      <c r="T40" s="9943"/>
      <c r="U40" s="9943"/>
      <c r="V40" s="9943"/>
      <c r="W40" s="9943"/>
      <c r="X40" s="9943"/>
      <c r="Y40" s="9943"/>
      <c r="Z40" s="9943"/>
      <c r="AA40" s="9943"/>
      <c r="AB40" s="9943"/>
      <c r="AC40" s="9943"/>
      <c r="AD40" s="9943"/>
      <c r="AE40" s="9943"/>
      <c r="AF40" s="9943"/>
      <c r="AG40" s="9943"/>
      <c r="AH40" s="9943"/>
      <c r="AI40" s="9943"/>
      <c r="AJ40" s="8482"/>
      <c r="AK40" s="8482"/>
      <c r="AL40" s="5133"/>
    </row>
    <row r="41" spans="1:38">
      <c r="A41" s="5132"/>
      <c r="B41" s="5132"/>
      <c r="C41" s="5132"/>
      <c r="D41" s="5132"/>
      <c r="E41" s="5133"/>
      <c r="F41" s="8483">
        <f>1+F36</f>
        <v>2</v>
      </c>
      <c r="G41" s="9987" t="s">
        <v>2774</v>
      </c>
      <c r="H41" s="9987"/>
      <c r="I41" s="9987"/>
      <c r="J41" s="9987"/>
      <c r="K41" s="9987"/>
      <c r="L41" s="9987"/>
      <c r="M41" s="9987"/>
      <c r="N41" s="9987"/>
      <c r="O41" s="9987"/>
      <c r="P41" s="9987"/>
      <c r="Q41" s="9987"/>
      <c r="R41" s="9987"/>
      <c r="S41" s="9987"/>
      <c r="T41" s="9987"/>
      <c r="U41" s="9987"/>
      <c r="V41" s="9987"/>
      <c r="W41" s="9987"/>
      <c r="X41" s="9987"/>
      <c r="Y41" s="9987"/>
      <c r="Z41" s="9987"/>
      <c r="AA41" s="9987"/>
      <c r="AB41" s="9987"/>
      <c r="AC41" s="9987"/>
      <c r="AD41" s="9987"/>
      <c r="AE41" s="9987"/>
      <c r="AF41" s="9987"/>
      <c r="AG41" s="9987"/>
      <c r="AH41" s="9987"/>
      <c r="AI41" s="9987"/>
      <c r="AJ41" s="9987"/>
      <c r="AK41" s="8732"/>
      <c r="AL41" s="5133"/>
    </row>
    <row r="42" spans="1:38">
      <c r="A42" s="5132"/>
      <c r="B42" s="5132"/>
      <c r="C42" s="5132"/>
      <c r="D42" s="5132"/>
      <c r="E42" s="5133"/>
      <c r="F42" s="8481"/>
      <c r="G42" s="9987"/>
      <c r="H42" s="9987"/>
      <c r="I42" s="9987"/>
      <c r="J42" s="9987"/>
      <c r="K42" s="9987"/>
      <c r="L42" s="9987"/>
      <c r="M42" s="9987"/>
      <c r="N42" s="9987"/>
      <c r="O42" s="9987"/>
      <c r="P42" s="9987"/>
      <c r="Q42" s="9987"/>
      <c r="R42" s="9987"/>
      <c r="S42" s="9987"/>
      <c r="T42" s="9987"/>
      <c r="U42" s="9987"/>
      <c r="V42" s="9987"/>
      <c r="W42" s="9987"/>
      <c r="X42" s="9987"/>
      <c r="Y42" s="9987"/>
      <c r="Z42" s="9987"/>
      <c r="AA42" s="9987"/>
      <c r="AB42" s="9987"/>
      <c r="AC42" s="9987"/>
      <c r="AD42" s="9987"/>
      <c r="AE42" s="9987"/>
      <c r="AF42" s="9987"/>
      <c r="AG42" s="9987"/>
      <c r="AH42" s="9987"/>
      <c r="AI42" s="9987"/>
      <c r="AJ42" s="9987"/>
      <c r="AK42" s="8732"/>
      <c r="AL42" s="5133"/>
    </row>
    <row r="43" spans="1:38" ht="12.75" customHeight="1">
      <c r="A43" s="5132"/>
      <c r="B43" s="5132"/>
      <c r="C43" s="5132"/>
      <c r="D43" s="5132"/>
      <c r="E43" s="5133"/>
      <c r="F43" s="8483">
        <f>1+F41</f>
        <v>3</v>
      </c>
      <c r="G43" s="9943" t="s">
        <v>2775</v>
      </c>
      <c r="H43" s="9943"/>
      <c r="I43" s="9943"/>
      <c r="J43" s="9943"/>
      <c r="K43" s="9943"/>
      <c r="L43" s="9943"/>
      <c r="M43" s="9943"/>
      <c r="N43" s="9943"/>
      <c r="O43" s="9943"/>
      <c r="P43" s="9943"/>
      <c r="Q43" s="9943"/>
      <c r="R43" s="9943"/>
      <c r="S43" s="9943"/>
      <c r="T43" s="9943"/>
      <c r="U43" s="9943"/>
      <c r="V43" s="9943"/>
      <c r="W43" s="9943"/>
      <c r="X43" s="9943"/>
      <c r="Y43" s="9943"/>
      <c r="Z43" s="9943"/>
      <c r="AA43" s="9943"/>
      <c r="AB43" s="9943"/>
      <c r="AC43" s="9943"/>
      <c r="AD43" s="9943"/>
      <c r="AE43" s="9943"/>
      <c r="AF43" s="9943"/>
      <c r="AG43" s="9943"/>
      <c r="AH43" s="9943"/>
      <c r="AI43" s="9943"/>
      <c r="AJ43" s="8482"/>
      <c r="AK43" s="8482"/>
      <c r="AL43" s="5133"/>
    </row>
    <row r="44" spans="1:38">
      <c r="A44" s="5132"/>
      <c r="B44" s="5132"/>
      <c r="C44" s="5132"/>
      <c r="D44" s="5132"/>
      <c r="E44" s="5133"/>
      <c r="F44" s="8483"/>
      <c r="G44" s="9943"/>
      <c r="H44" s="9943"/>
      <c r="I44" s="9943"/>
      <c r="J44" s="9943"/>
      <c r="K44" s="9943"/>
      <c r="L44" s="9943"/>
      <c r="M44" s="9943"/>
      <c r="N44" s="9943"/>
      <c r="O44" s="9943"/>
      <c r="P44" s="9943"/>
      <c r="Q44" s="9943"/>
      <c r="R44" s="9943"/>
      <c r="S44" s="9943"/>
      <c r="T44" s="9943"/>
      <c r="U44" s="9943"/>
      <c r="V44" s="9943"/>
      <c r="W44" s="9943"/>
      <c r="X44" s="9943"/>
      <c r="Y44" s="9943"/>
      <c r="Z44" s="9943"/>
      <c r="AA44" s="9943"/>
      <c r="AB44" s="9943"/>
      <c r="AC44" s="9943"/>
      <c r="AD44" s="9943"/>
      <c r="AE44" s="9943"/>
      <c r="AF44" s="9943"/>
      <c r="AG44" s="9943"/>
      <c r="AH44" s="9943"/>
      <c r="AI44" s="9943"/>
      <c r="AJ44" s="8482"/>
      <c r="AK44" s="8482"/>
      <c r="AL44" s="5133"/>
    </row>
    <row r="45" spans="1:38" ht="12.75" customHeight="1">
      <c r="A45" s="5132"/>
      <c r="B45" s="5132"/>
      <c r="C45" s="5132"/>
      <c r="D45" s="5132"/>
      <c r="E45" s="5133"/>
      <c r="F45" s="8483">
        <f>1+F43</f>
        <v>4</v>
      </c>
      <c r="G45" s="9943" t="s">
        <v>2794</v>
      </c>
      <c r="H45" s="9943"/>
      <c r="I45" s="9943"/>
      <c r="J45" s="9943"/>
      <c r="K45" s="9943"/>
      <c r="L45" s="9943"/>
      <c r="M45" s="9943"/>
      <c r="N45" s="9943"/>
      <c r="O45" s="9943"/>
      <c r="P45" s="9943"/>
      <c r="Q45" s="9943"/>
      <c r="R45" s="9943"/>
      <c r="S45" s="9943"/>
      <c r="T45" s="9943"/>
      <c r="U45" s="9943"/>
      <c r="V45" s="9943"/>
      <c r="W45" s="9943"/>
      <c r="X45" s="9943"/>
      <c r="Y45" s="9943"/>
      <c r="Z45" s="9943"/>
      <c r="AA45" s="9943"/>
      <c r="AB45" s="9943"/>
      <c r="AC45" s="9943"/>
      <c r="AD45" s="9943"/>
      <c r="AE45" s="9943"/>
      <c r="AF45" s="9943"/>
      <c r="AG45" s="9943"/>
      <c r="AH45" s="9943"/>
      <c r="AI45" s="8482"/>
      <c r="AJ45" s="8482"/>
      <c r="AK45" s="8482"/>
      <c r="AL45" s="5133"/>
    </row>
    <row r="46" spans="1:38">
      <c r="A46" s="5132"/>
      <c r="B46" s="5132"/>
      <c r="C46" s="5132"/>
      <c r="D46" s="5132"/>
      <c r="E46" s="5133"/>
      <c r="F46" s="8483"/>
      <c r="G46" s="9943"/>
      <c r="H46" s="9943"/>
      <c r="I46" s="9943"/>
      <c r="J46" s="9943"/>
      <c r="K46" s="9943"/>
      <c r="L46" s="9943"/>
      <c r="M46" s="9943"/>
      <c r="N46" s="9943"/>
      <c r="O46" s="9943"/>
      <c r="P46" s="9943"/>
      <c r="Q46" s="9943"/>
      <c r="R46" s="9943"/>
      <c r="S46" s="9943"/>
      <c r="T46" s="9943"/>
      <c r="U46" s="9943"/>
      <c r="V46" s="9943"/>
      <c r="W46" s="9943"/>
      <c r="X46" s="9943"/>
      <c r="Y46" s="9943"/>
      <c r="Z46" s="9943"/>
      <c r="AA46" s="9943"/>
      <c r="AB46" s="9943"/>
      <c r="AC46" s="9943"/>
      <c r="AD46" s="9943"/>
      <c r="AE46" s="9943"/>
      <c r="AF46" s="9943"/>
      <c r="AG46" s="9943"/>
      <c r="AH46" s="9943"/>
      <c r="AI46" s="8482"/>
      <c r="AJ46" s="8482"/>
      <c r="AK46" s="8482"/>
      <c r="AL46" s="5133"/>
    </row>
    <row r="47" spans="1:38">
      <c r="A47" s="5132"/>
      <c r="B47" s="5132"/>
      <c r="C47" s="5132"/>
      <c r="D47" s="5132"/>
      <c r="E47" s="5133"/>
      <c r="F47" s="8483"/>
      <c r="G47" s="9943"/>
      <c r="H47" s="9943"/>
      <c r="I47" s="9943"/>
      <c r="J47" s="9943"/>
      <c r="K47" s="9943"/>
      <c r="L47" s="9943"/>
      <c r="M47" s="9943"/>
      <c r="N47" s="9943"/>
      <c r="O47" s="9943"/>
      <c r="P47" s="9943"/>
      <c r="Q47" s="9943"/>
      <c r="R47" s="9943"/>
      <c r="S47" s="9943"/>
      <c r="T47" s="9943"/>
      <c r="U47" s="9943"/>
      <c r="V47" s="9943"/>
      <c r="W47" s="9943"/>
      <c r="X47" s="9943"/>
      <c r="Y47" s="9943"/>
      <c r="Z47" s="9943"/>
      <c r="AA47" s="9943"/>
      <c r="AB47" s="9943"/>
      <c r="AC47" s="9943"/>
      <c r="AD47" s="9943"/>
      <c r="AE47" s="9943"/>
      <c r="AF47" s="9943"/>
      <c r="AG47" s="9943"/>
      <c r="AH47" s="9943"/>
      <c r="AI47" s="8482"/>
      <c r="AJ47" s="8482"/>
      <c r="AK47" s="8482"/>
      <c r="AL47" s="5133"/>
    </row>
    <row r="48" spans="1:38">
      <c r="A48" s="5132"/>
      <c r="B48" s="5132"/>
      <c r="C48" s="5132"/>
      <c r="D48" s="5132"/>
      <c r="E48" s="5133"/>
      <c r="F48" s="8483">
        <f>1+F45</f>
        <v>5</v>
      </c>
      <c r="G48" s="9942" t="s">
        <v>2783</v>
      </c>
      <c r="H48" s="9942"/>
      <c r="I48" s="9942"/>
      <c r="J48" s="9942"/>
      <c r="K48" s="9942"/>
      <c r="L48" s="9942"/>
      <c r="M48" s="9942"/>
      <c r="N48" s="9942"/>
      <c r="O48" s="9942"/>
      <c r="P48" s="9942"/>
      <c r="Q48" s="9942"/>
      <c r="R48" s="9942"/>
      <c r="S48" s="9942"/>
      <c r="T48" s="9942"/>
      <c r="U48" s="9942"/>
      <c r="V48" s="9942"/>
      <c r="W48" s="9942"/>
      <c r="X48" s="9942"/>
      <c r="Y48" s="9942"/>
      <c r="Z48" s="9942"/>
      <c r="AA48" s="9942"/>
      <c r="AB48" s="9942"/>
      <c r="AC48" s="9942"/>
      <c r="AD48" s="9942"/>
      <c r="AE48" s="9942"/>
      <c r="AF48" s="9942"/>
      <c r="AG48" s="9942"/>
      <c r="AH48" s="9942"/>
      <c r="AI48" s="6985"/>
      <c r="AJ48" s="6985"/>
      <c r="AK48" s="6985"/>
      <c r="AL48" s="5133"/>
    </row>
    <row r="49" spans="1:38">
      <c r="A49" s="5132"/>
      <c r="B49" s="5132"/>
      <c r="C49" s="5132"/>
      <c r="D49" s="5132"/>
      <c r="E49" s="5133"/>
      <c r="F49" s="8483"/>
      <c r="G49" s="9942"/>
      <c r="H49" s="9942"/>
      <c r="I49" s="9942"/>
      <c r="J49" s="9942"/>
      <c r="K49" s="9942"/>
      <c r="L49" s="9942"/>
      <c r="M49" s="9942"/>
      <c r="N49" s="9942"/>
      <c r="O49" s="9942"/>
      <c r="P49" s="9942"/>
      <c r="Q49" s="9942"/>
      <c r="R49" s="9942"/>
      <c r="S49" s="9942"/>
      <c r="T49" s="9942"/>
      <c r="U49" s="9942"/>
      <c r="V49" s="9942"/>
      <c r="W49" s="9942"/>
      <c r="X49" s="9942"/>
      <c r="Y49" s="9942"/>
      <c r="Z49" s="9942"/>
      <c r="AA49" s="9942"/>
      <c r="AB49" s="9942"/>
      <c r="AC49" s="9942"/>
      <c r="AD49" s="9942"/>
      <c r="AE49" s="9942"/>
      <c r="AF49" s="9942"/>
      <c r="AG49" s="9942"/>
      <c r="AH49" s="9942"/>
      <c r="AI49" s="6985"/>
      <c r="AJ49" s="6985"/>
      <c r="AK49" s="6985"/>
      <c r="AL49" s="5133"/>
    </row>
    <row r="50" spans="1:38" ht="12.75" customHeight="1">
      <c r="A50" s="5132"/>
      <c r="B50" s="5132"/>
      <c r="C50" s="5132"/>
      <c r="D50" s="5132"/>
      <c r="E50" s="5133"/>
      <c r="F50" s="8483">
        <f>1+F48</f>
        <v>6</v>
      </c>
      <c r="G50" s="9942" t="s">
        <v>2784</v>
      </c>
      <c r="H50" s="9942"/>
      <c r="I50" s="9942"/>
      <c r="J50" s="9942"/>
      <c r="K50" s="9942"/>
      <c r="L50" s="9942"/>
      <c r="M50" s="9942"/>
      <c r="N50" s="9942"/>
      <c r="O50" s="9942"/>
      <c r="P50" s="9942"/>
      <c r="Q50" s="9942"/>
      <c r="R50" s="9942"/>
      <c r="S50" s="9942"/>
      <c r="T50" s="9942"/>
      <c r="U50" s="9942"/>
      <c r="V50" s="9942"/>
      <c r="W50" s="9942"/>
      <c r="X50" s="9942"/>
      <c r="Y50" s="9942"/>
      <c r="Z50" s="9942"/>
      <c r="AA50" s="9942"/>
      <c r="AB50" s="9942"/>
      <c r="AC50" s="9942"/>
      <c r="AD50" s="9942"/>
      <c r="AE50" s="9942"/>
      <c r="AF50" s="9942"/>
      <c r="AG50" s="9942"/>
      <c r="AH50" s="9942"/>
      <c r="AI50" s="9942"/>
      <c r="AJ50" s="6985"/>
      <c r="AK50" s="6985"/>
      <c r="AL50" s="5133"/>
    </row>
    <row r="51" spans="1:38">
      <c r="A51" s="5132"/>
      <c r="B51" s="5132"/>
      <c r="C51" s="5132"/>
      <c r="D51" s="5132"/>
      <c r="E51" s="5133"/>
      <c r="F51" s="8483">
        <f>1+F50</f>
        <v>7</v>
      </c>
      <c r="G51" s="9942" t="s">
        <v>2785</v>
      </c>
      <c r="H51" s="9942"/>
      <c r="I51" s="9942"/>
      <c r="J51" s="9942"/>
      <c r="K51" s="9942"/>
      <c r="L51" s="9942"/>
      <c r="M51" s="9942"/>
      <c r="N51" s="9942"/>
      <c r="O51" s="9942"/>
      <c r="P51" s="9942"/>
      <c r="Q51" s="9942"/>
      <c r="R51" s="9942"/>
      <c r="S51" s="9942"/>
      <c r="T51" s="9942"/>
      <c r="U51" s="9942"/>
      <c r="V51" s="9942"/>
      <c r="W51" s="9942"/>
      <c r="X51" s="9942"/>
      <c r="Y51" s="9942"/>
      <c r="Z51" s="9942"/>
      <c r="AA51" s="9942"/>
      <c r="AB51" s="9942"/>
      <c r="AC51" s="9942"/>
      <c r="AD51" s="9942"/>
      <c r="AE51" s="9942"/>
      <c r="AF51" s="9942"/>
      <c r="AG51" s="9942"/>
      <c r="AH51" s="9942"/>
      <c r="AI51" s="9942"/>
      <c r="AJ51" s="6985"/>
      <c r="AK51" s="6985"/>
      <c r="AL51" s="5133"/>
    </row>
    <row r="52" spans="1:38">
      <c r="A52" s="5132"/>
      <c r="B52" s="5132"/>
      <c r="C52" s="5132"/>
      <c r="D52" s="5132"/>
      <c r="E52" s="5133"/>
      <c r="F52" s="8483"/>
      <c r="G52" s="9942"/>
      <c r="H52" s="9942"/>
      <c r="I52" s="9942"/>
      <c r="J52" s="9942"/>
      <c r="K52" s="9942"/>
      <c r="L52" s="9942"/>
      <c r="M52" s="9942"/>
      <c r="N52" s="9942"/>
      <c r="O52" s="9942"/>
      <c r="P52" s="9942"/>
      <c r="Q52" s="9942"/>
      <c r="R52" s="9942"/>
      <c r="S52" s="9942"/>
      <c r="T52" s="9942"/>
      <c r="U52" s="9942"/>
      <c r="V52" s="9942"/>
      <c r="W52" s="9942"/>
      <c r="X52" s="9942"/>
      <c r="Y52" s="9942"/>
      <c r="Z52" s="9942"/>
      <c r="AA52" s="9942"/>
      <c r="AB52" s="9942"/>
      <c r="AC52" s="9942"/>
      <c r="AD52" s="9942"/>
      <c r="AE52" s="9942"/>
      <c r="AF52" s="9942"/>
      <c r="AG52" s="9942"/>
      <c r="AH52" s="9942"/>
      <c r="AI52" s="9942"/>
      <c r="AJ52" s="6985"/>
      <c r="AK52" s="6985"/>
      <c r="AL52" s="5133"/>
    </row>
    <row r="53" spans="1:38">
      <c r="A53" s="5132"/>
      <c r="B53" s="5132"/>
      <c r="C53" s="5132"/>
      <c r="D53" s="5132"/>
      <c r="E53" s="5133"/>
      <c r="F53" s="8483">
        <f>1+F51</f>
        <v>8</v>
      </c>
      <c r="G53" s="9942" t="s">
        <v>2786</v>
      </c>
      <c r="H53" s="9942"/>
      <c r="I53" s="9942"/>
      <c r="J53" s="9942"/>
      <c r="K53" s="9942"/>
      <c r="L53" s="9942"/>
      <c r="M53" s="9942"/>
      <c r="N53" s="9942"/>
      <c r="O53" s="9942"/>
      <c r="P53" s="9942"/>
      <c r="Q53" s="9942"/>
      <c r="R53" s="9942"/>
      <c r="S53" s="9942"/>
      <c r="T53" s="9942"/>
      <c r="U53" s="9942"/>
      <c r="V53" s="9942"/>
      <c r="W53" s="9942"/>
      <c r="X53" s="9942"/>
      <c r="Y53" s="9942"/>
      <c r="Z53" s="9942"/>
      <c r="AA53" s="9942"/>
      <c r="AB53" s="9942"/>
      <c r="AC53" s="9942"/>
      <c r="AD53" s="9942"/>
      <c r="AE53" s="9942"/>
      <c r="AF53" s="9942"/>
      <c r="AG53" s="9942"/>
      <c r="AH53" s="9942"/>
      <c r="AI53" s="9942"/>
      <c r="AJ53" s="6985"/>
      <c r="AK53" s="6985"/>
      <c r="AL53" s="5133"/>
    </row>
    <row r="54" spans="1:38">
      <c r="A54" s="5132"/>
      <c r="B54" s="5132"/>
      <c r="C54" s="5132"/>
      <c r="D54" s="5132"/>
      <c r="E54" s="5133"/>
      <c r="F54" s="8483"/>
      <c r="G54" s="9942"/>
      <c r="H54" s="9942"/>
      <c r="I54" s="9942"/>
      <c r="J54" s="9942"/>
      <c r="K54" s="9942"/>
      <c r="L54" s="9942"/>
      <c r="M54" s="9942"/>
      <c r="N54" s="9942"/>
      <c r="O54" s="9942"/>
      <c r="P54" s="9942"/>
      <c r="Q54" s="9942"/>
      <c r="R54" s="9942"/>
      <c r="S54" s="9942"/>
      <c r="T54" s="9942"/>
      <c r="U54" s="9942"/>
      <c r="V54" s="9942"/>
      <c r="W54" s="9942"/>
      <c r="X54" s="9942"/>
      <c r="Y54" s="9942"/>
      <c r="Z54" s="9942"/>
      <c r="AA54" s="9942"/>
      <c r="AB54" s="9942"/>
      <c r="AC54" s="9942"/>
      <c r="AD54" s="9942"/>
      <c r="AE54" s="9942"/>
      <c r="AF54" s="9942"/>
      <c r="AG54" s="9942"/>
      <c r="AH54" s="9942"/>
      <c r="AI54" s="9942"/>
      <c r="AJ54" s="6985"/>
      <c r="AK54" s="6985"/>
      <c r="AL54" s="5133"/>
    </row>
    <row r="55" spans="1:38" ht="12.75" customHeight="1">
      <c r="A55" s="5132"/>
      <c r="B55" s="5132"/>
      <c r="C55" s="5132"/>
      <c r="D55" s="5132"/>
      <c r="E55" s="5133"/>
      <c r="F55" s="8483">
        <f>1+F53</f>
        <v>9</v>
      </c>
      <c r="G55" s="9942" t="s">
        <v>2793</v>
      </c>
      <c r="H55" s="9942"/>
      <c r="I55" s="9942"/>
      <c r="J55" s="9942"/>
      <c r="K55" s="9942"/>
      <c r="L55" s="9942"/>
      <c r="M55" s="9942"/>
      <c r="N55" s="9942"/>
      <c r="O55" s="9942"/>
      <c r="P55" s="9942"/>
      <c r="Q55" s="9942"/>
      <c r="R55" s="9942"/>
      <c r="S55" s="9942"/>
      <c r="T55" s="9942"/>
      <c r="U55" s="9942"/>
      <c r="V55" s="9942"/>
      <c r="W55" s="9942"/>
      <c r="X55" s="9942"/>
      <c r="Y55" s="9942"/>
      <c r="Z55" s="9942"/>
      <c r="AA55" s="9942"/>
      <c r="AB55" s="9942"/>
      <c r="AC55" s="9942"/>
      <c r="AD55" s="9942"/>
      <c r="AE55" s="9942"/>
      <c r="AF55" s="9942"/>
      <c r="AG55" s="9942"/>
      <c r="AH55" s="9942"/>
      <c r="AI55" s="9942"/>
      <c r="AJ55" s="6985"/>
      <c r="AK55" s="6985"/>
      <c r="AL55" s="5133"/>
    </row>
    <row r="56" spans="1:38">
      <c r="A56" s="5132"/>
      <c r="B56" s="5132"/>
      <c r="C56" s="5132"/>
      <c r="D56" s="5132"/>
      <c r="E56" s="5133"/>
      <c r="F56" s="8483"/>
      <c r="G56" s="9942"/>
      <c r="H56" s="9942"/>
      <c r="I56" s="9942"/>
      <c r="J56" s="9942"/>
      <c r="K56" s="9942"/>
      <c r="L56" s="9942"/>
      <c r="M56" s="9942"/>
      <c r="N56" s="9942"/>
      <c r="O56" s="9942"/>
      <c r="P56" s="9942"/>
      <c r="Q56" s="9942"/>
      <c r="R56" s="9942"/>
      <c r="S56" s="9942"/>
      <c r="T56" s="9942"/>
      <c r="U56" s="9942"/>
      <c r="V56" s="9942"/>
      <c r="W56" s="9942"/>
      <c r="X56" s="9942"/>
      <c r="Y56" s="9942"/>
      <c r="Z56" s="9942"/>
      <c r="AA56" s="9942"/>
      <c r="AB56" s="9942"/>
      <c r="AC56" s="9942"/>
      <c r="AD56" s="9942"/>
      <c r="AE56" s="9942"/>
      <c r="AF56" s="9942"/>
      <c r="AG56" s="9942"/>
      <c r="AH56" s="9942"/>
      <c r="AI56" s="9942"/>
      <c r="AJ56" s="6985"/>
      <c r="AK56" s="6985"/>
      <c r="AL56" s="5133"/>
    </row>
    <row r="57" spans="1:38">
      <c r="A57" s="5132"/>
      <c r="B57" s="5132"/>
      <c r="C57" s="5132"/>
      <c r="D57" s="5132"/>
      <c r="E57" s="5133"/>
      <c r="F57" s="8483">
        <f>1+F55</f>
        <v>10</v>
      </c>
      <c r="G57" s="5133" t="s">
        <v>2777</v>
      </c>
      <c r="H57" s="5133"/>
      <c r="I57" s="5133"/>
      <c r="J57" s="5133"/>
      <c r="K57" s="5133"/>
      <c r="L57" s="5133"/>
      <c r="M57" s="5133"/>
      <c r="N57" s="5133"/>
      <c r="O57" s="5133"/>
      <c r="P57" s="5133"/>
      <c r="Q57" s="5133"/>
      <c r="R57" s="5133"/>
      <c r="S57" s="5133"/>
      <c r="T57" s="5133"/>
      <c r="U57" s="5133"/>
      <c r="V57" s="5133"/>
      <c r="W57" s="5133"/>
      <c r="X57" s="5133"/>
      <c r="Y57" s="5133"/>
      <c r="Z57" s="5133"/>
      <c r="AA57" s="5133"/>
      <c r="AB57" s="5133"/>
      <c r="AC57" s="5133"/>
      <c r="AD57" s="5133"/>
      <c r="AE57" s="5133"/>
      <c r="AF57" s="5133"/>
      <c r="AG57" s="5133"/>
      <c r="AH57" s="5133"/>
      <c r="AI57" s="5133"/>
      <c r="AJ57" s="5133"/>
      <c r="AK57" s="5133"/>
      <c r="AL57" s="5133"/>
    </row>
    <row r="58" spans="1:38" ht="12.75" customHeight="1">
      <c r="A58" s="5132"/>
      <c r="B58" s="5132"/>
      <c r="C58" s="5132"/>
      <c r="D58" s="5132"/>
      <c r="E58" s="5133"/>
      <c r="F58" s="8483">
        <f>1+F57</f>
        <v>11</v>
      </c>
      <c r="G58" s="8815" t="s">
        <v>2787</v>
      </c>
      <c r="H58" s="8815"/>
      <c r="I58" s="8815"/>
      <c r="J58" s="8815"/>
      <c r="K58" s="8815"/>
      <c r="L58" s="8815"/>
      <c r="M58" s="8815"/>
      <c r="N58" s="8815"/>
      <c r="O58" s="8815"/>
      <c r="P58" s="8815"/>
      <c r="Q58" s="8815"/>
      <c r="R58" s="8815"/>
      <c r="S58" s="8815"/>
      <c r="T58" s="8815"/>
      <c r="U58" s="8815"/>
      <c r="V58" s="8815"/>
      <c r="W58" s="8815"/>
      <c r="X58" s="8815"/>
      <c r="Y58" s="8815"/>
      <c r="Z58" s="8815"/>
      <c r="AA58" s="8815"/>
      <c r="AB58" s="8815"/>
      <c r="AC58" s="8815"/>
      <c r="AD58" s="8815"/>
      <c r="AE58" s="8815"/>
      <c r="AF58" s="8815"/>
      <c r="AG58" s="8815"/>
      <c r="AH58" s="8815"/>
      <c r="AI58" s="8815"/>
      <c r="AJ58" s="8815"/>
      <c r="AK58" s="8730"/>
      <c r="AL58" s="5133"/>
    </row>
    <row r="59" spans="1:38" ht="12.75" customHeight="1">
      <c r="A59" s="5132"/>
      <c r="B59" s="5132"/>
      <c r="C59" s="5132"/>
      <c r="D59" s="5132"/>
      <c r="E59" s="5133"/>
      <c r="F59" s="8483"/>
      <c r="G59" s="8815"/>
      <c r="H59" s="8815"/>
      <c r="I59" s="8815"/>
      <c r="J59" s="8815"/>
      <c r="K59" s="8815"/>
      <c r="L59" s="8815"/>
      <c r="M59" s="8815"/>
      <c r="N59" s="8815"/>
      <c r="O59" s="8815"/>
      <c r="P59" s="8815"/>
      <c r="Q59" s="8815"/>
      <c r="R59" s="8815"/>
      <c r="S59" s="8815"/>
      <c r="T59" s="8815"/>
      <c r="U59" s="8815"/>
      <c r="V59" s="8815"/>
      <c r="W59" s="8815"/>
      <c r="X59" s="8815"/>
      <c r="Y59" s="8815"/>
      <c r="Z59" s="8815"/>
      <c r="AA59" s="8815"/>
      <c r="AB59" s="8815"/>
      <c r="AC59" s="8815"/>
      <c r="AD59" s="8815"/>
      <c r="AE59" s="8815"/>
      <c r="AF59" s="8815"/>
      <c r="AG59" s="8815"/>
      <c r="AH59" s="8815"/>
      <c r="AI59" s="8815"/>
      <c r="AJ59" s="8815"/>
      <c r="AK59" s="8730"/>
      <c r="AL59" s="5133"/>
    </row>
    <row r="60" spans="1:38" ht="12.75" customHeight="1">
      <c r="A60" s="5132"/>
      <c r="B60" s="5132"/>
      <c r="C60" s="5132"/>
      <c r="D60" s="5132"/>
      <c r="E60" s="5133"/>
      <c r="F60" s="8483">
        <f>1+F58</f>
        <v>12</v>
      </c>
      <c r="G60" s="5133" t="s">
        <v>2778</v>
      </c>
      <c r="H60" s="5133"/>
      <c r="I60" s="5133"/>
      <c r="J60" s="5133"/>
      <c r="K60" s="5133"/>
      <c r="L60" s="5133"/>
      <c r="M60" s="5133"/>
      <c r="N60" s="5133"/>
      <c r="O60" s="5133"/>
      <c r="P60" s="5133"/>
      <c r="Q60" s="5133"/>
      <c r="R60" s="5133"/>
      <c r="S60" s="5133"/>
      <c r="T60" s="5133"/>
      <c r="U60" s="5133"/>
      <c r="V60" s="5133"/>
      <c r="W60" s="5133"/>
      <c r="X60" s="5133"/>
      <c r="Y60" s="5133"/>
      <c r="Z60" s="5133"/>
      <c r="AA60" s="5133"/>
      <c r="AB60" s="5133"/>
      <c r="AC60" s="5133"/>
      <c r="AD60" s="5133"/>
      <c r="AE60" s="5133"/>
      <c r="AF60" s="5133"/>
      <c r="AG60" s="5133"/>
      <c r="AH60" s="5133"/>
      <c r="AI60" s="5133"/>
      <c r="AJ60" s="5133"/>
      <c r="AK60" s="5133"/>
      <c r="AL60" s="5133"/>
    </row>
    <row r="61" spans="1:38" ht="12.75" customHeight="1">
      <c r="A61" s="5132"/>
      <c r="B61" s="5132"/>
      <c r="C61" s="5132"/>
      <c r="D61" s="5132"/>
      <c r="E61" s="5133"/>
      <c r="F61" s="8483">
        <f>1+F60</f>
        <v>13</v>
      </c>
      <c r="G61" s="5133" t="s">
        <v>2779</v>
      </c>
      <c r="H61" s="5133"/>
      <c r="I61" s="5133"/>
      <c r="J61" s="5133"/>
      <c r="K61" s="5133"/>
      <c r="L61" s="5133"/>
      <c r="M61" s="5133"/>
      <c r="N61" s="5133"/>
      <c r="O61" s="5133"/>
      <c r="P61" s="5133"/>
      <c r="Q61" s="5133"/>
      <c r="R61" s="5133"/>
      <c r="S61" s="5133"/>
      <c r="T61" s="5133"/>
      <c r="U61" s="5133"/>
      <c r="V61" s="5133"/>
      <c r="W61" s="5133"/>
      <c r="X61" s="5133"/>
      <c r="Y61" s="5133"/>
      <c r="Z61" s="5133"/>
      <c r="AA61" s="5133"/>
      <c r="AB61" s="5133"/>
      <c r="AC61" s="5133"/>
      <c r="AD61" s="5133"/>
      <c r="AE61" s="5133"/>
      <c r="AF61" s="5133"/>
      <c r="AG61" s="5133"/>
      <c r="AH61" s="5133"/>
      <c r="AI61" s="5133"/>
      <c r="AJ61" s="5133"/>
      <c r="AK61" s="5133"/>
      <c r="AL61" s="5133"/>
    </row>
    <row r="62" spans="1:38" ht="12.75" customHeight="1">
      <c r="A62" s="5132"/>
      <c r="B62" s="5132"/>
      <c r="C62" s="5132"/>
      <c r="D62" s="5132"/>
      <c r="E62" s="5133"/>
      <c r="F62" s="8483"/>
      <c r="G62" s="5133"/>
      <c r="H62" s="5133"/>
      <c r="I62" s="5133"/>
      <c r="J62" s="5133"/>
      <c r="K62" s="5133"/>
      <c r="L62" s="5133"/>
      <c r="M62" s="5133"/>
      <c r="N62" s="5133"/>
      <c r="O62" s="5133"/>
      <c r="P62" s="5133"/>
      <c r="Q62" s="5133"/>
      <c r="R62" s="5133"/>
      <c r="S62" s="5133"/>
      <c r="T62" s="5133"/>
      <c r="U62" s="5133"/>
      <c r="V62" s="5133"/>
      <c r="W62" s="5133"/>
      <c r="X62" s="5133"/>
      <c r="Y62" s="5133"/>
      <c r="Z62" s="5133"/>
      <c r="AA62" s="5133"/>
      <c r="AB62" s="5133"/>
      <c r="AC62" s="5133"/>
      <c r="AD62" s="5133"/>
      <c r="AE62" s="5133"/>
      <c r="AF62" s="5133"/>
      <c r="AG62" s="5133"/>
      <c r="AH62" s="5133"/>
      <c r="AI62" s="5133"/>
      <c r="AJ62" s="5133"/>
      <c r="AK62" s="5133"/>
      <c r="AL62" s="5133"/>
    </row>
    <row r="63" spans="1:38" ht="12.75" customHeight="1">
      <c r="A63" s="5132"/>
      <c r="B63" s="5132"/>
      <c r="C63" s="5132"/>
      <c r="D63" s="5132"/>
      <c r="E63" s="5133"/>
      <c r="F63" s="8483"/>
      <c r="G63" s="5133"/>
      <c r="H63" s="5133"/>
      <c r="I63" s="5133"/>
      <c r="J63" s="5133"/>
      <c r="K63" s="5133"/>
      <c r="L63" s="5133"/>
      <c r="M63" s="5133"/>
      <c r="N63" s="5133"/>
      <c r="O63" s="5133"/>
      <c r="P63" s="5133"/>
      <c r="Q63" s="5133"/>
      <c r="R63" s="5133"/>
      <c r="S63" s="5133"/>
      <c r="T63" s="5133"/>
      <c r="U63" s="5133"/>
      <c r="V63" s="5133"/>
      <c r="W63" s="5133"/>
      <c r="X63" s="5133"/>
      <c r="Y63" s="5133"/>
      <c r="Z63" s="5133"/>
      <c r="AA63" s="5133"/>
      <c r="AB63" s="5133"/>
      <c r="AC63" s="5133"/>
      <c r="AD63" s="5133"/>
      <c r="AE63" s="5133"/>
      <c r="AF63" s="5133"/>
      <c r="AG63" s="5133"/>
      <c r="AH63" s="5133"/>
      <c r="AI63" s="5133"/>
      <c r="AJ63" s="5133"/>
      <c r="AK63" s="5133"/>
      <c r="AL63" s="5133"/>
    </row>
    <row r="64" spans="1:38" ht="12.75" customHeight="1">
      <c r="A64" s="5132"/>
      <c r="B64" s="5132"/>
      <c r="C64" s="5132"/>
      <c r="D64" s="5132"/>
      <c r="E64" s="5133"/>
      <c r="F64" s="8483"/>
      <c r="G64" s="5133"/>
      <c r="H64" s="5133"/>
      <c r="I64" s="5133"/>
      <c r="J64" s="5133"/>
      <c r="K64" s="5133"/>
      <c r="L64" s="5133"/>
      <c r="M64" s="5133"/>
      <c r="N64" s="5133"/>
      <c r="O64" s="5133"/>
      <c r="P64" s="5133"/>
      <c r="Q64" s="5133"/>
      <c r="R64" s="5133"/>
      <c r="S64" s="5133"/>
      <c r="T64" s="5133"/>
      <c r="U64" s="5133"/>
      <c r="V64" s="5133"/>
      <c r="W64" s="5133"/>
      <c r="X64" s="5133"/>
      <c r="Y64" s="5133"/>
      <c r="Z64" s="5133"/>
      <c r="AA64" s="5133"/>
      <c r="AB64" s="5133"/>
      <c r="AC64" s="5133"/>
      <c r="AD64" s="5133"/>
      <c r="AE64" s="5133"/>
      <c r="AF64" s="5133"/>
      <c r="AG64" s="5133"/>
      <c r="AH64" s="5133"/>
      <c r="AI64" s="5133"/>
      <c r="AJ64" s="5133"/>
      <c r="AK64" s="5133"/>
      <c r="AL64" s="5133"/>
    </row>
    <row r="65" spans="1:38" ht="12.75" customHeight="1">
      <c r="A65" s="5132"/>
      <c r="B65" s="5132"/>
      <c r="C65" s="5132"/>
      <c r="D65" s="5132"/>
      <c r="E65" s="5133"/>
      <c r="F65" s="8483"/>
      <c r="G65" s="5133"/>
      <c r="H65" s="5133"/>
      <c r="I65" s="5133"/>
      <c r="J65" s="5133"/>
      <c r="K65" s="5133"/>
      <c r="L65" s="5133"/>
      <c r="M65" s="5133"/>
      <c r="N65" s="5133"/>
      <c r="O65" s="5133"/>
      <c r="P65" s="5133"/>
      <c r="Q65" s="5133"/>
      <c r="R65" s="5133"/>
      <c r="S65" s="5133"/>
      <c r="T65" s="5133"/>
      <c r="U65" s="5133"/>
      <c r="V65" s="5133"/>
      <c r="W65" s="5133"/>
      <c r="X65" s="5133"/>
      <c r="Y65" s="5133"/>
      <c r="Z65" s="5133"/>
      <c r="AA65" s="5133"/>
      <c r="AB65" s="5133"/>
      <c r="AC65" s="5133"/>
      <c r="AD65" s="5133"/>
      <c r="AE65" s="5133"/>
      <c r="AF65" s="5133"/>
      <c r="AG65" s="5133"/>
      <c r="AH65" s="5133"/>
      <c r="AI65" s="5133"/>
      <c r="AJ65" s="5133"/>
      <c r="AK65" s="5133"/>
      <c r="AL65" s="5133"/>
    </row>
    <row r="66" spans="1:38" ht="12.75" customHeight="1">
      <c r="A66" s="5132"/>
      <c r="B66" s="5132"/>
      <c r="C66" s="5132"/>
      <c r="D66" s="5132"/>
      <c r="E66" s="5133"/>
      <c r="F66" s="8483"/>
      <c r="G66" s="5133"/>
      <c r="H66" s="5133"/>
      <c r="I66" s="5133"/>
      <c r="J66" s="5133"/>
      <c r="K66" s="5133"/>
      <c r="L66" s="5133"/>
      <c r="M66" s="5133"/>
      <c r="N66" s="5133"/>
      <c r="O66" s="5133"/>
      <c r="P66" s="5133"/>
      <c r="Q66" s="5133"/>
      <c r="R66" s="5133"/>
      <c r="S66" s="5133"/>
      <c r="T66" s="5133"/>
      <c r="U66" s="5133"/>
      <c r="V66" s="5133"/>
      <c r="W66" s="5133"/>
      <c r="X66" s="5133"/>
      <c r="Y66" s="5133"/>
      <c r="Z66" s="5133"/>
      <c r="AA66" s="5133"/>
      <c r="AB66" s="5133"/>
      <c r="AC66" s="5133"/>
      <c r="AD66" s="5133"/>
      <c r="AE66" s="5133"/>
      <c r="AF66" s="5133"/>
      <c r="AG66" s="5133"/>
      <c r="AH66" s="5133"/>
      <c r="AI66" s="5133"/>
      <c r="AJ66" s="5133"/>
      <c r="AK66" s="5133"/>
      <c r="AL66" s="5133"/>
    </row>
    <row r="67" spans="1:38" ht="12.75" customHeight="1">
      <c r="A67" s="5132"/>
      <c r="B67" s="5132"/>
      <c r="C67" s="5132"/>
      <c r="D67" s="5132"/>
      <c r="E67" s="5133"/>
      <c r="F67" s="8483"/>
      <c r="G67" s="5133"/>
      <c r="H67" s="5133"/>
      <c r="I67" s="5133"/>
      <c r="J67" s="5133"/>
      <c r="K67" s="5133"/>
      <c r="L67" s="5133"/>
      <c r="M67" s="5133"/>
      <c r="N67" s="5133"/>
      <c r="O67" s="5133"/>
      <c r="P67" s="5133"/>
      <c r="Q67" s="5133"/>
      <c r="R67" s="5133"/>
      <c r="S67" s="5133"/>
      <c r="T67" s="5133"/>
      <c r="U67" s="5133"/>
      <c r="V67" s="5133"/>
      <c r="W67" s="5133"/>
      <c r="X67" s="5133"/>
      <c r="Y67" s="5133"/>
      <c r="Z67" s="5133"/>
      <c r="AA67" s="5133"/>
      <c r="AB67" s="5133"/>
      <c r="AC67" s="5133"/>
      <c r="AD67" s="5133"/>
      <c r="AE67" s="5133"/>
      <c r="AF67" s="5133"/>
      <c r="AG67" s="5133"/>
      <c r="AH67" s="5133"/>
      <c r="AI67" s="5133"/>
      <c r="AJ67" s="5133"/>
      <c r="AK67" s="5133"/>
      <c r="AL67" s="5133"/>
    </row>
    <row r="68" spans="1:38" ht="12.75" customHeight="1">
      <c r="A68" s="5132"/>
      <c r="B68" s="5132"/>
      <c r="C68" s="5132"/>
      <c r="D68" s="5132"/>
      <c r="E68" s="5133"/>
      <c r="F68" s="8483"/>
      <c r="G68" s="5133"/>
      <c r="H68" s="5133"/>
      <c r="I68" s="5133"/>
      <c r="J68" s="5133"/>
      <c r="K68" s="5133"/>
      <c r="L68" s="5133"/>
      <c r="M68" s="5133"/>
      <c r="N68" s="5133"/>
      <c r="O68" s="5133"/>
      <c r="P68" s="5133"/>
      <c r="Q68" s="5133"/>
      <c r="R68" s="5133"/>
      <c r="S68" s="5133"/>
      <c r="T68" s="5133"/>
      <c r="U68" s="5133"/>
      <c r="V68" s="5133"/>
      <c r="W68" s="5133"/>
      <c r="X68" s="5133"/>
      <c r="Y68" s="5133"/>
      <c r="Z68" s="5133"/>
      <c r="AA68" s="5133"/>
      <c r="AB68" s="5133"/>
      <c r="AC68" s="5133"/>
      <c r="AD68" s="5133"/>
      <c r="AE68" s="5133"/>
      <c r="AF68" s="5133"/>
      <c r="AG68" s="5133"/>
      <c r="AH68" s="5133"/>
      <c r="AI68" s="5133"/>
      <c r="AJ68" s="5133"/>
      <c r="AK68" s="5133"/>
      <c r="AL68" s="5133"/>
    </row>
    <row r="69" spans="1:38">
      <c r="A69" s="5132"/>
      <c r="B69" s="5132"/>
      <c r="C69" s="5132"/>
      <c r="D69" s="5132"/>
      <c r="E69" s="5133"/>
      <c r="F69" s="8483"/>
      <c r="G69" s="8500"/>
      <c r="H69" s="8500"/>
      <c r="I69" s="8500"/>
      <c r="J69" s="8500"/>
      <c r="K69" s="8500"/>
      <c r="L69" s="8500"/>
      <c r="M69" s="8500"/>
      <c r="N69" s="8500"/>
      <c r="O69" s="8500"/>
      <c r="P69" s="8500"/>
      <c r="Q69" s="8500"/>
      <c r="R69" s="8500"/>
      <c r="S69" s="8500"/>
      <c r="T69" s="8500"/>
      <c r="U69" s="8500"/>
      <c r="V69" s="8500"/>
      <c r="W69" s="8500"/>
      <c r="X69" s="8500"/>
      <c r="Y69" s="8500"/>
      <c r="Z69" s="8500"/>
      <c r="AA69" s="8500"/>
      <c r="AB69" s="8482"/>
      <c r="AC69" s="8482"/>
      <c r="AD69" s="8482"/>
      <c r="AE69" s="8482"/>
      <c r="AF69" s="8482"/>
      <c r="AG69" s="8482"/>
      <c r="AH69" s="8482"/>
      <c r="AI69" s="8482"/>
      <c r="AJ69" s="8482"/>
      <c r="AK69" s="8482"/>
      <c r="AL69" s="5133"/>
    </row>
    <row r="70" spans="1:38" ht="12.75" customHeight="1">
      <c r="A70" s="5132"/>
      <c r="B70" s="5132"/>
      <c r="C70" s="5132"/>
      <c r="D70" s="5132"/>
      <c r="E70" s="5133"/>
      <c r="F70" s="8695" t="s">
        <v>2588</v>
      </c>
      <c r="G70" s="8696"/>
      <c r="H70" s="8696"/>
      <c r="I70" s="8696"/>
      <c r="J70" s="8696"/>
      <c r="K70" s="8696"/>
      <c r="L70" s="8696"/>
      <c r="M70" s="8696"/>
      <c r="N70" s="8696"/>
      <c r="O70" s="8696"/>
      <c r="P70" s="8696"/>
      <c r="Q70" s="8696"/>
      <c r="R70" s="8696"/>
      <c r="S70" s="8696"/>
      <c r="T70" s="8696"/>
      <c r="U70" s="8696"/>
      <c r="V70" s="8696"/>
      <c r="W70" s="8696"/>
      <c r="X70" s="8696"/>
      <c r="Y70" s="8696"/>
      <c r="Z70" s="8696"/>
      <c r="AA70" s="8696"/>
      <c r="AB70" s="8696"/>
      <c r="AC70" s="8696"/>
      <c r="AD70" s="8696"/>
      <c r="AE70" s="8696"/>
      <c r="AF70" s="8696"/>
      <c r="AG70" s="8696"/>
      <c r="AH70" s="8696"/>
      <c r="AI70" s="8696"/>
      <c r="AJ70" s="8697"/>
      <c r="AK70" s="6382"/>
      <c r="AL70" s="5133"/>
    </row>
    <row r="71" spans="1:38" ht="12.75" customHeight="1">
      <c r="A71" s="5132"/>
      <c r="B71" s="5132"/>
      <c r="C71" s="5132"/>
      <c r="D71" s="5132"/>
      <c r="E71" s="5133"/>
      <c r="F71" s="8698"/>
      <c r="G71" s="6382"/>
      <c r="H71" s="6382"/>
      <c r="I71" s="6382"/>
      <c r="J71" s="6382"/>
      <c r="K71" s="6382"/>
      <c r="L71" s="6382"/>
      <c r="M71" s="6382"/>
      <c r="N71" s="6382"/>
      <c r="O71" s="6382"/>
      <c r="P71" s="6382"/>
      <c r="Q71" s="6382"/>
      <c r="R71" s="6382"/>
      <c r="S71" s="6382"/>
      <c r="T71" s="6382"/>
      <c r="U71" s="6382"/>
      <c r="V71" s="6382"/>
      <c r="W71" s="6382"/>
      <c r="X71" s="6382"/>
      <c r="Y71" s="6382"/>
      <c r="Z71" s="6382"/>
      <c r="AA71" s="6382"/>
      <c r="AB71" s="6382"/>
      <c r="AC71" s="6382"/>
      <c r="AD71" s="6382"/>
      <c r="AE71" s="6382"/>
      <c r="AF71" s="6382"/>
      <c r="AG71" s="6382"/>
      <c r="AH71" s="6382"/>
      <c r="AI71" s="6382"/>
      <c r="AJ71" s="8699"/>
      <c r="AK71" s="6382"/>
      <c r="AL71" s="5133"/>
    </row>
    <row r="72" spans="1:38" ht="12.75" customHeight="1">
      <c r="A72" s="5132"/>
      <c r="B72" s="5132"/>
      <c r="C72" s="5132"/>
      <c r="D72" s="5132"/>
      <c r="E72" s="5133"/>
      <c r="F72" s="8700" t="s">
        <v>2609</v>
      </c>
      <c r="G72" s="6382"/>
      <c r="H72" s="6382"/>
      <c r="I72" s="6382"/>
      <c r="J72" s="6382"/>
      <c r="K72" s="6382"/>
      <c r="L72" s="6382"/>
      <c r="M72" s="6382"/>
      <c r="N72" s="6382"/>
      <c r="O72" s="6382"/>
      <c r="P72" s="8501"/>
      <c r="Q72" s="8501" t="s">
        <v>2720</v>
      </c>
      <c r="R72" s="6635">
        <v>1</v>
      </c>
      <c r="S72" s="6382" t="s">
        <v>2667</v>
      </c>
      <c r="T72" s="6382"/>
      <c r="U72" s="6382"/>
      <c r="V72" s="6382"/>
      <c r="W72" s="6382"/>
      <c r="X72" s="6382"/>
      <c r="Y72" s="6382"/>
      <c r="Z72" s="6382"/>
      <c r="AA72" s="6382"/>
      <c r="AB72" s="6382"/>
      <c r="AC72" s="6382"/>
      <c r="AD72" s="6382"/>
      <c r="AE72" s="6382"/>
      <c r="AF72" s="6382"/>
      <c r="AG72" s="6382"/>
      <c r="AH72" s="6382"/>
      <c r="AI72" s="6382"/>
      <c r="AJ72" s="8699"/>
      <c r="AK72" s="6382"/>
      <c r="AL72" s="5133"/>
    </row>
    <row r="73" spans="1:38" ht="12.75" customHeight="1">
      <c r="A73" s="5132"/>
      <c r="B73" s="5132"/>
      <c r="C73" s="5132"/>
      <c r="D73" s="5132"/>
      <c r="E73" s="5133"/>
      <c r="F73" s="8700"/>
      <c r="G73" s="6382"/>
      <c r="H73" s="6382"/>
      <c r="I73" s="6382"/>
      <c r="J73" s="6382"/>
      <c r="K73" s="6382"/>
      <c r="L73" s="6382"/>
      <c r="M73" s="6382"/>
      <c r="N73" s="6382"/>
      <c r="O73" s="6382"/>
      <c r="P73" s="8501"/>
      <c r="Q73" s="8501"/>
      <c r="R73" s="6635">
        <f>1+R72</f>
        <v>2</v>
      </c>
      <c r="S73" s="8502" t="s">
        <v>2728</v>
      </c>
      <c r="T73" s="8479"/>
      <c r="U73" s="8479"/>
      <c r="V73" s="8479"/>
      <c r="W73" s="8479"/>
      <c r="X73" s="8479"/>
      <c r="Y73" s="8701" t="s">
        <v>2446</v>
      </c>
      <c r="Z73" s="8479"/>
      <c r="AA73" s="8479"/>
      <c r="AB73" s="8479"/>
      <c r="AC73" s="8479"/>
      <c r="AD73" s="8479"/>
      <c r="AE73" s="8479"/>
      <c r="AF73" s="8479"/>
      <c r="AG73" s="6382"/>
      <c r="AH73" s="6382"/>
      <c r="AI73" s="6382"/>
      <c r="AJ73" s="8699"/>
      <c r="AK73" s="6382"/>
      <c r="AL73" s="5133"/>
    </row>
    <row r="74" spans="1:38" ht="12.75" customHeight="1">
      <c r="A74" s="5132"/>
      <c r="B74" s="5132"/>
      <c r="C74" s="5132"/>
      <c r="D74" s="5132"/>
      <c r="E74" s="5133"/>
      <c r="F74" s="8698"/>
      <c r="G74" s="6382"/>
      <c r="H74" s="6382"/>
      <c r="I74" s="6382"/>
      <c r="J74" s="6382"/>
      <c r="K74" s="6382"/>
      <c r="L74" s="6382"/>
      <c r="M74" s="6382"/>
      <c r="N74" s="6382"/>
      <c r="O74" s="6382"/>
      <c r="P74" s="6382"/>
      <c r="Q74" s="6382"/>
      <c r="R74" s="6382"/>
      <c r="S74" s="6382"/>
      <c r="T74" s="6382"/>
      <c r="U74" s="6382"/>
      <c r="V74" s="6382"/>
      <c r="W74" s="6382"/>
      <c r="X74" s="6382"/>
      <c r="Y74" s="6382"/>
      <c r="Z74" s="6382"/>
      <c r="AA74" s="6382"/>
      <c r="AB74" s="6382"/>
      <c r="AC74" s="6382"/>
      <c r="AD74" s="6382"/>
      <c r="AE74" s="6382"/>
      <c r="AF74" s="6382"/>
      <c r="AG74" s="6382"/>
      <c r="AH74" s="6382"/>
      <c r="AI74" s="6382"/>
      <c r="AJ74" s="8699"/>
      <c r="AK74" s="6382"/>
      <c r="AL74" s="5133"/>
    </row>
    <row r="75" spans="1:38" ht="12.75" customHeight="1">
      <c r="A75" s="5132"/>
      <c r="B75" s="5132"/>
      <c r="C75" s="5132"/>
      <c r="D75" s="5132"/>
      <c r="E75" s="5133"/>
      <c r="F75" s="8698"/>
      <c r="G75" s="9962" t="s">
        <v>2589</v>
      </c>
      <c r="H75" s="9962"/>
      <c r="I75" s="9962"/>
      <c r="J75" s="9962"/>
      <c r="K75" s="9962"/>
      <c r="L75" s="9962"/>
      <c r="M75" s="9962"/>
      <c r="N75" s="9962"/>
      <c r="O75" s="6382"/>
      <c r="P75" s="8505" t="s">
        <v>2459</v>
      </c>
      <c r="Q75" s="8505"/>
      <c r="R75" s="8507" t="s">
        <v>1647</v>
      </c>
      <c r="S75" s="8507"/>
      <c r="T75" s="9930" t="s">
        <v>2610</v>
      </c>
      <c r="U75" s="9930"/>
      <c r="V75" s="9930"/>
      <c r="W75" s="9930"/>
      <c r="X75" s="9930"/>
      <c r="Y75" s="9930"/>
      <c r="Z75" s="9930"/>
      <c r="AA75" s="6382"/>
      <c r="AB75" s="9930" t="s">
        <v>915</v>
      </c>
      <c r="AC75" s="9930"/>
      <c r="AD75" s="9930"/>
      <c r="AE75" s="9930"/>
      <c r="AF75" s="9930"/>
      <c r="AG75" s="9930"/>
      <c r="AH75" s="9930"/>
      <c r="AI75" s="6382"/>
      <c r="AJ75" s="8699"/>
      <c r="AK75" s="6382"/>
      <c r="AL75" s="5133"/>
    </row>
    <row r="76" spans="1:38" ht="12.75" customHeight="1">
      <c r="A76" s="5132"/>
      <c r="B76" s="5132"/>
      <c r="C76" s="5132"/>
      <c r="D76" s="5132"/>
      <c r="E76" s="5133"/>
      <c r="F76" s="8702" t="s">
        <v>2601</v>
      </c>
      <c r="G76" s="8504" t="s">
        <v>2590</v>
      </c>
      <c r="H76" s="8503"/>
      <c r="I76" s="8503"/>
      <c r="J76" s="8503"/>
      <c r="K76" s="8503"/>
      <c r="L76" s="8503"/>
      <c r="M76" s="8503"/>
      <c r="N76" s="8503"/>
      <c r="O76" s="8503"/>
      <c r="P76" s="8504"/>
      <c r="Q76" s="8504"/>
      <c r="R76" s="8703"/>
      <c r="S76" s="8503"/>
      <c r="T76" s="8503"/>
      <c r="U76" s="8503"/>
      <c r="V76" s="8503"/>
      <c r="W76" s="8503"/>
      <c r="X76" s="8503"/>
      <c r="Y76" s="8503"/>
      <c r="Z76" s="8503"/>
      <c r="AA76" s="8503"/>
      <c r="AB76" s="8503"/>
      <c r="AC76" s="8503"/>
      <c r="AD76" s="8503"/>
      <c r="AE76" s="8503"/>
      <c r="AF76" s="8503"/>
      <c r="AG76" s="8503"/>
      <c r="AH76" s="8503"/>
      <c r="AI76" s="6382"/>
      <c r="AJ76" s="8699"/>
      <c r="AK76" s="6382"/>
      <c r="AL76" s="5133"/>
    </row>
    <row r="77" spans="1:38" ht="12.75" customHeight="1">
      <c r="A77" s="5132"/>
      <c r="B77" s="5132"/>
      <c r="C77" s="5132"/>
      <c r="D77" s="5132"/>
      <c r="E77" s="5133"/>
      <c r="F77" s="8704"/>
      <c r="G77" s="8505"/>
      <c r="H77" s="8506" t="s">
        <v>2733</v>
      </c>
      <c r="I77" s="6382"/>
      <c r="J77" s="6382"/>
      <c r="K77" s="6382"/>
      <c r="L77" s="6382"/>
      <c r="M77" s="6382"/>
      <c r="N77" s="6382"/>
      <c r="O77" s="6382"/>
      <c r="P77" s="8505"/>
      <c r="Q77" s="8505"/>
      <c r="R77" s="8507"/>
      <c r="S77" s="6382"/>
      <c r="T77" s="6382"/>
      <c r="U77" s="6382"/>
      <c r="V77" s="6382"/>
      <c r="W77" s="6382"/>
      <c r="X77" s="6382"/>
      <c r="Y77" s="6382"/>
      <c r="Z77" s="6382"/>
      <c r="AA77" s="6382"/>
      <c r="AB77" s="6382"/>
      <c r="AC77" s="6382"/>
      <c r="AD77" s="6382"/>
      <c r="AE77" s="6382"/>
      <c r="AF77" s="6382"/>
      <c r="AG77" s="6382"/>
      <c r="AH77" s="6382"/>
      <c r="AI77" s="6382"/>
      <c r="AJ77" s="8699"/>
      <c r="AK77" s="6382"/>
      <c r="AL77" s="5133"/>
    </row>
    <row r="78" spans="1:38" ht="12.75" customHeight="1">
      <c r="A78" s="5132"/>
      <c r="B78" s="5132"/>
      <c r="C78" s="5132"/>
      <c r="D78" s="5132"/>
      <c r="E78" s="5133"/>
      <c r="F78" s="8705"/>
      <c r="G78" s="6382"/>
      <c r="H78" s="7405"/>
      <c r="I78" s="6382" t="s">
        <v>2607</v>
      </c>
      <c r="J78" s="6382"/>
      <c r="K78" s="6382"/>
      <c r="L78" s="6382"/>
      <c r="M78" s="6382"/>
      <c r="N78" s="6382"/>
      <c r="O78" s="6382"/>
      <c r="P78" s="6382" t="s">
        <v>2605</v>
      </c>
      <c r="Q78" s="6382"/>
      <c r="R78" s="8508" t="s">
        <v>2608</v>
      </c>
      <c r="S78" s="6382"/>
      <c r="T78" s="6939"/>
      <c r="U78" s="6382"/>
      <c r="V78" s="6382"/>
      <c r="W78" s="6382"/>
      <c r="X78" s="6382"/>
      <c r="Y78" s="6382"/>
      <c r="Z78" s="6382"/>
      <c r="AA78" s="8509"/>
      <c r="AB78" s="6939"/>
      <c r="AC78" s="6382"/>
      <c r="AD78" s="6382"/>
      <c r="AE78" s="6382"/>
      <c r="AF78" s="6382"/>
      <c r="AG78" s="6382"/>
      <c r="AH78" s="6382"/>
      <c r="AI78" s="6382"/>
      <c r="AJ78" s="8699"/>
      <c r="AK78" s="6382"/>
      <c r="AL78" s="5133"/>
    </row>
    <row r="79" spans="1:38" ht="12.75" customHeight="1">
      <c r="A79" s="5132"/>
      <c r="B79" s="5132"/>
      <c r="C79" s="5132"/>
      <c r="D79" s="5132"/>
      <c r="E79" s="5133"/>
      <c r="F79" s="8705"/>
      <c r="G79" s="6382"/>
      <c r="H79" s="7405"/>
      <c r="I79" s="8510" t="s">
        <v>1363</v>
      </c>
      <c r="J79" s="8510"/>
      <c r="K79" s="6382"/>
      <c r="L79" s="6382"/>
      <c r="M79" s="6382"/>
      <c r="N79" s="6382"/>
      <c r="O79" s="6382"/>
      <c r="P79" s="6382" t="s">
        <v>2018</v>
      </c>
      <c r="Q79" s="6382"/>
      <c r="R79" s="6382" t="s">
        <v>2458</v>
      </c>
      <c r="S79" s="6382"/>
      <c r="T79" s="6939"/>
      <c r="U79" s="6382"/>
      <c r="V79" s="6382"/>
      <c r="W79" s="6382"/>
      <c r="X79" s="6382"/>
      <c r="Y79" s="6382"/>
      <c r="Z79" s="6382"/>
      <c r="AA79" s="6382"/>
      <c r="AB79" s="6939"/>
      <c r="AC79" s="6382"/>
      <c r="AD79" s="6382"/>
      <c r="AE79" s="6382"/>
      <c r="AF79" s="6382"/>
      <c r="AG79" s="6382"/>
      <c r="AH79" s="6382"/>
      <c r="AI79" s="6382"/>
      <c r="AJ79" s="8699"/>
      <c r="AK79" s="6382"/>
      <c r="AL79" s="5133"/>
    </row>
    <row r="80" spans="1:38" ht="12.75" customHeight="1">
      <c r="A80" s="5132"/>
      <c r="B80" s="5132"/>
      <c r="C80" s="5132"/>
      <c r="D80" s="5132"/>
      <c r="E80" s="5133"/>
      <c r="F80" s="8705"/>
      <c r="G80" s="6382"/>
      <c r="H80" s="6371" t="s">
        <v>1393</v>
      </c>
      <c r="I80" s="8510"/>
      <c r="J80" s="6382"/>
      <c r="K80" s="6382"/>
      <c r="L80" s="6382"/>
      <c r="M80" s="6382"/>
      <c r="N80" s="6382"/>
      <c r="O80" s="6382"/>
      <c r="P80" s="6382"/>
      <c r="Q80" s="6382"/>
      <c r="R80" s="6382"/>
      <c r="S80" s="6382"/>
      <c r="T80" s="6939"/>
      <c r="U80" s="6382"/>
      <c r="V80" s="6382"/>
      <c r="W80" s="6382"/>
      <c r="X80" s="6382"/>
      <c r="Y80" s="6382"/>
      <c r="Z80" s="6382"/>
      <c r="AA80" s="6382"/>
      <c r="AB80" s="6382"/>
      <c r="AC80" s="8511"/>
      <c r="AD80" s="8511"/>
      <c r="AE80" s="8511"/>
      <c r="AF80" s="8511"/>
      <c r="AG80" s="8511"/>
      <c r="AH80" s="8511"/>
      <c r="AI80" s="8511"/>
      <c r="AJ80" s="8706"/>
      <c r="AK80" s="8511"/>
      <c r="AL80" s="5133"/>
    </row>
    <row r="81" spans="1:38" ht="12.75" customHeight="1">
      <c r="A81" s="5132"/>
      <c r="B81" s="5132"/>
      <c r="C81" s="5132"/>
      <c r="D81" s="5132"/>
      <c r="E81" s="5133"/>
      <c r="F81" s="8705"/>
      <c r="G81" s="6382"/>
      <c r="H81" s="6371"/>
      <c r="I81" s="8510" t="s">
        <v>2750</v>
      </c>
      <c r="J81" s="6382"/>
      <c r="K81" s="6382"/>
      <c r="L81" s="6382"/>
      <c r="M81" s="6382"/>
      <c r="N81" s="6382"/>
      <c r="O81" s="6382"/>
      <c r="P81" s="6382" t="s">
        <v>1099</v>
      </c>
      <c r="Q81" s="6382"/>
      <c r="R81" s="6382" t="s">
        <v>2751</v>
      </c>
      <c r="S81" s="6382"/>
      <c r="T81" s="6939"/>
      <c r="U81" s="6382"/>
      <c r="V81" s="6382"/>
      <c r="W81" s="6382"/>
      <c r="X81" s="6382"/>
      <c r="Y81" s="6382"/>
      <c r="Z81" s="6382"/>
      <c r="AA81" s="6382"/>
      <c r="AB81" s="8511"/>
      <c r="AC81" s="8511"/>
      <c r="AD81" s="8511"/>
      <c r="AE81" s="8511"/>
      <c r="AF81" s="8511"/>
      <c r="AG81" s="8511"/>
      <c r="AH81" s="8511"/>
      <c r="AI81" s="8511"/>
      <c r="AJ81" s="8706"/>
      <c r="AK81" s="8511"/>
      <c r="AL81" s="5133"/>
    </row>
    <row r="82" spans="1:38" ht="12.75" customHeight="1">
      <c r="A82" s="5132"/>
      <c r="B82" s="5132"/>
      <c r="C82" s="5132"/>
      <c r="D82" s="5132"/>
      <c r="E82" s="5133"/>
      <c r="F82" s="8705"/>
      <c r="G82" s="6382"/>
      <c r="H82" s="7405"/>
      <c r="I82" s="8510" t="s">
        <v>2752</v>
      </c>
      <c r="J82" s="6382"/>
      <c r="K82" s="6382"/>
      <c r="L82" s="6382"/>
      <c r="M82" s="6382"/>
      <c r="N82" s="6382"/>
      <c r="O82" s="6382"/>
      <c r="P82" s="6382" t="s">
        <v>2432</v>
      </c>
      <c r="Q82" s="6382"/>
      <c r="R82" s="6382" t="s">
        <v>2669</v>
      </c>
      <c r="S82" s="6382"/>
      <c r="T82" s="6939"/>
      <c r="U82" s="6382"/>
      <c r="V82" s="6382"/>
      <c r="W82" s="6382"/>
      <c r="X82" s="6382"/>
      <c r="Y82" s="6382"/>
      <c r="Z82" s="6382"/>
      <c r="AA82" s="6382"/>
      <c r="AB82" s="8511"/>
      <c r="AC82" s="8511"/>
      <c r="AD82" s="8511"/>
      <c r="AE82" s="8511"/>
      <c r="AF82" s="8511"/>
      <c r="AG82" s="8511"/>
      <c r="AH82" s="8511"/>
      <c r="AI82" s="8511"/>
      <c r="AJ82" s="8706"/>
      <c r="AK82" s="8511"/>
      <c r="AL82" s="5133"/>
    </row>
    <row r="83" spans="1:38" ht="12.75" customHeight="1">
      <c r="A83" s="5132"/>
      <c r="B83" s="5132"/>
      <c r="C83" s="5132"/>
      <c r="D83" s="5132"/>
      <c r="E83" s="5133"/>
      <c r="F83" s="8705"/>
      <c r="G83" s="6382"/>
      <c r="H83" s="7405"/>
      <c r="I83" s="8510" t="s">
        <v>1402</v>
      </c>
      <c r="J83" s="6382"/>
      <c r="K83" s="6382"/>
      <c r="L83" s="6382"/>
      <c r="M83" s="6382"/>
      <c r="N83" s="6382"/>
      <c r="O83" s="6382"/>
      <c r="P83" s="6382" t="s">
        <v>1181</v>
      </c>
      <c r="Q83" s="6382"/>
      <c r="R83" s="6382" t="s">
        <v>2661</v>
      </c>
      <c r="S83" s="6382"/>
      <c r="T83" s="6939"/>
      <c r="U83" s="6382"/>
      <c r="V83" s="6382"/>
      <c r="W83" s="6382"/>
      <c r="X83" s="6382"/>
      <c r="Y83" s="6382"/>
      <c r="Z83" s="6382"/>
      <c r="AA83" s="6382"/>
      <c r="AB83" s="8686"/>
      <c r="AC83" s="8686"/>
      <c r="AD83" s="8686"/>
      <c r="AE83" s="8686"/>
      <c r="AF83" s="8686"/>
      <c r="AG83" s="8686"/>
      <c r="AH83" s="8686"/>
      <c r="AI83" s="8686"/>
      <c r="AJ83" s="8707"/>
      <c r="AK83" s="8734"/>
      <c r="AL83" s="5133"/>
    </row>
    <row r="84" spans="1:38" ht="12.75" customHeight="1">
      <c r="A84" s="5132"/>
      <c r="B84" s="5132"/>
      <c r="C84" s="5132"/>
      <c r="D84" s="5132"/>
      <c r="E84" s="5133"/>
      <c r="F84" s="8705"/>
      <c r="G84" s="8505"/>
      <c r="H84" s="8506" t="s">
        <v>2600</v>
      </c>
      <c r="I84" s="6382"/>
      <c r="J84" s="6382"/>
      <c r="K84" s="6382"/>
      <c r="L84" s="6382"/>
      <c r="M84" s="6382"/>
      <c r="N84" s="6382"/>
      <c r="O84" s="6382"/>
      <c r="P84" s="6382"/>
      <c r="Q84" s="6382"/>
      <c r="R84" s="6382"/>
      <c r="S84" s="6382"/>
      <c r="T84" s="6382"/>
      <c r="U84" s="6382"/>
      <c r="V84" s="6382"/>
      <c r="W84" s="6382"/>
      <c r="X84" s="6382"/>
      <c r="Y84" s="6382"/>
      <c r="Z84" s="6382"/>
      <c r="AA84" s="6382"/>
      <c r="AB84" s="6382"/>
      <c r="AC84" s="6382"/>
      <c r="AD84" s="6382"/>
      <c r="AE84" s="6382"/>
      <c r="AF84" s="6382"/>
      <c r="AG84" s="6382"/>
      <c r="AH84" s="6382"/>
      <c r="AI84" s="6382"/>
      <c r="AJ84" s="8699"/>
      <c r="AK84" s="6382"/>
      <c r="AL84" s="5133"/>
    </row>
    <row r="85" spans="1:38" ht="12.75" customHeight="1">
      <c r="A85" s="5132"/>
      <c r="B85" s="5132"/>
      <c r="C85" s="5132"/>
      <c r="D85" s="5132"/>
      <c r="E85" s="5133"/>
      <c r="F85" s="8705"/>
      <c r="G85" s="8505"/>
      <c r="H85" s="8505"/>
      <c r="I85" s="6382" t="s">
        <v>2611</v>
      </c>
      <c r="J85" s="6382"/>
      <c r="K85" s="6382"/>
      <c r="L85" s="6382"/>
      <c r="M85" s="6382"/>
      <c r="N85" s="6382"/>
      <c r="O85" s="6382"/>
      <c r="P85" s="6382"/>
      <c r="Q85" s="6382"/>
      <c r="R85" s="6382"/>
      <c r="S85" s="6382"/>
      <c r="T85" s="6939" t="s">
        <v>2456</v>
      </c>
      <c r="U85" s="6382"/>
      <c r="V85" s="6382" t="s">
        <v>2612</v>
      </c>
      <c r="W85" s="6382"/>
      <c r="X85" s="6382"/>
      <c r="Y85" s="6382"/>
      <c r="Z85" s="6382"/>
      <c r="AA85" s="6382"/>
      <c r="AB85" s="6382" t="s">
        <v>2615</v>
      </c>
      <c r="AC85" s="6382"/>
      <c r="AD85" s="6382"/>
      <c r="AE85" s="6382"/>
      <c r="AF85" s="6382"/>
      <c r="AG85" s="6382"/>
      <c r="AH85" s="6382"/>
      <c r="AI85" s="6382"/>
      <c r="AJ85" s="8699"/>
      <c r="AK85" s="6382"/>
      <c r="AL85" s="5133"/>
    </row>
    <row r="86" spans="1:38" ht="12.75" customHeight="1">
      <c r="A86" s="5132"/>
      <c r="B86" s="5132"/>
      <c r="C86" s="5132"/>
      <c r="D86" s="5132"/>
      <c r="E86" s="5133"/>
      <c r="F86" s="8705"/>
      <c r="G86" s="8505"/>
      <c r="H86" s="8505"/>
      <c r="I86" s="6382" t="s">
        <v>2613</v>
      </c>
      <c r="J86" s="6382"/>
      <c r="K86" s="6382"/>
      <c r="L86" s="6382"/>
      <c r="M86" s="6382"/>
      <c r="N86" s="6382"/>
      <c r="O86" s="6382"/>
      <c r="P86" s="6382" t="s">
        <v>2606</v>
      </c>
      <c r="Q86" s="6382"/>
      <c r="R86" s="6382" t="s">
        <v>2614</v>
      </c>
      <c r="S86" s="6382"/>
      <c r="T86" s="6939" t="s">
        <v>2456</v>
      </c>
      <c r="U86" s="6382"/>
      <c r="V86" s="9919">
        <v>18330</v>
      </c>
      <c r="W86" s="9919"/>
      <c r="X86" s="9919"/>
      <c r="Y86" s="9919"/>
      <c r="Z86" s="9919"/>
      <c r="AA86" s="6382"/>
      <c r="AB86" s="6382" t="s">
        <v>2616</v>
      </c>
      <c r="AC86" s="6382"/>
      <c r="AD86" s="6382"/>
      <c r="AE86" s="6382"/>
      <c r="AF86" s="6382"/>
      <c r="AG86" s="6382"/>
      <c r="AH86" s="6382"/>
      <c r="AI86" s="6382"/>
      <c r="AJ86" s="8699"/>
      <c r="AK86" s="6382"/>
      <c r="AL86" s="5133"/>
    </row>
    <row r="87" spans="1:38" ht="12.75" customHeight="1">
      <c r="A87" s="5132"/>
      <c r="B87" s="5132"/>
      <c r="C87" s="5132"/>
      <c r="D87" s="5132"/>
      <c r="E87" s="5133"/>
      <c r="F87" s="8705"/>
      <c r="G87" s="8505"/>
      <c r="H87" s="8505"/>
      <c r="I87" s="6382" t="s">
        <v>2620</v>
      </c>
      <c r="J87" s="6382"/>
      <c r="K87" s="6382"/>
      <c r="L87" s="6382"/>
      <c r="M87" s="6382"/>
      <c r="N87" s="6382"/>
      <c r="O87" s="6382"/>
      <c r="P87" s="8512" t="s">
        <v>2622</v>
      </c>
      <c r="Q87" s="8512"/>
      <c r="R87" s="6382" t="s">
        <v>2621</v>
      </c>
      <c r="S87" s="6382"/>
      <c r="T87" s="6939" t="s">
        <v>2456</v>
      </c>
      <c r="U87" s="6382"/>
      <c r="V87" s="9921">
        <v>7.21</v>
      </c>
      <c r="W87" s="9921"/>
      <c r="X87" s="9921"/>
      <c r="Y87" s="9921"/>
      <c r="Z87" s="9921"/>
      <c r="AA87" s="6382"/>
      <c r="AB87" s="6382" t="s">
        <v>2616</v>
      </c>
      <c r="AC87" s="6382"/>
      <c r="AD87" s="6382"/>
      <c r="AE87" s="6382"/>
      <c r="AF87" s="6382"/>
      <c r="AG87" s="6382"/>
      <c r="AH87" s="6382"/>
      <c r="AI87" s="6382"/>
      <c r="AJ87" s="8699"/>
      <c r="AK87" s="6382"/>
      <c r="AL87" s="5133"/>
    </row>
    <row r="88" spans="1:38" ht="12.75" customHeight="1">
      <c r="A88" s="5132"/>
      <c r="B88" s="5132"/>
      <c r="C88" s="5132"/>
      <c r="D88" s="5132"/>
      <c r="E88" s="5133"/>
      <c r="F88" s="8705"/>
      <c r="G88" s="8505"/>
      <c r="H88" s="8505"/>
      <c r="I88" s="6382" t="s">
        <v>2626</v>
      </c>
      <c r="J88" s="6382"/>
      <c r="K88" s="6382"/>
      <c r="L88" s="6382"/>
      <c r="M88" s="6382"/>
      <c r="N88" s="6382"/>
      <c r="O88" s="6382"/>
      <c r="P88" s="6382" t="s">
        <v>2012</v>
      </c>
      <c r="Q88" s="6382"/>
      <c r="R88" s="6382" t="s">
        <v>2623</v>
      </c>
      <c r="S88" s="6382"/>
      <c r="T88" s="6939" t="s">
        <v>2456</v>
      </c>
      <c r="U88" s="6382"/>
      <c r="V88" s="9922" t="s">
        <v>2624</v>
      </c>
      <c r="W88" s="9922"/>
      <c r="X88" s="9922"/>
      <c r="Y88" s="9922"/>
      <c r="Z88" s="9922"/>
      <c r="AA88" s="9922"/>
      <c r="AB88" s="6382"/>
      <c r="AC88" s="6382"/>
      <c r="AD88" s="6382"/>
      <c r="AE88" s="6382"/>
      <c r="AF88" s="6382"/>
      <c r="AG88" s="6382"/>
      <c r="AH88" s="6382"/>
      <c r="AI88" s="6382"/>
      <c r="AJ88" s="8699"/>
      <c r="AK88" s="6382"/>
      <c r="AL88" s="5133"/>
    </row>
    <row r="89" spans="1:38" ht="12.75" customHeight="1">
      <c r="A89" s="5132"/>
      <c r="B89" s="5132"/>
      <c r="C89" s="5132"/>
      <c r="D89" s="5132"/>
      <c r="E89" s="5133"/>
      <c r="F89" s="8705"/>
      <c r="G89" s="8505"/>
      <c r="H89" s="8505"/>
      <c r="I89" s="6382" t="s">
        <v>2767</v>
      </c>
      <c r="J89" s="6382"/>
      <c r="K89" s="6382"/>
      <c r="L89" s="6382"/>
      <c r="M89" s="6382"/>
      <c r="N89" s="6382"/>
      <c r="O89" s="6382"/>
      <c r="P89" s="6382" t="s">
        <v>2617</v>
      </c>
      <c r="Q89" s="6382"/>
      <c r="R89" s="6382" t="s">
        <v>2618</v>
      </c>
      <c r="S89" s="6382"/>
      <c r="T89" s="6939" t="s">
        <v>2456</v>
      </c>
      <c r="U89" s="6382"/>
      <c r="V89" s="9920">
        <v>0.7</v>
      </c>
      <c r="W89" s="9920"/>
      <c r="X89" s="9920"/>
      <c r="Y89" s="9920"/>
      <c r="Z89" s="9920"/>
      <c r="AA89" s="6382"/>
      <c r="AB89" s="6382" t="s">
        <v>2619</v>
      </c>
      <c r="AC89" s="6382"/>
      <c r="AD89" s="6382"/>
      <c r="AE89" s="6382"/>
      <c r="AF89" s="6382"/>
      <c r="AG89" s="6382"/>
      <c r="AH89" s="6382"/>
      <c r="AI89" s="6382"/>
      <c r="AJ89" s="8699"/>
      <c r="AK89" s="6382"/>
      <c r="AL89" s="5133"/>
    </row>
    <row r="90" spans="1:38" ht="12.75" customHeight="1">
      <c r="A90" s="5132"/>
      <c r="B90" s="5132"/>
      <c r="C90" s="5132"/>
      <c r="D90" s="5132"/>
      <c r="E90" s="5133"/>
      <c r="F90" s="8705"/>
      <c r="G90" s="8505"/>
      <c r="H90" s="8505"/>
      <c r="I90" s="6382" t="s">
        <v>2625</v>
      </c>
      <c r="J90" s="6382"/>
      <c r="K90" s="6382"/>
      <c r="L90" s="6382"/>
      <c r="M90" s="6382"/>
      <c r="N90" s="6382"/>
      <c r="O90" s="6382"/>
      <c r="P90" s="6382" t="s">
        <v>2594</v>
      </c>
      <c r="Q90" s="6382"/>
      <c r="R90" s="6382" t="s">
        <v>2623</v>
      </c>
      <c r="S90" s="6382"/>
      <c r="T90" s="6939" t="s">
        <v>2456</v>
      </c>
      <c r="U90" s="6382"/>
      <c r="V90" s="6382" t="s">
        <v>2627</v>
      </c>
      <c r="W90" s="6382"/>
      <c r="X90" s="6382"/>
      <c r="Y90" s="6382"/>
      <c r="Z90" s="6382"/>
      <c r="AA90" s="6382"/>
      <c r="AB90" s="6382"/>
      <c r="AC90" s="6382"/>
      <c r="AD90" s="6382"/>
      <c r="AE90" s="6382"/>
      <c r="AF90" s="6382"/>
      <c r="AG90" s="6382"/>
      <c r="AH90" s="6382"/>
      <c r="AI90" s="6382"/>
      <c r="AJ90" s="8699"/>
      <c r="AK90" s="6382"/>
      <c r="AL90" s="5133"/>
    </row>
    <row r="91" spans="1:38" ht="12.75" customHeight="1">
      <c r="A91" s="5132"/>
      <c r="B91" s="5132"/>
      <c r="C91" s="5132"/>
      <c r="D91" s="5132"/>
      <c r="E91" s="5133"/>
      <c r="F91" s="8705"/>
      <c r="G91" s="8505"/>
      <c r="H91" s="8505"/>
      <c r="I91" s="8513" t="s">
        <v>2629</v>
      </c>
      <c r="J91" s="8513"/>
      <c r="K91" s="8513"/>
      <c r="L91" s="8513"/>
      <c r="M91" s="8513"/>
      <c r="N91" s="8513"/>
      <c r="O91" s="8513"/>
      <c r="P91" s="8513" t="s">
        <v>2630</v>
      </c>
      <c r="Q91" s="8513"/>
      <c r="R91" s="8513" t="s">
        <v>2631</v>
      </c>
      <c r="S91" s="8513"/>
      <c r="T91" s="8514" t="s">
        <v>2456</v>
      </c>
      <c r="U91" s="8513"/>
      <c r="V91" s="8513" t="s">
        <v>2710</v>
      </c>
      <c r="W91" s="8513"/>
      <c r="X91" s="8513"/>
      <c r="Y91" s="8513"/>
      <c r="Z91" s="8513"/>
      <c r="AA91" s="8513"/>
      <c r="AB91" s="8513"/>
      <c r="AC91" s="8513"/>
      <c r="AD91" s="8513"/>
      <c r="AE91" s="8513"/>
      <c r="AF91" s="8513"/>
      <c r="AG91" s="8513"/>
      <c r="AH91" s="8513"/>
      <c r="AI91" s="8513"/>
      <c r="AJ91" s="8699"/>
      <c r="AK91" s="6382"/>
      <c r="AL91" s="5133"/>
    </row>
    <row r="92" spans="1:38" ht="12.75" customHeight="1">
      <c r="A92" s="5132"/>
      <c r="B92" s="5132"/>
      <c r="C92" s="5132"/>
      <c r="D92" s="5132"/>
      <c r="E92" s="5133"/>
      <c r="F92" s="8705"/>
      <c r="G92" s="8505"/>
      <c r="H92" s="8505"/>
      <c r="I92" s="8503" t="s">
        <v>2301</v>
      </c>
      <c r="J92" s="8503"/>
      <c r="K92" s="8503"/>
      <c r="L92" s="8503"/>
      <c r="M92" s="8503"/>
      <c r="N92" s="8503"/>
      <c r="O92" s="8503"/>
      <c r="P92" s="8503" t="s">
        <v>2635</v>
      </c>
      <c r="Q92" s="8503"/>
      <c r="R92" s="8503" t="s">
        <v>2634</v>
      </c>
      <c r="S92" s="8503"/>
      <c r="T92" s="8515" t="s">
        <v>2456</v>
      </c>
      <c r="U92" s="8503"/>
      <c r="V92" s="9983">
        <v>50</v>
      </c>
      <c r="W92" s="9983"/>
      <c r="X92" s="9983"/>
      <c r="Y92" s="9983"/>
      <c r="Z92" s="9983"/>
      <c r="AA92" s="9983"/>
      <c r="AB92" s="8503" t="s">
        <v>2671</v>
      </c>
      <c r="AC92" s="8503"/>
      <c r="AD92" s="8503"/>
      <c r="AE92" s="8503"/>
      <c r="AF92" s="8503"/>
      <c r="AG92" s="8503"/>
      <c r="AH92" s="8503"/>
      <c r="AI92" s="8503"/>
      <c r="AJ92" s="8699"/>
      <c r="AK92" s="6382"/>
      <c r="AL92" s="5133"/>
    </row>
    <row r="93" spans="1:38" ht="12.75" customHeight="1">
      <c r="A93" s="5132"/>
      <c r="B93" s="5132"/>
      <c r="C93" s="5132"/>
      <c r="D93" s="5132"/>
      <c r="E93" s="5133"/>
      <c r="F93" s="8705"/>
      <c r="G93" s="8505"/>
      <c r="H93" s="8505"/>
      <c r="I93" s="8513" t="s">
        <v>2633</v>
      </c>
      <c r="J93" s="8513"/>
      <c r="K93" s="8513"/>
      <c r="L93" s="8513"/>
      <c r="M93" s="8513"/>
      <c r="N93" s="8513"/>
      <c r="O93" s="8513"/>
      <c r="P93" s="8513"/>
      <c r="Q93" s="8513"/>
      <c r="R93" s="8513" t="s">
        <v>2637</v>
      </c>
      <c r="S93" s="8513"/>
      <c r="T93" s="8514" t="s">
        <v>2456</v>
      </c>
      <c r="U93" s="8513"/>
      <c r="V93" s="9981">
        <v>388.16</v>
      </c>
      <c r="W93" s="9981"/>
      <c r="X93" s="9981"/>
      <c r="Y93" s="9981"/>
      <c r="Z93" s="9981"/>
      <c r="AA93" s="9981"/>
      <c r="AB93" s="8513" t="s">
        <v>2636</v>
      </c>
      <c r="AC93" s="8513"/>
      <c r="AD93" s="8513"/>
      <c r="AE93" s="8513"/>
      <c r="AF93" s="8513"/>
      <c r="AG93" s="8513"/>
      <c r="AH93" s="8513"/>
      <c r="AI93" s="8513"/>
      <c r="AJ93" s="8699"/>
      <c r="AK93" s="6382"/>
      <c r="AL93" s="5133"/>
    </row>
    <row r="94" spans="1:38" ht="12.75" customHeight="1">
      <c r="A94" s="5132"/>
      <c r="B94" s="5132"/>
      <c r="C94" s="5132"/>
      <c r="D94" s="5132"/>
      <c r="E94" s="5133"/>
      <c r="F94" s="8705"/>
      <c r="G94" s="8505"/>
      <c r="H94" s="8505"/>
      <c r="I94" s="8503" t="s">
        <v>2662</v>
      </c>
      <c r="J94" s="8503"/>
      <c r="K94" s="8503"/>
      <c r="L94" s="8503"/>
      <c r="M94" s="8503"/>
      <c r="N94" s="8503"/>
      <c r="O94" s="8503"/>
      <c r="P94" s="8503"/>
      <c r="Q94" s="8503"/>
      <c r="R94" s="8503"/>
      <c r="S94" s="8503"/>
      <c r="T94" s="6939" t="s">
        <v>2456</v>
      </c>
      <c r="U94" s="6382"/>
      <c r="V94" s="9924">
        <v>1990</v>
      </c>
      <c r="W94" s="9924"/>
      <c r="X94" s="9924"/>
      <c r="Y94" s="9924"/>
      <c r="Z94" s="9924"/>
      <c r="AA94" s="9924"/>
      <c r="AB94" s="6382" t="s">
        <v>2732</v>
      </c>
      <c r="AC94" s="6382"/>
      <c r="AD94" s="6382"/>
      <c r="AE94" s="6382"/>
      <c r="AF94" s="6382"/>
      <c r="AG94" s="6382"/>
      <c r="AH94" s="6382"/>
      <c r="AI94" s="7405"/>
      <c r="AJ94" s="8699"/>
      <c r="AK94" s="6382"/>
      <c r="AL94" s="5133"/>
    </row>
    <row r="95" spans="1:38" ht="12.75" customHeight="1">
      <c r="A95" s="5132"/>
      <c r="B95" s="5132"/>
      <c r="C95" s="5132"/>
      <c r="D95" s="5132"/>
      <c r="E95" s="5133"/>
      <c r="F95" s="8705"/>
      <c r="G95" s="8505"/>
      <c r="H95" s="8505"/>
      <c r="I95" s="6382" t="s">
        <v>2766</v>
      </c>
      <c r="J95" s="6382"/>
      <c r="K95" s="6382"/>
      <c r="L95" s="6382"/>
      <c r="M95" s="6382"/>
      <c r="N95" s="6382"/>
      <c r="O95" s="6382"/>
      <c r="P95" s="6382" t="s">
        <v>2390</v>
      </c>
      <c r="Q95" s="6382"/>
      <c r="R95" s="6382" t="s">
        <v>2638</v>
      </c>
      <c r="S95" s="6382"/>
      <c r="T95" s="6939" t="s">
        <v>2456</v>
      </c>
      <c r="U95" s="6382"/>
      <c r="V95" s="9927">
        <v>1.73</v>
      </c>
      <c r="W95" s="9927"/>
      <c r="X95" s="9927"/>
      <c r="Y95" s="9927"/>
      <c r="Z95" s="9927"/>
      <c r="AA95" s="9927"/>
      <c r="AB95" s="6382" t="s">
        <v>2744</v>
      </c>
      <c r="AC95" s="6382"/>
      <c r="AD95" s="6382"/>
      <c r="AE95" s="6382"/>
      <c r="AF95" s="6382"/>
      <c r="AG95" s="6382"/>
      <c r="AH95" s="6382"/>
      <c r="AI95" s="7405"/>
      <c r="AJ95" s="8699"/>
      <c r="AK95" s="6382"/>
      <c r="AL95" s="5133"/>
    </row>
    <row r="96" spans="1:38" ht="12.75" customHeight="1">
      <c r="A96" s="5132"/>
      <c r="B96" s="5132"/>
      <c r="C96" s="5132"/>
      <c r="D96" s="5132"/>
      <c r="E96" s="5133"/>
      <c r="F96" s="8705"/>
      <c r="G96" s="8505"/>
      <c r="H96" s="7405"/>
      <c r="I96" s="8516" t="s">
        <v>2642</v>
      </c>
      <c r="J96" s="6382"/>
      <c r="K96" s="6382"/>
      <c r="L96" s="6382"/>
      <c r="M96" s="6382"/>
      <c r="N96" s="6382"/>
      <c r="O96" s="6382"/>
      <c r="P96" s="6382"/>
      <c r="Q96" s="6382"/>
      <c r="R96" s="6382"/>
      <c r="S96" s="6382"/>
      <c r="T96" s="6939"/>
      <c r="U96" s="6382"/>
      <c r="V96" s="8517"/>
      <c r="W96" s="8517"/>
      <c r="X96" s="8517"/>
      <c r="Y96" s="8517"/>
      <c r="Z96" s="8517"/>
      <c r="AA96" s="8517"/>
      <c r="AB96" s="6382"/>
      <c r="AC96" s="6382"/>
      <c r="AD96" s="6382"/>
      <c r="AE96" s="6382"/>
      <c r="AF96" s="6382"/>
      <c r="AG96" s="6382"/>
      <c r="AH96" s="6382"/>
      <c r="AI96" s="6382"/>
      <c r="AJ96" s="8699"/>
      <c r="AK96" s="6382"/>
      <c r="AL96" s="5133"/>
    </row>
    <row r="97" spans="1:38" ht="12.75" customHeight="1">
      <c r="A97" s="5132"/>
      <c r="B97" s="5132"/>
      <c r="C97" s="5132"/>
      <c r="D97" s="5132"/>
      <c r="E97" s="5133"/>
      <c r="F97" s="8705"/>
      <c r="G97" s="8505"/>
      <c r="H97" s="6382"/>
      <c r="I97" s="6382"/>
      <c r="J97" s="6382" t="s">
        <v>2639</v>
      </c>
      <c r="K97" s="6382"/>
      <c r="L97" s="6382"/>
      <c r="M97" s="6382"/>
      <c r="N97" s="6382"/>
      <c r="O97" s="6382"/>
      <c r="P97" s="6382"/>
      <c r="Q97" s="6382"/>
      <c r="R97" s="6382" t="s">
        <v>2643</v>
      </c>
      <c r="S97" s="6382"/>
      <c r="T97" s="6939" t="s">
        <v>2456</v>
      </c>
      <c r="U97" s="6382"/>
      <c r="V97" s="9931">
        <v>0.38400000000000001</v>
      </c>
      <c r="W97" s="9931"/>
      <c r="X97" s="9931"/>
      <c r="Y97" s="9931"/>
      <c r="Z97" s="9931"/>
      <c r="AA97" s="9931"/>
      <c r="AB97" s="6382" t="s">
        <v>2616</v>
      </c>
      <c r="AC97" s="6382"/>
      <c r="AD97" s="6382"/>
      <c r="AE97" s="6382"/>
      <c r="AF97" s="6382"/>
      <c r="AG97" s="6382"/>
      <c r="AH97" s="6382"/>
      <c r="AI97" s="6382"/>
      <c r="AJ97" s="8699"/>
      <c r="AK97" s="6382"/>
      <c r="AL97" s="5133"/>
    </row>
    <row r="98" spans="1:38" ht="12.75" customHeight="1">
      <c r="A98" s="5132"/>
      <c r="B98" s="5132"/>
      <c r="C98" s="5132"/>
      <c r="D98" s="5132"/>
      <c r="E98" s="5133"/>
      <c r="F98" s="8705"/>
      <c r="G98" s="8505"/>
      <c r="H98" s="6382"/>
      <c r="I98" s="6382"/>
      <c r="J98" s="6382" t="s">
        <v>2640</v>
      </c>
      <c r="K98" s="6382"/>
      <c r="L98" s="6382"/>
      <c r="M98" s="6382"/>
      <c r="N98" s="6382"/>
      <c r="O98" s="6382"/>
      <c r="P98" s="6382"/>
      <c r="Q98" s="6382"/>
      <c r="R98" s="6382" t="s">
        <v>2643</v>
      </c>
      <c r="S98" s="6382"/>
      <c r="T98" s="6939" t="s">
        <v>2456</v>
      </c>
      <c r="U98" s="6382"/>
      <c r="V98" s="9931">
        <v>1.97</v>
      </c>
      <c r="W98" s="9931"/>
      <c r="X98" s="9931"/>
      <c r="Y98" s="9931"/>
      <c r="Z98" s="9931"/>
      <c r="AA98" s="9931"/>
      <c r="AB98" s="6382" t="s">
        <v>2616</v>
      </c>
      <c r="AC98" s="6382"/>
      <c r="AD98" s="6382"/>
      <c r="AE98" s="6382"/>
      <c r="AF98" s="6382"/>
      <c r="AG98" s="6382"/>
      <c r="AH98" s="6382"/>
      <c r="AI98" s="6382"/>
      <c r="AJ98" s="8699"/>
      <c r="AK98" s="6382"/>
      <c r="AL98" s="5133"/>
    </row>
    <row r="99" spans="1:38" ht="12.75" customHeight="1">
      <c r="A99" s="5132"/>
      <c r="B99" s="5132"/>
      <c r="C99" s="5132"/>
      <c r="D99" s="5132"/>
      <c r="E99" s="5133"/>
      <c r="F99" s="8705"/>
      <c r="G99" s="8505"/>
      <c r="H99" s="6382"/>
      <c r="I99" s="8513"/>
      <c r="J99" s="8513" t="s">
        <v>2641</v>
      </c>
      <c r="K99" s="8513"/>
      <c r="L99" s="8513"/>
      <c r="M99" s="8513"/>
      <c r="N99" s="8513"/>
      <c r="O99" s="8513"/>
      <c r="P99" s="8513"/>
      <c r="Q99" s="8513"/>
      <c r="R99" s="8513" t="s">
        <v>2643</v>
      </c>
      <c r="S99" s="8513"/>
      <c r="T99" s="8514" t="s">
        <v>2456</v>
      </c>
      <c r="U99" s="8513"/>
      <c r="V99" s="9984">
        <v>3.82</v>
      </c>
      <c r="W99" s="9984"/>
      <c r="X99" s="9984"/>
      <c r="Y99" s="9984"/>
      <c r="Z99" s="9984"/>
      <c r="AA99" s="9984"/>
      <c r="AB99" s="6382" t="s">
        <v>2616</v>
      </c>
      <c r="AC99" s="6382"/>
      <c r="AD99" s="6382"/>
      <c r="AE99" s="6382"/>
      <c r="AF99" s="6382"/>
      <c r="AG99" s="6382"/>
      <c r="AH99" s="6382"/>
      <c r="AI99" s="6382"/>
      <c r="AJ99" s="8699"/>
      <c r="AK99" s="6382"/>
      <c r="AL99" s="5133"/>
    </row>
    <row r="100" spans="1:38" ht="12.75" customHeight="1">
      <c r="A100" s="5132"/>
      <c r="B100" s="5132"/>
      <c r="C100" s="5132"/>
      <c r="D100" s="5132"/>
      <c r="E100" s="5133"/>
      <c r="F100" s="8705"/>
      <c r="G100" s="8505"/>
      <c r="H100" s="6382"/>
      <c r="I100" s="6382" t="s">
        <v>2644</v>
      </c>
      <c r="J100" s="6382"/>
      <c r="K100" s="6382"/>
      <c r="L100" s="6382"/>
      <c r="M100" s="6382"/>
      <c r="N100" s="6382"/>
      <c r="O100" s="6382"/>
      <c r="P100" s="6382" t="s">
        <v>2646</v>
      </c>
      <c r="Q100" s="6382"/>
      <c r="R100" s="6382" t="s">
        <v>2643</v>
      </c>
      <c r="S100" s="6382"/>
      <c r="T100" s="6939" t="s">
        <v>2456</v>
      </c>
      <c r="U100" s="6382"/>
      <c r="V100" s="9931">
        <f>+SUM(V97:AA99)</f>
        <v>6.1739999999999995</v>
      </c>
      <c r="W100" s="9931"/>
      <c r="X100" s="9931"/>
      <c r="Y100" s="9931"/>
      <c r="Z100" s="9931"/>
      <c r="AA100" s="9931"/>
      <c r="AB100" s="6382"/>
      <c r="AC100" s="6382"/>
      <c r="AD100" s="6382"/>
      <c r="AE100" s="6382"/>
      <c r="AF100" s="6382"/>
      <c r="AG100" s="6382"/>
      <c r="AH100" s="6382"/>
      <c r="AI100" s="6382"/>
      <c r="AJ100" s="8699"/>
      <c r="AK100" s="6382"/>
      <c r="AL100" s="5133"/>
    </row>
    <row r="101" spans="1:38" ht="12.75" customHeight="1">
      <c r="A101" s="5132"/>
      <c r="B101" s="5132"/>
      <c r="C101" s="5132"/>
      <c r="D101" s="5132"/>
      <c r="E101" s="5133"/>
      <c r="F101" s="8705"/>
      <c r="G101" s="8505"/>
      <c r="H101" s="6382"/>
      <c r="I101" s="8513" t="s">
        <v>2647</v>
      </c>
      <c r="J101" s="8513"/>
      <c r="K101" s="8513"/>
      <c r="L101" s="8513"/>
      <c r="M101" s="8513"/>
      <c r="N101" s="8513"/>
      <c r="O101" s="8513"/>
      <c r="P101" s="8513" t="s">
        <v>2648</v>
      </c>
      <c r="Q101" s="8513"/>
      <c r="R101" s="8513"/>
      <c r="S101" s="8513"/>
      <c r="T101" s="8514" t="s">
        <v>2456</v>
      </c>
      <c r="U101" s="8513"/>
      <c r="V101" s="9985">
        <v>1.3</v>
      </c>
      <c r="W101" s="9985"/>
      <c r="X101" s="9985"/>
      <c r="Y101" s="9985"/>
      <c r="Z101" s="9985"/>
      <c r="AA101" s="9985"/>
      <c r="AB101" s="8513" t="s">
        <v>2649</v>
      </c>
      <c r="AC101" s="8513"/>
      <c r="AD101" s="8513"/>
      <c r="AE101" s="8513"/>
      <c r="AF101" s="8513"/>
      <c r="AG101" s="8513"/>
      <c r="AH101" s="8513"/>
      <c r="AI101" s="8513"/>
      <c r="AJ101" s="8699"/>
      <c r="AK101" s="6382"/>
      <c r="AL101" s="5133"/>
    </row>
    <row r="102" spans="1:38" ht="12.75" customHeight="1">
      <c r="A102" s="5132"/>
      <c r="B102" s="5132"/>
      <c r="C102" s="5132"/>
      <c r="D102" s="5132"/>
      <c r="E102" s="5133"/>
      <c r="F102" s="8705"/>
      <c r="G102" s="8505"/>
      <c r="H102" s="8506" t="s">
        <v>2651</v>
      </c>
      <c r="I102" s="8516"/>
      <c r="J102" s="6382"/>
      <c r="K102" s="6382"/>
      <c r="L102" s="6382"/>
      <c r="M102" s="6382"/>
      <c r="N102" s="6382"/>
      <c r="O102" s="6382"/>
      <c r="P102" s="6382"/>
      <c r="Q102" s="6382"/>
      <c r="R102" s="6382"/>
      <c r="S102" s="6382"/>
      <c r="T102" s="6939"/>
      <c r="U102" s="6382"/>
      <c r="V102" s="8685"/>
      <c r="W102" s="8685"/>
      <c r="X102" s="8685"/>
      <c r="Y102" s="8685"/>
      <c r="Z102" s="8685"/>
      <c r="AA102" s="6382"/>
      <c r="AB102" s="6382"/>
      <c r="AC102" s="6382"/>
      <c r="AD102" s="6382"/>
      <c r="AE102" s="6382"/>
      <c r="AF102" s="6382"/>
      <c r="AG102" s="6382"/>
      <c r="AH102" s="6382"/>
      <c r="AI102" s="6382"/>
      <c r="AJ102" s="8699"/>
      <c r="AK102" s="6382"/>
      <c r="AL102" s="5133"/>
    </row>
    <row r="103" spans="1:38" ht="12.75" customHeight="1">
      <c r="A103" s="5132"/>
      <c r="B103" s="5132"/>
      <c r="C103" s="5132"/>
      <c r="D103" s="5132"/>
      <c r="E103" s="5133"/>
      <c r="F103" s="8705"/>
      <c r="G103" s="8505"/>
      <c r="H103" s="6382"/>
      <c r="I103" s="6382" t="s">
        <v>1300</v>
      </c>
      <c r="J103" s="6382"/>
      <c r="K103" s="6382"/>
      <c r="L103" s="6382"/>
      <c r="M103" s="6382"/>
      <c r="N103" s="6382"/>
      <c r="O103" s="6382"/>
      <c r="P103" s="6382"/>
      <c r="Q103" s="6382"/>
      <c r="R103" s="6382" t="s">
        <v>2653</v>
      </c>
      <c r="S103" s="6382"/>
      <c r="T103" s="6939" t="s">
        <v>2456</v>
      </c>
      <c r="U103" s="6382"/>
      <c r="V103" s="9986">
        <v>25.6</v>
      </c>
      <c r="W103" s="9986"/>
      <c r="X103" s="9986"/>
      <c r="Y103" s="9986"/>
      <c r="Z103" s="9986"/>
      <c r="AA103" s="9986"/>
      <c r="AB103" s="6382" t="s">
        <v>2616</v>
      </c>
      <c r="AC103" s="6382"/>
      <c r="AD103" s="6382"/>
      <c r="AE103" s="6382"/>
      <c r="AF103" s="6382"/>
      <c r="AG103" s="6382"/>
      <c r="AH103" s="6382"/>
      <c r="AI103" s="6382"/>
      <c r="AJ103" s="8699"/>
      <c r="AK103" s="6382"/>
      <c r="AL103" s="5133"/>
    </row>
    <row r="104" spans="1:38" ht="12.75" customHeight="1">
      <c r="A104" s="5132"/>
      <c r="B104" s="5132"/>
      <c r="C104" s="5132"/>
      <c r="D104" s="5132"/>
      <c r="E104" s="5133"/>
      <c r="F104" s="8705"/>
      <c r="G104" s="8505"/>
      <c r="H104" s="6382"/>
      <c r="I104" s="6382" t="s">
        <v>2304</v>
      </c>
      <c r="J104" s="6382"/>
      <c r="K104" s="6382"/>
      <c r="L104" s="6382"/>
      <c r="M104" s="6382"/>
      <c r="N104" s="6382"/>
      <c r="O104" s="6382"/>
      <c r="P104" s="6382"/>
      <c r="Q104" s="6382"/>
      <c r="R104" s="6382" t="s">
        <v>2653</v>
      </c>
      <c r="S104" s="6382"/>
      <c r="T104" s="6939" t="s">
        <v>2456</v>
      </c>
      <c r="U104" s="6382"/>
      <c r="V104" s="9986" t="s">
        <v>2657</v>
      </c>
      <c r="W104" s="9986"/>
      <c r="X104" s="9986"/>
      <c r="Y104" s="9986"/>
      <c r="Z104" s="9986"/>
      <c r="AA104" s="9986"/>
      <c r="AB104" s="6382" t="s">
        <v>2616</v>
      </c>
      <c r="AC104" s="6382"/>
      <c r="AD104" s="6382"/>
      <c r="AE104" s="6382"/>
      <c r="AF104" s="6382"/>
      <c r="AG104" s="6382"/>
      <c r="AH104" s="6382"/>
      <c r="AI104" s="6382"/>
      <c r="AJ104" s="8699"/>
      <c r="AK104" s="6382"/>
      <c r="AL104" s="5133"/>
    </row>
    <row r="105" spans="1:38" ht="12.75" customHeight="1">
      <c r="A105" s="5132"/>
      <c r="B105" s="5132"/>
      <c r="C105" s="5132"/>
      <c r="D105" s="5132"/>
      <c r="E105" s="5133"/>
      <c r="F105" s="8705"/>
      <c r="G105" s="8505"/>
      <c r="H105" s="8513"/>
      <c r="I105" s="8513" t="s">
        <v>2652</v>
      </c>
      <c r="J105" s="8513"/>
      <c r="K105" s="8513"/>
      <c r="L105" s="8513"/>
      <c r="M105" s="8513"/>
      <c r="N105" s="8513"/>
      <c r="O105" s="8513"/>
      <c r="P105" s="8513"/>
      <c r="Q105" s="8513"/>
      <c r="R105" s="8513" t="s">
        <v>2653</v>
      </c>
      <c r="S105" s="8513"/>
      <c r="T105" s="8514" t="s">
        <v>2456</v>
      </c>
      <c r="U105" s="8513"/>
      <c r="V105" s="9999">
        <v>31.2</v>
      </c>
      <c r="W105" s="9999"/>
      <c r="X105" s="9999"/>
      <c r="Y105" s="9999"/>
      <c r="Z105" s="9999"/>
      <c r="AA105" s="9999"/>
      <c r="AB105" s="8513" t="s">
        <v>2616</v>
      </c>
      <c r="AC105" s="8513"/>
      <c r="AD105" s="8513"/>
      <c r="AE105" s="8513"/>
      <c r="AF105" s="8513"/>
      <c r="AG105" s="8513"/>
      <c r="AH105" s="8513"/>
      <c r="AI105" s="8513"/>
      <c r="AJ105" s="8699"/>
      <c r="AK105" s="6382"/>
      <c r="AL105" s="5133"/>
    </row>
    <row r="106" spans="1:38" ht="12.75" customHeight="1">
      <c r="A106" s="5132"/>
      <c r="B106" s="5132"/>
      <c r="C106" s="5132"/>
      <c r="D106" s="5132"/>
      <c r="E106" s="5133"/>
      <c r="F106" s="8705"/>
      <c r="G106" s="8505"/>
      <c r="H106" s="6382"/>
      <c r="I106" s="6382" t="s">
        <v>2654</v>
      </c>
      <c r="J106" s="6382"/>
      <c r="K106" s="6382"/>
      <c r="L106" s="6382"/>
      <c r="M106" s="6382"/>
      <c r="N106" s="6382"/>
      <c r="O106" s="6382"/>
      <c r="P106" s="6382" t="s">
        <v>2690</v>
      </c>
      <c r="Q106" s="6382"/>
      <c r="R106" s="6382" t="s">
        <v>2653</v>
      </c>
      <c r="S106" s="6382"/>
      <c r="T106" s="6939" t="s">
        <v>2456</v>
      </c>
      <c r="U106" s="6382"/>
      <c r="V106" s="9986">
        <f>+V103+V105+0.15*V103</f>
        <v>60.64</v>
      </c>
      <c r="W106" s="9986"/>
      <c r="X106" s="9986"/>
      <c r="Y106" s="9986"/>
      <c r="Z106" s="9986"/>
      <c r="AA106" s="9986"/>
      <c r="AB106" s="6382"/>
      <c r="AC106" s="6382"/>
      <c r="AD106" s="6382"/>
      <c r="AE106" s="6382"/>
      <c r="AF106" s="6382"/>
      <c r="AG106" s="6382"/>
      <c r="AH106" s="6382"/>
      <c r="AI106" s="6382"/>
      <c r="AJ106" s="8699"/>
      <c r="AK106" s="6382"/>
      <c r="AL106" s="5133"/>
    </row>
    <row r="107" spans="1:38" ht="12.75" customHeight="1">
      <c r="A107" s="5132"/>
      <c r="B107" s="5132"/>
      <c r="C107" s="5132"/>
      <c r="D107" s="5132"/>
      <c r="E107" s="5133"/>
      <c r="F107" s="8705"/>
      <c r="G107" s="8505"/>
      <c r="H107" s="6382"/>
      <c r="I107" s="6382"/>
      <c r="J107" s="6382"/>
      <c r="K107" s="6382"/>
      <c r="L107" s="6382"/>
      <c r="M107" s="6382"/>
      <c r="N107" s="6382"/>
      <c r="O107" s="6382"/>
      <c r="P107" s="6382"/>
      <c r="Q107" s="6382"/>
      <c r="R107" s="6382"/>
      <c r="S107" s="6382"/>
      <c r="T107" s="6939"/>
      <c r="U107" s="6382"/>
      <c r="V107" s="8685"/>
      <c r="W107" s="8685"/>
      <c r="X107" s="8685"/>
      <c r="Y107" s="8685"/>
      <c r="Z107" s="8685"/>
      <c r="AA107" s="6382"/>
      <c r="AB107" s="6382"/>
      <c r="AC107" s="6382"/>
      <c r="AD107" s="6382"/>
      <c r="AE107" s="6382"/>
      <c r="AF107" s="6382"/>
      <c r="AG107" s="6382"/>
      <c r="AH107" s="6382"/>
      <c r="AI107" s="6382"/>
      <c r="AJ107" s="8699"/>
      <c r="AK107" s="6382"/>
      <c r="AL107" s="5133"/>
    </row>
    <row r="108" spans="1:38" ht="12.75" customHeight="1">
      <c r="A108" s="5132"/>
      <c r="B108" s="5132"/>
      <c r="C108" s="5132"/>
      <c r="D108" s="5132"/>
      <c r="E108" s="5133"/>
      <c r="F108" s="8704" t="s">
        <v>2602</v>
      </c>
      <c r="G108" s="8506" t="s">
        <v>2759</v>
      </c>
      <c r="H108" s="6382"/>
      <c r="I108" s="6382"/>
      <c r="J108" s="6382"/>
      <c r="K108" s="6382"/>
      <c r="L108" s="6382"/>
      <c r="M108" s="6382"/>
      <c r="N108" s="6382"/>
      <c r="O108" s="6382"/>
      <c r="P108" s="6382"/>
      <c r="Q108" s="6382"/>
      <c r="R108" s="6382"/>
      <c r="S108" s="6382"/>
      <c r="T108" s="6382"/>
      <c r="U108" s="6382"/>
      <c r="V108" s="6382"/>
      <c r="W108" s="6382"/>
      <c r="X108" s="6382"/>
      <c r="Y108" s="6382"/>
      <c r="Z108" s="6382"/>
      <c r="AA108" s="6382"/>
      <c r="AB108" s="6382"/>
      <c r="AC108" s="6382"/>
      <c r="AD108" s="6382"/>
      <c r="AE108" s="6382"/>
      <c r="AF108" s="6382"/>
      <c r="AG108" s="6382"/>
      <c r="AH108" s="6382"/>
      <c r="AI108" s="6382"/>
      <c r="AJ108" s="8699"/>
      <c r="AK108" s="6382"/>
      <c r="AL108" s="5133"/>
    </row>
    <row r="109" spans="1:38" ht="12.75" customHeight="1">
      <c r="A109" s="5132"/>
      <c r="B109" s="5132"/>
      <c r="C109" s="5132"/>
      <c r="D109" s="5132"/>
      <c r="E109" s="5133"/>
      <c r="F109" s="8705"/>
      <c r="G109" s="6382" t="s">
        <v>2249</v>
      </c>
      <c r="H109" s="8505" t="s">
        <v>2760</v>
      </c>
      <c r="I109" s="8505"/>
      <c r="J109" s="6382"/>
      <c r="K109" s="6382"/>
      <c r="L109" s="6382"/>
      <c r="M109" s="6382"/>
      <c r="N109" s="6382"/>
      <c r="O109" s="6382"/>
      <c r="P109" s="6382"/>
      <c r="Q109" s="6382"/>
      <c r="R109" s="6382"/>
      <c r="S109" s="6382"/>
      <c r="T109" s="6382"/>
      <c r="U109" s="6382"/>
      <c r="V109" s="6382"/>
      <c r="W109" s="6382"/>
      <c r="X109" s="6382"/>
      <c r="Y109" s="6382"/>
      <c r="Z109" s="6382"/>
      <c r="AA109" s="6382"/>
      <c r="AB109" s="6382"/>
      <c r="AC109" s="6382"/>
      <c r="AD109" s="6382"/>
      <c r="AE109" s="6382"/>
      <c r="AF109" s="6382"/>
      <c r="AG109" s="6382"/>
      <c r="AH109" s="6382"/>
      <c r="AI109" s="6382"/>
      <c r="AJ109" s="8699"/>
      <c r="AK109" s="6382"/>
      <c r="AL109" s="5133"/>
    </row>
    <row r="110" spans="1:38" ht="15" customHeight="1">
      <c r="A110" s="5132"/>
      <c r="B110" s="5132"/>
      <c r="C110" s="5132"/>
      <c r="D110" s="5132"/>
      <c r="E110" s="5133"/>
      <c r="F110" s="8705"/>
      <c r="G110" s="6382"/>
      <c r="H110" s="8519">
        <v>1</v>
      </c>
      <c r="I110" s="8519" t="s">
        <v>2299</v>
      </c>
      <c r="J110" s="8479"/>
      <c r="K110" s="8479"/>
      <c r="L110" s="8518"/>
      <c r="M110" s="8479"/>
      <c r="N110" s="8479"/>
      <c r="O110" s="8479"/>
      <c r="P110" s="8479"/>
      <c r="Q110" s="8479"/>
      <c r="R110" s="6673" t="s">
        <v>2460</v>
      </c>
      <c r="S110" s="8479"/>
      <c r="T110" s="6673" t="s">
        <v>2456</v>
      </c>
      <c r="U110" s="8479"/>
      <c r="V110" s="8479" t="s">
        <v>979</v>
      </c>
      <c r="W110" s="8479"/>
      <c r="X110" s="8479"/>
      <c r="Y110" s="8479"/>
      <c r="Z110" s="8479"/>
      <c r="AA110" s="8479"/>
      <c r="AB110" s="6673"/>
      <c r="AC110" s="6382"/>
      <c r="AD110" s="8479"/>
      <c r="AE110" s="6382"/>
      <c r="AF110" s="6382"/>
      <c r="AG110" s="6382"/>
      <c r="AH110" s="6382"/>
      <c r="AI110" s="6382"/>
      <c r="AJ110" s="8699"/>
      <c r="AK110" s="6382"/>
      <c r="AL110" s="5133"/>
    </row>
    <row r="111" spans="1:38" ht="15" customHeight="1">
      <c r="A111" s="5132"/>
      <c r="B111" s="5132"/>
      <c r="C111" s="5132"/>
      <c r="D111" s="5132"/>
      <c r="E111" s="5133"/>
      <c r="F111" s="8705"/>
      <c r="G111" s="6382"/>
      <c r="H111" s="8519">
        <f>1+H110</f>
        <v>2</v>
      </c>
      <c r="I111" s="8479" t="s">
        <v>2301</v>
      </c>
      <c r="J111" s="7405"/>
      <c r="K111" s="8479"/>
      <c r="L111" s="8518"/>
      <c r="M111" s="8479"/>
      <c r="N111" s="8479"/>
      <c r="O111" s="8479"/>
      <c r="P111" s="8479"/>
      <c r="Q111" s="8479"/>
      <c r="R111" s="6673" t="s">
        <v>2460</v>
      </c>
      <c r="S111" s="8479"/>
      <c r="T111" s="6673" t="s">
        <v>2456</v>
      </c>
      <c r="U111" s="8479"/>
      <c r="V111" s="8479" t="s">
        <v>2788</v>
      </c>
      <c r="W111" s="8479"/>
      <c r="X111" s="8479"/>
      <c r="Y111" s="8479"/>
      <c r="Z111" s="8479"/>
      <c r="AA111" s="8479"/>
      <c r="AB111" s="6382"/>
      <c r="AC111" s="6382"/>
      <c r="AD111" s="8479"/>
      <c r="AE111" s="6382"/>
      <c r="AF111" s="6382"/>
      <c r="AG111" s="6940"/>
      <c r="AH111" s="6382"/>
      <c r="AI111" s="6382"/>
      <c r="AJ111" s="8699"/>
      <c r="AK111" s="6382"/>
      <c r="AL111" s="5133"/>
    </row>
    <row r="112" spans="1:38" ht="15" customHeight="1">
      <c r="A112" s="5132"/>
      <c r="B112" s="5132"/>
      <c r="C112" s="5132"/>
      <c r="D112" s="5132"/>
      <c r="E112" s="5133"/>
      <c r="F112" s="8698"/>
      <c r="G112" s="6382"/>
      <c r="H112" s="8519">
        <f>1+H111</f>
        <v>3</v>
      </c>
      <c r="I112" s="8479" t="s">
        <v>2645</v>
      </c>
      <c r="J112" s="7405"/>
      <c r="K112" s="8479"/>
      <c r="L112" s="8518"/>
      <c r="M112" s="8479"/>
      <c r="N112" s="8479"/>
      <c r="O112" s="8479"/>
      <c r="P112" s="8479"/>
      <c r="Q112" s="8479"/>
      <c r="R112" s="6673" t="s">
        <v>2460</v>
      </c>
      <c r="S112" s="8479"/>
      <c r="T112" s="6673" t="s">
        <v>2456</v>
      </c>
      <c r="U112" s="8479"/>
      <c r="V112" s="6382" t="s">
        <v>2650</v>
      </c>
      <c r="W112" s="6382"/>
      <c r="X112" s="6382"/>
      <c r="Y112" s="6382"/>
      <c r="Z112" s="6382"/>
      <c r="AA112" s="6382"/>
      <c r="AB112" s="6673"/>
      <c r="AC112" s="6382"/>
      <c r="AD112" s="8479"/>
      <c r="AE112" s="6382"/>
      <c r="AF112" s="6382"/>
      <c r="AG112" s="6382"/>
      <c r="AH112" s="6382"/>
      <c r="AI112" s="6940"/>
      <c r="AJ112" s="8699"/>
      <c r="AK112" s="6382"/>
      <c r="AL112" s="5133"/>
    </row>
    <row r="113" spans="1:38" ht="15" customHeight="1">
      <c r="A113" s="5132"/>
      <c r="B113" s="5132"/>
      <c r="C113" s="5132"/>
      <c r="D113" s="5132"/>
      <c r="E113" s="5133"/>
      <c r="F113" s="8698"/>
      <c r="G113" s="6382"/>
      <c r="H113" s="8519"/>
      <c r="I113" s="8479"/>
      <c r="J113" s="7405"/>
      <c r="K113" s="8479"/>
      <c r="L113" s="8518"/>
      <c r="M113" s="8479"/>
      <c r="N113" s="8479"/>
      <c r="O113" s="8479"/>
      <c r="P113" s="8479"/>
      <c r="Q113" s="8479"/>
      <c r="R113" s="6673"/>
      <c r="S113" s="8479"/>
      <c r="T113" s="6673"/>
      <c r="U113" s="8479"/>
      <c r="V113" s="6382"/>
      <c r="W113" s="6382"/>
      <c r="X113" s="6382"/>
      <c r="Y113" s="6382"/>
      <c r="Z113" s="6382"/>
      <c r="AA113" s="6382"/>
      <c r="AB113" s="6673"/>
      <c r="AC113" s="6382"/>
      <c r="AD113" s="8479"/>
      <c r="AE113" s="6382"/>
      <c r="AF113" s="6382"/>
      <c r="AG113" s="6382"/>
      <c r="AH113" s="6382"/>
      <c r="AI113" s="6940"/>
      <c r="AJ113" s="8699"/>
      <c r="AK113" s="6382"/>
      <c r="AL113" s="5133"/>
    </row>
    <row r="114" spans="1:38" ht="15" customHeight="1">
      <c r="A114" s="5132"/>
      <c r="B114" s="5132"/>
      <c r="C114" s="5132"/>
      <c r="D114" s="5132"/>
      <c r="E114" s="5133"/>
      <c r="F114" s="8698"/>
      <c r="G114" s="6382" t="s">
        <v>2006</v>
      </c>
      <c r="H114" s="8505" t="s">
        <v>2761</v>
      </c>
      <c r="I114" s="8505"/>
      <c r="J114" s="6382"/>
      <c r="K114" s="8479"/>
      <c r="L114" s="8518"/>
      <c r="M114" s="8479"/>
      <c r="N114" s="8479"/>
      <c r="O114" s="8479"/>
      <c r="P114" s="8479"/>
      <c r="Q114" s="8479"/>
      <c r="R114" s="6673"/>
      <c r="S114" s="8479"/>
      <c r="T114" s="6673"/>
      <c r="U114" s="8479"/>
      <c r="V114" s="6637"/>
      <c r="W114" s="6637"/>
      <c r="X114" s="6637"/>
      <c r="Y114" s="6637"/>
      <c r="Z114" s="6637"/>
      <c r="AA114" s="6637"/>
      <c r="AB114" s="6673"/>
      <c r="AC114" s="6382"/>
      <c r="AD114" s="8479"/>
      <c r="AE114" s="6382"/>
      <c r="AF114" s="6382"/>
      <c r="AG114" s="6382"/>
      <c r="AH114" s="6382"/>
      <c r="AI114" s="6382"/>
      <c r="AJ114" s="8699"/>
      <c r="AK114" s="6382"/>
      <c r="AL114" s="5133"/>
    </row>
    <row r="115" spans="1:38" ht="15" customHeight="1">
      <c r="A115" s="5132"/>
      <c r="B115" s="5132"/>
      <c r="C115" s="5132"/>
      <c r="D115" s="5132"/>
      <c r="E115" s="5133"/>
      <c r="F115" s="8698"/>
      <c r="G115" s="6382"/>
      <c r="H115" s="8519">
        <v>1</v>
      </c>
      <c r="I115" s="8519" t="s">
        <v>2655</v>
      </c>
      <c r="J115" s="8479"/>
      <c r="K115" s="8479"/>
      <c r="L115" s="8518"/>
      <c r="M115" s="8479"/>
      <c r="N115" s="8479"/>
      <c r="O115" s="8479"/>
      <c r="P115" s="8479"/>
      <c r="Q115" s="8479"/>
      <c r="R115" s="6673" t="s">
        <v>2460</v>
      </c>
      <c r="S115" s="8479"/>
      <c r="T115" s="6673" t="s">
        <v>2456</v>
      </c>
      <c r="U115" s="8479"/>
      <c r="V115" s="6637" t="s">
        <v>2658</v>
      </c>
      <c r="W115" s="6637"/>
      <c r="X115" s="6637"/>
      <c r="Y115" s="6637"/>
      <c r="Z115" s="6637"/>
      <c r="AA115" s="6637"/>
      <c r="AB115" s="6673"/>
      <c r="AC115" s="6382"/>
      <c r="AD115" s="8479"/>
      <c r="AE115" s="6382"/>
      <c r="AF115" s="6382"/>
      <c r="AG115" s="6382"/>
      <c r="AH115" s="6382"/>
      <c r="AI115" s="6382"/>
      <c r="AJ115" s="8699"/>
      <c r="AK115" s="6382"/>
      <c r="AL115" s="5133"/>
    </row>
    <row r="116" spans="1:38" ht="15" customHeight="1">
      <c r="A116" s="5132"/>
      <c r="B116" s="5132"/>
      <c r="C116" s="5132"/>
      <c r="D116" s="5132"/>
      <c r="E116" s="5133"/>
      <c r="F116" s="8698"/>
      <c r="G116" s="6382"/>
      <c r="H116" s="8519">
        <f>1+H115</f>
        <v>2</v>
      </c>
      <c r="I116" s="8519" t="str">
        <f>+O24</f>
        <v>Maintenance Materials</v>
      </c>
      <c r="J116" s="8479"/>
      <c r="K116" s="8479"/>
      <c r="L116" s="8518"/>
      <c r="M116" s="8479"/>
      <c r="N116" s="8479"/>
      <c r="O116" s="8479"/>
      <c r="P116" s="8479"/>
      <c r="Q116" s="8479"/>
      <c r="R116" s="6673" t="s">
        <v>2460</v>
      </c>
      <c r="S116" s="8479"/>
      <c r="T116" s="6673" t="s">
        <v>2456</v>
      </c>
      <c r="U116" s="8479"/>
      <c r="V116" s="6637" t="s">
        <v>2674</v>
      </c>
      <c r="W116" s="6637"/>
      <c r="X116" s="6637"/>
      <c r="Y116" s="6637"/>
      <c r="Z116" s="6637"/>
      <c r="AA116" s="6637"/>
      <c r="AB116" s="9988" t="s">
        <v>2789</v>
      </c>
      <c r="AC116" s="9988"/>
      <c r="AD116" s="9988"/>
      <c r="AE116" s="9988"/>
      <c r="AF116" s="9988"/>
      <c r="AG116" s="9988"/>
      <c r="AH116" s="9988"/>
      <c r="AI116" s="9988"/>
      <c r="AJ116" s="9989"/>
      <c r="AK116" s="8733"/>
      <c r="AL116" s="5133"/>
    </row>
    <row r="117" spans="1:38" ht="15" customHeight="1">
      <c r="A117" s="5132"/>
      <c r="B117" s="5132"/>
      <c r="C117" s="5132"/>
      <c r="D117" s="5132"/>
      <c r="E117" s="5133"/>
      <c r="F117" s="8698"/>
      <c r="G117" s="6382"/>
      <c r="H117" s="8519">
        <f>1+H116</f>
        <v>3</v>
      </c>
      <c r="I117" s="8519" t="s">
        <v>2306</v>
      </c>
      <c r="J117" s="8479"/>
      <c r="K117" s="8479"/>
      <c r="L117" s="8518"/>
      <c r="M117" s="8479"/>
      <c r="N117" s="8479"/>
      <c r="O117" s="8479"/>
      <c r="P117" s="8479"/>
      <c r="Q117" s="8479"/>
      <c r="R117" s="6673" t="s">
        <v>2460</v>
      </c>
      <c r="S117" s="8479"/>
      <c r="T117" s="6673" t="s">
        <v>2456</v>
      </c>
      <c r="U117" s="8479"/>
      <c r="V117" s="6637" t="s">
        <v>2776</v>
      </c>
      <c r="W117" s="6637"/>
      <c r="X117" s="6637"/>
      <c r="Y117" s="6637"/>
      <c r="Z117" s="6637"/>
      <c r="AA117" s="6637"/>
      <c r="AB117" s="9988"/>
      <c r="AC117" s="9988"/>
      <c r="AD117" s="9988"/>
      <c r="AE117" s="9988"/>
      <c r="AF117" s="9988"/>
      <c r="AG117" s="9988"/>
      <c r="AH117" s="9988"/>
      <c r="AI117" s="9988"/>
      <c r="AJ117" s="9989"/>
      <c r="AK117" s="8733"/>
      <c r="AL117" s="5133"/>
    </row>
    <row r="118" spans="1:38" ht="15" customHeight="1">
      <c r="A118" s="5132"/>
      <c r="B118" s="5132"/>
      <c r="C118" s="5132"/>
      <c r="D118" s="5132"/>
      <c r="E118" s="5133"/>
      <c r="F118" s="8698"/>
      <c r="G118" s="6382"/>
      <c r="H118" s="8519"/>
      <c r="I118" s="8519"/>
      <c r="J118" s="8479"/>
      <c r="K118" s="8479"/>
      <c r="L118" s="8518"/>
      <c r="M118" s="8479"/>
      <c r="N118" s="8479"/>
      <c r="O118" s="8479"/>
      <c r="P118" s="8479"/>
      <c r="Q118" s="8479"/>
      <c r="R118" s="6673"/>
      <c r="S118" s="8479"/>
      <c r="T118" s="6673"/>
      <c r="U118" s="8479"/>
      <c r="V118" s="6637"/>
      <c r="W118" s="6637"/>
      <c r="X118" s="6637"/>
      <c r="Y118" s="6637"/>
      <c r="Z118" s="6637"/>
      <c r="AA118" s="6637"/>
      <c r="AB118" s="8538"/>
      <c r="AC118" s="8538"/>
      <c r="AD118" s="8538"/>
      <c r="AE118" s="8538"/>
      <c r="AF118" s="8538"/>
      <c r="AG118" s="8538"/>
      <c r="AH118" s="8538"/>
      <c r="AI118" s="8538"/>
      <c r="AJ118" s="8699"/>
      <c r="AK118" s="6382"/>
      <c r="AL118" s="5133"/>
    </row>
    <row r="119" spans="1:38" ht="15" customHeight="1">
      <c r="A119" s="5132"/>
      <c r="B119" s="5132"/>
      <c r="C119" s="5132"/>
      <c r="D119" s="5132"/>
      <c r="E119" s="5133"/>
      <c r="F119" s="8698"/>
      <c r="G119" s="6382" t="s">
        <v>2019</v>
      </c>
      <c r="H119" s="8505" t="s">
        <v>1083</v>
      </c>
      <c r="I119" s="8505"/>
      <c r="J119" s="6382"/>
      <c r="K119" s="8511"/>
      <c r="L119" s="8511"/>
      <c r="M119" s="8511"/>
      <c r="N119" s="8511"/>
      <c r="O119" s="8511"/>
      <c r="P119" s="8511"/>
      <c r="Q119" s="8511"/>
      <c r="R119" s="6382"/>
      <c r="S119" s="6382"/>
      <c r="T119" s="6382"/>
      <c r="U119" s="6382"/>
      <c r="V119" s="6382"/>
      <c r="W119" s="6382"/>
      <c r="X119" s="6382"/>
      <c r="Y119" s="6382"/>
      <c r="Z119" s="8511"/>
      <c r="AA119" s="8511"/>
      <c r="AB119" s="8508"/>
      <c r="AC119" s="8508"/>
      <c r="AD119" s="8508"/>
      <c r="AE119" s="8508"/>
      <c r="AF119" s="8508"/>
      <c r="AG119" s="8508"/>
      <c r="AH119" s="8508"/>
      <c r="AI119" s="8508"/>
      <c r="AJ119" s="8708"/>
      <c r="AK119" s="8508"/>
      <c r="AL119" s="5133"/>
    </row>
    <row r="120" spans="1:38" ht="15" customHeight="1">
      <c r="A120" s="5132"/>
      <c r="B120" s="5132"/>
      <c r="C120" s="5132"/>
      <c r="D120" s="5132"/>
      <c r="E120" s="5133"/>
      <c r="F120" s="8698"/>
      <c r="G120" s="8511"/>
      <c r="H120" s="8519">
        <v>1</v>
      </c>
      <c r="I120" s="9923" t="s">
        <v>1183</v>
      </c>
      <c r="J120" s="9923"/>
      <c r="K120" s="9923"/>
      <c r="L120" s="9923"/>
      <c r="M120" s="9923"/>
      <c r="N120" s="8511"/>
      <c r="O120" s="8511"/>
      <c r="P120" s="8511"/>
      <c r="Q120" s="8511"/>
      <c r="R120" s="6673" t="s">
        <v>2460</v>
      </c>
      <c r="S120" s="6382"/>
      <c r="T120" s="6673" t="s">
        <v>2456</v>
      </c>
      <c r="U120" s="6382"/>
      <c r="V120" s="9922" t="s">
        <v>2756</v>
      </c>
      <c r="W120" s="9922"/>
      <c r="X120" s="9922"/>
      <c r="Y120" s="9922"/>
      <c r="Z120" s="9922"/>
      <c r="AA120" s="9922"/>
      <c r="AB120" s="8508" t="s">
        <v>2757</v>
      </c>
      <c r="AC120" s="8508"/>
      <c r="AD120" s="8508"/>
      <c r="AE120" s="8508"/>
      <c r="AF120" s="8508"/>
      <c r="AG120" s="8508"/>
      <c r="AH120" s="8508"/>
      <c r="AI120" s="8508"/>
      <c r="AJ120" s="8708"/>
      <c r="AK120" s="8508"/>
      <c r="AL120" s="5133"/>
    </row>
    <row r="121" spans="1:38" ht="15" customHeight="1">
      <c r="A121" s="5132"/>
      <c r="B121" s="5132"/>
      <c r="C121" s="5132"/>
      <c r="D121" s="5132"/>
      <c r="E121" s="5133"/>
      <c r="F121" s="8698"/>
      <c r="G121" s="8511"/>
      <c r="H121" s="8519">
        <v>2</v>
      </c>
      <c r="I121" s="7405" t="s">
        <v>2450</v>
      </c>
      <c r="J121" s="7405"/>
      <c r="K121" s="7405"/>
      <c r="L121" s="7405"/>
      <c r="M121" s="7405"/>
      <c r="N121" s="7405"/>
      <c r="O121" s="7405"/>
      <c r="P121" s="7405"/>
      <c r="Q121" s="7405"/>
      <c r="R121" s="7405"/>
      <c r="S121" s="7405"/>
      <c r="T121" s="6673"/>
      <c r="U121" s="6382"/>
      <c r="V121" s="6382"/>
      <c r="W121" s="6382"/>
      <c r="X121" s="6382"/>
      <c r="Y121" s="6382"/>
      <c r="Z121" s="8511"/>
      <c r="AA121" s="8511"/>
      <c r="AB121" s="8508"/>
      <c r="AC121" s="8508"/>
      <c r="AD121" s="8508"/>
      <c r="AE121" s="8508"/>
      <c r="AF121" s="8508"/>
      <c r="AG121" s="8508"/>
      <c r="AH121" s="8508"/>
      <c r="AI121" s="8508"/>
      <c r="AJ121" s="8708"/>
      <c r="AK121" s="8508"/>
      <c r="AL121" s="5133"/>
    </row>
    <row r="122" spans="1:38" ht="15" customHeight="1">
      <c r="A122" s="5132"/>
      <c r="B122" s="5132"/>
      <c r="C122" s="5132"/>
      <c r="D122" s="5132"/>
      <c r="E122" s="5133"/>
      <c r="F122" s="8698"/>
      <c r="G122" s="8511"/>
      <c r="H122" s="8511"/>
      <c r="I122" s="6599" t="s">
        <v>1984</v>
      </c>
      <c r="J122" s="7405" t="s">
        <v>2309</v>
      </c>
      <c r="K122" s="7405"/>
      <c r="L122" s="7405"/>
      <c r="M122" s="7405"/>
      <c r="N122" s="7405"/>
      <c r="O122" s="7405"/>
      <c r="P122" s="7405"/>
      <c r="Q122" s="7405"/>
      <c r="R122" s="6673" t="s">
        <v>2460</v>
      </c>
      <c r="S122" s="7405"/>
      <c r="T122" s="6673" t="s">
        <v>2456</v>
      </c>
      <c r="U122" s="6382"/>
      <c r="V122" s="6382" t="s">
        <v>2337</v>
      </c>
      <c r="W122" s="6382"/>
      <c r="X122" s="6382"/>
      <c r="Y122" s="6382"/>
      <c r="Z122" s="8511"/>
      <c r="AA122" s="8511"/>
      <c r="AB122" s="8508" t="s">
        <v>2757</v>
      </c>
      <c r="AC122" s="8508"/>
      <c r="AD122" s="8508"/>
      <c r="AE122" s="8508"/>
      <c r="AF122" s="8508"/>
      <c r="AG122" s="8508"/>
      <c r="AH122" s="8508"/>
      <c r="AI122" s="8508"/>
      <c r="AJ122" s="8708"/>
      <c r="AK122" s="8508"/>
      <c r="AL122" s="5133"/>
    </row>
    <row r="123" spans="1:38" ht="15" customHeight="1">
      <c r="A123" s="5132"/>
      <c r="B123" s="5132"/>
      <c r="C123" s="5132"/>
      <c r="D123" s="5132"/>
      <c r="E123" s="5133"/>
      <c r="F123" s="8698"/>
      <c r="G123" s="8511"/>
      <c r="H123" s="8511"/>
      <c r="I123" s="6599" t="s">
        <v>1984</v>
      </c>
      <c r="J123" s="7405" t="s">
        <v>2310</v>
      </c>
      <c r="K123" s="7405"/>
      <c r="L123" s="7405"/>
      <c r="M123" s="7405"/>
      <c r="N123" s="7405"/>
      <c r="O123" s="7405"/>
      <c r="P123" s="7405"/>
      <c r="Q123" s="7405"/>
      <c r="R123" s="6673" t="s">
        <v>2460</v>
      </c>
      <c r="S123" s="7405"/>
      <c r="T123" s="6673" t="s">
        <v>2456</v>
      </c>
      <c r="U123" s="6382"/>
      <c r="V123" s="6382" t="s">
        <v>2337</v>
      </c>
      <c r="W123" s="6382"/>
      <c r="X123" s="6382"/>
      <c r="Y123" s="6382"/>
      <c r="Z123" s="8511"/>
      <c r="AA123" s="8511"/>
      <c r="AB123" s="8508" t="s">
        <v>2757</v>
      </c>
      <c r="AC123" s="8508"/>
      <c r="AD123" s="8508"/>
      <c r="AE123" s="8508"/>
      <c r="AF123" s="8508"/>
      <c r="AG123" s="8542"/>
      <c r="AH123" s="8508"/>
      <c r="AI123" s="8508"/>
      <c r="AJ123" s="8708"/>
      <c r="AK123" s="8508"/>
      <c r="AL123" s="5133"/>
    </row>
    <row r="124" spans="1:38" ht="15" customHeight="1">
      <c r="A124" s="5132"/>
      <c r="B124" s="5132"/>
      <c r="C124" s="5132"/>
      <c r="D124" s="5132"/>
      <c r="E124" s="5133"/>
      <c r="F124" s="8698"/>
      <c r="G124" s="8511"/>
      <c r="H124" s="8511"/>
      <c r="I124" s="6599" t="s">
        <v>1984</v>
      </c>
      <c r="J124" s="7405" t="s">
        <v>2311</v>
      </c>
      <c r="K124" s="7405"/>
      <c r="L124" s="7405"/>
      <c r="M124" s="7405"/>
      <c r="N124" s="7405"/>
      <c r="O124" s="7405"/>
      <c r="P124" s="7405"/>
      <c r="Q124" s="7405"/>
      <c r="R124" s="6673" t="s">
        <v>2460</v>
      </c>
      <c r="S124" s="7405"/>
      <c r="T124" s="6673" t="s">
        <v>2456</v>
      </c>
      <c r="U124" s="8511"/>
      <c r="V124" s="6382" t="s">
        <v>2336</v>
      </c>
      <c r="W124" s="6382"/>
      <c r="X124" s="6382"/>
      <c r="Y124" s="6382"/>
      <c r="Z124" s="8511"/>
      <c r="AA124" s="8511"/>
      <c r="AB124" s="8508" t="s">
        <v>2757</v>
      </c>
      <c r="AC124" s="8508"/>
      <c r="AD124" s="8508"/>
      <c r="AE124" s="8508"/>
      <c r="AF124" s="8508"/>
      <c r="AG124" s="8508"/>
      <c r="AH124" s="8508"/>
      <c r="AI124" s="8508"/>
      <c r="AJ124" s="8708"/>
      <c r="AK124" s="8508"/>
      <c r="AL124" s="5133"/>
    </row>
    <row r="125" spans="1:38" ht="15" customHeight="1">
      <c r="A125" s="5132"/>
      <c r="B125" s="5132"/>
      <c r="C125" s="5132"/>
      <c r="D125" s="5132"/>
      <c r="E125" s="5133"/>
      <c r="F125" s="8698"/>
      <c r="G125" s="8511"/>
      <c r="H125" s="8537">
        <v>3</v>
      </c>
      <c r="I125" s="7405" t="s">
        <v>2312</v>
      </c>
      <c r="J125" s="7405"/>
      <c r="K125" s="7405"/>
      <c r="L125" s="7405"/>
      <c r="M125" s="7405"/>
      <c r="N125" s="7405"/>
      <c r="O125" s="7405"/>
      <c r="P125" s="7405"/>
      <c r="Q125" s="7405"/>
      <c r="R125" s="6673" t="s">
        <v>2460</v>
      </c>
      <c r="S125" s="7405"/>
      <c r="T125" s="6673" t="s">
        <v>2456</v>
      </c>
      <c r="U125" s="8511"/>
      <c r="V125" s="6382" t="s">
        <v>2338</v>
      </c>
      <c r="W125" s="6382"/>
      <c r="X125" s="6382"/>
      <c r="Y125" s="6382"/>
      <c r="Z125" s="8511"/>
      <c r="AA125" s="8511"/>
      <c r="AB125" s="8508" t="s">
        <v>2758</v>
      </c>
      <c r="AC125" s="8508"/>
      <c r="AD125" s="8508"/>
      <c r="AE125" s="8508"/>
      <c r="AF125" s="8508"/>
      <c r="AG125" s="8508"/>
      <c r="AH125" s="8508"/>
      <c r="AI125" s="8508"/>
      <c r="AJ125" s="8708"/>
      <c r="AK125" s="8508"/>
      <c r="AL125" s="5133"/>
    </row>
    <row r="126" spans="1:38" ht="15" customHeight="1">
      <c r="A126" s="5132"/>
      <c r="B126" s="5132"/>
      <c r="C126" s="5132"/>
      <c r="D126" s="5132"/>
      <c r="E126" s="5133"/>
      <c r="F126" s="8698"/>
      <c r="G126" s="6382" t="s">
        <v>2010</v>
      </c>
      <c r="H126" s="8505" t="s">
        <v>2762</v>
      </c>
      <c r="I126" s="8505"/>
      <c r="J126" s="6382"/>
      <c r="K126" s="8511"/>
      <c r="L126" s="8511"/>
      <c r="M126" s="8511"/>
      <c r="N126" s="7405"/>
      <c r="O126" s="7405"/>
      <c r="P126" s="7405"/>
      <c r="Q126" s="7405"/>
      <c r="R126" s="6673" t="s">
        <v>2460</v>
      </c>
      <c r="S126" s="7405"/>
      <c r="T126" s="6673" t="s">
        <v>2456</v>
      </c>
      <c r="U126" s="8479"/>
      <c r="V126" s="8479" t="s">
        <v>979</v>
      </c>
      <c r="W126" s="8511"/>
      <c r="X126" s="8511"/>
      <c r="Y126" s="8511"/>
      <c r="Z126" s="8511"/>
      <c r="AA126" s="8511"/>
      <c r="AB126" s="8508" t="s">
        <v>2763</v>
      </c>
      <c r="AC126" s="8508"/>
      <c r="AD126" s="8508"/>
      <c r="AE126" s="8508"/>
      <c r="AF126" s="8508"/>
      <c r="AG126" s="8508"/>
      <c r="AH126" s="8508"/>
      <c r="AI126" s="8508"/>
      <c r="AJ126" s="8708"/>
      <c r="AK126" s="8508"/>
      <c r="AL126" s="5133"/>
    </row>
    <row r="127" spans="1:38" ht="15" customHeight="1">
      <c r="A127" s="5132"/>
      <c r="B127" s="5132"/>
      <c r="C127" s="5132"/>
      <c r="D127" s="5132"/>
      <c r="E127" s="5133"/>
      <c r="F127" s="8698"/>
      <c r="G127" s="8511"/>
      <c r="H127" s="8519">
        <v>1</v>
      </c>
      <c r="I127" s="9923" t="s">
        <v>2448</v>
      </c>
      <c r="J127" s="9923"/>
      <c r="K127" s="9923"/>
      <c r="L127" s="9923"/>
      <c r="M127" s="9923"/>
      <c r="N127" s="7405"/>
      <c r="O127" s="7405"/>
      <c r="P127" s="7405"/>
      <c r="Q127" s="7405"/>
      <c r="R127" s="6673" t="s">
        <v>2460</v>
      </c>
      <c r="S127" s="7405"/>
      <c r="T127" s="6673" t="s">
        <v>2456</v>
      </c>
      <c r="U127" s="8479"/>
      <c r="V127" s="8479" t="s">
        <v>979</v>
      </c>
      <c r="W127" s="8511"/>
      <c r="X127" s="8511"/>
      <c r="Y127" s="8511"/>
      <c r="Z127" s="8511"/>
      <c r="AA127" s="8511"/>
      <c r="AB127" s="8508" t="s">
        <v>2764</v>
      </c>
      <c r="AC127" s="8508"/>
      <c r="AD127" s="8508"/>
      <c r="AE127" s="8508"/>
      <c r="AF127" s="8508"/>
      <c r="AG127" s="8508"/>
      <c r="AH127" s="8508"/>
      <c r="AI127" s="8508"/>
      <c r="AJ127" s="8708"/>
      <c r="AK127" s="8508"/>
      <c r="AL127" s="5133"/>
    </row>
    <row r="128" spans="1:38" ht="15" customHeight="1">
      <c r="A128" s="5132"/>
      <c r="B128" s="5132"/>
      <c r="C128" s="5132"/>
      <c r="D128" s="5132"/>
      <c r="E128" s="5133"/>
      <c r="F128" s="8698"/>
      <c r="G128" s="8511"/>
      <c r="H128" s="8519">
        <v>2</v>
      </c>
      <c r="I128" s="7405" t="s">
        <v>2449</v>
      </c>
      <c r="J128" s="7405"/>
      <c r="K128" s="7405"/>
      <c r="L128" s="7405"/>
      <c r="M128" s="7405"/>
      <c r="N128" s="7405"/>
      <c r="O128" s="7405"/>
      <c r="P128" s="7405"/>
      <c r="Q128" s="7405"/>
      <c r="R128" s="7405"/>
      <c r="S128" s="7405"/>
      <c r="T128" s="8511"/>
      <c r="U128" s="8511"/>
      <c r="V128" s="8511"/>
      <c r="W128" s="8511"/>
      <c r="X128" s="8511"/>
      <c r="Y128" s="8511"/>
      <c r="Z128" s="8511"/>
      <c r="AA128" s="8511"/>
      <c r="AB128" s="8508"/>
      <c r="AC128" s="8508"/>
      <c r="AD128" s="8508"/>
      <c r="AE128" s="8508"/>
      <c r="AF128" s="8508"/>
      <c r="AG128" s="8508"/>
      <c r="AH128" s="8508"/>
      <c r="AI128" s="8508"/>
      <c r="AJ128" s="8708"/>
      <c r="AK128" s="8508"/>
      <c r="AL128" s="5133"/>
    </row>
    <row r="129" spans="1:38" ht="15" customHeight="1">
      <c r="A129" s="5132"/>
      <c r="B129" s="5132"/>
      <c r="C129" s="5132"/>
      <c r="D129" s="5132"/>
      <c r="E129" s="5133"/>
      <c r="F129" s="8709"/>
      <c r="G129" s="8710"/>
      <c r="H129" s="8711"/>
      <c r="I129" s="6742"/>
      <c r="J129" s="6742"/>
      <c r="K129" s="6742"/>
      <c r="L129" s="6742"/>
      <c r="M129" s="6742"/>
      <c r="N129" s="6742"/>
      <c r="O129" s="6742"/>
      <c r="P129" s="6742"/>
      <c r="Q129" s="6742"/>
      <c r="R129" s="6742"/>
      <c r="S129" s="6742"/>
      <c r="T129" s="8710"/>
      <c r="U129" s="8710"/>
      <c r="V129" s="8710"/>
      <c r="W129" s="8710"/>
      <c r="X129" s="8710"/>
      <c r="Y129" s="8710"/>
      <c r="Z129" s="8710"/>
      <c r="AA129" s="8710"/>
      <c r="AB129" s="8712"/>
      <c r="AC129" s="8712"/>
      <c r="AD129" s="8712"/>
      <c r="AE129" s="8712"/>
      <c r="AF129" s="8712"/>
      <c r="AG129" s="8712"/>
      <c r="AH129" s="8712"/>
      <c r="AI129" s="8712"/>
      <c r="AJ129" s="8713"/>
      <c r="AK129" s="8508"/>
      <c r="AL129" s="5133"/>
    </row>
    <row r="130" spans="1:38" ht="15" customHeight="1">
      <c r="A130" s="5132"/>
      <c r="B130" s="5132"/>
      <c r="C130" s="5132"/>
      <c r="D130" s="5132"/>
      <c r="E130" s="5133"/>
      <c r="F130" s="8695" t="s">
        <v>2768</v>
      </c>
      <c r="G130" s="8714"/>
      <c r="H130" s="8715"/>
      <c r="I130" s="6738"/>
      <c r="J130" s="6738"/>
      <c r="K130" s="6738"/>
      <c r="L130" s="6738"/>
      <c r="M130" s="6738"/>
      <c r="N130" s="6738"/>
      <c r="O130" s="6738"/>
      <c r="P130" s="6738"/>
      <c r="Q130" s="6738"/>
      <c r="R130" s="6738"/>
      <c r="S130" s="6738"/>
      <c r="T130" s="8715"/>
      <c r="U130" s="8715"/>
      <c r="V130" s="8715"/>
      <c r="W130" s="8715"/>
      <c r="X130" s="8715"/>
      <c r="Y130" s="8715"/>
      <c r="Z130" s="8715"/>
      <c r="AA130" s="8715"/>
      <c r="AB130" s="8716"/>
      <c r="AC130" s="8716"/>
      <c r="AD130" s="8716"/>
      <c r="AE130" s="8716"/>
      <c r="AF130" s="8716"/>
      <c r="AG130" s="8716"/>
      <c r="AH130" s="8716"/>
      <c r="AI130" s="8716"/>
      <c r="AJ130" s="8717"/>
      <c r="AK130" s="8508"/>
      <c r="AL130" s="5133"/>
    </row>
    <row r="131" spans="1:38" ht="15" customHeight="1">
      <c r="A131" s="5132"/>
      <c r="B131" s="5132"/>
      <c r="C131" s="5132"/>
      <c r="D131" s="5132"/>
      <c r="E131" s="5133"/>
      <c r="F131" s="8698"/>
      <c r="G131" s="8540"/>
      <c r="H131" s="8511"/>
      <c r="I131" s="7405"/>
      <c r="J131" s="7405"/>
      <c r="K131" s="7405"/>
      <c r="L131" s="7405"/>
      <c r="M131" s="7405"/>
      <c r="N131" s="7405"/>
      <c r="O131" s="7405"/>
      <c r="P131" s="7405"/>
      <c r="Q131" s="7405"/>
      <c r="R131" s="7405"/>
      <c r="S131" s="7405"/>
      <c r="T131" s="8511"/>
      <c r="U131" s="8511"/>
      <c r="V131" s="8511"/>
      <c r="W131" s="8511"/>
      <c r="X131" s="8511"/>
      <c r="Y131" s="8511"/>
      <c r="Z131" s="8511"/>
      <c r="AA131" s="8511"/>
      <c r="AB131" s="8508"/>
      <c r="AC131" s="8508"/>
      <c r="AD131" s="8508"/>
      <c r="AE131" s="8508"/>
      <c r="AF131" s="8508"/>
      <c r="AG131" s="8508"/>
      <c r="AH131" s="8508"/>
      <c r="AI131" s="8508"/>
      <c r="AJ131" s="8708"/>
      <c r="AK131" s="8508"/>
      <c r="AL131" s="5133"/>
    </row>
    <row r="132" spans="1:38" ht="15" customHeight="1">
      <c r="A132" s="5132"/>
      <c r="B132" s="5132"/>
      <c r="C132" s="5132"/>
      <c r="D132" s="5132"/>
      <c r="E132" s="5133"/>
      <c r="F132" s="8700" t="s">
        <v>2656</v>
      </c>
      <c r="G132" s="6382"/>
      <c r="H132" s="6382"/>
      <c r="I132" s="6382"/>
      <c r="J132" s="6382"/>
      <c r="K132" s="6382"/>
      <c r="L132" s="6382"/>
      <c r="M132" s="6382"/>
      <c r="N132" s="6382"/>
      <c r="O132" s="6382"/>
      <c r="P132" s="7405"/>
      <c r="Q132" s="8501" t="s">
        <v>2665</v>
      </c>
      <c r="R132" s="6635">
        <v>1</v>
      </c>
      <c r="S132" s="8502" t="s">
        <v>2666</v>
      </c>
      <c r="T132" s="6382"/>
      <c r="U132" s="6382"/>
      <c r="V132" s="6382"/>
      <c r="W132" s="6382"/>
      <c r="X132" s="6382"/>
      <c r="Y132" s="6382"/>
      <c r="Z132" s="6382"/>
      <c r="AA132" s="6382"/>
      <c r="AB132" s="6382"/>
      <c r="AC132" s="6382"/>
      <c r="AD132" s="6382"/>
      <c r="AE132" s="6382"/>
      <c r="AF132" s="6382"/>
      <c r="AG132" s="6382"/>
      <c r="AH132" s="6382"/>
      <c r="AI132" s="6382"/>
      <c r="AJ132" s="8699"/>
      <c r="AK132" s="6382"/>
      <c r="AL132" s="5133"/>
    </row>
    <row r="133" spans="1:38" ht="15" customHeight="1">
      <c r="A133" s="5132"/>
      <c r="B133" s="5132"/>
      <c r="C133" s="5132"/>
      <c r="D133" s="5132"/>
      <c r="E133" s="5133"/>
      <c r="F133" s="8700"/>
      <c r="G133" s="6382"/>
      <c r="H133" s="6382"/>
      <c r="I133" s="6382"/>
      <c r="J133" s="6382"/>
      <c r="K133" s="6382"/>
      <c r="L133" s="6382"/>
      <c r="M133" s="6382"/>
      <c r="N133" s="6382"/>
      <c r="O133" s="6382"/>
      <c r="P133" s="8522"/>
      <c r="Q133" s="8522"/>
      <c r="R133" s="6635">
        <f>1+R132</f>
        <v>2</v>
      </c>
      <c r="S133" s="8502" t="s">
        <v>2667</v>
      </c>
      <c r="T133" s="6382"/>
      <c r="U133" s="6382"/>
      <c r="V133" s="6382"/>
      <c r="W133" s="6382"/>
      <c r="X133" s="6382"/>
      <c r="Y133" s="6382"/>
      <c r="Z133" s="6382"/>
      <c r="AA133" s="6382"/>
      <c r="AB133" s="6382"/>
      <c r="AC133" s="6382"/>
      <c r="AD133" s="6382"/>
      <c r="AE133" s="6382"/>
      <c r="AF133" s="6382"/>
      <c r="AG133" s="6382"/>
      <c r="AH133" s="6382"/>
      <c r="AI133" s="6382"/>
      <c r="AJ133" s="8699"/>
      <c r="AK133" s="6382"/>
      <c r="AL133" s="5133"/>
    </row>
    <row r="134" spans="1:38" ht="15" customHeight="1">
      <c r="A134" s="5132"/>
      <c r="B134" s="5132"/>
      <c r="C134" s="5132"/>
      <c r="D134" s="5132"/>
      <c r="E134" s="5133"/>
      <c r="F134" s="8700"/>
      <c r="G134" s="6382"/>
      <c r="H134" s="6382"/>
      <c r="I134" s="6382"/>
      <c r="J134" s="6382"/>
      <c r="K134" s="6382"/>
      <c r="L134" s="6382"/>
      <c r="M134" s="6382"/>
      <c r="N134" s="6382"/>
      <c r="O134" s="6382"/>
      <c r="P134" s="8522"/>
      <c r="Q134" s="8522"/>
      <c r="R134" s="6635">
        <f>1+R133</f>
        <v>3</v>
      </c>
      <c r="S134" s="8502" t="s">
        <v>2728</v>
      </c>
      <c r="T134" s="8479"/>
      <c r="U134" s="8479"/>
      <c r="V134" s="8479"/>
      <c r="W134" s="8479"/>
      <c r="X134" s="8479"/>
      <c r="Y134" s="8701" t="s">
        <v>2446</v>
      </c>
      <c r="Z134" s="8479"/>
      <c r="AA134" s="8479"/>
      <c r="AB134" s="8479"/>
      <c r="AC134" s="8479"/>
      <c r="AD134" s="8479"/>
      <c r="AE134" s="8479"/>
      <c r="AF134" s="8479"/>
      <c r="AG134" s="8479"/>
      <c r="AH134" s="6382"/>
      <c r="AI134" s="6382"/>
      <c r="AJ134" s="8699"/>
      <c r="AK134" s="6382"/>
      <c r="AL134" s="5133"/>
    </row>
    <row r="135" spans="1:38" s="8306" customFormat="1" ht="9.75" customHeight="1">
      <c r="E135" s="6895"/>
      <c r="F135" s="8718"/>
      <c r="G135" s="8523"/>
      <c r="H135" s="8523"/>
      <c r="I135" s="8523"/>
      <c r="J135" s="8523"/>
      <c r="K135" s="8523"/>
      <c r="L135" s="8523"/>
      <c r="M135" s="8523"/>
      <c r="N135" s="8523"/>
      <c r="O135" s="8523"/>
      <c r="P135" s="8523"/>
      <c r="Q135" s="8523"/>
      <c r="R135" s="8719"/>
      <c r="S135" s="8523"/>
      <c r="T135" s="8523"/>
      <c r="U135" s="8523"/>
      <c r="V135" s="8523"/>
      <c r="W135" s="8523"/>
      <c r="X135" s="8523"/>
      <c r="Y135" s="8523"/>
      <c r="Z135" s="8523"/>
      <c r="AA135" s="8523"/>
      <c r="AB135" s="8523"/>
      <c r="AC135" s="8523"/>
      <c r="AD135" s="8523"/>
      <c r="AE135" s="8523"/>
      <c r="AF135" s="8523"/>
      <c r="AG135" s="8523"/>
      <c r="AH135" s="8523"/>
      <c r="AI135" s="8523"/>
      <c r="AJ135" s="8720"/>
      <c r="AK135" s="8523"/>
      <c r="AL135" s="6895"/>
    </row>
    <row r="136" spans="1:38" ht="12.75" customHeight="1">
      <c r="A136" s="5132"/>
      <c r="B136" s="5132"/>
      <c r="C136" s="5132"/>
      <c r="D136" s="5132"/>
      <c r="E136" s="5133"/>
      <c r="F136" s="8721"/>
      <c r="G136" s="9929" t="s">
        <v>2589</v>
      </c>
      <c r="H136" s="9929"/>
      <c r="I136" s="9929"/>
      <c r="J136" s="9929"/>
      <c r="K136" s="9929"/>
      <c r="L136" s="9929"/>
      <c r="M136" s="9929"/>
      <c r="N136" s="9929"/>
      <c r="O136" s="8513"/>
      <c r="P136" s="8524" t="s">
        <v>2459</v>
      </c>
      <c r="Q136" s="8524"/>
      <c r="R136" s="8525" t="s">
        <v>1647</v>
      </c>
      <c r="S136" s="8525"/>
      <c r="T136" s="9930" t="s">
        <v>2610</v>
      </c>
      <c r="U136" s="9930"/>
      <c r="V136" s="9930"/>
      <c r="W136" s="9930"/>
      <c r="X136" s="9930"/>
      <c r="Y136" s="9930"/>
      <c r="Z136" s="9930"/>
      <c r="AA136" s="8513"/>
      <c r="AB136" s="8688" t="s">
        <v>915</v>
      </c>
      <c r="AC136" s="8688"/>
      <c r="AD136" s="8688"/>
      <c r="AE136" s="8688"/>
      <c r="AF136" s="8688"/>
      <c r="AG136" s="8688"/>
      <c r="AH136" s="8688"/>
      <c r="AI136" s="6596"/>
      <c r="AJ136" s="8722"/>
      <c r="AK136" s="7405"/>
      <c r="AL136" s="5133"/>
    </row>
    <row r="137" spans="1:38" ht="12.75" customHeight="1">
      <c r="A137" s="5132"/>
      <c r="B137" s="5132"/>
      <c r="C137" s="5132"/>
      <c r="D137" s="5132"/>
      <c r="E137" s="5133"/>
      <c r="F137" s="8704" t="s">
        <v>2601</v>
      </c>
      <c r="G137" s="8505" t="s">
        <v>2590</v>
      </c>
      <c r="H137" s="6382"/>
      <c r="I137" s="6382"/>
      <c r="J137" s="6382"/>
      <c r="K137" s="6382"/>
      <c r="L137" s="6382"/>
      <c r="M137" s="6382"/>
      <c r="N137" s="6382"/>
      <c r="O137" s="6382"/>
      <c r="P137" s="8505"/>
      <c r="Q137" s="8505"/>
      <c r="R137" s="8507"/>
      <c r="S137" s="6382"/>
      <c r="T137" s="6382"/>
      <c r="U137" s="6382"/>
      <c r="V137" s="6382"/>
      <c r="W137" s="6382"/>
      <c r="X137" s="6382"/>
      <c r="Y137" s="6382"/>
      <c r="Z137" s="6382"/>
      <c r="AA137" s="6382"/>
      <c r="AB137" s="6382"/>
      <c r="AC137" s="6382"/>
      <c r="AD137" s="6382"/>
      <c r="AE137" s="6382"/>
      <c r="AF137" s="6382"/>
      <c r="AG137" s="6382"/>
      <c r="AH137" s="6382"/>
      <c r="AI137" s="7405"/>
      <c r="AJ137" s="6741"/>
      <c r="AK137" s="7405"/>
      <c r="AL137" s="5133"/>
    </row>
    <row r="138" spans="1:38" ht="12.75" customHeight="1">
      <c r="A138" s="5132"/>
      <c r="B138" s="5132"/>
      <c r="C138" s="5132"/>
      <c r="D138" s="5132"/>
      <c r="E138" s="5133"/>
      <c r="F138" s="8704"/>
      <c r="G138" s="8505"/>
      <c r="H138" s="8506" t="s">
        <v>2733</v>
      </c>
      <c r="I138" s="6382"/>
      <c r="J138" s="6382"/>
      <c r="K138" s="6382"/>
      <c r="L138" s="6382"/>
      <c r="M138" s="6382"/>
      <c r="N138" s="6382"/>
      <c r="O138" s="6382"/>
      <c r="P138" s="8505"/>
      <c r="Q138" s="8505"/>
      <c r="R138" s="8507"/>
      <c r="S138" s="6382"/>
      <c r="T138" s="6382"/>
      <c r="U138" s="6382"/>
      <c r="V138" s="6382"/>
      <c r="W138" s="6382"/>
      <c r="X138" s="6382"/>
      <c r="Y138" s="6382"/>
      <c r="Z138" s="6382"/>
      <c r="AA138" s="6382"/>
      <c r="AB138" s="6382"/>
      <c r="AC138" s="6382"/>
      <c r="AD138" s="6382"/>
      <c r="AE138" s="6382"/>
      <c r="AF138" s="6382"/>
      <c r="AG138" s="6382"/>
      <c r="AH138" s="6382"/>
      <c r="AI138" s="7405"/>
      <c r="AJ138" s="6741"/>
      <c r="AK138" s="7405"/>
      <c r="AL138" s="5133"/>
    </row>
    <row r="139" spans="1:38" ht="12.75" customHeight="1">
      <c r="A139" s="5132"/>
      <c r="B139" s="5132"/>
      <c r="C139" s="5132"/>
      <c r="D139" s="5132"/>
      <c r="E139" s="5133"/>
      <c r="F139" s="8705"/>
      <c r="G139" s="6382"/>
      <c r="H139" s="7405"/>
      <c r="I139" s="6382" t="s">
        <v>2591</v>
      </c>
      <c r="J139" s="6382"/>
      <c r="K139" s="6382"/>
      <c r="L139" s="6382"/>
      <c r="M139" s="6382"/>
      <c r="N139" s="6382"/>
      <c r="O139" s="6382"/>
      <c r="P139" s="6382" t="s">
        <v>2592</v>
      </c>
      <c r="Q139" s="6382"/>
      <c r="R139" s="8508" t="s">
        <v>2457</v>
      </c>
      <c r="S139" s="6382"/>
      <c r="T139" s="6939"/>
      <c r="U139" s="6382"/>
      <c r="V139" s="6382"/>
      <c r="W139" s="6382"/>
      <c r="X139" s="6382"/>
      <c r="Y139" s="6382"/>
      <c r="Z139" s="6382"/>
      <c r="AA139" s="6382"/>
      <c r="AB139" s="6382"/>
      <c r="AC139" s="6382"/>
      <c r="AD139" s="6382"/>
      <c r="AE139" s="6382"/>
      <c r="AF139" s="6382"/>
      <c r="AG139" s="6382"/>
      <c r="AH139" s="6382"/>
      <c r="AI139" s="7405"/>
      <c r="AJ139" s="6741"/>
      <c r="AK139" s="7405"/>
      <c r="AL139" s="5133"/>
    </row>
    <row r="140" spans="1:38" ht="12.75" customHeight="1">
      <c r="A140" s="5132"/>
      <c r="B140" s="5132"/>
      <c r="C140" s="5132"/>
      <c r="D140" s="5132"/>
      <c r="E140" s="5133"/>
      <c r="F140" s="8705"/>
      <c r="G140" s="6382"/>
      <c r="H140" s="7405"/>
      <c r="I140" s="8510" t="s">
        <v>1363</v>
      </c>
      <c r="J140" s="6382"/>
      <c r="K140" s="6382"/>
      <c r="L140" s="6382"/>
      <c r="M140" s="6382"/>
      <c r="N140" s="6382"/>
      <c r="O140" s="6382"/>
      <c r="P140" s="6382" t="s">
        <v>2018</v>
      </c>
      <c r="Q140" s="6382"/>
      <c r="R140" s="6382" t="s">
        <v>2458</v>
      </c>
      <c r="S140" s="6382"/>
      <c r="T140" s="6939"/>
      <c r="U140" s="6382"/>
      <c r="V140" s="6382"/>
      <c r="W140" s="6382"/>
      <c r="X140" s="6382"/>
      <c r="Y140" s="6382"/>
      <c r="Z140" s="6382"/>
      <c r="AA140" s="6382"/>
      <c r="AB140" s="6382"/>
      <c r="AC140" s="6382"/>
      <c r="AD140" s="6382"/>
      <c r="AE140" s="6382"/>
      <c r="AF140" s="6382"/>
      <c r="AG140" s="6382"/>
      <c r="AH140" s="6382"/>
      <c r="AI140" s="7405"/>
      <c r="AJ140" s="6741"/>
      <c r="AK140" s="7405"/>
      <c r="AL140" s="5133"/>
    </row>
    <row r="141" spans="1:38" ht="12.75" customHeight="1">
      <c r="A141" s="5132"/>
      <c r="B141" s="5132"/>
      <c r="C141" s="5132"/>
      <c r="D141" s="5132"/>
      <c r="E141" s="7405"/>
      <c r="F141" s="8705"/>
      <c r="G141" s="6382"/>
      <c r="H141" s="7405"/>
      <c r="I141" s="8510" t="s">
        <v>2470</v>
      </c>
      <c r="J141" s="6382"/>
      <c r="K141" s="6382"/>
      <c r="L141" s="6382"/>
      <c r="M141" s="6382"/>
      <c r="N141" s="6382"/>
      <c r="O141" s="6382"/>
      <c r="P141" s="6382" t="s">
        <v>1186</v>
      </c>
      <c r="Q141" s="6382"/>
      <c r="R141" s="6382" t="s">
        <v>2471</v>
      </c>
      <c r="S141" s="6382"/>
      <c r="T141" s="6939"/>
      <c r="U141" s="6382"/>
      <c r="V141" s="6382"/>
      <c r="W141" s="6382"/>
      <c r="X141" s="6382"/>
      <c r="Y141" s="6382"/>
      <c r="Z141" s="6382"/>
      <c r="AA141" s="6382"/>
      <c r="AB141" s="6382"/>
      <c r="AC141" s="6382"/>
      <c r="AD141" s="6382"/>
      <c r="AE141" s="6382"/>
      <c r="AF141" s="6382"/>
      <c r="AG141" s="6382"/>
      <c r="AH141" s="6382"/>
      <c r="AI141" s="7405"/>
      <c r="AJ141" s="6741"/>
      <c r="AK141" s="7405"/>
      <c r="AL141" s="5133"/>
    </row>
    <row r="142" spans="1:38" ht="12.75" customHeight="1">
      <c r="A142" s="5132"/>
      <c r="B142" s="5132"/>
      <c r="C142" s="5132"/>
      <c r="D142" s="5132"/>
      <c r="E142" s="7405"/>
      <c r="F142" s="8705"/>
      <c r="G142" s="6382"/>
      <c r="H142" s="6371" t="s">
        <v>1393</v>
      </c>
      <c r="I142" s="8510"/>
      <c r="J142" s="6382"/>
      <c r="K142" s="6382"/>
      <c r="L142" s="6382"/>
      <c r="M142" s="6382"/>
      <c r="N142" s="6382"/>
      <c r="O142" s="6382"/>
      <c r="P142" s="6382"/>
      <c r="Q142" s="6382"/>
      <c r="R142" s="6382"/>
      <c r="S142" s="6382"/>
      <c r="T142" s="6939"/>
      <c r="U142" s="6382"/>
      <c r="V142" s="6382"/>
      <c r="W142" s="6382"/>
      <c r="X142" s="6382"/>
      <c r="Y142" s="6382"/>
      <c r="Z142" s="6382"/>
      <c r="AA142" s="6382"/>
      <c r="AB142" s="6382"/>
      <c r="AC142" s="8511"/>
      <c r="AD142" s="8511"/>
      <c r="AE142" s="8511"/>
      <c r="AF142" s="8511"/>
      <c r="AG142" s="8511"/>
      <c r="AH142" s="8511"/>
      <c r="AI142" s="8511"/>
      <c r="AJ142" s="8706"/>
      <c r="AK142" s="8511"/>
      <c r="AL142" s="5133"/>
    </row>
    <row r="143" spans="1:38" ht="12.75" customHeight="1">
      <c r="A143" s="5132"/>
      <c r="B143" s="5132"/>
      <c r="C143" s="5132"/>
      <c r="D143" s="5132"/>
      <c r="E143" s="7405"/>
      <c r="F143" s="8705"/>
      <c r="G143" s="6382"/>
      <c r="H143" s="6371"/>
      <c r="I143" s="8510" t="s">
        <v>2750</v>
      </c>
      <c r="J143" s="6382"/>
      <c r="K143" s="6382"/>
      <c r="L143" s="6382"/>
      <c r="M143" s="6382"/>
      <c r="N143" s="6382"/>
      <c r="O143" s="6382"/>
      <c r="P143" s="6382" t="s">
        <v>1099</v>
      </c>
      <c r="Q143" s="6382"/>
      <c r="R143" s="6382" t="s">
        <v>2751</v>
      </c>
      <c r="S143" s="6382"/>
      <c r="T143" s="6939"/>
      <c r="U143" s="6382"/>
      <c r="V143" s="6382"/>
      <c r="W143" s="6382"/>
      <c r="X143" s="6382"/>
      <c r="Y143" s="6382"/>
      <c r="Z143" s="6382"/>
      <c r="AA143" s="6382"/>
      <c r="AB143" s="9923" t="s">
        <v>2790</v>
      </c>
      <c r="AC143" s="9923"/>
      <c r="AD143" s="9923"/>
      <c r="AE143" s="9923"/>
      <c r="AF143" s="9923"/>
      <c r="AG143" s="9923"/>
      <c r="AH143" s="9923"/>
      <c r="AI143" s="9923"/>
      <c r="AJ143" s="9993"/>
      <c r="AK143" s="8734"/>
      <c r="AL143" s="5133"/>
    </row>
    <row r="144" spans="1:38" ht="12.75" customHeight="1">
      <c r="A144" s="5132"/>
      <c r="B144" s="5132"/>
      <c r="C144" s="5132"/>
      <c r="D144" s="5132"/>
      <c r="E144" s="7405"/>
      <c r="F144" s="8705"/>
      <c r="G144" s="6382"/>
      <c r="H144" s="7405"/>
      <c r="I144" s="8510" t="s">
        <v>2769</v>
      </c>
      <c r="J144" s="6382"/>
      <c r="K144" s="6382"/>
      <c r="L144" s="6382"/>
      <c r="M144" s="6382"/>
      <c r="N144" s="6382"/>
      <c r="O144" s="6382"/>
      <c r="P144" s="6382" t="s">
        <v>2770</v>
      </c>
      <c r="Q144" s="6382"/>
      <c r="R144" s="6382" t="s">
        <v>2771</v>
      </c>
      <c r="S144" s="6382"/>
      <c r="T144" s="6939"/>
      <c r="U144" s="6382"/>
      <c r="V144" s="6382"/>
      <c r="W144" s="6382"/>
      <c r="X144" s="6382"/>
      <c r="Y144" s="6382"/>
      <c r="Z144" s="6382"/>
      <c r="AA144" s="6382"/>
      <c r="AB144" s="9923"/>
      <c r="AC144" s="9923"/>
      <c r="AD144" s="9923"/>
      <c r="AE144" s="9923"/>
      <c r="AF144" s="9923"/>
      <c r="AG144" s="9923"/>
      <c r="AH144" s="9923"/>
      <c r="AI144" s="9923"/>
      <c r="AJ144" s="9993"/>
      <c r="AK144" s="8734"/>
      <c r="AL144" s="5133"/>
    </row>
    <row r="145" spans="1:38" ht="12.75" customHeight="1">
      <c r="A145" s="5132"/>
      <c r="B145" s="5132"/>
      <c r="C145" s="5132"/>
      <c r="D145" s="5132"/>
      <c r="E145" s="7405"/>
      <c r="F145" s="8705"/>
      <c r="G145" s="6382"/>
      <c r="H145" s="7405"/>
      <c r="I145" s="8510" t="s">
        <v>2722</v>
      </c>
      <c r="J145" s="6382"/>
      <c r="K145" s="6382"/>
      <c r="L145" s="6382"/>
      <c r="M145" s="6382"/>
      <c r="N145" s="6382"/>
      <c r="O145" s="6382"/>
      <c r="P145" s="6382" t="s">
        <v>1094</v>
      </c>
      <c r="Q145" s="6382"/>
      <c r="R145" s="6382"/>
      <c r="S145" s="6382"/>
      <c r="T145" s="6939" t="s">
        <v>2456</v>
      </c>
      <c r="U145" s="6382"/>
      <c r="V145" s="8690" t="s">
        <v>2718</v>
      </c>
      <c r="W145" s="8690"/>
      <c r="X145" s="8690"/>
      <c r="Y145" s="8690"/>
      <c r="Z145" s="8690"/>
      <c r="AA145" s="8690"/>
      <c r="AB145" s="6382" t="s">
        <v>2727</v>
      </c>
      <c r="AC145" s="6382"/>
      <c r="AD145" s="6382"/>
      <c r="AE145" s="6382"/>
      <c r="AF145" s="6382"/>
      <c r="AG145" s="8686"/>
      <c r="AH145" s="8686"/>
      <c r="AI145" s="8686"/>
      <c r="AJ145" s="8707"/>
      <c r="AK145" s="8734"/>
      <c r="AL145" s="5133"/>
    </row>
    <row r="146" spans="1:38" ht="12.75" customHeight="1">
      <c r="A146" s="5132"/>
      <c r="B146" s="5132"/>
      <c r="C146" s="5132"/>
      <c r="D146" s="5132"/>
      <c r="E146" s="7405"/>
      <c r="F146" s="8705"/>
      <c r="G146" s="7405"/>
      <c r="H146" s="8506" t="s">
        <v>2600</v>
      </c>
      <c r="I146" s="6382"/>
      <c r="J146" s="6382"/>
      <c r="K146" s="6382"/>
      <c r="L146" s="6382"/>
      <c r="M146" s="6382"/>
      <c r="N146" s="6382"/>
      <c r="O146" s="6382"/>
      <c r="P146" s="6382"/>
      <c r="Q146" s="6382"/>
      <c r="R146" s="6382"/>
      <c r="S146" s="6382"/>
      <c r="T146" s="6382"/>
      <c r="U146" s="6382"/>
      <c r="V146" s="6382"/>
      <c r="W146" s="6382"/>
      <c r="X146" s="6382"/>
      <c r="Y146" s="6382"/>
      <c r="Z146" s="6382"/>
      <c r="AA146" s="6382"/>
      <c r="AB146" s="6382"/>
      <c r="AC146" s="6382"/>
      <c r="AD146" s="6382"/>
      <c r="AE146" s="6382"/>
      <c r="AF146" s="6382"/>
      <c r="AG146" s="6382"/>
      <c r="AH146" s="6382"/>
      <c r="AI146" s="7405"/>
      <c r="AJ146" s="6741"/>
      <c r="AK146" s="7405"/>
      <c r="AL146" s="5133"/>
    </row>
    <row r="147" spans="1:38" ht="12.75" customHeight="1">
      <c r="A147" s="5132"/>
      <c r="B147" s="5132"/>
      <c r="C147" s="5132"/>
      <c r="D147" s="5132"/>
      <c r="E147" s="7405"/>
      <c r="F147" s="8705"/>
      <c r="G147" s="7405"/>
      <c r="H147" s="8505"/>
      <c r="I147" s="6382" t="s">
        <v>2672</v>
      </c>
      <c r="J147" s="6382"/>
      <c r="K147" s="6382"/>
      <c r="L147" s="6382"/>
      <c r="M147" s="6382"/>
      <c r="N147" s="6382"/>
      <c r="O147" s="6382"/>
      <c r="P147" s="6382" t="s">
        <v>2635</v>
      </c>
      <c r="Q147" s="6382"/>
      <c r="R147" s="6382" t="s">
        <v>2634</v>
      </c>
      <c r="S147" s="6382"/>
      <c r="T147" s="6939" t="s">
        <v>2456</v>
      </c>
      <c r="U147" s="6382"/>
      <c r="V147" s="9982">
        <v>200</v>
      </c>
      <c r="W147" s="9982"/>
      <c r="X147" s="9982"/>
      <c r="Y147" s="9982"/>
      <c r="Z147" s="9982"/>
      <c r="AA147" s="9982"/>
      <c r="AB147" s="6382" t="s">
        <v>2628</v>
      </c>
      <c r="AC147" s="6382"/>
      <c r="AD147" s="6382"/>
      <c r="AE147" s="6382"/>
      <c r="AF147" s="6382"/>
      <c r="AG147" s="6382"/>
      <c r="AH147" s="6382"/>
      <c r="AI147" s="7405"/>
      <c r="AJ147" s="6741"/>
      <c r="AK147" s="7405"/>
      <c r="AL147" s="5133"/>
    </row>
    <row r="148" spans="1:38" ht="12.75" customHeight="1">
      <c r="A148" s="5132"/>
      <c r="B148" s="5132"/>
      <c r="C148" s="5132"/>
      <c r="D148" s="5132"/>
      <c r="E148" s="7405"/>
      <c r="F148" s="8705"/>
      <c r="G148" s="7405"/>
      <c r="H148" s="8505"/>
      <c r="I148" s="6382" t="s">
        <v>2717</v>
      </c>
      <c r="J148" s="6382"/>
      <c r="K148" s="6382"/>
      <c r="L148" s="6382"/>
      <c r="M148" s="6382"/>
      <c r="N148" s="6382"/>
      <c r="O148" s="6382"/>
      <c r="P148" s="6382" t="s">
        <v>2635</v>
      </c>
      <c r="Q148" s="6382"/>
      <c r="R148" s="6382" t="s">
        <v>2634</v>
      </c>
      <c r="S148" s="6382"/>
      <c r="T148" s="6939" t="s">
        <v>2456</v>
      </c>
      <c r="U148" s="6382"/>
      <c r="V148" s="9982">
        <v>100</v>
      </c>
      <c r="W148" s="9982"/>
      <c r="X148" s="9982"/>
      <c r="Y148" s="9982"/>
      <c r="Z148" s="9982"/>
      <c r="AA148" s="9982"/>
      <c r="AB148" s="6382" t="s">
        <v>2628</v>
      </c>
      <c r="AC148" s="6382"/>
      <c r="AD148" s="6382"/>
      <c r="AE148" s="6382"/>
      <c r="AF148" s="6382"/>
      <c r="AG148" s="6382"/>
      <c r="AH148" s="6382"/>
      <c r="AI148" s="7405"/>
      <c r="AJ148" s="6741"/>
      <c r="AK148" s="7405"/>
      <c r="AL148" s="5133"/>
    </row>
    <row r="149" spans="1:38" ht="12.75" customHeight="1">
      <c r="A149" s="5132"/>
      <c r="B149" s="5132"/>
      <c r="C149" s="5132"/>
      <c r="D149" s="5132"/>
      <c r="E149" s="7405"/>
      <c r="F149" s="8705"/>
      <c r="G149" s="7405"/>
      <c r="H149" s="8505"/>
      <c r="I149" s="8513" t="s">
        <v>2633</v>
      </c>
      <c r="J149" s="8513"/>
      <c r="K149" s="8513"/>
      <c r="L149" s="8513"/>
      <c r="M149" s="8513"/>
      <c r="N149" s="8513"/>
      <c r="O149" s="8513"/>
      <c r="P149" s="8513"/>
      <c r="Q149" s="8513"/>
      <c r="R149" s="8513" t="s">
        <v>2637</v>
      </c>
      <c r="S149" s="8513"/>
      <c r="T149" s="8514" t="s">
        <v>2456</v>
      </c>
      <c r="U149" s="8513"/>
      <c r="V149" s="9981">
        <v>212.22</v>
      </c>
      <c r="W149" s="9981"/>
      <c r="X149" s="9981"/>
      <c r="Y149" s="9981"/>
      <c r="Z149" s="9981"/>
      <c r="AA149" s="9981"/>
      <c r="AB149" s="8513" t="s">
        <v>2673</v>
      </c>
      <c r="AC149" s="8513"/>
      <c r="AD149" s="8513"/>
      <c r="AE149" s="8513"/>
      <c r="AF149" s="8513"/>
      <c r="AG149" s="8513"/>
      <c r="AH149" s="8513"/>
      <c r="AI149" s="6596"/>
      <c r="AJ149" s="8722"/>
      <c r="AK149" s="7405"/>
      <c r="AL149" s="5133"/>
    </row>
    <row r="150" spans="1:38" ht="12.75" customHeight="1">
      <c r="A150" s="5132"/>
      <c r="B150" s="5132"/>
      <c r="C150" s="5132"/>
      <c r="D150" s="5132"/>
      <c r="E150" s="7405"/>
      <c r="F150" s="8705"/>
      <c r="G150" s="7405"/>
      <c r="H150" s="8505"/>
      <c r="I150" s="6382" t="s">
        <v>2702</v>
      </c>
      <c r="J150" s="6382"/>
      <c r="K150" s="6382"/>
      <c r="L150" s="6382"/>
      <c r="M150" s="6382"/>
      <c r="N150" s="6382"/>
      <c r="O150" s="6382"/>
      <c r="P150" s="6382"/>
      <c r="Q150" s="6382"/>
      <c r="R150" s="6382"/>
      <c r="S150" s="6382"/>
      <c r="T150" s="6939" t="s">
        <v>2456</v>
      </c>
      <c r="U150" s="6382"/>
      <c r="V150" s="9992">
        <v>5.0000000000000001E-3</v>
      </c>
      <c r="W150" s="9992"/>
      <c r="X150" s="9992"/>
      <c r="Y150" s="9992"/>
      <c r="Z150" s="9992"/>
      <c r="AA150" s="9992"/>
      <c r="AB150" s="6382" t="s">
        <v>2732</v>
      </c>
      <c r="AC150" s="6382"/>
      <c r="AD150" s="6382"/>
      <c r="AE150" s="6382"/>
      <c r="AF150" s="6382"/>
      <c r="AG150" s="6382"/>
      <c r="AH150" s="6382"/>
      <c r="AI150" s="7405"/>
      <c r="AJ150" s="6741"/>
      <c r="AK150" s="7405"/>
      <c r="AL150" s="5133"/>
    </row>
    <row r="151" spans="1:38" ht="12.75" customHeight="1">
      <c r="A151" s="5132"/>
      <c r="B151" s="5132"/>
      <c r="C151" s="5132"/>
      <c r="D151" s="5132"/>
      <c r="E151" s="7405"/>
      <c r="F151" s="8705"/>
      <c r="G151" s="7405"/>
      <c r="H151" s="8505"/>
      <c r="I151" s="6382" t="s">
        <v>2749</v>
      </c>
      <c r="J151" s="6382"/>
      <c r="K151" s="6382"/>
      <c r="L151" s="6382"/>
      <c r="M151" s="6382"/>
      <c r="N151" s="6382"/>
      <c r="O151" s="6382"/>
      <c r="P151" s="6382"/>
      <c r="Q151" s="6382"/>
      <c r="R151" s="6382"/>
      <c r="S151" s="6382"/>
      <c r="T151" s="8514" t="s">
        <v>2456</v>
      </c>
      <c r="U151" s="6382"/>
      <c r="V151" s="8526" t="s">
        <v>979</v>
      </c>
      <c r="W151" s="8526"/>
      <c r="X151" s="8526"/>
      <c r="Y151" s="8526"/>
      <c r="Z151" s="8526"/>
      <c r="AA151" s="8526"/>
      <c r="AB151" s="6382" t="s">
        <v>2732</v>
      </c>
      <c r="AC151" s="6382"/>
      <c r="AD151" s="6382"/>
      <c r="AE151" s="6382"/>
      <c r="AF151" s="6382"/>
      <c r="AG151" s="6382"/>
      <c r="AH151" s="6382"/>
      <c r="AI151" s="7405"/>
      <c r="AJ151" s="6741"/>
      <c r="AK151" s="7405"/>
      <c r="AL151" s="5133"/>
    </row>
    <row r="152" spans="1:38" ht="12.75" customHeight="1">
      <c r="A152" s="5132"/>
      <c r="B152" s="5132"/>
      <c r="C152" s="5132"/>
      <c r="D152" s="5132"/>
      <c r="E152" s="7405"/>
      <c r="F152" s="8705"/>
      <c r="G152" s="7405"/>
      <c r="H152" s="6382"/>
      <c r="I152" s="8527" t="s">
        <v>2664</v>
      </c>
      <c r="J152" s="8503"/>
      <c r="K152" s="8503"/>
      <c r="L152" s="8503"/>
      <c r="M152" s="8503"/>
      <c r="N152" s="8503"/>
      <c r="O152" s="8503"/>
      <c r="P152" s="8503" t="s">
        <v>557</v>
      </c>
      <c r="Q152" s="8503"/>
      <c r="R152" s="8503" t="s">
        <v>2463</v>
      </c>
      <c r="S152" s="8503"/>
      <c r="T152" s="8515" t="s">
        <v>2456</v>
      </c>
      <c r="U152" s="8503"/>
      <c r="V152" s="8528" t="s">
        <v>2693</v>
      </c>
      <c r="W152" s="8528"/>
      <c r="X152" s="8528"/>
      <c r="Y152" s="8528"/>
      <c r="Z152" s="8528"/>
      <c r="AA152" s="8503"/>
      <c r="AB152" s="8503" t="s">
        <v>2732</v>
      </c>
      <c r="AC152" s="8503"/>
      <c r="AD152" s="8503"/>
      <c r="AE152" s="8503"/>
      <c r="AF152" s="8503"/>
      <c r="AG152" s="8503"/>
      <c r="AH152" s="8503"/>
      <c r="AI152" s="8529"/>
      <c r="AJ152" s="8723"/>
      <c r="AK152" s="7405"/>
      <c r="AL152" s="5133"/>
    </row>
    <row r="153" spans="1:38" ht="12.75" customHeight="1">
      <c r="A153" s="5132"/>
      <c r="B153" s="5132"/>
      <c r="C153" s="5132"/>
      <c r="D153" s="5132"/>
      <c r="E153" s="7405"/>
      <c r="F153" s="8705"/>
      <c r="G153" s="7405"/>
      <c r="H153" s="8505"/>
      <c r="I153" s="6382" t="s">
        <v>2659</v>
      </c>
      <c r="J153" s="6382"/>
      <c r="K153" s="6382"/>
      <c r="L153" s="6382"/>
      <c r="M153" s="6382"/>
      <c r="N153" s="6382"/>
      <c r="O153" s="6382"/>
      <c r="P153" s="6382"/>
      <c r="Q153" s="6382"/>
      <c r="R153" s="6382" t="s">
        <v>2660</v>
      </c>
      <c r="S153" s="6382"/>
      <c r="T153" s="6939" t="s">
        <v>2456</v>
      </c>
      <c r="U153" s="6382"/>
      <c r="V153" s="9932">
        <v>24000</v>
      </c>
      <c r="W153" s="9932"/>
      <c r="X153" s="9932"/>
      <c r="Y153" s="9932"/>
      <c r="Z153" s="9932"/>
      <c r="AA153" s="9932"/>
      <c r="AB153" s="6382" t="s">
        <v>2730</v>
      </c>
      <c r="AC153" s="6382"/>
      <c r="AD153" s="6382"/>
      <c r="AE153" s="6382"/>
      <c r="AF153" s="6382"/>
      <c r="AG153" s="6382"/>
      <c r="AH153" s="6382"/>
      <c r="AI153" s="7405"/>
      <c r="AJ153" s="6741"/>
      <c r="AK153" s="7405"/>
      <c r="AL153" s="5133"/>
    </row>
    <row r="154" spans="1:38" ht="12.75" customHeight="1">
      <c r="A154" s="5132"/>
      <c r="B154" s="5132"/>
      <c r="C154" s="5132"/>
      <c r="D154" s="5132"/>
      <c r="E154" s="7405"/>
      <c r="F154" s="8705"/>
      <c r="G154" s="7405"/>
      <c r="H154" s="8505"/>
      <c r="I154" s="6382" t="s">
        <v>2668</v>
      </c>
      <c r="J154" s="6382"/>
      <c r="K154" s="6382"/>
      <c r="L154" s="6382"/>
      <c r="M154" s="6382"/>
      <c r="N154" s="6382"/>
      <c r="O154" s="6382"/>
      <c r="P154" s="6382" t="s">
        <v>2755</v>
      </c>
      <c r="Q154" s="6382"/>
      <c r="R154" s="6382" t="s">
        <v>2669</v>
      </c>
      <c r="S154" s="6382"/>
      <c r="T154" s="6939" t="s">
        <v>2456</v>
      </c>
      <c r="U154" s="6382"/>
      <c r="V154" s="8689" t="s">
        <v>2670</v>
      </c>
      <c r="W154" s="8689"/>
      <c r="X154" s="8689"/>
      <c r="Y154" s="8689"/>
      <c r="Z154" s="8689"/>
      <c r="AA154" s="8689"/>
      <c r="AB154" s="6382"/>
      <c r="AC154" s="6382"/>
      <c r="AD154" s="6382"/>
      <c r="AE154" s="6382"/>
      <c r="AF154" s="6382"/>
      <c r="AG154" s="6382"/>
      <c r="AH154" s="6382"/>
      <c r="AI154" s="7405"/>
      <c r="AJ154" s="6741"/>
      <c r="AK154" s="7405"/>
      <c r="AL154" s="5133"/>
    </row>
    <row r="155" spans="1:38" ht="12.75" customHeight="1">
      <c r="A155" s="5132"/>
      <c r="B155" s="5132"/>
      <c r="C155" s="5132"/>
      <c r="D155" s="5132"/>
      <c r="E155" s="7405"/>
      <c r="F155" s="8705"/>
      <c r="G155" s="7405"/>
      <c r="H155" s="8505"/>
      <c r="I155" s="6382" t="s">
        <v>2726</v>
      </c>
      <c r="J155" s="6382"/>
      <c r="K155" s="6382"/>
      <c r="L155" s="6382"/>
      <c r="M155" s="6382"/>
      <c r="N155" s="6382"/>
      <c r="O155" s="6382"/>
      <c r="P155" s="6382" t="s">
        <v>1181</v>
      </c>
      <c r="Q155" s="6382"/>
      <c r="R155" s="6382" t="s">
        <v>2661</v>
      </c>
      <c r="S155" s="6382"/>
      <c r="T155" s="6939" t="s">
        <v>2456</v>
      </c>
      <c r="U155" s="6382"/>
      <c r="V155" s="9933">
        <v>7.0000000000000007E-2</v>
      </c>
      <c r="W155" s="9933"/>
      <c r="X155" s="9933"/>
      <c r="Y155" s="9933"/>
      <c r="Z155" s="9933"/>
      <c r="AA155" s="9933"/>
      <c r="AB155" s="6382" t="s">
        <v>2731</v>
      </c>
      <c r="AC155" s="6382"/>
      <c r="AD155" s="6382"/>
      <c r="AE155" s="6382"/>
      <c r="AF155" s="6382"/>
      <c r="AG155" s="6382"/>
      <c r="AH155" s="6382"/>
      <c r="AI155" s="7405"/>
      <c r="AJ155" s="6741"/>
      <c r="AK155" s="7405"/>
      <c r="AL155" s="5133"/>
    </row>
    <row r="156" spans="1:38" ht="12.75" customHeight="1">
      <c r="A156" s="5132"/>
      <c r="B156" s="5132"/>
      <c r="C156" s="5132"/>
      <c r="D156" s="5132"/>
      <c r="E156" s="7405"/>
      <c r="F156" s="8705"/>
      <c r="G156" s="7405"/>
      <c r="H156" s="8505"/>
      <c r="I156" s="6382" t="s">
        <v>2722</v>
      </c>
      <c r="J156" s="6382"/>
      <c r="K156" s="6382"/>
      <c r="L156" s="6382"/>
      <c r="M156" s="6382"/>
      <c r="N156" s="6382"/>
      <c r="O156" s="6382"/>
      <c r="P156" s="6382" t="s">
        <v>2753</v>
      </c>
      <c r="Q156" s="6382"/>
      <c r="R156" s="6382"/>
      <c r="S156" s="6382"/>
      <c r="T156" s="6939" t="s">
        <v>2456</v>
      </c>
      <c r="U156" s="6382"/>
      <c r="V156" s="8690" t="s">
        <v>2754</v>
      </c>
      <c r="W156" s="8690"/>
      <c r="X156" s="8690"/>
      <c r="Y156" s="8690"/>
      <c r="Z156" s="8690"/>
      <c r="AA156" s="8690"/>
      <c r="AB156" s="6382" t="s">
        <v>2727</v>
      </c>
      <c r="AC156" s="6382"/>
      <c r="AD156" s="6382"/>
      <c r="AE156" s="6382"/>
      <c r="AF156" s="6382"/>
      <c r="AG156" s="6382"/>
      <c r="AH156" s="6382"/>
      <c r="AI156" s="7405"/>
      <c r="AJ156" s="6741"/>
      <c r="AK156" s="7405"/>
      <c r="AL156" s="5133"/>
    </row>
    <row r="157" spans="1:38" ht="12.75" customHeight="1">
      <c r="A157" s="5132"/>
      <c r="B157" s="5132"/>
      <c r="C157" s="5132"/>
      <c r="D157" s="5132"/>
      <c r="E157" s="7405"/>
      <c r="F157" s="8705"/>
      <c r="G157" s="7405"/>
      <c r="H157" s="8505"/>
      <c r="I157" s="6382" t="s">
        <v>2662</v>
      </c>
      <c r="J157" s="6382"/>
      <c r="K157" s="6382"/>
      <c r="L157" s="6382"/>
      <c r="M157" s="6382"/>
      <c r="N157" s="6382"/>
      <c r="O157" s="6382"/>
      <c r="P157" s="6382"/>
      <c r="Q157" s="6382"/>
      <c r="R157" s="6382"/>
      <c r="S157" s="6382"/>
      <c r="T157" s="6939" t="s">
        <v>2456</v>
      </c>
      <c r="U157" s="6382"/>
      <c r="V157" s="9926">
        <v>36130</v>
      </c>
      <c r="W157" s="9926"/>
      <c r="X157" s="9926"/>
      <c r="Y157" s="9926"/>
      <c r="Z157" s="9926"/>
      <c r="AA157" s="9926"/>
      <c r="AB157" s="6382" t="s">
        <v>2731</v>
      </c>
      <c r="AC157" s="6382"/>
      <c r="AD157" s="6382"/>
      <c r="AE157" s="6382"/>
      <c r="AF157" s="6382"/>
      <c r="AG157" s="6382"/>
      <c r="AH157" s="6382"/>
      <c r="AI157" s="7405"/>
      <c r="AJ157" s="6741"/>
      <c r="AK157" s="7405"/>
      <c r="AL157" s="5133"/>
    </row>
    <row r="158" spans="1:38" ht="12.75" customHeight="1">
      <c r="A158" s="5132"/>
      <c r="B158" s="5132"/>
      <c r="C158" s="5132"/>
      <c r="D158" s="5132"/>
      <c r="E158" s="7405"/>
      <c r="F158" s="8705"/>
      <c r="G158" s="7405"/>
      <c r="H158" s="8505"/>
      <c r="I158" s="6382" t="s">
        <v>2765</v>
      </c>
      <c r="J158" s="6382"/>
      <c r="K158" s="6382"/>
      <c r="L158" s="6382"/>
      <c r="M158" s="6382"/>
      <c r="N158" s="6382"/>
      <c r="O158" s="6382"/>
      <c r="P158" s="6382" t="s">
        <v>2729</v>
      </c>
      <c r="Q158" s="6382"/>
      <c r="R158" s="6382" t="s">
        <v>2663</v>
      </c>
      <c r="S158" s="6382"/>
      <c r="T158" s="6939" t="s">
        <v>2456</v>
      </c>
      <c r="U158" s="6382"/>
      <c r="V158" s="9927">
        <v>1.57</v>
      </c>
      <c r="W158" s="9927"/>
      <c r="X158" s="9927"/>
      <c r="Y158" s="9927"/>
      <c r="Z158" s="9927"/>
      <c r="AA158" s="9927"/>
      <c r="AB158" s="6382" t="s">
        <v>2744</v>
      </c>
      <c r="AC158" s="6382"/>
      <c r="AD158" s="6382"/>
      <c r="AE158" s="6382"/>
      <c r="AF158" s="6382"/>
      <c r="AG158" s="6382"/>
      <c r="AH158" s="6382"/>
      <c r="AI158" s="7405"/>
      <c r="AJ158" s="6741"/>
      <c r="AK158" s="7405"/>
      <c r="AL158" s="5133"/>
    </row>
    <row r="159" spans="1:38" ht="12.75" customHeight="1">
      <c r="A159" s="5132"/>
      <c r="B159" s="5132"/>
      <c r="C159" s="5132"/>
      <c r="D159" s="5132"/>
      <c r="E159" s="7405"/>
      <c r="F159" s="8705"/>
      <c r="G159" s="7405"/>
      <c r="H159" s="8505"/>
      <c r="I159" s="6382" t="s">
        <v>2723</v>
      </c>
      <c r="J159" s="6382"/>
      <c r="K159" s="6382"/>
      <c r="L159" s="6382"/>
      <c r="M159" s="6382"/>
      <c r="N159" s="6382"/>
      <c r="O159" s="6382"/>
      <c r="P159" s="6382" t="s">
        <v>2724</v>
      </c>
      <c r="Q159" s="6382"/>
      <c r="R159" s="6382" t="s">
        <v>2743</v>
      </c>
      <c r="S159" s="6382"/>
      <c r="T159" s="6939" t="s">
        <v>2456</v>
      </c>
      <c r="U159" s="6382"/>
      <c r="V159" s="9990">
        <v>240</v>
      </c>
      <c r="W159" s="9990"/>
      <c r="X159" s="9990"/>
      <c r="Y159" s="9990"/>
      <c r="Z159" s="9990"/>
      <c r="AA159" s="9990"/>
      <c r="AB159" s="6382" t="s">
        <v>2731</v>
      </c>
      <c r="AC159" s="6382"/>
      <c r="AD159" s="6382"/>
      <c r="AE159" s="6382"/>
      <c r="AF159" s="6382"/>
      <c r="AG159" s="6382"/>
      <c r="AH159" s="6382"/>
      <c r="AI159" s="7405"/>
      <c r="AJ159" s="6741"/>
      <c r="AK159" s="7405"/>
      <c r="AL159" s="5133"/>
    </row>
    <row r="160" spans="1:38" ht="12.75" customHeight="1">
      <c r="A160" s="5132"/>
      <c r="B160" s="5132"/>
      <c r="C160" s="5132"/>
      <c r="D160" s="5132"/>
      <c r="E160" s="7405"/>
      <c r="F160" s="8705"/>
      <c r="G160" s="7405"/>
      <c r="H160" s="8505"/>
      <c r="I160" s="8513" t="s">
        <v>2721</v>
      </c>
      <c r="J160" s="8513"/>
      <c r="K160" s="8513"/>
      <c r="L160" s="8513"/>
      <c r="M160" s="8513"/>
      <c r="N160" s="8513"/>
      <c r="O160" s="8513"/>
      <c r="P160" s="8513" t="s">
        <v>2725</v>
      </c>
      <c r="Q160" s="8513"/>
      <c r="R160" s="8513" t="s">
        <v>2743</v>
      </c>
      <c r="S160" s="8513"/>
      <c r="T160" s="8514" t="s">
        <v>2456</v>
      </c>
      <c r="U160" s="8513"/>
      <c r="V160" s="9991">
        <v>290</v>
      </c>
      <c r="W160" s="9991"/>
      <c r="X160" s="9991"/>
      <c r="Y160" s="9991"/>
      <c r="Z160" s="9991"/>
      <c r="AA160" s="9991"/>
      <c r="AB160" s="8513" t="s">
        <v>2731</v>
      </c>
      <c r="AC160" s="8513"/>
      <c r="AD160" s="8513"/>
      <c r="AE160" s="8513"/>
      <c r="AF160" s="8513"/>
      <c r="AG160" s="8513"/>
      <c r="AH160" s="8513"/>
      <c r="AI160" s="6596"/>
      <c r="AJ160" s="8722"/>
      <c r="AK160" s="7405"/>
      <c r="AL160" s="5133"/>
    </row>
    <row r="161" spans="1:38" ht="12.75" customHeight="1">
      <c r="A161" s="5132"/>
      <c r="B161" s="5132"/>
      <c r="C161" s="5132"/>
      <c r="D161" s="5132"/>
      <c r="E161" s="7405"/>
      <c r="F161" s="8705"/>
      <c r="G161" s="7405"/>
      <c r="H161" s="8505"/>
      <c r="I161" s="6382" t="s">
        <v>2662</v>
      </c>
      <c r="J161" s="6382"/>
      <c r="K161" s="6382"/>
      <c r="L161" s="6382"/>
      <c r="M161" s="6382"/>
      <c r="N161" s="6382"/>
      <c r="O161" s="6382"/>
      <c r="P161" s="6382"/>
      <c r="Q161" s="6382"/>
      <c r="R161" s="6382"/>
      <c r="S161" s="6382"/>
      <c r="T161" s="6939" t="s">
        <v>2456</v>
      </c>
      <c r="U161" s="6382"/>
      <c r="V161" s="9924">
        <v>1990</v>
      </c>
      <c r="W161" s="9924"/>
      <c r="X161" s="9924"/>
      <c r="Y161" s="9924"/>
      <c r="Z161" s="9924"/>
      <c r="AA161" s="9924"/>
      <c r="AB161" s="6382" t="s">
        <v>2732</v>
      </c>
      <c r="AC161" s="6382"/>
      <c r="AD161" s="6382"/>
      <c r="AE161" s="6382"/>
      <c r="AF161" s="6382"/>
      <c r="AG161" s="6382"/>
      <c r="AH161" s="6382"/>
      <c r="AI161" s="7405"/>
      <c r="AJ161" s="6741"/>
      <c r="AK161" s="7405"/>
      <c r="AL161" s="5133"/>
    </row>
    <row r="162" spans="1:38" ht="12.75" customHeight="1">
      <c r="A162" s="5132"/>
      <c r="B162" s="5132"/>
      <c r="C162" s="5132"/>
      <c r="D162" s="5132"/>
      <c r="E162" s="7405"/>
      <c r="F162" s="8705"/>
      <c r="G162" s="7405"/>
      <c r="H162" s="8505"/>
      <c r="I162" s="6382" t="s">
        <v>2766</v>
      </c>
      <c r="J162" s="6382"/>
      <c r="K162" s="6382"/>
      <c r="L162" s="6382"/>
      <c r="M162" s="6382"/>
      <c r="N162" s="6382"/>
      <c r="O162" s="6382"/>
      <c r="P162" s="6382" t="s">
        <v>2729</v>
      </c>
      <c r="Q162" s="6382"/>
      <c r="R162" s="6382" t="s">
        <v>2663</v>
      </c>
      <c r="S162" s="6382"/>
      <c r="T162" s="6939" t="s">
        <v>2456</v>
      </c>
      <c r="U162" s="6382"/>
      <c r="V162" s="9927">
        <v>1.73</v>
      </c>
      <c r="W162" s="9927"/>
      <c r="X162" s="9927"/>
      <c r="Y162" s="9927"/>
      <c r="Z162" s="9927"/>
      <c r="AA162" s="9927"/>
      <c r="AB162" s="6382" t="s">
        <v>2744</v>
      </c>
      <c r="AC162" s="6382"/>
      <c r="AD162" s="6382"/>
      <c r="AE162" s="6382"/>
      <c r="AF162" s="6382"/>
      <c r="AG162" s="6382"/>
      <c r="AH162" s="6382"/>
      <c r="AI162" s="7405"/>
      <c r="AJ162" s="6741"/>
      <c r="AK162" s="7405"/>
      <c r="AL162" s="5133"/>
    </row>
    <row r="163" spans="1:38" ht="12.75" customHeight="1">
      <c r="A163" s="5132"/>
      <c r="B163" s="5132"/>
      <c r="C163" s="5132"/>
      <c r="D163" s="5132"/>
      <c r="E163" s="7405"/>
      <c r="F163" s="8705"/>
      <c r="G163" s="7405"/>
      <c r="H163" s="8505"/>
      <c r="I163" s="6382" t="s">
        <v>2745</v>
      </c>
      <c r="J163" s="6382"/>
      <c r="K163" s="6382"/>
      <c r="L163" s="6382"/>
      <c r="M163" s="6382"/>
      <c r="N163" s="6382"/>
      <c r="O163" s="6382"/>
      <c r="P163" s="6382"/>
      <c r="Q163" s="6382"/>
      <c r="R163" s="6382" t="s">
        <v>2746</v>
      </c>
      <c r="S163" s="6382"/>
      <c r="T163" s="6939" t="s">
        <v>2456</v>
      </c>
      <c r="U163" s="6382"/>
      <c r="V163" s="9928">
        <v>15</v>
      </c>
      <c r="W163" s="9928"/>
      <c r="X163" s="9928"/>
      <c r="Y163" s="9928"/>
      <c r="Z163" s="9928"/>
      <c r="AA163" s="9928"/>
      <c r="AB163" s="6382" t="s">
        <v>2732</v>
      </c>
      <c r="AC163" s="6382"/>
      <c r="AD163" s="6382"/>
      <c r="AE163" s="6382"/>
      <c r="AF163" s="6382"/>
      <c r="AG163" s="6382"/>
      <c r="AH163" s="6382"/>
      <c r="AI163" s="7405"/>
      <c r="AJ163" s="6741"/>
      <c r="AK163" s="7405"/>
      <c r="AL163" s="5133"/>
    </row>
    <row r="164" spans="1:38" ht="12.75" customHeight="1">
      <c r="A164" s="5132"/>
      <c r="B164" s="5132"/>
      <c r="C164" s="5132"/>
      <c r="D164" s="5132"/>
      <c r="E164" s="7405"/>
      <c r="F164" s="8705"/>
      <c r="G164" s="7405"/>
      <c r="H164" s="6382"/>
      <c r="I164" s="8530" t="s">
        <v>2603</v>
      </c>
      <c r="J164" s="8503"/>
      <c r="K164" s="8503"/>
      <c r="L164" s="8503"/>
      <c r="M164" s="8503"/>
      <c r="N164" s="8503"/>
      <c r="O164" s="8503"/>
      <c r="P164" s="8503" t="s">
        <v>2472</v>
      </c>
      <c r="Q164" s="8503"/>
      <c r="R164" s="8503" t="s">
        <v>2471</v>
      </c>
      <c r="S164" s="8503"/>
      <c r="T164" s="8515" t="s">
        <v>2456</v>
      </c>
      <c r="U164" s="8503"/>
      <c r="V164" s="8503" t="s">
        <v>2711</v>
      </c>
      <c r="W164" s="8503"/>
      <c r="X164" s="8503"/>
      <c r="Y164" s="8503"/>
      <c r="Z164" s="8503"/>
      <c r="AA164" s="8503"/>
      <c r="AB164" s="8503" t="s">
        <v>2732</v>
      </c>
      <c r="AC164" s="8503"/>
      <c r="AD164" s="8503"/>
      <c r="AE164" s="8503"/>
      <c r="AF164" s="8503"/>
      <c r="AG164" s="8503"/>
      <c r="AH164" s="8503"/>
      <c r="AI164" s="8529"/>
      <c r="AJ164" s="8723"/>
      <c r="AK164" s="7405"/>
      <c r="AL164" s="5133"/>
    </row>
    <row r="165" spans="1:38" ht="12.75" customHeight="1">
      <c r="A165" s="5132"/>
      <c r="B165" s="5132"/>
      <c r="C165" s="5132"/>
      <c r="D165" s="5132"/>
      <c r="E165" s="7405"/>
      <c r="F165" s="8705"/>
      <c r="G165" s="7405"/>
      <c r="H165" s="6382"/>
      <c r="I165" s="8531" t="s">
        <v>2736</v>
      </c>
      <c r="J165" s="6382"/>
      <c r="K165" s="6382"/>
      <c r="L165" s="6382"/>
      <c r="M165" s="6382"/>
      <c r="N165" s="6382"/>
      <c r="O165" s="6382"/>
      <c r="P165" s="6382"/>
      <c r="Q165" s="6382"/>
      <c r="R165" s="8510" t="s">
        <v>2737</v>
      </c>
      <c r="S165" s="6382"/>
      <c r="T165" s="6939" t="s">
        <v>2456</v>
      </c>
      <c r="U165" s="6382"/>
      <c r="V165" s="9997">
        <v>360</v>
      </c>
      <c r="W165" s="9997"/>
      <c r="X165" s="9997"/>
      <c r="Y165" s="9997"/>
      <c r="Z165" s="9997"/>
      <c r="AA165" s="6382"/>
      <c r="AB165" s="6382" t="s">
        <v>2732</v>
      </c>
      <c r="AC165" s="6382"/>
      <c r="AD165" s="6382"/>
      <c r="AE165" s="6382"/>
      <c r="AF165" s="6382"/>
      <c r="AG165" s="6382"/>
      <c r="AH165" s="6382"/>
      <c r="AI165" s="7405"/>
      <c r="AJ165" s="6741"/>
      <c r="AK165" s="7405"/>
      <c r="AL165" s="5133"/>
    </row>
    <row r="166" spans="1:38" ht="12.75" customHeight="1">
      <c r="A166" s="5132"/>
      <c r="B166" s="5132"/>
      <c r="C166" s="5132"/>
      <c r="D166" s="5132"/>
      <c r="E166" s="7405"/>
      <c r="F166" s="8705"/>
      <c r="G166" s="7405"/>
      <c r="H166" s="6382"/>
      <c r="I166" s="8503" t="s">
        <v>2738</v>
      </c>
      <c r="J166" s="8503"/>
      <c r="K166" s="8503"/>
      <c r="L166" s="8503"/>
      <c r="M166" s="8503"/>
      <c r="N166" s="8503"/>
      <c r="O166" s="8503"/>
      <c r="P166" s="8503"/>
      <c r="Q166" s="8503"/>
      <c r="R166" s="8527"/>
      <c r="S166" s="8503"/>
      <c r="T166" s="8515"/>
      <c r="U166" s="8503"/>
      <c r="V166" s="8532"/>
      <c r="W166" s="8532"/>
      <c r="X166" s="8532"/>
      <c r="Y166" s="8532"/>
      <c r="Z166" s="8529"/>
      <c r="AA166" s="8503"/>
      <c r="AB166" s="8503"/>
      <c r="AC166" s="8503"/>
      <c r="AD166" s="8503"/>
      <c r="AE166" s="8503"/>
      <c r="AF166" s="8503"/>
      <c r="AG166" s="8503"/>
      <c r="AH166" s="8503"/>
      <c r="AI166" s="8529"/>
      <c r="AJ166" s="8723"/>
      <c r="AK166" s="7405"/>
      <c r="AL166" s="5133"/>
    </row>
    <row r="167" spans="1:38" ht="12.75" customHeight="1">
      <c r="A167" s="5132"/>
      <c r="B167" s="5132"/>
      <c r="C167" s="5132"/>
      <c r="D167" s="5132"/>
      <c r="E167" s="7405"/>
      <c r="F167" s="8705"/>
      <c r="G167" s="7405"/>
      <c r="H167" s="6382"/>
      <c r="I167" s="6382" t="s">
        <v>2739</v>
      </c>
      <c r="J167" s="6382"/>
      <c r="K167" s="6382"/>
      <c r="L167" s="6382"/>
      <c r="M167" s="6382"/>
      <c r="N167" s="6382"/>
      <c r="O167" s="6382"/>
      <c r="P167" s="6382"/>
      <c r="Q167" s="6382"/>
      <c r="R167" s="8510"/>
      <c r="S167" s="6382"/>
      <c r="T167" s="6939"/>
      <c r="U167" s="6382"/>
      <c r="V167" s="9998">
        <v>6</v>
      </c>
      <c r="W167" s="9998"/>
      <c r="X167" s="9998"/>
      <c r="Y167" s="9998"/>
      <c r="Z167" s="9998"/>
      <c r="AA167" s="6382"/>
      <c r="AB167" s="6382" t="s">
        <v>2732</v>
      </c>
      <c r="AC167" s="6382"/>
      <c r="AD167" s="6382"/>
      <c r="AE167" s="6382"/>
      <c r="AF167" s="6382"/>
      <c r="AG167" s="6382"/>
      <c r="AH167" s="6382"/>
      <c r="AI167" s="7405"/>
      <c r="AJ167" s="6741"/>
      <c r="AK167" s="7405"/>
      <c r="AL167" s="5133"/>
    </row>
    <row r="168" spans="1:38" ht="12.75" customHeight="1">
      <c r="A168" s="5132"/>
      <c r="B168" s="5132"/>
      <c r="C168" s="5132"/>
      <c r="D168" s="5132"/>
      <c r="E168" s="7405"/>
      <c r="F168" s="8705"/>
      <c r="G168" s="7405"/>
      <c r="H168" s="6382"/>
      <c r="I168" s="8513" t="s">
        <v>2740</v>
      </c>
      <c r="J168" s="8513"/>
      <c r="K168" s="8513"/>
      <c r="L168" s="8513"/>
      <c r="M168" s="8513"/>
      <c r="N168" s="8513"/>
      <c r="O168" s="8513"/>
      <c r="P168" s="8513"/>
      <c r="Q168" s="8513"/>
      <c r="R168" s="8533"/>
      <c r="S168" s="8513"/>
      <c r="T168" s="8514"/>
      <c r="U168" s="8513"/>
      <c r="V168" s="8534" t="s">
        <v>2741</v>
      </c>
      <c r="W168" s="8534"/>
      <c r="X168" s="8534"/>
      <c r="Y168" s="8534"/>
      <c r="Z168" s="6596"/>
      <c r="AA168" s="8513"/>
      <c r="AB168" s="8513" t="s">
        <v>2732</v>
      </c>
      <c r="AC168" s="8513"/>
      <c r="AD168" s="8513"/>
      <c r="AE168" s="8513"/>
      <c r="AF168" s="8513"/>
      <c r="AG168" s="8513"/>
      <c r="AH168" s="8513"/>
      <c r="AI168" s="6596"/>
      <c r="AJ168" s="8722"/>
      <c r="AK168" s="7405"/>
      <c r="AL168" s="5133"/>
    </row>
    <row r="169" spans="1:38" ht="12.75" customHeight="1">
      <c r="A169" s="5132"/>
      <c r="B169" s="5132"/>
      <c r="C169" s="5132"/>
      <c r="D169" s="5132"/>
      <c r="E169" s="5133"/>
      <c r="F169" s="8705"/>
      <c r="G169" s="7405"/>
      <c r="H169" s="6382"/>
      <c r="I169" s="8535" t="s">
        <v>1431</v>
      </c>
      <c r="J169" s="6382"/>
      <c r="K169" s="6382"/>
      <c r="L169" s="6382"/>
      <c r="M169" s="6382"/>
      <c r="N169" s="6382"/>
      <c r="O169" s="6382"/>
      <c r="P169" s="6382" t="s">
        <v>2594</v>
      </c>
      <c r="Q169" s="6382"/>
      <c r="R169" s="6382" t="s">
        <v>2471</v>
      </c>
      <c r="S169" s="6382"/>
      <c r="T169" s="6939" t="s">
        <v>2456</v>
      </c>
      <c r="U169" s="6382"/>
      <c r="V169" s="6382" t="s">
        <v>2719</v>
      </c>
      <c r="W169" s="6382"/>
      <c r="X169" s="6382"/>
      <c r="Y169" s="6382"/>
      <c r="Z169" s="6382"/>
      <c r="AA169" s="6382"/>
      <c r="AB169" s="6382" t="s">
        <v>2732</v>
      </c>
      <c r="AC169" s="6382"/>
      <c r="AD169" s="6382"/>
      <c r="AE169" s="6382"/>
      <c r="AF169" s="6382"/>
      <c r="AG169" s="6382"/>
      <c r="AH169" s="6382"/>
      <c r="AI169" s="7405"/>
      <c r="AJ169" s="6741"/>
      <c r="AK169" s="7405"/>
      <c r="AL169" s="5133"/>
    </row>
    <row r="170" spans="1:38" ht="12.75" customHeight="1">
      <c r="A170" s="5132"/>
      <c r="B170" s="5132"/>
      <c r="C170" s="5132"/>
      <c r="D170" s="5132"/>
      <c r="E170" s="5133"/>
      <c r="F170" s="8705"/>
      <c r="G170" s="6382"/>
      <c r="H170" s="6382"/>
      <c r="I170" s="6382"/>
      <c r="J170" s="8531" t="s">
        <v>2473</v>
      </c>
      <c r="K170" s="6382"/>
      <c r="L170" s="6382"/>
      <c r="M170" s="6382"/>
      <c r="N170" s="6382"/>
      <c r="O170" s="6382"/>
      <c r="P170" s="6382" t="s">
        <v>2712</v>
      </c>
      <c r="Q170" s="6382"/>
      <c r="R170" s="6382" t="s">
        <v>2595</v>
      </c>
      <c r="S170" s="6382"/>
      <c r="T170" s="6939" t="s">
        <v>2456</v>
      </c>
      <c r="U170" s="6382"/>
      <c r="V170" s="8508" t="s">
        <v>2596</v>
      </c>
      <c r="W170" s="8508"/>
      <c r="X170" s="8508"/>
      <c r="Y170" s="8508"/>
      <c r="Z170" s="8508"/>
      <c r="AA170" s="6382"/>
      <c r="AB170" s="6382" t="s">
        <v>2791</v>
      </c>
      <c r="AC170" s="6382"/>
      <c r="AD170" s="6382"/>
      <c r="AE170" s="6382"/>
      <c r="AF170" s="6382"/>
      <c r="AG170" s="6382"/>
      <c r="AH170" s="6382"/>
      <c r="AI170" s="7405"/>
      <c r="AJ170" s="6741"/>
      <c r="AK170" s="7405"/>
      <c r="AL170" s="5133"/>
    </row>
    <row r="171" spans="1:38" ht="12.75" customHeight="1">
      <c r="A171" s="5132"/>
      <c r="B171" s="5132"/>
      <c r="C171" s="5132"/>
      <c r="D171" s="5132"/>
      <c r="E171" s="5133"/>
      <c r="F171" s="8705"/>
      <c r="G171" s="6382"/>
      <c r="H171" s="8513"/>
      <c r="I171" s="8513"/>
      <c r="J171" s="8536" t="s">
        <v>2593</v>
      </c>
      <c r="K171" s="8513"/>
      <c r="L171" s="8513"/>
      <c r="M171" s="8513"/>
      <c r="N171" s="8513"/>
      <c r="O171" s="8513"/>
      <c r="P171" s="8513" t="s">
        <v>2713</v>
      </c>
      <c r="Q171" s="8513"/>
      <c r="R171" s="8513" t="s">
        <v>2595</v>
      </c>
      <c r="S171" s="8513"/>
      <c r="T171" s="8514" t="s">
        <v>2456</v>
      </c>
      <c r="U171" s="8513"/>
      <c r="V171" s="8536" t="s">
        <v>2597</v>
      </c>
      <c r="W171" s="8536"/>
      <c r="X171" s="8536"/>
      <c r="Y171" s="8536"/>
      <c r="Z171" s="8536"/>
      <c r="AA171" s="8513"/>
      <c r="AB171" s="8513" t="str">
        <f>+AB170</f>
        <v>Table of Elements - Chemistry</v>
      </c>
      <c r="AC171" s="8513"/>
      <c r="AD171" s="8513"/>
      <c r="AE171" s="8513"/>
      <c r="AF171" s="8513"/>
      <c r="AG171" s="8513"/>
      <c r="AH171" s="8513"/>
      <c r="AI171" s="6596"/>
      <c r="AJ171" s="8722"/>
      <c r="AK171" s="7405"/>
      <c r="AL171" s="5133"/>
    </row>
    <row r="172" spans="1:38" ht="12.75" customHeight="1">
      <c r="A172" s="5132"/>
      <c r="B172" s="5132"/>
      <c r="C172" s="5132"/>
      <c r="D172" s="5132"/>
      <c r="E172" s="5133"/>
      <c r="F172" s="8705"/>
      <c r="G172" s="6382"/>
      <c r="H172" s="8506" t="s">
        <v>2651</v>
      </c>
      <c r="I172" s="8516"/>
      <c r="J172" s="6382"/>
      <c r="K172" s="6382"/>
      <c r="L172" s="6382"/>
      <c r="M172" s="6382"/>
      <c r="N172" s="6382"/>
      <c r="O172" s="6382"/>
      <c r="P172" s="6382"/>
      <c r="Q172" s="6382"/>
      <c r="R172" s="6382"/>
      <c r="S172" s="6382"/>
      <c r="T172" s="6939"/>
      <c r="U172" s="6382"/>
      <c r="V172" s="8685"/>
      <c r="W172" s="8685"/>
      <c r="X172" s="8685"/>
      <c r="Y172" s="8685"/>
      <c r="Z172" s="8685"/>
      <c r="AA172" s="6382"/>
      <c r="AB172" s="6382"/>
      <c r="AC172" s="6382"/>
      <c r="AD172" s="6382"/>
      <c r="AE172" s="6382"/>
      <c r="AF172" s="6382"/>
      <c r="AG172" s="6382"/>
      <c r="AH172" s="6382"/>
      <c r="AI172" s="7405"/>
      <c r="AJ172" s="6741"/>
      <c r="AK172" s="7405"/>
      <c r="AL172" s="5133"/>
    </row>
    <row r="173" spans="1:38" ht="12.75" customHeight="1">
      <c r="A173" s="5132"/>
      <c r="B173" s="5132"/>
      <c r="C173" s="5132"/>
      <c r="D173" s="5132"/>
      <c r="E173" s="5133"/>
      <c r="F173" s="8705"/>
      <c r="G173" s="6382"/>
      <c r="H173" s="6382"/>
      <c r="I173" s="6382" t="s">
        <v>1300</v>
      </c>
      <c r="J173" s="6382"/>
      <c r="K173" s="6382"/>
      <c r="L173" s="6382"/>
      <c r="M173" s="6382"/>
      <c r="N173" s="6382"/>
      <c r="O173" s="6382"/>
      <c r="P173" s="6382" t="s">
        <v>2734</v>
      </c>
      <c r="Q173" s="6382"/>
      <c r="R173" s="6382" t="s">
        <v>2653</v>
      </c>
      <c r="S173" s="6382"/>
      <c r="T173" s="6939" t="s">
        <v>2456</v>
      </c>
      <c r="U173" s="6382"/>
      <c r="V173" s="9994">
        <v>25.6</v>
      </c>
      <c r="W173" s="9994"/>
      <c r="X173" s="9994"/>
      <c r="Y173" s="9994"/>
      <c r="Z173" s="9994"/>
      <c r="AA173" s="9994"/>
      <c r="AB173" s="6382" t="s">
        <v>2616</v>
      </c>
      <c r="AC173" s="6382"/>
      <c r="AD173" s="6382"/>
      <c r="AE173" s="6382"/>
      <c r="AF173" s="6382"/>
      <c r="AG173" s="6382"/>
      <c r="AH173" s="6382"/>
      <c r="AI173" s="7405"/>
      <c r="AJ173" s="6741"/>
      <c r="AK173" s="7405"/>
      <c r="AL173" s="5133"/>
    </row>
    <row r="174" spans="1:38" ht="12.75" customHeight="1">
      <c r="A174" s="5132"/>
      <c r="B174" s="5132"/>
      <c r="C174" s="5132"/>
      <c r="D174" s="5132"/>
      <c r="E174" s="5133"/>
      <c r="F174" s="8705"/>
      <c r="G174" s="6382"/>
      <c r="H174" s="6382"/>
      <c r="I174" s="6382" t="s">
        <v>2304</v>
      </c>
      <c r="J174" s="6382"/>
      <c r="K174" s="6382"/>
      <c r="L174" s="6382"/>
      <c r="M174" s="6382"/>
      <c r="N174" s="6382"/>
      <c r="O174" s="6382"/>
      <c r="P174" s="6382" t="s">
        <v>2735</v>
      </c>
      <c r="Q174" s="6382"/>
      <c r="R174" s="6382" t="s">
        <v>2653</v>
      </c>
      <c r="S174" s="6382"/>
      <c r="T174" s="6939" t="s">
        <v>2456</v>
      </c>
      <c r="U174" s="6382"/>
      <c r="V174" s="9986" t="s">
        <v>2747</v>
      </c>
      <c r="W174" s="9986"/>
      <c r="X174" s="9986"/>
      <c r="Y174" s="9986"/>
      <c r="Z174" s="9986"/>
      <c r="AA174" s="9986"/>
      <c r="AB174" s="6382" t="s">
        <v>2616</v>
      </c>
      <c r="AC174" s="6382"/>
      <c r="AD174" s="6382"/>
      <c r="AE174" s="6382"/>
      <c r="AF174" s="6382"/>
      <c r="AG174" s="6382"/>
      <c r="AH174" s="6382"/>
      <c r="AI174" s="7405"/>
      <c r="AJ174" s="6741"/>
      <c r="AK174" s="7405"/>
      <c r="AL174" s="5133"/>
    </row>
    <row r="175" spans="1:38" ht="12.75" customHeight="1">
      <c r="A175" s="5132"/>
      <c r="B175" s="5132"/>
      <c r="C175" s="5132"/>
      <c r="D175" s="5132"/>
      <c r="E175" s="5133"/>
      <c r="F175" s="8705"/>
      <c r="G175" s="6382"/>
      <c r="H175" s="8513"/>
      <c r="I175" s="8513" t="s">
        <v>2676</v>
      </c>
      <c r="J175" s="8513"/>
      <c r="K175" s="8513"/>
      <c r="L175" s="8513"/>
      <c r="M175" s="8513"/>
      <c r="N175" s="8513"/>
      <c r="O175" s="8513"/>
      <c r="P175" s="8513"/>
      <c r="Q175" s="8513"/>
      <c r="R175" s="8513"/>
      <c r="S175" s="8513"/>
      <c r="T175" s="8514" t="s">
        <v>2456</v>
      </c>
      <c r="U175" s="8513"/>
      <c r="V175" s="9995">
        <v>0</v>
      </c>
      <c r="W175" s="9995"/>
      <c r="X175" s="9995"/>
      <c r="Y175" s="9995"/>
      <c r="Z175" s="9995"/>
      <c r="AA175" s="9995"/>
      <c r="AB175" s="8513" t="s">
        <v>2677</v>
      </c>
      <c r="AC175" s="8513"/>
      <c r="AD175" s="8513"/>
      <c r="AE175" s="8513"/>
      <c r="AF175" s="8513"/>
      <c r="AG175" s="8513"/>
      <c r="AH175" s="8513"/>
      <c r="AI175" s="6596"/>
      <c r="AJ175" s="8722"/>
      <c r="AK175" s="7405"/>
      <c r="AL175" s="5133"/>
    </row>
    <row r="176" spans="1:38" ht="12.75" customHeight="1">
      <c r="A176" s="5132"/>
      <c r="B176" s="5132"/>
      <c r="C176" s="5132"/>
      <c r="D176" s="5132"/>
      <c r="E176" s="5133"/>
      <c r="F176" s="8705"/>
      <c r="G176" s="6382"/>
      <c r="H176" s="6382"/>
      <c r="I176" s="6382" t="s">
        <v>2654</v>
      </c>
      <c r="J176" s="6382"/>
      <c r="K176" s="6382"/>
      <c r="L176" s="6382"/>
      <c r="M176" s="6382"/>
      <c r="N176" s="6382"/>
      <c r="O176" s="6382"/>
      <c r="P176" s="6382"/>
      <c r="Q176" s="6382"/>
      <c r="R176" s="6382" t="s">
        <v>2653</v>
      </c>
      <c r="S176" s="6382"/>
      <c r="T176" s="6939" t="s">
        <v>2456</v>
      </c>
      <c r="U176" s="6382"/>
      <c r="V176" s="9996">
        <f>+V173+V175+0.15*V173</f>
        <v>29.44</v>
      </c>
      <c r="W176" s="9996"/>
      <c r="X176" s="9996"/>
      <c r="Y176" s="9996"/>
      <c r="Z176" s="9996"/>
      <c r="AA176" s="9996"/>
      <c r="AB176" s="6382" t="s">
        <v>2616</v>
      </c>
      <c r="AC176" s="6382"/>
      <c r="AD176" s="6382"/>
      <c r="AE176" s="6382"/>
      <c r="AF176" s="6382"/>
      <c r="AG176" s="6382"/>
      <c r="AH176" s="6382"/>
      <c r="AI176" s="7405"/>
      <c r="AJ176" s="6741"/>
      <c r="AK176" s="7405"/>
      <c r="AL176" s="5133"/>
    </row>
    <row r="177" spans="1:38" ht="12.75" customHeight="1">
      <c r="A177" s="5132"/>
      <c r="B177" s="5132"/>
      <c r="C177" s="5132"/>
      <c r="D177" s="5132"/>
      <c r="E177" s="5133"/>
      <c r="F177" s="8705"/>
      <c r="G177" s="6382"/>
      <c r="H177" s="6382"/>
      <c r="I177" s="6382"/>
      <c r="J177" s="8508"/>
      <c r="K177" s="6382"/>
      <c r="L177" s="6382"/>
      <c r="M177" s="6382"/>
      <c r="N177" s="6382"/>
      <c r="O177" s="6382"/>
      <c r="P177" s="6382"/>
      <c r="Q177" s="6382"/>
      <c r="R177" s="6382"/>
      <c r="S177" s="6382"/>
      <c r="T177" s="6939"/>
      <c r="U177" s="6382"/>
      <c r="V177" s="8508"/>
      <c r="W177" s="8508"/>
      <c r="X177" s="8508"/>
      <c r="Y177" s="8508"/>
      <c r="Z177" s="8508"/>
      <c r="AA177" s="6382"/>
      <c r="AB177" s="6382"/>
      <c r="AC177" s="6382"/>
      <c r="AD177" s="6382"/>
      <c r="AE177" s="6382"/>
      <c r="AF177" s="6382"/>
      <c r="AG177" s="6382"/>
      <c r="AH177" s="6382"/>
      <c r="AI177" s="7405"/>
      <c r="AJ177" s="6741"/>
      <c r="AK177" s="7405"/>
      <c r="AL177" s="5133"/>
    </row>
    <row r="178" spans="1:38" ht="12.75" customHeight="1">
      <c r="A178" s="5132"/>
      <c r="B178" s="5132"/>
      <c r="C178" s="5132"/>
      <c r="D178" s="5132"/>
      <c r="E178" s="5133"/>
      <c r="F178" s="8704" t="s">
        <v>2602</v>
      </c>
      <c r="G178" s="8506" t="s">
        <v>2759</v>
      </c>
      <c r="H178" s="6382"/>
      <c r="I178" s="6382"/>
      <c r="J178" s="8508"/>
      <c r="K178" s="6382"/>
      <c r="L178" s="6382"/>
      <c r="M178" s="6382"/>
      <c r="N178" s="6382"/>
      <c r="O178" s="6382"/>
      <c r="P178" s="6382"/>
      <c r="Q178" s="6382"/>
      <c r="R178" s="6382"/>
      <c r="S178" s="6382"/>
      <c r="T178" s="6939"/>
      <c r="U178" s="6382"/>
      <c r="V178" s="6382"/>
      <c r="W178" s="8508"/>
      <c r="X178" s="8508"/>
      <c r="Y178" s="8508"/>
      <c r="Z178" s="8508"/>
      <c r="AA178" s="6382"/>
      <c r="AB178" s="6382"/>
      <c r="AC178" s="6382"/>
      <c r="AD178" s="6382"/>
      <c r="AE178" s="6382"/>
      <c r="AF178" s="6382"/>
      <c r="AG178" s="6382"/>
      <c r="AH178" s="6382"/>
      <c r="AI178" s="7405"/>
      <c r="AJ178" s="6741"/>
      <c r="AK178" s="7405"/>
      <c r="AL178" s="5133"/>
    </row>
    <row r="179" spans="1:38" ht="15" customHeight="1">
      <c r="A179" s="5132"/>
      <c r="B179" s="5132"/>
      <c r="C179" s="5132"/>
      <c r="D179" s="5132"/>
      <c r="E179" s="5133"/>
      <c r="F179" s="8705"/>
      <c r="G179" s="6382" t="s">
        <v>2249</v>
      </c>
      <c r="H179" s="8505" t="s">
        <v>2760</v>
      </c>
      <c r="I179" s="8505"/>
      <c r="J179" s="6382"/>
      <c r="K179" s="6382"/>
      <c r="L179" s="6382"/>
      <c r="M179" s="6382"/>
      <c r="N179" s="6382"/>
      <c r="O179" s="6382"/>
      <c r="P179" s="6382"/>
      <c r="Q179" s="6382"/>
      <c r="R179" s="6382"/>
      <c r="S179" s="6382"/>
      <c r="T179" s="6382"/>
      <c r="U179" s="6382"/>
      <c r="V179" s="6382"/>
      <c r="W179" s="6382"/>
      <c r="X179" s="6382"/>
      <c r="Y179" s="6382"/>
      <c r="Z179" s="6382"/>
      <c r="AA179" s="6382"/>
      <c r="AB179" s="6382"/>
      <c r="AC179" s="6382"/>
      <c r="AD179" s="6382"/>
      <c r="AE179" s="6382"/>
      <c r="AF179" s="6382"/>
      <c r="AG179" s="6382"/>
      <c r="AH179" s="6382"/>
      <c r="AI179" s="7405"/>
      <c r="AJ179" s="6741"/>
      <c r="AK179" s="7405"/>
      <c r="AL179" s="5133"/>
    </row>
    <row r="180" spans="1:38" ht="15" customHeight="1">
      <c r="A180" s="5132"/>
      <c r="B180" s="5132"/>
      <c r="C180" s="5132"/>
      <c r="D180" s="5132"/>
      <c r="E180" s="5133"/>
      <c r="F180" s="8705"/>
      <c r="G180" s="6382"/>
      <c r="H180" s="8519">
        <v>1</v>
      </c>
      <c r="I180" s="8519" t="s">
        <v>2299</v>
      </c>
      <c r="J180" s="8479"/>
      <c r="K180" s="8479"/>
      <c r="L180" s="8518"/>
      <c r="M180" s="8479"/>
      <c r="N180" s="8479"/>
      <c r="O180" s="8479"/>
      <c r="P180" s="8479"/>
      <c r="Q180" s="8479"/>
      <c r="R180" s="6673" t="s">
        <v>2460</v>
      </c>
      <c r="S180" s="8479"/>
      <c r="T180" s="6673" t="s">
        <v>2456</v>
      </c>
      <c r="U180" s="8479"/>
      <c r="V180" s="8479" t="s">
        <v>979</v>
      </c>
      <c r="W180" s="8479"/>
      <c r="X180" s="8479"/>
      <c r="Y180" s="8479"/>
      <c r="Z180" s="8479"/>
      <c r="AA180" s="8479"/>
      <c r="AB180" s="8479"/>
      <c r="AC180" s="6382"/>
      <c r="AD180" s="6382"/>
      <c r="AE180" s="6382"/>
      <c r="AF180" s="6382"/>
      <c r="AG180" s="6382"/>
      <c r="AH180" s="6382"/>
      <c r="AI180" s="7405"/>
      <c r="AJ180" s="6741"/>
      <c r="AK180" s="7405"/>
      <c r="AL180" s="5133"/>
    </row>
    <row r="181" spans="1:38" ht="12.75" customHeight="1">
      <c r="A181" s="5132"/>
      <c r="B181" s="5132"/>
      <c r="C181" s="5132"/>
      <c r="D181" s="5132"/>
      <c r="E181" s="5133"/>
      <c r="F181" s="8698"/>
      <c r="G181" s="6382"/>
      <c r="H181" s="8519"/>
      <c r="I181" s="6599" t="s">
        <v>1984</v>
      </c>
      <c r="J181" s="8479" t="s">
        <v>2466</v>
      </c>
      <c r="K181" s="8479"/>
      <c r="L181" s="8518"/>
      <c r="M181" s="8479"/>
      <c r="N181" s="8479"/>
      <c r="O181" s="8479"/>
      <c r="P181" s="8479"/>
      <c r="Q181" s="8479"/>
      <c r="R181" s="6673" t="s">
        <v>2460</v>
      </c>
      <c r="S181" s="8479"/>
      <c r="T181" s="6673" t="s">
        <v>2456</v>
      </c>
      <c r="U181" s="8479"/>
      <c r="V181" s="8479" t="str">
        <f>+"(N) x ($"&amp;V165&amp;"/ton) x "&amp;V162&amp;"("&amp;V161&amp;" CPI)"</f>
        <v>(N) x ($360/ton) x 1.73(1990 CPI)</v>
      </c>
      <c r="W181" s="8479"/>
      <c r="X181" s="8479"/>
      <c r="Y181" s="8479"/>
      <c r="Z181" s="8479"/>
      <c r="AA181" s="8479"/>
      <c r="AB181" s="6382" t="s">
        <v>2732</v>
      </c>
      <c r="AC181" s="6382"/>
      <c r="AD181" s="6382"/>
      <c r="AE181" s="6382"/>
      <c r="AF181" s="6382"/>
      <c r="AG181" s="6382"/>
      <c r="AH181" s="6382"/>
      <c r="AI181" s="7405"/>
      <c r="AJ181" s="6741"/>
      <c r="AK181" s="7405"/>
      <c r="AL181" s="5133"/>
    </row>
    <row r="182" spans="1:38" ht="15" customHeight="1">
      <c r="A182" s="5132"/>
      <c r="B182" s="5132"/>
      <c r="C182" s="5132"/>
      <c r="D182" s="5132"/>
      <c r="E182" s="5133"/>
      <c r="F182" s="8705"/>
      <c r="G182" s="6382"/>
      <c r="H182" s="8519">
        <f>1+H180</f>
        <v>2</v>
      </c>
      <c r="I182" s="8519" t="s">
        <v>2300</v>
      </c>
      <c r="J182" s="8479"/>
      <c r="K182" s="8479"/>
      <c r="L182" s="8518"/>
      <c r="M182" s="8479"/>
      <c r="N182" s="8479"/>
      <c r="O182" s="8479"/>
      <c r="P182" s="8479"/>
      <c r="Q182" s="8479"/>
      <c r="R182" s="6673"/>
      <c r="S182" s="8479"/>
      <c r="T182" s="6673"/>
      <c r="U182" s="8479"/>
      <c r="V182" s="6673"/>
      <c r="W182" s="6673"/>
      <c r="X182" s="6673"/>
      <c r="Y182" s="6673"/>
      <c r="Z182" s="6673"/>
      <c r="AA182" s="6673"/>
      <c r="AB182" s="8479"/>
      <c r="AC182" s="6382"/>
      <c r="AD182" s="6382"/>
      <c r="AE182" s="6382"/>
      <c r="AF182" s="6382"/>
      <c r="AG182" s="6382"/>
      <c r="AH182" s="6382"/>
      <c r="AI182" s="7405"/>
      <c r="AJ182" s="6741"/>
      <c r="AK182" s="7405"/>
      <c r="AL182" s="5133"/>
    </row>
    <row r="183" spans="1:38" ht="15" customHeight="1">
      <c r="A183" s="5132"/>
      <c r="B183" s="5132"/>
      <c r="C183" s="5132"/>
      <c r="D183" s="5132"/>
      <c r="E183" s="5133"/>
      <c r="F183" s="8698"/>
      <c r="G183" s="6382"/>
      <c r="H183" s="6382"/>
      <c r="I183" s="6599" t="s">
        <v>1984</v>
      </c>
      <c r="J183" s="8479" t="s">
        <v>2301</v>
      </c>
      <c r="K183" s="8479"/>
      <c r="L183" s="8518"/>
      <c r="M183" s="8479"/>
      <c r="N183" s="8479"/>
      <c r="O183" s="8479"/>
      <c r="P183" s="8479"/>
      <c r="Q183" s="8479"/>
      <c r="R183" s="6673" t="s">
        <v>2460</v>
      </c>
      <c r="S183" s="8479"/>
      <c r="T183" s="6673" t="s">
        <v>2456</v>
      </c>
      <c r="U183" s="8479"/>
      <c r="V183" s="8479" t="str">
        <f>+V147&amp;" kWh/hr x H x ("&amp;V149&amp;" /1000 $/Kwh)"</f>
        <v>200 kWh/hr x H x (212.22 /1000 $/Kwh)</v>
      </c>
      <c r="W183" s="8479"/>
      <c r="X183" s="8479"/>
      <c r="Y183" s="8479"/>
      <c r="Z183" s="8479"/>
      <c r="AA183" s="8479"/>
      <c r="AB183" s="6382" t="s">
        <v>2628</v>
      </c>
      <c r="AC183" s="6382"/>
      <c r="AD183" s="6382"/>
      <c r="AE183" s="6382"/>
      <c r="AF183" s="6382"/>
      <c r="AG183" s="6382"/>
      <c r="AH183" s="6382"/>
      <c r="AI183" s="7405"/>
      <c r="AJ183" s="6741"/>
      <c r="AK183" s="7405"/>
      <c r="AL183" s="5133"/>
    </row>
    <row r="184" spans="1:38" ht="15" customHeight="1">
      <c r="A184" s="5132"/>
      <c r="B184" s="5132"/>
      <c r="C184" s="5132"/>
      <c r="D184" s="5132"/>
      <c r="E184" s="5133"/>
      <c r="F184" s="8724"/>
      <c r="G184" s="8511"/>
      <c r="H184" s="8519"/>
      <c r="I184" s="6599" t="s">
        <v>1984</v>
      </c>
      <c r="J184" s="8479" t="s">
        <v>2465</v>
      </c>
      <c r="K184" s="8479"/>
      <c r="L184" s="8518"/>
      <c r="M184" s="8479"/>
      <c r="N184" s="8479"/>
      <c r="O184" s="8479"/>
      <c r="P184" s="8479"/>
      <c r="Q184" s="8479"/>
      <c r="R184" s="6673" t="s">
        <v>2460</v>
      </c>
      <c r="S184" s="8479"/>
      <c r="T184" s="6673" t="s">
        <v>2456</v>
      </c>
      <c r="U184" s="8479"/>
      <c r="V184" s="8479" t="s">
        <v>2748</v>
      </c>
      <c r="W184" s="8479"/>
      <c r="X184" s="8479"/>
      <c r="Y184" s="8479"/>
      <c r="Z184" s="8479"/>
      <c r="AA184" s="8479"/>
      <c r="AB184" s="6382" t="s">
        <v>2732</v>
      </c>
      <c r="AC184" s="6382"/>
      <c r="AD184" s="8479"/>
      <c r="AE184" s="6382"/>
      <c r="AF184" s="6382"/>
      <c r="AG184" s="6382"/>
      <c r="AH184" s="8508"/>
      <c r="AI184" s="8508"/>
      <c r="AJ184" s="8708"/>
      <c r="AK184" s="8508"/>
      <c r="AL184" s="5133"/>
    </row>
    <row r="185" spans="1:38" ht="15" customHeight="1">
      <c r="A185" s="5132"/>
      <c r="B185" s="5132"/>
      <c r="C185" s="5132"/>
      <c r="D185" s="5132"/>
      <c r="E185" s="5133"/>
      <c r="F185" s="8724"/>
      <c r="G185" s="8511"/>
      <c r="H185" s="8519"/>
      <c r="I185" s="6599" t="s">
        <v>1984</v>
      </c>
      <c r="J185" s="8479" t="s">
        <v>2467</v>
      </c>
      <c r="K185" s="8479"/>
      <c r="L185" s="8518"/>
      <c r="M185" s="8479"/>
      <c r="N185" s="8479"/>
      <c r="O185" s="8479"/>
      <c r="P185" s="8479"/>
      <c r="Q185" s="8479"/>
      <c r="R185" s="6673" t="s">
        <v>2460</v>
      </c>
      <c r="S185" s="8479"/>
      <c r="T185" s="6673" t="s">
        <v>2456</v>
      </c>
      <c r="U185" s="8479"/>
      <c r="V185" s="9925" t="str">
        <f>+"(N) x ("&amp;V168&amp;") x (MW H₂O/MW NH₃) x ($"&amp;V167&amp;"/1,000 lb steam) x (2,000 lb/ton) x "&amp;V162&amp;"("&amp;V161&amp;"CPI)"</f>
        <v>(N) x (0.95/0.05) x (MW H₂O/MW NH₃) x ($6/1,000 lb steam) x (2,000 lb/ton) x 1.73(1990CPI)</v>
      </c>
      <c r="W185" s="9925"/>
      <c r="X185" s="9925"/>
      <c r="Y185" s="9925"/>
      <c r="Z185" s="9925"/>
      <c r="AA185" s="9925"/>
      <c r="AB185" s="6382" t="s">
        <v>2732</v>
      </c>
      <c r="AC185" s="6382"/>
      <c r="AD185" s="8479"/>
      <c r="AE185" s="6382"/>
      <c r="AF185" s="6382"/>
      <c r="AG185" s="6382"/>
      <c r="AH185" s="8508"/>
      <c r="AI185" s="8508"/>
      <c r="AJ185" s="8708"/>
      <c r="AK185" s="8508"/>
      <c r="AL185" s="5133"/>
    </row>
    <row r="186" spans="1:38" ht="12.75" customHeight="1">
      <c r="A186" s="5132"/>
      <c r="B186" s="5132"/>
      <c r="C186" s="5132"/>
      <c r="D186" s="5132"/>
      <c r="E186" s="5133"/>
      <c r="F186" s="8698"/>
      <c r="G186" s="6382"/>
      <c r="H186" s="8519">
        <f>1+H182</f>
        <v>3</v>
      </c>
      <c r="I186" s="8519" t="str">
        <f>+H27</f>
        <v>Water Treatment / Waste Disposal</v>
      </c>
      <c r="J186" s="7405"/>
      <c r="K186" s="8479"/>
      <c r="L186" s="8518"/>
      <c r="M186" s="8479"/>
      <c r="N186" s="8479"/>
      <c r="O186" s="8479"/>
      <c r="P186" s="8479"/>
      <c r="Q186" s="8479"/>
      <c r="R186" s="6673"/>
      <c r="S186" s="8479"/>
      <c r="T186" s="6673"/>
      <c r="U186" s="8479"/>
      <c r="V186" s="9925"/>
      <c r="W186" s="9925"/>
      <c r="X186" s="9925"/>
      <c r="Y186" s="9925"/>
      <c r="Z186" s="9925"/>
      <c r="AA186" s="9925"/>
      <c r="AB186" s="6673"/>
      <c r="AC186" s="6382"/>
      <c r="AD186" s="6382"/>
      <c r="AE186" s="6382"/>
      <c r="AF186" s="6382"/>
      <c r="AG186" s="6382"/>
      <c r="AH186" s="6382"/>
      <c r="AI186" s="6382"/>
      <c r="AJ186" s="8699"/>
      <c r="AK186" s="6382"/>
      <c r="AL186" s="5133"/>
    </row>
    <row r="187" spans="1:38" ht="12.75" customHeight="1">
      <c r="A187" s="5132"/>
      <c r="B187" s="5132"/>
      <c r="C187" s="5132"/>
      <c r="D187" s="5132"/>
      <c r="E187" s="5133"/>
      <c r="F187" s="8698"/>
      <c r="G187" s="6382"/>
      <c r="H187" s="8519"/>
      <c r="I187" s="6599" t="s">
        <v>1984</v>
      </c>
      <c r="J187" s="8479" t="s">
        <v>2604</v>
      </c>
      <c r="K187" s="8479"/>
      <c r="L187" s="8518"/>
      <c r="M187" s="8479"/>
      <c r="N187" s="8479"/>
      <c r="O187" s="8479"/>
      <c r="P187" s="8479"/>
      <c r="Q187" s="8479"/>
      <c r="R187" s="6673"/>
      <c r="S187" s="8479"/>
      <c r="T187" s="6673" t="s">
        <v>2456</v>
      </c>
      <c r="U187" s="8479"/>
      <c r="V187" s="8479" t="s">
        <v>979</v>
      </c>
      <c r="W187" s="8687"/>
      <c r="X187" s="8687"/>
      <c r="Y187" s="8687"/>
      <c r="Z187" s="8687"/>
      <c r="AA187" s="8687"/>
      <c r="AB187" s="6637" t="s">
        <v>2742</v>
      </c>
      <c r="AC187" s="6382"/>
      <c r="AD187" s="6382"/>
      <c r="AE187" s="6382"/>
      <c r="AF187" s="6382"/>
      <c r="AG187" s="6382"/>
      <c r="AH187" s="6382"/>
      <c r="AI187" s="6382"/>
      <c r="AJ187" s="8699"/>
      <c r="AK187" s="6382"/>
      <c r="AL187" s="5133"/>
    </row>
    <row r="188" spans="1:38" ht="12.75" customHeight="1">
      <c r="A188" s="5132"/>
      <c r="B188" s="5132"/>
      <c r="C188" s="5132"/>
      <c r="D188" s="5132"/>
      <c r="E188" s="5133"/>
      <c r="F188" s="8698"/>
      <c r="G188" s="6382"/>
      <c r="H188" s="8519"/>
      <c r="I188" s="6599" t="s">
        <v>1984</v>
      </c>
      <c r="J188" s="8479" t="s">
        <v>2461</v>
      </c>
      <c r="K188" s="8540"/>
      <c r="L188" s="8518"/>
      <c r="M188" s="8540"/>
      <c r="N188" s="8540"/>
      <c r="O188" s="8540"/>
      <c r="P188" s="8540"/>
      <c r="Q188" s="8540"/>
      <c r="R188" s="6673" t="s">
        <v>2460</v>
      </c>
      <c r="S188" s="8540"/>
      <c r="T188" s="6673" t="s">
        <v>2456</v>
      </c>
      <c r="U188" s="8479"/>
      <c r="V188" s="8541" t="str">
        <f>+"(V) x ($"&amp;V163&amp;"/ft³) x CRF(c) X "&amp;V162&amp;" ("&amp;V161&amp;"CPI)"</f>
        <v>(V) x ($15/ft³) x CRF(c) X 1.73 (1990CPI)</v>
      </c>
      <c r="W188" s="8540"/>
      <c r="X188" s="8540"/>
      <c r="Y188" s="8540"/>
      <c r="Z188" s="8540"/>
      <c r="AA188" s="8540"/>
      <c r="AB188" s="6382" t="s">
        <v>2732</v>
      </c>
      <c r="AC188" s="6382"/>
      <c r="AD188" s="6382"/>
      <c r="AE188" s="6382"/>
      <c r="AF188" s="6382"/>
      <c r="AG188" s="6382"/>
      <c r="AH188" s="6382"/>
      <c r="AI188" s="6382"/>
      <c r="AJ188" s="8699"/>
      <c r="AK188" s="6382"/>
      <c r="AL188" s="5133"/>
    </row>
    <row r="189" spans="1:38" ht="12.75" customHeight="1">
      <c r="A189" s="5132"/>
      <c r="B189" s="5132"/>
      <c r="C189" s="5132"/>
      <c r="D189" s="5132"/>
      <c r="E189" s="5133"/>
      <c r="F189" s="8698"/>
      <c r="G189" s="6382"/>
      <c r="H189" s="8519">
        <f>1+H186</f>
        <v>4</v>
      </c>
      <c r="I189" s="7405" t="str">
        <f>+H29</f>
        <v>Performance Loss / Production Loss</v>
      </c>
      <c r="J189" s="7405"/>
      <c r="K189" s="7405"/>
      <c r="L189" s="7405"/>
      <c r="M189" s="8540"/>
      <c r="N189" s="8540"/>
      <c r="O189" s="8540"/>
      <c r="P189" s="8540"/>
      <c r="Q189" s="8540"/>
      <c r="R189" s="6673"/>
      <c r="S189" s="8540"/>
      <c r="T189" s="6673"/>
      <c r="U189" s="8479"/>
      <c r="V189" s="8541"/>
      <c r="W189" s="8540"/>
      <c r="X189" s="8540"/>
      <c r="Y189" s="8540"/>
      <c r="Z189" s="8540"/>
      <c r="AA189" s="8540"/>
      <c r="AB189" s="6673"/>
      <c r="AC189" s="6382"/>
      <c r="AD189" s="6382"/>
      <c r="AE189" s="6382"/>
      <c r="AF189" s="6382"/>
      <c r="AG189" s="6382"/>
      <c r="AH189" s="6382"/>
      <c r="AI189" s="6382"/>
      <c r="AJ189" s="8699"/>
      <c r="AK189" s="6382"/>
      <c r="AL189" s="5133"/>
    </row>
    <row r="190" spans="1:38" ht="12.75" customHeight="1">
      <c r="A190" s="5132"/>
      <c r="B190" s="5132"/>
      <c r="C190" s="5132"/>
      <c r="D190" s="5132"/>
      <c r="E190" s="5133"/>
      <c r="F190" s="8698"/>
      <c r="G190" s="6382"/>
      <c r="H190" s="8519"/>
      <c r="I190" s="6599" t="s">
        <v>1984</v>
      </c>
      <c r="J190" s="8479" t="s">
        <v>2468</v>
      </c>
      <c r="K190" s="8479"/>
      <c r="L190" s="8518"/>
      <c r="M190" s="8479"/>
      <c r="N190" s="8479"/>
      <c r="O190" s="8479"/>
      <c r="P190" s="8479"/>
      <c r="Q190" s="8479"/>
      <c r="R190" s="6673" t="s">
        <v>2460</v>
      </c>
      <c r="S190" s="8479"/>
      <c r="T190" s="6673" t="s">
        <v>2456</v>
      </c>
      <c r="U190" s="8479"/>
      <c r="V190" s="9925" t="str">
        <f>+V150*100&amp;"% (EMW)x("&amp;V149&amp;"/1,000kWh)x(1,000kW/MW)x(H)"</f>
        <v>0.5% (EMW)x(212.22/1,000kWh)x(1,000kW/MW)x(H)</v>
      </c>
      <c r="W190" s="9925"/>
      <c r="X190" s="9925"/>
      <c r="Y190" s="9925"/>
      <c r="Z190" s="9925"/>
      <c r="AA190" s="9925"/>
      <c r="AB190" s="6382" t="s">
        <v>2732</v>
      </c>
      <c r="AC190" s="6382"/>
      <c r="AD190" s="8479"/>
      <c r="AE190" s="6382"/>
      <c r="AF190" s="6382"/>
      <c r="AG190" s="6382"/>
      <c r="AH190" s="6382"/>
      <c r="AI190" s="6382"/>
      <c r="AJ190" s="8699"/>
      <c r="AK190" s="6382"/>
      <c r="AL190" s="5133"/>
    </row>
    <row r="191" spans="1:38" ht="15" customHeight="1">
      <c r="A191" s="5132"/>
      <c r="B191" s="5132"/>
      <c r="C191" s="5132"/>
      <c r="D191" s="5132"/>
      <c r="E191" s="5133"/>
      <c r="F191" s="8698"/>
      <c r="G191" s="6382"/>
      <c r="H191" s="8519"/>
      <c r="I191" s="6599" t="s">
        <v>1984</v>
      </c>
      <c r="J191" s="8479" t="s">
        <v>2469</v>
      </c>
      <c r="K191" s="8540"/>
      <c r="L191" s="8518"/>
      <c r="M191" s="8540"/>
      <c r="N191" s="8540"/>
      <c r="O191" s="8540"/>
      <c r="P191" s="8540"/>
      <c r="Q191" s="8540"/>
      <c r="R191" s="6673" t="s">
        <v>2460</v>
      </c>
      <c r="S191" s="8540"/>
      <c r="T191" s="6673" t="s">
        <v>2456</v>
      </c>
      <c r="U191" s="8479"/>
      <c r="V191" s="8479" t="s">
        <v>979</v>
      </c>
      <c r="W191" s="8540"/>
      <c r="X191" s="8540"/>
      <c r="Y191" s="8540"/>
      <c r="Z191" s="8687"/>
      <c r="AA191" s="8687"/>
      <c r="AB191" s="8479"/>
      <c r="AC191" s="6382"/>
      <c r="AD191" s="6382"/>
      <c r="AE191" s="6382"/>
      <c r="AF191" s="6382"/>
      <c r="AG191" s="6382"/>
      <c r="AH191" s="6382"/>
      <c r="AI191" s="6382"/>
      <c r="AJ191" s="8699"/>
      <c r="AK191" s="6382"/>
      <c r="AL191" s="5133"/>
    </row>
    <row r="192" spans="1:38" ht="15" customHeight="1">
      <c r="A192" s="5132"/>
      <c r="B192" s="5132"/>
      <c r="C192" s="5132"/>
      <c r="D192" s="5132"/>
      <c r="E192" s="5133"/>
      <c r="F192" s="8698"/>
      <c r="G192" s="6382"/>
      <c r="H192" s="8519"/>
      <c r="I192" s="6599"/>
      <c r="J192" s="8479"/>
      <c r="K192" s="8540"/>
      <c r="L192" s="8518"/>
      <c r="M192" s="8540"/>
      <c r="N192" s="8540"/>
      <c r="O192" s="8540"/>
      <c r="P192" s="8540"/>
      <c r="Q192" s="8540"/>
      <c r="R192" s="6673"/>
      <c r="S192" s="8540"/>
      <c r="T192" s="6673"/>
      <c r="U192" s="8479"/>
      <c r="V192" s="8479"/>
      <c r="W192" s="8540"/>
      <c r="X192" s="8540"/>
      <c r="Y192" s="8540"/>
      <c r="Z192" s="8687"/>
      <c r="AA192" s="8687"/>
      <c r="AB192" s="8479"/>
      <c r="AC192" s="6382"/>
      <c r="AD192" s="6382"/>
      <c r="AE192" s="6382"/>
      <c r="AF192" s="6382"/>
      <c r="AG192" s="6382"/>
      <c r="AH192" s="6382"/>
      <c r="AI192" s="6382"/>
      <c r="AJ192" s="8699"/>
      <c r="AK192" s="6382"/>
      <c r="AL192" s="5133"/>
    </row>
    <row r="193" spans="1:38" ht="12.75" customHeight="1">
      <c r="A193" s="5132"/>
      <c r="B193" s="5132"/>
      <c r="C193" s="5132"/>
      <c r="D193" s="5132"/>
      <c r="E193" s="5133"/>
      <c r="F193" s="8724"/>
      <c r="G193" s="6382" t="s">
        <v>2006</v>
      </c>
      <c r="H193" s="8505" t="s">
        <v>2761</v>
      </c>
      <c r="I193" s="8505"/>
      <c r="J193" s="6382"/>
      <c r="K193" s="8479"/>
      <c r="L193" s="8518"/>
      <c r="M193" s="8479"/>
      <c r="N193" s="8479"/>
      <c r="O193" s="8479"/>
      <c r="P193" s="8479"/>
      <c r="Q193" s="8479"/>
      <c r="R193" s="6673"/>
      <c r="S193" s="8479"/>
      <c r="T193" s="6673"/>
      <c r="U193" s="8479"/>
      <c r="V193" s="6637"/>
      <c r="W193" s="6637"/>
      <c r="X193" s="6637"/>
      <c r="Y193" s="6637"/>
      <c r="Z193" s="6637"/>
      <c r="AA193" s="6637"/>
      <c r="AB193" s="6673"/>
      <c r="AC193" s="6382"/>
      <c r="AD193" s="8479"/>
      <c r="AE193" s="8508"/>
      <c r="AF193" s="8508"/>
      <c r="AG193" s="8508"/>
      <c r="AH193" s="8508"/>
      <c r="AI193" s="8508"/>
      <c r="AJ193" s="8708"/>
      <c r="AK193" s="8508"/>
      <c r="AL193" s="5133"/>
    </row>
    <row r="194" spans="1:38" ht="12.75" customHeight="1">
      <c r="A194" s="5132"/>
      <c r="B194" s="5132"/>
      <c r="C194" s="5132"/>
      <c r="D194" s="5132"/>
      <c r="E194" s="5133"/>
      <c r="F194" s="8724"/>
      <c r="G194" s="8511"/>
      <c r="H194" s="8519">
        <v>1</v>
      </c>
      <c r="I194" s="8479" t="s">
        <v>2675</v>
      </c>
      <c r="J194" s="8479"/>
      <c r="K194" s="8479"/>
      <c r="L194" s="8518"/>
      <c r="M194" s="8479"/>
      <c r="N194" s="8479"/>
      <c r="O194" s="8479"/>
      <c r="P194" s="8479"/>
      <c r="Q194" s="8479"/>
      <c r="R194" s="6673" t="s">
        <v>2460</v>
      </c>
      <c r="S194" s="8479"/>
      <c r="T194" s="6673" t="s">
        <v>2456</v>
      </c>
      <c r="U194" s="8479"/>
      <c r="V194" s="6637" t="str">
        <f>+"$"&amp;V176&amp;" x "&amp;V162&amp;" (CFI) x H (hr/yr)"</f>
        <v>$29.44 x 1.73 (CFI) x H (hr/yr)</v>
      </c>
      <c r="W194" s="6637"/>
      <c r="X194" s="6637"/>
      <c r="Y194" s="6637"/>
      <c r="Z194" s="6637"/>
      <c r="AA194" s="6637"/>
      <c r="AB194" s="9988" t="s">
        <v>2616</v>
      </c>
      <c r="AC194" s="9988"/>
      <c r="AD194" s="9988"/>
      <c r="AE194" s="9988"/>
      <c r="AF194" s="9988"/>
      <c r="AG194" s="9988"/>
      <c r="AH194" s="9988"/>
      <c r="AI194" s="9988"/>
      <c r="AJ194" s="8725"/>
      <c r="AK194" s="8538"/>
      <c r="AL194" s="5133"/>
    </row>
    <row r="195" spans="1:38" ht="12.75" customHeight="1">
      <c r="A195" s="5132"/>
      <c r="B195" s="5132"/>
      <c r="C195" s="5132"/>
      <c r="D195" s="5132"/>
      <c r="E195" s="5133"/>
      <c r="F195" s="8724"/>
      <c r="G195" s="8511"/>
      <c r="H195" s="8519">
        <f>1+H194</f>
        <v>2</v>
      </c>
      <c r="I195" s="8479" t="s">
        <v>2792</v>
      </c>
      <c r="J195" s="8479"/>
      <c r="K195" s="8479"/>
      <c r="L195" s="8518"/>
      <c r="M195" s="8479"/>
      <c r="N195" s="8479"/>
      <c r="O195" s="8479"/>
      <c r="P195" s="8479"/>
      <c r="Q195" s="8479"/>
      <c r="R195" s="6673" t="s">
        <v>2460</v>
      </c>
      <c r="S195" s="8479"/>
      <c r="T195" s="6673" t="s">
        <v>2456</v>
      </c>
      <c r="U195" s="8479"/>
      <c r="V195" s="6637" t="s">
        <v>2674</v>
      </c>
      <c r="W195" s="6637"/>
      <c r="X195" s="6637"/>
      <c r="Y195" s="6637"/>
      <c r="Z195" s="6637"/>
      <c r="AA195" s="6637"/>
      <c r="AB195" s="9988" t="s">
        <v>2789</v>
      </c>
      <c r="AC195" s="9988"/>
      <c r="AD195" s="9988"/>
      <c r="AE195" s="9988"/>
      <c r="AF195" s="9988"/>
      <c r="AG195" s="9988"/>
      <c r="AH195" s="9988"/>
      <c r="AI195" s="9988"/>
      <c r="AJ195" s="9989"/>
      <c r="AK195" s="8733"/>
      <c r="AL195" s="5133"/>
    </row>
    <row r="196" spans="1:38" ht="12.75" customHeight="1">
      <c r="A196" s="5132"/>
      <c r="B196" s="5132"/>
      <c r="C196" s="5132"/>
      <c r="D196" s="5132"/>
      <c r="E196" s="5133"/>
      <c r="F196" s="8724"/>
      <c r="G196" s="8511"/>
      <c r="H196" s="8519"/>
      <c r="I196" s="8479"/>
      <c r="J196" s="8479"/>
      <c r="K196" s="8479"/>
      <c r="L196" s="8518"/>
      <c r="M196" s="8479"/>
      <c r="N196" s="8479"/>
      <c r="O196" s="8479"/>
      <c r="P196" s="8479"/>
      <c r="Q196" s="8479"/>
      <c r="R196" s="6673"/>
      <c r="S196" s="8479"/>
      <c r="T196" s="6673"/>
      <c r="U196" s="8479"/>
      <c r="V196" s="6637"/>
      <c r="W196" s="6637"/>
      <c r="X196" s="6637"/>
      <c r="Y196" s="6637"/>
      <c r="Z196" s="6637"/>
      <c r="AA196" s="6637"/>
      <c r="AB196" s="9988"/>
      <c r="AC196" s="9988"/>
      <c r="AD196" s="9988"/>
      <c r="AE196" s="9988"/>
      <c r="AF196" s="9988"/>
      <c r="AG196" s="9988"/>
      <c r="AH196" s="9988"/>
      <c r="AI196" s="9988"/>
      <c r="AJ196" s="9989"/>
      <c r="AK196" s="8733"/>
      <c r="AL196" s="5133"/>
    </row>
    <row r="197" spans="1:38" ht="12.75" customHeight="1">
      <c r="A197" s="5132"/>
      <c r="B197" s="5132"/>
      <c r="C197" s="5132"/>
      <c r="D197" s="5132"/>
      <c r="E197" s="5133"/>
      <c r="F197" s="8724"/>
      <c r="G197" s="8511"/>
      <c r="H197" s="8537">
        <f>1+H195</f>
        <v>3</v>
      </c>
      <c r="I197" s="9923" t="s">
        <v>1416</v>
      </c>
      <c r="J197" s="9923"/>
      <c r="K197" s="9923"/>
      <c r="L197" s="9923"/>
      <c r="M197" s="9923"/>
      <c r="N197" s="9923"/>
      <c r="O197" s="9923"/>
      <c r="P197" s="8511"/>
      <c r="Q197" s="8511"/>
      <c r="R197" s="6673" t="s">
        <v>2460</v>
      </c>
      <c r="S197" s="8511"/>
      <c r="T197" s="6673" t="s">
        <v>2456</v>
      </c>
      <c r="U197" s="8511"/>
      <c r="V197" s="9923" t="str">
        <f>+V160&amp;"($//ft³) x V x CRF x "&amp;V158&amp;" (1998 CPI)"</f>
        <v>290($//ft³) x V x CRF x 1.57 (1998 CPI)</v>
      </c>
      <c r="W197" s="9923"/>
      <c r="X197" s="9923"/>
      <c r="Y197" s="9923"/>
      <c r="Z197" s="9923"/>
      <c r="AA197" s="9923"/>
      <c r="AB197" s="6382" t="s">
        <v>2731</v>
      </c>
      <c r="AC197" s="8538"/>
      <c r="AD197" s="8538"/>
      <c r="AE197" s="8538"/>
      <c r="AF197" s="8538"/>
      <c r="AG197" s="8538"/>
      <c r="AH197" s="8538"/>
      <c r="AI197" s="8538"/>
      <c r="AJ197" s="8725"/>
      <c r="AK197" s="8538"/>
      <c r="AL197" s="5133"/>
    </row>
    <row r="198" spans="1:38" ht="12.75" customHeight="1">
      <c r="A198" s="5132"/>
      <c r="B198" s="5132"/>
      <c r="C198" s="5132"/>
      <c r="D198" s="5132"/>
      <c r="E198" s="5133"/>
      <c r="F198" s="8724"/>
      <c r="G198" s="6382" t="s">
        <v>2019</v>
      </c>
      <c r="H198" s="8505" t="s">
        <v>1083</v>
      </c>
      <c r="I198" s="8505"/>
      <c r="J198" s="6382"/>
      <c r="K198" s="8511"/>
      <c r="L198" s="8511"/>
      <c r="M198" s="8511"/>
      <c r="N198" s="8511"/>
      <c r="O198" s="8511"/>
      <c r="P198" s="8511"/>
      <c r="Q198" s="8511"/>
      <c r="R198" s="6382"/>
      <c r="S198" s="6382"/>
      <c r="T198" s="6382"/>
      <c r="U198" s="6382"/>
      <c r="V198" s="6382"/>
      <c r="W198" s="6382"/>
      <c r="X198" s="6382"/>
      <c r="Y198" s="6382"/>
      <c r="Z198" s="8511"/>
      <c r="AA198" s="8511"/>
      <c r="AB198" s="8508"/>
      <c r="AC198" s="8508"/>
      <c r="AD198" s="8508"/>
      <c r="AE198" s="8508"/>
      <c r="AF198" s="8508"/>
      <c r="AG198" s="8508"/>
      <c r="AH198" s="8508"/>
      <c r="AI198" s="8508"/>
      <c r="AJ198" s="8708"/>
      <c r="AK198" s="8508"/>
      <c r="AL198" s="5133"/>
    </row>
    <row r="199" spans="1:38" ht="12.75" customHeight="1">
      <c r="A199" s="5132"/>
      <c r="B199" s="5132"/>
      <c r="C199" s="5132"/>
      <c r="D199" s="5132"/>
      <c r="E199" s="5133"/>
      <c r="F199" s="8724"/>
      <c r="G199" s="8511"/>
      <c r="H199" s="8520">
        <v>1</v>
      </c>
      <c r="I199" s="9923" t="s">
        <v>1183</v>
      </c>
      <c r="J199" s="9923"/>
      <c r="K199" s="9923"/>
      <c r="L199" s="9923"/>
      <c r="M199" s="9923"/>
      <c r="N199" s="8511"/>
      <c r="O199" s="8511"/>
      <c r="P199" s="8511"/>
      <c r="Q199" s="8511"/>
      <c r="R199" s="6673" t="s">
        <v>2460</v>
      </c>
      <c r="S199" s="6382"/>
      <c r="T199" s="6673" t="s">
        <v>2456</v>
      </c>
      <c r="U199" s="6382"/>
      <c r="V199" s="9922" t="s">
        <v>2756</v>
      </c>
      <c r="W199" s="9922"/>
      <c r="X199" s="9922"/>
      <c r="Y199" s="9922"/>
      <c r="Z199" s="9922"/>
      <c r="AA199" s="9922"/>
      <c r="AB199" s="8508" t="s">
        <v>2757</v>
      </c>
      <c r="AC199" s="8508"/>
      <c r="AD199" s="8508"/>
      <c r="AE199" s="8508"/>
      <c r="AF199" s="8508"/>
      <c r="AG199" s="8508"/>
      <c r="AH199" s="8508"/>
      <c r="AI199" s="8508"/>
      <c r="AJ199" s="8708"/>
      <c r="AK199" s="8508"/>
      <c r="AL199" s="5133"/>
    </row>
    <row r="200" spans="1:38" ht="12.75" customHeight="1">
      <c r="A200" s="5132"/>
      <c r="B200" s="5132"/>
      <c r="C200" s="5132"/>
      <c r="D200" s="5132"/>
      <c r="E200" s="5133"/>
      <c r="F200" s="8724"/>
      <c r="G200" s="8511"/>
      <c r="H200" s="8519">
        <f>1+H199</f>
        <v>2</v>
      </c>
      <c r="I200" s="7405" t="str">
        <f>+X21</f>
        <v>General and Administrative</v>
      </c>
      <c r="J200" s="7405"/>
      <c r="K200" s="7405"/>
      <c r="L200" s="7405"/>
      <c r="M200" s="7405"/>
      <c r="N200" s="7405"/>
      <c r="O200" s="7405"/>
      <c r="P200" s="7405"/>
      <c r="Q200" s="7405"/>
      <c r="R200" s="7405"/>
      <c r="S200" s="7405"/>
      <c r="T200" s="6673"/>
      <c r="U200" s="6382"/>
      <c r="V200" s="6382"/>
      <c r="W200" s="6382"/>
      <c r="X200" s="6382"/>
      <c r="Y200" s="6382"/>
      <c r="Z200" s="8511"/>
      <c r="AA200" s="8511"/>
      <c r="AB200" s="8508"/>
      <c r="AC200" s="8508"/>
      <c r="AD200" s="8508"/>
      <c r="AE200" s="8508"/>
      <c r="AF200" s="8508"/>
      <c r="AG200" s="8508"/>
      <c r="AH200" s="8508"/>
      <c r="AI200" s="8508"/>
      <c r="AJ200" s="8708"/>
      <c r="AK200" s="8508"/>
      <c r="AL200" s="5133"/>
    </row>
    <row r="201" spans="1:38" ht="12.75" customHeight="1">
      <c r="A201" s="5132"/>
      <c r="B201" s="5132"/>
      <c r="C201" s="5132"/>
      <c r="D201" s="5132"/>
      <c r="E201" s="5133"/>
      <c r="F201" s="8724"/>
      <c r="G201" s="8511"/>
      <c r="H201" s="8511"/>
      <c r="I201" s="6599" t="s">
        <v>1984</v>
      </c>
      <c r="J201" s="7405" t="str">
        <f>+Y23</f>
        <v>Property Taxes</v>
      </c>
      <c r="K201" s="7405"/>
      <c r="L201" s="7405"/>
      <c r="M201" s="7405"/>
      <c r="N201" s="7405"/>
      <c r="O201" s="7405"/>
      <c r="P201" s="7405"/>
      <c r="Q201" s="7405"/>
      <c r="R201" s="6673" t="s">
        <v>2460</v>
      </c>
      <c r="S201" s="7405"/>
      <c r="T201" s="6673" t="s">
        <v>2456</v>
      </c>
      <c r="U201" s="6382"/>
      <c r="V201" s="6382" t="s">
        <v>2337</v>
      </c>
      <c r="W201" s="6382"/>
      <c r="X201" s="6382"/>
      <c r="Y201" s="6382"/>
      <c r="Z201" s="8511"/>
      <c r="AA201" s="8511"/>
      <c r="AB201" s="8508" t="s">
        <v>2757</v>
      </c>
      <c r="AC201" s="8508"/>
      <c r="AD201" s="8508"/>
      <c r="AE201" s="8508"/>
      <c r="AF201" s="8508"/>
      <c r="AG201" s="8508"/>
      <c r="AH201" s="8508"/>
      <c r="AI201" s="8508"/>
      <c r="AJ201" s="8708"/>
      <c r="AK201" s="8508"/>
      <c r="AL201" s="5133"/>
    </row>
    <row r="202" spans="1:38" ht="12.75" customHeight="1">
      <c r="A202" s="5132"/>
      <c r="B202" s="5132"/>
      <c r="C202" s="5132"/>
      <c r="D202" s="5132"/>
      <c r="E202" s="5133"/>
      <c r="F202" s="8724"/>
      <c r="G202" s="8511"/>
      <c r="H202" s="8511"/>
      <c r="I202" s="6599" t="s">
        <v>1984</v>
      </c>
      <c r="J202" s="7405" t="str">
        <f>+Y24</f>
        <v>Insurance</v>
      </c>
      <c r="K202" s="7405"/>
      <c r="L202" s="7405"/>
      <c r="M202" s="7405"/>
      <c r="N202" s="7405"/>
      <c r="O202" s="7405"/>
      <c r="P202" s="7405"/>
      <c r="Q202" s="7405"/>
      <c r="R202" s="6673" t="s">
        <v>2460</v>
      </c>
      <c r="S202" s="7405"/>
      <c r="T202" s="6673" t="s">
        <v>2456</v>
      </c>
      <c r="U202" s="6382"/>
      <c r="V202" s="6382" t="s">
        <v>2337</v>
      </c>
      <c r="W202" s="6382"/>
      <c r="X202" s="6382"/>
      <c r="Y202" s="6382"/>
      <c r="Z202" s="8511"/>
      <c r="AA202" s="8511"/>
      <c r="AB202" s="8508" t="s">
        <v>2757</v>
      </c>
      <c r="AC202" s="8508"/>
      <c r="AD202" s="8508"/>
      <c r="AE202" s="8508"/>
      <c r="AF202" s="8508"/>
      <c r="AG202" s="8542"/>
      <c r="AH202" s="8508"/>
      <c r="AI202" s="8508"/>
      <c r="AJ202" s="8708"/>
      <c r="AK202" s="8508"/>
      <c r="AL202" s="5133"/>
    </row>
    <row r="203" spans="1:38" ht="12.75" customHeight="1">
      <c r="A203" s="5132"/>
      <c r="B203" s="5132"/>
      <c r="C203" s="5132"/>
      <c r="D203" s="5132"/>
      <c r="E203" s="5133"/>
      <c r="F203" s="8724"/>
      <c r="G203" s="8511"/>
      <c r="H203" s="8511"/>
      <c r="I203" s="6599" t="s">
        <v>1984</v>
      </c>
      <c r="J203" s="7405" t="str">
        <f>+Y25</f>
        <v>Administrative Charges</v>
      </c>
      <c r="K203" s="7405"/>
      <c r="L203" s="7405"/>
      <c r="M203" s="7405"/>
      <c r="N203" s="7405"/>
      <c r="O203" s="7405"/>
      <c r="P203" s="7405"/>
      <c r="Q203" s="7405"/>
      <c r="R203" s="6673" t="s">
        <v>2460</v>
      </c>
      <c r="S203" s="7405"/>
      <c r="T203" s="6673" t="s">
        <v>2456</v>
      </c>
      <c r="U203" s="8511"/>
      <c r="V203" s="6382" t="s">
        <v>2336</v>
      </c>
      <c r="W203" s="6382"/>
      <c r="X203" s="6382"/>
      <c r="Y203" s="6382"/>
      <c r="Z203" s="8511"/>
      <c r="AA203" s="8511"/>
      <c r="AB203" s="8508" t="s">
        <v>2757</v>
      </c>
      <c r="AC203" s="8508"/>
      <c r="AD203" s="8508"/>
      <c r="AE203" s="8508"/>
      <c r="AF203" s="8508"/>
      <c r="AG203" s="8508"/>
      <c r="AH203" s="8508"/>
      <c r="AI203" s="8508"/>
      <c r="AJ203" s="8708"/>
      <c r="AK203" s="8508"/>
      <c r="AL203" s="5133"/>
    </row>
    <row r="204" spans="1:38" ht="12.75" customHeight="1">
      <c r="A204" s="5132"/>
      <c r="B204" s="5132"/>
      <c r="C204" s="5132"/>
      <c r="D204" s="5132"/>
      <c r="E204" s="5133"/>
      <c r="F204" s="8724"/>
      <c r="G204" s="8511"/>
      <c r="H204" s="8537">
        <f>+W27</f>
        <v>3</v>
      </c>
      <c r="I204" s="7405" t="str">
        <f>+X27</f>
        <v>Capital Recovery</v>
      </c>
      <c r="J204" s="7405"/>
      <c r="K204" s="7405"/>
      <c r="L204" s="7405"/>
      <c r="M204" s="7405"/>
      <c r="N204" s="7405"/>
      <c r="O204" s="7405"/>
      <c r="P204" s="7405"/>
      <c r="Q204" s="7405"/>
      <c r="R204" s="6673" t="s">
        <v>2460</v>
      </c>
      <c r="S204" s="7405"/>
      <c r="T204" s="6673" t="s">
        <v>2456</v>
      </c>
      <c r="U204" s="8511"/>
      <c r="V204" s="6382" t="s">
        <v>2338</v>
      </c>
      <c r="W204" s="6382"/>
      <c r="X204" s="6382"/>
      <c r="Y204" s="6382"/>
      <c r="Z204" s="8511"/>
      <c r="AA204" s="8511"/>
      <c r="AB204" s="8508" t="s">
        <v>2758</v>
      </c>
      <c r="AC204" s="8508"/>
      <c r="AD204" s="8508"/>
      <c r="AE204" s="8508"/>
      <c r="AF204" s="8508"/>
      <c r="AG204" s="8508"/>
      <c r="AH204" s="8508"/>
      <c r="AI204" s="8508"/>
      <c r="AJ204" s="8708"/>
      <c r="AK204" s="8508"/>
      <c r="AL204" s="5133"/>
    </row>
    <row r="205" spans="1:38">
      <c r="A205" s="5132"/>
      <c r="B205" s="5132"/>
      <c r="C205" s="5132"/>
      <c r="D205" s="5132"/>
      <c r="E205" s="5133"/>
      <c r="F205" s="8724"/>
      <c r="G205" s="6382" t="s">
        <v>2010</v>
      </c>
      <c r="H205" s="8505" t="s">
        <v>2762</v>
      </c>
      <c r="I205" s="8505"/>
      <c r="J205" s="6382"/>
      <c r="K205" s="8511"/>
      <c r="L205" s="8511"/>
      <c r="M205" s="8511"/>
      <c r="N205" s="7405"/>
      <c r="O205" s="7405"/>
      <c r="P205" s="7405"/>
      <c r="Q205" s="7405"/>
      <c r="R205" s="6673" t="s">
        <v>2460</v>
      </c>
      <c r="S205" s="7405"/>
      <c r="T205" s="6673" t="s">
        <v>2456</v>
      </c>
      <c r="U205" s="8479"/>
      <c r="V205" s="8479" t="s">
        <v>979</v>
      </c>
      <c r="W205" s="8511"/>
      <c r="X205" s="8511"/>
      <c r="Y205" s="8511"/>
      <c r="Z205" s="8511"/>
      <c r="AA205" s="8511"/>
      <c r="AB205" s="8508" t="s">
        <v>2763</v>
      </c>
      <c r="AC205" s="8508"/>
      <c r="AD205" s="8508"/>
      <c r="AE205" s="8508"/>
      <c r="AF205" s="8508"/>
      <c r="AG205" s="8508"/>
      <c r="AH205" s="8508"/>
      <c r="AI205" s="8508"/>
      <c r="AJ205" s="8708"/>
      <c r="AK205" s="8508"/>
      <c r="AL205" s="5133"/>
    </row>
    <row r="206" spans="1:38">
      <c r="A206" s="5132"/>
      <c r="B206" s="5132"/>
      <c r="C206" s="5132"/>
      <c r="D206" s="5132"/>
      <c r="E206" s="5133"/>
      <c r="F206" s="8724"/>
      <c r="G206" s="8511"/>
      <c r="H206" s="8520">
        <v>1</v>
      </c>
      <c r="I206" s="9923" t="str">
        <f>+AF19</f>
        <v>Materials</v>
      </c>
      <c r="J206" s="9923"/>
      <c r="K206" s="9923"/>
      <c r="L206" s="9923"/>
      <c r="M206" s="9923"/>
      <c r="N206" s="7405"/>
      <c r="O206" s="7405"/>
      <c r="P206" s="7405"/>
      <c r="Q206" s="7405"/>
      <c r="R206" s="6673" t="s">
        <v>2460</v>
      </c>
      <c r="S206" s="7405"/>
      <c r="T206" s="6673" t="s">
        <v>2456</v>
      </c>
      <c r="U206" s="8479"/>
      <c r="V206" s="8479" t="s">
        <v>979</v>
      </c>
      <c r="W206" s="8511"/>
      <c r="X206" s="8511"/>
      <c r="Y206" s="8511"/>
      <c r="Z206" s="8511"/>
      <c r="AA206" s="8511"/>
      <c r="AB206" s="8508" t="s">
        <v>2764</v>
      </c>
      <c r="AC206" s="8508"/>
      <c r="AD206" s="8508"/>
      <c r="AE206" s="8508"/>
      <c r="AF206" s="8508"/>
      <c r="AG206" s="8508"/>
      <c r="AH206" s="8508"/>
      <c r="AI206" s="8508"/>
      <c r="AJ206" s="8708"/>
      <c r="AK206" s="8508"/>
      <c r="AL206" s="5133"/>
    </row>
    <row r="207" spans="1:38">
      <c r="A207" s="5132"/>
      <c r="B207" s="5132"/>
      <c r="C207" s="5132"/>
      <c r="D207" s="5132"/>
      <c r="E207" s="5133"/>
      <c r="F207" s="8724"/>
      <c r="G207" s="8511"/>
      <c r="H207" s="8519">
        <f>1+H206</f>
        <v>2</v>
      </c>
      <c r="I207" s="7405" t="str">
        <f>+AF21</f>
        <v>Energy</v>
      </c>
      <c r="J207" s="7405"/>
      <c r="K207" s="7405"/>
      <c r="L207" s="7405"/>
      <c r="M207" s="7405"/>
      <c r="N207" s="7405"/>
      <c r="O207" s="7405"/>
      <c r="P207" s="7405"/>
      <c r="Q207" s="7405"/>
      <c r="R207" s="7405"/>
      <c r="S207" s="7405"/>
      <c r="T207" s="8511"/>
      <c r="U207" s="8511"/>
      <c r="V207" s="8511"/>
      <c r="W207" s="8511"/>
      <c r="X207" s="8511"/>
      <c r="Y207" s="8511"/>
      <c r="Z207" s="8511"/>
      <c r="AA207" s="8511"/>
      <c r="AB207" s="8508"/>
      <c r="AC207" s="8508"/>
      <c r="AD207" s="8508"/>
      <c r="AE207" s="8508"/>
      <c r="AF207" s="8508"/>
      <c r="AG207" s="8508"/>
      <c r="AH207" s="8508"/>
      <c r="AI207" s="8508"/>
      <c r="AJ207" s="8708"/>
      <c r="AK207" s="8508"/>
      <c r="AL207" s="5133"/>
    </row>
    <row r="208" spans="1:38">
      <c r="A208" s="5132"/>
      <c r="B208" s="5132"/>
      <c r="C208" s="5132"/>
      <c r="D208" s="5132"/>
      <c r="E208" s="5133"/>
      <c r="F208" s="8726"/>
      <c r="G208" s="8727"/>
      <c r="H208" s="8710"/>
      <c r="I208" s="6742"/>
      <c r="J208" s="6742"/>
      <c r="K208" s="6742"/>
      <c r="L208" s="6742"/>
      <c r="M208" s="6742"/>
      <c r="N208" s="6742"/>
      <c r="O208" s="6742"/>
      <c r="P208" s="6742"/>
      <c r="Q208" s="6742"/>
      <c r="R208" s="6742"/>
      <c r="S208" s="6742"/>
      <c r="T208" s="8710"/>
      <c r="U208" s="8710"/>
      <c r="V208" s="8710"/>
      <c r="W208" s="8710"/>
      <c r="X208" s="8710"/>
      <c r="Y208" s="8710"/>
      <c r="Z208" s="8710"/>
      <c r="AA208" s="8710"/>
      <c r="AB208" s="8712"/>
      <c r="AC208" s="8712"/>
      <c r="AD208" s="8712"/>
      <c r="AE208" s="8712"/>
      <c r="AF208" s="8712"/>
      <c r="AG208" s="8712"/>
      <c r="AH208" s="8712"/>
      <c r="AI208" s="8712"/>
      <c r="AJ208" s="8713"/>
      <c r="AK208" s="8508"/>
      <c r="AL208" s="5133"/>
    </row>
    <row r="209" spans="1:38">
      <c r="A209" s="5132"/>
      <c r="B209" s="5132"/>
      <c r="C209" s="5132"/>
      <c r="D209" s="5132"/>
      <c r="E209" s="5133"/>
      <c r="F209" s="8483"/>
      <c r="G209" s="8521"/>
      <c r="H209" s="8500"/>
      <c r="I209" s="5133"/>
      <c r="J209" s="5133"/>
      <c r="K209" s="5133"/>
      <c r="L209" s="5133"/>
      <c r="M209" s="5133"/>
      <c r="N209" s="5133"/>
      <c r="O209" s="5133"/>
      <c r="P209" s="5133"/>
      <c r="Q209" s="5133"/>
      <c r="R209" s="5133"/>
      <c r="S209" s="5133"/>
      <c r="T209" s="8500"/>
      <c r="U209" s="8500"/>
      <c r="V209" s="8500"/>
      <c r="W209" s="8500"/>
      <c r="X209" s="8500"/>
      <c r="Y209" s="8500"/>
      <c r="Z209" s="8500"/>
      <c r="AA209" s="8500"/>
      <c r="AB209" s="8482"/>
      <c r="AC209" s="8482"/>
      <c r="AD209" s="8482"/>
      <c r="AE209" s="8482"/>
      <c r="AF209" s="8482"/>
      <c r="AG209" s="8482"/>
      <c r="AH209" s="8482"/>
      <c r="AI209" s="8482"/>
      <c r="AJ209" s="8482"/>
      <c r="AK209" s="8482"/>
      <c r="AL209" s="5133"/>
    </row>
    <row r="210" spans="1:38" ht="219.95" customHeight="1">
      <c r="A210" s="5132"/>
      <c r="B210" s="5132"/>
      <c r="C210" s="5132"/>
      <c r="D210" s="5132"/>
      <c r="E210" s="5132"/>
      <c r="F210" s="6121"/>
      <c r="G210" s="6121"/>
      <c r="H210" s="8539"/>
      <c r="I210" s="8539"/>
      <c r="J210" s="8539"/>
      <c r="K210" s="8539"/>
      <c r="L210" s="8539"/>
      <c r="M210" s="8539"/>
      <c r="N210" s="8539"/>
      <c r="O210" s="8539"/>
      <c r="P210" s="8539"/>
      <c r="Q210" s="8539"/>
      <c r="R210" s="8539"/>
      <c r="S210" s="8539"/>
      <c r="T210" s="8539"/>
      <c r="U210" s="8539"/>
      <c r="V210" s="8539"/>
      <c r="W210" s="8539"/>
      <c r="X210" s="8539"/>
      <c r="Y210" s="8539"/>
      <c r="Z210" s="8539"/>
      <c r="AA210" s="8539"/>
      <c r="AB210" s="8539"/>
      <c r="AC210" s="8539"/>
      <c r="AD210" s="8539"/>
      <c r="AE210" s="8539"/>
      <c r="AF210" s="8539"/>
      <c r="AG210" s="8539"/>
      <c r="AH210" s="6121"/>
      <c r="AI210" s="6121"/>
      <c r="AJ210" s="6121"/>
      <c r="AK210" s="6121"/>
      <c r="AL210" s="5132"/>
    </row>
    <row r="211" spans="1:38" ht="219.95" customHeight="1">
      <c r="A211" s="5132"/>
      <c r="B211" s="5132"/>
      <c r="C211" s="5132"/>
      <c r="D211" s="5132"/>
      <c r="E211" s="5132"/>
      <c r="F211" s="6121"/>
      <c r="G211" s="6121"/>
      <c r="H211" s="6121"/>
      <c r="I211" s="6121"/>
      <c r="J211" s="6121"/>
      <c r="K211" s="6121"/>
      <c r="L211" s="6121"/>
      <c r="M211" s="6121"/>
      <c r="N211" s="6121"/>
      <c r="O211" s="6121"/>
      <c r="P211" s="6121"/>
      <c r="Q211" s="6121"/>
      <c r="R211" s="6121"/>
      <c r="S211" s="6121"/>
      <c r="T211" s="6121"/>
      <c r="U211" s="6121"/>
      <c r="V211" s="6121"/>
      <c r="W211" s="6121"/>
      <c r="X211" s="6121"/>
      <c r="Y211" s="6121"/>
      <c r="Z211" s="6121"/>
      <c r="AA211" s="6121"/>
      <c r="AB211" s="6121"/>
      <c r="AC211" s="6121"/>
      <c r="AD211" s="6121"/>
      <c r="AE211" s="6121"/>
      <c r="AF211" s="6121"/>
      <c r="AG211" s="6121"/>
      <c r="AH211" s="6121"/>
      <c r="AI211" s="6121"/>
      <c r="AJ211" s="6121"/>
      <c r="AK211" s="6121"/>
      <c r="AL211" s="5132"/>
    </row>
    <row r="212" spans="1:38" ht="219.95" customHeight="1">
      <c r="A212" s="5132"/>
      <c r="B212" s="5132"/>
      <c r="C212" s="5132"/>
      <c r="D212" s="5132"/>
      <c r="E212" s="5132"/>
      <c r="F212" s="6121"/>
      <c r="G212" s="6121"/>
      <c r="H212" s="6121"/>
      <c r="I212" s="6121"/>
      <c r="J212" s="6121"/>
      <c r="K212" s="6121"/>
      <c r="L212" s="6121"/>
      <c r="M212" s="6121"/>
      <c r="N212" s="6121"/>
      <c r="O212" s="6121"/>
      <c r="P212" s="6121"/>
      <c r="Q212" s="6121"/>
      <c r="R212" s="6121"/>
      <c r="S212" s="6121"/>
      <c r="T212" s="6121"/>
      <c r="U212" s="6121"/>
      <c r="V212" s="6121"/>
      <c r="W212" s="6121"/>
      <c r="X212" s="6121"/>
      <c r="Y212" s="6121"/>
      <c r="Z212" s="6121"/>
      <c r="AA212" s="6121"/>
      <c r="AB212" s="6121"/>
      <c r="AC212" s="6121"/>
      <c r="AD212" s="6121"/>
      <c r="AE212" s="6121"/>
      <c r="AF212" s="6121"/>
      <c r="AG212" s="6121"/>
      <c r="AH212" s="6121"/>
      <c r="AI212" s="6121"/>
      <c r="AJ212" s="6121"/>
      <c r="AK212" s="6121"/>
      <c r="AL212" s="5132"/>
    </row>
    <row r="213" spans="1:38" ht="219.95" customHeight="1">
      <c r="A213" s="5132"/>
      <c r="B213" s="5132"/>
      <c r="C213" s="5132"/>
      <c r="D213" s="5132"/>
      <c r="E213" s="5132"/>
      <c r="F213" s="6121"/>
      <c r="G213" s="6121"/>
      <c r="H213" s="6121"/>
      <c r="I213" s="6121"/>
      <c r="J213" s="6121"/>
      <c r="K213" s="6121"/>
      <c r="L213" s="6121"/>
      <c r="M213" s="6121"/>
      <c r="N213" s="6121"/>
      <c r="O213" s="6121"/>
      <c r="P213" s="6121"/>
      <c r="Q213" s="6121"/>
      <c r="R213" s="6121"/>
      <c r="S213" s="6121"/>
      <c r="T213" s="6121"/>
      <c r="U213" s="6121"/>
      <c r="V213" s="6121"/>
      <c r="W213" s="6121"/>
      <c r="X213" s="6121"/>
      <c r="Y213" s="6121"/>
      <c r="Z213" s="6121"/>
      <c r="AA213" s="6121"/>
      <c r="AB213" s="6121"/>
      <c r="AC213" s="6121"/>
      <c r="AD213" s="6121"/>
      <c r="AE213" s="6121"/>
      <c r="AF213" s="6121"/>
      <c r="AG213" s="6121"/>
      <c r="AH213" s="6121"/>
      <c r="AI213" s="6121"/>
      <c r="AJ213" s="6121"/>
      <c r="AK213" s="6121"/>
      <c r="AL213" s="5132"/>
    </row>
    <row r="214" spans="1:38" ht="219.95" customHeight="1">
      <c r="A214" s="5132"/>
      <c r="B214" s="5132"/>
      <c r="C214" s="5132"/>
      <c r="D214" s="5132"/>
      <c r="E214" s="5132"/>
      <c r="F214" s="6121"/>
      <c r="G214" s="6121"/>
      <c r="H214" s="6121"/>
      <c r="I214" s="6121"/>
      <c r="J214" s="6121"/>
      <c r="K214" s="6121"/>
      <c r="L214" s="6121"/>
      <c r="M214" s="6121"/>
      <c r="N214" s="6121"/>
      <c r="O214" s="6121"/>
      <c r="P214" s="6121"/>
      <c r="Q214" s="6121"/>
      <c r="R214" s="6121"/>
      <c r="S214" s="6121"/>
      <c r="T214" s="6121"/>
      <c r="U214" s="6121"/>
      <c r="V214" s="6121"/>
      <c r="W214" s="6121"/>
      <c r="X214" s="6121"/>
      <c r="Y214" s="6121"/>
      <c r="Z214" s="6121"/>
      <c r="AA214" s="6121"/>
      <c r="AB214" s="6121"/>
      <c r="AC214" s="6121"/>
      <c r="AD214" s="6121"/>
      <c r="AE214" s="6121"/>
      <c r="AF214" s="6121"/>
      <c r="AG214" s="6121"/>
      <c r="AH214" s="6121"/>
      <c r="AI214" s="6121"/>
      <c r="AJ214" s="6121"/>
      <c r="AK214" s="6121"/>
      <c r="AL214" s="5132"/>
    </row>
    <row r="215" spans="1:38" ht="219.95" customHeight="1">
      <c r="A215" s="5132"/>
      <c r="B215" s="5132"/>
      <c r="C215" s="5132"/>
      <c r="D215" s="5132"/>
      <c r="E215" s="5132"/>
      <c r="F215" s="6121"/>
      <c r="G215" s="6121"/>
      <c r="H215" s="6121"/>
      <c r="I215" s="6121"/>
      <c r="J215" s="6121"/>
      <c r="K215" s="6121"/>
      <c r="L215" s="6121"/>
      <c r="M215" s="6121"/>
      <c r="N215" s="6121"/>
      <c r="O215" s="6121"/>
      <c r="P215" s="6121"/>
      <c r="Q215" s="6121"/>
      <c r="R215" s="6121"/>
      <c r="S215" s="6121"/>
      <c r="T215" s="6121"/>
      <c r="U215" s="6121"/>
      <c r="V215" s="6121"/>
      <c r="W215" s="6121"/>
      <c r="X215" s="6121"/>
      <c r="Y215" s="6121"/>
      <c r="Z215" s="6121"/>
      <c r="AA215" s="6121"/>
      <c r="AB215" s="6121"/>
      <c r="AC215" s="6121"/>
      <c r="AD215" s="6121"/>
      <c r="AE215" s="6121"/>
      <c r="AF215" s="6121"/>
      <c r="AG215" s="6121"/>
      <c r="AH215" s="6121"/>
      <c r="AI215" s="6121"/>
      <c r="AJ215" s="6121"/>
      <c r="AK215" s="6121"/>
      <c r="AL215" s="5132"/>
    </row>
    <row r="216" spans="1:38" ht="219.95" customHeight="1">
      <c r="A216" s="5132"/>
      <c r="B216" s="5132"/>
      <c r="C216" s="5132"/>
      <c r="D216" s="5132"/>
      <c r="E216" s="5132"/>
      <c r="F216" s="6121"/>
      <c r="G216" s="6121"/>
      <c r="H216" s="6121"/>
      <c r="I216" s="6121"/>
      <c r="J216" s="6121"/>
      <c r="K216" s="6121"/>
      <c r="L216" s="6121"/>
      <c r="M216" s="6121"/>
      <c r="N216" s="6121"/>
      <c r="O216" s="6121"/>
      <c r="P216" s="6121"/>
      <c r="Q216" s="6121"/>
      <c r="R216" s="6121"/>
      <c r="S216" s="6121"/>
      <c r="T216" s="6121"/>
      <c r="U216" s="6121"/>
      <c r="V216" s="6121"/>
      <c r="W216" s="6121"/>
      <c r="X216" s="6121"/>
      <c r="Y216" s="6121"/>
      <c r="Z216" s="6121"/>
      <c r="AA216" s="6121"/>
      <c r="AB216" s="6121"/>
      <c r="AC216" s="6121"/>
      <c r="AD216" s="6121"/>
      <c r="AE216" s="6121"/>
      <c r="AF216" s="6121"/>
      <c r="AG216" s="6121"/>
      <c r="AH216" s="6121"/>
      <c r="AI216" s="6121"/>
      <c r="AJ216" s="6121"/>
      <c r="AK216" s="6121"/>
      <c r="AL216" s="5132"/>
    </row>
    <row r="217" spans="1:38" ht="219.95" customHeight="1">
      <c r="A217" s="5132"/>
      <c r="B217" s="5132"/>
      <c r="C217" s="5132"/>
      <c r="D217" s="5132"/>
      <c r="E217" s="5132"/>
      <c r="F217" s="6121"/>
      <c r="G217" s="6121"/>
      <c r="H217" s="6121"/>
      <c r="I217" s="6121"/>
      <c r="J217" s="6121"/>
      <c r="K217" s="6121"/>
      <c r="L217" s="6121"/>
      <c r="M217" s="6121"/>
      <c r="N217" s="6121"/>
      <c r="O217" s="6121"/>
      <c r="P217" s="6121"/>
      <c r="Q217" s="6121"/>
      <c r="R217" s="6121"/>
      <c r="S217" s="6121"/>
      <c r="T217" s="6121"/>
      <c r="U217" s="6121"/>
      <c r="V217" s="6121"/>
      <c r="W217" s="6121"/>
      <c r="X217" s="6121"/>
      <c r="Y217" s="6121"/>
      <c r="Z217" s="6121"/>
      <c r="AA217" s="6121"/>
      <c r="AB217" s="6121"/>
      <c r="AC217" s="6121"/>
      <c r="AD217" s="6121"/>
      <c r="AE217" s="6121"/>
      <c r="AF217" s="6121"/>
      <c r="AG217" s="6121"/>
      <c r="AH217" s="6121"/>
      <c r="AI217" s="6121"/>
      <c r="AJ217" s="6121"/>
      <c r="AK217" s="6121"/>
      <c r="AL217" s="5132"/>
    </row>
    <row r="218" spans="1:38" ht="219.95" hidden="1" customHeight="1">
      <c r="A218" s="5132"/>
      <c r="B218" s="5132"/>
      <c r="C218" s="5132"/>
      <c r="D218" s="5132"/>
      <c r="E218" s="5132"/>
      <c r="F218" s="6121"/>
      <c r="G218" s="6121"/>
      <c r="H218" s="6121"/>
      <c r="I218" s="6121"/>
      <c r="J218" s="6121"/>
      <c r="K218" s="6121"/>
      <c r="L218" s="6121"/>
      <c r="M218" s="6121"/>
      <c r="N218" s="6121"/>
      <c r="O218" s="6121"/>
      <c r="P218" s="6121"/>
      <c r="Q218" s="6121"/>
      <c r="R218" s="6121"/>
      <c r="S218" s="6121"/>
      <c r="T218" s="6121"/>
      <c r="U218" s="6121"/>
      <c r="V218" s="6121"/>
      <c r="W218" s="6121"/>
      <c r="X218" s="6121"/>
      <c r="Y218" s="6121"/>
      <c r="Z218" s="6121"/>
      <c r="AA218" s="6121"/>
      <c r="AB218" s="6121"/>
      <c r="AC218" s="6121"/>
      <c r="AD218" s="6121"/>
      <c r="AE218" s="6121"/>
      <c r="AF218" s="6121"/>
      <c r="AG218" s="6121"/>
      <c r="AH218" s="6121"/>
      <c r="AI218" s="6121"/>
      <c r="AJ218" s="6121"/>
      <c r="AK218" s="6121"/>
      <c r="AL218" s="5132"/>
    </row>
    <row r="219" spans="1:38" hidden="1">
      <c r="H219" s="5132"/>
      <c r="I219" s="5132"/>
      <c r="J219" s="5132"/>
      <c r="K219" s="5132"/>
      <c r="L219" s="5132"/>
      <c r="M219" s="5132"/>
      <c r="N219" s="5132"/>
      <c r="O219" s="5132"/>
      <c r="P219" s="5132"/>
      <c r="Q219" s="5132"/>
      <c r="R219" s="5132"/>
      <c r="S219" s="5132"/>
      <c r="T219" s="5132"/>
      <c r="U219" s="5132"/>
      <c r="V219" s="5132"/>
      <c r="W219" s="5132"/>
      <c r="X219" s="5132"/>
      <c r="Y219" s="5132"/>
      <c r="Z219" s="5132"/>
      <c r="AA219" s="5132"/>
      <c r="AB219" s="5132"/>
      <c r="AC219" s="5132"/>
      <c r="AD219" s="5132"/>
      <c r="AE219" s="5132"/>
      <c r="AF219" s="5132"/>
      <c r="AG219" s="5132"/>
    </row>
    <row r="220" spans="1:38" hidden="1"/>
    <row r="221" spans="1:38" hidden="1"/>
    <row r="222" spans="1:38" hidden="1"/>
    <row r="223" spans="1:38" hidden="1"/>
    <row r="224" spans="1:3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row r="375"/>
    <row r="376"/>
    <row r="377"/>
    <row r="378"/>
    <row r="379"/>
    <row r="380"/>
    <row r="381"/>
    <row r="382"/>
    <row r="383"/>
    <row r="384"/>
    <row r="385"/>
  </sheetData>
  <sheetProtection password="C665" sheet="1" objects="1" scenarios="1"/>
  <mergeCells count="105">
    <mergeCell ref="V185:AA186"/>
    <mergeCell ref="G41:AJ42"/>
    <mergeCell ref="G43:AI44"/>
    <mergeCell ref="G45:AH47"/>
    <mergeCell ref="G50:AI50"/>
    <mergeCell ref="G51:AI52"/>
    <mergeCell ref="G53:AI54"/>
    <mergeCell ref="AB116:AJ117"/>
    <mergeCell ref="AB195:AJ196"/>
    <mergeCell ref="AB194:AI194"/>
    <mergeCell ref="G55:AI56"/>
    <mergeCell ref="G58:AJ59"/>
    <mergeCell ref="V159:AA159"/>
    <mergeCell ref="V160:AA160"/>
    <mergeCell ref="V150:AA150"/>
    <mergeCell ref="AB143:AJ144"/>
    <mergeCell ref="V173:AA173"/>
    <mergeCell ref="V174:AA174"/>
    <mergeCell ref="V175:AA175"/>
    <mergeCell ref="V176:AA176"/>
    <mergeCell ref="V165:Z165"/>
    <mergeCell ref="V167:Z167"/>
    <mergeCell ref="V105:AA105"/>
    <mergeCell ref="V106:AA106"/>
    <mergeCell ref="V149:AA149"/>
    <mergeCell ref="V147:AA147"/>
    <mergeCell ref="V148:AA148"/>
    <mergeCell ref="V92:AA92"/>
    <mergeCell ref="V93:AA93"/>
    <mergeCell ref="V95:AA95"/>
    <mergeCell ref="V97:AA97"/>
    <mergeCell ref="V98:AA98"/>
    <mergeCell ref="V99:AA99"/>
    <mergeCell ref="V101:AA101"/>
    <mergeCell ref="V103:AA103"/>
    <mergeCell ref="V104:AA104"/>
    <mergeCell ref="AB75:AH75"/>
    <mergeCell ref="G75:N75"/>
    <mergeCell ref="R19:R23"/>
    <mergeCell ref="R24:R26"/>
    <mergeCell ref="L27:L28"/>
    <mergeCell ref="K27:K28"/>
    <mergeCell ref="L21:L26"/>
    <mergeCell ref="K21:K26"/>
    <mergeCell ref="L19:L20"/>
    <mergeCell ref="K19:K20"/>
    <mergeCell ref="H27:J28"/>
    <mergeCell ref="R27:R28"/>
    <mergeCell ref="G31:J31"/>
    <mergeCell ref="X21:Y22"/>
    <mergeCell ref="H19:J20"/>
    <mergeCell ref="H29:J30"/>
    <mergeCell ref="K29:K30"/>
    <mergeCell ref="L29:L30"/>
    <mergeCell ref="T75:Z75"/>
    <mergeCell ref="Y25:Y26"/>
    <mergeCell ref="G48:AH49"/>
    <mergeCell ref="G13:AJ13"/>
    <mergeCell ref="G18:L18"/>
    <mergeCell ref="N18:S18"/>
    <mergeCell ref="W16:AA16"/>
    <mergeCell ref="AE16:AI16"/>
    <mergeCell ref="W31:Y31"/>
    <mergeCell ref="AE31:AG31"/>
    <mergeCell ref="H37:AI38"/>
    <mergeCell ref="H39:AI40"/>
    <mergeCell ref="AI19:AI20"/>
    <mergeCell ref="AH19:AH20"/>
    <mergeCell ref="S24:S26"/>
    <mergeCell ref="S19:S23"/>
    <mergeCell ref="AA27:AA28"/>
    <mergeCell ref="AA19:AA20"/>
    <mergeCell ref="Z27:Z28"/>
    <mergeCell ref="Z21:Z26"/>
    <mergeCell ref="Z19:Z20"/>
    <mergeCell ref="AI21:AI28"/>
    <mergeCell ref="AH21:AH28"/>
    <mergeCell ref="S27:S28"/>
    <mergeCell ref="N31:Q31"/>
    <mergeCell ref="O27:Q28"/>
    <mergeCell ref="O24:Q25"/>
    <mergeCell ref="V86:Z86"/>
    <mergeCell ref="V89:Z89"/>
    <mergeCell ref="V87:Z87"/>
    <mergeCell ref="V88:AA88"/>
    <mergeCell ref="I120:M120"/>
    <mergeCell ref="V120:AA120"/>
    <mergeCell ref="I127:M127"/>
    <mergeCell ref="V94:AA94"/>
    <mergeCell ref="I206:M206"/>
    <mergeCell ref="V197:AA197"/>
    <mergeCell ref="I197:O197"/>
    <mergeCell ref="I199:M199"/>
    <mergeCell ref="V199:AA199"/>
    <mergeCell ref="V190:AA190"/>
    <mergeCell ref="V161:AA161"/>
    <mergeCell ref="V157:AA157"/>
    <mergeCell ref="V162:AA162"/>
    <mergeCell ref="V163:AA163"/>
    <mergeCell ref="G136:N136"/>
    <mergeCell ref="T136:Z136"/>
    <mergeCell ref="V100:AA100"/>
    <mergeCell ref="V153:AA153"/>
    <mergeCell ref="V155:AA155"/>
    <mergeCell ref="V158:AA158"/>
  </mergeCells>
  <hyperlinks>
    <hyperlink ref="Y134" r:id="rId1"/>
    <hyperlink ref="Y73" r:id="rId2"/>
    <hyperlink ref="E6" location="'Table of Contents'!A1" display="x"/>
  </hyperlinks>
  <pageMargins left="0.7" right="0.2" top="0.5" bottom="0.25" header="0.05" footer="0.05"/>
  <pageSetup scale="70" orientation="landscape" r:id="rId3"/>
</worksheet>
</file>

<file path=xl/worksheets/sheet12.xml><?xml version="1.0" encoding="utf-8"?>
<worksheet xmlns="http://schemas.openxmlformats.org/spreadsheetml/2006/main" xmlns:r="http://schemas.openxmlformats.org/officeDocument/2006/relationships">
  <sheetPr>
    <tabColor rgb="FFFFFFCC"/>
  </sheetPr>
  <dimension ref="A1:AQ125"/>
  <sheetViews>
    <sheetView zoomScale="70" zoomScaleNormal="70" workbookViewId="0">
      <pane xSplit="9" ySplit="23" topLeftCell="J70" activePane="bottomRight" state="frozen"/>
      <selection activeCell="G6" sqref="G6"/>
      <selection pane="topRight" activeCell="G6" sqref="G6"/>
      <selection pane="bottomLeft" activeCell="G6" sqref="G6"/>
      <selection pane="bottomRight" activeCell="O71" sqref="O71:O73"/>
    </sheetView>
  </sheetViews>
  <sheetFormatPr defaultColWidth="0" defaultRowHeight="12.75" zeroHeight="1"/>
  <cols>
    <col min="1" max="1" width="9.140625" style="3560" customWidth="1"/>
    <col min="2" max="2" width="10.140625" style="3560" customWidth="1"/>
    <col min="3" max="3" width="8.7109375" style="3560" customWidth="1"/>
    <col min="4" max="4" width="13.28515625" style="3560" customWidth="1"/>
    <col min="5" max="6" width="2.7109375" style="3560" customWidth="1"/>
    <col min="7" max="7" width="13.28515625" style="3560" hidden="1" customWidth="1"/>
    <col min="8" max="8" width="2.7109375" style="3560" customWidth="1"/>
    <col min="9" max="10" width="4.7109375" style="3560" customWidth="1"/>
    <col min="11" max="11" width="25.7109375" style="3560" customWidth="1"/>
    <col min="12" max="12" width="6.85546875" style="3560" customWidth="1"/>
    <col min="13" max="13" width="9.42578125" style="3560" customWidth="1"/>
    <col min="14" max="14" width="15.5703125" style="3560" customWidth="1"/>
    <col min="15" max="15" width="8.7109375" style="3560" customWidth="1"/>
    <col min="16" max="16" width="8.28515625" style="3560" customWidth="1"/>
    <col min="17" max="17" width="11.140625" style="3560" customWidth="1"/>
    <col min="18" max="18" width="13.28515625" style="3560" customWidth="1"/>
    <col min="19" max="19" width="15.7109375" style="3560" customWidth="1"/>
    <col min="20" max="20" width="14.42578125" style="3560" customWidth="1"/>
    <col min="21" max="21" width="11.7109375" style="3560" customWidth="1"/>
    <col min="22" max="22" width="10.85546875" style="3560" customWidth="1"/>
    <col min="23" max="23" width="11" style="3560" customWidth="1"/>
    <col min="24" max="24" width="8.28515625" style="3560" customWidth="1"/>
    <col min="25" max="25" width="33.5703125" style="3560" customWidth="1"/>
    <col min="26" max="26" width="12.42578125" style="3560" customWidth="1"/>
    <col min="27" max="27" width="13.140625" style="3560" customWidth="1"/>
    <col min="28" max="28" width="13.28515625" style="3560" customWidth="1"/>
    <col min="29" max="29" width="12.42578125" style="3560" customWidth="1"/>
    <col min="30" max="30" width="13.140625" style="3560" customWidth="1"/>
    <col min="31" max="31" width="13.28515625" style="3560" customWidth="1"/>
    <col min="32" max="32" width="3.5703125" style="3560" customWidth="1"/>
    <col min="33" max="33" width="14.85546875" style="3560" customWidth="1"/>
    <col min="34" max="34" width="11.5703125" style="3560" customWidth="1"/>
    <col min="35" max="35" width="16.28515625" style="3560" customWidth="1"/>
    <col min="36" max="36" width="37.28515625" style="3560" customWidth="1"/>
    <col min="37" max="37" width="2.7109375" style="3560" customWidth="1"/>
    <col min="38" max="43" width="40.7109375" style="5958" customWidth="1"/>
    <col min="44" max="16384" width="9.140625" style="3560" hidden="1"/>
  </cols>
  <sheetData>
    <row r="1" spans="1:43" s="3561" customFormat="1">
      <c r="A1" s="5959"/>
      <c r="B1" s="5959"/>
      <c r="C1" s="5959"/>
      <c r="D1" s="5959"/>
      <c r="E1" s="5959"/>
      <c r="F1" s="5959"/>
      <c r="G1" s="5959"/>
      <c r="H1" s="5952"/>
      <c r="I1" s="5952"/>
      <c r="J1" s="5952"/>
      <c r="K1" s="5952"/>
      <c r="L1" s="5952"/>
      <c r="M1" s="5952"/>
      <c r="N1" s="5952"/>
      <c r="O1" s="5952"/>
      <c r="P1" s="5952"/>
      <c r="Q1" s="5952"/>
      <c r="R1" s="5952"/>
      <c r="S1" s="5952"/>
      <c r="T1" s="5952"/>
      <c r="U1" s="5952"/>
      <c r="V1" s="5952"/>
      <c r="W1" s="5952"/>
      <c r="X1" s="5952"/>
      <c r="Y1" s="5952"/>
      <c r="Z1" s="5952"/>
      <c r="AA1" s="5952"/>
      <c r="AB1" s="5952"/>
      <c r="AC1" s="5952"/>
      <c r="AD1" s="5952"/>
      <c r="AE1" s="5952"/>
      <c r="AF1" s="5952"/>
      <c r="AG1" s="5952"/>
      <c r="AH1" s="5952"/>
      <c r="AI1" s="5952"/>
      <c r="AJ1" s="5952"/>
      <c r="AK1" s="5952"/>
      <c r="AL1" s="5959"/>
      <c r="AM1" s="5959"/>
      <c r="AN1" s="5959"/>
      <c r="AO1" s="5959"/>
      <c r="AP1" s="5959"/>
      <c r="AQ1" s="5959"/>
    </row>
    <row r="2" spans="1:43" s="3561" customFormat="1">
      <c r="A2" s="5959"/>
      <c r="B2" s="5959"/>
      <c r="C2" s="5959"/>
      <c r="D2" s="5959"/>
      <c r="E2" s="5959"/>
      <c r="F2" s="5959"/>
      <c r="G2" s="5959"/>
      <c r="H2" s="5952"/>
      <c r="I2" s="5952"/>
      <c r="J2" s="7770" t="s">
        <v>2023</v>
      </c>
      <c r="K2" s="7771"/>
      <c r="L2" s="7424"/>
      <c r="M2" s="7424"/>
      <c r="N2" s="7424"/>
      <c r="O2" s="7424"/>
      <c r="P2" s="7424"/>
      <c r="Q2" s="7424"/>
      <c r="R2" s="7424"/>
      <c r="S2" s="7424"/>
      <c r="T2" s="7424"/>
      <c r="U2" s="7424"/>
      <c r="V2" s="7424"/>
      <c r="W2" s="7424"/>
      <c r="X2" s="7428"/>
      <c r="Y2" s="5951"/>
      <c r="Z2" s="5951"/>
      <c r="AA2" s="5951"/>
      <c r="AB2" s="5951"/>
      <c r="AC2" s="5951"/>
      <c r="AD2" s="5951"/>
      <c r="AE2" s="5951"/>
      <c r="AF2" s="5951"/>
      <c r="AG2" s="5951"/>
      <c r="AH2" s="5951"/>
      <c r="AI2" s="5951"/>
      <c r="AJ2" s="5951"/>
      <c r="AK2" s="5952"/>
      <c r="AL2" s="5959"/>
      <c r="AM2" s="5959"/>
      <c r="AN2" s="5959"/>
      <c r="AO2" s="5959"/>
      <c r="AP2" s="5959"/>
      <c r="AQ2" s="5959"/>
    </row>
    <row r="3" spans="1:43" s="3561" customFormat="1">
      <c r="A3" s="5959"/>
      <c r="B3" s="5959"/>
      <c r="C3" s="5959"/>
      <c r="D3" s="5959"/>
      <c r="E3" s="5959"/>
      <c r="F3" s="5959"/>
      <c r="G3" s="5959"/>
      <c r="H3" s="5952"/>
      <c r="I3" s="5952"/>
      <c r="J3" s="7773" t="s">
        <v>2021</v>
      </c>
      <c r="K3" s="7566" t="s">
        <v>2580</v>
      </c>
      <c r="L3" s="7783"/>
      <c r="M3" s="7783"/>
      <c r="N3" s="7783"/>
      <c r="O3" s="7783"/>
      <c r="P3" s="7783"/>
      <c r="Q3" s="7783"/>
      <c r="R3" s="7783"/>
      <c r="S3" s="7783"/>
      <c r="T3" s="7783"/>
      <c r="U3" s="7783"/>
      <c r="V3" s="7783"/>
      <c r="W3" s="7783"/>
      <c r="X3" s="7433"/>
      <c r="Y3" s="5951"/>
      <c r="Z3" s="5951"/>
      <c r="AA3" s="5951"/>
      <c r="AB3" s="5951"/>
      <c r="AC3" s="5951"/>
      <c r="AD3" s="5951"/>
      <c r="AE3" s="5951"/>
      <c r="AF3" s="5951"/>
      <c r="AG3" s="5951"/>
      <c r="AH3" s="5951"/>
      <c r="AI3" s="5951"/>
      <c r="AJ3" s="5951"/>
      <c r="AK3" s="5952"/>
      <c r="AL3" s="5959"/>
      <c r="AM3" s="5959"/>
      <c r="AN3" s="5959"/>
      <c r="AO3" s="5959"/>
      <c r="AP3" s="5959"/>
      <c r="AQ3" s="5959"/>
    </row>
    <row r="4" spans="1:43" s="3561" customFormat="1">
      <c r="A4" s="5959"/>
      <c r="B4" s="5959"/>
      <c r="C4" s="5959"/>
      <c r="D4" s="5959"/>
      <c r="E4" s="5959"/>
      <c r="F4" s="5959"/>
      <c r="G4" s="5959"/>
      <c r="H4" s="5952"/>
      <c r="I4" s="5952"/>
      <c r="J4" s="7773" t="s">
        <v>2021</v>
      </c>
      <c r="K4" s="7783" t="s">
        <v>2581</v>
      </c>
      <c r="L4" s="7783"/>
      <c r="M4" s="7783"/>
      <c r="N4" s="7783"/>
      <c r="O4" s="7783"/>
      <c r="P4" s="7783"/>
      <c r="Q4" s="7783"/>
      <c r="R4" s="7783"/>
      <c r="S4" s="7783"/>
      <c r="T4" s="7783"/>
      <c r="U4" s="7783"/>
      <c r="V4" s="7783"/>
      <c r="W4" s="7783"/>
      <c r="X4" s="7433"/>
      <c r="Y4" s="5951"/>
      <c r="Z4" s="5951"/>
      <c r="AA4" s="5951"/>
      <c r="AB4" s="5951"/>
      <c r="AC4" s="5951"/>
      <c r="AD4" s="5951"/>
      <c r="AE4" s="5951"/>
      <c r="AF4" s="5951"/>
      <c r="AG4" s="5951"/>
      <c r="AH4" s="5951"/>
      <c r="AI4" s="5951"/>
      <c r="AJ4" s="5951"/>
      <c r="AK4" s="5952"/>
      <c r="AL4" s="5959"/>
      <c r="AM4" s="5959"/>
      <c r="AN4" s="5959"/>
      <c r="AO4" s="5959"/>
      <c r="AP4" s="5959"/>
      <c r="AQ4" s="5959"/>
    </row>
    <row r="5" spans="1:43" s="3561" customFormat="1">
      <c r="A5" s="5959"/>
      <c r="B5" s="5959"/>
      <c r="C5" s="5959"/>
      <c r="D5" s="5959"/>
      <c r="E5" s="5959"/>
      <c r="F5" s="5959"/>
      <c r="G5" s="5959"/>
      <c r="H5" s="5952"/>
      <c r="I5" s="5952"/>
      <c r="J5" s="7773" t="s">
        <v>2021</v>
      </c>
      <c r="K5" s="7783" t="s">
        <v>2575</v>
      </c>
      <c r="L5" s="7783"/>
      <c r="M5" s="7783"/>
      <c r="N5" s="7783"/>
      <c r="O5" s="7783"/>
      <c r="P5" s="7783"/>
      <c r="Q5" s="7783"/>
      <c r="R5" s="7783"/>
      <c r="S5" s="7783"/>
      <c r="T5" s="7783"/>
      <c r="U5" s="7783"/>
      <c r="V5" s="7783"/>
      <c r="W5" s="7783"/>
      <c r="X5" s="7433"/>
      <c r="Y5" s="5951"/>
      <c r="Z5" s="5951"/>
      <c r="AA5" s="5951"/>
      <c r="AB5" s="5951"/>
      <c r="AC5" s="5951"/>
      <c r="AD5" s="5951"/>
      <c r="AE5" s="5951"/>
      <c r="AF5" s="5951"/>
      <c r="AG5" s="5951"/>
      <c r="AH5" s="5951"/>
      <c r="AI5" s="5951"/>
      <c r="AJ5" s="5951"/>
      <c r="AK5" s="5952"/>
      <c r="AL5" s="5959"/>
      <c r="AM5" s="5959"/>
      <c r="AN5" s="5959"/>
      <c r="AO5" s="5959"/>
      <c r="AP5" s="5959"/>
      <c r="AQ5" s="5959"/>
    </row>
    <row r="6" spans="1:43" s="3561" customFormat="1">
      <c r="A6" s="5959"/>
      <c r="B6" s="5959"/>
      <c r="C6" s="5959"/>
      <c r="D6" s="5959"/>
      <c r="E6" s="5959"/>
      <c r="F6" s="5959"/>
      <c r="G6" s="5959"/>
      <c r="H6" s="5952"/>
      <c r="I6" s="5952"/>
      <c r="J6" s="7773" t="s">
        <v>2021</v>
      </c>
      <c r="K6" s="7783" t="s">
        <v>2576</v>
      </c>
      <c r="L6" s="7783"/>
      <c r="M6" s="7783"/>
      <c r="N6" s="7783"/>
      <c r="O6" s="7783"/>
      <c r="P6" s="7783"/>
      <c r="Q6" s="7783"/>
      <c r="R6" s="7783"/>
      <c r="S6" s="7783"/>
      <c r="T6" s="7783"/>
      <c r="U6" s="7783"/>
      <c r="V6" s="7783"/>
      <c r="W6" s="7783"/>
      <c r="X6" s="7433"/>
      <c r="Y6" s="5951"/>
      <c r="Z6" s="5951"/>
      <c r="AA6" s="5951"/>
      <c r="AB6" s="5951"/>
      <c r="AC6" s="5951"/>
      <c r="AD6" s="5951"/>
      <c r="AE6" s="5951"/>
      <c r="AF6" s="5951"/>
      <c r="AG6" s="5951"/>
      <c r="AH6" s="5951"/>
      <c r="AI6" s="5951"/>
      <c r="AJ6" s="5951"/>
      <c r="AK6" s="5952"/>
      <c r="AL6" s="5959"/>
      <c r="AM6" s="5959"/>
      <c r="AN6" s="5959"/>
      <c r="AO6" s="5959"/>
      <c r="AP6" s="5959"/>
      <c r="AQ6" s="5959"/>
    </row>
    <row r="7" spans="1:43" s="3561" customFormat="1">
      <c r="A7" s="5959"/>
      <c r="B7" s="5959"/>
      <c r="C7" s="5959"/>
      <c r="D7" s="5959"/>
      <c r="E7" s="5959"/>
      <c r="F7" s="5959"/>
      <c r="G7" s="5959"/>
      <c r="H7" s="5952"/>
      <c r="I7" s="5952"/>
      <c r="J7" s="7773" t="s">
        <v>2021</v>
      </c>
      <c r="K7" s="7783" t="s">
        <v>2577</v>
      </c>
      <c r="L7" s="7783"/>
      <c r="M7" s="7783"/>
      <c r="N7" s="7783"/>
      <c r="O7" s="7783"/>
      <c r="P7" s="7783"/>
      <c r="Q7" s="7783"/>
      <c r="R7" s="7783"/>
      <c r="S7" s="7783"/>
      <c r="T7" s="7783"/>
      <c r="U7" s="7783"/>
      <c r="V7" s="7783"/>
      <c r="W7" s="7783"/>
      <c r="X7" s="7433"/>
      <c r="Y7" s="5951"/>
      <c r="Z7" s="5951"/>
      <c r="AA7" s="5951"/>
      <c r="AB7" s="5951"/>
      <c r="AC7" s="5951"/>
      <c r="AD7" s="5951"/>
      <c r="AE7" s="5951"/>
      <c r="AF7" s="5951"/>
      <c r="AG7" s="5951"/>
      <c r="AH7" s="5951"/>
      <c r="AI7" s="5951"/>
      <c r="AJ7" s="5951"/>
      <c r="AK7" s="5952"/>
      <c r="AL7" s="5959"/>
      <c r="AM7" s="5959"/>
      <c r="AN7" s="5959"/>
      <c r="AO7" s="5959"/>
      <c r="AP7" s="5959"/>
      <c r="AQ7" s="5959"/>
    </row>
    <row r="8" spans="1:43" s="3561" customFormat="1">
      <c r="A8" s="5959"/>
      <c r="B8" s="5959"/>
      <c r="C8" s="5959"/>
      <c r="D8" s="5959"/>
      <c r="E8" s="5959"/>
      <c r="F8" s="5959"/>
      <c r="G8" s="5959"/>
      <c r="H8" s="5952"/>
      <c r="I8" s="5952"/>
      <c r="J8" s="7906" t="s">
        <v>2021</v>
      </c>
      <c r="K8" s="7439" t="s">
        <v>2582</v>
      </c>
      <c r="L8" s="7439"/>
      <c r="M8" s="7439"/>
      <c r="N8" s="7439"/>
      <c r="O8" s="7439"/>
      <c r="P8" s="7439"/>
      <c r="Q8" s="7439"/>
      <c r="R8" s="7439"/>
      <c r="S8" s="7439"/>
      <c r="T8" s="7439"/>
      <c r="U8" s="7439"/>
      <c r="V8" s="7439"/>
      <c r="W8" s="7439"/>
      <c r="X8" s="7443"/>
      <c r="Y8" s="5951"/>
      <c r="Z8" s="5951"/>
      <c r="AA8" s="5951"/>
      <c r="AB8" s="5951"/>
      <c r="AC8" s="5951"/>
      <c r="AD8" s="5951"/>
      <c r="AE8" s="5951"/>
      <c r="AF8" s="5951"/>
      <c r="AG8" s="5951"/>
      <c r="AH8" s="5951"/>
      <c r="AI8" s="5951"/>
      <c r="AJ8" s="5951"/>
      <c r="AK8" s="5952"/>
      <c r="AL8" s="5959"/>
      <c r="AM8" s="5959"/>
      <c r="AN8" s="5959"/>
      <c r="AO8" s="5959"/>
      <c r="AP8" s="5959"/>
      <c r="AQ8" s="5959"/>
    </row>
    <row r="9" spans="1:43" s="3561" customFormat="1">
      <c r="A9" s="5959"/>
      <c r="B9" s="5959"/>
      <c r="C9" s="5959"/>
      <c r="D9" s="5959"/>
      <c r="E9" s="5959"/>
      <c r="F9" s="5959"/>
      <c r="G9" s="5959"/>
      <c r="H9" s="7086" t="s">
        <v>2430</v>
      </c>
      <c r="I9" s="5952"/>
      <c r="J9" s="7783"/>
      <c r="K9" s="7783"/>
      <c r="L9" s="7783"/>
      <c r="M9" s="7783"/>
      <c r="N9" s="7783"/>
      <c r="O9" s="7783"/>
      <c r="P9" s="7783"/>
      <c r="Q9" s="7783"/>
      <c r="R9" s="5952"/>
      <c r="S9" s="5952"/>
      <c r="T9" s="5952"/>
      <c r="U9" s="5952"/>
      <c r="V9" s="5952"/>
      <c r="W9" s="5952"/>
      <c r="X9" s="5952"/>
      <c r="Y9" s="5952"/>
      <c r="Z9" s="5952"/>
      <c r="AA9" s="5952"/>
      <c r="AB9" s="5952"/>
      <c r="AC9" s="5952"/>
      <c r="AD9" s="5952"/>
      <c r="AE9" s="5952"/>
      <c r="AF9" s="5952"/>
      <c r="AG9" s="5952"/>
      <c r="AH9" s="5952"/>
      <c r="AI9" s="5952"/>
      <c r="AJ9" s="5952"/>
      <c r="AK9" s="5952"/>
      <c r="AL9" s="5959"/>
      <c r="AM9" s="5959"/>
      <c r="AN9" s="5959"/>
      <c r="AO9" s="5959"/>
      <c r="AP9" s="5959"/>
      <c r="AQ9" s="5959"/>
    </row>
    <row r="10" spans="1:43" s="8092" customFormat="1" hidden="1">
      <c r="A10" s="6066" t="str">
        <f>+IF(M10="","",M10)</f>
        <v/>
      </c>
      <c r="B10" s="6066" t="str">
        <f>+IF(A10="","",VLOOKUP(MATCH(A10,tid,0),tao,'12(id)'!$J$20,FALSE))</f>
        <v/>
      </c>
      <c r="C10" s="6066" t="str">
        <f>+IF(ISERROR(MATCH(A10,tid,0)),"",VLOOKUP(MATCH(A10,tid,0),tao,'12(id)'!$Q$20,FALSE))</f>
        <v/>
      </c>
      <c r="D10" s="6066" t="str">
        <f>+IF(W10="","",W10)</f>
        <v/>
      </c>
      <c r="E10" s="5959"/>
      <c r="F10" s="5959"/>
      <c r="G10" s="6066" t="str">
        <f>+IF(AND(G9="",A10=""),"",IF(OR(A10=G9,A10=0),G9,IF(VLOOKUP(MATCH(A10,tid,0),tao,'12(id)'!$U$20,FALSE)&gt;1,IF(AND(VLOOKUP(MATCH(A10,tid,0),tao,'12(id)'!$L$20,FALSE)=VLOOKUP(MATCH(G9,tid,0),tao,'12(id)'!$L$20,FALSE),X10&gt;X9),G9,IF(AND(X10="",VLOOKUP(MATCH(A10,tid,0),tao,'12(id)'!$U$20,FALSE)=VLOOKUP(MATCH(G9,tid,0),tao,'12(id)'!$U$20,FALSE)),G9,A10)),A10)))</f>
        <v/>
      </c>
      <c r="H10" s="5952"/>
      <c r="I10" s="5952"/>
      <c r="J10" s="7783"/>
      <c r="K10" s="6066" t="str">
        <f>+IF(M10="","",VLOOKUP(MATCH(M10,tid,0),tao,'12(id)'!$I$20,FALSE))</f>
        <v/>
      </c>
      <c r="L10" s="7783"/>
      <c r="M10" s="7783"/>
      <c r="N10" s="6066" t="str">
        <f>+IF(M10="","",VLOOKUP(MATCH(M10,tid,0),tao,'12(id)'!$L$20,FALSE))</f>
        <v/>
      </c>
      <c r="O10" s="6066" t="str">
        <f>+IF(ISERROR(MATCH(M10,tid,0)),"",VLOOKUP(MATCH(M10,tid,0),tao,'12(id)'!$Q$20,FALSE))</f>
        <v/>
      </c>
      <c r="P10" s="6066" t="str">
        <f>+IF(M10="","",VLOOKUP(MATCH(M10,tid,0),tao,'12(id)'!$U$20,FALSE))</f>
        <v/>
      </c>
      <c r="Q10" s="6066" t="str">
        <f>+IF(ISERROR(MATCH(M10,tid,0)),"",IF(VLOOKUP(MATCH(M10,tid,0),tao,'12(id)'!$CT$20,FALSE)="","",VLOOKUP(MATCH(M10,tid,0),tao,'12(id)'!$CT$20,FALSE)))</f>
        <v/>
      </c>
      <c r="R10" s="6066" t="str">
        <f>+IF(M10="","",IF(VLOOKUP(MATCH(M10,tid,0),tao,'12(id)'!$T$20,FALSE)="","",VLOOKUP(MATCH(M10,tid,0),tao,'12(id)'!$T$20,FALSE)))</f>
        <v/>
      </c>
      <c r="S10" s="6066" t="str">
        <f>+IF(ISERROR(MATCH(M10,tid,0)),"",IF(VLOOKUP(MATCH(M10,tid,0),tao,'12(id)'!$CO$20,FALSE)="","",VLOOKUP(MATCH(M10,tid,0),tao,'12(id)'!$CO$20,FALSE)))</f>
        <v/>
      </c>
      <c r="T10" s="6066" t="str">
        <f>+IF(ISERROR(MATCH(M10,tid,0)),"",IF(VLOOKUP(MATCH(M10,tid,0),tao,'12(id)'!$CP$20,FALSE)="","",VLOOKUP(MATCH(M10,tid,0),tao,'12(id)'!$CP$20,FALSE)))</f>
        <v/>
      </c>
      <c r="U10" s="6066" t="str">
        <f>+IF(ISERROR(MATCH(M10,tid,0)),"",IF(VLOOKUP(MATCH(M10,tid,0),tao,'12(id)'!$HJ$20,FALSE)="","",VLOOKUP(MATCH(M10,tid,0),tao,'12(id)'!$HJ$20,FALSE)))</f>
        <v/>
      </c>
      <c r="V10" s="6066" t="str">
        <f>+IF(ISERROR(MATCH(M10,tid,0)),"",IF(VLOOKUP(MATCH(M10,tid,0),tao,'12(id)'!$HK$20,FALSE)="","",VLOOKUP(MATCH(M10,tid,0),tao,'12(id)'!$HK$20,FALSE)))</f>
        <v/>
      </c>
      <c r="W10" s="6066" t="str">
        <f>+IF(OR(G10="",X10=""),"",G10&amp;IF(X10&lt;10,"-0"&amp;X10,"-"&amp;X10))</f>
        <v/>
      </c>
      <c r="X10" s="5952"/>
      <c r="Y10" s="6067" t="str">
        <f>+IF(W10="","",IF(VLOOKUP(MATCH(W10,op_id,0),op,'7(op)'!$T$18,FALSE)="","",IF(VLOOKUP(MATCH(W10,op_id,0),op,'7(op)'!$Y$18,FALSE)="Rejected",VLOOKUP(MATCH(W10,op_id,0),op,'7(op)'!$T$18,FALSE)&amp;"-Rejected by Stk - REMOVE OPTION No.",VLOOKUP(MATCH(W10,op_id,0),op,'7(op)'!$T$18,FALSE))))</f>
        <v/>
      </c>
      <c r="Z10" s="5952"/>
      <c r="AA10" s="5952"/>
      <c r="AB10" s="5952"/>
      <c r="AC10" s="6066" t="str">
        <f>+IF(X10="","",IF(AG10="",IF(Z10="","",Z10),IF(AH10="lb/MMBtu",AG10,IF($U10="","",IF(AH10="%",(1-AG10/100)*$U10,IF(AH10="ppmvd",IF($V10="","",(AG10/$V10)*$U10),""))))))</f>
        <v/>
      </c>
      <c r="AD10" s="6066" t="str">
        <f>+IF(X10="","",IF(AG10="",IF(AA10="","",AA10),IF(AH10="ppmvd",AG10,IF($V10="","",IF(AH10="%",(1-AG10/100)*$V10,IF(AH10="lb/MMBtu",IF(U10="","",(AG10/$U10)*$V10),""))))))</f>
        <v/>
      </c>
      <c r="AE10" s="6066" t="str">
        <f>+IF(X10="","",IF(AG10="",IF(AB10="","",AB10),IF(AH10="%",AG10/100,IF($U10="","",IF(AND(AH10="lb/MMBtu",AC10&gt;0,$U10&gt;0),($U10-AC10)/$U10,IF(AND(AH10="ppmvd",AG10&gt;0,$V10&gt;0),IF($V10="","",($V10-AG10)/$V10),""))))))</f>
        <v/>
      </c>
      <c r="AF10" s="5952"/>
      <c r="AG10" s="5952"/>
      <c r="AH10" s="5952"/>
      <c r="AI10" s="6066" t="str">
        <f>+IF(AND(AG10&gt;0,ISBLANK(AH10)),"▬► Select unit",IF(AND(AH10&gt;0,ISBLANK(AG10)),"▬► Enter value",""))</f>
        <v/>
      </c>
      <c r="AJ10" s="5952"/>
      <c r="AK10" s="5952"/>
      <c r="AL10" s="5959"/>
      <c r="AM10" s="5959"/>
      <c r="AN10" s="5959"/>
      <c r="AO10" s="5959"/>
      <c r="AP10" s="5959"/>
      <c r="AQ10" s="5959"/>
    </row>
    <row r="11" spans="1:43" s="5959" customFormat="1"/>
    <row r="12" spans="1:43" s="3561" customFormat="1">
      <c r="A12" s="5952"/>
      <c r="B12" s="5952"/>
      <c r="C12" s="5952"/>
      <c r="D12" s="5952"/>
      <c r="E12" s="5952"/>
      <c r="F12" s="5959"/>
      <c r="G12" s="5959"/>
      <c r="H12" s="5952"/>
      <c r="I12" s="5952"/>
      <c r="J12" s="5952"/>
      <c r="K12" s="5952"/>
      <c r="L12" s="5952"/>
      <c r="M12" s="5952"/>
      <c r="N12" s="5952"/>
      <c r="O12" s="5952"/>
      <c r="P12" s="5952"/>
      <c r="Q12" s="5952"/>
      <c r="R12" s="5952"/>
      <c r="S12" s="5952"/>
      <c r="T12" s="5952"/>
      <c r="U12" s="5952"/>
      <c r="V12" s="5952"/>
      <c r="W12" s="5952"/>
      <c r="X12" s="5952"/>
      <c r="Y12" s="5952"/>
      <c r="Z12" s="5952"/>
      <c r="AA12" s="5952"/>
      <c r="AB12" s="5952"/>
      <c r="AC12" s="5952"/>
      <c r="AD12" s="5952"/>
      <c r="AE12" s="5952"/>
      <c r="AF12" s="5952"/>
      <c r="AG12" s="5952"/>
      <c r="AH12" s="5952"/>
      <c r="AI12" s="5952"/>
      <c r="AJ12" s="5952"/>
      <c r="AK12" s="5952"/>
      <c r="AL12" s="5959"/>
      <c r="AM12" s="5959"/>
      <c r="AN12" s="5959"/>
      <c r="AO12" s="5959"/>
      <c r="AP12" s="5959"/>
      <c r="AQ12" s="5959"/>
    </row>
    <row r="13" spans="1:43" s="3561" customFormat="1" ht="24.95" customHeight="1">
      <c r="A13" s="5952"/>
      <c r="B13" s="5952"/>
      <c r="C13" s="5952"/>
      <c r="D13" s="5952"/>
      <c r="E13" s="5952"/>
      <c r="F13" s="5959"/>
      <c r="G13" s="5959"/>
      <c r="H13" s="5952"/>
      <c r="I13" s="5952"/>
      <c r="J13" s="8170" t="s">
        <v>2578</v>
      </c>
      <c r="K13" s="8170"/>
      <c r="L13" s="8170"/>
      <c r="M13" s="8170"/>
      <c r="N13" s="8170"/>
      <c r="O13" s="8170"/>
      <c r="P13" s="8170"/>
      <c r="Q13" s="8170"/>
      <c r="R13" s="8170"/>
      <c r="S13" s="8170"/>
      <c r="T13" s="8170"/>
      <c r="U13" s="5952"/>
      <c r="V13" s="5952"/>
      <c r="W13" s="5952"/>
      <c r="X13" s="10000" t="s">
        <v>1185</v>
      </c>
      <c r="Y13" s="5952"/>
      <c r="Z13" s="10012" t="s">
        <v>2133</v>
      </c>
      <c r="AA13" s="10012"/>
      <c r="AB13" s="10012"/>
      <c r="AC13" s="10012" t="s">
        <v>2134</v>
      </c>
      <c r="AD13" s="10012"/>
      <c r="AE13" s="10012"/>
      <c r="AF13" s="5952"/>
      <c r="AG13" s="10003" t="s">
        <v>2845</v>
      </c>
      <c r="AH13" s="10004"/>
      <c r="AI13" s="10005"/>
      <c r="AJ13" s="5952"/>
      <c r="AK13" s="5952"/>
      <c r="AL13" s="5959"/>
      <c r="AM13" s="5959"/>
      <c r="AN13" s="5959"/>
      <c r="AO13" s="5959"/>
      <c r="AP13" s="5959"/>
      <c r="AQ13" s="5959"/>
    </row>
    <row r="14" spans="1:43" s="3561" customFormat="1" ht="15" customHeight="1">
      <c r="A14" s="5952"/>
      <c r="B14" s="5952"/>
      <c r="C14" s="5952"/>
      <c r="D14" s="5952"/>
      <c r="E14" s="5952"/>
      <c r="F14" s="5959"/>
      <c r="G14" s="5959"/>
      <c r="H14" s="5952"/>
      <c r="I14" s="5952"/>
      <c r="J14" s="8168"/>
      <c r="K14" s="8168"/>
      <c r="L14" s="8168"/>
      <c r="M14" s="8168"/>
      <c r="N14" s="8168"/>
      <c r="O14" s="8168"/>
      <c r="P14" s="8168"/>
      <c r="Q14" s="8168"/>
      <c r="R14" s="8168"/>
      <c r="S14" s="8168"/>
      <c r="T14" s="5952"/>
      <c r="U14" s="5952"/>
      <c r="V14" s="5952"/>
      <c r="W14" s="5952"/>
      <c r="X14" s="10001"/>
      <c r="Y14" s="5952"/>
      <c r="Z14" s="10012"/>
      <c r="AA14" s="10012"/>
      <c r="AB14" s="10012"/>
      <c r="AC14" s="10012"/>
      <c r="AD14" s="10012"/>
      <c r="AE14" s="10012"/>
      <c r="AF14" s="5952"/>
      <c r="AG14" s="10006"/>
      <c r="AH14" s="10007"/>
      <c r="AI14" s="10008"/>
      <c r="AJ14" s="5952"/>
      <c r="AK14" s="5952"/>
      <c r="AL14" s="5959"/>
      <c r="AM14" s="5959"/>
      <c r="AN14" s="5959"/>
      <c r="AO14" s="5959"/>
      <c r="AP14" s="5959"/>
      <c r="AQ14" s="5959"/>
    </row>
    <row r="15" spans="1:43" s="3561" customFormat="1" ht="15.95" customHeight="1">
      <c r="A15" s="5952"/>
      <c r="B15" s="5952"/>
      <c r="C15" s="5952"/>
      <c r="D15" s="5952"/>
      <c r="E15" s="5952"/>
      <c r="F15" s="5959"/>
      <c r="G15" s="5959"/>
      <c r="H15" s="5952"/>
      <c r="J15" s="8168"/>
      <c r="K15" s="8168"/>
      <c r="L15" s="8168"/>
      <c r="M15" s="8168"/>
      <c r="N15" s="8168"/>
      <c r="O15" s="8168"/>
      <c r="P15" s="8168"/>
      <c r="Q15" s="8168"/>
      <c r="R15" s="8168"/>
      <c r="S15" s="8168"/>
      <c r="T15" s="5952"/>
      <c r="U15" s="5952"/>
      <c r="V15" s="5952"/>
      <c r="W15" s="5952"/>
      <c r="X15" s="10002"/>
      <c r="Y15" s="5952"/>
      <c r="Z15" s="10012"/>
      <c r="AA15" s="10012"/>
      <c r="AB15" s="10012"/>
      <c r="AC15" s="10012"/>
      <c r="AD15" s="10012"/>
      <c r="AE15" s="10012"/>
      <c r="AF15" s="5952"/>
      <c r="AG15" s="10009"/>
      <c r="AH15" s="10010"/>
      <c r="AI15" s="10011"/>
      <c r="AJ15" s="5952"/>
      <c r="AK15" s="5952"/>
      <c r="AL15" s="5959"/>
      <c r="AM15" s="5959"/>
      <c r="AN15" s="5959"/>
      <c r="AO15" s="5959"/>
      <c r="AP15" s="5959"/>
      <c r="AQ15" s="5959"/>
    </row>
    <row r="16" spans="1:43" s="3561" customFormat="1" ht="13.5" thickBot="1">
      <c r="A16" s="5952"/>
      <c r="B16" s="5952"/>
      <c r="C16" s="5952"/>
      <c r="D16" s="5952"/>
      <c r="E16" s="5952"/>
      <c r="F16" s="5959"/>
      <c r="G16" s="5959"/>
      <c r="H16" s="5952"/>
      <c r="I16" s="5952"/>
      <c r="J16" s="5952"/>
      <c r="K16" s="5952"/>
      <c r="L16" s="5952"/>
      <c r="M16" s="5952"/>
      <c r="N16" s="5952"/>
      <c r="O16" s="5952"/>
      <c r="P16" s="5952"/>
      <c r="Q16" s="5952"/>
      <c r="R16" s="5952"/>
      <c r="S16" s="5952"/>
      <c r="T16" s="5952"/>
      <c r="U16" s="5952"/>
      <c r="V16" s="8169" t="str">
        <f>+AJ16</f>
        <v>Table 6</v>
      </c>
      <c r="W16" s="5952"/>
      <c r="X16" s="5952"/>
      <c r="Y16" s="5952"/>
      <c r="Z16" s="5952"/>
      <c r="AA16" s="6107"/>
      <c r="AB16" s="5952"/>
      <c r="AC16" s="5952"/>
      <c r="AD16" s="6107"/>
      <c r="AE16" s="5952"/>
      <c r="AF16" s="5952"/>
      <c r="AG16" s="5952"/>
      <c r="AH16" s="5952"/>
      <c r="AI16" s="5952"/>
      <c r="AJ16" s="7777" t="s">
        <v>2579</v>
      </c>
      <c r="AK16" s="5952"/>
      <c r="AL16" s="5959"/>
      <c r="AM16" s="5959"/>
      <c r="AN16" s="5959"/>
      <c r="AO16" s="5959"/>
      <c r="AP16" s="5959"/>
      <c r="AQ16" s="5959"/>
    </row>
    <row r="17" spans="1:43" s="3561" customFormat="1" ht="25.5" customHeight="1">
      <c r="A17" s="5952"/>
      <c r="B17" s="5952"/>
      <c r="C17" s="5952"/>
      <c r="D17" s="5952"/>
      <c r="E17" s="5952"/>
      <c r="F17" s="5959"/>
      <c r="G17" s="5959"/>
      <c r="H17" s="5952"/>
      <c r="I17" s="10061" t="s">
        <v>1573</v>
      </c>
      <c r="J17" s="10062"/>
      <c r="K17" s="10062"/>
      <c r="L17" s="10062"/>
      <c r="M17" s="10062"/>
      <c r="N17" s="10062"/>
      <c r="O17" s="10062"/>
      <c r="P17" s="10062"/>
      <c r="Q17" s="10061" t="s">
        <v>1878</v>
      </c>
      <c r="R17" s="10062"/>
      <c r="S17" s="10062"/>
      <c r="T17" s="10063"/>
      <c r="U17" s="10064" t="s">
        <v>1876</v>
      </c>
      <c r="V17" s="10065"/>
      <c r="W17" s="10062" t="s">
        <v>1756</v>
      </c>
      <c r="X17" s="10062"/>
      <c r="Y17" s="10063"/>
      <c r="Z17" s="10096" t="s">
        <v>1877</v>
      </c>
      <c r="AA17" s="10097"/>
      <c r="AB17" s="10098"/>
      <c r="AC17" s="10127" t="s">
        <v>1757</v>
      </c>
      <c r="AD17" s="10128"/>
      <c r="AE17" s="10129"/>
      <c r="AF17" s="5952"/>
      <c r="AG17" s="10130" t="s">
        <v>1909</v>
      </c>
      <c r="AH17" s="5952"/>
      <c r="AI17" s="5952"/>
      <c r="AJ17" s="10124" t="s">
        <v>1914</v>
      </c>
      <c r="AK17" s="5952"/>
      <c r="AL17" s="5959"/>
      <c r="AM17" s="5959"/>
      <c r="AN17" s="5959"/>
      <c r="AO17" s="5959"/>
      <c r="AP17" s="5959"/>
      <c r="AQ17" s="5959"/>
    </row>
    <row r="18" spans="1:43" s="3561" customFormat="1" ht="25.5" customHeight="1">
      <c r="A18" s="5952"/>
      <c r="B18" s="5952"/>
      <c r="C18" s="5952"/>
      <c r="D18" s="5952"/>
      <c r="E18" s="5952"/>
      <c r="F18" s="5959"/>
      <c r="G18" s="5959"/>
      <c r="H18" s="5952"/>
      <c r="I18" s="10133" t="s">
        <v>382</v>
      </c>
      <c r="J18" s="10103" t="s">
        <v>1563</v>
      </c>
      <c r="K18" s="10103" t="s">
        <v>255</v>
      </c>
      <c r="L18" s="10103" t="s">
        <v>254</v>
      </c>
      <c r="M18" s="10103" t="s">
        <v>1874</v>
      </c>
      <c r="N18" s="10103" t="s">
        <v>949</v>
      </c>
      <c r="O18" s="10103" t="s">
        <v>1608</v>
      </c>
      <c r="P18" s="10109" t="s">
        <v>1609</v>
      </c>
      <c r="Q18" s="10133" t="s">
        <v>301</v>
      </c>
      <c r="R18" s="10103" t="s">
        <v>1564</v>
      </c>
      <c r="S18" s="10103" t="s">
        <v>1717</v>
      </c>
      <c r="T18" s="10136" t="s">
        <v>384</v>
      </c>
      <c r="U18" s="10099" t="s">
        <v>1884</v>
      </c>
      <c r="V18" s="10120" t="s">
        <v>1884</v>
      </c>
      <c r="W18" s="10121" t="s">
        <v>1086</v>
      </c>
      <c r="X18" s="10106" t="s">
        <v>1185</v>
      </c>
      <c r="Y18" s="10106" t="s">
        <v>1875</v>
      </c>
      <c r="Z18" s="9052" t="s">
        <v>1758</v>
      </c>
      <c r="AA18" s="9014"/>
      <c r="AB18" s="3562" t="s">
        <v>1755</v>
      </c>
      <c r="AC18" s="9052" t="s">
        <v>1758</v>
      </c>
      <c r="AD18" s="9014"/>
      <c r="AE18" s="3562" t="s">
        <v>1879</v>
      </c>
      <c r="AF18" s="5952"/>
      <c r="AG18" s="10131"/>
      <c r="AH18" s="5952"/>
      <c r="AI18" s="5952"/>
      <c r="AJ18" s="10125"/>
      <c r="AK18" s="5952"/>
      <c r="AL18" s="5959"/>
      <c r="AM18" s="5959"/>
      <c r="AN18" s="5959"/>
      <c r="AO18" s="5959"/>
      <c r="AP18" s="5959"/>
      <c r="AQ18" s="5959"/>
    </row>
    <row r="19" spans="1:43" s="3561" customFormat="1" ht="12.75" customHeight="1">
      <c r="A19" s="5952"/>
      <c r="B19" s="5952"/>
      <c r="C19" s="5952"/>
      <c r="D19" s="5952"/>
      <c r="E19" s="5952"/>
      <c r="F19" s="5959"/>
      <c r="G19" s="5959"/>
      <c r="H19" s="5952"/>
      <c r="I19" s="10134"/>
      <c r="J19" s="10104"/>
      <c r="K19" s="10104"/>
      <c r="L19" s="10104"/>
      <c r="M19" s="10104"/>
      <c r="N19" s="10104"/>
      <c r="O19" s="10104"/>
      <c r="P19" s="10110"/>
      <c r="Q19" s="10134"/>
      <c r="R19" s="10104"/>
      <c r="S19" s="10104"/>
      <c r="T19" s="10137"/>
      <c r="U19" s="10099"/>
      <c r="V19" s="10120"/>
      <c r="W19" s="10122"/>
      <c r="X19" s="10107"/>
      <c r="Y19" s="10107"/>
      <c r="Z19" s="10021" t="s">
        <v>1081</v>
      </c>
      <c r="AA19" s="10023" t="s">
        <v>1081</v>
      </c>
      <c r="AB19" s="10025"/>
      <c r="AC19" s="10021" t="s">
        <v>1081</v>
      </c>
      <c r="AD19" s="10023" t="s">
        <v>1081</v>
      </c>
      <c r="AE19" s="10025"/>
      <c r="AF19" s="5952"/>
      <c r="AG19" s="10131"/>
      <c r="AH19" s="5952"/>
      <c r="AI19" s="5952"/>
      <c r="AJ19" s="10125"/>
      <c r="AK19" s="5952"/>
      <c r="AL19" s="5959"/>
      <c r="AM19" s="5959"/>
      <c r="AN19" s="5959"/>
      <c r="AO19" s="5959"/>
      <c r="AP19" s="5959"/>
      <c r="AQ19" s="5959"/>
    </row>
    <row r="20" spans="1:43" s="3561" customFormat="1">
      <c r="A20" s="5952"/>
      <c r="B20" s="5952"/>
      <c r="C20" s="5952"/>
      <c r="D20" s="5952"/>
      <c r="E20" s="5952"/>
      <c r="F20" s="5959"/>
      <c r="G20" s="5959"/>
      <c r="H20" s="5952"/>
      <c r="I20" s="10134"/>
      <c r="J20" s="10104"/>
      <c r="K20" s="10104"/>
      <c r="L20" s="10104"/>
      <c r="M20" s="10104"/>
      <c r="N20" s="10104"/>
      <c r="O20" s="10104"/>
      <c r="P20" s="10110"/>
      <c r="Q20" s="10134"/>
      <c r="R20" s="10104"/>
      <c r="S20" s="10104"/>
      <c r="T20" s="10137"/>
      <c r="U20" s="10099"/>
      <c r="V20" s="10120"/>
      <c r="W20" s="10122"/>
      <c r="X20" s="10107"/>
      <c r="Y20" s="10107"/>
      <c r="Z20" s="10022"/>
      <c r="AA20" s="10024"/>
      <c r="AB20" s="10025"/>
      <c r="AC20" s="10022"/>
      <c r="AD20" s="10024"/>
      <c r="AE20" s="10025"/>
      <c r="AF20" s="5952"/>
      <c r="AG20" s="10131"/>
      <c r="AH20" s="5952"/>
      <c r="AI20" s="5952"/>
      <c r="AJ20" s="10125"/>
      <c r="AK20" s="5952"/>
      <c r="AL20" s="5959"/>
      <c r="AM20" s="5959"/>
      <c r="AN20" s="5959"/>
      <c r="AO20" s="5959"/>
      <c r="AP20" s="5959"/>
      <c r="AQ20" s="5959"/>
    </row>
    <row r="21" spans="1:43" s="3561" customFormat="1">
      <c r="A21" s="5952"/>
      <c r="B21" s="5952"/>
      <c r="C21" s="5952"/>
      <c r="D21" s="5952"/>
      <c r="E21" s="5952"/>
      <c r="F21" s="5959"/>
      <c r="G21" s="5959"/>
      <c r="H21" s="5952"/>
      <c r="I21" s="10134"/>
      <c r="J21" s="10104"/>
      <c r="K21" s="10104"/>
      <c r="L21" s="10104"/>
      <c r="M21" s="10104"/>
      <c r="N21" s="10104"/>
      <c r="O21" s="10104"/>
      <c r="P21" s="10110"/>
      <c r="Q21" s="10135"/>
      <c r="R21" s="10104"/>
      <c r="S21" s="10104"/>
      <c r="T21" s="10137"/>
      <c r="U21" s="10099"/>
      <c r="V21" s="10120"/>
      <c r="W21" s="10122"/>
      <c r="X21" s="10107"/>
      <c r="Y21" s="10107"/>
      <c r="Z21" s="10022"/>
      <c r="AA21" s="10024"/>
      <c r="AB21" s="10025"/>
      <c r="AC21" s="10022"/>
      <c r="AD21" s="10024"/>
      <c r="AE21" s="10025"/>
      <c r="AF21" s="5952"/>
      <c r="AG21" s="10132"/>
      <c r="AH21" s="5952"/>
      <c r="AI21" s="5952"/>
      <c r="AJ21" s="10126"/>
      <c r="AK21" s="5952"/>
      <c r="AL21" s="5959"/>
      <c r="AM21" s="5959"/>
      <c r="AN21" s="5959"/>
      <c r="AO21" s="5959"/>
      <c r="AP21" s="5959"/>
      <c r="AQ21" s="5959"/>
    </row>
    <row r="22" spans="1:43" s="3561" customFormat="1" ht="16.5" customHeight="1">
      <c r="A22" s="5952"/>
      <c r="B22" s="5952"/>
      <c r="C22" s="5952"/>
      <c r="D22" s="5952"/>
      <c r="E22" s="5952"/>
      <c r="F22" s="5959"/>
      <c r="G22" s="5959"/>
      <c r="H22" s="5952"/>
      <c r="I22" s="10135"/>
      <c r="J22" s="10105"/>
      <c r="K22" s="10105"/>
      <c r="L22" s="10105"/>
      <c r="M22" s="10105"/>
      <c r="N22" s="10105"/>
      <c r="O22" s="10105"/>
      <c r="P22" s="10111"/>
      <c r="Q22" s="7863" t="s">
        <v>388</v>
      </c>
      <c r="R22" s="10105"/>
      <c r="S22" s="10105"/>
      <c r="T22" s="10138"/>
      <c r="U22" s="7874" t="s">
        <v>481</v>
      </c>
      <c r="V22" s="7873" t="s">
        <v>480</v>
      </c>
      <c r="W22" s="10123"/>
      <c r="X22" s="10108"/>
      <c r="Y22" s="10108"/>
      <c r="Z22" s="7867" t="s">
        <v>481</v>
      </c>
      <c r="AA22" s="7868" t="s">
        <v>480</v>
      </c>
      <c r="AB22" s="3563" t="s">
        <v>417</v>
      </c>
      <c r="AC22" s="7867" t="s">
        <v>481</v>
      </c>
      <c r="AD22" s="7868" t="s">
        <v>480</v>
      </c>
      <c r="AE22" s="3563" t="s">
        <v>417</v>
      </c>
      <c r="AF22" s="5952"/>
      <c r="AG22" s="8093"/>
      <c r="AH22" s="5952"/>
      <c r="AI22" s="5952"/>
      <c r="AJ22" s="3679"/>
      <c r="AK22" s="5952"/>
      <c r="AL22" s="5959"/>
      <c r="AM22" s="5959"/>
      <c r="AN22" s="5959"/>
      <c r="AO22" s="5959"/>
      <c r="AP22" s="5959"/>
      <c r="AQ22" s="5959"/>
    </row>
    <row r="23" spans="1:43" s="3561" customFormat="1" ht="13.5" thickBot="1">
      <c r="A23" s="8091" t="s">
        <v>1968</v>
      </c>
      <c r="C23" s="8091"/>
      <c r="D23" s="8091"/>
      <c r="E23" s="5952"/>
      <c r="F23" s="5959"/>
      <c r="G23" s="5959"/>
      <c r="H23" s="5952"/>
      <c r="I23" s="3564">
        <v>1</v>
      </c>
      <c r="J23" s="3564">
        <f>1+I23</f>
        <v>2</v>
      </c>
      <c r="K23" s="3564">
        <f t="shared" ref="K23:X23" si="0">1+J23</f>
        <v>3</v>
      </c>
      <c r="L23" s="3564">
        <f t="shared" si="0"/>
        <v>4</v>
      </c>
      <c r="M23" s="3564">
        <f t="shared" si="0"/>
        <v>5</v>
      </c>
      <c r="N23" s="3564">
        <f t="shared" si="0"/>
        <v>6</v>
      </c>
      <c r="O23" s="3564">
        <f t="shared" si="0"/>
        <v>7</v>
      </c>
      <c r="P23" s="3564">
        <f t="shared" si="0"/>
        <v>8</v>
      </c>
      <c r="Q23" s="3564">
        <f t="shared" si="0"/>
        <v>9</v>
      </c>
      <c r="R23" s="3564">
        <f t="shared" si="0"/>
        <v>10</v>
      </c>
      <c r="S23" s="3564">
        <f t="shared" si="0"/>
        <v>11</v>
      </c>
      <c r="T23" s="3564">
        <f t="shared" si="0"/>
        <v>12</v>
      </c>
      <c r="U23" s="3564">
        <f t="shared" si="0"/>
        <v>13</v>
      </c>
      <c r="V23" s="3564">
        <f t="shared" si="0"/>
        <v>14</v>
      </c>
      <c r="W23" s="3564">
        <f t="shared" si="0"/>
        <v>15</v>
      </c>
      <c r="X23" s="3564">
        <f t="shared" si="0"/>
        <v>16</v>
      </c>
      <c r="Y23" s="3564">
        <f t="shared" ref="Y23:AG23" si="1">1+X23</f>
        <v>17</v>
      </c>
      <c r="Z23" s="3564">
        <f t="shared" si="1"/>
        <v>18</v>
      </c>
      <c r="AA23" s="3564">
        <f t="shared" si="1"/>
        <v>19</v>
      </c>
      <c r="AB23" s="3564">
        <f t="shared" si="1"/>
        <v>20</v>
      </c>
      <c r="AC23" s="3564">
        <f t="shared" si="1"/>
        <v>21</v>
      </c>
      <c r="AD23" s="3564">
        <f t="shared" si="1"/>
        <v>22</v>
      </c>
      <c r="AE23" s="3564">
        <f t="shared" si="1"/>
        <v>23</v>
      </c>
      <c r="AF23" s="5984">
        <f t="shared" si="1"/>
        <v>24</v>
      </c>
      <c r="AG23" s="5984">
        <f t="shared" si="1"/>
        <v>25</v>
      </c>
      <c r="AH23" s="5952"/>
      <c r="AI23" s="5952"/>
      <c r="AK23" s="5952"/>
      <c r="AL23" s="5959"/>
      <c r="AM23" s="5959"/>
      <c r="AN23" s="5959"/>
      <c r="AO23" s="5959"/>
      <c r="AP23" s="5959"/>
      <c r="AQ23" s="5959"/>
    </row>
    <row r="24" spans="1:43" s="3561" customFormat="1" ht="25.5" customHeight="1" thickBot="1">
      <c r="A24" s="8094" t="str">
        <f>+IF(M24="","",M24)</f>
        <v>8298-01</v>
      </c>
      <c r="B24" s="8095" t="str">
        <f>+IF(A24="","",VLOOKUP(MATCH(A24,tid,0),tao,'12(id)'!$J$20,FALSE))</f>
        <v>CDECCA</v>
      </c>
      <c r="C24" s="8096" t="str">
        <f>+IF(ISERROR(MATCH(A24,tid,0)),"",VLOOKUP(MATCH(A24,tid,0),tao,'12(id)'!$Q$20,FALSE))</f>
        <v>GT </v>
      </c>
      <c r="D24" s="8097" t="str">
        <f>+IF(W24="","",W24)</f>
        <v/>
      </c>
      <c r="E24" s="5952"/>
      <c r="F24" s="5959"/>
      <c r="G24" s="8098" t="str">
        <f>+IF(AND(G23="",A24=""),"",IF(OR(A24=G23,A24=0),G23,IF(VLOOKUP(MATCH(A24,tid,0),tao,'12(id)'!$U$20,FALSE)&gt;1,IF(AND(VLOOKUP(MATCH(A24,tid,0),tao,'12(id)'!$L$20,FALSE)=VLOOKUP(MATCH(G23,tid,0),tao,'12(id)'!$L$20,FALSE),X24&gt;X23),G23,IF(AND(X24="",VLOOKUP(MATCH(A24,tid,0),tao,'12(id)'!$U$20,FALSE)=VLOOKUP(MATCH(G23,tid,0),tao,'12(id)'!$U$20,FALSE)),G23,A24)),A24)))</f>
        <v>8298-01</v>
      </c>
      <c r="H24" s="5952"/>
      <c r="I24" s="4498">
        <v>1</v>
      </c>
      <c r="J24" s="3565">
        <v>1</v>
      </c>
      <c r="K24" s="3566" t="str">
        <f>+IF(M24="","",VLOOKUP(MATCH(M24,tid,0),tao,'12(id)'!$I$20,FALSE))</f>
        <v>Capitol District Energy Center Cogeneration Associates</v>
      </c>
      <c r="L24" s="3565" t="s">
        <v>256</v>
      </c>
      <c r="M24" s="3565" t="s">
        <v>257</v>
      </c>
      <c r="N24" s="3566" t="str">
        <f>+IF(M24="","",VLOOKUP(MATCH(M24,tid,0),tao,'12(id)'!$L$20,FALSE))</f>
        <v>Capitol District Energy Center</v>
      </c>
      <c r="O24" s="3567" t="str">
        <f>+IF(ISERROR(MATCH(M24,tid,0)),"",VLOOKUP(MATCH(M24,tid,0),tao,'12(id)'!$Q$20,FALSE))</f>
        <v>GT </v>
      </c>
      <c r="P24" s="3568">
        <f>+IF(M24="","",VLOOKUP(MATCH(M24,tid,0),tao,'12(id)'!$U$20,FALSE))</f>
        <v>1</v>
      </c>
      <c r="Q24" s="3569" t="str">
        <f>+IF(ISERROR(MATCH(M24,tid,0)),"",IF(VLOOKUP(MATCH(M24,tid,0),tao,'12(id)'!$CT$20,FALSE)="","",VLOOKUP(MATCH(M24,tid,0),tao,'12(id)'!$CT$20,FALSE)))</f>
        <v/>
      </c>
      <c r="R24" s="3570" t="str">
        <f>+IF(M24="","",IF(VLOOKUP(MATCH(M24,tid,0),tao,'12(id)'!$T$20,FALSE)="","",VLOOKUP(MATCH(M24,tid,0),tao,'12(id)'!$T$20,FALSE)))</f>
        <v>Combustion Turbine</v>
      </c>
      <c r="S24" s="3570" t="str">
        <f>+IF(ISERROR(MATCH(M24,tid,0)),"",IF(VLOOKUP(MATCH(M24,tid,0),tao,'12(id)'!$CO$20,FALSE)="","",VLOOKUP(MATCH(M24,tid,0),tao,'12(id)'!$CO$20,FALSE)))</f>
        <v>General Electric</v>
      </c>
      <c r="T24" s="3571" t="str">
        <f>+IF(ISERROR(MATCH(M24,tid,0)),"",IF(VLOOKUP(MATCH(M24,tid,0),tao,'12(id)'!$CP$20,FALSE)="","",VLOOKUP(MATCH(M24,tid,0),tao,'12(id)'!$CP$20,FALSE)))</f>
        <v>PG 6531</v>
      </c>
      <c r="U24" s="3572"/>
      <c r="V24" s="3571"/>
      <c r="W24" s="3573" t="str">
        <f t="shared" ref="W24:W87" si="2">+IF(OR(G24="",X24=""),"",G24&amp;IF(X24&lt;10,"-0"&amp;X24,"-"&amp;X24))</f>
        <v/>
      </c>
      <c r="X24" s="3574"/>
      <c r="Y24" s="3575" t="str">
        <f>+IF(W24="","",IF(VLOOKUP(MATCH(W24,op_id,0),op,'7(op)'!$T$18,FALSE)="","",IF(VLOOKUP(MATCH(W24,op_id,0),op,'7(op)'!$Y$18,FALSE)="Rejected",VLOOKUP(MATCH(W24,op_id,0),op,'7(op)'!$T$18,FALSE)&amp;"-Rejected by Stk - REMOVE OPTION No.",VLOOKUP(MATCH(W24,op_id,0),op,'7(op)'!$T$18,FALSE))))</f>
        <v/>
      </c>
      <c r="Z24" s="3576"/>
      <c r="AA24" s="3577"/>
      <c r="AB24" s="3578"/>
      <c r="AC24" s="3576"/>
      <c r="AD24" s="3577"/>
      <c r="AE24" s="3578"/>
      <c r="AF24" s="5952"/>
      <c r="AG24" s="8099"/>
      <c r="AH24" s="8100"/>
      <c r="AI24" s="8064" t="str">
        <f t="shared" ref="AI24" si="3">+IF(AND(AG24&gt;0,ISBLANK(AH24)),"▬► Select unit",IF(AND(AH24&gt;0,ISBLANK(AG24)),"▬► Enter value",""))</f>
        <v/>
      </c>
      <c r="AJ24" s="3680"/>
      <c r="AK24" s="5952"/>
      <c r="AL24" s="5959"/>
      <c r="AM24" s="5959"/>
      <c r="AN24" s="5959"/>
      <c r="AO24" s="5959"/>
      <c r="AP24" s="5959"/>
      <c r="AQ24" s="5959"/>
    </row>
    <row r="25" spans="1:43" s="3561" customFormat="1" ht="25.5" customHeight="1">
      <c r="A25" s="8101" t="str">
        <f t="shared" ref="A25:A88" si="4">+M25</f>
        <v>8302-01</v>
      </c>
      <c r="B25" s="10142" t="str">
        <f>+IF(A25="","",VLOOKUP(MATCH(A25,tid,0),tao,'12(id)'!$J$20,FALSE))</f>
        <v>CRRA</v>
      </c>
      <c r="C25" s="7786" t="str">
        <f>+O25</f>
        <v>11A</v>
      </c>
      <c r="D25" s="8102" t="str">
        <f t="shared" ref="D25:D88" si="5">+W25</f>
        <v>8302-01-01</v>
      </c>
      <c r="E25" s="5952"/>
      <c r="F25" s="5959"/>
      <c r="G25" s="8103" t="str">
        <f>+IF(AND(G24="",A25=""),"",IF(OR(A25=G24,A25=0),G24,IF(VLOOKUP(MATCH(A25,tid,0),tao,'12(id)'!$U$20,FALSE)&gt;1,IF(AND(VLOOKUP(MATCH(A25,tid,0),tao,'12(id)'!$L$20,FALSE)=VLOOKUP(MATCH(G24,tid,0),tao,'12(id)'!$L$20,FALSE),X25&gt;X24),G24,IF(AND(X25="",VLOOKUP(MATCH(A25,tid,0),tao,'12(id)'!$U$20,FALSE)=VLOOKUP(MATCH(G24,tid,0),tao,'12(id)'!$U$20,FALSE)),G24,A25)),A25)))</f>
        <v>8302-01</v>
      </c>
      <c r="H25" s="5952"/>
      <c r="I25" s="4499">
        <f>1+I24</f>
        <v>2</v>
      </c>
      <c r="J25" s="9063">
        <v>2</v>
      </c>
      <c r="K25" s="9060" t="str">
        <f>+IF(M25="","",VLOOKUP(MATCH(M25,tid,0),tao,'12(id)'!$I$20,FALSE))</f>
        <v>Connecticut Resources Recovery Authority</v>
      </c>
      <c r="L25" s="9063" t="s">
        <v>277</v>
      </c>
      <c r="M25" s="7784" t="s">
        <v>278</v>
      </c>
      <c r="N25" s="9060" t="str">
        <f>+IF(M25="","",VLOOKUP(MATCH(M25,tid,0),tao,'12(id)'!$L$20,FALSE))</f>
        <v>South Meadow Station</v>
      </c>
      <c r="O25" s="3579" t="str">
        <f>+IF(ISERROR(MATCH(M25,tid,0)),"",VLOOKUP(MATCH(M25,tid,0),tao,'12(id)'!$Q$20,FALSE))</f>
        <v>11A</v>
      </c>
      <c r="P25" s="8817">
        <f>+IF(M25="","",VLOOKUP(MATCH(M25,tid,0),tao,'12(id)'!$U$20,FALSE))</f>
        <v>8</v>
      </c>
      <c r="Q25" s="10066">
        <f>+IF(ISERROR(MATCH(M25,tid,0)),"",IF(VLOOKUP(MATCH(M25,tid,0),tao,'12(id)'!$CT$20,FALSE)="","",VLOOKUP(MATCH(M25,tid,0),tao,'12(id)'!$CT$20,FALSE)))</f>
        <v>40</v>
      </c>
      <c r="R25" s="10043" t="str">
        <f>+IF(M25="","",IF(VLOOKUP(MATCH(M25,tid,0),tao,'12(id)'!$T$20,FALSE)="","",VLOOKUP(MATCH(M25,tid,0),tao,'12(id)'!$T$20,FALSE)))</f>
        <v>Combustion Turbine</v>
      </c>
      <c r="S25" s="10043" t="str">
        <f>+IF(ISERROR(MATCH(M25,tid,0)),"",IF(VLOOKUP(MATCH(M25,tid,0),tao,'12(id)'!$CO$20,FALSE)="","",VLOOKUP(MATCH(M25,tid,0),tao,'12(id)'!$CO$20,FALSE)))</f>
        <v>Pratt &amp; Whitney</v>
      </c>
      <c r="T25" s="10045" t="str">
        <f>+IF(ISERROR(MATCH(M25,tid,0)),"",IF(VLOOKUP(MATCH(M25,tid,0),tao,'12(id)'!$CP$20,FALSE)="","",VLOOKUP(MATCH(M25,tid,0),tao,'12(id)'!$CP$20,FALSE)))</f>
        <v>TP4-2(A9) LF</v>
      </c>
      <c r="U25" s="10013">
        <f>+IF(ISERROR(MATCH(M25,tid,0)),"",IF(VLOOKUP(MATCH(M25,tid,0),tao,'12(id)'!$HJ$20,FALSE)="","",VLOOKUP(MATCH(M25,tid,0),tao,'12(id)'!$HJ$20,FALSE)))</f>
        <v>0.73049999999999993</v>
      </c>
      <c r="V25" s="10016">
        <f>+IF(ISERROR(MATCH(M25,tid,0)),"",IF(VLOOKUP(MATCH(M25,tid,0),tao,'12(id)'!$HK$20,FALSE)="","",VLOOKUP(MATCH(M25,tid,0),tao,'12(id)'!$HK$20,FALSE)))</f>
        <v>129.36842099334265</v>
      </c>
      <c r="W25" s="8067" t="str">
        <f t="shared" si="2"/>
        <v>8302-01-01</v>
      </c>
      <c r="X25" s="6073">
        <v>1</v>
      </c>
      <c r="Y25" s="6074" t="str">
        <f>+IF(W25="","",IF(VLOOKUP(MATCH(W25,op_id,0),op,'7(op)'!$T$18,FALSE)="","",IF(VLOOKUP(MATCH(W25,op_id,0),op,'7(op)'!$Y$18,FALSE)="Rejected",VLOOKUP(MATCH(W25,op_id,0),op,'7(op)'!$T$18,FALSE)&amp;"-Rejected by Stk - REMOVE OPTION No.",VLOOKUP(MATCH(W25,op_id,0),op,'7(op)'!$T$18,FALSE))))</f>
        <v>Selective Catalytic Reduction (SCR)</v>
      </c>
      <c r="Z25" s="6075"/>
      <c r="AA25" s="6076"/>
      <c r="AB25" s="6077" t="str">
        <f>+IF(U25="",IF(V25="","",IF(AA25="","",(V25-AA25)/V25)),IF(Z25="","",(U25-Z25)/U25))</f>
        <v/>
      </c>
      <c r="AC25" s="6075">
        <f>+IF(X25="","",IF(AG25="",IF(Z25="","",Z25),IF(AH25="lb/MMBtu",AG25,IF($U25="","",IF(AH25="%",(1-AG25/100)*$U25,IF(AH25="ppmvd",IF($V25="","",(AG25/$V25)*$U25),""))))))</f>
        <v>7.3049999999999976E-2</v>
      </c>
      <c r="AD25" s="6076">
        <f>+IF(X25="","",IF(AG25="",IF(AA25="","",AA25),IF(AH25="ppmvd",AG25,IF($V25="","",IF(AH25="%",(1-AG25/100)*$V25,IF(AH25="lb/MMBtu",IF(U25="","",(AG25/$U25)*$V25),""))))))</f>
        <v>12.936842099334262</v>
      </c>
      <c r="AE25" s="6077">
        <f>+IF(X25="","",IF(AG25="",IF(AB25="","",AB25),IF(AH25="%",AG25/100,IF($U25="","",IF(AND(AH25="lb/MMBtu",AC25&gt;0,$U25&gt;0),($U25-AC25)/$U25,IF(AND(AH25="ppmvd",AG25&gt;0,$V25&gt;0),IF($V25="","",($V25-AG25)/$V25),""))))))</f>
        <v>0.9</v>
      </c>
      <c r="AF25" s="5952"/>
      <c r="AG25" s="8104">
        <v>90</v>
      </c>
      <c r="AH25" s="8105" t="s">
        <v>417</v>
      </c>
      <c r="AI25" s="8066" t="str">
        <f>+IF(AND(AG25&gt;0,ISBLANK(AH25)),"▬► Select unit",IF(AND(AH25&gt;0,ISBLANK(AG25)),"▬► Enter value",""))</f>
        <v/>
      </c>
      <c r="AJ25" s="3681" t="s">
        <v>1911</v>
      </c>
      <c r="AK25" s="5952"/>
      <c r="AL25" s="5959"/>
      <c r="AM25" s="5959"/>
      <c r="AN25" s="5959"/>
      <c r="AO25" s="5959"/>
      <c r="AP25" s="5959"/>
      <c r="AQ25" s="5959"/>
    </row>
    <row r="26" spans="1:43" s="3561" customFormat="1" ht="25.5" customHeight="1">
      <c r="A26" s="8103" t="str">
        <f t="shared" si="4"/>
        <v>8302-02</v>
      </c>
      <c r="B26" s="10143">
        <f>+IF(A26="","",VLOOKUP(MATCH(A26,tid,0),tao,'12(id)'!$J$20,FALSE))</f>
        <v>0</v>
      </c>
      <c r="C26" s="7788" t="str">
        <f t="shared" ref="C26:C89" si="6">+O26</f>
        <v>11B</v>
      </c>
      <c r="D26" s="8106" t="str">
        <f t="shared" si="5"/>
        <v>8302-01-02</v>
      </c>
      <c r="E26" s="5952"/>
      <c r="F26" s="5959"/>
      <c r="G26" s="8103" t="str">
        <f>+IF(AND(G25="",A26=""),"",IF(OR(A26=G25,A26=0),G25,IF(VLOOKUP(MATCH(A26,tid,0),tao,'12(id)'!$U$20,FALSE)&gt;1,IF(AND(VLOOKUP(MATCH(A26,tid,0),tao,'12(id)'!$L$20,FALSE)=VLOOKUP(MATCH(G25,tid,0),tao,'12(id)'!$L$20,FALSE),X26&gt;X25),G25,IF(AND(X26="",VLOOKUP(MATCH(A26,tid,0),tao,'12(id)'!$U$20,FALSE)=VLOOKUP(MATCH(G25,tid,0),tao,'12(id)'!$U$20,FALSE)),G25,A26)),A26)))</f>
        <v>8302-01</v>
      </c>
      <c r="H26" s="5952"/>
      <c r="I26" s="4499">
        <f t="shared" ref="I26:I89" si="7">1+I25</f>
        <v>3</v>
      </c>
      <c r="J26" s="9064"/>
      <c r="K26" s="8971">
        <f>+IF(M26="","",VLOOKUP(MATCH(M26,tid,0),tao,'12(id)'!$I$20,FALSE))</f>
        <v>0</v>
      </c>
      <c r="L26" s="9064"/>
      <c r="M26" s="7790" t="s">
        <v>279</v>
      </c>
      <c r="N26" s="8971"/>
      <c r="O26" s="3580" t="str">
        <f>+IF(ISERROR(MATCH(M26,tid,0)),"",VLOOKUP(MATCH(M26,tid,0),tao,'12(id)'!$Q$20,FALSE))</f>
        <v>11B</v>
      </c>
      <c r="P26" s="8818"/>
      <c r="Q26" s="10046"/>
      <c r="R26" s="10039"/>
      <c r="S26" s="10039"/>
      <c r="T26" s="10019"/>
      <c r="U26" s="10014"/>
      <c r="V26" s="10017"/>
      <c r="W26" s="8068" t="str">
        <f t="shared" si="2"/>
        <v>8302-01-02</v>
      </c>
      <c r="X26" s="3581">
        <v>2</v>
      </c>
      <c r="Y26" s="3582" t="str">
        <f>+IF(W26="","",IF(VLOOKUP(MATCH(W26,op_id,0),op,'7(op)'!$T$18,FALSE)="","",IF(VLOOKUP(MATCH(W26,op_id,0),op,'7(op)'!$Y$18,FALSE)="Rejected",VLOOKUP(MATCH(W26,op_id,0),op,'7(op)'!$T$18,FALSE)&amp;"-Rejected by Stk - REMOVE OPTION No.",VLOOKUP(MATCH(W26,op_id,0),op,'7(op)'!$T$18,FALSE))))</f>
        <v>HPWI + Ultra Low Sulfur Fuel</v>
      </c>
      <c r="Z26" s="3583"/>
      <c r="AA26" s="3584"/>
      <c r="AB26" s="3585" t="str">
        <f>+IF(U26="",IF(V26="","",IF(AA26="","",(V26-AA26)/V26)),IF(Z26="","",(U26-Z26)/U26))</f>
        <v/>
      </c>
      <c r="AC26" s="3583">
        <f>+IF(AG26="",IF(Z26="","",Z26),IF(AH26="lb/MMBtu",AG26,IF($U25="","",IF(AH26="%",(1-AG26/100)*$U25,IF(AH26="ppmvd",IF($V25="","",(AG26/$V25)*$U25),"")))))</f>
        <v>0.18262499999999998</v>
      </c>
      <c r="AD26" s="3584">
        <f>+IF(AG26="",IF(AA26="","",AA26),IF(AH26="ppmvd",AG26,IF($V25="","",IF(AH26="%",(1-AG26/100)*$V25,IF(AH26="lb/MMBtu",IF($U25="","",(AG26/$U25)*$V25),"")))))</f>
        <v>32.342105248335663</v>
      </c>
      <c r="AE26" s="3585">
        <f>+IF(AG26="",IF(AB26="","",AB26),IF(AH26="%",AG26/100,IF($U25="","",IF(AND(AH26="lb/MMBtu",AC26&gt;0,$U25&gt;0),($U25-AC26)/$U25,IF(AND(AH26="ppmvd",AG26&gt;0,$V25&gt;0),IF($V25="","",($V25-AG26)/$V25),"")))))</f>
        <v>0.75</v>
      </c>
      <c r="AF26" s="5952"/>
      <c r="AG26" s="8107">
        <v>75</v>
      </c>
      <c r="AH26" s="8105" t="s">
        <v>417</v>
      </c>
      <c r="AI26" s="8065" t="str">
        <f t="shared" ref="AI26:AI89" si="8">+IF(AND(AG26&gt;0,ISBLANK(AH26)),"▬► Select unit",IF(AND(AH26&gt;0,ISBLANK(AG26)),"▬► Enter value",""))</f>
        <v/>
      </c>
      <c r="AJ26" s="3682"/>
      <c r="AK26" s="5952"/>
      <c r="AL26" s="5959"/>
      <c r="AM26" s="5959"/>
      <c r="AN26" s="5959"/>
      <c r="AO26" s="5959"/>
      <c r="AP26" s="5959"/>
      <c r="AQ26" s="5959"/>
    </row>
    <row r="27" spans="1:43" s="3561" customFormat="1" ht="25.5" customHeight="1">
      <c r="A27" s="8103" t="str">
        <f t="shared" si="4"/>
        <v>8302-03</v>
      </c>
      <c r="B27" s="10143">
        <f>+IF(A27="","",VLOOKUP(MATCH(A27,tid,0),tao,'12(id)'!$J$20,FALSE))</f>
        <v>0</v>
      </c>
      <c r="C27" s="7788" t="str">
        <f t="shared" si="6"/>
        <v>12A</v>
      </c>
      <c r="D27" s="8108" t="str">
        <f t="shared" si="5"/>
        <v>8302-01-03</v>
      </c>
      <c r="E27" s="5952"/>
      <c r="F27" s="5959"/>
      <c r="G27" s="8103" t="str">
        <f>+IF(AND(G26="",A27=""),"",IF(OR(A27=G26,A27=0),G26,IF(VLOOKUP(MATCH(A27,tid,0),tao,'12(id)'!$U$20,FALSE)&gt;1,IF(AND(VLOOKUP(MATCH(A27,tid,0),tao,'12(id)'!$L$20,FALSE)=VLOOKUP(MATCH(G26,tid,0),tao,'12(id)'!$L$20,FALSE),X27&gt;X26),G26,IF(AND(X27="",VLOOKUP(MATCH(A27,tid,0),tao,'12(id)'!$U$20,FALSE)=VLOOKUP(MATCH(G26,tid,0),tao,'12(id)'!$U$20,FALSE)),G26,A27)),A27)))</f>
        <v>8302-01</v>
      </c>
      <c r="H27" s="5952"/>
      <c r="I27" s="4499">
        <f t="shared" si="7"/>
        <v>4</v>
      </c>
      <c r="J27" s="9064"/>
      <c r="K27" s="8971">
        <f>+IF(M27="","",VLOOKUP(MATCH(M27,tid,0),tao,'12(id)'!$I$20,FALSE))</f>
        <v>0</v>
      </c>
      <c r="L27" s="9064"/>
      <c r="M27" s="7790" t="s">
        <v>280</v>
      </c>
      <c r="N27" s="8971"/>
      <c r="O27" s="3580" t="str">
        <f>+IF(ISERROR(MATCH(M27,tid,0)),"",VLOOKUP(MATCH(M27,tid,0),tao,'12(id)'!$Q$20,FALSE))</f>
        <v>12A</v>
      </c>
      <c r="P27" s="8818"/>
      <c r="Q27" s="10046">
        <f>+IF(ISERROR(MATCH(M27,tid,0)),"",IF(VLOOKUP(MATCH(M27,tid,0),tao,'12(id)'!$CT$20,FALSE)="","",VLOOKUP(MATCH(M27,tid,0),tao,'12(id)'!$CT$20,FALSE)))</f>
        <v>40</v>
      </c>
      <c r="R27" s="10039" t="str">
        <f>+IF(M27="","",IF(VLOOKUP(MATCH(M27,tid,0),tao,'12(id)'!$T$20,FALSE)="","",VLOOKUP(MATCH(M27,tid,0),tao,'12(id)'!$T$20,FALSE)))</f>
        <v>Combustion Turbine</v>
      </c>
      <c r="S27" s="10039" t="str">
        <f>+IF(ISERROR(MATCH(M27,tid,0)),"",IF(VLOOKUP(MATCH(M27,tid,0),tao,'12(id)'!$CO$20,FALSE)="","",VLOOKUP(MATCH(M27,tid,0),tao,'12(id)'!$CO$20,FALSE)))</f>
        <v>Pratt &amp; Whitney</v>
      </c>
      <c r="T27" s="10019" t="str">
        <f>+IF(ISERROR(MATCH(M27,tid,0)),"",IF(VLOOKUP(MATCH(M27,tid,0),tao,'12(id)'!$CP$20,FALSE)="","",VLOOKUP(MATCH(M27,tid,0),tao,'12(id)'!$CP$20,FALSE)))</f>
        <v>TP4-2(A9) LF</v>
      </c>
      <c r="U27" s="10014"/>
      <c r="V27" s="10017"/>
      <c r="W27" s="8069" t="str">
        <f t="shared" si="2"/>
        <v>8302-01-03</v>
      </c>
      <c r="X27" s="6095">
        <v>3</v>
      </c>
      <c r="Y27" s="6096" t="str">
        <f>+IF(W27="","",IF(VLOOKUP(MATCH(W27,op_id,0),op,'7(op)'!$T$18,FALSE)="","",IF(VLOOKUP(MATCH(W27,op_id,0),op,'7(op)'!$Y$18,FALSE)="Rejected",VLOOKUP(MATCH(W27,op_id,0),op,'7(op)'!$T$18,FALSE)&amp;"-Rejected by Stk - REMOVE OPTION No.",VLOOKUP(MATCH(W27,op_id,0),op,'7(op)'!$T$18,FALSE))))</f>
        <v>High Pressure Water Injection (HPWI)</v>
      </c>
      <c r="Z27" s="6097"/>
      <c r="AA27" s="6098"/>
      <c r="AB27" s="6099" t="str">
        <f>+IF(U27="",IF(V27="","",IF(AA27="","",(V27-AA27)/V27)),IF(Z27="","",(U27-Z27)/U27))</f>
        <v/>
      </c>
      <c r="AC27" s="6097">
        <f>+IF(AG27="",IF(Z27="","",Z27),IF(AH27="lb/MMBtu",AG27,IF($U25="","",IF(AH27="%",(1-AG27/100)*$U25,IF(AH27="ppmvd",IF($V25="","",(AG27/$V25)*$U25),"")))))</f>
        <v>0.29219999999999996</v>
      </c>
      <c r="AD27" s="6098">
        <f>+IF(AG27="",IF(AA27="","",AA27),IF(AH27="ppmvd",AG27,IF($V25="","",IF(AH27="%",(1-AG27/100)*$V25,IF(AH27="lb/MMBtu",IF($U25="","",(AG27/$U25)*$V25),"")))))</f>
        <v>51.747368397337063</v>
      </c>
      <c r="AE27" s="6099">
        <f>+IF(AG27="",IF(AB27="","",AB27),IF(AH27="%",AG27/100,IF($U25="","",IF(AND(AH27="lb/MMBtu",AC27&gt;0,$U25&gt;0),($U25-AC27)/$U25,IF(AND(AH27="ppmvd",AG27&gt;0,$V25&gt;0),IF($V25="","",($V25-AG27)/$V25),"")))))</f>
        <v>0.6</v>
      </c>
      <c r="AF27" s="5952"/>
      <c r="AG27" s="8109">
        <v>60</v>
      </c>
      <c r="AH27" s="8105" t="s">
        <v>417</v>
      </c>
      <c r="AI27" s="8065" t="str">
        <f t="shared" si="8"/>
        <v/>
      </c>
      <c r="AJ27" s="3683"/>
      <c r="AK27" s="5952"/>
      <c r="AL27" s="5959"/>
      <c r="AM27" s="5959"/>
      <c r="AN27" s="5959"/>
      <c r="AO27" s="5959"/>
      <c r="AP27" s="5959"/>
      <c r="AQ27" s="5959"/>
    </row>
    <row r="28" spans="1:43" s="3561" customFormat="1" ht="25.5" customHeight="1">
      <c r="A28" s="8103" t="str">
        <f t="shared" si="4"/>
        <v>8302-04</v>
      </c>
      <c r="B28" s="10143">
        <f>+IF(A28="","",VLOOKUP(MATCH(A28,tid,0),tao,'12(id)'!$J$20,FALSE))</f>
        <v>0</v>
      </c>
      <c r="C28" s="7788" t="str">
        <f t="shared" si="6"/>
        <v>12B</v>
      </c>
      <c r="D28" s="8106" t="str">
        <f t="shared" si="5"/>
        <v/>
      </c>
      <c r="E28" s="5952"/>
      <c r="F28" s="5959"/>
      <c r="G28" s="8103" t="str">
        <f>+IF(AND(G27="",A28=""),"",IF(OR(A28=G27,A28=0),G27,IF(VLOOKUP(MATCH(A28,tid,0),tao,'12(id)'!$U$20,FALSE)&gt;1,IF(AND(VLOOKUP(MATCH(A28,tid,0),tao,'12(id)'!$L$20,FALSE)=VLOOKUP(MATCH(G27,tid,0),tao,'12(id)'!$L$20,FALSE),X28&gt;X27),G27,IF(AND(X28="",VLOOKUP(MATCH(A28,tid,0),tao,'12(id)'!$U$20,FALSE)=VLOOKUP(MATCH(G27,tid,0),tao,'12(id)'!$U$20,FALSE)),G27,A28)),A28)))</f>
        <v>8302-01</v>
      </c>
      <c r="H28" s="5952"/>
      <c r="I28" s="4499">
        <f t="shared" si="7"/>
        <v>5</v>
      </c>
      <c r="J28" s="9064"/>
      <c r="K28" s="8971">
        <f>+IF(M28="","",VLOOKUP(MATCH(M28,tid,0),tao,'12(id)'!$I$20,FALSE))</f>
        <v>0</v>
      </c>
      <c r="L28" s="9064"/>
      <c r="M28" s="7790" t="s">
        <v>281</v>
      </c>
      <c r="N28" s="8971"/>
      <c r="O28" s="3580" t="str">
        <f>+IF(ISERROR(MATCH(M28,tid,0)),"",VLOOKUP(MATCH(M28,tid,0),tao,'12(id)'!$Q$20,FALSE))</f>
        <v>12B</v>
      </c>
      <c r="P28" s="8818"/>
      <c r="Q28" s="10046"/>
      <c r="R28" s="10039"/>
      <c r="S28" s="10039"/>
      <c r="T28" s="10019"/>
      <c r="U28" s="10014"/>
      <c r="V28" s="10017"/>
      <c r="W28" s="8068" t="str">
        <f t="shared" si="2"/>
        <v/>
      </c>
      <c r="X28" s="3581"/>
      <c r="Y28" s="3582" t="str">
        <f>+IF(W28="",IF(VLOOKUP(MATCH(LEFT(W27,9)&amp;X27+1,op_id,0),op,'7(op)'!$Y$18,FALSE)="Rejected",VLOOKUP(MATCH(LEFT(W27,9)&amp;X27+1,op_id,0),op,'7(op)'!$T$18,FALSE)&amp;"-Rejected by Stk and hence removed from the list",""),IF(VLOOKUP(MATCH(W28,op_id,0),op,'7(op)'!$T$18,FALSE)="","",IF(VLOOKUP(MATCH(W28,op_id,0),op,'7(op)'!$Y$18,FALSE)="Rejected",VLOOKUP(MATCH(W28,op_id,0),op,'7(op)'!$T$18,FALSE)&amp;"-Rejected by Stk - REMOVE OPTION No.",VLOOKUP(MATCH(W28,op_id,0),op,'7(op)'!$T$18,FALSE))))</f>
        <v>Dry Low NOx Combustor - DLNC-Rejected by Stk and hence removed from the list</v>
      </c>
      <c r="Z28" s="3583"/>
      <c r="AA28" s="3584"/>
      <c r="AB28" s="3585"/>
      <c r="AC28" s="3583" t="str">
        <f>+IF(AG28="",IF(Z28="","",Z28),IF(AH28="lb/MMBtu",AG28,IF($U26="","",IF(AH28="%",(1-AG28/100)*$U26,IF(AH28="ppmvd",IF($V26="","",(AG28/$V26)*$U26),"")))))</f>
        <v/>
      </c>
      <c r="AD28" s="3584" t="str">
        <f>+IF(AG28="",IF(AA28="","",AA28),IF(AH28="ppmvd",AG28,IF($V26="","",IF(AH28="%",(1-AG28/100)*$V26,IF(AH28="lb/MMBtu",IF($U26="","",(AG28/$U26)*$V26),"")))))</f>
        <v/>
      </c>
      <c r="AE28" s="3585" t="str">
        <f>+IF(AG28="",IF(AB28="","",AB28),IF(AH28="%",AG28/100,IF($U26="","",IF(AND(AH28="lb/MMBtu",AC28&gt;0,$U26&gt;0),($U26-AC28)/$U26,IF(AND(AH28="ppmvd",AG28&gt;0,$V26&gt;0),IF($V26="","",($V26-AG28)/$V26),"")))))</f>
        <v/>
      </c>
      <c r="AF28" s="5952"/>
      <c r="AG28" s="8107"/>
      <c r="AH28" s="8105"/>
      <c r="AI28" s="8065" t="str">
        <f t="shared" si="8"/>
        <v/>
      </c>
      <c r="AJ28" s="3682"/>
      <c r="AK28" s="5952"/>
      <c r="AL28" s="5959"/>
      <c r="AM28" s="5959"/>
      <c r="AN28" s="5959"/>
      <c r="AO28" s="5959"/>
      <c r="AP28" s="5959"/>
      <c r="AQ28" s="5959"/>
    </row>
    <row r="29" spans="1:43" s="3561" customFormat="1" ht="21" customHeight="1">
      <c r="A29" s="8103" t="str">
        <f t="shared" si="4"/>
        <v>8302-05</v>
      </c>
      <c r="B29" s="10143">
        <f>+IF(A29="","",VLOOKUP(MATCH(A29,tid,0),tao,'12(id)'!$J$20,FALSE))</f>
        <v>0</v>
      </c>
      <c r="C29" s="7788" t="str">
        <f t="shared" si="6"/>
        <v>13A</v>
      </c>
      <c r="D29" s="8106" t="str">
        <f t="shared" si="5"/>
        <v/>
      </c>
      <c r="E29" s="5952"/>
      <c r="F29" s="5959"/>
      <c r="G29" s="8103" t="str">
        <f>+IF(AND(G28="",A29=""),"",IF(OR(A29=G28,A29=0),G28,IF(VLOOKUP(MATCH(A29,tid,0),tao,'12(id)'!$U$20,FALSE)&gt;1,IF(AND(VLOOKUP(MATCH(A29,tid,0),tao,'12(id)'!$L$20,FALSE)=VLOOKUP(MATCH(G28,tid,0),tao,'12(id)'!$L$20,FALSE),X29&gt;X28),G28,IF(AND(X29="",VLOOKUP(MATCH(A29,tid,0),tao,'12(id)'!$U$20,FALSE)=VLOOKUP(MATCH(G28,tid,0),tao,'12(id)'!$U$20,FALSE)),G28,A29)),A29)))</f>
        <v>8302-01</v>
      </c>
      <c r="H29" s="5952"/>
      <c r="I29" s="4499">
        <f t="shared" si="7"/>
        <v>6</v>
      </c>
      <c r="J29" s="9064"/>
      <c r="K29" s="8971">
        <f>+IF(M29="","",VLOOKUP(MATCH(M29,tid,0),tao,'12(id)'!$I$20,FALSE))</f>
        <v>0</v>
      </c>
      <c r="L29" s="9064"/>
      <c r="M29" s="7790" t="s">
        <v>282</v>
      </c>
      <c r="N29" s="8971"/>
      <c r="O29" s="3580" t="str">
        <f>+IF(ISERROR(MATCH(M29,tid,0)),"",VLOOKUP(MATCH(M29,tid,0),tao,'12(id)'!$Q$20,FALSE))</f>
        <v>13A</v>
      </c>
      <c r="P29" s="8818"/>
      <c r="Q29" s="10046">
        <f>+IF(ISERROR(MATCH(M29,tid,0)),"",IF(VLOOKUP(MATCH(M29,tid,0),tao,'12(id)'!$CT$20,FALSE)="","",VLOOKUP(MATCH(M29,tid,0),tao,'12(id)'!$CT$20,FALSE)))</f>
        <v>40</v>
      </c>
      <c r="R29" s="10039" t="str">
        <f>+IF(M29="","",IF(VLOOKUP(MATCH(M29,tid,0),tao,'12(id)'!$T$20,FALSE)="","",VLOOKUP(MATCH(M29,tid,0),tao,'12(id)'!$T$20,FALSE)))</f>
        <v>Combustion Turbine</v>
      </c>
      <c r="S29" s="10039" t="str">
        <f>+IF(ISERROR(MATCH(M29,tid,0)),"",IF(VLOOKUP(MATCH(M29,tid,0),tao,'12(id)'!$CO$20,FALSE)="","",VLOOKUP(MATCH(M29,tid,0),tao,'12(id)'!$CO$20,FALSE)))</f>
        <v>Pratt &amp; Whitney</v>
      </c>
      <c r="T29" s="10019" t="str">
        <f>+IF(ISERROR(MATCH(M29,tid,0)),"",IF(VLOOKUP(MATCH(M29,tid,0),tao,'12(id)'!$CP$20,FALSE)="","",VLOOKUP(MATCH(M29,tid,0),tao,'12(id)'!$CP$20,FALSE)))</f>
        <v>TP4-2(A9) LF</v>
      </c>
      <c r="U29" s="10014"/>
      <c r="V29" s="10017"/>
      <c r="W29" s="8070" t="str">
        <f t="shared" si="2"/>
        <v/>
      </c>
      <c r="X29" s="3587"/>
      <c r="Y29" s="6068" t="str">
        <f>+IF(W29="","",IF(VLOOKUP(MATCH(W29,op_id,0),op,'7(op)'!$T$18,FALSE)="","",VLOOKUP(MATCH(W29,op_id,0),op,'7(op)'!$T$18,FALSE)))</f>
        <v/>
      </c>
      <c r="Z29" s="3588"/>
      <c r="AA29" s="3590"/>
      <c r="AB29" s="3589"/>
      <c r="AC29" s="3588"/>
      <c r="AD29" s="3590"/>
      <c r="AE29" s="3589"/>
      <c r="AF29" s="5952"/>
      <c r="AG29" s="8110"/>
      <c r="AH29" s="8105"/>
      <c r="AI29" s="8065" t="str">
        <f t="shared" si="8"/>
        <v/>
      </c>
      <c r="AJ29" s="3684"/>
      <c r="AK29" s="5952"/>
      <c r="AL29" s="5959"/>
      <c r="AM29" s="5959"/>
      <c r="AN29" s="5959"/>
      <c r="AO29" s="5959"/>
      <c r="AP29" s="5959"/>
      <c r="AQ29" s="5959"/>
    </row>
    <row r="30" spans="1:43" s="3561" customFormat="1" ht="21" customHeight="1">
      <c r="A30" s="8103" t="str">
        <f t="shared" si="4"/>
        <v>8302-06</v>
      </c>
      <c r="B30" s="10143">
        <f>+IF(A30="","",VLOOKUP(MATCH(A30,tid,0),tao,'12(id)'!$J$20,FALSE))</f>
        <v>0</v>
      </c>
      <c r="C30" s="7788" t="str">
        <f t="shared" si="6"/>
        <v>13B</v>
      </c>
      <c r="D30" s="8106" t="str">
        <f t="shared" si="5"/>
        <v/>
      </c>
      <c r="E30" s="5952"/>
      <c r="F30" s="5959"/>
      <c r="G30" s="8103" t="str">
        <f>+IF(AND(G29="",A30=""),"",IF(OR(A30=G29,A30=0),G29,IF(VLOOKUP(MATCH(A30,tid,0),tao,'12(id)'!$U$20,FALSE)&gt;1,IF(AND(VLOOKUP(MATCH(A30,tid,0),tao,'12(id)'!$L$20,FALSE)=VLOOKUP(MATCH(G29,tid,0),tao,'12(id)'!$L$20,FALSE),X30&gt;X29),G29,IF(AND(X30="",VLOOKUP(MATCH(A30,tid,0),tao,'12(id)'!$U$20,FALSE)=VLOOKUP(MATCH(G29,tid,0),tao,'12(id)'!$U$20,FALSE)),G29,A30)),A30)))</f>
        <v>8302-01</v>
      </c>
      <c r="H30" s="5952"/>
      <c r="I30" s="4499">
        <f t="shared" si="7"/>
        <v>7</v>
      </c>
      <c r="J30" s="9064"/>
      <c r="K30" s="8971">
        <f>+IF(M30="","",VLOOKUP(MATCH(M30,tid,0),tao,'12(id)'!$I$20,FALSE))</f>
        <v>0</v>
      </c>
      <c r="L30" s="9064"/>
      <c r="M30" s="7790" t="s">
        <v>283</v>
      </c>
      <c r="N30" s="8971"/>
      <c r="O30" s="3580" t="str">
        <f>+IF(ISERROR(MATCH(M30,tid,0)),"",VLOOKUP(MATCH(M30,tid,0),tao,'12(id)'!$Q$20,FALSE))</f>
        <v>13B</v>
      </c>
      <c r="P30" s="8818"/>
      <c r="Q30" s="10046"/>
      <c r="R30" s="10039"/>
      <c r="S30" s="10039"/>
      <c r="T30" s="10019"/>
      <c r="U30" s="10014"/>
      <c r="V30" s="10017"/>
      <c r="W30" s="8070" t="str">
        <f t="shared" si="2"/>
        <v/>
      </c>
      <c r="X30" s="3587"/>
      <c r="Y30" s="6068" t="str">
        <f>+IF(W30="","",IF(VLOOKUP(MATCH(W30,op_id,0),op,'7(op)'!$T$18,FALSE)="","",VLOOKUP(MATCH(W30,op_id,0),op,'7(op)'!$T$18,FALSE)))</f>
        <v/>
      </c>
      <c r="Z30" s="3588"/>
      <c r="AA30" s="3590"/>
      <c r="AB30" s="3589"/>
      <c r="AC30" s="3588"/>
      <c r="AD30" s="3590"/>
      <c r="AE30" s="3589"/>
      <c r="AF30" s="5952"/>
      <c r="AG30" s="8110"/>
      <c r="AH30" s="8105"/>
      <c r="AI30" s="8065" t="str">
        <f t="shared" si="8"/>
        <v/>
      </c>
      <c r="AJ30" s="3684"/>
      <c r="AK30" s="5952"/>
      <c r="AL30" s="5959"/>
      <c r="AM30" s="5959"/>
      <c r="AN30" s="5959"/>
      <c r="AO30" s="5959"/>
      <c r="AP30" s="5959"/>
      <c r="AQ30" s="5959"/>
    </row>
    <row r="31" spans="1:43" s="3561" customFormat="1" ht="21" customHeight="1">
      <c r="A31" s="8103" t="str">
        <f t="shared" si="4"/>
        <v>8302-07</v>
      </c>
      <c r="B31" s="10143">
        <f>+IF(A31="","",VLOOKUP(MATCH(A31,tid,0),tao,'12(id)'!$J$20,FALSE))</f>
        <v>0</v>
      </c>
      <c r="C31" s="7788" t="str">
        <f t="shared" si="6"/>
        <v>14A</v>
      </c>
      <c r="D31" s="8106" t="str">
        <f t="shared" si="5"/>
        <v/>
      </c>
      <c r="E31" s="5952"/>
      <c r="F31" s="5959"/>
      <c r="G31" s="8103" t="str">
        <f>+IF(AND(G30="",A31=""),"",IF(OR(A31=G30,A31=0),G30,IF(VLOOKUP(MATCH(A31,tid,0),tao,'12(id)'!$U$20,FALSE)&gt;1,IF(AND(VLOOKUP(MATCH(A31,tid,0),tao,'12(id)'!$L$20,FALSE)=VLOOKUP(MATCH(G30,tid,0),tao,'12(id)'!$L$20,FALSE),X31&gt;X30),G30,IF(AND(X31="",VLOOKUP(MATCH(A31,tid,0),tao,'12(id)'!$U$20,FALSE)=VLOOKUP(MATCH(G30,tid,0),tao,'12(id)'!$U$20,FALSE)),G30,A31)),A31)))</f>
        <v>8302-01</v>
      </c>
      <c r="H31" s="5952"/>
      <c r="I31" s="4499">
        <f t="shared" si="7"/>
        <v>8</v>
      </c>
      <c r="J31" s="9064"/>
      <c r="K31" s="8971">
        <f>+IF(M31="","",VLOOKUP(MATCH(M31,tid,0),tao,'12(id)'!$I$20,FALSE))</f>
        <v>0</v>
      </c>
      <c r="L31" s="9064"/>
      <c r="M31" s="7790" t="s">
        <v>284</v>
      </c>
      <c r="N31" s="8971"/>
      <c r="O31" s="3580" t="str">
        <f>+IF(ISERROR(MATCH(M31,tid,0)),"",VLOOKUP(MATCH(M31,tid,0),tao,'12(id)'!$Q$20,FALSE))</f>
        <v>14A</v>
      </c>
      <c r="P31" s="8818"/>
      <c r="Q31" s="10046">
        <f>+IF(ISERROR(MATCH(M31,tid,0)),"",IF(VLOOKUP(MATCH(M31,tid,0),tao,'12(id)'!$CT$20,FALSE)="","",VLOOKUP(MATCH(M31,tid,0),tao,'12(id)'!$CT$20,FALSE)))</f>
        <v>40</v>
      </c>
      <c r="R31" s="10039" t="str">
        <f>+IF(M31="","",IF(VLOOKUP(MATCH(M31,tid,0),tao,'12(id)'!$T$20,FALSE)="","",VLOOKUP(MATCH(M31,tid,0),tao,'12(id)'!$T$20,FALSE)))</f>
        <v>Combustion Turbine</v>
      </c>
      <c r="S31" s="10039" t="str">
        <f>+IF(ISERROR(MATCH(M31,tid,0)),"",IF(VLOOKUP(MATCH(M31,tid,0),tao,'12(id)'!$CO$20,FALSE)="","",VLOOKUP(MATCH(M31,tid,0),tao,'12(id)'!$CO$20,FALSE)))</f>
        <v>Pratt &amp; Whitney</v>
      </c>
      <c r="T31" s="10019" t="str">
        <f>+IF(ISERROR(MATCH(M31,tid,0)),"",IF(VLOOKUP(MATCH(M31,tid,0),tao,'12(id)'!$CP$20,FALSE)="","",VLOOKUP(MATCH(M31,tid,0),tao,'12(id)'!$CP$20,FALSE)))</f>
        <v>TP4-2(A9) LF</v>
      </c>
      <c r="U31" s="10014"/>
      <c r="V31" s="10017"/>
      <c r="W31" s="8070" t="str">
        <f t="shared" si="2"/>
        <v/>
      </c>
      <c r="X31" s="3587"/>
      <c r="Y31" s="6068" t="str">
        <f>+IF(W31="","",IF(VLOOKUP(MATCH(W31,op_id,0),op,'7(op)'!$T$18,FALSE)="","",VLOOKUP(MATCH(W31,op_id,0),op,'7(op)'!$T$18,FALSE)))</f>
        <v/>
      </c>
      <c r="Z31" s="3588"/>
      <c r="AA31" s="3590"/>
      <c r="AB31" s="3589"/>
      <c r="AC31" s="3588"/>
      <c r="AD31" s="3590"/>
      <c r="AE31" s="3589"/>
      <c r="AF31" s="5952"/>
      <c r="AG31" s="8110"/>
      <c r="AH31" s="8105"/>
      <c r="AI31" s="8065" t="str">
        <f t="shared" si="8"/>
        <v/>
      </c>
      <c r="AJ31" s="3684"/>
      <c r="AK31" s="5952"/>
      <c r="AL31" s="5959"/>
      <c r="AM31" s="5959"/>
      <c r="AN31" s="5959"/>
      <c r="AO31" s="5959"/>
      <c r="AP31" s="5959"/>
      <c r="AQ31" s="5959"/>
    </row>
    <row r="32" spans="1:43" s="3561" customFormat="1" ht="21" customHeight="1" thickBot="1">
      <c r="A32" s="8111" t="str">
        <f t="shared" si="4"/>
        <v>8302-08</v>
      </c>
      <c r="B32" s="10144">
        <f>+IF(A32="","",VLOOKUP(MATCH(A32,tid,0),tao,'12(id)'!$J$20,FALSE))</f>
        <v>0</v>
      </c>
      <c r="C32" s="7789" t="str">
        <f t="shared" si="6"/>
        <v>14B</v>
      </c>
      <c r="D32" s="8112" t="str">
        <f t="shared" si="5"/>
        <v/>
      </c>
      <c r="E32" s="5952"/>
      <c r="F32" s="5959"/>
      <c r="G32" s="8111" t="str">
        <f>+IF(AND(G31="",A32=""),"",IF(OR(A32=G31,A32=0),G31,IF(VLOOKUP(MATCH(A32,tid,0),tao,'12(id)'!$U$20,FALSE)&gt;1,IF(AND(VLOOKUP(MATCH(A32,tid,0),tao,'12(id)'!$L$20,FALSE)=VLOOKUP(MATCH(G31,tid,0),tao,'12(id)'!$L$20,FALSE),X32&gt;X31),G31,IF(AND(X32="",VLOOKUP(MATCH(A32,tid,0),tao,'12(id)'!$U$20,FALSE)=VLOOKUP(MATCH(G31,tid,0),tao,'12(id)'!$U$20,FALSE)),G31,A32)),A32)))</f>
        <v>8302-01</v>
      </c>
      <c r="H32" s="5952"/>
      <c r="I32" s="4499">
        <f t="shared" si="7"/>
        <v>9</v>
      </c>
      <c r="J32" s="9065"/>
      <c r="K32" s="9061">
        <f>+IF(M32="","",VLOOKUP(MATCH(M32,tid,0),tao,'12(id)'!$I$20,FALSE))</f>
        <v>0</v>
      </c>
      <c r="L32" s="9065"/>
      <c r="M32" s="7791" t="s">
        <v>285</v>
      </c>
      <c r="N32" s="9061"/>
      <c r="O32" s="3591" t="str">
        <f>+IF(ISERROR(MATCH(M32,tid,0)),"",VLOOKUP(MATCH(M32,tid,0),tao,'12(id)'!$Q$20,FALSE))</f>
        <v>14B</v>
      </c>
      <c r="P32" s="8860"/>
      <c r="Q32" s="10056"/>
      <c r="R32" s="10044"/>
      <c r="S32" s="10044"/>
      <c r="T32" s="10020"/>
      <c r="U32" s="10015"/>
      <c r="V32" s="10018"/>
      <c r="W32" s="8071" t="str">
        <f t="shared" si="2"/>
        <v/>
      </c>
      <c r="X32" s="3592"/>
      <c r="Y32" s="3607" t="str">
        <f>+IF(W32="","",IF(VLOOKUP(MATCH(W32,op_id,0),op,'7(op)'!$T$18,FALSE)="","",VLOOKUP(MATCH(W32,op_id,0),op,'7(op)'!$T$18,FALSE)))</f>
        <v/>
      </c>
      <c r="Z32" s="3593"/>
      <c r="AA32" s="3594"/>
      <c r="AB32" s="3595"/>
      <c r="AC32" s="3593"/>
      <c r="AD32" s="3594"/>
      <c r="AE32" s="3595"/>
      <c r="AF32" s="5952"/>
      <c r="AG32" s="8113"/>
      <c r="AH32" s="8105"/>
      <c r="AI32" s="8065" t="str">
        <f t="shared" si="8"/>
        <v/>
      </c>
      <c r="AJ32" s="3685"/>
      <c r="AK32" s="5952"/>
      <c r="AL32" s="5959"/>
      <c r="AM32" s="5959"/>
      <c r="AN32" s="5959"/>
      <c r="AO32" s="5959"/>
      <c r="AP32" s="5959"/>
      <c r="AQ32" s="5959"/>
    </row>
    <row r="33" spans="1:43" s="3561" customFormat="1" ht="25.5" customHeight="1">
      <c r="A33" s="10145" t="str">
        <f t="shared" si="4"/>
        <v>8303-01</v>
      </c>
      <c r="B33" s="10146" t="str">
        <f>+IF(A33="","",VLOOKUP(MATCH(A33,tid,0),tao,'12(id)'!$J$20,FALSE))</f>
        <v>FirstLight</v>
      </c>
      <c r="C33" s="8839">
        <f t="shared" si="6"/>
        <v>10</v>
      </c>
      <c r="D33" s="8114" t="str">
        <f t="shared" si="5"/>
        <v>8303-01-01</v>
      </c>
      <c r="E33" s="5952"/>
      <c r="F33" s="5959"/>
      <c r="G33" s="8115" t="str">
        <f>+IF(AND(G32="",A33=""),"",IF(OR(A33=G32,A33=0),G32,IF(VLOOKUP(MATCH(A33,tid,0),tao,'12(id)'!$U$20,FALSE)&gt;1,IF(AND(VLOOKUP(MATCH(A33,tid,0),tao,'12(id)'!$L$20,FALSE)=VLOOKUP(MATCH(G32,tid,0),tao,'12(id)'!$L$20,FALSE),X33&gt;X32),G32,IF(AND(X33="",VLOOKUP(MATCH(A33,tid,0),tao,'12(id)'!$U$20,FALSE)=VLOOKUP(MATCH(G32,tid,0),tao,'12(id)'!$U$20,FALSE)),G32,A33)),A33)))</f>
        <v>8303-01</v>
      </c>
      <c r="H33" s="5952"/>
      <c r="I33" s="4499">
        <f t="shared" si="7"/>
        <v>10</v>
      </c>
      <c r="J33" s="9063">
        <v>3</v>
      </c>
      <c r="K33" s="9060" t="str">
        <f>+IF(M33="","",VLOOKUP(MATCH(M33,tid,0),tao,'12(id)'!$I$20,FALSE))</f>
        <v>FirstLight Hydro Generating Company</v>
      </c>
      <c r="L33" s="9063" t="s">
        <v>286</v>
      </c>
      <c r="M33" s="9063" t="s">
        <v>287</v>
      </c>
      <c r="N33" s="9060" t="str">
        <f>+IF(M33="","",VLOOKUP(MATCH(M33,tid,0),tao,'12(id)'!$L$20,FALSE))</f>
        <v>Tunnel</v>
      </c>
      <c r="O33" s="10088">
        <f>+IF(ISERROR(MATCH(M33,tid,0)),"",VLOOKUP(MATCH(M33,tid,0),tao,'12(id)'!$Q$20,FALSE))</f>
        <v>10</v>
      </c>
      <c r="P33" s="8817">
        <f>+IF(M33="","",VLOOKUP(MATCH(M33,tid,0),tao,'12(id)'!$U$20,FALSE))</f>
        <v>1</v>
      </c>
      <c r="Q33" s="10066">
        <f>+IF(ISERROR(MATCH(M33,tid,0)),"",IF(VLOOKUP(MATCH(M33,tid,0),tao,'12(id)'!$CT$20,FALSE)="","",VLOOKUP(MATCH(M33,tid,0),tao,'12(id)'!$CT$20,FALSE)))</f>
        <v>20</v>
      </c>
      <c r="R33" s="10043" t="str">
        <f>+IF(M33="","",IF(VLOOKUP(MATCH(M33,tid,0),tao,'12(id)'!$T$20,FALSE)="","",VLOOKUP(MATCH(M33,tid,0),tao,'12(id)'!$T$20,FALSE)))</f>
        <v>Combustion Turbine</v>
      </c>
      <c r="S33" s="10043" t="str">
        <f>+IF(ISERROR(MATCH(M33,tid,0)),"",IF(VLOOKUP(MATCH(M33,tid,0),tao,'12(id)'!$CO$20,FALSE)="","",VLOOKUP(MATCH(M33,tid,0),tao,'12(id)'!$CO$20,FALSE)))</f>
        <v>Pratt &amp; Whitney</v>
      </c>
      <c r="T33" s="10045" t="str">
        <f>+IF(ISERROR(MATCH(M33,tid,0)),"",IF(VLOOKUP(MATCH(M33,tid,0),tao,'12(id)'!$CP$20,FALSE)="","",VLOOKUP(MATCH(M33,tid,0),tao,'12(id)'!$CP$20,FALSE)))</f>
        <v>FT4-8</v>
      </c>
      <c r="U33" s="10040">
        <f>+IF(ISERROR(MATCH(M33,tid,0)),"",IF(VLOOKUP(MATCH(M33,tid,0),tao,'12(id)'!$HJ$20,FALSE)="","",VLOOKUP(MATCH(M33,tid,0),tao,'12(id)'!$HJ$20,FALSE)))</f>
        <v>0.73599999999999999</v>
      </c>
      <c r="V33" s="10115">
        <f>+IF(ISERROR(MATCH(M33,tid,0)),"",IF(VLOOKUP(MATCH(M33,tid,0),tao,'12(id)'!$HK$20,FALSE)="","",VLOOKUP(MATCH(M33,tid,0),tao,'12(id)'!$HK$20,FALSE)))</f>
        <v>186.70717329804756</v>
      </c>
      <c r="W33" s="8072" t="str">
        <f t="shared" si="2"/>
        <v>8303-01-01</v>
      </c>
      <c r="X33" s="3596">
        <v>1</v>
      </c>
      <c r="Y33" s="3597" t="str">
        <f>+IF(W33="","",IF(VLOOKUP(MATCH(W33,op_id,0),op,'7(op)'!$T$18,FALSE)="","",IF(VLOOKUP(MATCH(W33,op_id,0),op,'7(op)'!$Y$18,FALSE)="Rejected",VLOOKUP(MATCH(W33,op_id,0),op,'7(op)'!$T$18,FALSE)&amp;"-Rejected by Stk - REMOVE OPTION No.",VLOOKUP(MATCH(W33,op_id,0),op,'7(op)'!$T$18,FALSE))))</f>
        <v>SCR + HPWI + CO Catalyst + Dual Fuel</v>
      </c>
      <c r="Z33" s="3598">
        <f>+IF(OR($W$33="",AA33=""),"",(AA33/$V$33)*$U$33)</f>
        <v>1.9710008646135303E-2</v>
      </c>
      <c r="AA33" s="3599">
        <f>+'A3(trc)'!F24</f>
        <v>5</v>
      </c>
      <c r="AB33" s="3600">
        <f>+IF($U$33="",IF($V$33="","",IF(AA33="","",($V$33-AA32)/$V$33)),IF(Z33="","",($U$33-Z33)/$U$33))</f>
        <v>0.97322009694818579</v>
      </c>
      <c r="AC33" s="3598">
        <f>+IF(AG33="",IF(Z33="","",Z33),IF(AH33="lb/MMBtu",AG33,IF($U$33="","",IF(AH33="%",(1-AG33/100)*$U$33,IF(AH33="ppmvd",IF($V$33="","",(AG33/$V$33)*$U$33),"")))))</f>
        <v>1.9710008646135303E-2</v>
      </c>
      <c r="AD33" s="3599">
        <f>+IF(AG33="",IF(AA33="","",AA33),IF(AH33="ppmvd",AG33,IF($V$33="","",IF(AH33="%",(1-AG33/100)*$V$33,IF(AH33="lb/MMBtu",IF(U$33="","",(AG33/$U$33)*$V$33),"")))))</f>
        <v>5</v>
      </c>
      <c r="AE33" s="3600">
        <f>+IF(AG33="",IF(AB33="","",AB33),IF(AH33="%",AG33/100,IF($U$33="","",IF(AND(AH33="lb/MMBtu",AC33&gt;0,$U$33&gt;0),($U$33-AC33)/$U$33,IF(AND(AH33="ppmvd",AG33&gt;0,$V$33&gt;0),IF($V$33="","",($V$33-AG33)/$V$33),"")))))</f>
        <v>0.97322009694818579</v>
      </c>
      <c r="AF33" s="5952"/>
      <c r="AG33" s="8116"/>
      <c r="AH33" s="8105"/>
      <c r="AI33" s="8065" t="str">
        <f t="shared" si="8"/>
        <v/>
      </c>
      <c r="AJ33" s="3686"/>
      <c r="AK33" s="5952"/>
      <c r="AL33" s="5959"/>
      <c r="AM33" s="5959"/>
      <c r="AN33" s="5959"/>
      <c r="AO33" s="5959"/>
      <c r="AP33" s="5959"/>
      <c r="AQ33" s="5959"/>
    </row>
    <row r="34" spans="1:43" s="3561" customFormat="1" ht="25.5" customHeight="1">
      <c r="A34" s="10140">
        <f t="shared" si="4"/>
        <v>0</v>
      </c>
      <c r="B34" s="10147" t="e">
        <f>+IF(A34="","",VLOOKUP(MATCH(A34,tid,0),tao,'12(id)'!$J$20,FALSE))</f>
        <v>#N/A</v>
      </c>
      <c r="C34" s="8840" t="str">
        <f t="shared" si="6"/>
        <v/>
      </c>
      <c r="D34" s="8117" t="str">
        <f t="shared" si="5"/>
        <v>8303-01-02</v>
      </c>
      <c r="E34" s="5952"/>
      <c r="F34" s="5959"/>
      <c r="G34" s="8118" t="str">
        <f>+IF(AND(G33="",A34=""),"",IF(OR(A34=G33,A34=0),G33,IF(VLOOKUP(MATCH(A34,tid,0),tao,'12(id)'!$U$20,FALSE)&gt;1,IF(AND(VLOOKUP(MATCH(A34,tid,0),tao,'12(id)'!$L$20,FALSE)=VLOOKUP(MATCH(G33,tid,0),tao,'12(id)'!$L$20,FALSE),X34&gt;X33),G33,IF(AND(X34="",VLOOKUP(MATCH(A34,tid,0),tao,'12(id)'!$U$20,FALSE)=VLOOKUP(MATCH(G33,tid,0),tao,'12(id)'!$U$20,FALSE)),G33,A34)),A34)))</f>
        <v>8303-01</v>
      </c>
      <c r="H34" s="5952"/>
      <c r="I34" s="4499">
        <f t="shared" si="7"/>
        <v>11</v>
      </c>
      <c r="J34" s="9064"/>
      <c r="K34" s="8971"/>
      <c r="L34" s="9064"/>
      <c r="M34" s="9064"/>
      <c r="N34" s="8971"/>
      <c r="O34" s="10053" t="str">
        <f>+IF(ISERROR(MATCH(L34,tid,0)),"",VLOOKUP(MATCH(L34,tid,0),tao,'12(id)'!$Q$20,FALSE))</f>
        <v/>
      </c>
      <c r="P34" s="8818"/>
      <c r="Q34" s="10046"/>
      <c r="R34" s="10039"/>
      <c r="S34" s="10039"/>
      <c r="T34" s="10019"/>
      <c r="U34" s="10030"/>
      <c r="V34" s="10116"/>
      <c r="W34" s="8068" t="str">
        <f t="shared" si="2"/>
        <v>8303-01-02</v>
      </c>
      <c r="X34" s="3581">
        <v>2</v>
      </c>
      <c r="Y34" s="3582" t="str">
        <f>+IF(W34="","",IF(VLOOKUP(MATCH(W34,op_id,0),op,'7(op)'!$T$18,FALSE)="","",IF(VLOOKUP(MATCH(W34,op_id,0),op,'7(op)'!$Y$18,FALSE)="Rejected",VLOOKUP(MATCH(W34,op_id,0),op,'7(op)'!$T$18,FALSE)&amp;"-Rejected by Stk - REMOVE OPTION No.",VLOOKUP(MATCH(W34,op_id,0),op,'7(op)'!$T$18,FALSE))))</f>
        <v>SCR + HPWI + CO Catalyst</v>
      </c>
      <c r="Z34" s="3583">
        <f t="shared" ref="Z34:Z40" si="9">+IF(OR($W$33="",AA34=""),"",(AA34/$V$33)*$U$33)</f>
        <v>3.9420017292270605E-2</v>
      </c>
      <c r="AA34" s="3601">
        <f>+'A3(trc)'!F25</f>
        <v>10</v>
      </c>
      <c r="AB34" s="3585">
        <f>+IF($U$33="",IF($V$33="","",IF(AA34="","",($V$33-AA33)/$V$33)),IF(Z34="","",($U$33-Z34)/$U$33))</f>
        <v>0.94644019389637146</v>
      </c>
      <c r="AC34" s="3583">
        <f t="shared" ref="AC34:AC40" si="10">+IF(AG34="",IF(Z34="","",Z34),IF(AH34="lb/MMBtu",AG34,IF($U$33="","",IF(AH34="%",(1-AG34/100)*$U$33,IF(AH34="ppmvd",IF($V$33="","",(AG34/$V$33)*$U$33),"")))))</f>
        <v>3.9420017292270605E-2</v>
      </c>
      <c r="AD34" s="3601">
        <f t="shared" ref="AD34:AD40" si="11">+IF(AG34="",IF(AA34="","",AA34),IF(AH34="ppmvd",AG34,IF($V$33="","",IF(AH34="%",(1-AG34/100)*$V$33,IF(AH34="lb/MMBtu",IF(U$33="","",(AG34/$U$33)*$V$33),"")))))</f>
        <v>10</v>
      </c>
      <c r="AE34" s="3585">
        <f t="shared" ref="AE34:AE40" si="12">+IF(AG34="",IF(AB34="","",AB34),IF(AH34="%",AG34/100,IF($U$33="","",IF(AND(AH34="lb/MMBtu",AC34&gt;0,$U$33&gt;0),($U$33-AC34)/$U$33,IF(AND(AH34="ppmvd",AG34&gt;0,$V$33&gt;0),IF($V$33="","",($V$33-AG34)/$V$33),"")))))</f>
        <v>0.94644019389637146</v>
      </c>
      <c r="AF34" s="5952"/>
      <c r="AG34" s="8107"/>
      <c r="AH34" s="8105"/>
      <c r="AI34" s="8065" t="str">
        <f t="shared" si="8"/>
        <v/>
      </c>
      <c r="AJ34" s="3682"/>
      <c r="AK34" s="5952"/>
      <c r="AL34" s="5959"/>
      <c r="AM34" s="5959"/>
      <c r="AN34" s="5959"/>
      <c r="AO34" s="5959"/>
      <c r="AP34" s="5959"/>
      <c r="AQ34" s="5959"/>
    </row>
    <row r="35" spans="1:43" s="3561" customFormat="1" ht="25.5" customHeight="1">
      <c r="A35" s="10140">
        <f t="shared" si="4"/>
        <v>0</v>
      </c>
      <c r="B35" s="10147" t="e">
        <f>+IF(A35="","",VLOOKUP(MATCH(A35,tid,0),tao,'12(id)'!$J$20,FALSE))</f>
        <v>#N/A</v>
      </c>
      <c r="C35" s="8840" t="str">
        <f t="shared" si="6"/>
        <v/>
      </c>
      <c r="D35" s="8119" t="str">
        <f t="shared" si="5"/>
        <v>8303-01-03</v>
      </c>
      <c r="E35" s="5952"/>
      <c r="F35" s="5959"/>
      <c r="G35" s="8118" t="str">
        <f>+IF(AND(G34="",A35=""),"",IF(OR(A35=G34,A35=0),G34,IF(VLOOKUP(MATCH(A35,tid,0),tao,'12(id)'!$U$20,FALSE)&gt;1,IF(AND(VLOOKUP(MATCH(A35,tid,0),tao,'12(id)'!$L$20,FALSE)=VLOOKUP(MATCH(G34,tid,0),tao,'12(id)'!$L$20,FALSE),X35&gt;X34),G34,IF(AND(X35="",VLOOKUP(MATCH(A35,tid,0),tao,'12(id)'!$U$20,FALSE)=VLOOKUP(MATCH(G34,tid,0),tao,'12(id)'!$U$20,FALSE)),G34,A35)),A35)))</f>
        <v>8303-01</v>
      </c>
      <c r="H35" s="5952"/>
      <c r="I35" s="4499">
        <f t="shared" si="7"/>
        <v>12</v>
      </c>
      <c r="J35" s="9064"/>
      <c r="K35" s="8971"/>
      <c r="L35" s="9064"/>
      <c r="M35" s="9064"/>
      <c r="N35" s="8971"/>
      <c r="O35" s="10053" t="str">
        <f>+IF(ISERROR(MATCH(L35,tid,0)),"",VLOOKUP(MATCH(L35,tid,0),tao,'12(id)'!$Q$20,FALSE))</f>
        <v/>
      </c>
      <c r="P35" s="8818"/>
      <c r="Q35" s="10046"/>
      <c r="R35" s="10039"/>
      <c r="S35" s="10039"/>
      <c r="T35" s="10019"/>
      <c r="U35" s="10030"/>
      <c r="V35" s="10116"/>
      <c r="W35" s="8073" t="str">
        <f t="shared" si="2"/>
        <v>8303-01-03</v>
      </c>
      <c r="X35" s="6078">
        <v>3</v>
      </c>
      <c r="Y35" s="6079" t="str">
        <f>+IF(W35="","",IF(VLOOKUP(MATCH(W35,op_id,0),op,'7(op)'!$T$18,FALSE)="","",IF(VLOOKUP(MATCH(W35,op_id,0),op,'7(op)'!$Y$18,FALSE)="Rejected",VLOOKUP(MATCH(W35,op_id,0),op,'7(op)'!$T$18,FALSE)&amp;"-Rejected by Stk - REMOVE OPTION No.",VLOOKUP(MATCH(W35,op_id,0),op,'7(op)'!$T$18,FALSE))))</f>
        <v>Selective Catalytic Reduction (SCR)</v>
      </c>
      <c r="Z35" s="6080">
        <f t="shared" si="9"/>
        <v>9.855004323067651E-2</v>
      </c>
      <c r="AA35" s="6081">
        <f>+'A3(trc)'!F26</f>
        <v>25</v>
      </c>
      <c r="AB35" s="6082">
        <f t="shared" ref="AB35:AB40" si="13">+IF($U$33="",IF($V$33="","",IF(AA35="","",($V$33-AA34)/$V$33)),IF(Z35="","",($U$33-Z35)/$U$33))</f>
        <v>0.8661004847409286</v>
      </c>
      <c r="AC35" s="6080">
        <f t="shared" si="10"/>
        <v>9.855004323067651E-2</v>
      </c>
      <c r="AD35" s="6081">
        <f t="shared" si="11"/>
        <v>25</v>
      </c>
      <c r="AE35" s="6082">
        <f t="shared" si="12"/>
        <v>0.8661004847409286</v>
      </c>
      <c r="AF35" s="5952"/>
      <c r="AG35" s="8120"/>
      <c r="AH35" s="8105"/>
      <c r="AI35" s="8065" t="str">
        <f t="shared" si="8"/>
        <v/>
      </c>
      <c r="AJ35" s="3687"/>
      <c r="AK35" s="5952"/>
      <c r="AL35" s="5959"/>
      <c r="AM35" s="5959"/>
      <c r="AN35" s="5959"/>
      <c r="AO35" s="5959"/>
      <c r="AP35" s="5959"/>
      <c r="AQ35" s="5959"/>
    </row>
    <row r="36" spans="1:43" s="3561" customFormat="1" ht="25.5" customHeight="1">
      <c r="A36" s="10140">
        <f t="shared" si="4"/>
        <v>0</v>
      </c>
      <c r="B36" s="10147" t="e">
        <f>+IF(A36="","",VLOOKUP(MATCH(A36,tid,0),tao,'12(id)'!$J$20,FALSE))</f>
        <v>#N/A</v>
      </c>
      <c r="C36" s="8840" t="str">
        <f t="shared" si="6"/>
        <v/>
      </c>
      <c r="D36" s="8117" t="str">
        <f t="shared" si="5"/>
        <v>8303-01-04</v>
      </c>
      <c r="E36" s="5952"/>
      <c r="F36" s="5959"/>
      <c r="G36" s="8118" t="str">
        <f>+IF(AND(G35="",A36=""),"",IF(OR(A36=G35,A36=0),G35,IF(VLOOKUP(MATCH(A36,tid,0),tao,'12(id)'!$U$20,FALSE)&gt;1,IF(AND(VLOOKUP(MATCH(A36,tid,0),tao,'12(id)'!$L$20,FALSE)=VLOOKUP(MATCH(G35,tid,0),tao,'12(id)'!$L$20,FALSE),X36&gt;X35),G35,IF(AND(X36="",VLOOKUP(MATCH(A36,tid,0),tao,'12(id)'!$U$20,FALSE)=VLOOKUP(MATCH(G35,tid,0),tao,'12(id)'!$U$20,FALSE)),G35,A36)),A36)))</f>
        <v>8303-01</v>
      </c>
      <c r="H36" s="5952"/>
      <c r="I36" s="4499">
        <f t="shared" si="7"/>
        <v>13</v>
      </c>
      <c r="J36" s="9064"/>
      <c r="K36" s="8971"/>
      <c r="L36" s="9064"/>
      <c r="M36" s="9064"/>
      <c r="N36" s="8971"/>
      <c r="O36" s="10053" t="str">
        <f>+IF(ISERROR(MATCH(L36,tid,0)),"",VLOOKUP(MATCH(L36,tid,0),tao,'12(id)'!$Q$20,FALSE))</f>
        <v/>
      </c>
      <c r="P36" s="8818"/>
      <c r="Q36" s="10046"/>
      <c r="R36" s="10039"/>
      <c r="S36" s="10039"/>
      <c r="T36" s="10019"/>
      <c r="U36" s="10030"/>
      <c r="V36" s="10116"/>
      <c r="W36" s="8068" t="str">
        <f t="shared" si="2"/>
        <v>8303-01-04</v>
      </c>
      <c r="X36" s="3581">
        <v>4</v>
      </c>
      <c r="Y36" s="3582" t="str">
        <f>+IF(W36="","",IF(VLOOKUP(MATCH(W36,op_id,0),op,'7(op)'!$T$18,FALSE)="","",IF(VLOOKUP(MATCH(W36,op_id,0),op,'7(op)'!$Y$18,FALSE)="Rejected",VLOOKUP(MATCH(W36,op_id,0),op,'7(op)'!$T$18,FALSE)&amp;"-Rejected by Stk - REMOVE OPTION No.",VLOOKUP(MATCH(W36,op_id,0),op,'7(op)'!$T$18,FALSE))))</f>
        <v>HPWI with Cookie Cutter Air Deflectors</v>
      </c>
      <c r="Z36" s="3583">
        <f t="shared" si="9"/>
        <v>0.19710008646135302</v>
      </c>
      <c r="AA36" s="3601">
        <f>+'A3(trc)'!F27</f>
        <v>50</v>
      </c>
      <c r="AB36" s="3585">
        <f t="shared" si="13"/>
        <v>0.73220096948185731</v>
      </c>
      <c r="AC36" s="3583">
        <f t="shared" si="10"/>
        <v>0.19710008646135302</v>
      </c>
      <c r="AD36" s="3601">
        <f t="shared" si="11"/>
        <v>50</v>
      </c>
      <c r="AE36" s="3585">
        <f t="shared" si="12"/>
        <v>0.73220096948185731</v>
      </c>
      <c r="AF36" s="5952"/>
      <c r="AG36" s="8107"/>
      <c r="AH36" s="8105"/>
      <c r="AI36" s="8065" t="str">
        <f t="shared" si="8"/>
        <v/>
      </c>
      <c r="AJ36" s="3682"/>
      <c r="AK36" s="5952"/>
      <c r="AL36" s="5959"/>
      <c r="AM36" s="5959"/>
      <c r="AN36" s="5959"/>
      <c r="AO36" s="5959"/>
      <c r="AP36" s="5959"/>
      <c r="AQ36" s="5959"/>
    </row>
    <row r="37" spans="1:43" s="3561" customFormat="1" ht="25.5" customHeight="1">
      <c r="A37" s="10140">
        <f t="shared" si="4"/>
        <v>0</v>
      </c>
      <c r="B37" s="10147" t="e">
        <f>+IF(A37="","",VLOOKUP(MATCH(A37,tid,0),tao,'12(id)'!$J$20,FALSE))</f>
        <v>#N/A</v>
      </c>
      <c r="C37" s="8840" t="str">
        <f t="shared" si="6"/>
        <v/>
      </c>
      <c r="D37" s="8121" t="str">
        <f t="shared" si="5"/>
        <v>8303-01-05</v>
      </c>
      <c r="E37" s="5952"/>
      <c r="F37" s="5959"/>
      <c r="G37" s="8118" t="str">
        <f>+IF(AND(G36="",A37=""),"",IF(OR(A37=G36,A37=0),G36,IF(VLOOKUP(MATCH(A37,tid,0),tao,'12(id)'!$U$20,FALSE)&gt;1,IF(AND(VLOOKUP(MATCH(A37,tid,0),tao,'12(id)'!$L$20,FALSE)=VLOOKUP(MATCH(G36,tid,0),tao,'12(id)'!$L$20,FALSE),X37&gt;X36),G36,IF(AND(X37="",VLOOKUP(MATCH(A37,tid,0),tao,'12(id)'!$U$20,FALSE)=VLOOKUP(MATCH(G36,tid,0),tao,'12(id)'!$U$20,FALSE)),G36,A37)),A37)))</f>
        <v>8303-01</v>
      </c>
      <c r="H37" s="5952"/>
      <c r="I37" s="4499">
        <f t="shared" si="7"/>
        <v>14</v>
      </c>
      <c r="J37" s="9064"/>
      <c r="K37" s="8971"/>
      <c r="L37" s="9064"/>
      <c r="M37" s="9064"/>
      <c r="N37" s="8971"/>
      <c r="O37" s="10053" t="str">
        <f>+IF(ISERROR(MATCH(L37,tid,0)),"",VLOOKUP(MATCH(L37,tid,0),tao,'12(id)'!$Q$20,FALSE))</f>
        <v/>
      </c>
      <c r="P37" s="8818"/>
      <c r="Q37" s="10046"/>
      <c r="R37" s="10039"/>
      <c r="S37" s="10039"/>
      <c r="T37" s="10019"/>
      <c r="U37" s="10030"/>
      <c r="V37" s="10116"/>
      <c r="W37" s="8069" t="str">
        <f t="shared" si="2"/>
        <v>8303-01-05</v>
      </c>
      <c r="X37" s="6095">
        <v>5</v>
      </c>
      <c r="Y37" s="6096" t="str">
        <f>+IF(W37="","",IF(VLOOKUP(MATCH(W37,op_id,0),op,'7(op)'!$T$18,FALSE)="","",IF(VLOOKUP(MATCH(W37,op_id,0),op,'7(op)'!$Y$18,FALSE)="Rejected",VLOOKUP(MATCH(W37,op_id,0),op,'7(op)'!$T$18,FALSE)&amp;"-Rejected by Stk - REMOVE OPTION No.",VLOOKUP(MATCH(W37,op_id,0),op,'7(op)'!$T$18,FALSE))))</f>
        <v>High Pressure Water Injection (HPWI) - Oil Kerosene K1</v>
      </c>
      <c r="Z37" s="6097">
        <f t="shared" si="9"/>
        <v>0.29565012969202958</v>
      </c>
      <c r="AA37" s="6100">
        <f>+'A3(trc)'!F28</f>
        <v>75</v>
      </c>
      <c r="AB37" s="6099">
        <f t="shared" si="13"/>
        <v>0.59830145422278591</v>
      </c>
      <c r="AC37" s="6097">
        <f t="shared" si="10"/>
        <v>0.29565012969202958</v>
      </c>
      <c r="AD37" s="6100">
        <f t="shared" si="11"/>
        <v>75</v>
      </c>
      <c r="AE37" s="6099">
        <f t="shared" si="12"/>
        <v>0.59830145422278591</v>
      </c>
      <c r="AF37" s="5952"/>
      <c r="AG37" s="8109"/>
      <c r="AH37" s="8105"/>
      <c r="AI37" s="8065" t="str">
        <f t="shared" si="8"/>
        <v/>
      </c>
      <c r="AJ37" s="3683"/>
      <c r="AK37" s="5952"/>
      <c r="AL37" s="5959"/>
      <c r="AM37" s="5959"/>
      <c r="AN37" s="5959"/>
      <c r="AO37" s="5959"/>
      <c r="AP37" s="5959"/>
      <c r="AQ37" s="5959"/>
    </row>
    <row r="38" spans="1:43" s="3561" customFormat="1" ht="25.5" customHeight="1">
      <c r="A38" s="10140">
        <f t="shared" si="4"/>
        <v>0</v>
      </c>
      <c r="B38" s="10147" t="e">
        <f>+IF(A38="","",VLOOKUP(MATCH(A38,tid,0),tao,'12(id)'!$J$20,FALSE))</f>
        <v>#N/A</v>
      </c>
      <c r="C38" s="8840">
        <f t="shared" si="6"/>
        <v>0</v>
      </c>
      <c r="D38" s="8117" t="str">
        <f t="shared" si="5"/>
        <v>8303-01-06</v>
      </c>
      <c r="E38" s="5952"/>
      <c r="F38" s="5959"/>
      <c r="G38" s="8118" t="str">
        <f>+IF(AND(G37="",A38=""),"",IF(OR(A38=G37,A38=0),G37,IF(VLOOKUP(MATCH(A38,tid,0),tao,'12(id)'!$U$20,FALSE)&gt;1,IF(AND(VLOOKUP(MATCH(A38,tid,0),tao,'12(id)'!$L$20,FALSE)=VLOOKUP(MATCH(G37,tid,0),tao,'12(id)'!$L$20,FALSE),X38&gt;X37),G37,IF(AND(X38="",VLOOKUP(MATCH(A38,tid,0),tao,'12(id)'!$U$20,FALSE)=VLOOKUP(MATCH(G37,tid,0),tao,'12(id)'!$U$20,FALSE)),G37,A38)),A38)))</f>
        <v>8303-01</v>
      </c>
      <c r="H38" s="5952"/>
      <c r="I38" s="4499">
        <f t="shared" si="7"/>
        <v>15</v>
      </c>
      <c r="J38" s="9064"/>
      <c r="K38" s="8971"/>
      <c r="L38" s="9064"/>
      <c r="M38" s="9064"/>
      <c r="N38" s="8971"/>
      <c r="O38" s="10053"/>
      <c r="P38" s="8818"/>
      <c r="Q38" s="10046"/>
      <c r="R38" s="10039"/>
      <c r="S38" s="10039"/>
      <c r="T38" s="10019"/>
      <c r="U38" s="10030"/>
      <c r="V38" s="10116"/>
      <c r="W38" s="8068" t="str">
        <f t="shared" si="2"/>
        <v>8303-01-06</v>
      </c>
      <c r="X38" s="3581">
        <v>6</v>
      </c>
      <c r="Y38" s="3582" t="str">
        <f>+IF(W38="","",IF(VLOOKUP(MATCH(W38,op_id,0),op,'7(op)'!$T$18,FALSE)="","",IF(VLOOKUP(MATCH(W38,op_id,0),op,'7(op)'!$Y$18,FALSE)="Rejected",VLOOKUP(MATCH(W38,op_id,0),op,'7(op)'!$T$18,FALSE)&amp;"-Rejected by Stk - REMOVE OPTION No.",VLOOKUP(MATCH(W38,op_id,0),op,'7(op)'!$T$18,FALSE))))</f>
        <v>Dual Fuel (Natural Gas with Liquid Backup)</v>
      </c>
      <c r="Z38" s="3583">
        <f t="shared" si="9"/>
        <v>0.47304020750724735</v>
      </c>
      <c r="AA38" s="3601">
        <f>+'A3(trc)'!F29</f>
        <v>120</v>
      </c>
      <c r="AB38" s="3585">
        <f t="shared" si="13"/>
        <v>0.35728232675645738</v>
      </c>
      <c r="AC38" s="3583">
        <f t="shared" si="10"/>
        <v>0.47304020750724735</v>
      </c>
      <c r="AD38" s="3601">
        <f t="shared" si="11"/>
        <v>120</v>
      </c>
      <c r="AE38" s="3585">
        <f t="shared" si="12"/>
        <v>0.35728232675645738</v>
      </c>
      <c r="AF38" s="5952"/>
      <c r="AG38" s="8107"/>
      <c r="AH38" s="8105"/>
      <c r="AI38" s="8065" t="str">
        <f t="shared" si="8"/>
        <v/>
      </c>
      <c r="AJ38" s="3682"/>
      <c r="AK38" s="5952"/>
      <c r="AL38" s="5959"/>
      <c r="AM38" s="5959"/>
      <c r="AN38" s="5959"/>
      <c r="AO38" s="5959"/>
      <c r="AP38" s="5959"/>
      <c r="AQ38" s="5959"/>
    </row>
    <row r="39" spans="1:43" s="3561" customFormat="1" ht="25.5" customHeight="1">
      <c r="A39" s="10140">
        <f t="shared" si="4"/>
        <v>0</v>
      </c>
      <c r="B39" s="10147" t="e">
        <f>+IF(A39="","",VLOOKUP(MATCH(A39,tid,0),tao,'12(id)'!$J$20,FALSE))</f>
        <v>#N/A</v>
      </c>
      <c r="C39" s="8840" t="str">
        <f t="shared" si="6"/>
        <v/>
      </c>
      <c r="D39" s="8117" t="str">
        <f t="shared" si="5"/>
        <v>8303-01-07</v>
      </c>
      <c r="E39" s="5952"/>
      <c r="F39" s="5959"/>
      <c r="G39" s="8118" t="str">
        <f>+IF(AND(G38="",A39=""),"",IF(OR(A39=G38,A39=0),G38,IF(VLOOKUP(MATCH(A39,tid,0),tao,'12(id)'!$U$20,FALSE)&gt;1,IF(AND(VLOOKUP(MATCH(A39,tid,0),tao,'12(id)'!$L$20,FALSE)=VLOOKUP(MATCH(G38,tid,0),tao,'12(id)'!$L$20,FALSE),X39&gt;X38),G38,IF(AND(X39="",VLOOKUP(MATCH(A39,tid,0),tao,'12(id)'!$U$20,FALSE)=VLOOKUP(MATCH(G38,tid,0),tao,'12(id)'!$U$20,FALSE)),G38,A39)),A39)))</f>
        <v>8303-01</v>
      </c>
      <c r="H39" s="5952"/>
      <c r="I39" s="4499">
        <f t="shared" si="7"/>
        <v>16</v>
      </c>
      <c r="J39" s="9064"/>
      <c r="K39" s="8971"/>
      <c r="L39" s="9064"/>
      <c r="M39" s="9064"/>
      <c r="N39" s="8971"/>
      <c r="O39" s="10053" t="str">
        <f>+IF(ISERROR(MATCH(L39,tid,0)),"",VLOOKUP(MATCH(L39,tid,0),tao,'12(id)'!$Q$20,FALSE))</f>
        <v/>
      </c>
      <c r="P39" s="8818"/>
      <c r="Q39" s="10046"/>
      <c r="R39" s="10039"/>
      <c r="S39" s="10039"/>
      <c r="T39" s="10019"/>
      <c r="U39" s="10030"/>
      <c r="V39" s="10116"/>
      <c r="W39" s="8074" t="str">
        <f t="shared" si="2"/>
        <v>8303-01-07</v>
      </c>
      <c r="X39" s="3602">
        <v>7</v>
      </c>
      <c r="Y39" s="3603" t="str">
        <f>+IF(W39="","",IF(VLOOKUP(MATCH(W39,op_id,0),op,'7(op)'!$T$18,FALSE)="","",IF(VLOOKUP(MATCH(W39,op_id,0),op,'7(op)'!$Y$18,FALSE)="Rejected",VLOOKUP(MATCH(W39,op_id,0),op,'7(op)'!$T$18,FALSE)&amp;"-Rejected by Stk - REMOVE OPTION No.",VLOOKUP(MATCH(W39,op_id,0),op,'7(op)'!$T$18,FALSE))))</f>
        <v>LM2500 DLE - new gas fired GE turbine</v>
      </c>
      <c r="Z39" s="3604">
        <f t="shared" si="9"/>
        <v>9.855004323067651E-2</v>
      </c>
      <c r="AA39" s="3605">
        <f>+'A3(trc)'!F30</f>
        <v>25</v>
      </c>
      <c r="AB39" s="3606">
        <f t="shared" si="13"/>
        <v>0.8661004847409286</v>
      </c>
      <c r="AC39" s="3604">
        <f t="shared" si="10"/>
        <v>9.855004323067651E-2</v>
      </c>
      <c r="AD39" s="3605">
        <f t="shared" si="11"/>
        <v>25</v>
      </c>
      <c r="AE39" s="3606">
        <f t="shared" si="12"/>
        <v>0.8661004847409286</v>
      </c>
      <c r="AF39" s="5952"/>
      <c r="AG39" s="8122"/>
      <c r="AH39" s="8105"/>
      <c r="AI39" s="8065" t="str">
        <f t="shared" si="8"/>
        <v/>
      </c>
      <c r="AJ39" s="3688"/>
      <c r="AK39" s="5952"/>
      <c r="AL39" s="5959"/>
      <c r="AM39" s="5959"/>
      <c r="AN39" s="5959"/>
      <c r="AO39" s="5959"/>
      <c r="AP39" s="5959"/>
      <c r="AQ39" s="5959"/>
    </row>
    <row r="40" spans="1:43" s="3561" customFormat="1" ht="25.5" customHeight="1">
      <c r="A40" s="10140">
        <f t="shared" si="4"/>
        <v>0</v>
      </c>
      <c r="B40" s="10147" t="e">
        <f>+IF(A40="","",VLOOKUP(MATCH(A40,tid,0),tao,'12(id)'!$J$20,FALSE))</f>
        <v>#N/A</v>
      </c>
      <c r="C40" s="8840" t="str">
        <f t="shared" si="6"/>
        <v/>
      </c>
      <c r="D40" s="8117" t="str">
        <f t="shared" si="5"/>
        <v>8303-01-08</v>
      </c>
      <c r="E40" s="5952"/>
      <c r="F40" s="5959"/>
      <c r="G40" s="8118" t="str">
        <f>+IF(AND(G39="",A40=""),"",IF(OR(A40=G39,A40=0),G39,IF(VLOOKUP(MATCH(A40,tid,0),tao,'12(id)'!$U$20,FALSE)&gt;1,IF(AND(VLOOKUP(MATCH(A40,tid,0),tao,'12(id)'!$L$20,FALSE)=VLOOKUP(MATCH(G39,tid,0),tao,'12(id)'!$L$20,FALSE),X40&gt;X39),G39,IF(AND(X40="",VLOOKUP(MATCH(A40,tid,0),tao,'12(id)'!$U$20,FALSE)=VLOOKUP(MATCH(G39,tid,0),tao,'12(id)'!$U$20,FALSE)),G39,A40)),A40)))</f>
        <v>8303-01</v>
      </c>
      <c r="H40" s="5952"/>
      <c r="I40" s="4499">
        <f t="shared" si="7"/>
        <v>17</v>
      </c>
      <c r="J40" s="9064"/>
      <c r="K40" s="8971"/>
      <c r="L40" s="9064"/>
      <c r="M40" s="9064"/>
      <c r="N40" s="8971"/>
      <c r="O40" s="10053" t="str">
        <f>+IF(ISERROR(MATCH(L40,tid,0)),"",VLOOKUP(MATCH(L40,tid,0),tao,'12(id)'!$Q$20,FALSE))</f>
        <v/>
      </c>
      <c r="P40" s="8818"/>
      <c r="Q40" s="10046"/>
      <c r="R40" s="10039"/>
      <c r="S40" s="10039"/>
      <c r="T40" s="10019"/>
      <c r="U40" s="10030"/>
      <c r="V40" s="10116"/>
      <c r="W40" s="8074" t="str">
        <f t="shared" si="2"/>
        <v>8303-01-08</v>
      </c>
      <c r="X40" s="3602">
        <v>8</v>
      </c>
      <c r="Y40" s="3603" t="str">
        <f>+IF(W40="","",IF(VLOOKUP(MATCH(W40,op_id,0),op,'7(op)'!$T$18,FALSE)="","",IF(VLOOKUP(MATCH(W40,op_id,0),op,'7(op)'!$Y$18,FALSE)="Rejected",VLOOKUP(MATCH(W40,op_id,0),op,'7(op)'!$T$18,FALSE)&amp;"-Rejected by Stk - REMOVE OPTION No.",VLOOKUP(MATCH(W40,op_id,0),op,'7(op)'!$T$18,FALSE))))</f>
        <v>LM2500 - new oil fired GE turbine</v>
      </c>
      <c r="Z40" s="3604">
        <f t="shared" si="9"/>
        <v>0.16556407262753656</v>
      </c>
      <c r="AA40" s="3605">
        <f>+'A3(trc)'!F31</f>
        <v>42</v>
      </c>
      <c r="AB40" s="3606">
        <f t="shared" si="13"/>
        <v>0.77504881436476003</v>
      </c>
      <c r="AC40" s="3604">
        <f t="shared" si="10"/>
        <v>0.16556407262753656</v>
      </c>
      <c r="AD40" s="3605">
        <f t="shared" si="11"/>
        <v>42</v>
      </c>
      <c r="AE40" s="3606">
        <f t="shared" si="12"/>
        <v>0.77504881436476003</v>
      </c>
      <c r="AF40" s="5952"/>
      <c r="AG40" s="8122"/>
      <c r="AH40" s="8105"/>
      <c r="AI40" s="8065" t="str">
        <f t="shared" si="8"/>
        <v/>
      </c>
      <c r="AJ40" s="3688"/>
      <c r="AK40" s="5952"/>
      <c r="AL40" s="5959"/>
      <c r="AM40" s="5959"/>
      <c r="AN40" s="5959"/>
      <c r="AO40" s="5959"/>
      <c r="AP40" s="5959"/>
      <c r="AQ40" s="5959"/>
    </row>
    <row r="41" spans="1:43" s="3561" customFormat="1" ht="21" customHeight="1" thickBot="1">
      <c r="A41" s="10141">
        <f t="shared" si="4"/>
        <v>0</v>
      </c>
      <c r="B41" s="10148" t="e">
        <f>+IF(A41="","",VLOOKUP(MATCH(A41,tid,0),tao,'12(id)'!$J$20,FALSE))</f>
        <v>#N/A</v>
      </c>
      <c r="C41" s="9163" t="str">
        <f t="shared" si="6"/>
        <v/>
      </c>
      <c r="D41" s="8112" t="str">
        <f t="shared" si="5"/>
        <v/>
      </c>
      <c r="E41" s="5952"/>
      <c r="F41" s="5959"/>
      <c r="G41" s="8098" t="str">
        <f>+IF(AND(G40="",A41=""),"",IF(OR(A41=G40,A41=0),G40,IF(VLOOKUP(MATCH(A41,tid,0),tao,'12(id)'!$U$20,FALSE)&gt;1,IF(AND(VLOOKUP(MATCH(A41,tid,0),tao,'12(id)'!$L$20,FALSE)=VLOOKUP(MATCH(G40,tid,0),tao,'12(id)'!$L$20,FALSE),X41&gt;X40),G40,IF(AND(X41="",VLOOKUP(MATCH(A41,tid,0),tao,'12(id)'!$U$20,FALSE)=VLOOKUP(MATCH(G40,tid,0),tao,'12(id)'!$U$20,FALSE)),G40,A41)),A41)))</f>
        <v>8303-01</v>
      </c>
      <c r="H41" s="5952"/>
      <c r="I41" s="4499">
        <f t="shared" si="7"/>
        <v>18</v>
      </c>
      <c r="J41" s="9065"/>
      <c r="K41" s="9061"/>
      <c r="L41" s="9065"/>
      <c r="M41" s="9065"/>
      <c r="N41" s="9061"/>
      <c r="O41" s="10089" t="str">
        <f>+IF(ISERROR(MATCH(L41,tid,0)),"",VLOOKUP(MATCH(L41,tid,0),tao,'12(id)'!$Q$20,FALSE))</f>
        <v/>
      </c>
      <c r="P41" s="8860"/>
      <c r="Q41" s="10102"/>
      <c r="R41" s="10118"/>
      <c r="S41" s="10118"/>
      <c r="T41" s="10119"/>
      <c r="U41" s="10114"/>
      <c r="V41" s="10117"/>
      <c r="W41" s="8071" t="str">
        <f t="shared" si="2"/>
        <v/>
      </c>
      <c r="X41" s="3592"/>
      <c r="Y41" s="3607" t="str">
        <f>+IF(W41="","",IF(VLOOKUP(MATCH(W41,op_id,0),op,'7(op)'!$T$18,FALSE)="","",IF(VLOOKUP(MATCH(W41,op_id,0),op,'7(op)'!$Y$18,FALSE)="Rejected",VLOOKUP(MATCH(W41,op_id,0),op,'7(op)'!$T$18,FALSE)&amp;"-Rejected by Stk - REMOVE OPTION No.",VLOOKUP(MATCH(W41,op_id,0),op,'7(op)'!$T$18,FALSE))))</f>
        <v/>
      </c>
      <c r="Z41" s="3593"/>
      <c r="AA41" s="3594"/>
      <c r="AB41" s="3595"/>
      <c r="AC41" s="3593"/>
      <c r="AD41" s="3594"/>
      <c r="AE41" s="3595"/>
      <c r="AF41" s="5952"/>
      <c r="AG41" s="8113"/>
      <c r="AH41" s="8105"/>
      <c r="AI41" s="8065" t="str">
        <f t="shared" si="8"/>
        <v/>
      </c>
      <c r="AJ41" s="3685"/>
      <c r="AK41" s="5952"/>
      <c r="AL41" s="5959"/>
      <c r="AM41" s="5959"/>
      <c r="AN41" s="5959"/>
      <c r="AO41" s="5959"/>
      <c r="AP41" s="5959"/>
      <c r="AQ41" s="5959"/>
    </row>
    <row r="42" spans="1:43" s="3561" customFormat="1" ht="25.5" customHeight="1">
      <c r="A42" s="10145" t="str">
        <f t="shared" si="4"/>
        <v>8304-01</v>
      </c>
      <c r="B42" s="10146" t="str">
        <f>+IF(A42="","",VLOOKUP(MATCH(A42,tid,0),tao,'12(id)'!$J$20,FALSE))</f>
        <v>NPU</v>
      </c>
      <c r="C42" s="8839" t="str">
        <f t="shared" si="6"/>
        <v>TRBINE</v>
      </c>
      <c r="D42" s="8114" t="str">
        <f t="shared" si="5"/>
        <v>8304-01-01</v>
      </c>
      <c r="E42" s="5952"/>
      <c r="F42" s="5959"/>
      <c r="G42" s="8115" t="str">
        <f>+IF(AND(G41="",A42=""),"",IF(OR(A42=G41,A42=0),G41,IF(VLOOKUP(MATCH(A42,tid,0),tao,'12(id)'!$U$20,FALSE)&gt;1,IF(AND(VLOOKUP(MATCH(A42,tid,0),tao,'12(id)'!$L$20,FALSE)=VLOOKUP(MATCH(G41,tid,0),tao,'12(id)'!$L$20,FALSE),X42&gt;X41),G41,IF(AND(X42="",VLOOKUP(MATCH(A42,tid,0),tao,'12(id)'!$U$20,FALSE)=VLOOKUP(MATCH(G41,tid,0),tao,'12(id)'!$U$20,FALSE)),G41,A42)),A42)))</f>
        <v>8304-01</v>
      </c>
      <c r="H42" s="5952"/>
      <c r="I42" s="4499">
        <f t="shared" si="7"/>
        <v>19</v>
      </c>
      <c r="J42" s="9063">
        <v>4</v>
      </c>
      <c r="K42" s="9060" t="str">
        <f>+IF(M42="","",VLOOKUP(MATCH(M42,tid,0),tao,'12(id)'!$I$20,FALSE))</f>
        <v>Norwich Public Utilities</v>
      </c>
      <c r="L42" s="9063" t="s">
        <v>288</v>
      </c>
      <c r="M42" s="9063" t="s">
        <v>289</v>
      </c>
      <c r="N42" s="9060" t="str">
        <f>+IF(M42="","",VLOOKUP(MATCH(M42,tid,0),tao,'12(id)'!$L$20,FALSE))</f>
        <v>Norwich</v>
      </c>
      <c r="O42" s="10112" t="str">
        <f>+IF(ISERROR(MATCH(M42,tid,0)),"",VLOOKUP(MATCH(M42,tid,0),tao,'12(id)'!$Q$20,FALSE))</f>
        <v>TRBINE</v>
      </c>
      <c r="P42" s="8817">
        <f>+IF(M42="","",VLOOKUP(MATCH(M42,tid,0),tao,'12(id)'!$U$20,FALSE))</f>
        <v>1</v>
      </c>
      <c r="Q42" s="10066">
        <f>+IF(ISERROR(MATCH(M42,tid,0)),"",IF(VLOOKUP(MATCH(M42,tid,0),tao,'12(id)'!$CT$20,FALSE)="","",VLOOKUP(MATCH(M42,tid,0),tao,'12(id)'!$CT$20,FALSE)))</f>
        <v>18.8</v>
      </c>
      <c r="R42" s="10043" t="str">
        <f>+IF(M42="","",IF(VLOOKUP(MATCH(M42,tid,0),tao,'12(id)'!$T$20,FALSE)="","",VLOOKUP(MATCH(M42,tid,0),tao,'12(id)'!$T$20,FALSE)))</f>
        <v>Combustion Turbine</v>
      </c>
      <c r="S42" s="10043" t="str">
        <f>+IF(ISERROR(MATCH(M42,tid,0)),"",IF(VLOOKUP(MATCH(M42,tid,0),tao,'12(id)'!$CO$20,FALSE)="","",VLOOKUP(MATCH(M42,tid,0),tao,'12(id)'!$CO$20,FALSE)))</f>
        <v>Rolls Royce</v>
      </c>
      <c r="T42" s="10045" t="str">
        <f>+IF(ISERROR(MATCH(M42,tid,0)),"",IF(VLOOKUP(MATCH(M42,tid,0),tao,'12(id)'!$CP$20,FALSE)="","",VLOOKUP(MATCH(M42,tid,0),tao,'12(id)'!$CP$20,FALSE)))</f>
        <v>Olympus B</v>
      </c>
      <c r="U42" s="10013">
        <f>+IF(ISERROR(MATCH(M42,tid,0)),"",IF(VLOOKUP(MATCH(M42,tid,0),tao,'12(id)'!$HJ$20,FALSE)="","",VLOOKUP(MATCH(M42,tid,0),tao,'12(id)'!$HJ$20,FALSE)))</f>
        <v>0.55300000000000005</v>
      </c>
      <c r="V42" s="10016">
        <f>+IF(ISERROR(MATCH(M42,tid,0)),"",IF(VLOOKUP(MATCH(M42,tid,0),tao,'12(id)'!$HK$20,FALSE)="","",VLOOKUP(MATCH(M42,tid,0),tao,'12(id)'!$HK$20,FALSE)))</f>
        <v>141.31</v>
      </c>
      <c r="W42" s="8072" t="str">
        <f t="shared" si="2"/>
        <v>8304-01-01</v>
      </c>
      <c r="X42" s="3596">
        <v>1</v>
      </c>
      <c r="Y42" s="3597" t="str">
        <f>+IF(W42="","",IF(VLOOKUP(MATCH(W42,op_id,0),op,'7(op)'!$T$18,FALSE)="","",IF(VLOOKUP(MATCH(W42,op_id,0),op,'7(op)'!$Y$18,FALSE)="Rejected",VLOOKUP(MATCH(W42,op_id,0),op,'7(op)'!$T$18,FALSE)&amp;"-Rejected by Stk - REMOVE OPTION No.",VLOOKUP(MATCH(W42,op_id,0),op,'7(op)'!$T$18,FALSE))))</f>
        <v>SCR + HPWI + Dual Fuel (Nat Gas - oil backup)</v>
      </c>
      <c r="Z42" s="3598">
        <f>+IF(OR($W$42="",AA42=""),"",(AA42/$V$42)*$U$42)</f>
        <v>2.3480291557568471E-2</v>
      </c>
      <c r="AA42" s="3599">
        <v>6</v>
      </c>
      <c r="AB42" s="3600">
        <f>+IF($U$42="",IF($V$42="","",IF(AA42="","",($V$42-AA42)/$V$42)),IF(Z42="","",($U$42-Z42)/$U$42))</f>
        <v>0.95754015993206421</v>
      </c>
      <c r="AC42" s="3598">
        <f>+IF(AG42="",IF(Z42="","",Z42),IF(AH42="lb/MMBtu",AG42,IF($U$42="","",IF(AH42="%",(1-AG42/100)*$U$42,IF(AH42="ppmvd",IF($V$42="","",(AG42/$V$42)*$U$42),"")))))</f>
        <v>2.3480291557568471E-2</v>
      </c>
      <c r="AD42" s="3599">
        <f>+IF(AG42="",IF(AA42="","",AA42),IF(AH42="ppmvd",AG42,IF($V$42="","",IF(AH42="%",(1-AG42/100)*$V$42,IF(AH42="lb/MMBtu",IF(U$42="","",(AG42/$U$42)*$V$42),"")))))</f>
        <v>6</v>
      </c>
      <c r="AE42" s="3600">
        <f>+IF(AG42="",IF(AB42="","",AB42),IF(AH42="%",AG42/100,IF($U$42="","",IF(AND(AH42="lb/MMBtu",AC42&gt;0,$U$42&gt;0),($U$42-AC42)/$U$42,IF(AND(AH42="ppmvd",AG42&gt;0,$V$42&gt;0),IF($V$42="","",($V$42-AG42)/$V$42),"")))))</f>
        <v>0.95754015993206421</v>
      </c>
      <c r="AF42" s="5952"/>
      <c r="AG42" s="8116"/>
      <c r="AH42" s="8105"/>
      <c r="AI42" s="8065" t="str">
        <f t="shared" si="8"/>
        <v/>
      </c>
      <c r="AJ42" s="3686"/>
      <c r="AK42" s="5952"/>
      <c r="AL42" s="5959"/>
      <c r="AM42" s="5959"/>
      <c r="AN42" s="5959"/>
      <c r="AO42" s="5959"/>
      <c r="AP42" s="5959"/>
      <c r="AQ42" s="5959"/>
    </row>
    <row r="43" spans="1:43" s="3561" customFormat="1" ht="25.5" customHeight="1">
      <c r="A43" s="10140">
        <f t="shared" si="4"/>
        <v>0</v>
      </c>
      <c r="B43" s="10147" t="e">
        <f>+IF(A43="","",VLOOKUP(MATCH(A43,tid,0),tao,'12(id)'!$J$20,FALSE))</f>
        <v>#N/A</v>
      </c>
      <c r="C43" s="8840" t="str">
        <f t="shared" si="6"/>
        <v/>
      </c>
      <c r="D43" s="8117" t="str">
        <f t="shared" si="5"/>
        <v>8304-01-02</v>
      </c>
      <c r="E43" s="5952"/>
      <c r="F43" s="5959"/>
      <c r="G43" s="8118" t="str">
        <f>+IF(AND(G42="",A43=""),"",IF(OR(A43=G42,A43=0),G42,IF(VLOOKUP(MATCH(A43,tid,0),tao,'12(id)'!$U$20,FALSE)&gt;1,IF(AND(VLOOKUP(MATCH(A43,tid,0),tao,'12(id)'!$L$20,FALSE)=VLOOKUP(MATCH(G42,tid,0),tao,'12(id)'!$L$20,FALSE),X43&gt;X42),G42,IF(AND(X43="",VLOOKUP(MATCH(A43,tid,0),tao,'12(id)'!$U$20,FALSE)=VLOOKUP(MATCH(G42,tid,0),tao,'12(id)'!$U$20,FALSE)),G42,A43)),A43)))</f>
        <v>8304-01</v>
      </c>
      <c r="H43" s="5952"/>
      <c r="I43" s="4499">
        <f t="shared" si="7"/>
        <v>20</v>
      </c>
      <c r="J43" s="9064"/>
      <c r="K43" s="8971"/>
      <c r="L43" s="9064"/>
      <c r="M43" s="9064"/>
      <c r="N43" s="8971"/>
      <c r="O43" s="10107" t="str">
        <f>+IF(ISERROR(MATCH(L43,tid,0)),"",VLOOKUP(MATCH(L43,tid,0),tao,'12(id)'!$Q$20,FALSE))</f>
        <v/>
      </c>
      <c r="P43" s="8818"/>
      <c r="Q43" s="10046"/>
      <c r="R43" s="10039"/>
      <c r="S43" s="10039"/>
      <c r="T43" s="10019"/>
      <c r="U43" s="10014"/>
      <c r="V43" s="10017"/>
      <c r="W43" s="8068" t="str">
        <f t="shared" si="2"/>
        <v>8304-01-02</v>
      </c>
      <c r="X43" s="3581">
        <v>2</v>
      </c>
      <c r="Y43" s="3582" t="str">
        <f>+IF(W43="","",IF(VLOOKUP(MATCH(W43,op_id,0),op,'7(op)'!$T$18,FALSE)="","",IF(VLOOKUP(MATCH(W43,op_id,0),op,'7(op)'!$Y$18,FALSE)="Rejected",VLOOKUP(MATCH(W43,op_id,0),op,'7(op)'!$T$18,FALSE)&amp;"-Rejected by Stk - REMOVE OPTION No.",VLOOKUP(MATCH(W43,op_id,0),op,'7(op)'!$T$18,FALSE))))</f>
        <v>SCR + Water Injection (HPWI) - oil # 2</v>
      </c>
      <c r="Z43" s="3583">
        <f t="shared" ref="Z43:Z48" si="14">+IF(OR($W$42="",AA43=""),"",(AA43/$V$42)*$U$42)</f>
        <v>3.5220437336352696E-2</v>
      </c>
      <c r="AA43" s="3601">
        <v>9</v>
      </c>
      <c r="AB43" s="3585">
        <f t="shared" ref="AB43:AB48" si="15">+IF($U$42="",IF($V$42="","",IF(AA43="","",($V$42-AA43)/$V$42)),IF(Z43="","",($U$42-Z43)/$U$42))</f>
        <v>0.93631023989809636</v>
      </c>
      <c r="AC43" s="3583">
        <f t="shared" ref="AC43:AC48" si="16">+IF(AG43="",IF(Z43="","",Z43),IF(AH43="lb/MMBtu",AG43,IF($U$42="","",IF(AH43="%",(1-AG43/100)*$U$42,IF(AH43="ppmvd",IF($V$42="","",(AG43/$V$42)*$U$42),"")))))</f>
        <v>3.5220437336352696E-2</v>
      </c>
      <c r="AD43" s="3601">
        <f t="shared" ref="AD43:AD48" si="17">+IF(AG43="",IF(AA43="","",AA43),IF(AH43="ppmvd",AG43,IF($V$42="","",IF(AH43="%",(1-AG43/100)*$V$42,IF(AH43="lb/MMBtu",IF(U$42="","",(AG43/$U$42)*$V$42),"")))))</f>
        <v>9</v>
      </c>
      <c r="AE43" s="3585">
        <f t="shared" ref="AE43:AE48" si="18">+IF(AG43="",IF(AB43="","",AB43),IF(AH43="%",AG43/100,IF($U$42="","",IF(AND(AH43="lb/MMBtu",AC43&gt;0,$U$42&gt;0),($U$42-AC43)/$U$42,IF(AND(AH43="ppmvd",AG43&gt;0,$V$42&gt;0),IF($V$42="","",($V$42-AG43)/$V$42),"")))))</f>
        <v>0.93631023989809636</v>
      </c>
      <c r="AF43" s="5952"/>
      <c r="AG43" s="8107"/>
      <c r="AH43" s="8105"/>
      <c r="AI43" s="8065" t="str">
        <f t="shared" si="8"/>
        <v/>
      </c>
      <c r="AJ43" s="3682"/>
      <c r="AK43" s="5952"/>
      <c r="AL43" s="5959"/>
      <c r="AM43" s="5959"/>
      <c r="AN43" s="5959"/>
      <c r="AO43" s="5959"/>
      <c r="AP43" s="5959"/>
      <c r="AQ43" s="5959"/>
    </row>
    <row r="44" spans="1:43" s="3561" customFormat="1" ht="25.5" customHeight="1">
      <c r="A44" s="10140">
        <f t="shared" si="4"/>
        <v>0</v>
      </c>
      <c r="B44" s="10147" t="e">
        <f>+IF(A44="","",VLOOKUP(MATCH(A44,tid,0),tao,'12(id)'!$J$20,FALSE))</f>
        <v>#N/A</v>
      </c>
      <c r="C44" s="8840" t="str">
        <f t="shared" si="6"/>
        <v/>
      </c>
      <c r="D44" s="8119" t="str">
        <f t="shared" si="5"/>
        <v>8304-01-03</v>
      </c>
      <c r="E44" s="5952"/>
      <c r="F44" s="5959"/>
      <c r="G44" s="8118" t="str">
        <f>+IF(AND(G43="",A44=""),"",IF(OR(A44=G43,A44=0),G43,IF(VLOOKUP(MATCH(A44,tid,0),tao,'12(id)'!$U$20,FALSE)&gt;1,IF(AND(VLOOKUP(MATCH(A44,tid,0),tao,'12(id)'!$L$20,FALSE)=VLOOKUP(MATCH(G43,tid,0),tao,'12(id)'!$L$20,FALSE),X44&gt;X43),G43,IF(AND(X44="",VLOOKUP(MATCH(A44,tid,0),tao,'12(id)'!$U$20,FALSE)=VLOOKUP(MATCH(G43,tid,0),tao,'12(id)'!$U$20,FALSE)),G43,A44)),A44)))</f>
        <v>8304-01</v>
      </c>
      <c r="H44" s="5952"/>
      <c r="I44" s="4499">
        <f t="shared" si="7"/>
        <v>21</v>
      </c>
      <c r="J44" s="9064"/>
      <c r="K44" s="8971"/>
      <c r="L44" s="9064"/>
      <c r="M44" s="9064"/>
      <c r="N44" s="8971"/>
      <c r="O44" s="10107" t="str">
        <f>+IF(ISERROR(MATCH(L44,tid,0)),"",VLOOKUP(MATCH(L44,tid,0),tao,'12(id)'!$Q$20,FALSE))</f>
        <v/>
      </c>
      <c r="P44" s="8818"/>
      <c r="Q44" s="10046"/>
      <c r="R44" s="10039"/>
      <c r="S44" s="10039"/>
      <c r="T44" s="10019"/>
      <c r="U44" s="10014"/>
      <c r="V44" s="10017"/>
      <c r="W44" s="8073" t="str">
        <f t="shared" si="2"/>
        <v>8304-01-03</v>
      </c>
      <c r="X44" s="6078">
        <v>3</v>
      </c>
      <c r="Y44" s="6079" t="str">
        <f>+IF(W44="","",IF(VLOOKUP(MATCH(W44,op_id,0),op,'7(op)'!$T$18,FALSE)="","",IF(VLOOKUP(MATCH(W44,op_id,0),op,'7(op)'!$Y$18,FALSE)="Rejected",VLOOKUP(MATCH(W44,op_id,0),op,'7(op)'!$T$18,FALSE)&amp;"-Rejected by Stk - REMOVE OPTION No.",VLOOKUP(MATCH(W44,op_id,0),op,'7(op)'!$T$18,FALSE))))</f>
        <v>Selective Catalytic Reduction (SCR)</v>
      </c>
      <c r="Z44" s="6080">
        <f t="shared" si="14"/>
        <v>9.7834548156535278E-2</v>
      </c>
      <c r="AA44" s="6081">
        <v>25</v>
      </c>
      <c r="AB44" s="6082">
        <f t="shared" si="15"/>
        <v>0.82308399971693447</v>
      </c>
      <c r="AC44" s="6080">
        <f t="shared" si="16"/>
        <v>5.5299999999999995E-2</v>
      </c>
      <c r="AD44" s="6081">
        <f t="shared" si="17"/>
        <v>14.130999999999997</v>
      </c>
      <c r="AE44" s="6082">
        <f t="shared" si="18"/>
        <v>0.9</v>
      </c>
      <c r="AF44" s="5952"/>
      <c r="AG44" s="8120">
        <v>90</v>
      </c>
      <c r="AH44" s="8105" t="s">
        <v>417</v>
      </c>
      <c r="AI44" s="8065" t="str">
        <f t="shared" si="8"/>
        <v/>
      </c>
      <c r="AJ44" s="3687"/>
      <c r="AK44" s="5952"/>
      <c r="AL44" s="5959"/>
      <c r="AM44" s="5959"/>
      <c r="AN44" s="5959"/>
      <c r="AO44" s="5959"/>
      <c r="AP44" s="5959"/>
      <c r="AQ44" s="5959"/>
    </row>
    <row r="45" spans="1:43" s="3561" customFormat="1" ht="25.5" customHeight="1">
      <c r="A45" s="10140">
        <f t="shared" si="4"/>
        <v>0</v>
      </c>
      <c r="B45" s="10147" t="e">
        <f>+IF(A45="","",VLOOKUP(MATCH(A45,tid,0),tao,'12(id)'!$J$20,FALSE))</f>
        <v>#N/A</v>
      </c>
      <c r="C45" s="8840" t="str">
        <f t="shared" si="6"/>
        <v/>
      </c>
      <c r="D45" s="8121" t="str">
        <f t="shared" si="5"/>
        <v>8304-01-04</v>
      </c>
      <c r="E45" s="5952"/>
      <c r="F45" s="5959"/>
      <c r="G45" s="8118" t="str">
        <f>+IF(AND(G44="",A45=""),"",IF(OR(A45=G44,A45=0),G44,IF(VLOOKUP(MATCH(A45,tid,0),tao,'12(id)'!$U$20,FALSE)&gt;1,IF(AND(VLOOKUP(MATCH(A45,tid,0),tao,'12(id)'!$L$20,FALSE)=VLOOKUP(MATCH(G44,tid,0),tao,'12(id)'!$L$20,FALSE),X45&gt;X44),G44,IF(AND(X45="",VLOOKUP(MATCH(A45,tid,0),tao,'12(id)'!$U$20,FALSE)=VLOOKUP(MATCH(G44,tid,0),tao,'12(id)'!$U$20,FALSE)),G44,A45)),A45)))</f>
        <v>8304-01</v>
      </c>
      <c r="H45" s="5952"/>
      <c r="I45" s="4499">
        <f t="shared" si="7"/>
        <v>22</v>
      </c>
      <c r="J45" s="9064"/>
      <c r="K45" s="8971"/>
      <c r="L45" s="9064"/>
      <c r="M45" s="9064"/>
      <c r="N45" s="8971"/>
      <c r="O45" s="10107" t="str">
        <f>+IF(ISERROR(MATCH(L45,tid,0)),"",VLOOKUP(MATCH(L45,tid,0),tao,'12(id)'!$Q$20,FALSE))</f>
        <v/>
      </c>
      <c r="P45" s="8818"/>
      <c r="Q45" s="10046"/>
      <c r="R45" s="10039"/>
      <c r="S45" s="10039"/>
      <c r="T45" s="10019"/>
      <c r="U45" s="10014"/>
      <c r="V45" s="10017"/>
      <c r="W45" s="8069" t="str">
        <f t="shared" si="2"/>
        <v>8304-01-04</v>
      </c>
      <c r="X45" s="6095">
        <v>4</v>
      </c>
      <c r="Y45" s="6096" t="str">
        <f>+IF(W45="","",IF(VLOOKUP(MATCH(W45,op_id,0),op,'7(op)'!$T$18,FALSE)="","",IF(VLOOKUP(MATCH(W45,op_id,0),op,'7(op)'!$Y$18,FALSE)="Rejected",VLOOKUP(MATCH(W45,op_id,0),op,'7(op)'!$T$18,FALSE)&amp;"-Rejected by Stk - REMOVE OPTION No.",VLOOKUP(MATCH(W45,op_id,0),op,'7(op)'!$T$18,FALSE))))</f>
        <v>High Pressure Water Injection (HPWI)</v>
      </c>
      <c r="Z45" s="6097">
        <f t="shared" si="14"/>
        <v>0.18392895053428635</v>
      </c>
      <c r="AA45" s="6100">
        <v>47</v>
      </c>
      <c r="AB45" s="6099">
        <f t="shared" si="15"/>
        <v>0.66739791946783655</v>
      </c>
      <c r="AC45" s="6097">
        <f t="shared" si="16"/>
        <v>0.18392895053428635</v>
      </c>
      <c r="AD45" s="6100">
        <f t="shared" si="17"/>
        <v>47</v>
      </c>
      <c r="AE45" s="6099">
        <f t="shared" si="18"/>
        <v>0.66739791946783655</v>
      </c>
      <c r="AF45" s="5952"/>
      <c r="AG45" s="8109"/>
      <c r="AH45" s="8105"/>
      <c r="AI45" s="8065" t="str">
        <f t="shared" si="8"/>
        <v/>
      </c>
      <c r="AJ45" s="3683"/>
      <c r="AK45" s="5952"/>
      <c r="AL45" s="5959"/>
      <c r="AM45" s="5959"/>
      <c r="AN45" s="5959"/>
      <c r="AO45" s="5959"/>
      <c r="AP45" s="5959"/>
      <c r="AQ45" s="5959"/>
    </row>
    <row r="46" spans="1:43" s="3561" customFormat="1" ht="25.5" customHeight="1">
      <c r="A46" s="10140">
        <f t="shared" si="4"/>
        <v>0</v>
      </c>
      <c r="B46" s="10147" t="e">
        <f>+IF(A46="","",VLOOKUP(MATCH(A46,tid,0),tao,'12(id)'!$J$20,FALSE))</f>
        <v>#N/A</v>
      </c>
      <c r="C46" s="8840">
        <f t="shared" si="6"/>
        <v>0</v>
      </c>
      <c r="D46" s="8117" t="str">
        <f t="shared" si="5"/>
        <v>8304-01-05</v>
      </c>
      <c r="E46" s="5952"/>
      <c r="F46" s="5959"/>
      <c r="G46" s="8118" t="str">
        <f>+IF(AND(G45="",A46=""),"",IF(OR(A46=G45,A46=0),G45,IF(VLOOKUP(MATCH(A46,tid,0),tao,'12(id)'!$U$20,FALSE)&gt;1,IF(AND(VLOOKUP(MATCH(A46,tid,0),tao,'12(id)'!$L$20,FALSE)=VLOOKUP(MATCH(G45,tid,0),tao,'12(id)'!$L$20,FALSE),X46&gt;X45),G45,IF(AND(X46="",VLOOKUP(MATCH(A46,tid,0),tao,'12(id)'!$U$20,FALSE)=VLOOKUP(MATCH(G45,tid,0),tao,'12(id)'!$U$20,FALSE)),G45,A46)),A46)))</f>
        <v>8304-01</v>
      </c>
      <c r="H46" s="5952"/>
      <c r="I46" s="4499">
        <f t="shared" si="7"/>
        <v>23</v>
      </c>
      <c r="J46" s="9064"/>
      <c r="K46" s="8971"/>
      <c r="L46" s="9064"/>
      <c r="M46" s="9064"/>
      <c r="N46" s="8971"/>
      <c r="O46" s="10107"/>
      <c r="P46" s="8818"/>
      <c r="Q46" s="10046"/>
      <c r="R46" s="10039"/>
      <c r="S46" s="10039"/>
      <c r="T46" s="10019"/>
      <c r="U46" s="10014"/>
      <c r="V46" s="10017"/>
      <c r="W46" s="8068" t="str">
        <f t="shared" si="2"/>
        <v>8304-01-05</v>
      </c>
      <c r="X46" s="3581">
        <v>5</v>
      </c>
      <c r="Y46" s="3582" t="str">
        <f>+IF(W46="","",IF(VLOOKUP(MATCH(W46,op_id,0),op,'7(op)'!$T$18,FALSE)="","",IF(VLOOKUP(MATCH(W46,op_id,0),op,'7(op)'!$Y$18,FALSE)="Rejected",VLOOKUP(MATCH(W46,op_id,0),op,'7(op)'!$T$18,FALSE)&amp;"-Rejected by Stk - REMOVE OPTION No.",VLOOKUP(MATCH(W46,op_id,0),op,'7(op)'!$T$18,FALSE))))</f>
        <v>Dual Fuel (Natural Gas with Liquid Backup)</v>
      </c>
      <c r="Z46" s="3583">
        <f t="shared" si="14"/>
        <v>0.352204373363527</v>
      </c>
      <c r="AA46" s="3601">
        <v>90</v>
      </c>
      <c r="AB46" s="3585">
        <f t="shared" si="15"/>
        <v>0.36310239898096386</v>
      </c>
      <c r="AC46" s="3583">
        <f t="shared" si="16"/>
        <v>0.352204373363527</v>
      </c>
      <c r="AD46" s="3601">
        <f t="shared" si="17"/>
        <v>90</v>
      </c>
      <c r="AE46" s="3585">
        <f t="shared" si="18"/>
        <v>0.36310239898096386</v>
      </c>
      <c r="AF46" s="5952"/>
      <c r="AG46" s="8107"/>
      <c r="AH46" s="8105"/>
      <c r="AI46" s="8065" t="str">
        <f t="shared" si="8"/>
        <v/>
      </c>
      <c r="AJ46" s="3682"/>
      <c r="AK46" s="5952"/>
      <c r="AL46" s="5959"/>
      <c r="AM46" s="5959"/>
      <c r="AN46" s="5959"/>
      <c r="AO46" s="5959"/>
      <c r="AP46" s="5959"/>
      <c r="AQ46" s="5959"/>
    </row>
    <row r="47" spans="1:43" s="3561" customFormat="1" ht="25.5" customHeight="1">
      <c r="A47" s="10140">
        <f t="shared" si="4"/>
        <v>0</v>
      </c>
      <c r="B47" s="10147" t="e">
        <f>+IF(A47="","",VLOOKUP(MATCH(A47,tid,0),tao,'12(id)'!$J$20,FALSE))</f>
        <v>#N/A</v>
      </c>
      <c r="C47" s="8840" t="str">
        <f t="shared" si="6"/>
        <v/>
      </c>
      <c r="D47" s="8117" t="str">
        <f t="shared" si="5"/>
        <v>8304-01-06</v>
      </c>
      <c r="E47" s="5952"/>
      <c r="F47" s="5959"/>
      <c r="G47" s="8118" t="str">
        <f>+IF(AND(G46="",A47=""),"",IF(OR(A47=G46,A47=0),G46,IF(VLOOKUP(MATCH(A47,tid,0),tao,'12(id)'!$U$20,FALSE)&gt;1,IF(AND(VLOOKUP(MATCH(A47,tid,0),tao,'12(id)'!$L$20,FALSE)=VLOOKUP(MATCH(G46,tid,0),tao,'12(id)'!$L$20,FALSE),X47&gt;X46),G46,IF(AND(X47="",VLOOKUP(MATCH(A47,tid,0),tao,'12(id)'!$U$20,FALSE)=VLOOKUP(MATCH(G46,tid,0),tao,'12(id)'!$U$20,FALSE)),G46,A47)),A47)))</f>
        <v>8304-01</v>
      </c>
      <c r="H47" s="5952"/>
      <c r="I47" s="4499">
        <f t="shared" si="7"/>
        <v>24</v>
      </c>
      <c r="J47" s="9064"/>
      <c r="K47" s="8971"/>
      <c r="L47" s="9064"/>
      <c r="M47" s="9064"/>
      <c r="N47" s="8971"/>
      <c r="O47" s="10107" t="str">
        <f>+IF(ISERROR(MATCH(L47,tid,0)),"",VLOOKUP(MATCH(L47,tid,0),tao,'12(id)'!$Q$20,FALSE))</f>
        <v/>
      </c>
      <c r="P47" s="8818"/>
      <c r="Q47" s="10046"/>
      <c r="R47" s="10039"/>
      <c r="S47" s="10039"/>
      <c r="T47" s="10019"/>
      <c r="U47" s="10014"/>
      <c r="V47" s="10017"/>
      <c r="W47" s="8074" t="str">
        <f t="shared" si="2"/>
        <v>8304-01-06</v>
      </c>
      <c r="X47" s="3602">
        <v>6</v>
      </c>
      <c r="Y47" s="3603" t="str">
        <f>+IF(W47="","",IF(VLOOKUP(MATCH(W47,op_id,0),op,'7(op)'!$T$18,FALSE)="","",IF(VLOOKUP(MATCH(W47,op_id,0),op,'7(op)'!$Y$18,FALSE)="Rejected",VLOOKUP(MATCH(W47,op_id,0),op,'7(op)'!$T$18,FALSE)&amp;"-Rejected by Stk - REMOVE OPTION No.",VLOOKUP(MATCH(W47,op_id,0),op,'7(op)'!$T$18,FALSE))))</f>
        <v>Solar Titan 130 - new dual fuel w/ SoLoNOx</v>
      </c>
      <c r="Z47" s="3604">
        <f t="shared" si="14"/>
        <v>5.8700728893921174E-2</v>
      </c>
      <c r="AA47" s="3605">
        <v>15</v>
      </c>
      <c r="AB47" s="3606">
        <f t="shared" si="15"/>
        <v>0.89385039983016057</v>
      </c>
      <c r="AC47" s="3604">
        <f t="shared" si="16"/>
        <v>5.8700728893921174E-2</v>
      </c>
      <c r="AD47" s="3605">
        <f t="shared" si="17"/>
        <v>15</v>
      </c>
      <c r="AE47" s="3606">
        <f t="shared" si="18"/>
        <v>0.89385039983016057</v>
      </c>
      <c r="AF47" s="5952"/>
      <c r="AG47" s="8122"/>
      <c r="AH47" s="8105"/>
      <c r="AI47" s="8065" t="str">
        <f t="shared" si="8"/>
        <v/>
      </c>
      <c r="AJ47" s="3688"/>
      <c r="AK47" s="5952"/>
      <c r="AL47" s="5959"/>
      <c r="AM47" s="5959"/>
      <c r="AN47" s="5959"/>
      <c r="AO47" s="5959"/>
      <c r="AP47" s="5959"/>
      <c r="AQ47" s="5959"/>
    </row>
    <row r="48" spans="1:43" s="3561" customFormat="1" ht="25.5" customHeight="1">
      <c r="A48" s="10140">
        <f t="shared" si="4"/>
        <v>0</v>
      </c>
      <c r="B48" s="10147" t="e">
        <f>+IF(A48="","",VLOOKUP(MATCH(A48,tid,0),tao,'12(id)'!$J$20,FALSE))</f>
        <v>#N/A</v>
      </c>
      <c r="C48" s="8840">
        <f t="shared" si="6"/>
        <v>0</v>
      </c>
      <c r="D48" s="8123" t="str">
        <f t="shared" si="5"/>
        <v>8304-01-07</v>
      </c>
      <c r="E48" s="5952"/>
      <c r="F48" s="5959"/>
      <c r="G48" s="8118" t="str">
        <f>+IF(AND(G47="",A48=""),"",IF(OR(A48=G47,A48=0),G47,IF(VLOOKUP(MATCH(A48,tid,0),tao,'12(id)'!$U$20,FALSE)&gt;1,IF(AND(VLOOKUP(MATCH(A48,tid,0),tao,'12(id)'!$L$20,FALSE)=VLOOKUP(MATCH(G47,tid,0),tao,'12(id)'!$L$20,FALSE),X48&gt;X47),G47,IF(AND(X48="",VLOOKUP(MATCH(A48,tid,0),tao,'12(id)'!$U$20,FALSE)=VLOOKUP(MATCH(G47,tid,0),tao,'12(id)'!$U$20,FALSE)),G47,A48)),A48)))</f>
        <v>8304-01</v>
      </c>
      <c r="H48" s="5952"/>
      <c r="I48" s="4499">
        <f t="shared" si="7"/>
        <v>25</v>
      </c>
      <c r="J48" s="9064"/>
      <c r="K48" s="8971"/>
      <c r="L48" s="9064"/>
      <c r="M48" s="9064"/>
      <c r="N48" s="8971"/>
      <c r="O48" s="10107"/>
      <c r="P48" s="8818"/>
      <c r="Q48" s="10046"/>
      <c r="R48" s="10039"/>
      <c r="S48" s="10039"/>
      <c r="T48" s="10019"/>
      <c r="U48" s="10014"/>
      <c r="V48" s="10017"/>
      <c r="W48" s="8074" t="str">
        <f t="shared" si="2"/>
        <v>8304-01-07</v>
      </c>
      <c r="X48" s="3602">
        <v>7</v>
      </c>
      <c r="Y48" s="3603" t="str">
        <f>+IF(W48="","",IF(VLOOKUP(MATCH(W48,op_id,0),op,'7(op)'!$T$18,FALSE)="","",IF(VLOOKUP(MATCH(W48,op_id,0),op,'7(op)'!$Y$18,FALSE)="Rejected",VLOOKUP(MATCH(W48,op_id,0),op,'7(op)'!$T$18,FALSE)&amp;"-Rejected by Stk - REMOVE OPTION No.",VLOOKUP(MATCH(W48,op_id,0),op,'7(op)'!$T$18,FALSE))))</f>
        <v>Solar Titan 130 - new oil fired turbine</v>
      </c>
      <c r="Z48" s="3604">
        <f t="shared" si="14"/>
        <v>0.25436982520699175</v>
      </c>
      <c r="AA48" s="3605">
        <v>65</v>
      </c>
      <c r="AB48" s="3606">
        <f t="shared" si="15"/>
        <v>0.54001839926402939</v>
      </c>
      <c r="AC48" s="3604">
        <f t="shared" si="16"/>
        <v>0.25436982520699175</v>
      </c>
      <c r="AD48" s="3605">
        <f t="shared" si="17"/>
        <v>65</v>
      </c>
      <c r="AE48" s="3606">
        <f t="shared" si="18"/>
        <v>0.54001839926402939</v>
      </c>
      <c r="AF48" s="5952"/>
      <c r="AG48" s="8122"/>
      <c r="AH48" s="8105"/>
      <c r="AI48" s="8065" t="str">
        <f t="shared" si="8"/>
        <v/>
      </c>
      <c r="AJ48" s="3688"/>
      <c r="AK48" s="5952"/>
      <c r="AL48" s="5959"/>
      <c r="AM48" s="5959"/>
      <c r="AN48" s="5959"/>
      <c r="AO48" s="5959"/>
      <c r="AP48" s="5959"/>
      <c r="AQ48" s="5959"/>
    </row>
    <row r="49" spans="1:43" s="3561" customFormat="1" ht="21" customHeight="1" thickBot="1">
      <c r="A49" s="10141">
        <f t="shared" si="4"/>
        <v>0</v>
      </c>
      <c r="B49" s="10148" t="e">
        <f>+IF(A49="","",VLOOKUP(MATCH(A49,tid,0),tao,'12(id)'!$J$20,FALSE))</f>
        <v>#N/A</v>
      </c>
      <c r="C49" s="9163" t="str">
        <f t="shared" si="6"/>
        <v/>
      </c>
      <c r="D49" s="8124" t="str">
        <f t="shared" si="5"/>
        <v/>
      </c>
      <c r="E49" s="5952"/>
      <c r="F49" s="5959"/>
      <c r="G49" s="8098" t="str">
        <f>+IF(AND(G48="",A49=""),"",IF(OR(A49=G48,A49=0),G48,IF(VLOOKUP(MATCH(A49,tid,0),tao,'12(id)'!$U$20,FALSE)&gt;1,IF(AND(VLOOKUP(MATCH(A49,tid,0),tao,'12(id)'!$L$20,FALSE)=VLOOKUP(MATCH(G48,tid,0),tao,'12(id)'!$L$20,FALSE),X49&gt;X48),G48,IF(AND(X49="",VLOOKUP(MATCH(A49,tid,0),tao,'12(id)'!$U$20,FALSE)=VLOOKUP(MATCH(G48,tid,0),tao,'12(id)'!$U$20,FALSE)),G48,A49)),A49)))</f>
        <v>8304-01</v>
      </c>
      <c r="H49" s="5952"/>
      <c r="I49" s="4499">
        <f t="shared" si="7"/>
        <v>26</v>
      </c>
      <c r="J49" s="9065"/>
      <c r="K49" s="9061"/>
      <c r="L49" s="9065"/>
      <c r="M49" s="9065"/>
      <c r="N49" s="9061"/>
      <c r="O49" s="10113" t="str">
        <f>+IF(ISERROR(MATCH(L49,tid,0)),"",VLOOKUP(MATCH(L49,tid,0),tao,'12(id)'!$Q$20,FALSE))</f>
        <v/>
      </c>
      <c r="P49" s="8860"/>
      <c r="Q49" s="10056"/>
      <c r="R49" s="10044"/>
      <c r="S49" s="10044"/>
      <c r="T49" s="10020"/>
      <c r="U49" s="10015"/>
      <c r="V49" s="10018"/>
      <c r="W49" s="8071" t="str">
        <f t="shared" si="2"/>
        <v/>
      </c>
      <c r="X49" s="3592"/>
      <c r="Y49" s="3607" t="str">
        <f>+IF(W49="","",IF(VLOOKUP(MATCH(W49,op_id,0),op,'7(op)'!$T$18,FALSE)="","",IF(VLOOKUP(MATCH(W49,op_id,0),op,'7(op)'!$Y$18,FALSE)="Rejected",VLOOKUP(MATCH(W49,op_id,0),op,'7(op)'!$T$18,FALSE)&amp;"-Rejected by Stk - REMOVE OPTION No.",VLOOKUP(MATCH(W49,op_id,0),op,'7(op)'!$T$18,FALSE))))</f>
        <v/>
      </c>
      <c r="Z49" s="3593"/>
      <c r="AA49" s="3594"/>
      <c r="AB49" s="3595"/>
      <c r="AC49" s="3593"/>
      <c r="AD49" s="3594"/>
      <c r="AE49" s="3595"/>
      <c r="AF49" s="5952"/>
      <c r="AG49" s="8113"/>
      <c r="AH49" s="8105"/>
      <c r="AI49" s="8065" t="str">
        <f t="shared" si="8"/>
        <v/>
      </c>
      <c r="AJ49" s="3685"/>
      <c r="AK49" s="5952"/>
      <c r="AL49" s="5959"/>
      <c r="AM49" s="5959"/>
      <c r="AN49" s="5959"/>
      <c r="AO49" s="5959"/>
      <c r="AP49" s="5959"/>
      <c r="AQ49" s="5959"/>
    </row>
    <row r="50" spans="1:43" s="3561" customFormat="1" ht="25.5" customHeight="1">
      <c r="A50" s="10145" t="str">
        <f t="shared" si="4"/>
        <v>8301-01</v>
      </c>
      <c r="B50" s="10146" t="str">
        <f>+IF(A50="","",VLOOKUP(MATCH(A50,tid,0),tao,'12(id)'!$J$20,FALSE))</f>
        <v>PSEG</v>
      </c>
      <c r="C50" s="8839" t="str">
        <f t="shared" si="6"/>
        <v>BHB4 </v>
      </c>
      <c r="D50" s="8125" t="str">
        <f t="shared" si="5"/>
        <v>8301-01-01</v>
      </c>
      <c r="E50" s="5952"/>
      <c r="F50" s="5959"/>
      <c r="G50" s="8115" t="str">
        <f>+IF(AND(G49="",A50=""),"",IF(OR(A50=G49,A50=0),G49,IF(VLOOKUP(MATCH(A50,tid,0),tao,'12(id)'!$U$20,FALSE)&gt;1,IF(AND(VLOOKUP(MATCH(A50,tid,0),tao,'12(id)'!$L$20,FALSE)=VLOOKUP(MATCH(G49,tid,0),tao,'12(id)'!$L$20,FALSE),X50&gt;X49),G49,IF(AND(X50="",VLOOKUP(MATCH(A50,tid,0),tao,'12(id)'!$U$20,FALSE)=VLOOKUP(MATCH(G49,tid,0),tao,'12(id)'!$U$20,FALSE)),G49,A50)),A50)))</f>
        <v>8301-01</v>
      </c>
      <c r="H50" s="5952"/>
      <c r="I50" s="4499">
        <f t="shared" si="7"/>
        <v>27</v>
      </c>
      <c r="J50" s="9063">
        <f>1+J42</f>
        <v>5</v>
      </c>
      <c r="K50" s="9060" t="str">
        <f>+IF(M50="","",VLOOKUP(MATCH(M50,tid,0),tao,'12(id)'!$I$20,FALSE))</f>
        <v>PSEG Power LLC, PSEG Fossil LLC, PSEG Power Connecticut</v>
      </c>
      <c r="L50" s="9063">
        <v>8301</v>
      </c>
      <c r="M50" s="9063" t="s">
        <v>276</v>
      </c>
      <c r="N50" s="9060" t="str">
        <f>+IF(M50="","",VLOOKUP(MATCH(M50,tid,0),tao,'12(id)'!$L$20,FALSE))</f>
        <v>Bridgeport Harbor Station</v>
      </c>
      <c r="O50" s="10088" t="str">
        <f>+IF(ISERROR(MATCH(M50,tid,0)),"",VLOOKUP(MATCH(M50,tid,0),tao,'12(id)'!$Q$20,FALSE))</f>
        <v>BHB4 </v>
      </c>
      <c r="P50" s="8817">
        <f>+IF(M50="","",VLOOKUP(MATCH(M50,tid,0),tao,'12(id)'!$U$20,FALSE))</f>
        <v>1</v>
      </c>
      <c r="Q50" s="10066">
        <f>+IF(ISERROR(MATCH(M50,tid,0)),"",IF(VLOOKUP(MATCH(M50,tid,0),tao,'12(id)'!$CT$20,FALSE)="","",VLOOKUP(MATCH(M50,tid,0),tao,'12(id)'!$CT$20,FALSE)))</f>
        <v>22</v>
      </c>
      <c r="R50" s="10043" t="str">
        <f>+IF(M50="","",IF(VLOOKUP(MATCH(M50,tid,0),tao,'12(id)'!$T$20,FALSE)="","",VLOOKUP(MATCH(M50,tid,0),tao,'12(id)'!$T$20,FALSE)))</f>
        <v>Combustion Turbine</v>
      </c>
      <c r="S50" s="10043" t="str">
        <f>+IF(ISERROR(MATCH(M50,tid,0)),"",IF(VLOOKUP(MATCH(M50,tid,0),tao,'12(id)'!$CO$20,FALSE)="","",VLOOKUP(MATCH(M50,tid,0),tao,'12(id)'!$CO$20,FALSE)))</f>
        <v>Pratt &amp; Whitney</v>
      </c>
      <c r="T50" s="10045" t="str">
        <f>+IF(ISERROR(MATCH(M50,tid,0)),"",IF(VLOOKUP(MATCH(M50,tid,0),tao,'12(id)'!$CP$20,FALSE)="","",VLOOKUP(MATCH(M50,tid,0),tao,'12(id)'!$CP$20,FALSE)))</f>
        <v>FT-4A-8LI</v>
      </c>
      <c r="U50" s="10013">
        <f>+IF(ISERROR(MATCH(M50,tid,0)),"",IF(VLOOKUP(MATCH(M50,tid,0),tao,'12(id)'!$HJ$20,FALSE)="","",VLOOKUP(MATCH(M50,tid,0),tao,'12(id)'!$HJ$20,FALSE)))</f>
        <v>0.73</v>
      </c>
      <c r="V50" s="10016">
        <f>+IF(ISERROR(MATCH(M50,tid,0)),"",IF(VLOOKUP(MATCH(M50,tid,0),tao,'12(id)'!$HK$20,FALSE)="","",VLOOKUP(MATCH(M50,tid,0),tao,'12(id)'!$HK$20,FALSE)))</f>
        <v>186.17</v>
      </c>
      <c r="W50" s="8075" t="str">
        <f t="shared" si="2"/>
        <v>8301-01-01</v>
      </c>
      <c r="X50" s="6073">
        <v>1</v>
      </c>
      <c r="Y50" s="6074" t="str">
        <f>+IF(W50="","",IF(VLOOKUP(MATCH(W50,op_id,0),op,'7(op)'!$T$18,FALSE)="","",IF(VLOOKUP(MATCH(W50,op_id,0),op,'7(op)'!$Y$18,FALSE)="Rejected",VLOOKUP(MATCH(W50,op_id,0),op,'7(op)'!$T$18,FALSE)&amp;"-Rejected by Stk - REMOVE OPTION No.",VLOOKUP(MATCH(W50,op_id,0),op,'7(op)'!$T$18,FALSE))))</f>
        <v>Selective Catalytic Reduction (SCR)</v>
      </c>
      <c r="Z50" s="6075" t="str">
        <f>+IF(OR(W50="",AA50=""),"",(AA50/V50)*U50)</f>
        <v/>
      </c>
      <c r="AA50" s="6083"/>
      <c r="AB50" s="6077" t="str">
        <f>+IF(U50="",IF(V50="","",IF(AA50="","",(V50-AA50)/V50)),IF(Z50="","",(U50-Z50)/U50))</f>
        <v/>
      </c>
      <c r="AC50" s="6075">
        <f>+IF(AG50="",IF(Z50="","",Z50),IF(AH50="lb/MMBtu",AG50,IF($U50="","",IF(AH50="%",(1-AG50/100)*$U50,IF(AH50="ppmvd",IF($V50="","",(AG50/$V50)*$U50),"")))))</f>
        <v>7.2999999999999982E-2</v>
      </c>
      <c r="AD50" s="6083">
        <f>+IF(AG50="",IF(AA50="","",AA50),IF(AH50="ppmvd",AG50,IF($V50="","",IF(AH50="%",(1-AG50/100)*$V50,IF(AH50="lb/MMBtu",IF(U50="","",(AG50/$U50)*$V50),"")))))</f>
        <v>18.616999999999994</v>
      </c>
      <c r="AE50" s="6077">
        <f>+IF(AG50="",IF(AB50="","",AB50),IF(AH50="%",AG50/100,IF($U50="","",IF(AND(AH50="lb/MMBtu",AC50&gt;0,$U50&gt;0),($U50-AC50)/$U50,IF(AND(AH50="ppmvd",AG50&gt;0,$V50&gt;0),IF($V50="","",($V50-AG50)/$V50),"")))))</f>
        <v>0.9</v>
      </c>
      <c r="AF50" s="5952"/>
      <c r="AG50" s="8104">
        <v>90</v>
      </c>
      <c r="AH50" s="8105" t="s">
        <v>417</v>
      </c>
      <c r="AI50" s="8065" t="str">
        <f t="shared" si="8"/>
        <v/>
      </c>
      <c r="AJ50" s="3681" t="s">
        <v>1911</v>
      </c>
      <c r="AK50" s="5952"/>
      <c r="AL50" s="5959"/>
      <c r="AM50" s="5959"/>
      <c r="AN50" s="5959"/>
      <c r="AO50" s="5959"/>
      <c r="AP50" s="5959"/>
      <c r="AQ50" s="5959"/>
    </row>
    <row r="51" spans="1:43" s="3561" customFormat="1" ht="25.5" customHeight="1">
      <c r="A51" s="10140">
        <f t="shared" si="4"/>
        <v>0</v>
      </c>
      <c r="B51" s="10147" t="e">
        <f>+IF(A51="","",VLOOKUP(MATCH(A51,tid,0),tao,'12(id)'!$J$20,FALSE))</f>
        <v>#N/A</v>
      </c>
      <c r="C51" s="8840" t="str">
        <f t="shared" si="6"/>
        <v/>
      </c>
      <c r="D51" s="8121" t="str">
        <f t="shared" si="5"/>
        <v>8301-01-02</v>
      </c>
      <c r="E51" s="5952"/>
      <c r="F51" s="5959"/>
      <c r="G51" s="8118" t="str">
        <f>+IF(AND(G50="",A51=""),"",IF(OR(A51=G50,A51=0),G50,IF(VLOOKUP(MATCH(A51,tid,0),tao,'12(id)'!$U$20,FALSE)&gt;1,IF(AND(VLOOKUP(MATCH(A51,tid,0),tao,'12(id)'!$L$20,FALSE)=VLOOKUP(MATCH(G50,tid,0),tao,'12(id)'!$L$20,FALSE),X51&gt;X50),G50,IF(AND(X51="",VLOOKUP(MATCH(A51,tid,0),tao,'12(id)'!$U$20,FALSE)=VLOOKUP(MATCH(G50,tid,0),tao,'12(id)'!$U$20,FALSE)),G50,A51)),A51)))</f>
        <v>8301-01</v>
      </c>
      <c r="H51" s="5952"/>
      <c r="I51" s="4499">
        <f t="shared" si="7"/>
        <v>28</v>
      </c>
      <c r="J51" s="9064"/>
      <c r="K51" s="8971"/>
      <c r="L51" s="9064"/>
      <c r="M51" s="9064"/>
      <c r="N51" s="8971"/>
      <c r="O51" s="10053" t="str">
        <f>+IF(ISERROR(MATCH(L51,tid,0)),"",VLOOKUP(MATCH(L51,tid,0),tao,'12(id)'!$Q$20,FALSE))</f>
        <v/>
      </c>
      <c r="P51" s="8818"/>
      <c r="Q51" s="10046"/>
      <c r="R51" s="10039"/>
      <c r="S51" s="10039"/>
      <c r="T51" s="10019"/>
      <c r="U51" s="10014" t="str">
        <f>+IF(ISERROR(MATCH(M51,tid,0)),"",IF(VLOOKUP(MATCH(M51,tid,0),tao,'12(id)'!$HJ$20,FALSE)="","",VLOOKUP(MATCH(M51,tid,0),tao,'12(id)'!$HJ$20,FALSE)))</f>
        <v/>
      </c>
      <c r="V51" s="10017"/>
      <c r="W51" s="8069" t="str">
        <f t="shared" si="2"/>
        <v>8301-01-02</v>
      </c>
      <c r="X51" s="6095">
        <v>2</v>
      </c>
      <c r="Y51" s="6096" t="str">
        <f>+IF(W51="","",IF(VLOOKUP(MATCH(W51,op_id,0),op,'7(op)'!$T$18,FALSE)="","",IF(VLOOKUP(MATCH(W51,op_id,0),op,'7(op)'!$Y$18,FALSE)="Rejected",VLOOKUP(MATCH(W51,op_id,0),op,'7(op)'!$T$18,FALSE)&amp;"-Rejected by Stk - REMOVE OPTION No.",VLOOKUP(MATCH(W51,op_id,0),op,'7(op)'!$T$18,FALSE))))</f>
        <v>High Pressure Water Injection (HPWI)</v>
      </c>
      <c r="Z51" s="6097" t="str">
        <f>+IF(OR(W50="",AA51=""),"",(AA51/V50)*U50)</f>
        <v/>
      </c>
      <c r="AA51" s="6100"/>
      <c r="AB51" s="6099" t="str">
        <f>+IF(U50="",IF(V50="","",IF(AA51="","",(V50-AA51)/V50)),IF(Z51="","",(U50-Z51)/U50))</f>
        <v/>
      </c>
      <c r="AC51" s="6097">
        <f>+IF(AG51="",IF(Z51="","",Z51),IF(AH51="lb/MMBtu",AG51,IF($U$50="","",IF(AH51="%",(1-AG51/100)*$U$50,IF(AH51="ppmvd",IF($V$50="","",(AG51/$V$50)*$U$50),"")))))</f>
        <v>0.29199999999999998</v>
      </c>
      <c r="AD51" s="6100">
        <f>+IF(AG51="",IF(AA51="","",AA51),IF(AH51="ppmvd",AG51,IF($V$50="","",IF(AH51="%",(1-AG51/100)*$V$50,IF(AH51="lb/MMBtu",IF(U$50="","",(AG51/$U$50)*$V$50),"")))))</f>
        <v>74.468000000000004</v>
      </c>
      <c r="AE51" s="6099">
        <f>+IF(AG51="",IF(AB51="","",AB51),IF(AH51="%",AG51/100,IF($U$50="","",IF(AND(AH51="lb/MMBtu",AC51&gt;0,$U$50&gt;0),($U$50-AC51)/$U$50,IF(AND(AH51="ppmvd",AG51&gt;0,$V$50&gt;0),IF($V$50="","",($V$50-AG51)/$V$50),"")))))</f>
        <v>0.6</v>
      </c>
      <c r="AF51" s="5952"/>
      <c r="AG51" s="8109">
        <v>60</v>
      </c>
      <c r="AH51" s="8105" t="s">
        <v>417</v>
      </c>
      <c r="AI51" s="8065" t="str">
        <f t="shared" si="8"/>
        <v/>
      </c>
      <c r="AJ51" s="3683"/>
      <c r="AK51" s="5952"/>
      <c r="AL51" s="5959"/>
      <c r="AM51" s="5959"/>
      <c r="AN51" s="5959"/>
      <c r="AO51" s="5959"/>
      <c r="AP51" s="5959"/>
      <c r="AQ51" s="5959"/>
    </row>
    <row r="52" spans="1:43" s="3561" customFormat="1" ht="25.5" customHeight="1" thickBot="1">
      <c r="A52" s="10141">
        <f t="shared" si="4"/>
        <v>0</v>
      </c>
      <c r="B52" s="10148" t="e">
        <f>+IF(A52="","",VLOOKUP(MATCH(A52,tid,0),tao,'12(id)'!$J$20,FALSE))</f>
        <v>#N/A</v>
      </c>
      <c r="C52" s="9163" t="str">
        <f t="shared" si="6"/>
        <v/>
      </c>
      <c r="D52" s="8124" t="str">
        <f t="shared" si="5"/>
        <v/>
      </c>
      <c r="E52" s="5952"/>
      <c r="F52" s="5959"/>
      <c r="G52" s="8098" t="str">
        <f>+IF(AND(G51="",A52=""),"",IF(OR(A52=G51,A52=0),G51,IF(VLOOKUP(MATCH(A52,tid,0),tao,'12(id)'!$U$20,FALSE)&gt;1,IF(AND(VLOOKUP(MATCH(A52,tid,0),tao,'12(id)'!$L$20,FALSE)=VLOOKUP(MATCH(G51,tid,0),tao,'12(id)'!$L$20,FALSE),X52&gt;X51),G51,IF(AND(X52="",VLOOKUP(MATCH(A52,tid,0),tao,'12(id)'!$U$20,FALSE)=VLOOKUP(MATCH(G51,tid,0),tao,'12(id)'!$U$20,FALSE)),G51,A52)),A52)))</f>
        <v>8301-01</v>
      </c>
      <c r="H52" s="5952"/>
      <c r="I52" s="4499">
        <f t="shared" si="7"/>
        <v>29</v>
      </c>
      <c r="J52" s="9065"/>
      <c r="K52" s="9061"/>
      <c r="L52" s="9065"/>
      <c r="M52" s="9065"/>
      <c r="N52" s="9061"/>
      <c r="O52" s="10089" t="str">
        <f>+IF(ISERROR(MATCH(L52,tid,0)),"",VLOOKUP(MATCH(L52,tid,0),tao,'12(id)'!$Q$20,FALSE))</f>
        <v/>
      </c>
      <c r="P52" s="8860"/>
      <c r="Q52" s="10056"/>
      <c r="R52" s="10044"/>
      <c r="S52" s="10044"/>
      <c r="T52" s="10020"/>
      <c r="U52" s="10015" t="str">
        <f>+IF(ISERROR(MATCH(M52,tid,0)),"",IF(VLOOKUP(MATCH(M52,tid,0),tao,'12(id)'!$HJ$20,FALSE)="","",VLOOKUP(MATCH(M52,tid,0),tao,'12(id)'!$HJ$20,FALSE)))</f>
        <v/>
      </c>
      <c r="V52" s="10018"/>
      <c r="W52" s="8076" t="str">
        <f t="shared" si="2"/>
        <v/>
      </c>
      <c r="X52" s="3608"/>
      <c r="Y52" s="3609" t="str">
        <f>+IF(W52="","",IF(VLOOKUP(MATCH(W52,op_id,0),op,'7(op)'!$T$18,FALSE)="","",IF(VLOOKUP(MATCH(W52,op_id,0),op,'7(op)'!$Y$18,FALSE)="Rejected",VLOOKUP(MATCH(W52,op_id,0),op,'7(op)'!$T$18,FALSE)&amp;"-Rejected by Stk - REMOVE OPTION No.",VLOOKUP(MATCH(W52,op_id,0),op,'7(op)'!$T$18,FALSE))))</f>
        <v/>
      </c>
      <c r="Z52" s="3610"/>
      <c r="AA52" s="3611"/>
      <c r="AB52" s="3612"/>
      <c r="AC52" s="3610"/>
      <c r="AD52" s="3611"/>
      <c r="AE52" s="3612"/>
      <c r="AF52" s="5952"/>
      <c r="AG52" s="8126"/>
      <c r="AH52" s="8105"/>
      <c r="AI52" s="8065" t="str">
        <f t="shared" si="8"/>
        <v/>
      </c>
      <c r="AJ52" s="3689"/>
      <c r="AK52" s="5952"/>
      <c r="AL52" s="5959"/>
      <c r="AM52" s="5959"/>
      <c r="AN52" s="5959"/>
      <c r="AO52" s="5959"/>
      <c r="AP52" s="5959"/>
      <c r="AQ52" s="5959"/>
    </row>
    <row r="53" spans="1:43" s="3561" customFormat="1" ht="25.5" customHeight="1">
      <c r="A53" s="8127" t="str">
        <f t="shared" si="4"/>
        <v>8300-01</v>
      </c>
      <c r="B53" s="10146" t="str">
        <f>+IF(A53="","",VLOOKUP(MATCH(A53,tid,0),tao,'12(id)'!$J$20,FALSE))</f>
        <v>NRG</v>
      </c>
      <c r="C53" s="7786" t="str">
        <f t="shared" si="6"/>
        <v>BR10</v>
      </c>
      <c r="D53" s="8128" t="str">
        <f t="shared" si="5"/>
        <v>8300-01-01</v>
      </c>
      <c r="E53" s="5952"/>
      <c r="F53" s="5959"/>
      <c r="G53" s="8127" t="str">
        <f>+IF(AND(G52="",A53=""),"",IF(OR(A53=G52,A53=0),G52,IF(VLOOKUP(MATCH(A53,tid,0),tao,'12(id)'!$U$20,FALSE)&gt;1,IF(AND(VLOOKUP(MATCH(A53,tid,0),tao,'12(id)'!$L$20,FALSE)=VLOOKUP(MATCH(G52,tid,0),tao,'12(id)'!$L$20,FALSE),X53&gt;X52),G52,IF(AND(X53="",VLOOKUP(MATCH(A53,tid,0),tao,'12(id)'!$U$20,FALSE)=VLOOKUP(MATCH(G52,tid,0),tao,'12(id)'!$U$20,FALSE)),G52,A53)),A53)))</f>
        <v>8300-01</v>
      </c>
      <c r="H53" s="5952"/>
      <c r="I53" s="4499">
        <f t="shared" si="7"/>
        <v>30</v>
      </c>
      <c r="J53" s="9063">
        <f>1+J50</f>
        <v>6</v>
      </c>
      <c r="K53" s="9060" t="str">
        <f>+IF(M53="","",VLOOKUP(MATCH(M53,tid,0),tao,'12(id)'!$I$20,FALSE))</f>
        <v>NRG Energy, Inc</v>
      </c>
      <c r="L53" s="9063" t="s">
        <v>258</v>
      </c>
      <c r="M53" s="7875" t="s">
        <v>259</v>
      </c>
      <c r="N53" s="7787" t="str">
        <f>+IF(M53="","",VLOOKUP(MATCH(M53,tid,0),tao,'12(id)'!$L$20,FALSE))</f>
        <v>Branford</v>
      </c>
      <c r="O53" s="7879" t="str">
        <f>+IF(ISERROR(MATCH(M53,tid,0)),"",VLOOKUP(MATCH(M53,tid,0),tao,'12(id)'!$Q$20,FALSE))</f>
        <v>BR10</v>
      </c>
      <c r="P53" s="7782">
        <f>+IF(M53="","",VLOOKUP(MATCH(M53,tid,0),tao,'12(id)'!$U$20,FALSE))</f>
        <v>1</v>
      </c>
      <c r="Q53" s="7880">
        <f>+IF(ISERROR(MATCH(M53,tid,0)),"",IF(VLOOKUP(MATCH(M53,tid,0),tao,'12(id)'!$CT$20,FALSE)="","",VLOOKUP(MATCH(M53,tid,0),tao,'12(id)'!$CT$20,FALSE)))</f>
        <v>20</v>
      </c>
      <c r="R53" s="7882" t="str">
        <f>+IF(M53="","",IF(VLOOKUP(MATCH(M53,tid,0),tao,'12(id)'!$T$20,FALSE)="","",VLOOKUP(MATCH(M53,tid,0),tao,'12(id)'!$T$20,FALSE)))</f>
        <v>Combustion Turbine</v>
      </c>
      <c r="S53" s="7882" t="str">
        <f>+IF(ISERROR(MATCH(M53,tid,0)),"",IF(VLOOKUP(MATCH(M53,tid,0),tao,'12(id)'!$CO$20,FALSE)="","",VLOOKUP(MATCH(M53,tid,0),tao,'12(id)'!$CO$20,FALSE)))</f>
        <v>Pratt &amp; Whitney</v>
      </c>
      <c r="T53" s="7881" t="str">
        <f>+IF(ISERROR(MATCH(M53,tid,0)),"",IF(VLOOKUP(MATCH(M53,tid,0),tao,'12(id)'!$CP$20,FALSE)="","",VLOOKUP(MATCH(M53,tid,0),tao,'12(id)'!$CP$20,FALSE)))</f>
        <v>FT4-A8</v>
      </c>
      <c r="U53" s="7883">
        <f>+IF(ISERROR(MATCH(M53,tid,0)),"",IF(VLOOKUP(MATCH(M53,tid,0),tao,'12(id)'!$HJ$20,FALSE)="","",VLOOKUP(MATCH(M53,tid,0),tao,'12(id)'!$HJ$20,FALSE)))</f>
        <v>0.8</v>
      </c>
      <c r="V53" s="7881" t="str">
        <f>+IF(ISERROR(MATCH(M53,tid,0)),"",IF(VLOOKUP(MATCH(M53,tid,0),tao,'12(id)'!$HK$20,FALSE)="","",VLOOKUP(MATCH(M53,tid,0),tao,'12(id)'!$HK$20,FALSE)))</f>
        <v/>
      </c>
      <c r="W53" s="8077" t="str">
        <f t="shared" si="2"/>
        <v>8300-01-01</v>
      </c>
      <c r="X53" s="6101">
        <v>1</v>
      </c>
      <c r="Y53" s="6102" t="str">
        <f>+IF(W53="","",IF(VLOOKUP(MATCH(W53,op_id,0),op,'7(op)'!$T$18,FALSE)="","",IF(VLOOKUP(MATCH(W53,op_id,0),op,'7(op)'!$Y$18,FALSE)="Rejected",VLOOKUP(MATCH(W53,op_id,0),op,'7(op)'!$T$18,FALSE)&amp;"-Rejected by Stk - REMOVE OPTION No.",VLOOKUP(MATCH(W53,op_id,0),op,'7(op)'!$T$18,FALSE))))</f>
        <v>High Pressure Water Injection (HPWI)</v>
      </c>
      <c r="Z53" s="6103">
        <v>0.22</v>
      </c>
      <c r="AA53" s="6104"/>
      <c r="AB53" s="6105">
        <f>+IF(U53="",IF(V53="","",IF(AA53="","",(V53-AA53)/V53)),IF(Z53="","",(U53-Z53)/U53))</f>
        <v>0.72500000000000009</v>
      </c>
      <c r="AC53" s="6103">
        <f>+IF(AG53="",IF(Z53="","",Z53),IF(AH53="lb/MMBtu",AG53,IF($U53="","",IF(AH53="%",(1-AG53/100)*$U53,IF(AH53="ppmvd",IF($V53="","",(AG53/$V53)*$U53),"")))))</f>
        <v>0.22</v>
      </c>
      <c r="AD53" s="6104" t="str">
        <f>+IF(AG53="",IF(AA53="","",AA53),IF(AH53="ppmvd",AG53,IF($V53="","",IF(AH53="%",(1-AG53/100)*$V53,IF(AH53="lb/MMBtu",IF(U53="","",(AG53/$U53)*$V53),"")))))</f>
        <v/>
      </c>
      <c r="AE53" s="6105">
        <f>+IF(AG53="",IF(AB53="","",AB53),IF(AH53="%",AG53/100,IF($U53="","",IF(AND(AH53="lb/MMBtu",AC53&gt;0,$U53&gt;0),($U53-AC53)/$U53,IF(AND(AH53="ppmvd",AG53&gt;0,$V53&gt;0),IF($V53="","",($V53-AG53)/$V53),"")))))</f>
        <v>0.72500000000000009</v>
      </c>
      <c r="AF53" s="5952"/>
      <c r="AG53" s="8129"/>
      <c r="AH53" s="8105"/>
      <c r="AI53" s="8065" t="str">
        <f t="shared" si="8"/>
        <v/>
      </c>
      <c r="AJ53" s="7884"/>
      <c r="AK53" s="5952"/>
      <c r="AL53" s="5959"/>
      <c r="AM53" s="5959"/>
      <c r="AN53" s="5959"/>
      <c r="AO53" s="5959"/>
      <c r="AP53" s="5959"/>
      <c r="AQ53" s="5959"/>
    </row>
    <row r="54" spans="1:43" s="3561" customFormat="1" ht="21" customHeight="1">
      <c r="A54" s="8103" t="str">
        <f t="shared" si="4"/>
        <v>8300-02</v>
      </c>
      <c r="B54" s="10147" t="str">
        <f>+IF(A54="","",VLOOKUP(MATCH(A54,tid,0),tao,'12(id)'!$J$20,FALSE))</f>
        <v>NRG</v>
      </c>
      <c r="C54" s="7788" t="str">
        <f t="shared" si="6"/>
        <v>CC10</v>
      </c>
      <c r="D54" s="8130" t="str">
        <f t="shared" si="5"/>
        <v/>
      </c>
      <c r="E54" s="5952"/>
      <c r="F54" s="5959"/>
      <c r="G54" s="8131" t="str">
        <f>+IF(AND(G53="",A54=""),"",IF(OR(A54=G53,A54=0),G53,IF(VLOOKUP(MATCH(A54,tid,0),tao,'12(id)'!$U$20,FALSE)&gt;1,IF(AND(VLOOKUP(MATCH(A54,tid,0),tao,'12(id)'!$L$20,FALSE)=VLOOKUP(MATCH(G53,tid,0),tao,'12(id)'!$L$20,FALSE),X54&gt;X53),G53,IF(AND(X54="",VLOOKUP(MATCH(A54,tid,0),tao,'12(id)'!$U$20,FALSE)=VLOOKUP(MATCH(G53,tid,0),tao,'12(id)'!$U$20,FALSE)),G53,A54)),A54)))</f>
        <v>8300-02</v>
      </c>
      <c r="H54" s="5952"/>
      <c r="I54" s="4499">
        <f t="shared" si="7"/>
        <v>31</v>
      </c>
      <c r="J54" s="9064"/>
      <c r="K54" s="8971"/>
      <c r="L54" s="9064"/>
      <c r="M54" s="7790" t="s">
        <v>260</v>
      </c>
      <c r="N54" s="8970" t="str">
        <f>+IF(M54="","",VLOOKUP(MATCH(M54,tid,0),tao,'12(id)'!$L$20,FALSE))</f>
        <v>Cos Cob</v>
      </c>
      <c r="O54" s="3580" t="str">
        <f>+IF(ISERROR(MATCH(M54,tid,0)),"",VLOOKUP(MATCH(M54,tid,0),tao,'12(id)'!$Q$20,FALSE))</f>
        <v>CC10</v>
      </c>
      <c r="P54" s="3613">
        <f>+IF(M54="","",VLOOKUP(MATCH(M54,tid,0),tao,'12(id)'!$U$20,FALSE))</f>
        <v>3</v>
      </c>
      <c r="Q54" s="10046">
        <f>+IF(ISERROR(MATCH(M54,tid,0)),"",IF(VLOOKUP(MATCH(M54,tid,0),tao,'12(id)'!$CT$20,FALSE)="","",VLOOKUP(MATCH(M54,tid,0),tao,'12(id)'!$CT$20,FALSE)))</f>
        <v>20</v>
      </c>
      <c r="R54" s="10039" t="str">
        <f>+IF(M54="","",IF(VLOOKUP(MATCH(M54,tid,0),tao,'12(id)'!$T$20,FALSE)="","",VLOOKUP(MATCH(M54,tid,0),tao,'12(id)'!$T$20,FALSE)))</f>
        <v>Combustion Turbine</v>
      </c>
      <c r="S54" s="10039" t="str">
        <f>+IF(ISERROR(MATCH(M54,tid,0)),"",IF(VLOOKUP(MATCH(M54,tid,0),tao,'12(id)'!$CO$20,FALSE)="","",VLOOKUP(MATCH(M54,tid,0),tao,'12(id)'!$CO$20,FALSE)))</f>
        <v>Pratt &amp; Whitney</v>
      </c>
      <c r="T54" s="10019" t="str">
        <f>+IF(ISERROR(MATCH(M54,tid,0)),"",IF(VLOOKUP(MATCH(M54,tid,0),tao,'12(id)'!$CP$20,FALSE)="","",VLOOKUP(MATCH(M54,tid,0),tao,'12(id)'!$CP$20,FALSE)))</f>
        <v>FT4-A9</v>
      </c>
      <c r="U54" s="10030">
        <f>+IF(ISERROR(MATCH(M54,tid,0)),"",IF(VLOOKUP(MATCH(M54,tid,0),tao,'12(id)'!$HJ$20,FALSE)="","",VLOOKUP(MATCH(M54,tid,0),tao,'12(id)'!$HJ$20,FALSE)))</f>
        <v>0.22</v>
      </c>
      <c r="V54" s="10019"/>
      <c r="W54" s="8078" t="str">
        <f t="shared" si="2"/>
        <v/>
      </c>
      <c r="X54" s="3614"/>
      <c r="Y54" s="3615" t="str">
        <f>+IF(W54="","",IF(VLOOKUP(MATCH(W54,op_id,0),op,'7(op)'!$T$18,FALSE)="","",VLOOKUP(MATCH(W54,op_id,0),op,'7(op)'!$T$18,FALSE)))</f>
        <v/>
      </c>
      <c r="Z54" s="3616"/>
      <c r="AA54" s="3617"/>
      <c r="AB54" s="3618"/>
      <c r="AC54" s="3616"/>
      <c r="AD54" s="3617"/>
      <c r="AE54" s="3618"/>
      <c r="AF54" s="5952"/>
      <c r="AG54" s="8132"/>
      <c r="AH54" s="8105"/>
      <c r="AI54" s="8065" t="str">
        <f t="shared" si="8"/>
        <v/>
      </c>
      <c r="AJ54" s="10031" t="s">
        <v>1910</v>
      </c>
      <c r="AK54" s="5952"/>
      <c r="AL54" s="5959"/>
      <c r="AM54" s="5959"/>
      <c r="AN54" s="5959"/>
      <c r="AO54" s="5959"/>
      <c r="AP54" s="5959"/>
      <c r="AQ54" s="5959"/>
    </row>
    <row r="55" spans="1:43" s="3561" customFormat="1" ht="21" customHeight="1">
      <c r="A55" s="8103" t="str">
        <f t="shared" si="4"/>
        <v>8300-03</v>
      </c>
      <c r="B55" s="10147" t="str">
        <f>+IF(A55="","",VLOOKUP(MATCH(A55,tid,0),tao,'12(id)'!$J$20,FALSE))</f>
        <v>NRG</v>
      </c>
      <c r="C55" s="7788" t="str">
        <f t="shared" si="6"/>
        <v>CC11</v>
      </c>
      <c r="D55" s="8133" t="str">
        <f t="shared" si="5"/>
        <v/>
      </c>
      <c r="E55" s="5952"/>
      <c r="F55" s="5959"/>
      <c r="G55" s="8103" t="str">
        <f>+IF(AND(G54="",A55=""),"",IF(OR(A55=G54,A55=0),G54,IF(VLOOKUP(MATCH(A55,tid,0),tao,'12(id)'!$U$20,FALSE)&gt;1,IF(AND(VLOOKUP(MATCH(A55,tid,0),tao,'12(id)'!$L$20,FALSE)=VLOOKUP(MATCH(G54,tid,0),tao,'12(id)'!$L$20,FALSE),X55&gt;X54),G54,IF(AND(X55="",VLOOKUP(MATCH(A55,tid,0),tao,'12(id)'!$U$20,FALSE)=VLOOKUP(MATCH(G54,tid,0),tao,'12(id)'!$U$20,FALSE)),G54,A55)),A55)))</f>
        <v>8300-02</v>
      </c>
      <c r="H55" s="5952"/>
      <c r="I55" s="4499">
        <f t="shared" si="7"/>
        <v>32</v>
      </c>
      <c r="J55" s="9064"/>
      <c r="K55" s="8971"/>
      <c r="L55" s="9064"/>
      <c r="M55" s="7790" t="s">
        <v>261</v>
      </c>
      <c r="N55" s="8971"/>
      <c r="O55" s="3580" t="str">
        <f>+IF(ISERROR(MATCH(M55,tid,0)),"",VLOOKUP(MATCH(M55,tid,0),tao,'12(id)'!$Q$20,FALSE))</f>
        <v>CC11</v>
      </c>
      <c r="P55" s="3613">
        <f>+IF(M55="","",VLOOKUP(MATCH(M55,tid,0),tao,'12(id)'!$U$20,FALSE))</f>
        <v>3</v>
      </c>
      <c r="Q55" s="10046"/>
      <c r="R55" s="10039"/>
      <c r="S55" s="10039"/>
      <c r="T55" s="10019"/>
      <c r="U55" s="10030">
        <f>+IF(ISERROR(MATCH(M55,tid,0)),"",IF(VLOOKUP(MATCH(M55,tid,0),tao,'12(id)'!$HJ$20,FALSE)="","",VLOOKUP(MATCH(M55,tid,0),tao,'12(id)'!$HJ$20,FALSE)))</f>
        <v>0.22</v>
      </c>
      <c r="V55" s="10019"/>
      <c r="W55" s="8079" t="str">
        <f t="shared" si="2"/>
        <v/>
      </c>
      <c r="X55" s="3619"/>
      <c r="Y55" s="3620" t="str">
        <f>+IF(W55="","",IF(VLOOKUP(MATCH(W55,op_id,0),op,'7(op)'!$T$18,FALSE)="","",VLOOKUP(MATCH(W55,op_id,0),op,'7(op)'!$T$18,FALSE)))</f>
        <v/>
      </c>
      <c r="Z55" s="3621"/>
      <c r="AA55" s="3622"/>
      <c r="AB55" s="3623"/>
      <c r="AC55" s="3621"/>
      <c r="AD55" s="3622"/>
      <c r="AE55" s="3623"/>
      <c r="AF55" s="5952"/>
      <c r="AG55" s="8134"/>
      <c r="AH55" s="8105"/>
      <c r="AI55" s="8065" t="str">
        <f t="shared" si="8"/>
        <v/>
      </c>
      <c r="AJ55" s="10032"/>
      <c r="AK55" s="5952"/>
      <c r="AL55" s="5959"/>
      <c r="AM55" s="5959"/>
      <c r="AN55" s="5959"/>
      <c r="AO55" s="5959"/>
      <c r="AP55" s="5959"/>
      <c r="AQ55" s="5959"/>
    </row>
    <row r="56" spans="1:43" s="3561" customFormat="1" ht="21" customHeight="1">
      <c r="A56" s="8103" t="str">
        <f t="shared" si="4"/>
        <v>8300-04</v>
      </c>
      <c r="B56" s="10147" t="str">
        <f>+IF(A56="","",VLOOKUP(MATCH(A56,tid,0),tao,'12(id)'!$J$20,FALSE))</f>
        <v>NRG</v>
      </c>
      <c r="C56" s="7788" t="str">
        <f t="shared" si="6"/>
        <v>CC12</v>
      </c>
      <c r="D56" s="8135" t="str">
        <f t="shared" si="5"/>
        <v/>
      </c>
      <c r="E56" s="5952"/>
      <c r="F56" s="5959"/>
      <c r="G56" s="8103" t="str">
        <f>+IF(AND(G55="",A56=""),"",IF(OR(A56=G55,A56=0),G55,IF(VLOOKUP(MATCH(A56,tid,0),tao,'12(id)'!$U$20,FALSE)&gt;1,IF(AND(VLOOKUP(MATCH(A56,tid,0),tao,'12(id)'!$L$20,FALSE)=VLOOKUP(MATCH(G55,tid,0),tao,'12(id)'!$L$20,FALSE),X56&gt;X55),G55,IF(AND(X56="",VLOOKUP(MATCH(A56,tid,0),tao,'12(id)'!$U$20,FALSE)=VLOOKUP(MATCH(G55,tid,0),tao,'12(id)'!$U$20,FALSE)),G55,A56)),A56)))</f>
        <v>8300-02</v>
      </c>
      <c r="H56" s="5952"/>
      <c r="I56" s="4499">
        <f t="shared" si="7"/>
        <v>33</v>
      </c>
      <c r="J56" s="9064"/>
      <c r="K56" s="8971"/>
      <c r="L56" s="9064"/>
      <c r="M56" s="7790" t="s">
        <v>262</v>
      </c>
      <c r="N56" s="8971"/>
      <c r="O56" s="3580" t="str">
        <f>+IF(ISERROR(MATCH(M56,tid,0)),"",VLOOKUP(MATCH(M56,tid,0),tao,'12(id)'!$Q$20,FALSE))</f>
        <v>CC12</v>
      </c>
      <c r="P56" s="3613">
        <f>+IF(M56="","",VLOOKUP(MATCH(M56,tid,0),tao,'12(id)'!$U$20,FALSE))</f>
        <v>3</v>
      </c>
      <c r="Q56" s="10046"/>
      <c r="R56" s="10039"/>
      <c r="S56" s="10039"/>
      <c r="T56" s="10019"/>
      <c r="U56" s="10030">
        <f>+IF(ISERROR(MATCH(M56,tid,0)),"",IF(VLOOKUP(MATCH(M56,tid,0),tao,'12(id)'!$HJ$20,FALSE)="","",VLOOKUP(MATCH(M56,tid,0),tao,'12(id)'!$HJ$20,FALSE)))</f>
        <v>0.22</v>
      </c>
      <c r="V56" s="10019"/>
      <c r="W56" s="8080" t="str">
        <f t="shared" si="2"/>
        <v/>
      </c>
      <c r="X56" s="3624"/>
      <c r="Y56" s="3625" t="str">
        <f>+IF(W56="","",IF(VLOOKUP(MATCH(W56,op_id,0),op,'7(op)'!$T$18,FALSE)="","",VLOOKUP(MATCH(W56,op_id,0),op,'7(op)'!$T$18,FALSE)))</f>
        <v/>
      </c>
      <c r="Z56" s="3626"/>
      <c r="AA56" s="3627"/>
      <c r="AB56" s="3628"/>
      <c r="AC56" s="3626"/>
      <c r="AD56" s="3627"/>
      <c r="AE56" s="3628"/>
      <c r="AF56" s="5952"/>
      <c r="AG56" s="8136"/>
      <c r="AH56" s="8105"/>
      <c r="AI56" s="8065" t="str">
        <f t="shared" si="8"/>
        <v/>
      </c>
      <c r="AJ56" s="10033"/>
      <c r="AK56" s="5952"/>
      <c r="AL56" s="5959"/>
      <c r="AM56" s="5959"/>
      <c r="AN56" s="5959"/>
      <c r="AO56" s="5959"/>
      <c r="AP56" s="5959"/>
      <c r="AQ56" s="5959"/>
    </row>
    <row r="57" spans="1:43" s="3561" customFormat="1" ht="21" customHeight="1">
      <c r="A57" s="8103" t="str">
        <f t="shared" si="4"/>
        <v>8300-05</v>
      </c>
      <c r="B57" s="10147" t="str">
        <f>+IF(A57="","",VLOOKUP(MATCH(A57,tid,0),tao,'12(id)'!$J$20,FALSE))</f>
        <v>NRG</v>
      </c>
      <c r="C57" s="7788" t="str">
        <f t="shared" si="6"/>
        <v>CC13</v>
      </c>
      <c r="D57" s="8137" t="str">
        <f t="shared" si="5"/>
        <v/>
      </c>
      <c r="E57" s="5952"/>
      <c r="F57" s="5959"/>
      <c r="G57" s="8103" t="str">
        <f>+IF(AND(G56="",A57=""),"",IF(OR(A57=G56,A57=0),G56,IF(VLOOKUP(MATCH(A57,tid,0),tao,'12(id)'!$U$20,FALSE)&gt;1,IF(AND(VLOOKUP(MATCH(A57,tid,0),tao,'12(id)'!$L$20,FALSE)=VLOOKUP(MATCH(G56,tid,0),tao,'12(id)'!$L$20,FALSE),X57&gt;X56),G56,IF(AND(X57="",VLOOKUP(MATCH(A57,tid,0),tao,'12(id)'!$U$20,FALSE)=VLOOKUP(MATCH(G56,tid,0),tao,'12(id)'!$U$20,FALSE)),G56,A57)),A57)))</f>
        <v>8300-05</v>
      </c>
      <c r="H57" s="5952"/>
      <c r="I57" s="4499">
        <f t="shared" si="7"/>
        <v>34</v>
      </c>
      <c r="J57" s="9064"/>
      <c r="K57" s="8971"/>
      <c r="L57" s="9064"/>
      <c r="M57" s="7790" t="s">
        <v>263</v>
      </c>
      <c r="N57" s="8971"/>
      <c r="O57" s="3580" t="str">
        <f>+IF(ISERROR(MATCH(M57,tid,0)),"",VLOOKUP(MATCH(M57,tid,0),tao,'12(id)'!$Q$20,FALSE))</f>
        <v>CC13</v>
      </c>
      <c r="P57" s="3613">
        <f>+IF(M57="","",VLOOKUP(MATCH(M57,tid,0),tao,'12(id)'!$U$20,FALSE))</f>
        <v>2</v>
      </c>
      <c r="Q57" s="10046">
        <f>+IF(ISERROR(MATCH(M57,tid,0)),"",IF(VLOOKUP(MATCH(M57,tid,0),tao,'12(id)'!$CT$20,FALSE)="","",VLOOKUP(MATCH(M57,tid,0),tao,'12(id)'!$CT$20,FALSE)))</f>
        <v>20</v>
      </c>
      <c r="R57" s="10039" t="str">
        <f>+IF(M57="","",IF(VLOOKUP(MATCH(M57,tid,0),tao,'12(id)'!$T$20,FALSE)="","",VLOOKUP(MATCH(M57,tid,0),tao,'12(id)'!$T$20,FALSE)))</f>
        <v>Combustion Turbine</v>
      </c>
      <c r="S57" s="10039" t="str">
        <f>+IF(ISERROR(MATCH(M57,tid,0)),"",IF(VLOOKUP(MATCH(M57,tid,0),tao,'12(id)'!$CO$20,FALSE)="","",VLOOKUP(MATCH(M57,tid,0),tao,'12(id)'!$CO$20,FALSE)))</f>
        <v>Pratt &amp; Whitney</v>
      </c>
      <c r="T57" s="10019" t="str">
        <f>+IF(ISERROR(MATCH(M57,tid,0)),"",IF(VLOOKUP(MATCH(M57,tid,0),tao,'12(id)'!$CP$20,FALSE)="","",VLOOKUP(MATCH(M57,tid,0),tao,'12(id)'!$CP$20,FALSE)))</f>
        <v>FT4-A9</v>
      </c>
      <c r="U57" s="10030">
        <f>+IF(ISERROR(VLOOKUP(MATCH(M57,tid,0),tao,'12(id)'!$HI$20,FALSE)),"",VLOOKUP(MATCH(M57,tid,0),tao,'12(id)'!$HI$20,FALSE))</f>
        <v>0.22</v>
      </c>
      <c r="V57" s="10019"/>
      <c r="W57" s="8078" t="str">
        <f t="shared" si="2"/>
        <v/>
      </c>
      <c r="X57" s="3614"/>
      <c r="Y57" s="3615" t="str">
        <f>+IF(W57="","",IF(VLOOKUP(MATCH(W57,op_id,0),op,'7(op)'!$T$18,FALSE)="","",VLOOKUP(MATCH(W57,op_id,0),op,'7(op)'!$T$18,FALSE)))</f>
        <v/>
      </c>
      <c r="Z57" s="3616"/>
      <c r="AA57" s="3617"/>
      <c r="AB57" s="3618"/>
      <c r="AC57" s="3616"/>
      <c r="AD57" s="3617"/>
      <c r="AE57" s="3618"/>
      <c r="AF57" s="5952"/>
      <c r="AG57" s="8132"/>
      <c r="AH57" s="8105"/>
      <c r="AI57" s="8065" t="str">
        <f t="shared" si="8"/>
        <v/>
      </c>
      <c r="AJ57" s="3690"/>
      <c r="AK57" s="5952"/>
      <c r="AL57" s="5959"/>
      <c r="AM57" s="5959"/>
      <c r="AN57" s="5959"/>
      <c r="AO57" s="5959"/>
      <c r="AP57" s="5959"/>
      <c r="AQ57" s="5959"/>
    </row>
    <row r="58" spans="1:43" s="3561" customFormat="1" ht="21" customHeight="1">
      <c r="A58" s="8103" t="str">
        <f t="shared" si="4"/>
        <v>8300-06</v>
      </c>
      <c r="B58" s="10147" t="str">
        <f>+IF(A58="","",VLOOKUP(MATCH(A58,tid,0),tao,'12(id)'!$J$20,FALSE))</f>
        <v>NRG</v>
      </c>
      <c r="C58" s="7788" t="str">
        <f t="shared" si="6"/>
        <v>CC14</v>
      </c>
      <c r="D58" s="8138" t="str">
        <f t="shared" si="5"/>
        <v/>
      </c>
      <c r="E58" s="5952"/>
      <c r="F58" s="5959"/>
      <c r="G58" s="8103" t="str">
        <f>+IF(AND(G57="",A58=""),"",IF(OR(A58=G57,A58=0),G57,IF(VLOOKUP(MATCH(A58,tid,0),tao,'12(id)'!$U$20,FALSE)&gt;1,IF(AND(VLOOKUP(MATCH(A58,tid,0),tao,'12(id)'!$L$20,FALSE)=VLOOKUP(MATCH(G57,tid,0),tao,'12(id)'!$L$20,FALSE),X58&gt;X57),G57,IF(AND(X58="",VLOOKUP(MATCH(A58,tid,0),tao,'12(id)'!$U$20,FALSE)=VLOOKUP(MATCH(G57,tid,0),tao,'12(id)'!$U$20,FALSE)),G57,A58)),A58)))</f>
        <v>8300-05</v>
      </c>
      <c r="H58" s="5952"/>
      <c r="I58" s="4499">
        <f t="shared" si="7"/>
        <v>35</v>
      </c>
      <c r="J58" s="9064"/>
      <c r="K58" s="8971"/>
      <c r="L58" s="9064"/>
      <c r="M58" s="7790" t="s">
        <v>264</v>
      </c>
      <c r="N58" s="8972"/>
      <c r="O58" s="3580" t="str">
        <f>+IF(ISERROR(MATCH(M58,tid,0)),"",VLOOKUP(MATCH(M58,tid,0),tao,'12(id)'!$Q$20,FALSE))</f>
        <v>CC14</v>
      </c>
      <c r="P58" s="3613">
        <f>+IF(M58="","",VLOOKUP(MATCH(M58,tid,0),tao,'12(id)'!$U$20,FALSE))</f>
        <v>2</v>
      </c>
      <c r="Q58" s="10046"/>
      <c r="R58" s="10039"/>
      <c r="S58" s="10039"/>
      <c r="T58" s="10019"/>
      <c r="U58" s="10030">
        <f>+IF(ISERROR(VLOOKUP(MATCH(M58,tid,0),tao,'12(id)'!$HI$20,FALSE)),"",VLOOKUP(MATCH(M58,tid,0),tao,'12(id)'!$HI$20,FALSE))</f>
        <v>0.22</v>
      </c>
      <c r="V58" s="10019"/>
      <c r="W58" s="8080" t="str">
        <f t="shared" si="2"/>
        <v/>
      </c>
      <c r="X58" s="3624"/>
      <c r="Y58" s="3625" t="str">
        <f>+IF(W58="","",IF(VLOOKUP(MATCH(W58,op_id,0),op,'7(op)'!$T$18,FALSE)="","",VLOOKUP(MATCH(W58,op_id,0),op,'7(op)'!$T$18,FALSE)))</f>
        <v/>
      </c>
      <c r="Z58" s="3626"/>
      <c r="AA58" s="3627"/>
      <c r="AB58" s="3628"/>
      <c r="AC58" s="3626"/>
      <c r="AD58" s="3627"/>
      <c r="AE58" s="3628"/>
      <c r="AF58" s="5952"/>
      <c r="AG58" s="8136"/>
      <c r="AH58" s="8105"/>
      <c r="AI58" s="8065" t="str">
        <f t="shared" si="8"/>
        <v/>
      </c>
      <c r="AJ58" s="3691"/>
      <c r="AK58" s="5952"/>
      <c r="AL58" s="5959"/>
      <c r="AM58" s="5959"/>
      <c r="AN58" s="5959"/>
      <c r="AO58" s="5959"/>
      <c r="AP58" s="5959"/>
      <c r="AQ58" s="5959"/>
    </row>
    <row r="59" spans="1:43" s="3561" customFormat="1" ht="25.5" customHeight="1">
      <c r="A59" s="8103" t="str">
        <f t="shared" si="4"/>
        <v>8300-07</v>
      </c>
      <c r="B59" s="10147" t="str">
        <f>+IF(A59="","",VLOOKUP(MATCH(A59,tid,0),tao,'12(id)'!$J$20,FALSE))</f>
        <v>NRG</v>
      </c>
      <c r="C59" s="7788" t="str">
        <f t="shared" si="6"/>
        <v>FD10</v>
      </c>
      <c r="D59" s="8139" t="str">
        <f t="shared" si="5"/>
        <v>8300-07-01</v>
      </c>
      <c r="E59" s="5952"/>
      <c r="F59" s="5959"/>
      <c r="G59" s="8103" t="str">
        <f>+IF(AND(G58="",A59=""),"",IF(OR(A59=G58,A59=0),G58,IF(VLOOKUP(MATCH(A59,tid,0),tao,'12(id)'!$U$20,FALSE)&gt;1,IF(AND(VLOOKUP(MATCH(A59,tid,0),tao,'12(id)'!$L$20,FALSE)=VLOOKUP(MATCH(G58,tid,0),tao,'12(id)'!$L$20,FALSE),X59&gt;X58),G58,IF(AND(X59="",VLOOKUP(MATCH(A59,tid,0),tao,'12(id)'!$U$20,FALSE)=VLOOKUP(MATCH(G58,tid,0),tao,'12(id)'!$U$20,FALSE)),G58,A59)),A59)))</f>
        <v>8300-07</v>
      </c>
      <c r="H59" s="5952"/>
      <c r="I59" s="4499">
        <f t="shared" si="7"/>
        <v>36</v>
      </c>
      <c r="J59" s="9064"/>
      <c r="K59" s="8971"/>
      <c r="L59" s="9064"/>
      <c r="M59" s="7790" t="s">
        <v>265</v>
      </c>
      <c r="N59" s="3629" t="str">
        <f>+IF(M59="","",VLOOKUP(MATCH(M59,tid,0),tao,'12(id)'!$L$20,FALSE))</f>
        <v>Franklin Drive</v>
      </c>
      <c r="O59" s="3580" t="str">
        <f>+IF(ISERROR(MATCH(M59,tid,0)),"",VLOOKUP(MATCH(M59,tid,0),tao,'12(id)'!$Q$20,FALSE))</f>
        <v>FD10</v>
      </c>
      <c r="P59" s="3613">
        <f>+IF(M59="","",VLOOKUP(MATCH(M59,tid,0),tao,'12(id)'!$U$20,FALSE))</f>
        <v>1</v>
      </c>
      <c r="Q59" s="7876">
        <f>+IF(ISERROR(MATCH(M59,tid,0)),"",IF(VLOOKUP(MATCH(M59,tid,0),tao,'12(id)'!$CT$20,FALSE)="","",VLOOKUP(MATCH(M59,tid,0),tao,'12(id)'!$CT$20,FALSE)))</f>
        <v>20</v>
      </c>
      <c r="R59" s="7864" t="str">
        <f>+IF(M59="","",IF(VLOOKUP(MATCH(M59,tid,0),tao,'12(id)'!$T$20,FALSE)="","",VLOOKUP(MATCH(M59,tid,0),tao,'12(id)'!$T$20,FALSE)))</f>
        <v>Combustion Turbine</v>
      </c>
      <c r="S59" s="7864" t="str">
        <f>+IF(ISERROR(MATCH(M59,tid,0)),"",IF(VLOOKUP(MATCH(M59,tid,0),tao,'12(id)'!$CO$20,FALSE)="","",VLOOKUP(MATCH(M59,tid,0),tao,'12(id)'!$CO$20,FALSE)))</f>
        <v>Pratt &amp; Whitney</v>
      </c>
      <c r="T59" s="7866" t="str">
        <f>+IF(ISERROR(MATCH(M59,tid,0)),"",IF(VLOOKUP(MATCH(M59,tid,0),tao,'12(id)'!$CP$20,FALSE)="","",VLOOKUP(MATCH(M59,tid,0),tao,'12(id)'!$CP$20,FALSE)))</f>
        <v>FT4-A8</v>
      </c>
      <c r="U59" s="7869">
        <f>+IF(ISERROR(MATCH(M59,tid,0)),"",IF(VLOOKUP(MATCH(M59,tid,0),tao,'12(id)'!$HJ$20,FALSE)="","",VLOOKUP(MATCH(M59,tid,0),tao,'12(id)'!$HJ$20,FALSE)))</f>
        <v>0.8</v>
      </c>
      <c r="V59" s="7866" t="str">
        <f>+IF(ISERROR(MATCH(M59,tid,0)),"",IF(VLOOKUP(MATCH(M59,tid,0),tao,'12(id)'!$HK$20,FALSE)="","",VLOOKUP(MATCH(M59,tid,0),tao,'12(id)'!$HK$20,FALSE)))</f>
        <v/>
      </c>
      <c r="W59" s="8069" t="str">
        <f t="shared" si="2"/>
        <v>8300-07-01</v>
      </c>
      <c r="X59" s="6106">
        <v>1</v>
      </c>
      <c r="Y59" s="6096" t="str">
        <f>+IF(W59="","",IF(VLOOKUP(MATCH(W59,op_id,0),op,'7(op)'!$T$18,FALSE)="","",IF(VLOOKUP(MATCH(W59,op_id,0),op,'7(op)'!$Y$18,FALSE)="Rejected",VLOOKUP(MATCH(W59,op_id,0),op,'7(op)'!$T$18,FALSE)&amp;"-Rejected by Stk - REMOVE OPTION No.",VLOOKUP(MATCH(W59,op_id,0),op,'7(op)'!$T$18,FALSE))))</f>
        <v>High Pressure Water Injection (HPWI)</v>
      </c>
      <c r="Z59" s="6097">
        <v>0.22</v>
      </c>
      <c r="AA59" s="6100"/>
      <c r="AB59" s="6099">
        <f>+IF(U59="",IF(V59="","",IF(AA59="","",(V59-AA59)/V59)),IF(Z59="","",(U59-Z59)/U59))</f>
        <v>0.72500000000000009</v>
      </c>
      <c r="AC59" s="6097">
        <f>+IF(AG59="",IF(Z59="","",Z59),IF(AH59="lb/MMBtu",AG59,IF($U59="","",IF(AH59="%",(1-AG59/100)*$U59,IF(AH59="ppmvd",IF($V59="","",(AG59/$V59)*$U59),"")))))</f>
        <v>0.22</v>
      </c>
      <c r="AD59" s="6100" t="str">
        <f>+IF(AG59="",IF(AA59="","",AA59),IF(AH59="ppmvd",AG59,IF($V59="","",IF(AH59="%",(1-AG59/100)*$V59,IF(AH59="lb/MMBtu",IF(U59="","",(AG59/$U59)*$V59),"")))))</f>
        <v/>
      </c>
      <c r="AE59" s="6099">
        <f>+IF(AG59="",IF(AB59="","",AB59),IF(AH59="%",AG59/100,IF($U59="","",IF(AND(AH59="lb/MMBtu",AC59&gt;0,$U59&gt;0),($U59-AC59)/$U59,IF(AND(AH59="ppmvd",AG59&gt;0,$V59&gt;0),IF($V59="","",($V59-AG59)/$V59),"")))))</f>
        <v>0.72500000000000009</v>
      </c>
      <c r="AF59" s="5952"/>
      <c r="AG59" s="8140"/>
      <c r="AH59" s="8105"/>
      <c r="AI59" s="8065" t="str">
        <f t="shared" si="8"/>
        <v/>
      </c>
      <c r="AJ59" s="10034" t="s">
        <v>1915</v>
      </c>
      <c r="AK59" s="5952"/>
      <c r="AL59" s="5959"/>
      <c r="AM59" s="5959"/>
      <c r="AN59" s="5959"/>
      <c r="AO59" s="5959"/>
      <c r="AP59" s="5959"/>
      <c r="AQ59" s="5959"/>
    </row>
    <row r="60" spans="1:43" s="3561" customFormat="1" ht="25.5" customHeight="1">
      <c r="A60" s="8103" t="str">
        <f t="shared" si="4"/>
        <v>8300-08</v>
      </c>
      <c r="B60" s="10147" t="str">
        <f>+IF(A60="","",VLOOKUP(MATCH(A60,tid,0),tao,'12(id)'!$J$20,FALSE))</f>
        <v>NRG</v>
      </c>
      <c r="C60" s="7788" t="str">
        <f t="shared" si="6"/>
        <v>TT10</v>
      </c>
      <c r="D60" s="8139" t="str">
        <f t="shared" si="5"/>
        <v>8300-08-01</v>
      </c>
      <c r="E60" s="5952"/>
      <c r="F60" s="5959"/>
      <c r="G60" s="8103" t="str">
        <f>+IF(AND(G59="",A60=""),"",IF(OR(A60=G59,A60=0),G59,IF(VLOOKUP(MATCH(A60,tid,0),tao,'12(id)'!$U$20,FALSE)&gt;1,IF(AND(VLOOKUP(MATCH(A60,tid,0),tao,'12(id)'!$L$20,FALSE)=VLOOKUP(MATCH(G59,tid,0),tao,'12(id)'!$L$20,FALSE),X60&gt;X59),G59,IF(AND(X60="",VLOOKUP(MATCH(A60,tid,0),tao,'12(id)'!$U$20,FALSE)=VLOOKUP(MATCH(G59,tid,0),tao,'12(id)'!$U$20,FALSE)),G59,A60)),A60)))</f>
        <v>8300-08</v>
      </c>
      <c r="H60" s="5952"/>
      <c r="I60" s="4499">
        <f t="shared" si="7"/>
        <v>37</v>
      </c>
      <c r="J60" s="9064"/>
      <c r="K60" s="8971"/>
      <c r="L60" s="9064"/>
      <c r="M60" s="7790" t="s">
        <v>266</v>
      </c>
      <c r="N60" s="3629" t="str">
        <f>+IF(M60="","",VLOOKUP(MATCH(M60,tid,0),tao,'12(id)'!$L$20,FALSE))</f>
        <v>Torrington Terminal</v>
      </c>
      <c r="O60" s="3580" t="str">
        <f>+IF(ISERROR(MATCH(M60,tid,0)),"",VLOOKUP(MATCH(M60,tid,0),tao,'12(id)'!$Q$20,FALSE))</f>
        <v>TT10</v>
      </c>
      <c r="P60" s="3613">
        <f>+IF(M60="","",VLOOKUP(MATCH(M60,tid,0),tao,'12(id)'!$U$20,FALSE))</f>
        <v>1</v>
      </c>
      <c r="Q60" s="7876">
        <f>+IF(ISERROR(MATCH(M60,tid,0)),"",IF(VLOOKUP(MATCH(M60,tid,0),tao,'12(id)'!$CT$20,FALSE)="","",VLOOKUP(MATCH(M60,tid,0),tao,'12(id)'!$CT$20,FALSE)))</f>
        <v>20</v>
      </c>
      <c r="R60" s="7864" t="str">
        <f>+IF(M60="","",IF(VLOOKUP(MATCH(M60,tid,0),tao,'12(id)'!$T$20,FALSE)="","",VLOOKUP(MATCH(M60,tid,0),tao,'12(id)'!$T$20,FALSE)))</f>
        <v>Combustion Turbine</v>
      </c>
      <c r="S60" s="7864" t="str">
        <f>+IF(ISERROR(MATCH(M60,tid,0)),"",IF(VLOOKUP(MATCH(M60,tid,0),tao,'12(id)'!$CO$20,FALSE)="","",VLOOKUP(MATCH(M60,tid,0),tao,'12(id)'!$CO$20,FALSE)))</f>
        <v>Pratt &amp; Whitney</v>
      </c>
      <c r="T60" s="7866" t="str">
        <f>+IF(ISERROR(MATCH(M60,tid,0)),"",IF(VLOOKUP(MATCH(M60,tid,0),tao,'12(id)'!$CP$20,FALSE)="","",VLOOKUP(MATCH(M60,tid,0),tao,'12(id)'!$CP$20,FALSE)))</f>
        <v>FT4-A8</v>
      </c>
      <c r="U60" s="7869">
        <f>+IF(ISERROR(MATCH(M60,tid,0)),"",IF(VLOOKUP(MATCH(M60,tid,0),tao,'12(id)'!$HJ$20,FALSE)="","",VLOOKUP(MATCH(M60,tid,0),tao,'12(id)'!$HJ$20,FALSE)))</f>
        <v>0.8</v>
      </c>
      <c r="V60" s="7871" t="str">
        <f>+IF(ISERROR(MATCH(M60,tid,0)),"",IF(VLOOKUP(MATCH(M60,tid,0),tao,'12(id)'!$HK$20,FALSE)="","",VLOOKUP(MATCH(M60,tid,0),tao,'12(id)'!$HK$20,FALSE)))</f>
        <v/>
      </c>
      <c r="W60" s="8069" t="str">
        <f t="shared" si="2"/>
        <v>8300-08-01</v>
      </c>
      <c r="X60" s="6106">
        <v>1</v>
      </c>
      <c r="Y60" s="6096" t="str">
        <f>+IF(W60="","",IF(VLOOKUP(MATCH(W60,op_id,0),op,'7(op)'!$T$18,FALSE)="","",IF(VLOOKUP(MATCH(W60,op_id,0),op,'7(op)'!$Y$18,FALSE)="Rejected",VLOOKUP(MATCH(W60,op_id,0),op,'7(op)'!$T$18,FALSE)&amp;"-Rejected by Stk - REMOVE OPTION No.",VLOOKUP(MATCH(W60,op_id,0),op,'7(op)'!$T$18,FALSE))))</f>
        <v>High Pressure Water Injection (HPWI)</v>
      </c>
      <c r="Z60" s="6097">
        <v>0.22</v>
      </c>
      <c r="AA60" s="6100"/>
      <c r="AB60" s="6099">
        <f>+IF(U60="",IF(V60="","",IF(AA60="","",(V60-AA60)/V60)),IF(Z60="","",(U60-Z60)/U60))</f>
        <v>0.72500000000000009</v>
      </c>
      <c r="AC60" s="6097">
        <f>+IF(AG60="",IF(Z60="","",Z60),IF(AH60="lb/MMBtu",AG60,IF($U60="","",IF(AH60="%",(1-AG60/100)*$U60,IF(AH60="ppmvd",IF($V60="","",(AG60/$V60)*$U60),"")))))</f>
        <v>0.22</v>
      </c>
      <c r="AD60" s="6100" t="str">
        <f>+IF(AG60="",IF(AA60="","",AA60),IF(AH60="ppmvd",AG60,IF($V60="","",IF(AH60="%",(1-AG60/100)*$V60,IF(AH60="lb/MMBtu",IF(U60="","",(AG60/$U60)*$V60),"")))))</f>
        <v/>
      </c>
      <c r="AE60" s="6099">
        <f>+IF(AG60="",IF(AB60="","",AB60),IF(AH60="%",AG60/100,IF($U60="","",IF(AND(AH60="lb/MMBtu",AC60&gt;0,$U60&gt;0),($U60-AC60)/$U60,IF(AND(AH60="ppmvd",AG60&gt;0,$V60&gt;0),IF($V60="","",($V60-AG60)/$V60),"")))))</f>
        <v>0.72500000000000009</v>
      </c>
      <c r="AF60" s="5952"/>
      <c r="AG60" s="8140"/>
      <c r="AH60" s="8105"/>
      <c r="AI60" s="8065" t="str">
        <f t="shared" si="8"/>
        <v/>
      </c>
      <c r="AJ60" s="10035"/>
      <c r="AK60" s="5952"/>
      <c r="AL60" s="5959"/>
      <c r="AM60" s="5959"/>
      <c r="AN60" s="5959"/>
      <c r="AO60" s="5959"/>
      <c r="AP60" s="5959"/>
      <c r="AQ60" s="5959"/>
    </row>
    <row r="61" spans="1:43" s="3561" customFormat="1" ht="25.5" customHeight="1">
      <c r="A61" s="8103" t="str">
        <f t="shared" si="4"/>
        <v>8300-09</v>
      </c>
      <c r="B61" s="10147" t="str">
        <f>+IF(A61="","",VLOOKUP(MATCH(A61,tid,0),tao,'12(id)'!$J$20,FALSE))</f>
        <v>NRG</v>
      </c>
      <c r="C61" s="8141" t="str">
        <f t="shared" si="6"/>
        <v>MD10</v>
      </c>
      <c r="D61" s="8139" t="str">
        <f t="shared" si="5"/>
        <v>8300-09-01</v>
      </c>
      <c r="E61" s="5952"/>
      <c r="F61" s="5959"/>
      <c r="G61" s="8103" t="str">
        <f>+IF(AND(G60="",A61=""),"",IF(OR(A61=G60,A61=0),G60,IF(VLOOKUP(MATCH(A61,tid,0),tao,'12(id)'!$U$20,FALSE)&gt;1,IF(AND(VLOOKUP(MATCH(A61,tid,0),tao,'12(id)'!$L$20,FALSE)=VLOOKUP(MATCH(G60,tid,0),tao,'12(id)'!$L$20,FALSE),X61&gt;X60),G60,IF(AND(X61="",VLOOKUP(MATCH(A61,tid,0),tao,'12(id)'!$U$20,FALSE)=VLOOKUP(MATCH(G60,tid,0),tao,'12(id)'!$U$20,FALSE)),G60,A61)),A61)))</f>
        <v>8300-09</v>
      </c>
      <c r="H61" s="5952"/>
      <c r="I61" s="4499">
        <f t="shared" si="7"/>
        <v>38</v>
      </c>
      <c r="J61" s="9064"/>
      <c r="K61" s="8971"/>
      <c r="L61" s="9064"/>
      <c r="M61" s="7790" t="s">
        <v>267</v>
      </c>
      <c r="N61" s="7787" t="s">
        <v>500</v>
      </c>
      <c r="O61" s="3630" t="str">
        <f>+IF(ISERROR(MATCH(M61,tid,0)),"",VLOOKUP(MATCH(M61,tid,0),tao,'12(id)'!$Q$20,FALSE))</f>
        <v>MD10</v>
      </c>
      <c r="P61" s="3613">
        <f>+IF(M61="","",VLOOKUP(MATCH(M61,tid,0),tao,'12(id)'!$U$20,FALSE))</f>
        <v>1</v>
      </c>
      <c r="Q61" s="7876">
        <f>+IF(ISERROR(MATCH(M61,tid,0)),"",IF(VLOOKUP(MATCH(M61,tid,0),tao,'12(id)'!$CT$20,FALSE)="","",VLOOKUP(MATCH(M61,tid,0),tao,'12(id)'!$CT$20,FALSE)))</f>
        <v>20</v>
      </c>
      <c r="R61" s="7864" t="str">
        <f>+IF(M61="","",IF(VLOOKUP(MATCH(M61,tid,0),tao,'12(id)'!$T$20,FALSE)="","",VLOOKUP(MATCH(M61,tid,0),tao,'12(id)'!$T$20,FALSE)))</f>
        <v>Combustion Turbine</v>
      </c>
      <c r="S61" s="7864" t="str">
        <f>+IF(ISERROR(MATCH(M61,tid,0)),"",IF(VLOOKUP(MATCH(M61,tid,0),tao,'12(id)'!$CO$20,FALSE)="","",VLOOKUP(MATCH(M61,tid,0),tao,'12(id)'!$CO$20,FALSE)))</f>
        <v>Pratt &amp; Whitney</v>
      </c>
      <c r="T61" s="7866" t="str">
        <f>+IF(ISERROR(MATCH(M61,tid,0)),"",IF(VLOOKUP(MATCH(M61,tid,0),tao,'12(id)'!$CP$20,FALSE)="","",VLOOKUP(MATCH(M61,tid,0),tao,'12(id)'!$CP$20,FALSE)))</f>
        <v>FT4-A8</v>
      </c>
      <c r="U61" s="7869">
        <f>+IF(ISERROR(MATCH(M61,tid,0)),"",IF(VLOOKUP(MATCH(M61,tid,0),tao,'12(id)'!$HJ$20,FALSE)="","",VLOOKUP(MATCH(M61,tid,0),tao,'12(id)'!$HJ$20,FALSE)))</f>
        <v>0.67</v>
      </c>
      <c r="V61" s="7866" t="str">
        <f>+IF(ISERROR(MATCH(M61,tid,0)),"",IF(VLOOKUP(MATCH(M61,tid,0),tao,'12(id)'!$HK$20,FALSE)="","",VLOOKUP(MATCH(M61,tid,0),tao,'12(id)'!$HK$20,FALSE)))</f>
        <v/>
      </c>
      <c r="W61" s="8069" t="str">
        <f t="shared" si="2"/>
        <v>8300-09-01</v>
      </c>
      <c r="X61" s="6106">
        <v>1</v>
      </c>
      <c r="Y61" s="6096" t="str">
        <f>+IF(W61="","",IF(VLOOKUP(MATCH(W61,op_id,0),op,'7(op)'!$T$18,FALSE)="","",IF(VLOOKUP(MATCH(W61,op_id,0),op,'7(op)'!$Y$18,FALSE)="Rejected",VLOOKUP(MATCH(W61,op_id,0),op,'7(op)'!$T$18,FALSE)&amp;"-Rejected by Stk - REMOVE OPTION No.",VLOOKUP(MATCH(W61,op_id,0),op,'7(op)'!$T$18,FALSE))))</f>
        <v>High Pressure Water Injection (HPWI)</v>
      </c>
      <c r="Z61" s="6097">
        <v>0.22</v>
      </c>
      <c r="AA61" s="6100"/>
      <c r="AB61" s="6099">
        <f>+IF(U61="",IF(V61="","",IF(AA61="","",(V61-AA61)/V61)),IF(Z61="","",(U61-Z61)/U61))</f>
        <v>0.67164179104477617</v>
      </c>
      <c r="AC61" s="6097">
        <f>+IF(AG61="",IF(Z61="","",Z61),IF(AH61="lb/MMBtu",AG61,IF($U61="","",IF(AH61="%",(1-AG61/100)*$U61,IF(AH61="ppmvd",IF($V61="","",(AG61/$V61)*$U61),"")))))</f>
        <v>0.22</v>
      </c>
      <c r="AD61" s="6100" t="str">
        <f>+IF(AG61="",IF(AA61="","",AA61),IF(AH61="ppmvd",AG61,IF($V61="","",IF(AH61="%",(1-AG61/100)*$V61,IF(AH61="lb/MMBtu",IF(U61="","",(AG61/$U61)*$V61),"")))))</f>
        <v/>
      </c>
      <c r="AE61" s="6099">
        <f>+IF(AG61="",IF(AB61="","",AB61),IF(AH61="%",AG61/100,IF($U61="","",IF(AND(AH61="lb/MMBtu",AC61&gt;0,$U61&gt;0),($U61-AC61)/$U61,IF(AND(AH61="ppmvd",AG61&gt;0,$V61&gt;0),IF($V61="","",($V61-AG61)/$V61),"")))))</f>
        <v>0.67164179104477617</v>
      </c>
      <c r="AF61" s="5952"/>
      <c r="AG61" s="8140"/>
      <c r="AH61" s="8105"/>
      <c r="AI61" s="8065" t="str">
        <f t="shared" si="8"/>
        <v/>
      </c>
      <c r="AJ61" s="10035"/>
      <c r="AK61" s="5952"/>
      <c r="AL61" s="5959"/>
      <c r="AM61" s="5959"/>
      <c r="AN61" s="5959"/>
      <c r="AO61" s="5959"/>
      <c r="AP61" s="5959"/>
      <c r="AQ61" s="5959"/>
    </row>
    <row r="62" spans="1:43" s="3561" customFormat="1" ht="25.5" customHeight="1">
      <c r="A62" s="8103" t="str">
        <f t="shared" si="4"/>
        <v>8300-10</v>
      </c>
      <c r="B62" s="10147" t="str">
        <f>+IF(A62="","",VLOOKUP(MATCH(A62,tid,0),tao,'12(id)'!$J$20,FALSE))</f>
        <v>NRG</v>
      </c>
      <c r="C62" s="7788" t="str">
        <f t="shared" si="6"/>
        <v>NH10</v>
      </c>
      <c r="D62" s="8139" t="str">
        <f t="shared" si="5"/>
        <v>8300-10-01</v>
      </c>
      <c r="E62" s="5952"/>
      <c r="F62" s="5959"/>
      <c r="G62" s="8103" t="str">
        <f>+IF(AND(G61="",A62=""),"",IF(OR(A62=G61,A62=0),G61,IF(VLOOKUP(MATCH(A62,tid,0),tao,'12(id)'!$U$20,FALSE)&gt;1,IF(AND(VLOOKUP(MATCH(A62,tid,0),tao,'12(id)'!$L$20,FALSE)=VLOOKUP(MATCH(G61,tid,0),tao,'12(id)'!$L$20,FALSE),X62&gt;X61),G61,IF(AND(X62="",VLOOKUP(MATCH(A62,tid,0),tao,'12(id)'!$U$20,FALSE)=VLOOKUP(MATCH(G61,tid,0),tao,'12(id)'!$U$20,FALSE)),G61,A62)),A62)))</f>
        <v>8300-10</v>
      </c>
      <c r="H62" s="5952"/>
      <c r="I62" s="4499">
        <f t="shared" si="7"/>
        <v>39</v>
      </c>
      <c r="J62" s="9064"/>
      <c r="K62" s="8971"/>
      <c r="L62" s="9064"/>
      <c r="M62" s="7790" t="s">
        <v>268</v>
      </c>
      <c r="N62" s="3629" t="s">
        <v>351</v>
      </c>
      <c r="O62" s="3580" t="str">
        <f>+IF(ISERROR(MATCH(M62,tid,0)),"",VLOOKUP(MATCH(M62,tid,0),tao,'12(id)'!$Q$20,FALSE))</f>
        <v>NH10</v>
      </c>
      <c r="P62" s="3613">
        <f>+IF(M62="","",VLOOKUP(MATCH(M62,tid,0),tao,'12(id)'!$U$20,FALSE))</f>
        <v>1</v>
      </c>
      <c r="Q62" s="7876">
        <f>+IF(ISERROR(MATCH(M62,tid,0)),"",IF(VLOOKUP(MATCH(M62,tid,0),tao,'12(id)'!$CT$20,FALSE)="","",VLOOKUP(MATCH(M62,tid,0),tao,'12(id)'!$CT$20,FALSE)))</f>
        <v>17</v>
      </c>
      <c r="R62" s="7864" t="str">
        <f>+IF(M62="","",IF(VLOOKUP(MATCH(M62,tid,0),tao,'12(id)'!$T$20,FALSE)="","",VLOOKUP(MATCH(M62,tid,0),tao,'12(id)'!$T$20,FALSE)))</f>
        <v>Combustion Turbine</v>
      </c>
      <c r="S62" s="7864" t="str">
        <f>+IF(ISERROR(MATCH(M62,tid,0)),"",IF(VLOOKUP(MATCH(M62,tid,0),tao,'12(id)'!$CO$20,FALSE)="","",VLOOKUP(MATCH(M62,tid,0),tao,'12(id)'!$CO$20,FALSE)))</f>
        <v>Westinghouse</v>
      </c>
      <c r="T62" s="7866" t="str">
        <f>+IF(ISERROR(MATCH(M62,tid,0)),"",IF(VLOOKUP(MATCH(M62,tid,0),tao,'12(id)'!$CP$20,FALSE)="","",VLOOKUP(MATCH(M62,tid,0),tao,'12(id)'!$CP$20,FALSE)))</f>
        <v>W191</v>
      </c>
      <c r="U62" s="7869">
        <f>+IF(ISERROR(MATCH(M62,tid,0)),"",IF(VLOOKUP(MATCH(M62,tid,0),tao,'12(id)'!$HJ$20,FALSE)="","",VLOOKUP(MATCH(M62,tid,0),tao,'12(id)'!$HJ$20,FALSE)))</f>
        <v>0.52</v>
      </c>
      <c r="V62" s="7866" t="str">
        <f>+IF(ISERROR(MATCH(M62,tid,0)),"",IF(VLOOKUP(MATCH(M62,tid,0),tao,'12(id)'!$HK$20,FALSE)="","",VLOOKUP(MATCH(M62,tid,0),tao,'12(id)'!$HK$20,FALSE)))</f>
        <v/>
      </c>
      <c r="W62" s="8069" t="str">
        <f t="shared" si="2"/>
        <v>8300-10-01</v>
      </c>
      <c r="X62" s="6106">
        <v>1</v>
      </c>
      <c r="Y62" s="6096" t="str">
        <f>+IF(W62="","",IF(VLOOKUP(MATCH(W62,op_id,0),op,'7(op)'!$T$18,FALSE)="","",IF(VLOOKUP(MATCH(W62,op_id,0),op,'7(op)'!$Y$18,FALSE)="Rejected",VLOOKUP(MATCH(W62,op_id,0),op,'7(op)'!$T$18,FALSE)&amp;"-Rejected by Stk - REMOVE OPTION No.",VLOOKUP(MATCH(W62,op_id,0),op,'7(op)'!$T$18,FALSE))))</f>
        <v>High Pressure Water Injection (HPWI)</v>
      </c>
      <c r="Z62" s="6097">
        <v>0.26</v>
      </c>
      <c r="AA62" s="6100"/>
      <c r="AB62" s="6099">
        <f>+IF(U62="",IF(V62="","",IF(AA62="","",(V62-AA62)/V62)),IF(Z62="","",(U62-Z62)/U62))</f>
        <v>0.5</v>
      </c>
      <c r="AC62" s="6097">
        <f>+IF(AG62="",IF(Z62="","",Z62),IF(AH62="lb/MMBtu",AG62,IF($U62="","",IF(AH62="%",(1-AG62/100)*$U62,IF(AH62="ppmvd",IF($V62="","",(AG62/$V62)*$U62),"")))))</f>
        <v>0.26</v>
      </c>
      <c r="AD62" s="6100" t="str">
        <f>+IF(AG62="",IF(AA62="","",AA62),IF(AH62="ppmvd",AG62,IF($V62="","",IF(AH62="%",(1-AG62/100)*$V62,IF(AH62="lb/MMBtu",IF(U62="","",(AG62/$U62)*$V62),"")))))</f>
        <v/>
      </c>
      <c r="AE62" s="6099">
        <f>+IF(AG62="",IF(AB62="","",AB62),IF(AH62="%",AG62/100,IF($U62="","",IF(AND(AH62="lb/MMBtu",AC62&gt;0,$U62&gt;0),($U62-AC62)/$U62,IF(AND(AH62="ppmvd",AG62&gt;0,$V62&gt;0),IF($V62="","",($V62-AG62)/$V62),"")))))</f>
        <v>0.5</v>
      </c>
      <c r="AF62" s="5952"/>
      <c r="AG62" s="8140"/>
      <c r="AH62" s="8105"/>
      <c r="AI62" s="8065" t="str">
        <f t="shared" si="8"/>
        <v/>
      </c>
      <c r="AJ62" s="10036"/>
      <c r="AK62" s="5952"/>
      <c r="AL62" s="5959"/>
      <c r="AM62" s="5959"/>
      <c r="AN62" s="5959"/>
      <c r="AO62" s="5959"/>
      <c r="AP62" s="5959"/>
      <c r="AQ62" s="5959"/>
    </row>
    <row r="63" spans="1:43" s="3561" customFormat="1" ht="25.5" customHeight="1">
      <c r="A63" s="10154" t="str">
        <f t="shared" si="4"/>
        <v>8300-11</v>
      </c>
      <c r="B63" s="10147" t="str">
        <f>+IF(A63="","",VLOOKUP(MATCH(A63,tid,0),tao,'12(id)'!$J$20,FALSE))</f>
        <v>NRG</v>
      </c>
      <c r="C63" s="10155" t="str">
        <f t="shared" si="6"/>
        <v>DV10</v>
      </c>
      <c r="D63" s="8142" t="str">
        <f t="shared" si="5"/>
        <v>8300-11-01</v>
      </c>
      <c r="E63" s="5952"/>
      <c r="F63" s="5959"/>
      <c r="G63" s="8143" t="str">
        <f>+IF(AND(G62="",A63=""),"",IF(OR(A63=G62,A63=0),G62,IF(VLOOKUP(MATCH(A63,tid,0),tao,'12(id)'!$U$20,FALSE)&gt;1,IF(AND(VLOOKUP(MATCH(A63,tid,0),tao,'12(id)'!$L$20,FALSE)=VLOOKUP(MATCH(G62,tid,0),tao,'12(id)'!$L$20,FALSE),X63&gt;X62),G62,IF(AND(X63="",VLOOKUP(MATCH(A63,tid,0),tao,'12(id)'!$U$20,FALSE)=VLOOKUP(MATCH(G62,tid,0),tao,'12(id)'!$U$20,FALSE)),G62,A63)),A63)))</f>
        <v>8300-11</v>
      </c>
      <c r="H63" s="5952"/>
      <c r="I63" s="4499">
        <f t="shared" si="7"/>
        <v>40</v>
      </c>
      <c r="J63" s="9064"/>
      <c r="K63" s="8971"/>
      <c r="L63" s="9064"/>
      <c r="M63" s="10100" t="s">
        <v>269</v>
      </c>
      <c r="N63" s="10093" t="str">
        <f>+IF(M63="","",VLOOKUP(MATCH(M63,tid,0),tao,'12(id)'!$L$20,FALSE))</f>
        <v>Devon</v>
      </c>
      <c r="O63" s="10090" t="str">
        <f>+IF(ISERROR(MATCH(M63,tid,0)),"",VLOOKUP(MATCH(M63,tid,0),tao,'12(id)'!$Q$20,FALSE))</f>
        <v>DV10</v>
      </c>
      <c r="P63" s="10091">
        <f>+IF(M63="","",VLOOKUP(MATCH(M63,tid,0),tao,'12(id)'!$U$20,FALSE))</f>
        <v>1</v>
      </c>
      <c r="Q63" s="10046">
        <f>+IF(ISERROR(MATCH(M63,tid,0)),"",IF(VLOOKUP(MATCH(M63,tid,0),tao,'12(id)'!$CT$20,FALSE)="","",VLOOKUP(MATCH(M63,tid,0),tao,'12(id)'!$CT$20,FALSE)))</f>
        <v>20</v>
      </c>
      <c r="R63" s="10039" t="str">
        <f>+IF(M63="","",IF(VLOOKUP(MATCH(M63,tid,0),tao,'12(id)'!$T$20,FALSE)="","",VLOOKUP(MATCH(M63,tid,0),tao,'12(id)'!$T$20,FALSE)))</f>
        <v>Combustion Turbine</v>
      </c>
      <c r="S63" s="10039" t="str">
        <f>+IF(ISERROR(MATCH(M63,tid,0)),"",IF(VLOOKUP(MATCH(M63,tid,0),tao,'12(id)'!$CO$20,FALSE)="","",VLOOKUP(MATCH(M63,tid,0),tao,'12(id)'!$CO$20,FALSE)))</f>
        <v>Pratt &amp; Whitney</v>
      </c>
      <c r="T63" s="10019" t="str">
        <f>+IF(ISERROR(MATCH(M63,tid,0)),"",IF(VLOOKUP(MATCH(M63,tid,0),tao,'12(id)'!$CP$20,FALSE)="","",VLOOKUP(MATCH(M63,tid,0),tao,'12(id)'!$CP$20,FALSE)))</f>
        <v>FT4-A8</v>
      </c>
      <c r="U63" s="10030">
        <f>+IF(ISERROR(MATCH(M63,tid,0)),"",IF(VLOOKUP(MATCH(M63,tid,0),tao,'12(id)'!$HJ$20,FALSE)="","",VLOOKUP(MATCH(M63,tid,0),tao,'12(id)'!$HJ$20,FALSE)))</f>
        <v>0.74</v>
      </c>
      <c r="V63" s="10019" t="str">
        <f>+IF(ISERROR(MATCH(M63,tid,0)),"",IF(VLOOKUP(MATCH(M63,tid,0),tao,'12(id)'!$HK$20,FALSE)="","",VLOOKUP(MATCH(M63,tid,0),tao,'12(id)'!$HK$20,FALSE)))</f>
        <v/>
      </c>
      <c r="W63" s="8073" t="str">
        <f t="shared" si="2"/>
        <v>8300-11-01</v>
      </c>
      <c r="X63" s="6084">
        <v>1</v>
      </c>
      <c r="Y63" s="6079" t="str">
        <f>+IF(W63="","",IF(VLOOKUP(MATCH(W63,op_id,0),op,'7(op)'!$T$18,FALSE)="","",IF(VLOOKUP(MATCH(W63,op_id,0),op,'7(op)'!$Y$18,FALSE)="Rejected",VLOOKUP(MATCH(W63,op_id,0),op,'7(op)'!$T$18,FALSE)&amp;"-Rejected by Stk - REMOVE OPTION No.",VLOOKUP(MATCH(W63,op_id,0),op,'7(op)'!$T$18,FALSE))))</f>
        <v>Selective Catalytic Reduction (SCR)</v>
      </c>
      <c r="Z63" s="6080">
        <v>0.1</v>
      </c>
      <c r="AA63" s="6081"/>
      <c r="AB63" s="6082">
        <f>+IF(U63="",IF(V63="","",IF(AA63="","",(V63-AA63)/V63)),IF(Z63="","",(U63-Z63)/U63))</f>
        <v>0.86486486486486491</v>
      </c>
      <c r="AC63" s="6080">
        <f>+IF(AG63="",IF(Z63="","",Z63),IF(AH63="lb/MMBtu",AG63,IF($U63="","",IF(AH63="%",(1-AG63/100)*$U63,IF(AH63="ppmvd",IF($V63="","",(AG63/$V63)*$U63),"")))))</f>
        <v>7.3999999999999982E-2</v>
      </c>
      <c r="AD63" s="6081" t="str">
        <f>+IF(AG63="",IF(AA63="","",AA63),IF(AH63="ppmvd",AG63,IF($V63="","",IF(AH63="%",(1-AG63/100)*$V63,IF(AH63="lb/MMBtu",IF(U63="","",(AG63/$U63)*$V63),"")))))</f>
        <v/>
      </c>
      <c r="AE63" s="6082">
        <f>+IF(AG63="",IF(AB63="","",AB63),IF(AH63="%",AG63/100,IF($U63="","",IF(AND(AH63="lb/MMBtu",AC63&gt;0,$U63&gt;0),($U63-AC63)/$U63,IF(AND(AH63="ppmvd",AG63&gt;0,$V63&gt;0),IF($V63="","",($V63-AG63)/$V63),"")))))</f>
        <v>0.9</v>
      </c>
      <c r="AF63" s="5952"/>
      <c r="AG63" s="8144">
        <v>90</v>
      </c>
      <c r="AH63" s="8105" t="s">
        <v>417</v>
      </c>
      <c r="AI63" s="8065" t="str">
        <f t="shared" si="8"/>
        <v/>
      </c>
      <c r="AJ63" s="3692" t="s">
        <v>1911</v>
      </c>
      <c r="AK63" s="5952"/>
      <c r="AL63" s="5959"/>
      <c r="AM63" s="5959"/>
      <c r="AN63" s="5959"/>
      <c r="AO63" s="5959"/>
      <c r="AP63" s="5959"/>
      <c r="AQ63" s="5959"/>
    </row>
    <row r="64" spans="1:43" s="3561" customFormat="1" ht="25.5" customHeight="1">
      <c r="A64" s="10149">
        <f t="shared" si="4"/>
        <v>0</v>
      </c>
      <c r="B64" s="10147" t="e">
        <f>+IF(A64="","",VLOOKUP(MATCH(A64,tid,0),tao,'12(id)'!$J$20,FALSE))</f>
        <v>#N/A</v>
      </c>
      <c r="C64" s="8887" t="str">
        <f t="shared" si="6"/>
        <v/>
      </c>
      <c r="D64" s="8128" t="str">
        <f t="shared" si="5"/>
        <v>8300-11-02</v>
      </c>
      <c r="E64" s="5952"/>
      <c r="F64" s="5959"/>
      <c r="G64" s="8143" t="str">
        <f>+IF(AND(G63="",A64=""),"",IF(OR(A64=G63,A64=0),G63,IF(VLOOKUP(MATCH(A64,tid,0),tao,'12(id)'!$U$20,FALSE)&gt;1,IF(AND(VLOOKUP(MATCH(A64,tid,0),tao,'12(id)'!$L$20,FALSE)=VLOOKUP(MATCH(G63,tid,0),tao,'12(id)'!$L$20,FALSE),X64&gt;X63),G63,IF(AND(X64="",VLOOKUP(MATCH(A64,tid,0),tao,'12(id)'!$U$20,FALSE)=VLOOKUP(MATCH(G63,tid,0),tao,'12(id)'!$U$20,FALSE)),G63,A64)),A64)))</f>
        <v>8300-11</v>
      </c>
      <c r="H64" s="5952"/>
      <c r="I64" s="4499">
        <f t="shared" si="7"/>
        <v>41</v>
      </c>
      <c r="J64" s="9064"/>
      <c r="K64" s="8971"/>
      <c r="L64" s="9064"/>
      <c r="M64" s="10101"/>
      <c r="N64" s="8971"/>
      <c r="O64" s="9027" t="str">
        <f>+IF(ISERROR(MATCH(M64,tid,0)),"",VLOOKUP(MATCH(M64,tid,0),tao,'12(id)'!$Q$20,FALSE))</f>
        <v/>
      </c>
      <c r="P64" s="8819" t="str">
        <f>+IF(M64="","",VLOOKUP(MATCH(M64,tid,0),tao,'12(id)'!$U$20,FALSE))</f>
        <v/>
      </c>
      <c r="Q64" s="10046"/>
      <c r="R64" s="10039"/>
      <c r="S64" s="10039"/>
      <c r="T64" s="10019"/>
      <c r="U64" s="10030" t="str">
        <f>+IF(ISERROR(MATCH(M64,tid,0)),"",IF(VLOOKUP(MATCH(M64,tid,0),tao,'12(id)'!$HJ$20,FALSE)="","",VLOOKUP(MATCH(M64,tid,0),tao,'12(id)'!$HJ$20,FALSE)))</f>
        <v/>
      </c>
      <c r="V64" s="10019" t="str">
        <f>+IF(ISERROR(MATCH(M64,tid,0)),"",IF(VLOOKUP(MATCH(M64,tid,0),tao,'12(id)'!$HK$20,FALSE)="","",VLOOKUP(MATCH(M64,tid,0),tao,'12(id)'!$HK$20,FALSE)))</f>
        <v/>
      </c>
      <c r="W64" s="8077" t="str">
        <f t="shared" si="2"/>
        <v>8300-11-02</v>
      </c>
      <c r="X64" s="6101">
        <v>2</v>
      </c>
      <c r="Y64" s="6102" t="str">
        <f>+IF(W64="","",IF(VLOOKUP(MATCH(W64,op_id,0),op,'7(op)'!$T$18,FALSE)="","",IF(VLOOKUP(MATCH(W64,op_id,0),op,'7(op)'!$Y$18,FALSE)="Rejected",VLOOKUP(MATCH(W64,op_id,0),op,'7(op)'!$T$18,FALSE)&amp;"-Rejected by Stk - REMOVE OPTION No.",VLOOKUP(MATCH(W64,op_id,0),op,'7(op)'!$T$18,FALSE))))</f>
        <v>High Pressure Water Injection (HPWI)</v>
      </c>
      <c r="Z64" s="6103">
        <v>0.22</v>
      </c>
      <c r="AA64" s="6104"/>
      <c r="AB64" s="6105">
        <f>+IF(U63="",IF(V63="","",IF(AA64="","",(V63-AA64)/V63)),IF(Z64="","",(U63-Z64)/U63))</f>
        <v>0.70270270270270274</v>
      </c>
      <c r="AC64" s="6103">
        <f>+IF(AG64="",IF(Z64="","",Z64),IF(AH64="lb/MMBtu",AG64,IF($U63="","",IF(AH64="%",(1-AG64/100)*$U63,IF(AH64="ppmvd",IF($V63="","",(AG64/$V63)*$U63),"")))))</f>
        <v>0.22</v>
      </c>
      <c r="AD64" s="6104" t="str">
        <f>+IF(AG64="",IF(AA64="","",AA64),IF(AH64="ppmvd",AG64,IF($V63="","",IF(AH64="%",(1-AG64/100)*$V63,IF(AH64="lb/MMBtu",IF($U63="","",(AG64/$U63)*$V63),"")))))</f>
        <v/>
      </c>
      <c r="AE64" s="6105">
        <f>+IF(AG64="",IF(AB64="","",AB64),IF(AH64="%",AG64/100,IF($U63="","",IF(AND(AH64="lb/MMBtu",AC64&gt;0,$U63&gt;0),($U63-AC64)/$U63,IF(AND(AH64="ppmvd",AG64&gt;0,$V63&gt;0),IF($V63="","",($V63-AG64)/$V63),"")))))</f>
        <v>0.70270270270270274</v>
      </c>
      <c r="AF64" s="5952"/>
      <c r="AG64" s="8140"/>
      <c r="AH64" s="8105"/>
      <c r="AI64" s="8065" t="str">
        <f t="shared" si="8"/>
        <v/>
      </c>
      <c r="AJ64" s="3693"/>
      <c r="AK64" s="5952"/>
      <c r="AL64" s="5959"/>
      <c r="AM64" s="5959"/>
      <c r="AN64" s="5959"/>
      <c r="AO64" s="5959"/>
      <c r="AP64" s="5959"/>
      <c r="AQ64" s="5959"/>
    </row>
    <row r="65" spans="1:43" s="3561" customFormat="1" ht="25.5" customHeight="1">
      <c r="A65" s="8103" t="str">
        <f t="shared" si="4"/>
        <v>8300-12</v>
      </c>
      <c r="B65" s="10147" t="str">
        <f>+IF(A65="","",VLOOKUP(MATCH(A65,tid,0),tao,'12(id)'!$J$20,FALSE))</f>
        <v>NRG</v>
      </c>
      <c r="C65" s="7792" t="str">
        <f t="shared" si="6"/>
        <v>DV11</v>
      </c>
      <c r="D65" s="8145" t="str">
        <f t="shared" si="5"/>
        <v>8300-12-01</v>
      </c>
      <c r="E65" s="5952"/>
      <c r="F65" s="5959"/>
      <c r="G65" s="8103" t="str">
        <f>+IF(AND(G64="",A65=""),"",IF(OR(A65=G64,A65=0),G64,IF(VLOOKUP(MATCH(A65,tid,0),tao,'12(id)'!$U$20,FALSE)&gt;1,IF(AND(VLOOKUP(MATCH(A65,tid,0),tao,'12(id)'!$L$20,FALSE)=VLOOKUP(MATCH(G64,tid,0),tao,'12(id)'!$L$20,FALSE),X65&gt;X64),G64,IF(AND(X65="",VLOOKUP(MATCH(A65,tid,0),tao,'12(id)'!$U$20,FALSE)=VLOOKUP(MATCH(G64,tid,0),tao,'12(id)'!$U$20,FALSE)),G64,A65)),A65)))</f>
        <v>8300-12</v>
      </c>
      <c r="H65" s="5952"/>
      <c r="I65" s="4499">
        <f t="shared" si="7"/>
        <v>42</v>
      </c>
      <c r="J65" s="9064"/>
      <c r="K65" s="8971"/>
      <c r="L65" s="9064"/>
      <c r="M65" s="7790" t="s">
        <v>270</v>
      </c>
      <c r="N65" s="8971"/>
      <c r="O65" s="3580" t="str">
        <f>+IF(ISERROR(MATCH(M65,tid,0)),"",VLOOKUP(MATCH(M65,tid,0),tao,'12(id)'!$Q$20,FALSE))</f>
        <v>DV11</v>
      </c>
      <c r="P65" s="3613">
        <f>+IF(M65="","",VLOOKUP(MATCH(M65,tid,0),tao,'12(id)'!$U$20,FALSE))</f>
        <v>4</v>
      </c>
      <c r="Q65" s="7876">
        <f>+IF(ISERROR(MATCH(M65,tid,0)),"",IF(VLOOKUP(MATCH(M65,tid,0),tao,'12(id)'!$CT$20,FALSE)="","",VLOOKUP(MATCH(M65,tid,0),tao,'12(id)'!$CT$20,FALSE)))</f>
        <v>40</v>
      </c>
      <c r="R65" s="7864" t="str">
        <f>+IF(M65="","",IF(VLOOKUP(MATCH(M65,tid,0),tao,'12(id)'!$T$20,FALSE)="","",VLOOKUP(MATCH(M65,tid,0),tao,'12(id)'!$T$20,FALSE)))</f>
        <v>Combustion Turbine</v>
      </c>
      <c r="S65" s="7864" t="str">
        <f>+IF(ISERROR(MATCH(M65,tid,0)),"",IF(VLOOKUP(MATCH(M65,tid,0),tao,'12(id)'!$CO$20,FALSE)="","",VLOOKUP(MATCH(M65,tid,0),tao,'12(id)'!$CO$20,FALSE)))</f>
        <v>General Electric</v>
      </c>
      <c r="T65" s="7866" t="str">
        <f>+IF(ISERROR(MATCH(M65,tid,0)),"",IF(VLOOKUP(MATCH(M65,tid,0),tao,'12(id)'!$CP$20,FALSE)="","",VLOOKUP(MATCH(M65,tid,0),tao,'12(id)'!$CP$20,FALSE)))</f>
        <v>LM6000PA</v>
      </c>
      <c r="U65" s="7869">
        <f>+IF(ISERROR(MATCH(M65,tid,0)),"",IF(VLOOKUP(MATCH(M65,tid,0),tao,'12(id)'!$HJ$20,FALSE)="","",VLOOKUP(MATCH(M65,tid,0),tao,'12(id)'!$HJ$20,FALSE)))</f>
        <v>0.17100000000000001</v>
      </c>
      <c r="V65" s="7866" t="str">
        <f>+IF(ISERROR(MATCH(M65,tid,0)),"",IF(VLOOKUP(MATCH(M65,tid,0),tao,'12(id)'!$HK$20,FALSE)="","",VLOOKUP(MATCH(M65,tid,0),tao,'12(id)'!$HK$20,FALSE)))</f>
        <v/>
      </c>
      <c r="W65" s="8081" t="str">
        <f t="shared" si="2"/>
        <v>8300-12-01</v>
      </c>
      <c r="X65" s="6085">
        <v>1</v>
      </c>
      <c r="Y65" s="6086" t="str">
        <f>+IF(W65="","",IF(VLOOKUP(MATCH(W65,op_id,0),op,'7(op)'!$T$18,FALSE)="","",IF(VLOOKUP(MATCH(W65,op_id,0),op,'7(op)'!$Y$18,FALSE)="Rejected",VLOOKUP(MATCH(W65,op_id,0),op,'7(op)'!$T$18,FALSE)&amp;"-Rejected by Stk - REMOVE OPTION No.",VLOOKUP(MATCH(W65,op_id,0),op,'7(op)'!$T$18,FALSE))))</f>
        <v>Selective Catalytic Reduction (SCR)</v>
      </c>
      <c r="Z65" s="6087">
        <v>0.05</v>
      </c>
      <c r="AA65" s="6088"/>
      <c r="AB65" s="6089">
        <f>+IF(U65="",IF(V65="","",IF(AA65="","",(V65-AA65)/V65)),IF(Z65="","",(U65-Z65)/U65))</f>
        <v>0.70760233918128657</v>
      </c>
      <c r="AC65" s="6087">
        <f>+IF(AG65="",IF(Z65="","",Z65),IF(AH65="lb/MMBtu",AG65,IF($U65="","",IF(AH65="%",(1-AG65/100)*$U65,IF(AH65="ppmvd",IF($V65="","",(AG65/$V65)*$U65),"")))))</f>
        <v>1.7099999999999997E-2</v>
      </c>
      <c r="AD65" s="6088" t="str">
        <f>+IF(AG65="",IF(AA65="","",AA65),IF(AH65="ppmvd",AG65,IF($V65="","",IF(AH65="%",(1-AG65/100)*$V65,IF(AH65="lb/MMBtu",IF(U65="","",(AG65/$U65)*$V65),"")))))</f>
        <v/>
      </c>
      <c r="AE65" s="6089">
        <f>+IF(AG65="",IF(AB65="","",AB65),IF(AH65="%",AG65/100,IF($U65="","",IF(AND(AH65="lb/MMBtu",AC65&gt;0,$U65&gt;0),($U65-AC65)/$U65,IF(AND(AH65="ppmvd",AG65&gt;0,$V65&gt;0),IF($V65="","",($V65-AG65)/$V65),"")))))</f>
        <v>0.9</v>
      </c>
      <c r="AF65" s="5952"/>
      <c r="AG65" s="8146">
        <v>90</v>
      </c>
      <c r="AH65" s="8100" t="s">
        <v>417</v>
      </c>
      <c r="AI65" s="8065" t="str">
        <f t="shared" si="8"/>
        <v/>
      </c>
      <c r="AJ65" s="3694" t="s">
        <v>1911</v>
      </c>
      <c r="AK65" s="5952"/>
      <c r="AL65" s="5959"/>
      <c r="AM65" s="5959"/>
      <c r="AN65" s="5959"/>
      <c r="AO65" s="5959"/>
      <c r="AP65" s="5959"/>
      <c r="AQ65" s="5959"/>
    </row>
    <row r="66" spans="1:43" s="3561" customFormat="1" ht="21" customHeight="1">
      <c r="A66" s="8103" t="str">
        <f t="shared" si="4"/>
        <v>8300-13</v>
      </c>
      <c r="B66" s="10147" t="str">
        <f>+IF(A66="","",VLOOKUP(MATCH(A66,tid,0),tao,'12(id)'!$J$20,FALSE))</f>
        <v>NRG</v>
      </c>
      <c r="C66" s="7792" t="str">
        <f t="shared" si="6"/>
        <v>DV12</v>
      </c>
      <c r="D66" s="8147" t="str">
        <f t="shared" si="5"/>
        <v/>
      </c>
      <c r="E66" s="5952"/>
      <c r="F66" s="5959"/>
      <c r="G66" s="8103" t="str">
        <f>+IF(AND(G65="",A66=""),"",IF(OR(A66=G65,A66=0),G65,IF(VLOOKUP(MATCH(A66,tid,0),tao,'12(id)'!$U$20,FALSE)&gt;1,IF(AND(VLOOKUP(MATCH(A66,tid,0),tao,'12(id)'!$L$20,FALSE)=VLOOKUP(MATCH(G65,tid,0),tao,'12(id)'!$L$20,FALSE),X66&gt;X65),G65,IF(AND(X66="",VLOOKUP(MATCH(A66,tid,0),tao,'12(id)'!$U$20,FALSE)=VLOOKUP(MATCH(G65,tid,0),tao,'12(id)'!$U$20,FALSE)),G65,A66)),A66)))</f>
        <v>8300-12</v>
      </c>
      <c r="H66" s="5952"/>
      <c r="I66" s="4499">
        <f t="shared" si="7"/>
        <v>43</v>
      </c>
      <c r="J66" s="9064"/>
      <c r="K66" s="8971"/>
      <c r="L66" s="9064"/>
      <c r="M66" s="7790" t="s">
        <v>271</v>
      </c>
      <c r="N66" s="8971"/>
      <c r="O66" s="3580" t="str">
        <f>+IF(ISERROR(MATCH(M66,tid,0)),"",VLOOKUP(MATCH(M66,tid,0),tao,'12(id)'!$Q$20,FALSE))</f>
        <v>DV12</v>
      </c>
      <c r="P66" s="3613">
        <f>+IF(M66="","",VLOOKUP(MATCH(M66,tid,0),tao,'12(id)'!$U$20,FALSE))</f>
        <v>4</v>
      </c>
      <c r="Q66" s="7876">
        <f>+IF(ISERROR(MATCH(M66,tid,0)),"",IF(VLOOKUP(MATCH(M66,tid,0),tao,'12(id)'!$CT$20,FALSE)="","",VLOOKUP(MATCH(M66,tid,0),tao,'12(id)'!$CT$20,FALSE)))</f>
        <v>40</v>
      </c>
      <c r="R66" s="7864" t="str">
        <f>+IF(M66="","",IF(VLOOKUP(MATCH(M66,tid,0),tao,'12(id)'!$T$20,FALSE)="","",VLOOKUP(MATCH(M66,tid,0),tao,'12(id)'!$T$20,FALSE)))</f>
        <v>Combustion Turbine</v>
      </c>
      <c r="S66" s="7864" t="str">
        <f>+IF(ISERROR(MATCH(M66,tid,0)),"",IF(VLOOKUP(MATCH(M66,tid,0),tao,'12(id)'!$CO$20,FALSE)="","",VLOOKUP(MATCH(M66,tid,0),tao,'12(id)'!$CO$20,FALSE)))</f>
        <v>General Electric</v>
      </c>
      <c r="T66" s="7866" t="str">
        <f>+IF(ISERROR(MATCH(M66,tid,0)),"",IF(VLOOKUP(MATCH(M66,tid,0),tao,'12(id)'!$CP$20,FALSE)="","",VLOOKUP(MATCH(M66,tid,0),tao,'12(id)'!$CP$20,FALSE)))</f>
        <v>LM6000PA</v>
      </c>
      <c r="U66" s="7869"/>
      <c r="V66" s="7866"/>
      <c r="W66" s="8082" t="str">
        <f t="shared" si="2"/>
        <v/>
      </c>
      <c r="X66" s="3636"/>
      <c r="Y66" s="3637" t="str">
        <f>+IF(W66="","",IF(VLOOKUP(MATCH(W66,op_id,0),op,'7(op)'!$T$18,FALSE)="","",VLOOKUP(MATCH(W66,op_id,0),op,'7(op)'!$T$18,FALSE)))</f>
        <v/>
      </c>
      <c r="Z66" s="3638"/>
      <c r="AA66" s="3639"/>
      <c r="AB66" s="3640"/>
      <c r="AC66" s="3638"/>
      <c r="AD66" s="3639"/>
      <c r="AE66" s="3640"/>
      <c r="AF66" s="5952"/>
      <c r="AG66" s="8148"/>
      <c r="AH66" s="8105"/>
      <c r="AI66" s="8065" t="str">
        <f t="shared" si="8"/>
        <v/>
      </c>
      <c r="AJ66" s="3695"/>
      <c r="AK66" s="5952"/>
      <c r="AL66" s="5959"/>
      <c r="AM66" s="5959"/>
      <c r="AN66" s="5959"/>
      <c r="AO66" s="5959"/>
      <c r="AP66" s="5959"/>
      <c r="AQ66" s="5959"/>
    </row>
    <row r="67" spans="1:43" s="3561" customFormat="1" ht="21" customHeight="1">
      <c r="A67" s="8103" t="str">
        <f t="shared" si="4"/>
        <v>8300-14</v>
      </c>
      <c r="B67" s="10147" t="str">
        <f>+IF(A67="","",VLOOKUP(MATCH(A67,tid,0),tao,'12(id)'!$J$20,FALSE))</f>
        <v>NRG</v>
      </c>
      <c r="C67" s="7792" t="str">
        <f t="shared" si="6"/>
        <v>DV13</v>
      </c>
      <c r="D67" s="8147" t="str">
        <f t="shared" si="5"/>
        <v/>
      </c>
      <c r="E67" s="5952"/>
      <c r="F67" s="5959"/>
      <c r="G67" s="8103" t="str">
        <f>+IF(AND(G66="",A67=""),"",IF(OR(A67=G66,A67=0),G66,IF(VLOOKUP(MATCH(A67,tid,0),tao,'12(id)'!$U$20,FALSE)&gt;1,IF(AND(VLOOKUP(MATCH(A67,tid,0),tao,'12(id)'!$L$20,FALSE)=VLOOKUP(MATCH(G66,tid,0),tao,'12(id)'!$L$20,FALSE),X67&gt;X66),G66,IF(AND(X67="",VLOOKUP(MATCH(A67,tid,0),tao,'12(id)'!$U$20,FALSE)=VLOOKUP(MATCH(G66,tid,0),tao,'12(id)'!$U$20,FALSE)),G66,A67)),A67)))</f>
        <v>8300-12</v>
      </c>
      <c r="H67" s="5952"/>
      <c r="I67" s="4499">
        <f t="shared" si="7"/>
        <v>44</v>
      </c>
      <c r="J67" s="9064"/>
      <c r="K67" s="8971"/>
      <c r="L67" s="9064"/>
      <c r="M67" s="7790" t="s">
        <v>272</v>
      </c>
      <c r="N67" s="8971"/>
      <c r="O67" s="3580" t="str">
        <f>+IF(ISERROR(MATCH(M67,tid,0)),"",VLOOKUP(MATCH(M67,tid,0),tao,'12(id)'!$Q$20,FALSE))</f>
        <v>DV13</v>
      </c>
      <c r="P67" s="3613">
        <f>+IF(M67="","",VLOOKUP(MATCH(M67,tid,0),tao,'12(id)'!$U$20,FALSE))</f>
        <v>4</v>
      </c>
      <c r="Q67" s="7876">
        <f>+IF(ISERROR(MATCH(M67,tid,0)),"",IF(VLOOKUP(MATCH(M67,tid,0),tao,'12(id)'!$CT$20,FALSE)="","",VLOOKUP(MATCH(M67,tid,0),tao,'12(id)'!$CT$20,FALSE)))</f>
        <v>40</v>
      </c>
      <c r="R67" s="7864" t="str">
        <f>+IF(M67="","",IF(VLOOKUP(MATCH(M67,tid,0),tao,'12(id)'!$T$20,FALSE)="","",VLOOKUP(MATCH(M67,tid,0),tao,'12(id)'!$T$20,FALSE)))</f>
        <v>Combustion Turbine</v>
      </c>
      <c r="S67" s="7864" t="str">
        <f>+IF(ISERROR(MATCH(M67,tid,0)),"",IF(VLOOKUP(MATCH(M67,tid,0),tao,'12(id)'!$CO$20,FALSE)="","",VLOOKUP(MATCH(M67,tid,0),tao,'12(id)'!$CO$20,FALSE)))</f>
        <v>General Electric</v>
      </c>
      <c r="T67" s="7866" t="str">
        <f>+IF(ISERROR(MATCH(M67,tid,0)),"",IF(VLOOKUP(MATCH(M67,tid,0),tao,'12(id)'!$CP$20,FALSE)="","",VLOOKUP(MATCH(M67,tid,0),tao,'12(id)'!$CP$20,FALSE)))</f>
        <v>LM6000PA</v>
      </c>
      <c r="U67" s="7869"/>
      <c r="V67" s="7866"/>
      <c r="W67" s="8082" t="str">
        <f t="shared" si="2"/>
        <v/>
      </c>
      <c r="X67" s="3636"/>
      <c r="Y67" s="3637" t="str">
        <f>+IF(W67="","",IF(VLOOKUP(MATCH(W67,op_id,0),op,'7(op)'!$T$18,FALSE)="","",VLOOKUP(MATCH(W67,op_id,0),op,'7(op)'!$T$18,FALSE)))</f>
        <v/>
      </c>
      <c r="Z67" s="3638"/>
      <c r="AA67" s="3639"/>
      <c r="AB67" s="3640"/>
      <c r="AC67" s="3638"/>
      <c r="AD67" s="3639"/>
      <c r="AE67" s="3640"/>
      <c r="AF67" s="5952"/>
      <c r="AG67" s="8148"/>
      <c r="AH67" s="8105"/>
      <c r="AI67" s="8065" t="str">
        <f t="shared" si="8"/>
        <v/>
      </c>
      <c r="AJ67" s="3695"/>
      <c r="AK67" s="5952"/>
      <c r="AL67" s="5959"/>
      <c r="AM67" s="5959"/>
      <c r="AN67" s="5959"/>
      <c r="AO67" s="5959"/>
      <c r="AP67" s="5959"/>
      <c r="AQ67" s="5959"/>
    </row>
    <row r="68" spans="1:43" s="3561" customFormat="1" ht="21" customHeight="1" thickBot="1">
      <c r="A68" s="8149" t="str">
        <f t="shared" si="4"/>
        <v>8300-15</v>
      </c>
      <c r="B68" s="10147" t="str">
        <f>+IF(A68="","",VLOOKUP(MATCH(A68,tid,0),tao,'12(id)'!$J$20,FALSE))</f>
        <v>NRG</v>
      </c>
      <c r="C68" s="7792" t="str">
        <f t="shared" si="6"/>
        <v>DV14</v>
      </c>
      <c r="D68" s="8150" t="str">
        <f t="shared" si="5"/>
        <v/>
      </c>
      <c r="E68" s="5952"/>
      <c r="F68" s="5959"/>
      <c r="G68" s="8149" t="str">
        <f>+IF(AND(G67="",A68=""),"",IF(OR(A68=G67,A68=0),G67,IF(VLOOKUP(MATCH(A68,tid,0),tao,'12(id)'!$U$20,FALSE)&gt;1,IF(AND(VLOOKUP(MATCH(A68,tid,0),tao,'12(id)'!$L$20,FALSE)=VLOOKUP(MATCH(G67,tid,0),tao,'12(id)'!$L$20,FALSE),X68&gt;X67),G67,IF(AND(X68="",VLOOKUP(MATCH(A68,tid,0),tao,'12(id)'!$U$20,FALSE)=VLOOKUP(MATCH(G67,tid,0),tao,'12(id)'!$U$20,FALSE)),G67,A68)),A68)))</f>
        <v>8300-12</v>
      </c>
      <c r="H68" s="5952"/>
      <c r="I68" s="4499">
        <f t="shared" si="7"/>
        <v>45</v>
      </c>
      <c r="J68" s="9064"/>
      <c r="K68" s="9061"/>
      <c r="L68" s="9064"/>
      <c r="M68" s="3641" t="s">
        <v>273</v>
      </c>
      <c r="N68" s="9061"/>
      <c r="O68" s="3591" t="str">
        <f>+IF(ISERROR(MATCH(M68,tid,0)),"",VLOOKUP(MATCH(M68,tid,0),tao,'12(id)'!$Q$20,FALSE))</f>
        <v>DV14</v>
      </c>
      <c r="P68" s="7878">
        <f>+IF(M68="","",VLOOKUP(MATCH(M68,tid,0),tao,'12(id)'!$U$20,FALSE))</f>
        <v>4</v>
      </c>
      <c r="Q68" s="7877">
        <f>+IF(ISERROR(MATCH(M68,tid,0)),"",IF(VLOOKUP(MATCH(M68,tid,0),tao,'12(id)'!$CT$20,FALSE)="","",VLOOKUP(MATCH(M68,tid,0),tao,'12(id)'!$CT$20,FALSE)))</f>
        <v>40</v>
      </c>
      <c r="R68" s="7865" t="str">
        <f>+IF(M68="","",IF(VLOOKUP(MATCH(M68,tid,0),tao,'12(id)'!$T$20,FALSE)="","",VLOOKUP(MATCH(M68,tid,0),tao,'12(id)'!$T$20,FALSE)))</f>
        <v>Combustion Turbine</v>
      </c>
      <c r="S68" s="7865" t="str">
        <f>+IF(ISERROR(MATCH(M68,tid,0)),"",IF(VLOOKUP(MATCH(M68,tid,0),tao,'12(id)'!$CO$20,FALSE)="","",VLOOKUP(MATCH(M68,tid,0),tao,'12(id)'!$CO$20,FALSE)))</f>
        <v>General Electric</v>
      </c>
      <c r="T68" s="7872" t="str">
        <f>+IF(ISERROR(MATCH(M68,tid,0)),"",IF(VLOOKUP(MATCH(M68,tid,0),tao,'12(id)'!$CP$20,FALSE)="","",VLOOKUP(MATCH(M68,tid,0),tao,'12(id)'!$CP$20,FALSE)))</f>
        <v>LM6000PA</v>
      </c>
      <c r="U68" s="7870"/>
      <c r="V68" s="7872"/>
      <c r="W68" s="8083" t="str">
        <f t="shared" si="2"/>
        <v/>
      </c>
      <c r="X68" s="3642"/>
      <c r="Y68" s="3643" t="str">
        <f>+IF(W68="","",IF(VLOOKUP(MATCH(W68,op_id,0),op,'7(op)'!$T$18,FALSE)="","",VLOOKUP(MATCH(W68,op_id,0),op,'7(op)'!$T$18,FALSE)))</f>
        <v/>
      </c>
      <c r="Z68" s="3644"/>
      <c r="AA68" s="3645"/>
      <c r="AB68" s="3646"/>
      <c r="AC68" s="3644"/>
      <c r="AD68" s="3645"/>
      <c r="AE68" s="3646"/>
      <c r="AF68" s="5952"/>
      <c r="AG68" s="8151"/>
      <c r="AH68" s="8105"/>
      <c r="AI68" s="8065" t="str">
        <f t="shared" si="8"/>
        <v/>
      </c>
      <c r="AJ68" s="3696"/>
      <c r="AK68" s="5952"/>
      <c r="AL68" s="5959"/>
      <c r="AM68" s="5959"/>
      <c r="AN68" s="5959"/>
      <c r="AO68" s="5959"/>
      <c r="AP68" s="5959"/>
      <c r="AQ68" s="5959"/>
    </row>
    <row r="69" spans="1:43" s="3561" customFormat="1" ht="25.5" customHeight="1">
      <c r="A69" s="8101" t="str">
        <f t="shared" si="4"/>
        <v>8300-16</v>
      </c>
      <c r="B69" s="10146" t="str">
        <f>+IF(A69="","",VLOOKUP(MATCH(A69,tid,0),tao,'12(id)'!$J$20,FALSE))</f>
        <v>NRG</v>
      </c>
      <c r="C69" s="7786" t="str">
        <f t="shared" si="6"/>
        <v>MV10</v>
      </c>
      <c r="D69" s="8152" t="str">
        <f t="shared" si="5"/>
        <v>8300-16-01</v>
      </c>
      <c r="E69" s="5952"/>
      <c r="F69" s="5959"/>
      <c r="G69" s="8101" t="str">
        <f>+IF(AND(G68="",A69=""),"",IF(OR(A69=G68,A69=0),G68,IF(VLOOKUP(MATCH(A69,tid,0),tao,'12(id)'!$U$20,FALSE)&gt;1,IF(AND(VLOOKUP(MATCH(A69,tid,0),tao,'12(id)'!$L$20,FALSE)=VLOOKUP(MATCH(G68,tid,0),tao,'12(id)'!$L$20,FALSE),X69&gt;X68),G68,IF(AND(X69="",VLOOKUP(MATCH(A69,tid,0),tao,'12(id)'!$U$20,FALSE)=VLOOKUP(MATCH(G68,tid,0),tao,'12(id)'!$U$20,FALSE)),G68,A69)),A69)))</f>
        <v>8300-16</v>
      </c>
      <c r="H69" s="5952"/>
      <c r="I69" s="4499">
        <f t="shared" si="7"/>
        <v>46</v>
      </c>
      <c r="J69" s="9063">
        <v>6</v>
      </c>
      <c r="K69" s="9060" t="str">
        <f>+IF(M69="","",VLOOKUP(MATCH(M69,tid,0),tao,'12(id)'!$I$20,FALSE))</f>
        <v>NRG Energy, Inc</v>
      </c>
      <c r="L69" s="9064"/>
      <c r="M69" s="7784" t="s">
        <v>274</v>
      </c>
      <c r="N69" s="9060" t="s">
        <v>478</v>
      </c>
      <c r="O69" s="3579" t="str">
        <f>+IF(ISERROR(MATCH(M69,tid,0)),"",VLOOKUP(MATCH(M69,tid,0),tao,'12(id)'!$Q$20,FALSE))</f>
        <v>MV10</v>
      </c>
      <c r="P69" s="3647">
        <f>+IF(M69="","",VLOOKUP(MATCH(M69,tid,0),tao,'12(id)'!$U$20,FALSE))</f>
        <v>2</v>
      </c>
      <c r="Q69" s="10066">
        <f>+IF(ISERROR(MATCH(M69,tid,0)),"",IF(VLOOKUP(MATCH(M69,tid,0),tao,'12(id)'!$CT$20,FALSE)="","",VLOOKUP(MATCH(M69,tid,0),tao,'12(id)'!$CT$20,FALSE)))</f>
        <v>2.75</v>
      </c>
      <c r="R69" s="10043" t="str">
        <f>+IF(M69="","",IF(VLOOKUP(MATCH(M69,tid,0),tao,'12(id)'!$T$20,FALSE)="","",VLOOKUP(MATCH(M69,tid,0),tao,'12(id)'!$T$20,FALSE)))</f>
        <v>Diesel Engine</v>
      </c>
      <c r="S69" s="10043" t="str">
        <f>+IF(ISERROR(MATCH(M69,tid,0)),"",IF(VLOOKUP(MATCH(M69,tid,0),tao,'12(id)'!$CO$20,FALSE)="","",VLOOKUP(MATCH(M69,tid,0),tao,'12(id)'!$CO$20,FALSE)))</f>
        <v>General Motors</v>
      </c>
      <c r="T69" s="10045" t="str">
        <f>+IF(ISERROR(MATCH(M69,tid,0)),"",IF(VLOOKUP(MATCH(M69,tid,0),tao,'12(id)'!$CP$20,FALSE)="","",VLOOKUP(MATCH(M69,tid,0),tao,'12(id)'!$CP$20,FALSE)))</f>
        <v>EMD 20-645-E4</v>
      </c>
      <c r="U69" s="10040">
        <f>+IF(ISERROR(MATCH(M69,tid,0)),"",IF(VLOOKUP(MATCH(M69,tid,0),tao,'12(id)'!$HJ$20,FALSE)="","",VLOOKUP(MATCH(M69,tid,0),tao,'12(id)'!$HJ$20,FALSE)))</f>
        <v>3.11</v>
      </c>
      <c r="V69" s="10045" t="str">
        <f>+IF(ISERROR(MATCH(M69,tid,0)),"",IF(VLOOKUP(MATCH(M69,tid,0),tao,'12(id)'!$HK$20,FALSE)="","",VLOOKUP(MATCH(M69,tid,0),tao,'12(id)'!$HK$20,FALSE)))</f>
        <v/>
      </c>
      <c r="W69" s="8084" t="str">
        <f t="shared" si="2"/>
        <v>8300-16-01</v>
      </c>
      <c r="X69" s="6090">
        <v>1</v>
      </c>
      <c r="Y69" s="6086" t="str">
        <f>+IF(W69="","",IF(VLOOKUP(MATCH(W69,op_id,0),op,'7(op)'!$T$18,FALSE)="","",IF(VLOOKUP(MATCH(W69,op_id,0),op,'7(op)'!$Y$18,FALSE)="Rejected",VLOOKUP(MATCH(W69,op_id,0),op,'7(op)'!$T$18,FALSE)&amp;"-Rejected by Stk - REMOVE OPTION No.",VLOOKUP(MATCH(W69,op_id,0),op,'7(op)'!$T$18,FALSE))))</f>
        <v>Selective Catalytic Reduction (SCR)</v>
      </c>
      <c r="Z69" s="6091">
        <v>0.93300000000000005</v>
      </c>
      <c r="AA69" s="6092"/>
      <c r="AB69" s="6093">
        <f>+IF(U69="",IF(V69="","",IF(AA69="","",(V69-AA69)/V69)),IF(Z69="","",(U69-Z69)/U69))</f>
        <v>0.69999999999999984</v>
      </c>
      <c r="AC69" s="6091">
        <f>+IF(AG69="",IF(Z69="","",Z69),IF(AH69="lb/MMBtu",AG69,IF($U69="","",IF(AH69="%",(1-AG69/100)*$U69,IF(AH69="ppmvd",IF($V69="","",(AG69/$V69)*$U69),"")))))</f>
        <v>0.31099999999999994</v>
      </c>
      <c r="AD69" s="6092" t="str">
        <f>+IF(AG69="",IF(AA69="","",AA69),IF(AH69="ppmvd",AG69,IF($V69="","",IF(AH69="%",(1-AG69/100)*$V69,IF(AH69="lb/MMBtu",IF(U69="","",(AG69/$U69)*$V69),"")))))</f>
        <v/>
      </c>
      <c r="AE69" s="6093">
        <f>+IF(AG69="",IF(AB69="","",AB69),IF(AH69="%",AG69/100,IF($U69="","",IF(AND(AH69="lb/MMBtu",AC69&gt;0,$U69&gt;0),($U69-AC69)/$U69,IF(AND(AH69="ppmvd",AG69&gt;0,$V69&gt;0),IF($V69="","",($V69-AG69)/$V69),"")))))</f>
        <v>0.9</v>
      </c>
      <c r="AF69" s="5952"/>
      <c r="AG69" s="8120">
        <v>90</v>
      </c>
      <c r="AH69" s="8105" t="s">
        <v>417</v>
      </c>
      <c r="AI69" s="8065" t="str">
        <f t="shared" si="8"/>
        <v/>
      </c>
      <c r="AJ69" s="3687" t="s">
        <v>1911</v>
      </c>
      <c r="AK69" s="5952"/>
      <c r="AL69" s="5959"/>
      <c r="AM69" s="5959"/>
      <c r="AN69" s="5959"/>
      <c r="AO69" s="5959"/>
      <c r="AP69" s="5959"/>
      <c r="AQ69" s="5959"/>
    </row>
    <row r="70" spans="1:43" s="3561" customFormat="1" ht="21" customHeight="1" thickBot="1">
      <c r="A70" s="8111" t="str">
        <f t="shared" si="4"/>
        <v>8300-17</v>
      </c>
      <c r="B70" s="10148" t="str">
        <f>+IF(A70="","",VLOOKUP(MATCH(A70,tid,0),tao,'12(id)'!$J$20,FALSE))</f>
        <v>NRG</v>
      </c>
      <c r="C70" s="7789" t="str">
        <f t="shared" si="6"/>
        <v>MV11</v>
      </c>
      <c r="D70" s="8153" t="str">
        <f t="shared" si="5"/>
        <v/>
      </c>
      <c r="E70" s="5952"/>
      <c r="F70" s="5959"/>
      <c r="G70" s="8111" t="str">
        <f>+IF(AND(G69="",A70=""),"",IF(OR(A70=G69,A70=0),G69,IF(VLOOKUP(MATCH(A70,tid,0),tao,'12(id)'!$U$20,FALSE)&gt;1,IF(AND(VLOOKUP(MATCH(A70,tid,0),tao,'12(id)'!$L$20,FALSE)=VLOOKUP(MATCH(G69,tid,0),tao,'12(id)'!$L$20,FALSE),X70&gt;X69),G69,IF(AND(X70="",VLOOKUP(MATCH(A70,tid,0),tao,'12(id)'!$U$20,FALSE)=VLOOKUP(MATCH(G69,tid,0),tao,'12(id)'!$U$20,FALSE)),G69,A70)),A70)))</f>
        <v>8300-16</v>
      </c>
      <c r="H70" s="5952"/>
      <c r="I70" s="4499">
        <f t="shared" si="7"/>
        <v>47</v>
      </c>
      <c r="J70" s="9065"/>
      <c r="K70" s="9061"/>
      <c r="L70" s="9065"/>
      <c r="M70" s="7791" t="s">
        <v>275</v>
      </c>
      <c r="N70" s="9061"/>
      <c r="O70" s="3591" t="str">
        <f>+IF(ISERROR(MATCH(M70,tid,0)),"",VLOOKUP(MATCH(M70,tid,0),tao,'12(id)'!$Q$20,FALSE))</f>
        <v>MV11</v>
      </c>
      <c r="P70" s="3648">
        <f>+IF(M70="","",VLOOKUP(MATCH(M70,tid,0),tao,'12(id)'!$U$20,FALSE))</f>
        <v>2</v>
      </c>
      <c r="Q70" s="10056"/>
      <c r="R70" s="10044"/>
      <c r="S70" s="10044"/>
      <c r="T70" s="10020"/>
      <c r="U70" s="10041">
        <f>+IF(ISERROR(MATCH(M70,tid,0)),"",IF(VLOOKUP(MATCH(M70,tid,0),tao,'12(id)'!$HJ$20,FALSE)="","",VLOOKUP(MATCH(M70,tid,0),tao,'12(id)'!$HJ$20,FALSE)))</f>
        <v>2.96</v>
      </c>
      <c r="V70" s="10020" t="str">
        <f>+IF(ISERROR(MATCH(M70,tid,0)),"",IF(VLOOKUP(MATCH(M70,tid,0),tao,'12(id)'!$HK$20,FALSE)="","",VLOOKUP(MATCH(M70,tid,0),tao,'12(id)'!$HK$20,FALSE)))</f>
        <v/>
      </c>
      <c r="W70" s="8071" t="str">
        <f t="shared" si="2"/>
        <v/>
      </c>
      <c r="X70" s="3649"/>
      <c r="Y70" s="3607" t="str">
        <f>+IF(W70="","",IF(VLOOKUP(MATCH(W70,op_id,0),op,'7(op)'!$T$18,FALSE)="","",IF(VLOOKUP(MATCH(W70,op_id,0),op,'7(op)'!$Y$18,FALSE)="Rejected",VLOOKUP(MATCH(W70,op_id,0),op,'7(op)'!$T$18,FALSE)&amp;"-Rejected by Stk - REMOVE OPTION No.",VLOOKUP(MATCH(W70,op_id,0),op,'7(op)'!$T$18,FALSE))))</f>
        <v/>
      </c>
      <c r="Z70" s="3593"/>
      <c r="AA70" s="3594"/>
      <c r="AB70" s="3595"/>
      <c r="AC70" s="3593"/>
      <c r="AD70" s="3594"/>
      <c r="AE70" s="3595"/>
      <c r="AF70" s="5952"/>
      <c r="AG70" s="8154"/>
      <c r="AH70" s="8105"/>
      <c r="AI70" s="8065" t="str">
        <f t="shared" si="8"/>
        <v/>
      </c>
      <c r="AJ70" s="3697"/>
      <c r="AK70" s="5952"/>
      <c r="AL70" s="5959"/>
      <c r="AM70" s="5959"/>
      <c r="AN70" s="5959"/>
      <c r="AO70" s="5959"/>
      <c r="AP70" s="5959"/>
      <c r="AQ70" s="5959"/>
    </row>
    <row r="71" spans="1:43" s="3561" customFormat="1" ht="25.5" customHeight="1">
      <c r="A71" s="10145" t="str">
        <f t="shared" si="4"/>
        <v>8306-01</v>
      </c>
      <c r="B71" s="10150" t="str">
        <f>+IF(A71="","",VLOOKUP(MATCH(A71,tid,0),tao,'12(id)'!$J$20,FALSE))</f>
        <v>NRG</v>
      </c>
      <c r="C71" s="8839" t="str">
        <f t="shared" si="6"/>
        <v>MD2</v>
      </c>
      <c r="D71" s="8155" t="str">
        <f t="shared" si="5"/>
        <v>8306-01-01</v>
      </c>
      <c r="E71" s="5952"/>
      <c r="F71" s="5959"/>
      <c r="G71" s="8115" t="str">
        <f>+IF(AND(G70="",A71=""),"",IF(OR(A71=G70,A71=0),G70,IF(VLOOKUP(MATCH(A71,tid,0),tao,'12(id)'!$U$20,FALSE)&gt;1,IF(AND(VLOOKUP(MATCH(A71,tid,0),tao,'12(id)'!$L$20,FALSE)=VLOOKUP(MATCH(G70,tid,0),tao,'12(id)'!$L$20,FALSE),X71&gt;X70),G70,IF(AND(X71="",VLOOKUP(MATCH(A71,tid,0),tao,'12(id)'!$U$20,FALSE)=VLOOKUP(MATCH(G70,tid,0),tao,'12(id)'!$U$20,FALSE)),G70,A71)),A71)))</f>
        <v>8306-01</v>
      </c>
      <c r="H71" s="5952"/>
      <c r="I71" s="4499">
        <f t="shared" si="7"/>
        <v>48</v>
      </c>
      <c r="J71" s="10080">
        <v>6</v>
      </c>
      <c r="K71" s="10083"/>
      <c r="L71" s="10070">
        <v>8306</v>
      </c>
      <c r="M71" s="8984" t="s">
        <v>293</v>
      </c>
      <c r="N71" s="9000" t="str">
        <f>+IF(M71="","",VLOOKUP(MATCH(M71,tid,0),tao,'12(id)'!$L$20,FALSE))</f>
        <v>Middletown</v>
      </c>
      <c r="O71" s="10092" t="str">
        <f>+IF(ISERROR(MATCH(M71,tid,0)),"",VLOOKUP(MATCH(M71,tid,0),tao,'12(id)'!$Q$20,FALSE))</f>
        <v>MD2</v>
      </c>
      <c r="P71" s="10049">
        <f>+IF(M71="","",VLOOKUP(MATCH(M71,tid,0),tao,'12(id)'!$U$20,FALSE))</f>
        <v>1</v>
      </c>
      <c r="Q71" s="10060">
        <f>+IF(ISERROR(MATCH(M71,tid,0)),"",IF(VLOOKUP(MATCH(M71,tid,0),tao,'12(id)'!$CT$20,FALSE)="","",VLOOKUP(MATCH(M71,tid,0),tao,'12(id)'!$CT$20,FALSE)))</f>
        <v>120</v>
      </c>
      <c r="R71" s="10042" t="str">
        <f>+IF(M71="","",IF(VLOOKUP(MATCH(M71,tid,0),tao,'12(id)'!$T$20,FALSE)="","",VLOOKUP(MATCH(M71,tid,0),tao,'12(id)'!$T$20,FALSE)))</f>
        <v>Utility Boiler</v>
      </c>
      <c r="S71" s="10042" t="str">
        <f>+IF(ISERROR(MATCH(M71,tid,0)),"",IF(VLOOKUP(MATCH(M71,tid,0),tao,'12(id)'!$CO$20,FALSE)="","",VLOOKUP(MATCH(M71,tid,0),tao,'12(id)'!$CO$20,FALSE)))</f>
        <v>Riley</v>
      </c>
      <c r="T71" s="10029" t="str">
        <f>+IF(ISERROR(MATCH(M71,tid,0)),"",IF(VLOOKUP(MATCH(M71,tid,0),tao,'12(id)'!$CP$20,FALSE)="","",VLOOKUP(MATCH(M71,tid,0),tao,'12(id)'!$CP$20,FALSE)))</f>
        <v>Front fired</v>
      </c>
      <c r="U71" s="10026">
        <f>+IF(ISERROR(MATCH(M71,tid,0)),"",IF(VLOOKUP(MATCH(M71,tid,0),tao,'12(id)'!$HJ$20,FALSE)="","",VLOOKUP(MATCH(M71,tid,0),tao,'12(id)'!$HJ$20,FALSE)))</f>
        <v>0.18</v>
      </c>
      <c r="V71" s="10029"/>
      <c r="W71" s="8085" t="str">
        <f t="shared" si="2"/>
        <v>8306-01-01</v>
      </c>
      <c r="X71" s="7785">
        <v>1</v>
      </c>
      <c r="Y71" s="3650" t="str">
        <f>+IF(W71="","",IF(VLOOKUP(MATCH(W71,op_id,0),op,'7(op)'!$T$18,FALSE)="","",IF(VLOOKUP(MATCH(W71,op_id,0),op,'7(op)'!$Y$18,FALSE)="Rejected",VLOOKUP(MATCH(W71,op_id,0),op,'7(op)'!$T$18,FALSE)&amp;"-Rejected by Stk - REMOVE OPTION No.",VLOOKUP(MATCH(W71,op_id,0),op,'7(op)'!$T$18,FALSE))))</f>
        <v>Rotating Opposed Fire Air (ROFA)</v>
      </c>
      <c r="Z71" s="3651">
        <v>0.15</v>
      </c>
      <c r="AA71" s="3652"/>
      <c r="AB71" s="3653">
        <f>+IF(U71="",IF(V71="","",IF(AA71="","",(V71-AA71)/V71)),IF(Z71="","",(U71-Z71)/U71))</f>
        <v>0.16666666666666666</v>
      </c>
      <c r="AC71" s="3651">
        <f>+IF(AG71="",IF(Z71="","",Z71),IF(AH71="lb/MMBtu",AG71,IF($U71="","",IF(AH71="%",(1-AG71/100)*$U71,IF(AH71="ppmvd",IF($V71="","",(AG71/$V71)*$U71),"")))))</f>
        <v>0.11699999999999999</v>
      </c>
      <c r="AD71" s="3652" t="str">
        <f>+IF(AG71="",IF(AA71="","",AA71),IF(AH71="ppmvd",AG71,IF($V71="","",IF(AH71="%",(1-AG71/100)*$V71,IF(AH71="lb/MMBtu",IF(U71="","",(AG71/$U71)*$V71),"")))))</f>
        <v/>
      </c>
      <c r="AE71" s="3653">
        <f>+IF(AG71="",IF(AB71="","",AB71),IF(AH71="%",AG71/100,IF($U71="","",IF(AND(AH71="lb/MMBtu",AC71&gt;0,$U71&gt;0),($U71-AC71)/$U71,IF(AND(AH71="ppmvd",AG71&gt;0,$V71&gt;0),IF($V71="","",($V71-AG71)/$V71),"")))))</f>
        <v>0.35</v>
      </c>
      <c r="AF71" s="5952"/>
      <c r="AG71" s="8156">
        <v>35</v>
      </c>
      <c r="AH71" s="8157" t="s">
        <v>417</v>
      </c>
      <c r="AI71" s="8065" t="str">
        <f t="shared" si="8"/>
        <v/>
      </c>
      <c r="AJ71" s="3698" t="s">
        <v>1912</v>
      </c>
      <c r="AK71" s="5952"/>
      <c r="AL71" s="5959"/>
      <c r="AM71" s="5959"/>
      <c r="AN71" s="5959"/>
      <c r="AO71" s="5959"/>
      <c r="AP71" s="5959"/>
      <c r="AQ71" s="5959"/>
    </row>
    <row r="72" spans="1:43" s="3561" customFormat="1" ht="25.5" customHeight="1">
      <c r="A72" s="10140">
        <f t="shared" si="4"/>
        <v>0</v>
      </c>
      <c r="B72" s="10151" t="e">
        <f>+IF(A72="","",VLOOKUP(MATCH(A72,tid,0),tao,'12(id)'!$J$20,FALSE))</f>
        <v>#N/A</v>
      </c>
      <c r="C72" s="8840" t="str">
        <f t="shared" si="6"/>
        <v/>
      </c>
      <c r="D72" s="8145" t="str">
        <f t="shared" si="5"/>
        <v>8306-01-02</v>
      </c>
      <c r="E72" s="5952"/>
      <c r="F72" s="5959"/>
      <c r="G72" s="8118" t="str">
        <f>+IF(AND(G71="",A72=""),"",IF(OR(A72=G71,A72=0),G71,IF(VLOOKUP(MATCH(A72,tid,0),tao,'12(id)'!$U$20,FALSE)&gt;1,IF(AND(VLOOKUP(MATCH(A72,tid,0),tao,'12(id)'!$L$20,FALSE)=VLOOKUP(MATCH(G71,tid,0),tao,'12(id)'!$L$20,FALSE),X72&gt;X71),G71,IF(AND(X72="",VLOOKUP(MATCH(A72,tid,0),tao,'12(id)'!$U$20,FALSE)=VLOOKUP(MATCH(G71,tid,0),tao,'12(id)'!$U$20,FALSE)),G71,A72)),A72)))</f>
        <v>8306-01</v>
      </c>
      <c r="H72" s="5952"/>
      <c r="I72" s="4499">
        <f t="shared" si="7"/>
        <v>49</v>
      </c>
      <c r="J72" s="10081"/>
      <c r="K72" s="10084"/>
      <c r="L72" s="10071"/>
      <c r="M72" s="8985"/>
      <c r="N72" s="9001"/>
      <c r="O72" s="10037" t="str">
        <f>+IF(ISERROR(MATCH(M72,tid,0)),"",VLOOKUP(MATCH(M72,tid,0),tao,'12(id)'!$Q$20,FALSE))</f>
        <v/>
      </c>
      <c r="P72" s="10050" t="str">
        <f>+IF(M72="","",VLOOKUP(MATCH(M72,tid,0),tao,'12(id)'!$U$20,FALSE))</f>
        <v/>
      </c>
      <c r="Q72" s="10046"/>
      <c r="R72" s="10039"/>
      <c r="S72" s="10039"/>
      <c r="T72" s="10019"/>
      <c r="U72" s="10030" t="str">
        <f>+IF(ISERROR(MATCH(M72,tid,0)),"",IF(VLOOKUP(MATCH(M72,tid,0),tao,'12(id)'!$HJ$20,FALSE)="","",VLOOKUP(MATCH(M72,tid,0),tao,'12(id)'!$HJ$20,FALSE)))</f>
        <v/>
      </c>
      <c r="V72" s="10019"/>
      <c r="W72" s="8081" t="str">
        <f t="shared" si="2"/>
        <v>8306-01-02</v>
      </c>
      <c r="X72" s="6085">
        <v>2</v>
      </c>
      <c r="Y72" s="6086" t="str">
        <f>+IF(W72="","",IF(VLOOKUP(MATCH(W72,op_id,0),op,'7(op)'!$T$18,FALSE)="","",IF(VLOOKUP(MATCH(W72,op_id,0),op,'7(op)'!$Y$18,FALSE)="Rejected",VLOOKUP(MATCH(W72,op_id,0),op,'7(op)'!$T$18,FALSE)&amp;"-Rejected by Stk - REMOVE OPTION No.",VLOOKUP(MATCH(W72,op_id,0),op,'7(op)'!$T$18,FALSE))))</f>
        <v>Selective Catalytic Reduction (SCR) with ID fans</v>
      </c>
      <c r="Z72" s="6087">
        <v>0.1</v>
      </c>
      <c r="AA72" s="6088"/>
      <c r="AB72" s="6089">
        <f>+IF(U71="",IF(V71="","",IF(AA72="","",(V71-AA72)/V71)),IF(Z72="","",(U71-Z72)/U71))</f>
        <v>0.44444444444444442</v>
      </c>
      <c r="AC72" s="6087">
        <f>+IF(AG72="",IF(Z72="","",Z72),IF(AH72="lb/MMBtu",AG72,IF($U71="","",IF(AH72="%",(1-AG72/100)*$U71,IF(AH72="ppmvd",IF($V71="","",(AG72/$V71)*$U71),"")))))</f>
        <v>1.7999999999999995E-2</v>
      </c>
      <c r="AD72" s="6088" t="str">
        <f>+IF(AG72="",IF(AA72="","",AA72),IF(AH72="ppmvd",AG72,IF($V71="","",IF(AH72="%",(1-AG72/100)*$V71,IF(AH72="lb/MMBtu",IF($U71="","",(AG72/$U71)*$V71),"")))))</f>
        <v/>
      </c>
      <c r="AE72" s="6089">
        <f>+IF(AG72="",IF(AB72="","",AB72),IF(AH72="%",AG72/100,IF($U71="","",IF(AND(AH72="lb/MMBtu",AC72&gt;0,$U71&gt;0),($U71-AC72)/$U71,IF(AND(AH72="ppmvd",AG72&gt;0,$V71&gt;0),IF($V71="","",($V71-AG72)/$V71),"")))))</f>
        <v>0.9</v>
      </c>
      <c r="AF72" s="5952"/>
      <c r="AG72" s="8120">
        <v>90</v>
      </c>
      <c r="AH72" s="8105" t="s">
        <v>417</v>
      </c>
      <c r="AI72" s="8065" t="str">
        <f t="shared" si="8"/>
        <v/>
      </c>
      <c r="AJ72" s="3687" t="s">
        <v>1911</v>
      </c>
      <c r="AK72" s="5952"/>
      <c r="AL72" s="5959"/>
      <c r="AM72" s="5959"/>
      <c r="AN72" s="5959"/>
      <c r="AO72" s="5959"/>
      <c r="AP72" s="5959"/>
      <c r="AQ72" s="5959"/>
    </row>
    <row r="73" spans="1:43" s="3561" customFormat="1" ht="21" customHeight="1">
      <c r="A73" s="10149">
        <f t="shared" si="4"/>
        <v>0</v>
      </c>
      <c r="B73" s="10151" t="e">
        <f>+IF(A73="","",VLOOKUP(MATCH(A73,tid,0),tao,'12(id)'!$J$20,FALSE))</f>
        <v>#N/A</v>
      </c>
      <c r="C73" s="8841" t="str">
        <f t="shared" si="6"/>
        <v/>
      </c>
      <c r="D73" s="8147" t="str">
        <f t="shared" si="5"/>
        <v/>
      </c>
      <c r="E73" s="5952"/>
      <c r="F73" s="5959"/>
      <c r="G73" s="8127" t="str">
        <f>+IF(AND(G72="",A73=""),"",IF(OR(A73=G72,A73=0),G72,IF(VLOOKUP(MATCH(A73,tid,0),tao,'12(id)'!$U$20,FALSE)&gt;1,IF(AND(VLOOKUP(MATCH(A73,tid,0),tao,'12(id)'!$L$20,FALSE)=VLOOKUP(MATCH(G72,tid,0),tao,'12(id)'!$L$20,FALSE),X73&gt;X72),G72,IF(AND(X73="",VLOOKUP(MATCH(A73,tid,0),tao,'12(id)'!$U$20,FALSE)=VLOOKUP(MATCH(G72,tid,0),tao,'12(id)'!$U$20,FALSE)),G72,A73)),A73)))</f>
        <v>8306-01</v>
      </c>
      <c r="H73" s="5952"/>
      <c r="I73" s="4499">
        <f t="shared" si="7"/>
        <v>50</v>
      </c>
      <c r="J73" s="10081"/>
      <c r="K73" s="10084"/>
      <c r="L73" s="10071"/>
      <c r="M73" s="9130"/>
      <c r="N73" s="9001"/>
      <c r="O73" s="10038" t="str">
        <f>+IF(ISERROR(MATCH(M73,tid,0)),"",VLOOKUP(MATCH(M73,tid,0),tao,'12(id)'!$Q$20,FALSE))</f>
        <v/>
      </c>
      <c r="P73" s="10051" t="str">
        <f>+IF(M73="","",VLOOKUP(MATCH(M73,tid,0),tao,'12(id)'!$U$20,FALSE))</f>
        <v/>
      </c>
      <c r="Q73" s="10046"/>
      <c r="R73" s="10039"/>
      <c r="S73" s="10039"/>
      <c r="T73" s="10019"/>
      <c r="U73" s="10030" t="str">
        <f>+IF(ISERROR(MATCH(M73,tid,0)),"",IF(VLOOKUP(MATCH(M73,tid,0),tao,'12(id)'!$HJ$20,FALSE)="","",VLOOKUP(MATCH(M73,tid,0),tao,'12(id)'!$HJ$20,FALSE)))</f>
        <v/>
      </c>
      <c r="V73" s="10019"/>
      <c r="W73" s="8082" t="str">
        <f t="shared" si="2"/>
        <v/>
      </c>
      <c r="X73" s="3636"/>
      <c r="Y73" s="3637" t="str">
        <f>+IF(W73="","",IF(VLOOKUP(MATCH(W73,op_id,0),op,'7(op)'!$T$18,FALSE)="","",IF(VLOOKUP(MATCH(W73,op_id,0),op,'7(op)'!$Y$18,FALSE)="Rejected",VLOOKUP(MATCH(W73,op_id,0),op,'7(op)'!$T$18,FALSE)&amp;"-Rejected by Stk - REMOVE OPTION No.",VLOOKUP(MATCH(W73,op_id,0),op,'7(op)'!$T$18,FALSE))))</f>
        <v/>
      </c>
      <c r="Z73" s="3638"/>
      <c r="AA73" s="3639"/>
      <c r="AB73" s="3640"/>
      <c r="AC73" s="3638"/>
      <c r="AD73" s="3639"/>
      <c r="AE73" s="3640"/>
      <c r="AF73" s="5952"/>
      <c r="AG73" s="8148"/>
      <c r="AH73" s="8105"/>
      <c r="AI73" s="8065" t="str">
        <f t="shared" si="8"/>
        <v/>
      </c>
      <c r="AJ73" s="3695"/>
      <c r="AK73" s="5952"/>
      <c r="AL73" s="5959"/>
      <c r="AM73" s="5959"/>
      <c r="AN73" s="5959"/>
      <c r="AO73" s="5959"/>
      <c r="AP73" s="5959"/>
      <c r="AQ73" s="5959"/>
    </row>
    <row r="74" spans="1:43" s="3561" customFormat="1" ht="25.5" customHeight="1">
      <c r="A74" s="10139" t="str">
        <f t="shared" si="4"/>
        <v>8306-02</v>
      </c>
      <c r="B74" s="10151" t="str">
        <f>+IF(A74="","",VLOOKUP(MATCH(A74,tid,0),tao,'12(id)'!$J$20,FALSE))</f>
        <v>NRG</v>
      </c>
      <c r="C74" s="9008" t="str">
        <f t="shared" si="6"/>
        <v>MD3 </v>
      </c>
      <c r="D74" s="8158" t="str">
        <f t="shared" si="5"/>
        <v>8306-02-01</v>
      </c>
      <c r="E74" s="5952"/>
      <c r="F74" s="5959"/>
      <c r="G74" s="8159" t="str">
        <f>+IF(AND(G73="",A74=""),"",IF(OR(A74=G73,A74=0),G73,IF(VLOOKUP(MATCH(A74,tid,0),tao,'12(id)'!$U$20,FALSE)&gt;1,IF(AND(VLOOKUP(MATCH(A74,tid,0),tao,'12(id)'!$L$20,FALSE)=VLOOKUP(MATCH(G73,tid,0),tao,'12(id)'!$L$20,FALSE),X74&gt;X73),G73,IF(AND(X74="",VLOOKUP(MATCH(A74,tid,0),tao,'12(id)'!$U$20,FALSE)=VLOOKUP(MATCH(G73,tid,0),tao,'12(id)'!$U$20,FALSE)),G73,A74)),A74)))</f>
        <v>8306-02</v>
      </c>
      <c r="H74" s="5952"/>
      <c r="I74" s="4499">
        <f t="shared" si="7"/>
        <v>51</v>
      </c>
      <c r="J74" s="10081"/>
      <c r="K74" s="10084"/>
      <c r="L74" s="10071"/>
      <c r="M74" s="10086" t="s">
        <v>294</v>
      </c>
      <c r="N74" s="9001"/>
      <c r="O74" s="10037" t="str">
        <f>+IF(ISERROR(MATCH(M74,tid,0)),"",VLOOKUP(MATCH(M74,tid,0),tao,'12(id)'!$Q$20,FALSE))</f>
        <v>MD3 </v>
      </c>
      <c r="P74" s="10050">
        <f>+IF(M74="","",VLOOKUP(MATCH(M74,tid,0),tao,'12(id)'!$U$20,FALSE))</f>
        <v>1</v>
      </c>
      <c r="Q74" s="10046">
        <f>+IF(ISERROR(MATCH(M74,tid,0)),"",IF(VLOOKUP(MATCH(M74,tid,0),tao,'12(id)'!$CT$20,FALSE)="","",VLOOKUP(MATCH(M74,tid,0),tao,'12(id)'!$CT$20,FALSE)))</f>
        <v>236</v>
      </c>
      <c r="R74" s="10039" t="str">
        <f>+IF(M74="","",IF(VLOOKUP(MATCH(M74,tid,0),tao,'12(id)'!$T$20,FALSE)="","",VLOOKUP(MATCH(M74,tid,0),tao,'12(id)'!$T$20,FALSE)))</f>
        <v>Utility Boiler</v>
      </c>
      <c r="S74" s="10039" t="str">
        <f>+IF(ISERROR(MATCH(M74,tid,0)),"",IF(VLOOKUP(MATCH(M74,tid,0),tao,'12(id)'!$CO$20,FALSE)="","",VLOOKUP(MATCH(M74,tid,0),tao,'12(id)'!$CO$20,FALSE)))</f>
        <v>Babcock and Wilcox</v>
      </c>
      <c r="T74" s="10019" t="str">
        <f>+IF(ISERROR(MATCH(M74,tid,0)),"",IF(VLOOKUP(MATCH(M74,tid,0),tao,'12(id)'!$CP$20,FALSE)="","",VLOOKUP(MATCH(M74,tid,0),tao,'12(id)'!$CP$20,FALSE)))</f>
        <v>Cyclone boiler</v>
      </c>
      <c r="U74" s="10030">
        <f>+IF(ISERROR(MATCH(M74,tid,0)),"",IF(VLOOKUP(MATCH(M74,tid,0),tao,'12(id)'!$HJ$20,FALSE)="","",VLOOKUP(MATCH(M74,tid,0),tao,'12(id)'!$HJ$20,FALSE)))</f>
        <v>0.27</v>
      </c>
      <c r="V74" s="10019"/>
      <c r="W74" s="8086" t="str">
        <f t="shared" si="2"/>
        <v>8306-02-01</v>
      </c>
      <c r="X74" s="3654">
        <v>1</v>
      </c>
      <c r="Y74" s="3655" t="str">
        <f>+IF(W74="","",IF(VLOOKUP(MATCH(W74,op_id,0),op,'7(op)'!$T$18,FALSE)="","",IF(VLOOKUP(MATCH(W74,op_id,0),op,'7(op)'!$Y$18,FALSE)="Rejected",VLOOKUP(MATCH(W74,op_id,0),op,'7(op)'!$T$18,FALSE)&amp;"-Rejected by Stk - REMOVE OPTION No.",VLOOKUP(MATCH(W74,op_id,0),op,'7(op)'!$T$18,FALSE))))</f>
        <v>Separated Overfired Air / High Energy Reagent Technology (SOFA/HERT)</v>
      </c>
      <c r="Z74" s="3656">
        <v>0.15</v>
      </c>
      <c r="AA74" s="3657"/>
      <c r="AB74" s="3658">
        <f>+IF(U74="",IF(V74="","",IF(AA74="","",(V74-AA74)/V74)),IF(Z74="","",(U74-Z74)/U74))</f>
        <v>0.44444444444444448</v>
      </c>
      <c r="AC74" s="3656">
        <f>+IF(AG74="",IF(Z74="","",Z74),IF(AH74="lb/MMBtu",AG74,IF($U74="","",IF(AH74="%",(1-AG74/100)*$U74,IF(AH74="ppmvd",IF($V74="","",(AG74/$V74)*$U74),"")))))</f>
        <v>0.15</v>
      </c>
      <c r="AD74" s="3657" t="str">
        <f>+IF(AG74="",IF(AA74="","",AA74),IF(AH74="ppmvd",AG74,IF($V74="","",IF(AH74="%",(1-AG74/100)*$V74,IF(AH74="lb/MMBtu",IF(U74="","",(AG74/$U74)*$V74),"")))))</f>
        <v/>
      </c>
      <c r="AE74" s="3658">
        <f>+IF(AG74="",IF(AB74="","",AB74),IF(AH74="%",AG74/100,IF($U74="","",IF(AND(AH74="lb/MMBtu",AC74&gt;0,$U74&gt;0),($U74-AC74)/$U74,IF(AND(AH74="ppmvd",AG74&gt;0,$V74&gt;0),IF($V74="","",($V74-AG74)/$V74),"")))))</f>
        <v>0.44444444444444448</v>
      </c>
      <c r="AF74" s="5952"/>
      <c r="AG74" s="8160"/>
      <c r="AH74" s="8157"/>
      <c r="AI74" s="8065" t="str">
        <f t="shared" si="8"/>
        <v/>
      </c>
      <c r="AJ74" s="3699"/>
      <c r="AK74" s="5952"/>
      <c r="AL74" s="5959"/>
      <c r="AM74" s="5959"/>
      <c r="AN74" s="5959"/>
      <c r="AO74" s="5959"/>
      <c r="AP74" s="5959"/>
      <c r="AQ74" s="5959"/>
    </row>
    <row r="75" spans="1:43" s="3561" customFormat="1" ht="25.5" customHeight="1">
      <c r="A75" s="10140">
        <f t="shared" si="4"/>
        <v>0</v>
      </c>
      <c r="B75" s="10151" t="e">
        <f>+IF(A75="","",VLOOKUP(MATCH(A75,tid,0),tao,'12(id)'!$J$20,FALSE))</f>
        <v>#N/A</v>
      </c>
      <c r="C75" s="9008" t="str">
        <f t="shared" si="6"/>
        <v/>
      </c>
      <c r="D75" s="8145" t="str">
        <f t="shared" si="5"/>
        <v>8306-02-02</v>
      </c>
      <c r="E75" s="5952"/>
      <c r="F75" s="5959"/>
      <c r="G75" s="8118" t="str">
        <f>+IF(AND(G74="",A75=""),"",IF(OR(A75=G74,A75=0),G74,IF(VLOOKUP(MATCH(A75,tid,0),tao,'12(id)'!$U$20,FALSE)&gt;1,IF(AND(VLOOKUP(MATCH(A75,tid,0),tao,'12(id)'!$L$20,FALSE)=VLOOKUP(MATCH(G74,tid,0),tao,'12(id)'!$L$20,FALSE),X75&gt;X74),G74,IF(AND(X75="",VLOOKUP(MATCH(A75,tid,0),tao,'12(id)'!$U$20,FALSE)=VLOOKUP(MATCH(G74,tid,0),tao,'12(id)'!$U$20,FALSE)),G74,A75)),A75)))</f>
        <v>8306-02</v>
      </c>
      <c r="H75" s="5952"/>
      <c r="I75" s="4499">
        <f t="shared" si="7"/>
        <v>52</v>
      </c>
      <c r="J75" s="10081"/>
      <c r="K75" s="10084"/>
      <c r="L75" s="10071"/>
      <c r="M75" s="8985"/>
      <c r="N75" s="9001"/>
      <c r="O75" s="10037" t="str">
        <f>+IF(ISERROR(MATCH(M75,tid,0)),"",VLOOKUP(MATCH(M75,tid,0),tao,'12(id)'!$Q$20,FALSE))</f>
        <v/>
      </c>
      <c r="P75" s="10050" t="str">
        <f>+IF(M75="","",VLOOKUP(MATCH(M75,tid,0),tao,'12(id)'!$U$20,FALSE))</f>
        <v/>
      </c>
      <c r="Q75" s="10046"/>
      <c r="R75" s="10039"/>
      <c r="S75" s="10039"/>
      <c r="T75" s="10019"/>
      <c r="U75" s="10030" t="str">
        <f>+IF(ISERROR(MATCH(M75,tid,0)),"",IF(VLOOKUP(MATCH(M75,tid,0),tao,'12(id)'!$HJ$20,FALSE)="","",VLOOKUP(MATCH(M75,tid,0),tao,'12(id)'!$HJ$20,FALSE)))</f>
        <v/>
      </c>
      <c r="V75" s="10019"/>
      <c r="W75" s="8081" t="str">
        <f t="shared" si="2"/>
        <v>8306-02-02</v>
      </c>
      <c r="X75" s="6085">
        <v>2</v>
      </c>
      <c r="Y75" s="6086" t="str">
        <f>+IF(W75="","",IF(VLOOKUP(MATCH(W75,op_id,0),op,'7(op)'!$T$18,FALSE)="","",IF(VLOOKUP(MATCH(W75,op_id,0),op,'7(op)'!$Y$18,FALSE)="Rejected",VLOOKUP(MATCH(W75,op_id,0),op,'7(op)'!$T$18,FALSE)&amp;"-Rejected by Stk - REMOVE OPTION No.",VLOOKUP(MATCH(W75,op_id,0),op,'7(op)'!$T$18,FALSE))))</f>
        <v>Selective Catalytic Reduction (SCR) with ID fans</v>
      </c>
      <c r="Z75" s="6087">
        <v>0.1</v>
      </c>
      <c r="AA75" s="6088"/>
      <c r="AB75" s="6089">
        <f>+IF(U74="",IF(V74="","",IF(AA75="","",(V74-AA75)/V74)),IF(Z75="","",(U74-Z75)/U74))</f>
        <v>0.62962962962962965</v>
      </c>
      <c r="AC75" s="6087">
        <f>+IF(AG75="",IF(Z75="","",Z75),IF(AH75="lb/MMBtu",AG75,IF($U74="","",IF(AH75="%",(1-AG75/100)*$U74,IF(AH75="ppmvd",IF($V74="","",(AG75/$V74)*$U74),"")))))</f>
        <v>2.6999999999999996E-2</v>
      </c>
      <c r="AD75" s="6088" t="str">
        <f>+IF(AG75="",IF(AA75="","",AA75),IF(AH75="ppmvd",AG75,IF($V74="","",IF(AH75="%",(1-AG75/100)*$V74,IF(AH75="lb/MMBtu",IF($U74="","",(AG75/$U74)*$V74),"")))))</f>
        <v/>
      </c>
      <c r="AE75" s="6089">
        <f>+IF(AG75="",IF(AB75="","",AB75),IF(AH75="%",AG75/100,IF($U74="","",IF(AND(AH75="lb/MMBtu",AC75&gt;0,$U74&gt;0),($U74-AC75)/$U74,IF(AND(AH75="ppmvd",AG75&gt;0,$V74&gt;0),IF($V74="","",($V74-AG75)/$V74),"")))))</f>
        <v>0.9</v>
      </c>
      <c r="AF75" s="5952"/>
      <c r="AG75" s="8120">
        <v>90</v>
      </c>
      <c r="AH75" s="8105" t="s">
        <v>417</v>
      </c>
      <c r="AI75" s="8065" t="str">
        <f t="shared" si="8"/>
        <v/>
      </c>
      <c r="AJ75" s="3687" t="s">
        <v>1911</v>
      </c>
      <c r="AK75" s="5952"/>
      <c r="AL75" s="5959"/>
      <c r="AM75" s="5959"/>
      <c r="AN75" s="5959"/>
      <c r="AO75" s="5959"/>
      <c r="AP75" s="5959"/>
      <c r="AQ75" s="5959"/>
    </row>
    <row r="76" spans="1:43" s="3561" customFormat="1" ht="21" customHeight="1">
      <c r="A76" s="10149">
        <f t="shared" si="4"/>
        <v>0</v>
      </c>
      <c r="B76" s="10151" t="e">
        <f>+IF(A76="","",VLOOKUP(MATCH(A76,tid,0),tao,'12(id)'!$J$20,FALSE))</f>
        <v>#N/A</v>
      </c>
      <c r="C76" s="9008" t="str">
        <f t="shared" si="6"/>
        <v/>
      </c>
      <c r="D76" s="8147" t="str">
        <f t="shared" si="5"/>
        <v/>
      </c>
      <c r="E76" s="5952"/>
      <c r="F76" s="5959"/>
      <c r="G76" s="8127" t="str">
        <f>+IF(AND(G75="",A76=""),"",IF(OR(A76=G75,A76=0),G75,IF(VLOOKUP(MATCH(A76,tid,0),tao,'12(id)'!$U$20,FALSE)&gt;1,IF(AND(VLOOKUP(MATCH(A76,tid,0),tao,'12(id)'!$L$20,FALSE)=VLOOKUP(MATCH(G75,tid,0),tao,'12(id)'!$L$20,FALSE),X76&gt;X75),G75,IF(AND(X76="",VLOOKUP(MATCH(A76,tid,0),tao,'12(id)'!$U$20,FALSE)=VLOOKUP(MATCH(G75,tid,0),tao,'12(id)'!$U$20,FALSE)),G75,A76)),A76)))</f>
        <v>8306-02</v>
      </c>
      <c r="H76" s="5952"/>
      <c r="I76" s="4499">
        <f t="shared" si="7"/>
        <v>53</v>
      </c>
      <c r="J76" s="10081"/>
      <c r="K76" s="10084"/>
      <c r="L76" s="10071"/>
      <c r="M76" s="9130"/>
      <c r="N76" s="9001"/>
      <c r="O76" s="10038" t="str">
        <f>+IF(ISERROR(MATCH(M76,tid,0)),"",VLOOKUP(MATCH(M76,tid,0),tao,'12(id)'!$Q$20,FALSE))</f>
        <v/>
      </c>
      <c r="P76" s="10051" t="str">
        <f>+IF(M76="","",VLOOKUP(MATCH(M76,tid,0),tao,'12(id)'!$U$20,FALSE))</f>
        <v/>
      </c>
      <c r="Q76" s="10046"/>
      <c r="R76" s="10039"/>
      <c r="S76" s="10039"/>
      <c r="T76" s="10019"/>
      <c r="U76" s="10030" t="str">
        <f>+IF(ISERROR(MATCH(M76,tid,0)),"",IF(VLOOKUP(MATCH(M76,tid,0),tao,'12(id)'!$HJ$20,FALSE)="","",VLOOKUP(MATCH(M76,tid,0),tao,'12(id)'!$HJ$20,FALSE)))</f>
        <v/>
      </c>
      <c r="V76" s="10019"/>
      <c r="W76" s="8082" t="str">
        <f t="shared" si="2"/>
        <v/>
      </c>
      <c r="X76" s="3636"/>
      <c r="Y76" s="3637" t="str">
        <f>+IF(W76="","",IF(VLOOKUP(MATCH(W76,op_id,0),op,'7(op)'!$T$18,FALSE)="","",IF(VLOOKUP(MATCH(W76,op_id,0),op,'7(op)'!$Y$18,FALSE)="Rejected",VLOOKUP(MATCH(W76,op_id,0),op,'7(op)'!$T$18,FALSE)&amp;"-Rejected by Stk - REMOVE OPTION No.",VLOOKUP(MATCH(W76,op_id,0),op,'7(op)'!$T$18,FALSE))))</f>
        <v/>
      </c>
      <c r="Z76" s="3638"/>
      <c r="AA76" s="3639"/>
      <c r="AB76" s="3640"/>
      <c r="AC76" s="3638"/>
      <c r="AD76" s="3639"/>
      <c r="AE76" s="3640"/>
      <c r="AF76" s="5952"/>
      <c r="AG76" s="8148"/>
      <c r="AH76" s="8105"/>
      <c r="AI76" s="8065" t="str">
        <f t="shared" si="8"/>
        <v/>
      </c>
      <c r="AJ76" s="3695"/>
      <c r="AK76" s="5952"/>
      <c r="AL76" s="5959"/>
      <c r="AM76" s="5959"/>
      <c r="AN76" s="5959"/>
      <c r="AO76" s="5959"/>
      <c r="AP76" s="5959"/>
      <c r="AQ76" s="5959"/>
    </row>
    <row r="77" spans="1:43" s="3561" customFormat="1" ht="25.5" customHeight="1">
      <c r="A77" s="10139" t="str">
        <f t="shared" si="4"/>
        <v>8306-03</v>
      </c>
      <c r="B77" s="10151" t="str">
        <f>+IF(A77="","",VLOOKUP(MATCH(A77,tid,0),tao,'12(id)'!$J$20,FALSE))</f>
        <v>NRG</v>
      </c>
      <c r="C77" s="9008" t="str">
        <f t="shared" si="6"/>
        <v>MD4 </v>
      </c>
      <c r="D77" s="8158" t="str">
        <f t="shared" si="5"/>
        <v>8306-03-01</v>
      </c>
      <c r="E77" s="5952"/>
      <c r="F77" s="5959"/>
      <c r="G77" s="8159" t="str">
        <f>+IF(AND(G76="",A77=""),"",IF(OR(A77=G76,A77=0),G76,IF(VLOOKUP(MATCH(A77,tid,0),tao,'12(id)'!$U$20,FALSE)&gt;1,IF(AND(VLOOKUP(MATCH(A77,tid,0),tao,'12(id)'!$L$20,FALSE)=VLOOKUP(MATCH(G76,tid,0),tao,'12(id)'!$L$20,FALSE),X77&gt;X76),G76,IF(AND(X77="",VLOOKUP(MATCH(A77,tid,0),tao,'12(id)'!$U$20,FALSE)=VLOOKUP(MATCH(G76,tid,0),tao,'12(id)'!$U$20,FALSE)),G76,A77)),A77)))</f>
        <v>8306-03</v>
      </c>
      <c r="H77" s="5952"/>
      <c r="I77" s="4499">
        <f t="shared" si="7"/>
        <v>54</v>
      </c>
      <c r="J77" s="10081"/>
      <c r="K77" s="10084"/>
      <c r="L77" s="10071"/>
      <c r="M77" s="10086" t="s">
        <v>295</v>
      </c>
      <c r="N77" s="9001"/>
      <c r="O77" s="10094" t="str">
        <f>+IF(ISERROR(MATCH(M77,tid,0)),"",VLOOKUP(MATCH(M77,tid,0),tao,'12(id)'!$Q$20,FALSE))</f>
        <v>MD4 </v>
      </c>
      <c r="P77" s="10055">
        <f>+IF(M77="","",VLOOKUP(MATCH(M77,tid,0),tao,'12(id)'!$U$20,FALSE))</f>
        <v>1</v>
      </c>
      <c r="Q77" s="10046">
        <f>+IF(ISERROR(MATCH(M77,tid,0)),"",IF(VLOOKUP(MATCH(M77,tid,0),tao,'12(id)'!$CT$20,FALSE)="","",VLOOKUP(MATCH(M77,tid,0),tao,'12(id)'!$CT$20,FALSE)))</f>
        <v>400</v>
      </c>
      <c r="R77" s="10039" t="str">
        <f>+IF(M77="","",IF(VLOOKUP(MATCH(M77,tid,0),tao,'12(id)'!$T$20,FALSE)="","",VLOOKUP(MATCH(M77,tid,0),tao,'12(id)'!$T$20,FALSE)))</f>
        <v>Utility Boiler</v>
      </c>
      <c r="S77" s="10039" t="str">
        <f>+IF(ISERROR(MATCH(M77,tid,0)),"",IF(VLOOKUP(MATCH(M77,tid,0),tao,'12(id)'!$CO$20,FALSE)="","",VLOOKUP(MATCH(M77,tid,0),tao,'12(id)'!$CO$20,FALSE)))</f>
        <v>Combustion Engineering</v>
      </c>
      <c r="T77" s="10019" t="str">
        <f>+IF(ISERROR(MATCH(M77,tid,0)),"",IF(VLOOKUP(MATCH(M77,tid,0),tao,'12(id)'!$CP$20,FALSE)="","",VLOOKUP(MATCH(M77,tid,0),tao,'12(id)'!$CP$20,FALSE)))</f>
        <v>Tangential fired</v>
      </c>
      <c r="U77" s="10030">
        <f>+IF(ISERROR(MATCH(M77,tid,0)),"",IF(VLOOKUP(MATCH(M77,tid,0),tao,'12(id)'!$HJ$20,FALSE)="","",VLOOKUP(MATCH(M77,tid,0),tao,'12(id)'!$HJ$20,FALSE)))</f>
        <v>0.28000000000000003</v>
      </c>
      <c r="V77" s="10019"/>
      <c r="W77" s="8086" t="str">
        <f t="shared" si="2"/>
        <v>8306-03-01</v>
      </c>
      <c r="X77" s="3659">
        <v>1</v>
      </c>
      <c r="Y77" s="3655" t="str">
        <f>+IF(W77="","",IF(VLOOKUP(MATCH(W77,op_id,0),op,'7(op)'!$T$18,FALSE)="","",IF(VLOOKUP(MATCH(W77,op_id,0),op,'7(op)'!$Y$18,FALSE)="Rejected",VLOOKUP(MATCH(W77,op_id,0),op,'7(op)'!$T$18,FALSE)&amp;"-Rejected by Stk - REMOVE OPTION No.",VLOOKUP(MATCH(W77,op_id,0),op,'7(op)'!$T$18,FALSE))))</f>
        <v>Separated Overfired Air / High Energy Reagent Technology (SOFA/HERT)</v>
      </c>
      <c r="Z77" s="3660">
        <v>0.15</v>
      </c>
      <c r="AA77" s="3661"/>
      <c r="AB77" s="3662">
        <f>+IF(U77="",IF(V77="","",IF(AA77="","",(V77-AA77)/V77)),IF(Z77="","",(U77-Z77)/U77))</f>
        <v>0.46428571428571436</v>
      </c>
      <c r="AC77" s="3660">
        <f>+IF(AG77="",IF(Z77="","",Z77),IF(AH77="lb/MMBtu",AG77,IF($U77="","",IF(AH77="%",(1-AG77/100)*$U77,IF(AH77="ppmvd",IF($V77="","",(AG77/$V77)*$U77),"")))))</f>
        <v>0.15</v>
      </c>
      <c r="AD77" s="3661" t="str">
        <f>+IF(AG77="",IF(AA77="","",AA77),IF(AH77="ppmvd",AG77,IF($V77="","",IF(AH77="%",(1-AG77/100)*$V77,IF(AH77="lb/MMBtu",IF(U77="","",(AG77/$U77)*$V77),"")))))</f>
        <v/>
      </c>
      <c r="AE77" s="3662">
        <f>+IF(AG77="",IF(AB77="","",AB77),IF(AH77="%",AG77/100,IF($U77="","",IF(AND(AH77="lb/MMBtu",AC77&gt;0,$U77&gt;0),($U77-AC77)/$U77,IF(AND(AH77="ppmvd",AG77&gt;0,$V77&gt;0),IF($V77="","",($V77-AG77)/$V77),"")))))</f>
        <v>0.46428571428571436</v>
      </c>
      <c r="AF77" s="5952"/>
      <c r="AG77" s="8161"/>
      <c r="AH77" s="8157"/>
      <c r="AI77" s="8065" t="str">
        <f t="shared" si="8"/>
        <v/>
      </c>
      <c r="AJ77" s="3700"/>
      <c r="AK77" s="5952"/>
      <c r="AL77" s="5959"/>
      <c r="AM77" s="5959"/>
      <c r="AN77" s="5959"/>
      <c r="AO77" s="5959"/>
      <c r="AP77" s="5959"/>
      <c r="AQ77" s="5959"/>
    </row>
    <row r="78" spans="1:43" s="3561" customFormat="1" ht="25.5" customHeight="1">
      <c r="A78" s="10140">
        <f t="shared" si="4"/>
        <v>0</v>
      </c>
      <c r="B78" s="10151" t="e">
        <f>+IF(A78="","",VLOOKUP(MATCH(A78,tid,0),tao,'12(id)'!$J$20,FALSE))</f>
        <v>#N/A</v>
      </c>
      <c r="C78" s="9008" t="str">
        <f t="shared" si="6"/>
        <v/>
      </c>
      <c r="D78" s="8145" t="str">
        <f t="shared" si="5"/>
        <v>8306-03-02</v>
      </c>
      <c r="E78" s="5952"/>
      <c r="F78" s="5959"/>
      <c r="G78" s="8118" t="str">
        <f>+IF(AND(G77="",A78=""),"",IF(OR(A78=G77,A78=0),G77,IF(VLOOKUP(MATCH(A78,tid,0),tao,'12(id)'!$U$20,FALSE)&gt;1,IF(AND(VLOOKUP(MATCH(A78,tid,0),tao,'12(id)'!$L$20,FALSE)=VLOOKUP(MATCH(G77,tid,0),tao,'12(id)'!$L$20,FALSE),X78&gt;X77),G77,IF(AND(X78="",VLOOKUP(MATCH(A78,tid,0),tao,'12(id)'!$U$20,FALSE)=VLOOKUP(MATCH(G77,tid,0),tao,'12(id)'!$U$20,FALSE)),G77,A78)),A78)))</f>
        <v>8306-03</v>
      </c>
      <c r="H78" s="5952"/>
      <c r="I78" s="4499">
        <f t="shared" si="7"/>
        <v>55</v>
      </c>
      <c r="J78" s="10081"/>
      <c r="K78" s="10084"/>
      <c r="L78" s="10071"/>
      <c r="M78" s="8985"/>
      <c r="N78" s="9001"/>
      <c r="O78" s="10037" t="str">
        <f>+IF(ISERROR(MATCH(M78,tid,0)),"",VLOOKUP(MATCH(M78,tid,0),tao,'12(id)'!$Q$20,FALSE))</f>
        <v/>
      </c>
      <c r="P78" s="10050" t="str">
        <f>+IF(M78="","",VLOOKUP(MATCH(M78,tid,0),tao,'12(id)'!$U$20,FALSE))</f>
        <v/>
      </c>
      <c r="Q78" s="10046"/>
      <c r="R78" s="10039"/>
      <c r="S78" s="10039"/>
      <c r="T78" s="10019"/>
      <c r="U78" s="10030" t="str">
        <f>+IF(ISERROR(MATCH(M78,tid,0)),"",IF(VLOOKUP(MATCH(M78,tid,0),tao,'12(id)'!$HJ$20,FALSE)="","",VLOOKUP(MATCH(M78,tid,0),tao,'12(id)'!$HJ$20,FALSE)))</f>
        <v/>
      </c>
      <c r="V78" s="10019"/>
      <c r="W78" s="8081" t="str">
        <f t="shared" si="2"/>
        <v>8306-03-02</v>
      </c>
      <c r="X78" s="6085">
        <v>2</v>
      </c>
      <c r="Y78" s="6086" t="str">
        <f>+IF(W78="","",IF(VLOOKUP(MATCH(W78,op_id,0),op,'7(op)'!$T$18,FALSE)="","",IF(VLOOKUP(MATCH(W78,op_id,0),op,'7(op)'!$Y$18,FALSE)="Rejected",VLOOKUP(MATCH(W78,op_id,0),op,'7(op)'!$T$18,FALSE)&amp;"-Rejected by Stk - REMOVE OPTION No.",VLOOKUP(MATCH(W78,op_id,0),op,'7(op)'!$T$18,FALSE))))</f>
        <v>Selective Catalytic Reduction (SCR) with ID fans</v>
      </c>
      <c r="Z78" s="6087">
        <v>0.1</v>
      </c>
      <c r="AA78" s="6088"/>
      <c r="AB78" s="6089">
        <f>+IF(U77="",IF(V77="","",IF(AA78="","",(V77-AA78)/V77)),IF(Z78="","",(U77-Z78)/U77))</f>
        <v>0.6428571428571429</v>
      </c>
      <c r="AC78" s="6087">
        <f>+IF(AG78="",IF(Z78="","",Z78),IF(AH78="lb/MMBtu",AG78,IF($U77="","",IF(AH78="%",(1-AG78/100)*$U77,IF(AH78="ppmvd",IF($V77="","",(AG78/$V77)*$U77),"")))))</f>
        <v>2.7999999999999997E-2</v>
      </c>
      <c r="AD78" s="6088" t="str">
        <f>+IF(AG78="",IF(AA78="","",AA78),IF(AH78="ppmvd",AG78,IF($V77="","",IF(AH78="%",(1-AG78/100)*$V77,IF(AH78="lb/MMBtu",IF($U77="","",(AG78/$U77)*$V77),"")))))</f>
        <v/>
      </c>
      <c r="AE78" s="6089">
        <f>+IF(AG78="",IF(AB78="","",AB78),IF(AH78="%",AG78/100,IF($U77="","",IF(AND(AH78="lb/MMBtu",AC78&gt;0,$U77&gt;0),($U77-AC78)/$U77,IF(AND(AH78="ppmvd",AG78&gt;0,$V77&gt;0),IF($V77="","",($V77-AG78)/$V77),"")))))</f>
        <v>0.9</v>
      </c>
      <c r="AF78" s="5952"/>
      <c r="AG78" s="8120">
        <v>90</v>
      </c>
      <c r="AH78" s="8105" t="s">
        <v>417</v>
      </c>
      <c r="AI78" s="8065" t="str">
        <f t="shared" si="8"/>
        <v/>
      </c>
      <c r="AJ78" s="3687" t="s">
        <v>1911</v>
      </c>
      <c r="AK78" s="5952"/>
      <c r="AL78" s="5959"/>
      <c r="AM78" s="5959"/>
      <c r="AN78" s="5959"/>
      <c r="AO78" s="5959"/>
      <c r="AP78" s="5959"/>
      <c r="AQ78" s="5959"/>
    </row>
    <row r="79" spans="1:43" s="3561" customFormat="1" ht="25.5" customHeight="1">
      <c r="A79" s="10140">
        <f t="shared" si="4"/>
        <v>0</v>
      </c>
      <c r="B79" s="10151" t="e">
        <f>+IF(A79="","",VLOOKUP(MATCH(A79,tid,0),tao,'12(id)'!$J$20,FALSE))</f>
        <v>#N/A</v>
      </c>
      <c r="C79" s="9008" t="str">
        <f t="shared" si="6"/>
        <v/>
      </c>
      <c r="D79" s="8145" t="str">
        <f t="shared" si="5"/>
        <v>8306-03-03</v>
      </c>
      <c r="E79" s="5952"/>
      <c r="F79" s="5959"/>
      <c r="G79" s="8118" t="str">
        <f>+IF(AND(G78="",A79=""),"",IF(OR(A79=G78,A79=0),G78,IF(VLOOKUP(MATCH(A79,tid,0),tao,'12(id)'!$U$20,FALSE)&gt;1,IF(AND(VLOOKUP(MATCH(A79,tid,0),tao,'12(id)'!$L$20,FALSE)=VLOOKUP(MATCH(G78,tid,0),tao,'12(id)'!$L$20,FALSE),X79&gt;X78),G78,IF(AND(X79="",VLOOKUP(MATCH(A79,tid,0),tao,'12(id)'!$U$20,FALSE)=VLOOKUP(MATCH(G78,tid,0),tao,'12(id)'!$U$20,FALSE)),G78,A79)),A79)))</f>
        <v>8306-03</v>
      </c>
      <c r="H79" s="5952"/>
      <c r="I79" s="4499">
        <f t="shared" si="7"/>
        <v>56</v>
      </c>
      <c r="J79" s="10081"/>
      <c r="K79" s="10084"/>
      <c r="L79" s="10071"/>
      <c r="M79" s="8985"/>
      <c r="N79" s="9001"/>
      <c r="O79" s="10037" t="str">
        <f>+IF(ISERROR(MATCH(M79,tid,0)),"",VLOOKUP(MATCH(M79,tid,0),tao,'12(id)'!$Q$20,FALSE))</f>
        <v/>
      </c>
      <c r="P79" s="10050" t="str">
        <f>+IF(M79="","",VLOOKUP(MATCH(M79,tid,0),tao,'12(id)'!$U$20,FALSE))</f>
        <v/>
      </c>
      <c r="Q79" s="10046"/>
      <c r="R79" s="10039"/>
      <c r="S79" s="10039"/>
      <c r="T79" s="10019"/>
      <c r="U79" s="10030" t="str">
        <f>+IF(ISERROR(MATCH(M79,tid,0)),"",IF(VLOOKUP(MATCH(M79,tid,0),tao,'12(id)'!$HJ$20,FALSE)="","",VLOOKUP(MATCH(M79,tid,0),tao,'12(id)'!$HJ$20,FALSE)))</f>
        <v/>
      </c>
      <c r="V79" s="10019"/>
      <c r="W79" s="8081" t="str">
        <f t="shared" si="2"/>
        <v>8306-03-03</v>
      </c>
      <c r="X79" s="6085">
        <v>3</v>
      </c>
      <c r="Y79" s="6086" t="str">
        <f>+IF(W79="","",IF(VLOOKUP(MATCH(W79,op_id,0),op,'7(op)'!$T$18,FALSE)="","",IF(VLOOKUP(MATCH(W79,op_id,0),op,'7(op)'!$Y$18,FALSE)="Rejected",VLOOKUP(MATCH(W79,op_id,0),op,'7(op)'!$T$18,FALSE)&amp;"-Rejected by Stk - REMOVE OPTION No.",VLOOKUP(MATCH(W79,op_id,0),op,'7(op)'!$T$18,FALSE))))</f>
        <v>Selective Catalytic Reduction (SCR)</v>
      </c>
      <c r="Z79" s="6087">
        <v>0.1</v>
      </c>
      <c r="AA79" s="6088"/>
      <c r="AB79" s="6089">
        <f>+IF(U77="",IF(V77="","",IF(AA79="","",(V77-AA79)/V77)),IF(Z79="","",(U77-Z79)/U77))</f>
        <v>0.6428571428571429</v>
      </c>
      <c r="AC79" s="6087">
        <f>+IF(AG79="",IF(Z79="","",Z79),IF(AH79="lb/MMBtu",AG79,IF($U77="","",IF(AH79="%",(1-AG79/100)*$U77,IF(AH79="ppmvd",IF($V77="","",(AG79/$V77)*$U77),"")))))</f>
        <v>2.7999999999999997E-2</v>
      </c>
      <c r="AD79" s="6088" t="str">
        <f>+IF(AG79="",IF(AA79="","",AA79),IF(AH79="ppmvd",AG79,IF($V77="","",IF(AH79="%",(1-AG79/100)*$V77,IF(AH79="lb/MMBtu",IF($U77="","",(AG79/$U77)*$V77),"")))))</f>
        <v/>
      </c>
      <c r="AE79" s="6089">
        <f>+IF(AG79="",IF(AB79="","",AB79),IF(AH79="%",AG79/100,IF($U77="","",IF(AND(AH79="lb/MMBtu",AC79&gt;0,$U77&gt;0),($U77-AC79)/$U77,IF(AND(AH79="ppmvd",AG79&gt;0,$V77&gt;0),IF($V77="","",($V77-AG79)/$V77),"")))))</f>
        <v>0.9</v>
      </c>
      <c r="AF79" s="5952"/>
      <c r="AG79" s="8120">
        <v>90</v>
      </c>
      <c r="AH79" s="8105" t="s">
        <v>417</v>
      </c>
      <c r="AI79" s="8065" t="str">
        <f t="shared" si="8"/>
        <v/>
      </c>
      <c r="AJ79" s="3687" t="s">
        <v>1911</v>
      </c>
      <c r="AK79" s="5952"/>
      <c r="AL79" s="5959"/>
      <c r="AM79" s="5959"/>
      <c r="AN79" s="5959"/>
      <c r="AO79" s="5959"/>
      <c r="AP79" s="5959"/>
      <c r="AQ79" s="5959"/>
    </row>
    <row r="80" spans="1:43" s="3561" customFormat="1" ht="21" customHeight="1">
      <c r="A80" s="10149">
        <f t="shared" si="4"/>
        <v>0</v>
      </c>
      <c r="B80" s="10151" t="e">
        <f>+IF(A80="","",VLOOKUP(MATCH(A80,tid,0),tao,'12(id)'!$J$20,FALSE))</f>
        <v>#N/A</v>
      </c>
      <c r="C80" s="9008" t="str">
        <f t="shared" si="6"/>
        <v/>
      </c>
      <c r="D80" s="8147" t="str">
        <f t="shared" si="5"/>
        <v/>
      </c>
      <c r="E80" s="5952"/>
      <c r="F80" s="5959"/>
      <c r="G80" s="8127" t="str">
        <f>+IF(AND(G79="",A80=""),"",IF(OR(A80=G79,A80=0),G79,IF(VLOOKUP(MATCH(A80,tid,0),tao,'12(id)'!$U$20,FALSE)&gt;1,IF(AND(VLOOKUP(MATCH(A80,tid,0),tao,'12(id)'!$L$20,FALSE)=VLOOKUP(MATCH(G79,tid,0),tao,'12(id)'!$L$20,FALSE),X80&gt;X79),G79,IF(AND(X80="",VLOOKUP(MATCH(A80,tid,0),tao,'12(id)'!$U$20,FALSE)=VLOOKUP(MATCH(G79,tid,0),tao,'12(id)'!$U$20,FALSE)),G79,A80)),A80)))</f>
        <v>8306-03</v>
      </c>
      <c r="H80" s="5952"/>
      <c r="I80" s="4499">
        <f t="shared" si="7"/>
        <v>57</v>
      </c>
      <c r="J80" s="10081"/>
      <c r="K80" s="10084"/>
      <c r="L80" s="10071"/>
      <c r="M80" s="9130"/>
      <c r="N80" s="9027"/>
      <c r="O80" s="10038" t="str">
        <f>+IF(ISERROR(MATCH(M80,tid,0)),"",VLOOKUP(MATCH(M80,tid,0),tao,'12(id)'!$Q$20,FALSE))</f>
        <v/>
      </c>
      <c r="P80" s="10051" t="str">
        <f>+IF(M80="","",VLOOKUP(MATCH(M80,tid,0),tao,'12(id)'!$U$20,FALSE))</f>
        <v/>
      </c>
      <c r="Q80" s="10046"/>
      <c r="R80" s="10039"/>
      <c r="S80" s="10039"/>
      <c r="T80" s="10019"/>
      <c r="U80" s="10030" t="str">
        <f>+IF(ISERROR(MATCH(M80,tid,0)),"",IF(VLOOKUP(MATCH(M80,tid,0),tao,'12(id)'!$HJ$20,FALSE)="","",VLOOKUP(MATCH(M80,tid,0),tao,'12(id)'!$HJ$20,FALSE)))</f>
        <v/>
      </c>
      <c r="V80" s="10019"/>
      <c r="W80" s="8082" t="str">
        <f t="shared" si="2"/>
        <v/>
      </c>
      <c r="X80" s="3636"/>
      <c r="Y80" s="3637" t="str">
        <f>+IF(W80="","",IF(VLOOKUP(MATCH(W80,op_id,0),op,'7(op)'!$T$18,FALSE)="","",VLOOKUP(MATCH(W80,op_id,0),op,'7(op)'!$T$18,FALSE)))</f>
        <v/>
      </c>
      <c r="Z80" s="3638"/>
      <c r="AA80" s="3639"/>
      <c r="AB80" s="3640"/>
      <c r="AC80" s="3638"/>
      <c r="AD80" s="3639"/>
      <c r="AE80" s="3640"/>
      <c r="AF80" s="5952"/>
      <c r="AG80" s="8148"/>
      <c r="AH80" s="8105"/>
      <c r="AI80" s="8065" t="str">
        <f t="shared" si="8"/>
        <v/>
      </c>
      <c r="AJ80" s="3695"/>
      <c r="AK80" s="5952"/>
      <c r="AL80" s="5959"/>
      <c r="AM80" s="5959"/>
      <c r="AN80" s="5959"/>
      <c r="AO80" s="5959"/>
      <c r="AP80" s="5959"/>
      <c r="AQ80" s="5959"/>
    </row>
    <row r="81" spans="1:43" s="3561" customFormat="1" ht="25.5" customHeight="1">
      <c r="A81" s="10139" t="str">
        <f t="shared" si="4"/>
        <v>8306-04</v>
      </c>
      <c r="B81" s="10151" t="str">
        <f>+IF(A81="","",VLOOKUP(MATCH(A81,tid,0),tao,'12(id)'!$J$20,FALSE))</f>
        <v>NRG</v>
      </c>
      <c r="C81" s="9008" t="str">
        <f t="shared" si="6"/>
        <v>MV5 </v>
      </c>
      <c r="D81" s="8162" t="str">
        <f t="shared" si="5"/>
        <v>8306-04-01</v>
      </c>
      <c r="E81" s="5952"/>
      <c r="F81" s="5959"/>
      <c r="G81" s="8159" t="str">
        <f>+IF(AND(G80="",A81=""),"",IF(OR(A81=G80,A81=0),G80,IF(VLOOKUP(MATCH(A81,tid,0),tao,'12(id)'!$U$20,FALSE)&gt;1,IF(AND(VLOOKUP(MATCH(A81,tid,0),tao,'12(id)'!$L$20,FALSE)=VLOOKUP(MATCH(G80,tid,0),tao,'12(id)'!$L$20,FALSE),X81&gt;X80),G80,IF(AND(X81="",VLOOKUP(MATCH(A81,tid,0),tao,'12(id)'!$U$20,FALSE)=VLOOKUP(MATCH(G80,tid,0),tao,'12(id)'!$U$20,FALSE)),G80,A81)),A81)))</f>
        <v>8306-04</v>
      </c>
      <c r="H81" s="5952"/>
      <c r="I81" s="4499">
        <f t="shared" si="7"/>
        <v>58</v>
      </c>
      <c r="J81" s="10081"/>
      <c r="K81" s="10084"/>
      <c r="L81" s="10071"/>
      <c r="M81" s="10086" t="s">
        <v>296</v>
      </c>
      <c r="N81" s="10087" t="str">
        <f>+IF(M81="","",VLOOKUP(MATCH(M81,tid,0),tao,'12(id)'!$L$20,FALSE))</f>
        <v>Montville</v>
      </c>
      <c r="O81" s="10052" t="str">
        <f>+IF(ISERROR(MATCH(M81,tid,0)),"",VLOOKUP(MATCH(M81,tid,0),tao,'12(id)'!$Q$20,FALSE))</f>
        <v>MV5 </v>
      </c>
      <c r="P81" s="10055">
        <f>+IF(M81="","",VLOOKUP(MATCH(M81,tid,0),tao,'12(id)'!$U$20,FALSE))</f>
        <v>1</v>
      </c>
      <c r="Q81" s="10046">
        <f>+IF(ISERROR(MATCH(M81,tid,0)),"",IF(VLOOKUP(MATCH(M81,tid,0),tao,'12(id)'!$CT$20,FALSE)="","",VLOOKUP(MATCH(M81,tid,0),tao,'12(id)'!$CT$20,FALSE)))</f>
        <v>81</v>
      </c>
      <c r="R81" s="10039" t="str">
        <f>+IF(M81="","",IF(VLOOKUP(MATCH(M81,tid,0),tao,'12(id)'!$T$20,FALSE)="","",VLOOKUP(MATCH(M81,tid,0),tao,'12(id)'!$T$20,FALSE)))</f>
        <v>Utility Boiler</v>
      </c>
      <c r="S81" s="10039" t="str">
        <f>+IF(ISERROR(MATCH(M81,tid,0)),"",IF(VLOOKUP(MATCH(M81,tid,0),tao,'12(id)'!$CO$20,FALSE)="","",VLOOKUP(MATCH(M81,tid,0),tao,'12(id)'!$CO$20,FALSE)))</f>
        <v>Combustion Engineering</v>
      </c>
      <c r="T81" s="10019" t="str">
        <f>+IF(ISERROR(MATCH(M81,tid,0)),"",IF(VLOOKUP(MATCH(M81,tid,0),tao,'12(id)'!$CP$20,FALSE)="","",VLOOKUP(MATCH(M81,tid,0),tao,'12(id)'!$CP$20,FALSE)))</f>
        <v>Tangential fired</v>
      </c>
      <c r="U81" s="10030">
        <f>+IF(ISERROR(MATCH(M81,tid,0)),"",IF(VLOOKUP(MATCH(M81,tid,0),tao,'12(id)'!$HJ$20,FALSE)="","",VLOOKUP(MATCH(M81,tid,0),tao,'12(id)'!$HJ$20,FALSE)))</f>
        <v>0.23</v>
      </c>
      <c r="V81" s="10019"/>
      <c r="W81" s="8087" t="str">
        <f t="shared" si="2"/>
        <v>8306-04-01</v>
      </c>
      <c r="X81" s="3663">
        <v>1</v>
      </c>
      <c r="Y81" s="3664" t="str">
        <f>+IF(W81="","",IF(VLOOKUP(MATCH(W81,op_id,0),op,'7(op)'!$T$18,FALSE)="","",IF(VLOOKUP(MATCH(W81,op_id,0),op,'7(op)'!$Y$18,FALSE)="Rejected",VLOOKUP(MATCH(W81,op_id,0),op,'7(op)'!$T$18,FALSE)&amp;"-Rejected by Stk - REMOVE OPTION No.",VLOOKUP(MATCH(W81,op_id,0),op,'7(op)'!$T$18,FALSE))))</f>
        <v>Close Coupled Over Fire Air (CCOFA)</v>
      </c>
      <c r="Z81" s="3665">
        <v>0.15</v>
      </c>
      <c r="AA81" s="3666"/>
      <c r="AB81" s="3667">
        <f>+IF(U81="",IF(V81="","",IF(AA81="","",(V81-AA81)/V81)),IF(Z81="","",(U81-Z81)/U81))</f>
        <v>0.34782608695652178</v>
      </c>
      <c r="AC81" s="3665">
        <f>+IF(AG81="",IF(Z81="","",Z81),IF(AH81="lb/MMBtu",AG81,IF($U81="","",IF(AH81="%",(1-AG81/100)*$U81,IF(AH81="ppmvd",IF($V81="","",(AG81/$V81)*$U81),"")))))</f>
        <v>0.15</v>
      </c>
      <c r="AD81" s="3666" t="str">
        <f>+IF(AG81="",IF(AA81="","",AA81),IF(AH81="ppmvd",AG81,IF($V81="","",IF(AH81="%",(1-AG81/100)*$V81,IF(AH81="lb/MMBtu",IF(U81="","",(AG81/$U81)*$V81),"")))))</f>
        <v/>
      </c>
      <c r="AE81" s="3667">
        <f>+IF(AG81="",IF(AB81="","",AB81),IF(AH81="%",AG81/100,IF($U81="","",IF(AND(AH81="lb/MMBtu",AC81&gt;0,$U81&gt;0),($U81-AC81)/$U81,IF(AND(AH81="ppmvd",AG81&gt;0,$V81&gt;0),IF($V81="","",($V81-AG81)/$V81),"")))))</f>
        <v>0.34782608695652178</v>
      </c>
      <c r="AF81" s="5952"/>
      <c r="AG81" s="8163"/>
      <c r="AH81" s="8157"/>
      <c r="AI81" s="8065" t="str">
        <f t="shared" si="8"/>
        <v/>
      </c>
      <c r="AJ81" s="3701"/>
      <c r="AK81" s="5952"/>
      <c r="AL81" s="5959"/>
      <c r="AM81" s="5959"/>
      <c r="AN81" s="5959"/>
      <c r="AO81" s="5959"/>
      <c r="AP81" s="5959"/>
      <c r="AQ81" s="5959"/>
    </row>
    <row r="82" spans="1:43" s="3561" customFormat="1" ht="25.5" customHeight="1">
      <c r="A82" s="10140">
        <f t="shared" si="4"/>
        <v>0</v>
      </c>
      <c r="B82" s="10151" t="e">
        <f>+IF(A82="","",VLOOKUP(MATCH(A82,tid,0),tao,'12(id)'!$J$20,FALSE))</f>
        <v>#N/A</v>
      </c>
      <c r="C82" s="9008" t="str">
        <f t="shared" si="6"/>
        <v/>
      </c>
      <c r="D82" s="8162" t="str">
        <f t="shared" si="5"/>
        <v>8306-04-02</v>
      </c>
      <c r="E82" s="5952"/>
      <c r="F82" s="5959"/>
      <c r="G82" s="8118" t="str">
        <f>+IF(AND(G81="",A82=""),"",IF(OR(A82=G81,A82=0),G81,IF(VLOOKUP(MATCH(A82,tid,0),tao,'12(id)'!$U$20,FALSE)&gt;1,IF(AND(VLOOKUP(MATCH(A82,tid,0),tao,'12(id)'!$L$20,FALSE)=VLOOKUP(MATCH(G81,tid,0),tao,'12(id)'!$L$20,FALSE),X82&gt;X81),G81,IF(AND(X82="",VLOOKUP(MATCH(A82,tid,0),tao,'12(id)'!$U$20,FALSE)=VLOOKUP(MATCH(G81,tid,0),tao,'12(id)'!$U$20,FALSE)),G81,A82)),A82)))</f>
        <v>8306-04</v>
      </c>
      <c r="H82" s="5952"/>
      <c r="I82" s="4499">
        <f t="shared" si="7"/>
        <v>59</v>
      </c>
      <c r="J82" s="10081"/>
      <c r="K82" s="10084"/>
      <c r="L82" s="10071"/>
      <c r="M82" s="8985"/>
      <c r="N82" s="9001"/>
      <c r="O82" s="10053" t="str">
        <f>+IF(ISERROR(MATCH(M82,tid,0)),"",VLOOKUP(MATCH(M82,tid,0),tao,'12(id)'!$Q$20,FALSE))</f>
        <v/>
      </c>
      <c r="P82" s="10050" t="str">
        <f>+IF(M82="","",VLOOKUP(MATCH(M82,tid,0),tao,'12(id)'!$U$20,FALSE))</f>
        <v/>
      </c>
      <c r="Q82" s="10046"/>
      <c r="R82" s="10039"/>
      <c r="S82" s="10039"/>
      <c r="T82" s="10019"/>
      <c r="U82" s="10030" t="str">
        <f>+IF(ISERROR(MATCH(M82,tid,0)),"",IF(VLOOKUP(MATCH(M82,tid,0),tao,'12(id)'!$HJ$20,FALSE)="","",VLOOKUP(MATCH(M82,tid,0),tao,'12(id)'!$HJ$20,FALSE)))</f>
        <v/>
      </c>
      <c r="V82" s="10019"/>
      <c r="W82" s="8087" t="str">
        <f t="shared" si="2"/>
        <v>8306-04-02</v>
      </c>
      <c r="X82" s="3663">
        <v>2</v>
      </c>
      <c r="Y82" s="3664" t="str">
        <f>+IF(W82="","",IF(VLOOKUP(MATCH(W82,op_id,0),op,'7(op)'!$T$18,FALSE)="","",IF(VLOOKUP(MATCH(W82,op_id,0),op,'7(op)'!$Y$18,FALSE)="Rejected",VLOOKUP(MATCH(W82,op_id,0),op,'7(op)'!$T$18,FALSE)&amp;"-Rejected by Stk - REMOVE OPTION No.",VLOOKUP(MATCH(W82,op_id,0),op,'7(op)'!$T$18,FALSE))))</f>
        <v>(HERT) High Energy Reagent Technology SNCR</v>
      </c>
      <c r="Z82" s="3665">
        <v>0.15</v>
      </c>
      <c r="AA82" s="3666"/>
      <c r="AB82" s="3667">
        <f>+IF(U81="",IF(V81="","",IF(AA82="","",(V81-AA82)/V81)),IF(Z82="","",(U81-Z82)/U81))</f>
        <v>0.34782608695652178</v>
      </c>
      <c r="AC82" s="3665">
        <f>+IF(AG82="",IF(Z82="","",Z82),IF(AH82="lb/MMBtu",AG82,IF($U81="","",IF(AH82="%",(1-AG82/100)*$U81,IF(AH82="ppmvd",IF($V81="","",(AG82/$V81)*$U81),"")))))</f>
        <v>0.15</v>
      </c>
      <c r="AD82" s="3666" t="str">
        <f>+IF(AG82="",IF(AA82="","",AA82),IF(AH82="ppmvd",AG82,IF($V81="","",IF(AH82="%",(1-AG82/100)*$V81,IF(AH82="lb/MMBtu",IF($U81="","",(AG82/$U81)*$V81),"")))))</f>
        <v/>
      </c>
      <c r="AE82" s="3667">
        <f>+IF(AG82="",IF(AB82="","",AB82),IF(AH82="%",AG82/100,IF($U81="","",IF(AND(AH82="lb/MMBtu",AC82&gt;0,$U81&gt;0),($U81-AC82)/$U81,IF(AND(AH82="ppmvd",AG82&gt;0,$V81&gt;0),IF($V81="","",($V81-AG82)/$V81),"")))))</f>
        <v>0.34782608695652178</v>
      </c>
      <c r="AF82" s="5952"/>
      <c r="AG82" s="8163"/>
      <c r="AH82" s="8157"/>
      <c r="AI82" s="8065" t="str">
        <f t="shared" si="8"/>
        <v/>
      </c>
      <c r="AJ82" s="3701"/>
      <c r="AK82" s="5952"/>
      <c r="AL82" s="5959"/>
      <c r="AM82" s="5959"/>
      <c r="AN82" s="5959"/>
      <c r="AO82" s="5959"/>
      <c r="AP82" s="5959"/>
      <c r="AQ82" s="5959"/>
    </row>
    <row r="83" spans="1:43" s="3561" customFormat="1" ht="25.5" customHeight="1">
      <c r="A83" s="10140">
        <f t="shared" si="4"/>
        <v>0</v>
      </c>
      <c r="B83" s="10151" t="e">
        <f>+IF(A83="","",VLOOKUP(MATCH(A83,tid,0),tao,'12(id)'!$J$20,FALSE))</f>
        <v>#N/A</v>
      </c>
      <c r="C83" s="9008" t="str">
        <f t="shared" si="6"/>
        <v/>
      </c>
      <c r="D83" s="8145" t="str">
        <f t="shared" si="5"/>
        <v>8306-04-03</v>
      </c>
      <c r="E83" s="5952"/>
      <c r="F83" s="5959"/>
      <c r="G83" s="8118" t="str">
        <f>+IF(AND(G82="",A83=""),"",IF(OR(A83=G82,A83=0),G82,IF(VLOOKUP(MATCH(A83,tid,0),tao,'12(id)'!$U$20,FALSE)&gt;1,IF(AND(VLOOKUP(MATCH(A83,tid,0),tao,'12(id)'!$L$20,FALSE)=VLOOKUP(MATCH(G82,tid,0),tao,'12(id)'!$L$20,FALSE),X83&gt;X82),G82,IF(AND(X83="",VLOOKUP(MATCH(A83,tid,0),tao,'12(id)'!$U$20,FALSE)=VLOOKUP(MATCH(G82,tid,0),tao,'12(id)'!$U$20,FALSE)),G82,A83)),A83)))</f>
        <v>8306-04</v>
      </c>
      <c r="H83" s="5952"/>
      <c r="I83" s="4499">
        <f t="shared" si="7"/>
        <v>60</v>
      </c>
      <c r="J83" s="10081"/>
      <c r="K83" s="10084"/>
      <c r="L83" s="10071"/>
      <c r="M83" s="8985"/>
      <c r="N83" s="9001"/>
      <c r="O83" s="10053" t="str">
        <f>+IF(ISERROR(MATCH(M83,tid,0)),"",VLOOKUP(MATCH(M83,tid,0),tao,'12(id)'!$Q$20,FALSE))</f>
        <v/>
      </c>
      <c r="P83" s="10050" t="str">
        <f>+IF(M83="","",VLOOKUP(MATCH(M83,tid,0),tao,'12(id)'!$U$20,FALSE))</f>
        <v/>
      </c>
      <c r="Q83" s="10046"/>
      <c r="R83" s="10039"/>
      <c r="S83" s="10039"/>
      <c r="T83" s="10019"/>
      <c r="U83" s="10030" t="str">
        <f>+IF(ISERROR(MATCH(M83,tid,0)),"",IF(VLOOKUP(MATCH(M83,tid,0),tao,'12(id)'!$HJ$20,FALSE)="","",VLOOKUP(MATCH(M83,tid,0),tao,'12(id)'!$HJ$20,FALSE)))</f>
        <v/>
      </c>
      <c r="V83" s="10019"/>
      <c r="W83" s="8081" t="str">
        <f t="shared" si="2"/>
        <v>8306-04-03</v>
      </c>
      <c r="X83" s="6085">
        <v>3</v>
      </c>
      <c r="Y83" s="6086" t="str">
        <f>+IF(W83="","",IF(VLOOKUP(MATCH(W83,op_id,0),op,'7(op)'!$T$18,FALSE)="","",IF(VLOOKUP(MATCH(W83,op_id,0),op,'7(op)'!$Y$18,FALSE)="Rejected",VLOOKUP(MATCH(W83,op_id,0),op,'7(op)'!$T$18,FALSE)&amp;"-Rejected by Stk - REMOVE OPTION No.",VLOOKUP(MATCH(W83,op_id,0),op,'7(op)'!$T$18,FALSE))))</f>
        <v>Selective Catalytic Reduction (SCR)</v>
      </c>
      <c r="Z83" s="6087">
        <v>0.15</v>
      </c>
      <c r="AA83" s="6088"/>
      <c r="AB83" s="6089">
        <f>+IF(U81="",IF(V81="","",IF(AA83="","",(V81-AA83)/V81)),IF(Z83="","",(U81-Z83)/U81))</f>
        <v>0.34782608695652178</v>
      </c>
      <c r="AC83" s="6087">
        <f>+IF(AG83="",IF(Z83="","",Z83),IF(AH83="lb/MMBtu",AG83,IF($U81="","",IF(AH83="%",(1-AG83/100)*$U81,IF(AH83="ppmvd",IF($V81="","",(AG83/$V81)*$U81),"")))))</f>
        <v>2.2999999999999996E-2</v>
      </c>
      <c r="AD83" s="6088" t="str">
        <f>+IF(AG83="",IF(AA83="","",AA83),IF(AH83="ppmvd",AG83,IF($V81="","",IF(AH83="%",(1-AG83/100)*$V81,IF(AH83="lb/MMBtu",IF($U81="","",(AG83/$U81)*$V81),"")))))</f>
        <v/>
      </c>
      <c r="AE83" s="6089">
        <f>+IF(AG83="",IF(AB83="","",AB83),IF(AH83="%",AG83/100,IF($U81="","",IF(AND(AH83="lb/MMBtu",AC83&gt;0,$U81&gt;0),($U81-AC83)/$U81,IF(AND(AH83="ppmvd",AG83&gt;0,$V81&gt;0),IF($V81="","",($V81-AG83)/$V81),"")))))</f>
        <v>0.9</v>
      </c>
      <c r="AF83" s="5952"/>
      <c r="AG83" s="8120">
        <v>90</v>
      </c>
      <c r="AH83" s="8105" t="s">
        <v>417</v>
      </c>
      <c r="AI83" s="8065" t="str">
        <f t="shared" si="8"/>
        <v/>
      </c>
      <c r="AJ83" s="3687" t="s">
        <v>1911</v>
      </c>
      <c r="AK83" s="5952"/>
      <c r="AL83" s="5959"/>
      <c r="AM83" s="5959"/>
      <c r="AN83" s="5959"/>
      <c r="AO83" s="5959"/>
      <c r="AP83" s="5959"/>
      <c r="AQ83" s="5959"/>
    </row>
    <row r="84" spans="1:43" s="3561" customFormat="1" ht="21" customHeight="1">
      <c r="A84" s="10149">
        <f t="shared" si="4"/>
        <v>0</v>
      </c>
      <c r="B84" s="10151" t="e">
        <f>+IF(A84="","",VLOOKUP(MATCH(A84,tid,0),tao,'12(id)'!$J$20,FALSE))</f>
        <v>#N/A</v>
      </c>
      <c r="C84" s="9008" t="str">
        <f t="shared" si="6"/>
        <v/>
      </c>
      <c r="D84" s="8147" t="str">
        <f t="shared" si="5"/>
        <v/>
      </c>
      <c r="E84" s="5952"/>
      <c r="F84" s="5959"/>
      <c r="G84" s="8118" t="str">
        <f>+IF(AND(G83="",A84=""),"",IF(OR(A84=G83,A84=0),G83,IF(VLOOKUP(MATCH(A84,tid,0),tao,'12(id)'!$U$20,FALSE)&gt;1,IF(AND(VLOOKUP(MATCH(A84,tid,0),tao,'12(id)'!$L$20,FALSE)=VLOOKUP(MATCH(G83,tid,0),tao,'12(id)'!$L$20,FALSE),X84&gt;X83),G83,IF(AND(X84="",VLOOKUP(MATCH(A84,tid,0),tao,'12(id)'!$U$20,FALSE)=VLOOKUP(MATCH(G83,tid,0),tao,'12(id)'!$U$20,FALSE)),G83,A84)),A84)))</f>
        <v>8306-04</v>
      </c>
      <c r="H84" s="5952"/>
      <c r="I84" s="4499">
        <f t="shared" si="7"/>
        <v>61</v>
      </c>
      <c r="J84" s="10081"/>
      <c r="K84" s="10084"/>
      <c r="L84" s="10071"/>
      <c r="M84" s="9130"/>
      <c r="N84" s="9001"/>
      <c r="O84" s="10054" t="str">
        <f>+IF(ISERROR(MATCH(M84,tid,0)),"",VLOOKUP(MATCH(M84,tid,0),tao,'12(id)'!$Q$20,FALSE))</f>
        <v/>
      </c>
      <c r="P84" s="10051" t="str">
        <f>+IF(M84="","",VLOOKUP(MATCH(M84,tid,0),tao,'12(id)'!$U$20,FALSE))</f>
        <v/>
      </c>
      <c r="Q84" s="10046"/>
      <c r="R84" s="10039"/>
      <c r="S84" s="10039"/>
      <c r="T84" s="10019"/>
      <c r="U84" s="10030" t="str">
        <f>+IF(ISERROR(MATCH(M84,tid,0)),"",IF(VLOOKUP(MATCH(M84,tid,0),tao,'12(id)'!$HJ$20,FALSE)="","",VLOOKUP(MATCH(M84,tid,0),tao,'12(id)'!$HJ$20,FALSE)))</f>
        <v/>
      </c>
      <c r="V84" s="10019"/>
      <c r="W84" s="8082" t="str">
        <f t="shared" si="2"/>
        <v/>
      </c>
      <c r="X84" s="3636"/>
      <c r="Y84" s="3637" t="str">
        <f>+IF(W84="","",IF(VLOOKUP(MATCH(W84,op_id,0),op,'7(op)'!$T$18,FALSE)="","",IF(VLOOKUP(MATCH(W84,op_id,0),op,'7(op)'!$Y$18,FALSE)="Rejected",VLOOKUP(MATCH(W84,op_id,0),op,'7(op)'!$T$18,FALSE)&amp;"-Rejected by Stk - REMOVE OPTION No.",VLOOKUP(MATCH(W84,op_id,0),op,'7(op)'!$T$18,FALSE))))</f>
        <v/>
      </c>
      <c r="Z84" s="3638"/>
      <c r="AA84" s="3639"/>
      <c r="AB84" s="3640"/>
      <c r="AC84" s="3638"/>
      <c r="AD84" s="3639"/>
      <c r="AE84" s="3640"/>
      <c r="AF84" s="5952"/>
      <c r="AG84" s="8148"/>
      <c r="AH84" s="8105"/>
      <c r="AI84" s="8065" t="str">
        <f t="shared" si="8"/>
        <v/>
      </c>
      <c r="AJ84" s="3695"/>
      <c r="AK84" s="5952"/>
      <c r="AL84" s="5959"/>
      <c r="AM84" s="5959"/>
      <c r="AN84" s="5959"/>
      <c r="AO84" s="5959"/>
      <c r="AP84" s="5959"/>
      <c r="AQ84" s="5959"/>
    </row>
    <row r="85" spans="1:43" s="3561" customFormat="1" ht="25.5" customHeight="1">
      <c r="A85" s="10139" t="str">
        <f t="shared" si="4"/>
        <v>8306-05</v>
      </c>
      <c r="B85" s="10151" t="str">
        <f>+IF(A85="","",VLOOKUP(MATCH(A85,tid,0),tao,'12(id)'!$J$20,FALSE))</f>
        <v>NRG</v>
      </c>
      <c r="C85" s="9008" t="str">
        <f t="shared" si="6"/>
        <v>MV6 </v>
      </c>
      <c r="D85" s="8162" t="str">
        <f t="shared" si="5"/>
        <v>8306-05-01</v>
      </c>
      <c r="E85" s="5952"/>
      <c r="F85" s="5959"/>
      <c r="G85" s="8159" t="str">
        <f>+IF(AND(G84="",A85=""),"",IF(OR(A85=G84,A85=0),G84,IF(VLOOKUP(MATCH(A85,tid,0),tao,'12(id)'!$U$20,FALSE)&gt;1,IF(AND(VLOOKUP(MATCH(A85,tid,0),tao,'12(id)'!$L$20,FALSE)=VLOOKUP(MATCH(G84,tid,0),tao,'12(id)'!$L$20,FALSE),X85&gt;X84),G84,IF(AND(X85="",VLOOKUP(MATCH(A85,tid,0),tao,'12(id)'!$U$20,FALSE)=VLOOKUP(MATCH(G84,tid,0),tao,'12(id)'!$U$20,FALSE)),G84,A85)),A85)))</f>
        <v>8306-05</v>
      </c>
      <c r="H85" s="5952"/>
      <c r="I85" s="4499">
        <f t="shared" si="7"/>
        <v>62</v>
      </c>
      <c r="J85" s="10081"/>
      <c r="K85" s="10084"/>
      <c r="L85" s="10071"/>
      <c r="M85" s="10086" t="s">
        <v>297</v>
      </c>
      <c r="N85" s="9001"/>
      <c r="O85" s="10052" t="str">
        <f>+IF(ISERROR(MATCH(M85,tid,0)),"",VLOOKUP(MATCH(M85,tid,0),tao,'12(id)'!$Q$20,FALSE))</f>
        <v>MV6 </v>
      </c>
      <c r="P85" s="10055">
        <f>+IF(M85="","",VLOOKUP(MATCH(M85,tid,0),tao,'12(id)'!$U$20,FALSE))</f>
        <v>1</v>
      </c>
      <c r="Q85" s="10046">
        <f>+IF(ISERROR(MATCH(M85,tid,0)),"",IF(VLOOKUP(MATCH(M85,tid,0),tao,'12(id)'!$CT$20,FALSE)="","",VLOOKUP(MATCH(M85,tid,0),tao,'12(id)'!$CT$20,FALSE)))</f>
        <v>402</v>
      </c>
      <c r="R85" s="10039" t="str">
        <f>+IF(M85="","",IF(VLOOKUP(MATCH(M85,tid,0),tao,'12(id)'!$T$20,FALSE)="","",VLOOKUP(MATCH(M85,tid,0),tao,'12(id)'!$T$20,FALSE)))</f>
        <v>Utility Boiler</v>
      </c>
      <c r="S85" s="10039" t="str">
        <f>+IF(ISERROR(MATCH(M85,tid,0)),"",IF(VLOOKUP(MATCH(M85,tid,0),tao,'12(id)'!$CO$20,FALSE)="","",VLOOKUP(MATCH(M85,tid,0),tao,'12(id)'!$CO$20,FALSE)))</f>
        <v>Combustion Engineering</v>
      </c>
      <c r="T85" s="10019" t="str">
        <f>+IF(ISERROR(MATCH(M85,tid,0)),"",IF(VLOOKUP(MATCH(M85,tid,0),tao,'12(id)'!$CP$20,FALSE)="","",VLOOKUP(MATCH(M85,tid,0),tao,'12(id)'!$CP$20,FALSE)))</f>
        <v>Tangential fired</v>
      </c>
      <c r="U85" s="10030">
        <f>+IF(ISERROR(MATCH(M85,tid,0)),"",IF(VLOOKUP(MATCH(M85,tid,0),tao,'12(id)'!$HJ$20,FALSE)="","",VLOOKUP(MATCH(M85,tid,0),tao,'12(id)'!$HJ$20,FALSE)))</f>
        <v>0.27</v>
      </c>
      <c r="V85" s="10019"/>
      <c r="W85" s="8087" t="str">
        <f t="shared" si="2"/>
        <v>8306-05-01</v>
      </c>
      <c r="X85" s="3663">
        <v>1</v>
      </c>
      <c r="Y85" s="3664" t="str">
        <f>+IF(W85="","",IF(VLOOKUP(MATCH(W85,op_id,0),op,'7(op)'!$T$18,FALSE)="","",IF(VLOOKUP(MATCH(W85,op_id,0),op,'7(op)'!$Y$18,FALSE)="Rejected",VLOOKUP(MATCH(W85,op_id,0),op,'7(op)'!$T$18,FALSE)&amp;"-Rejected by Stk - REMOVE OPTION No.",VLOOKUP(MATCH(W85,op_id,0),op,'7(op)'!$T$18,FALSE))))</f>
        <v>Separated Overfired Air / High Energy Reagent Technology (SOFA/HERT)</v>
      </c>
      <c r="Z85" s="3665">
        <v>0.15</v>
      </c>
      <c r="AA85" s="3666"/>
      <c r="AB85" s="3667">
        <f>+IF(U85="",IF(V85="","",IF(AA85="","",(V85-AA85)/V85)),IF(Z85="","",(U85-Z85)/U85))</f>
        <v>0.44444444444444448</v>
      </c>
      <c r="AC85" s="3665">
        <f>+IF(AG85="",IF(Z85="","",Z85),IF(AH85="lb/MMBtu",AG85,IF($U85="","",IF(AH85="%",(1-AG85/100)*$U85,IF(AH85="ppmvd",IF($V85="","",(AG85/$V85)*$U85),"")))))</f>
        <v>0.15</v>
      </c>
      <c r="AD85" s="3666" t="str">
        <f>+IF(AG85="",IF(AA85="","",AA85),IF(AH85="ppmvd",AG85,IF($V85="","",IF(AH85="%",(1-AG85/100)*$V85,IF(AH85="lb/MMBtu",IF(U85="","",(AG85/$U85)*$V85),"")))))</f>
        <v/>
      </c>
      <c r="AE85" s="3667">
        <f>+IF(AG85="",IF(AB85="","",AB85),IF(AH85="%",AG85/100,IF($U85="","",IF(AND(AH85="lb/MMBtu",AC85&gt;0,$U85&gt;0),($U85-AC85)/$U85,IF(AND(AH85="ppmvd",AG85&gt;0,$V85&gt;0),IF($V85="","",($V85-AG85)/$V85),"")))))</f>
        <v>0.44444444444444448</v>
      </c>
      <c r="AF85" s="5952"/>
      <c r="AG85" s="8163"/>
      <c r="AH85" s="8157"/>
      <c r="AI85" s="8065" t="str">
        <f t="shared" si="8"/>
        <v/>
      </c>
      <c r="AJ85" s="3701"/>
      <c r="AK85" s="5952"/>
      <c r="AL85" s="5959"/>
      <c r="AM85" s="5959"/>
      <c r="AN85" s="5959"/>
      <c r="AO85" s="5959"/>
      <c r="AP85" s="5959"/>
      <c r="AQ85" s="5959"/>
    </row>
    <row r="86" spans="1:43" s="3561" customFormat="1" ht="25.5" customHeight="1">
      <c r="A86" s="10140">
        <f t="shared" si="4"/>
        <v>0</v>
      </c>
      <c r="B86" s="10151" t="e">
        <f>+IF(A86="","",VLOOKUP(MATCH(A86,tid,0),tao,'12(id)'!$J$20,FALSE))</f>
        <v>#N/A</v>
      </c>
      <c r="C86" s="9008" t="str">
        <f t="shared" si="6"/>
        <v/>
      </c>
      <c r="D86" s="8145" t="str">
        <f t="shared" si="5"/>
        <v>8306-05-02</v>
      </c>
      <c r="E86" s="5952"/>
      <c r="F86" s="5959"/>
      <c r="G86" s="8118" t="str">
        <f>+IF(AND(G85="",A86=""),"",IF(OR(A86=G85,A86=0),G85,IF(VLOOKUP(MATCH(A86,tid,0),tao,'12(id)'!$U$20,FALSE)&gt;1,IF(AND(VLOOKUP(MATCH(A86,tid,0),tao,'12(id)'!$L$20,FALSE)=VLOOKUP(MATCH(G85,tid,0),tao,'12(id)'!$L$20,FALSE),X86&gt;X85),G85,IF(AND(X86="",VLOOKUP(MATCH(A86,tid,0),tao,'12(id)'!$U$20,FALSE)=VLOOKUP(MATCH(G85,tid,0),tao,'12(id)'!$U$20,FALSE)),G85,A86)),A86)))</f>
        <v>8306-05</v>
      </c>
      <c r="H86" s="5952"/>
      <c r="I86" s="4499">
        <f t="shared" si="7"/>
        <v>63</v>
      </c>
      <c r="J86" s="10081"/>
      <c r="K86" s="10084"/>
      <c r="L86" s="10071"/>
      <c r="M86" s="8985"/>
      <c r="N86" s="9001"/>
      <c r="O86" s="10053" t="str">
        <f>+IF(ISERROR(MATCH(M86,tid,0)),"",VLOOKUP(MATCH(M86,tid,0),tao,'12(id)'!$Q$20,FALSE))</f>
        <v/>
      </c>
      <c r="P86" s="10050" t="str">
        <f>+IF(M86="","",VLOOKUP(MATCH(M86,tid,0),tao,'12(id)'!$U$20,FALSE))</f>
        <v/>
      </c>
      <c r="Q86" s="10046"/>
      <c r="R86" s="10039"/>
      <c r="S86" s="10039"/>
      <c r="T86" s="10019"/>
      <c r="U86" s="10030" t="str">
        <f>+IF(ISERROR(MATCH(M86,tid,0)),"",IF(VLOOKUP(MATCH(M86,tid,0),tao,'12(id)'!$HJ$20,FALSE)="","",VLOOKUP(MATCH(M86,tid,0),tao,'12(id)'!$HJ$20,FALSE)))</f>
        <v/>
      </c>
      <c r="V86" s="10019"/>
      <c r="W86" s="8081" t="str">
        <f t="shared" si="2"/>
        <v>8306-05-02</v>
      </c>
      <c r="X86" s="6085">
        <v>2</v>
      </c>
      <c r="Y86" s="6086" t="str">
        <f>+IF(W86="","",IF(VLOOKUP(MATCH(W86,op_id,0),op,'7(op)'!$T$18,FALSE)="","",IF(VLOOKUP(MATCH(W86,op_id,0),op,'7(op)'!$Y$18,FALSE)="Rejected",VLOOKUP(MATCH(W86,op_id,0),op,'7(op)'!$T$18,FALSE)&amp;"-Rejected by Stk - REMOVE OPTION No.",VLOOKUP(MATCH(W86,op_id,0),op,'7(op)'!$T$18,FALSE))))</f>
        <v>Selective Catalytic Reduction (SCR) with ID fans</v>
      </c>
      <c r="Z86" s="6087">
        <v>0.1</v>
      </c>
      <c r="AA86" s="6088"/>
      <c r="AB86" s="6089">
        <f>+IF(U85="",IF(V85="","",IF(AA86="","",(V85-AA86)/V85)),IF(Z86="","",(U85-Z86)/U85))</f>
        <v>0.62962962962962965</v>
      </c>
      <c r="AC86" s="6087">
        <f>+IF(AG86="",IF(Z86="","",Z86),IF(AH86="lb/MMBtu",AG86,IF($U85="","",IF(AH86="%",(1-AG86/100)*$U85,IF(AH86="ppmvd",IF($V85="","",(AG86/$V85)*$U85),"")))))</f>
        <v>2.6999999999999996E-2</v>
      </c>
      <c r="AD86" s="6088" t="str">
        <f>+IF(AG86="",IF(AA86="","",AA86),IF(AH86="ppmvd",AG86,IF($V85="","",IF(AH86="%",(1-AG86/100)*$V85,IF(AH86="lb/MMBtu",IF($U85="","",(AG86/$U85)*$V85),"")))))</f>
        <v/>
      </c>
      <c r="AE86" s="6089">
        <f>+IF(AG86="",IF(AB86="","",AB86),IF(AH86="%",AG86/100,IF($U85="","",IF(AND(AH86="lb/MMBtu",AC86&gt;0,$U85&gt;0),($U85-AC86)/$U85,IF(AND(AH86="ppmvd",AG86&gt;0,$V85&gt;0),IF($V85="","",($V85-AG86)/$V85),"")))))</f>
        <v>0.9</v>
      </c>
      <c r="AF86" s="5952"/>
      <c r="AG86" s="8120">
        <v>90</v>
      </c>
      <c r="AH86" s="8105" t="s">
        <v>417</v>
      </c>
      <c r="AI86" s="8065" t="str">
        <f t="shared" si="8"/>
        <v/>
      </c>
      <c r="AJ86" s="3687" t="s">
        <v>1911</v>
      </c>
      <c r="AK86" s="5952"/>
      <c r="AL86" s="5959"/>
      <c r="AM86" s="5959"/>
      <c r="AN86" s="5959"/>
      <c r="AO86" s="5959"/>
      <c r="AP86" s="5959"/>
      <c r="AQ86" s="5959"/>
    </row>
    <row r="87" spans="1:43" s="3561" customFormat="1" ht="25.5" customHeight="1">
      <c r="A87" s="10140">
        <f t="shared" si="4"/>
        <v>0</v>
      </c>
      <c r="B87" s="10151" t="e">
        <f>+IF(A87="","",VLOOKUP(MATCH(A87,tid,0),tao,'12(id)'!$J$20,FALSE))</f>
        <v>#N/A</v>
      </c>
      <c r="C87" s="9008" t="str">
        <f t="shared" si="6"/>
        <v/>
      </c>
      <c r="D87" s="8145" t="str">
        <f t="shared" si="5"/>
        <v>8306-05-03</v>
      </c>
      <c r="E87" s="5952"/>
      <c r="F87" s="5959"/>
      <c r="G87" s="8118" t="str">
        <f>+IF(AND(G86="",A87=""),"",IF(OR(A87=G86,A87=0),G86,IF(VLOOKUP(MATCH(A87,tid,0),tao,'12(id)'!$U$20,FALSE)&gt;1,IF(AND(VLOOKUP(MATCH(A87,tid,0),tao,'12(id)'!$L$20,FALSE)=VLOOKUP(MATCH(G86,tid,0),tao,'12(id)'!$L$20,FALSE),X87&gt;X86),G86,IF(AND(X87="",VLOOKUP(MATCH(A87,tid,0),tao,'12(id)'!$U$20,FALSE)=VLOOKUP(MATCH(G86,tid,0),tao,'12(id)'!$U$20,FALSE)),G86,A87)),A87)))</f>
        <v>8306-05</v>
      </c>
      <c r="H87" s="5952"/>
      <c r="I87" s="4499">
        <f t="shared" si="7"/>
        <v>64</v>
      </c>
      <c r="J87" s="10081"/>
      <c r="K87" s="10084"/>
      <c r="L87" s="10071"/>
      <c r="M87" s="8985"/>
      <c r="N87" s="9001"/>
      <c r="O87" s="10053" t="str">
        <f>+IF(ISERROR(MATCH(M87,tid,0)),"",VLOOKUP(MATCH(M87,tid,0),tao,'12(id)'!$Q$20,FALSE))</f>
        <v/>
      </c>
      <c r="P87" s="10050" t="str">
        <f>+IF(M87="","",VLOOKUP(MATCH(M87,tid,0),tao,'12(id)'!$U$20,FALSE))</f>
        <v/>
      </c>
      <c r="Q87" s="10046"/>
      <c r="R87" s="10039"/>
      <c r="S87" s="10039"/>
      <c r="T87" s="10019"/>
      <c r="U87" s="10030" t="str">
        <f>+IF(ISERROR(MATCH(M87,tid,0)),"",IF(VLOOKUP(MATCH(M87,tid,0),tao,'12(id)'!$HJ$20,FALSE)="","",VLOOKUP(MATCH(M87,tid,0),tao,'12(id)'!$HJ$20,FALSE)))</f>
        <v/>
      </c>
      <c r="V87" s="10019"/>
      <c r="W87" s="8081" t="str">
        <f t="shared" si="2"/>
        <v>8306-05-03</v>
      </c>
      <c r="X87" s="6085">
        <v>3</v>
      </c>
      <c r="Y87" s="6094" t="str">
        <f>+IF(W87="","",IF(VLOOKUP(MATCH(W87,op_id,0),op,'7(op)'!$T$18,FALSE)="","",IF(VLOOKUP(MATCH(W87,op_id,0),op,'7(op)'!$Y$18,FALSE)="Rejected",VLOOKUP(MATCH(W87,op_id,0),op,'7(op)'!$T$18,FALSE)&amp;"-Rejected by Stk - REMOVE OPTION No.",VLOOKUP(MATCH(W87,op_id,0),op,'7(op)'!$T$18,FALSE))))</f>
        <v>Selective Catalytic Reduction (SCR)</v>
      </c>
      <c r="Z87" s="6087">
        <v>0.1</v>
      </c>
      <c r="AA87" s="6088"/>
      <c r="AB87" s="6089">
        <f>+IF(U85="",IF(V85="","",IF(AA87="","",(V85-AA87)/V85)),IF(Z87="","",(U85-Z87)/U85))</f>
        <v>0.62962962962962965</v>
      </c>
      <c r="AC87" s="6087">
        <f>+IF(AG87="",IF(Z87="","",Z87),IF(AH87="lb/MMBtu",AG87,IF($U85="","",IF(AH87="%",(1-AG87/100)*$U85,IF(AH87="ppmvd",IF($V85="","",(AG87/$V85)*$U85),"")))))</f>
        <v>2.6999999999999996E-2</v>
      </c>
      <c r="AD87" s="6088" t="str">
        <f>+IF(AG87="",IF(AA87="","",AA87),IF(AH87="ppmvd",AG87,IF($V85="","",IF(AH87="%",(1-AG87/100)*$V85,IF(AH87="lb/MMBtu",IF($U85="","",(AG87/$U85)*$V85),"")))))</f>
        <v/>
      </c>
      <c r="AE87" s="6089">
        <f>+IF(AG87="",IF(AB87="","",AB87),IF(AH87="%",AG87/100,IF($U85="","",IF(AND(AH87="lb/MMBtu",AC87&gt;0,$U85&gt;0),($U85-AC87)/$U85,IF(AND(AH87="ppmvd",AG87&gt;0,$V85&gt;0),IF($V85="","",($V85-AG87)/$V85),"")))))</f>
        <v>0.9</v>
      </c>
      <c r="AF87" s="5952"/>
      <c r="AG87" s="8120">
        <v>90</v>
      </c>
      <c r="AH87" s="8105" t="s">
        <v>417</v>
      </c>
      <c r="AI87" s="8065" t="str">
        <f t="shared" si="8"/>
        <v/>
      </c>
      <c r="AJ87" s="3687" t="s">
        <v>1911</v>
      </c>
      <c r="AK87" s="5952"/>
      <c r="AL87" s="5959"/>
      <c r="AM87" s="5959"/>
      <c r="AN87" s="5959"/>
      <c r="AO87" s="5959"/>
      <c r="AP87" s="5959"/>
      <c r="AQ87" s="5959"/>
    </row>
    <row r="88" spans="1:43" s="3561" customFormat="1" ht="21" customHeight="1">
      <c r="A88" s="10149">
        <f t="shared" si="4"/>
        <v>0</v>
      </c>
      <c r="B88" s="10151" t="e">
        <f>+IF(A88="","",VLOOKUP(MATCH(A88,tid,0),tao,'12(id)'!$J$20,FALSE))</f>
        <v>#N/A</v>
      </c>
      <c r="C88" s="9008" t="str">
        <f t="shared" si="6"/>
        <v/>
      </c>
      <c r="D88" s="8147" t="str">
        <f t="shared" si="5"/>
        <v/>
      </c>
      <c r="E88" s="5952"/>
      <c r="F88" s="5959"/>
      <c r="G88" s="8127" t="str">
        <f>+IF(AND(G87="",A88=""),"",IF(OR(A88=G87,A88=0),G87,IF(VLOOKUP(MATCH(A88,tid,0),tao,'12(id)'!$U$20,FALSE)&gt;1,IF(AND(VLOOKUP(MATCH(A88,tid,0),tao,'12(id)'!$L$20,FALSE)=VLOOKUP(MATCH(G87,tid,0),tao,'12(id)'!$L$20,FALSE),X88&gt;X87),G87,IF(AND(X88="",VLOOKUP(MATCH(A88,tid,0),tao,'12(id)'!$U$20,FALSE)=VLOOKUP(MATCH(G87,tid,0),tao,'12(id)'!$U$20,FALSE)),G87,A88)),A88)))</f>
        <v>8306-05</v>
      </c>
      <c r="H88" s="5952"/>
      <c r="I88" s="4499">
        <f t="shared" si="7"/>
        <v>65</v>
      </c>
      <c r="J88" s="10081"/>
      <c r="K88" s="10084"/>
      <c r="L88" s="10071"/>
      <c r="M88" s="9130"/>
      <c r="N88" s="9027"/>
      <c r="O88" s="10054" t="str">
        <f>+IF(ISERROR(MATCH(M88,tid,0)),"",VLOOKUP(MATCH(M88,tid,0),tao,'12(id)'!$Q$20,FALSE))</f>
        <v/>
      </c>
      <c r="P88" s="10051" t="str">
        <f>+IF(M88="","",VLOOKUP(MATCH(M88,tid,0),tao,'12(id)'!$U$20,FALSE))</f>
        <v/>
      </c>
      <c r="Q88" s="10046"/>
      <c r="R88" s="10039"/>
      <c r="S88" s="10039"/>
      <c r="T88" s="10019"/>
      <c r="U88" s="10030" t="str">
        <f>+IF(ISERROR(MATCH(M88,tid,0)),"",IF(VLOOKUP(MATCH(M88,tid,0),tao,'12(id)'!$HJ$20,FALSE)="","",VLOOKUP(MATCH(M88,tid,0),tao,'12(id)'!$HJ$20,FALSE)))</f>
        <v/>
      </c>
      <c r="V88" s="10019"/>
      <c r="W88" s="8082" t="str">
        <f t="shared" ref="W88:W103" si="19">+IF(OR(G88="",X88=""),"",G88&amp;IF(X88&lt;10,"-0"&amp;X88,"-"&amp;X88))</f>
        <v/>
      </c>
      <c r="X88" s="3636"/>
      <c r="Y88" s="3637" t="str">
        <f>+IF(W88="","",IF(VLOOKUP(MATCH(W88,op_id,0),op,'7(op)'!$T$18,FALSE)="","",IF(VLOOKUP(MATCH(W88,op_id,0),op,'7(op)'!$Y$18,FALSE)="Rejected",VLOOKUP(MATCH(W88,op_id,0),op,'7(op)'!$T$18,FALSE)&amp;"-Rejected by Stk - REMOVE OPTION No.",VLOOKUP(MATCH(W88,op_id,0),op,'7(op)'!$T$18,FALSE))))</f>
        <v/>
      </c>
      <c r="Z88" s="3638"/>
      <c r="AA88" s="3639"/>
      <c r="AB88" s="3640"/>
      <c r="AC88" s="3638"/>
      <c r="AD88" s="3639"/>
      <c r="AE88" s="3640"/>
      <c r="AF88" s="5952"/>
      <c r="AG88" s="8148"/>
      <c r="AH88" s="8105"/>
      <c r="AI88" s="8065" t="str">
        <f t="shared" si="8"/>
        <v/>
      </c>
      <c r="AJ88" s="3695"/>
      <c r="AK88" s="5952"/>
      <c r="AL88" s="5959"/>
      <c r="AM88" s="5959"/>
      <c r="AN88" s="5959"/>
      <c r="AO88" s="5959"/>
      <c r="AP88" s="5959"/>
      <c r="AQ88" s="5959"/>
    </row>
    <row r="89" spans="1:43" s="3561" customFormat="1" ht="25.5" customHeight="1">
      <c r="A89" s="10139" t="str">
        <f t="shared" ref="A89:A103" si="20">+M89</f>
        <v>8306-06</v>
      </c>
      <c r="B89" s="10151" t="str">
        <f>+IF(A89="","",VLOOKUP(MATCH(A89,tid,0),tao,'12(id)'!$J$20,FALSE))</f>
        <v>NRG</v>
      </c>
      <c r="C89" s="9008" t="str">
        <f t="shared" si="6"/>
        <v>NH1 </v>
      </c>
      <c r="D89" s="8162" t="str">
        <f t="shared" ref="D89:D103" si="21">+W89</f>
        <v>8306-06-01</v>
      </c>
      <c r="E89" s="5952"/>
      <c r="F89" s="5959"/>
      <c r="G89" s="8159" t="str">
        <f>+IF(AND(G88="",A89=""),"",IF(OR(A89=G88,A89=0),G88,IF(VLOOKUP(MATCH(A89,tid,0),tao,'12(id)'!$U$20,FALSE)&gt;1,IF(AND(VLOOKUP(MATCH(A89,tid,0),tao,'12(id)'!$L$20,FALSE)=VLOOKUP(MATCH(G88,tid,0),tao,'12(id)'!$L$20,FALSE),X89&gt;X88),G88,IF(AND(X89="",VLOOKUP(MATCH(A89,tid,0),tao,'12(id)'!$U$20,FALSE)=VLOOKUP(MATCH(G88,tid,0),tao,'12(id)'!$U$20,FALSE)),G88,A89)),A89)))</f>
        <v>8306-06</v>
      </c>
      <c r="H89" s="5952"/>
      <c r="I89" s="4499">
        <f t="shared" si="7"/>
        <v>66</v>
      </c>
      <c r="J89" s="10081"/>
      <c r="K89" s="10084"/>
      <c r="L89" s="10071"/>
      <c r="M89" s="10086" t="s">
        <v>298</v>
      </c>
      <c r="N89" s="10087" t="str">
        <f>+IF(M89="","",VLOOKUP(MATCH(M89,tid,0),tao,'12(id)'!$L$20,FALSE))</f>
        <v>Norwalk Harbor Station</v>
      </c>
      <c r="O89" s="10052" t="str">
        <f>+IF(ISERROR(MATCH(M89,tid,0)),"",VLOOKUP(MATCH(M89,tid,0),tao,'12(id)'!$Q$20,FALSE))</f>
        <v>NH1 </v>
      </c>
      <c r="P89" s="10055">
        <f>+IF(M89="","",VLOOKUP(MATCH(M89,tid,0),tao,'12(id)'!$U$20,FALSE))</f>
        <v>1</v>
      </c>
      <c r="Q89" s="10046">
        <f>+IF(ISERROR(MATCH(M89,tid,0)),"",IF(VLOOKUP(MATCH(M89,tid,0),tao,'12(id)'!$CT$20,FALSE)="","",VLOOKUP(MATCH(M89,tid,0),tao,'12(id)'!$CT$20,FALSE)))</f>
        <v>164</v>
      </c>
      <c r="R89" s="10039" t="str">
        <f>+IF(M89="","",IF(VLOOKUP(MATCH(M89,tid,0),tao,'12(id)'!$T$20,FALSE)="","",VLOOKUP(MATCH(M89,tid,0),tao,'12(id)'!$T$20,FALSE)))</f>
        <v>Utility Boiler</v>
      </c>
      <c r="S89" s="10039" t="str">
        <f>+IF(ISERROR(MATCH(M89,tid,0)),"",IF(VLOOKUP(MATCH(M89,tid,0),tao,'12(id)'!$CO$20,FALSE)="","",VLOOKUP(MATCH(M89,tid,0),tao,'12(id)'!$CO$20,FALSE)))</f>
        <v>Combustion Engineering</v>
      </c>
      <c r="T89" s="10019" t="str">
        <f>+IF(ISERROR(MATCH(M89,tid,0)),"",IF(VLOOKUP(MATCH(M89,tid,0),tao,'12(id)'!$CP$20,FALSE)="","",VLOOKUP(MATCH(M89,tid,0),tao,'12(id)'!$CP$20,FALSE)))</f>
        <v>Tangential fired</v>
      </c>
      <c r="U89" s="10030">
        <f>+IF(ISERROR(MATCH(M89,tid,0)),"",IF(VLOOKUP(MATCH(M89,tid,0),tao,'12(id)'!$HJ$20,FALSE)="","",VLOOKUP(MATCH(M89,tid,0),tao,'12(id)'!$HJ$20,FALSE)))</f>
        <v>0.21</v>
      </c>
      <c r="V89" s="10019"/>
      <c r="W89" s="8087" t="str">
        <f t="shared" si="19"/>
        <v>8306-06-01</v>
      </c>
      <c r="X89" s="3663">
        <v>1</v>
      </c>
      <c r="Y89" s="3664" t="str">
        <f>+IF(W89="","",IF(VLOOKUP(MATCH(W89,op_id,0),op,'7(op)'!$T$18,FALSE)="","",IF(VLOOKUP(MATCH(W89,op_id,0),op,'7(op)'!$Y$18,FALSE)="Rejected",VLOOKUP(MATCH(W89,op_id,0),op,'7(op)'!$T$18,FALSE)&amp;"-Rejected by Stk - REMOVE OPTION No.",VLOOKUP(MATCH(W89,op_id,0),op,'7(op)'!$T$18,FALSE))))</f>
        <v>Separated Overfired Air / High Energy Reagent Technology (SOFA/HERT)</v>
      </c>
      <c r="Z89" s="3665">
        <v>0.15</v>
      </c>
      <c r="AA89" s="3666"/>
      <c r="AB89" s="3667">
        <f>+IF(U89="",IF(V89="","",IF(AA89="","",(V89-AA89)/V89)),IF(Z89="","",(U89-Z89)/U89))</f>
        <v>0.2857142857142857</v>
      </c>
      <c r="AC89" s="3665">
        <f>+IF(AG89="",IF(Z89="","",Z89),IF(AH89="lb/MMBtu",AG89,IF($U89="","",IF(AH89="%",(1-AG89/100)*$U89,IF(AH89="ppmvd",IF($V89="","",(AG89/$V89)*$U89),"")))))</f>
        <v>0.15</v>
      </c>
      <c r="AD89" s="3666" t="str">
        <f>+IF(AG89="",IF(AA89="","",AA89),IF(AH89="ppmvd",AG89,IF($V89="","",IF(AH89="%",(1-AG89/100)*$V89,IF(AH89="lb/MMBtu",IF(U89="","",(AG89/$U89)*$V89),"")))))</f>
        <v/>
      </c>
      <c r="AE89" s="3667">
        <f>+IF(AG89="",IF(AB89="","",AB89),IF(AH89="%",AG89/100,IF($U89="","",IF(AND(AH89="lb/MMBtu",AC89&gt;0,$U89&gt;0),($U89-AC89)/$U89,IF(AND(AH89="ppmvd",AG89&gt;0,$V89&gt;0),IF($V89="","",($V89-AG89)/$V89),"")))))</f>
        <v>0.2857142857142857</v>
      </c>
      <c r="AF89" s="5952"/>
      <c r="AG89" s="8163"/>
      <c r="AH89" s="8157"/>
      <c r="AI89" s="8065" t="str">
        <f t="shared" si="8"/>
        <v/>
      </c>
      <c r="AJ89" s="3701"/>
      <c r="AK89" s="5952"/>
      <c r="AL89" s="5959"/>
      <c r="AM89" s="5959"/>
      <c r="AN89" s="5959"/>
      <c r="AO89" s="5959"/>
      <c r="AP89" s="5959"/>
      <c r="AQ89" s="5959"/>
    </row>
    <row r="90" spans="1:43" s="3561" customFormat="1" ht="25.5" customHeight="1">
      <c r="A90" s="10140">
        <f t="shared" si="20"/>
        <v>0</v>
      </c>
      <c r="B90" s="10151" t="e">
        <f>+IF(A90="","",VLOOKUP(MATCH(A90,tid,0),tao,'12(id)'!$J$20,FALSE))</f>
        <v>#N/A</v>
      </c>
      <c r="C90" s="9008" t="str">
        <f t="shared" ref="C90:C103" si="22">+O90</f>
        <v/>
      </c>
      <c r="D90" s="8145" t="str">
        <f t="shared" si="21"/>
        <v>8306-06-02</v>
      </c>
      <c r="E90" s="5952"/>
      <c r="F90" s="5959"/>
      <c r="G90" s="8118" t="str">
        <f>+IF(AND(G89="",A90=""),"",IF(OR(A90=G89,A90=0),G89,IF(VLOOKUP(MATCH(A90,tid,0),tao,'12(id)'!$U$20,FALSE)&gt;1,IF(AND(VLOOKUP(MATCH(A90,tid,0),tao,'12(id)'!$L$20,FALSE)=VLOOKUP(MATCH(G89,tid,0),tao,'12(id)'!$L$20,FALSE),X90&gt;X89),G89,IF(AND(X90="",VLOOKUP(MATCH(A90,tid,0),tao,'12(id)'!$U$20,FALSE)=VLOOKUP(MATCH(G89,tid,0),tao,'12(id)'!$U$20,FALSE)),G89,A90)),A90)))</f>
        <v>8306-06</v>
      </c>
      <c r="H90" s="5952"/>
      <c r="I90" s="4499">
        <f t="shared" ref="I90:I103" si="23">1+I89</f>
        <v>67</v>
      </c>
      <c r="J90" s="10081"/>
      <c r="K90" s="10084"/>
      <c r="L90" s="10071"/>
      <c r="M90" s="8985"/>
      <c r="N90" s="9001"/>
      <c r="O90" s="10053" t="str">
        <f>+IF(ISERROR(MATCH(M90,tid,0)),"",VLOOKUP(MATCH(M90,tid,0),tao,'12(id)'!$Q$20,FALSE))</f>
        <v/>
      </c>
      <c r="P90" s="10050" t="str">
        <f>+IF(M90="","",VLOOKUP(MATCH(M90,tid,0),tao,'12(id)'!$U$20,FALSE))</f>
        <v/>
      </c>
      <c r="Q90" s="10046"/>
      <c r="R90" s="10039"/>
      <c r="S90" s="10039"/>
      <c r="T90" s="10019"/>
      <c r="U90" s="10030" t="str">
        <f>+IF(ISERROR(MATCH(M90,tid,0)),"",IF(VLOOKUP(MATCH(M90,tid,0),tao,'12(id)'!$HJ$20,FALSE)="","",VLOOKUP(MATCH(M90,tid,0),tao,'12(id)'!$HJ$20,FALSE)))</f>
        <v/>
      </c>
      <c r="V90" s="10019"/>
      <c r="W90" s="8081" t="str">
        <f t="shared" si="19"/>
        <v>8306-06-02</v>
      </c>
      <c r="X90" s="6085">
        <v>2</v>
      </c>
      <c r="Y90" s="6086" t="str">
        <f>+IF(W90="","",IF(VLOOKUP(MATCH(W90,op_id,0),op,'7(op)'!$T$18,FALSE)="","",IF(VLOOKUP(MATCH(W90,op_id,0),op,'7(op)'!$Y$18,FALSE)="Rejected",VLOOKUP(MATCH(W90,op_id,0),op,'7(op)'!$T$18,FALSE)&amp;"-Rejected by Stk - REMOVE OPTION No.",VLOOKUP(MATCH(W90,op_id,0),op,'7(op)'!$T$18,FALSE))))</f>
        <v>Selective Catalytic Reduction (SCR) with ID fans</v>
      </c>
      <c r="Z90" s="6087">
        <v>0.1</v>
      </c>
      <c r="AA90" s="6088"/>
      <c r="AB90" s="6089">
        <f>+IF(U89="",IF(V89="","",IF(AA90="","",(V89-AA90)/V89)),IF(Z90="","",(U89-Z90)/U89))</f>
        <v>0.52380952380952372</v>
      </c>
      <c r="AC90" s="6087">
        <f>+IF(AG90="",IF(Z90="","",Z90),IF(AH90="lb/MMBtu",AG90,IF($U89="","",IF(AH90="%",(1-AG90/100)*$U89,IF(AH90="ppmvd",IF($V89="","",(AG90/$V89)*$U89),"")))))</f>
        <v>2.0999999999999994E-2</v>
      </c>
      <c r="AD90" s="6088" t="str">
        <f>+IF(AG90="",IF(AA90="","",AA90),IF(AH90="ppmvd",AG90,IF($V89="","",IF(AH90="%",(1-AG90/100)*$V89,IF(AH90="lb/MMBtu",IF($U89="","",(AG90/$U89)*$V89),"")))))</f>
        <v/>
      </c>
      <c r="AE90" s="6089">
        <f>+IF(AG90="",IF(AB90="","",AB90),IF(AH90="%",AG90/100,IF($U89="","",IF(AND(AH90="lb/MMBtu",AC90&gt;0,$U89&gt;0),($U89-AC90)/$U89,IF(AND(AH90="ppmvd",AG90&gt;0,$V89&gt;0),IF($V89="","",($V89-AG90)/$V89),"")))))</f>
        <v>0.9</v>
      </c>
      <c r="AF90" s="5952"/>
      <c r="AG90" s="8120">
        <v>90</v>
      </c>
      <c r="AH90" s="8105" t="s">
        <v>417</v>
      </c>
      <c r="AI90" s="8065" t="str">
        <f t="shared" ref="AI90:AI103" si="24">+IF(AND(AG90&gt;0,ISBLANK(AH90)),"▬► Select unit",IF(AND(AH90&gt;0,ISBLANK(AG90)),"▬► Enter value",""))</f>
        <v/>
      </c>
      <c r="AJ90" s="3687" t="s">
        <v>1911</v>
      </c>
      <c r="AK90" s="5952"/>
      <c r="AL90" s="5959"/>
      <c r="AM90" s="5959"/>
      <c r="AN90" s="5959"/>
      <c r="AO90" s="5959"/>
      <c r="AP90" s="5959"/>
      <c r="AQ90" s="5959"/>
    </row>
    <row r="91" spans="1:43" s="3561" customFormat="1" ht="21" customHeight="1">
      <c r="A91" s="10149">
        <f t="shared" si="20"/>
        <v>0</v>
      </c>
      <c r="B91" s="10151" t="e">
        <f>+IF(A91="","",VLOOKUP(MATCH(A91,tid,0),tao,'12(id)'!$J$20,FALSE))</f>
        <v>#N/A</v>
      </c>
      <c r="C91" s="9008" t="str">
        <f t="shared" si="22"/>
        <v/>
      </c>
      <c r="D91" s="8147" t="str">
        <f t="shared" si="21"/>
        <v/>
      </c>
      <c r="E91" s="5952"/>
      <c r="F91" s="5959"/>
      <c r="G91" s="8127" t="str">
        <f>+IF(AND(G90="",A91=""),"",IF(OR(A91=G90,A91=0),G90,IF(VLOOKUP(MATCH(A91,tid,0),tao,'12(id)'!$U$20,FALSE)&gt;1,IF(AND(VLOOKUP(MATCH(A91,tid,0),tao,'12(id)'!$L$20,FALSE)=VLOOKUP(MATCH(G90,tid,0),tao,'12(id)'!$L$20,FALSE),X91&gt;X90),G90,IF(AND(X91="",VLOOKUP(MATCH(A91,tid,0),tao,'12(id)'!$U$20,FALSE)=VLOOKUP(MATCH(G90,tid,0),tao,'12(id)'!$U$20,FALSE)),G90,A91)),A91)))</f>
        <v>8306-06</v>
      </c>
      <c r="H91" s="5952"/>
      <c r="I91" s="4499">
        <f t="shared" si="23"/>
        <v>68</v>
      </c>
      <c r="J91" s="10081"/>
      <c r="K91" s="10084"/>
      <c r="L91" s="10071"/>
      <c r="M91" s="9130"/>
      <c r="N91" s="9001"/>
      <c r="O91" s="10054" t="str">
        <f>+IF(ISERROR(MATCH(M91,tid,0)),"",VLOOKUP(MATCH(M91,tid,0),tao,'12(id)'!$Q$20,FALSE))</f>
        <v/>
      </c>
      <c r="P91" s="10051" t="str">
        <f>+IF(M91="","",VLOOKUP(MATCH(M91,tid,0),tao,'12(id)'!$U$20,FALSE))</f>
        <v/>
      </c>
      <c r="Q91" s="10046"/>
      <c r="R91" s="10039"/>
      <c r="S91" s="10039"/>
      <c r="T91" s="10019"/>
      <c r="U91" s="10030" t="str">
        <f>+IF(ISERROR(MATCH(M91,tid,0)),"",IF(VLOOKUP(MATCH(M91,tid,0),tao,'12(id)'!$HJ$20,FALSE)="","",VLOOKUP(MATCH(M91,tid,0),tao,'12(id)'!$HJ$20,FALSE)))</f>
        <v/>
      </c>
      <c r="V91" s="10019"/>
      <c r="W91" s="8082" t="str">
        <f t="shared" si="19"/>
        <v/>
      </c>
      <c r="X91" s="3636"/>
      <c r="Y91" s="3637" t="str">
        <f>+IF(W91="","",IF(VLOOKUP(MATCH(W91,op_id,0),op,'7(op)'!$T$18,FALSE)="","",VLOOKUP(MATCH(W91,op_id,0),op,'7(op)'!$T$18,FALSE)))</f>
        <v/>
      </c>
      <c r="Z91" s="3638"/>
      <c r="AA91" s="3639"/>
      <c r="AB91" s="3640"/>
      <c r="AC91" s="3638"/>
      <c r="AD91" s="3639"/>
      <c r="AE91" s="3640"/>
      <c r="AF91" s="5952"/>
      <c r="AG91" s="8148"/>
      <c r="AH91" s="8105"/>
      <c r="AI91" s="8065" t="str">
        <f t="shared" si="24"/>
        <v/>
      </c>
      <c r="AJ91" s="3695"/>
      <c r="AK91" s="5952"/>
      <c r="AL91" s="5959"/>
      <c r="AM91" s="5959"/>
      <c r="AN91" s="5959"/>
      <c r="AO91" s="5959"/>
      <c r="AP91" s="5959"/>
      <c r="AQ91" s="5959"/>
    </row>
    <row r="92" spans="1:43" s="3561" customFormat="1" ht="25.5" customHeight="1">
      <c r="A92" s="10139" t="str">
        <f t="shared" si="20"/>
        <v>8306-07</v>
      </c>
      <c r="B92" s="10151" t="str">
        <f>+IF(A92="","",VLOOKUP(MATCH(A92,tid,0),tao,'12(id)'!$J$20,FALSE))</f>
        <v>NRG</v>
      </c>
      <c r="C92" s="9008" t="str">
        <f t="shared" si="22"/>
        <v>NH2 </v>
      </c>
      <c r="D92" s="8162" t="str">
        <f t="shared" si="21"/>
        <v>8306-07-01</v>
      </c>
      <c r="E92" s="5952"/>
      <c r="F92" s="5959"/>
      <c r="G92" s="8159" t="str">
        <f>+IF(AND(G91="",A92=""),"",IF(OR(A92=G91,A92=0),G91,IF(VLOOKUP(MATCH(A92,tid,0),tao,'12(id)'!$U$20,FALSE)&gt;1,IF(AND(VLOOKUP(MATCH(A92,tid,0),tao,'12(id)'!$L$20,FALSE)=VLOOKUP(MATCH(G91,tid,0),tao,'12(id)'!$L$20,FALSE),X92&gt;X91),G91,IF(AND(X92="",VLOOKUP(MATCH(A92,tid,0),tao,'12(id)'!$U$20,FALSE)=VLOOKUP(MATCH(G91,tid,0),tao,'12(id)'!$U$20,FALSE)),G91,A92)),A92)))</f>
        <v>8306-07</v>
      </c>
      <c r="H92" s="5952"/>
      <c r="I92" s="4499">
        <f t="shared" si="23"/>
        <v>69</v>
      </c>
      <c r="J92" s="10081"/>
      <c r="K92" s="10084"/>
      <c r="L92" s="10071"/>
      <c r="M92" s="10086" t="s">
        <v>299</v>
      </c>
      <c r="N92" s="9001"/>
      <c r="O92" s="10052" t="str">
        <f>+IF(ISERROR(MATCH(M92,tid,0)),"",VLOOKUP(MATCH(M92,tid,0),tao,'12(id)'!$Q$20,FALSE))</f>
        <v>NH2 </v>
      </c>
      <c r="P92" s="10055">
        <f>+IF(M92="","",VLOOKUP(MATCH(M92,tid,0),tao,'12(id)'!$U$20,FALSE))</f>
        <v>1</v>
      </c>
      <c r="Q92" s="10046">
        <f>+IF(ISERROR(MATCH(M92,tid,0)),"",IF(VLOOKUP(MATCH(M92,tid,0),tao,'12(id)'!$CT$20,FALSE)="","",VLOOKUP(MATCH(M92,tid,0),tao,'12(id)'!$CT$20,FALSE)))</f>
        <v>172</v>
      </c>
      <c r="R92" s="10039" t="str">
        <f>+IF(M92="","",IF(VLOOKUP(MATCH(M92,tid,0),tao,'12(id)'!$T$20,FALSE)="","",VLOOKUP(MATCH(M92,tid,0),tao,'12(id)'!$T$20,FALSE)))</f>
        <v>Utility Boiler</v>
      </c>
      <c r="S92" s="10039" t="str">
        <f>+IF(ISERROR(MATCH(M92,tid,0)),"",IF(VLOOKUP(MATCH(M92,tid,0),tao,'12(id)'!$CO$20,FALSE)="","",VLOOKUP(MATCH(M92,tid,0),tao,'12(id)'!$CO$20,FALSE)))</f>
        <v>Combustion Engineering</v>
      </c>
      <c r="T92" s="10019" t="str">
        <f>+IF(ISERROR(MATCH(M92,tid,0)),"",IF(VLOOKUP(MATCH(M92,tid,0),tao,'12(id)'!$CP$20,FALSE)="","",VLOOKUP(MATCH(M92,tid,0),tao,'12(id)'!$CP$20,FALSE)))</f>
        <v>Tangential fired</v>
      </c>
      <c r="U92" s="10030">
        <f>+IF(ISERROR(MATCH(M92,tid,0)),"",IF(VLOOKUP(MATCH(M92,tid,0),tao,'12(id)'!$HJ$20,FALSE)="","",VLOOKUP(MATCH(M92,tid,0),tao,'12(id)'!$HJ$20,FALSE)))</f>
        <v>0.21</v>
      </c>
      <c r="V92" s="10019"/>
      <c r="W92" s="8087" t="str">
        <f t="shared" si="19"/>
        <v>8306-07-01</v>
      </c>
      <c r="X92" s="3663">
        <v>1</v>
      </c>
      <c r="Y92" s="3664" t="str">
        <f>+IF(W92="","",IF(VLOOKUP(MATCH(W92,op_id,0),op,'7(op)'!$T$18,FALSE)="","",IF(VLOOKUP(MATCH(W92,op_id,0),op,'7(op)'!$Y$18,FALSE)="Rejected",VLOOKUP(MATCH(W92,op_id,0),op,'7(op)'!$T$18,FALSE)&amp;"-Rejected by Stk - REMOVE OPTION No.",VLOOKUP(MATCH(W92,op_id,0),op,'7(op)'!$T$18,FALSE))))</f>
        <v>Separated Overfired Air / High Energy Reagent Technology (SOFA/HERT)</v>
      </c>
      <c r="Z92" s="3665">
        <v>0.15</v>
      </c>
      <c r="AA92" s="3666"/>
      <c r="AB92" s="3667">
        <f>+IF(U92="",IF(V92="","",IF(AA92="","",(V92-AA92)/V92)),IF(Z92="","",(U92-Z92)/U92))</f>
        <v>0.2857142857142857</v>
      </c>
      <c r="AC92" s="3665">
        <f>+IF(AG92="",IF(Z92="","",Z92),IF(AH92="lb/MMBtu",AG92,IF($U92="","",IF(AH92="%",(1-AG92/100)*$U92,IF(AH92="ppmvd",IF($V92="","",(AG92/$V92)*$U92),"")))))</f>
        <v>0.11550000000000001</v>
      </c>
      <c r="AD92" s="3666" t="str">
        <f>+IF(AG92="",IF(AA92="","",AA92),IF(AH92="ppmvd",AG92,IF($V92="","",IF(AH92="%",(1-AG92/100)*$V92,IF(AH92="lb/MMBtu",IF(U92="","",(AG92/$U92)*$V92),"")))))</f>
        <v/>
      </c>
      <c r="AE92" s="3667">
        <f>+IF(AG92="",IF(AB92="","",AB92),IF(AH92="%",AG92/100,IF($U92="","",IF(AND(AH92="lb/MMBtu",AC92&gt;0,$U92&gt;0),($U92-AC92)/$U92,IF(AND(AH92="ppmvd",AG92&gt;0,$V92&gt;0),IF($V92="","",($V92-AG92)/$V92),"")))))</f>
        <v>0.45</v>
      </c>
      <c r="AF92" s="5952"/>
      <c r="AG92" s="8163">
        <v>45</v>
      </c>
      <c r="AH92" s="8157" t="s">
        <v>417</v>
      </c>
      <c r="AI92" s="8065" t="str">
        <f t="shared" si="24"/>
        <v/>
      </c>
      <c r="AJ92" s="3701" t="s">
        <v>1913</v>
      </c>
      <c r="AK92" s="5952"/>
      <c r="AL92" s="5959"/>
      <c r="AM92" s="5959"/>
      <c r="AN92" s="5959"/>
      <c r="AO92" s="5959"/>
      <c r="AP92" s="5959"/>
      <c r="AQ92" s="5959"/>
    </row>
    <row r="93" spans="1:43" s="3561" customFormat="1" ht="25.5" customHeight="1">
      <c r="A93" s="10140">
        <f t="shared" si="20"/>
        <v>0</v>
      </c>
      <c r="B93" s="10151" t="e">
        <f>+IF(A93="","",VLOOKUP(MATCH(A93,tid,0),tao,'12(id)'!$J$20,FALSE))</f>
        <v>#N/A</v>
      </c>
      <c r="C93" s="9008" t="str">
        <f t="shared" si="22"/>
        <v/>
      </c>
      <c r="D93" s="8145" t="str">
        <f t="shared" si="21"/>
        <v>8306-07-02</v>
      </c>
      <c r="E93" s="5952"/>
      <c r="F93" s="5959"/>
      <c r="G93" s="8118" t="str">
        <f>+IF(AND(G92="",A93=""),"",IF(OR(A93=G92,A93=0),G92,IF(VLOOKUP(MATCH(A93,tid,0),tao,'12(id)'!$U$20,FALSE)&gt;1,IF(AND(VLOOKUP(MATCH(A93,tid,0),tao,'12(id)'!$L$20,FALSE)=VLOOKUP(MATCH(G92,tid,0),tao,'12(id)'!$L$20,FALSE),X93&gt;X92),G92,IF(AND(X93="",VLOOKUP(MATCH(A93,tid,0),tao,'12(id)'!$U$20,FALSE)=VLOOKUP(MATCH(G92,tid,0),tao,'12(id)'!$U$20,FALSE)),G92,A93)),A93)))</f>
        <v>8306-07</v>
      </c>
      <c r="H93" s="5952"/>
      <c r="I93" s="4499">
        <f t="shared" si="23"/>
        <v>70</v>
      </c>
      <c r="J93" s="10081"/>
      <c r="K93" s="10084"/>
      <c r="L93" s="10071"/>
      <c r="M93" s="8985"/>
      <c r="N93" s="9001"/>
      <c r="O93" s="10053" t="str">
        <f>+IF(ISERROR(MATCH(M93,tid,0)),"",VLOOKUP(MATCH(M93,tid,0),tao,'12(id)'!$Q$20,FALSE))</f>
        <v/>
      </c>
      <c r="P93" s="10050" t="str">
        <f>+IF(M93="","",VLOOKUP(MATCH(M93,tid,0),tao,'12(id)'!$U$20,FALSE))</f>
        <v/>
      </c>
      <c r="Q93" s="10046"/>
      <c r="R93" s="10039"/>
      <c r="S93" s="10039"/>
      <c r="T93" s="10019"/>
      <c r="U93" s="10030" t="str">
        <f>+IF(ISERROR(MATCH(M93,tid,0)),"",IF(VLOOKUP(MATCH(M93,tid,0),tao,'12(id)'!$HJ$20,FALSE)="","",VLOOKUP(MATCH(M93,tid,0),tao,'12(id)'!$HJ$20,FALSE)))</f>
        <v/>
      </c>
      <c r="V93" s="10019"/>
      <c r="W93" s="8081" t="str">
        <f t="shared" si="19"/>
        <v>8306-07-02</v>
      </c>
      <c r="X93" s="6085">
        <v>2</v>
      </c>
      <c r="Y93" s="6086" t="str">
        <f>+IF(W93="","",IF(VLOOKUP(MATCH(W93,op_id,0),op,'7(op)'!$T$18,FALSE)="","",IF(VLOOKUP(MATCH(W93,op_id,0),op,'7(op)'!$Y$18,FALSE)="Rejected",VLOOKUP(MATCH(W93,op_id,0),op,'7(op)'!$T$18,FALSE)&amp;"-Rejected by Stk - REMOVE OPTION No.",VLOOKUP(MATCH(W93,op_id,0),op,'7(op)'!$T$18,FALSE))))</f>
        <v>Selective Catalytic Reduction (SCR) with ID fans</v>
      </c>
      <c r="Z93" s="6087">
        <v>0.1</v>
      </c>
      <c r="AA93" s="6088"/>
      <c r="AB93" s="6089">
        <f>+IF(U92="",IF(V92="","",IF(AA93="","",(V92-AA93)/V92)),IF(Z93="","",(U92-Z93)/U92))</f>
        <v>0.52380952380952372</v>
      </c>
      <c r="AC93" s="6087">
        <f>+IF(AG93="",IF(Z93="","",Z93),IF(AH93="lb/MMBtu",AG93,IF($U92="","",IF(AH93="%",(1-AG93/100)*$U92,IF(AH93="ppmvd",IF($V92="","",(AG93/$V92)*$U92),"")))))</f>
        <v>2.0999999999999994E-2</v>
      </c>
      <c r="AD93" s="6088" t="str">
        <f>+IF(AG93="",IF(AA93="","",AA93),IF(AH93="ppmvd",AG93,IF($V92="","",IF(AH93="%",(1-AG93/100)*$V92,IF(AH93="lb/MMBtu",IF($U92="","",(AG93/$U92)*$V92),"")))))</f>
        <v/>
      </c>
      <c r="AE93" s="6089">
        <f>+IF(AG93="",IF(AB93="","",AB93),IF(AH93="%",AG93/100,IF($U92="","",IF(AND(AH93="lb/MMBtu",AC93&gt;0,$U92&gt;0),($U92-AC93)/$U92,IF(AND(AH93="ppmvd",AG93&gt;0,$V92&gt;0),IF($V92="","",($V92-AG93)/$V92),"")))))</f>
        <v>0.9</v>
      </c>
      <c r="AF93" s="5952"/>
      <c r="AG93" s="8120">
        <v>90</v>
      </c>
      <c r="AH93" s="8105" t="s">
        <v>417</v>
      </c>
      <c r="AI93" s="8065" t="str">
        <f t="shared" si="24"/>
        <v/>
      </c>
      <c r="AJ93" s="3687" t="s">
        <v>1911</v>
      </c>
      <c r="AK93" s="5952"/>
      <c r="AL93" s="5959"/>
      <c r="AM93" s="5959"/>
      <c r="AN93" s="5959"/>
      <c r="AO93" s="5959"/>
      <c r="AP93" s="5959"/>
      <c r="AQ93" s="5959"/>
    </row>
    <row r="94" spans="1:43" s="3561" customFormat="1" ht="21" customHeight="1" thickBot="1">
      <c r="A94" s="10141">
        <f t="shared" si="20"/>
        <v>0</v>
      </c>
      <c r="B94" s="10152" t="e">
        <f>+IF(A94="","",VLOOKUP(MATCH(A94,tid,0),tao,'12(id)'!$J$20,FALSE))</f>
        <v>#N/A</v>
      </c>
      <c r="C94" s="9010" t="str">
        <f t="shared" si="22"/>
        <v/>
      </c>
      <c r="D94" s="8147" t="str">
        <f t="shared" si="21"/>
        <v/>
      </c>
      <c r="E94" s="5952"/>
      <c r="F94" s="5959"/>
      <c r="G94" s="8098" t="str">
        <f>+IF(AND(G93="",A94=""),"",IF(OR(A94=G93,A94=0),G93,IF(VLOOKUP(MATCH(A94,tid,0),tao,'12(id)'!$U$20,FALSE)&gt;1,IF(AND(VLOOKUP(MATCH(A94,tid,0),tao,'12(id)'!$L$20,FALSE)=VLOOKUP(MATCH(G93,tid,0),tao,'12(id)'!$L$20,FALSE),X94&gt;X93),G93,IF(AND(X94="",VLOOKUP(MATCH(A94,tid,0),tao,'12(id)'!$U$20,FALSE)=VLOOKUP(MATCH(G93,tid,0),tao,'12(id)'!$U$20,FALSE)),G93,A94)),A94)))</f>
        <v>8306-07</v>
      </c>
      <c r="H94" s="5952"/>
      <c r="I94" s="4499">
        <f t="shared" si="23"/>
        <v>71</v>
      </c>
      <c r="J94" s="10082"/>
      <c r="K94" s="10085"/>
      <c r="L94" s="10072"/>
      <c r="M94" s="8986"/>
      <c r="N94" s="9002"/>
      <c r="O94" s="10089" t="str">
        <f>+IF(ISERROR(MATCH(M94,tid,0)),"",VLOOKUP(MATCH(M94,tid,0),tao,'12(id)'!$Q$20,FALSE))</f>
        <v/>
      </c>
      <c r="P94" s="10095" t="str">
        <f>+IF(M94="","",VLOOKUP(MATCH(M94,tid,0),tao,'12(id)'!$U$20,FALSE))</f>
        <v/>
      </c>
      <c r="Q94" s="10056"/>
      <c r="R94" s="10044"/>
      <c r="S94" s="10044"/>
      <c r="T94" s="10020"/>
      <c r="U94" s="10041" t="str">
        <f>+IF(ISERROR(MATCH(M94,tid,0)),"",IF(VLOOKUP(MATCH(M94,tid,0),tao,'12(id)'!$HJ$20,FALSE)="","",VLOOKUP(MATCH(M94,tid,0),tao,'12(id)'!$HJ$20,FALSE)))</f>
        <v/>
      </c>
      <c r="V94" s="10020"/>
      <c r="W94" s="8082" t="str">
        <f t="shared" si="19"/>
        <v/>
      </c>
      <c r="X94" s="3636"/>
      <c r="Y94" s="3637" t="str">
        <f>+IF(W94="","",IF(VLOOKUP(MATCH(W94,op_id,0),op,'7(op)'!$T$18,FALSE)="","",IF(VLOOKUP(MATCH(W94,op_id,0),op,'7(op)'!$Y$18,FALSE)="Rejected",VLOOKUP(MATCH(W94,op_id,0),op,'7(op)'!$T$18,FALSE)&amp;"-Rejected by Stk - REMOVE OPTION No.",VLOOKUP(MATCH(W94,op_id,0),op,'7(op)'!$T$18,FALSE))))</f>
        <v/>
      </c>
      <c r="Z94" s="3638"/>
      <c r="AA94" s="3639"/>
      <c r="AB94" s="3640"/>
      <c r="AC94" s="3638"/>
      <c r="AD94" s="3639"/>
      <c r="AE94" s="3640"/>
      <c r="AF94" s="5952"/>
      <c r="AG94" s="8148"/>
      <c r="AH94" s="8105"/>
      <c r="AI94" s="8065" t="str">
        <f t="shared" si="24"/>
        <v/>
      </c>
      <c r="AJ94" s="3695"/>
      <c r="AK94" s="5952"/>
      <c r="AL94" s="5959"/>
      <c r="AM94" s="5959"/>
      <c r="AN94" s="5959"/>
      <c r="AO94" s="5959"/>
      <c r="AP94" s="5959"/>
      <c r="AQ94" s="5959"/>
    </row>
    <row r="95" spans="1:43" s="3561" customFormat="1" ht="25.5" customHeight="1">
      <c r="A95" s="10145" t="str">
        <f t="shared" si="20"/>
        <v>8305-01</v>
      </c>
      <c r="B95" s="10150" t="str">
        <f>+IF(A95="","",VLOOKUP(MATCH(A95,tid,0),tao,'12(id)'!$J$20,FALSE))</f>
        <v>PSEG</v>
      </c>
      <c r="C95" s="9007" t="str">
        <f t="shared" si="22"/>
        <v>NHB1</v>
      </c>
      <c r="D95" s="8155" t="str">
        <f t="shared" si="21"/>
        <v>8305-01-01</v>
      </c>
      <c r="E95" s="5952"/>
      <c r="F95" s="5959"/>
      <c r="G95" s="8115" t="str">
        <f>+IF(AND(G94="",A95=""),"",IF(OR(A95=G94,A95=0),G94,IF(VLOOKUP(MATCH(A95,tid,0),tao,'12(id)'!$U$20,FALSE)&gt;1,IF(AND(VLOOKUP(MATCH(A95,tid,0),tao,'12(id)'!$L$20,FALSE)=VLOOKUP(MATCH(G94,tid,0),tao,'12(id)'!$L$20,FALSE),X95&gt;X94),G94,IF(AND(X95="",VLOOKUP(MATCH(A95,tid,0),tao,'12(id)'!$U$20,FALSE)=VLOOKUP(MATCH(G94,tid,0),tao,'12(id)'!$U$20,FALSE)),G94,A95)),A95)))</f>
        <v>8305-01</v>
      </c>
      <c r="H95" s="5952"/>
      <c r="I95" s="4499">
        <f t="shared" si="23"/>
        <v>72</v>
      </c>
      <c r="J95" s="8984">
        <v>5</v>
      </c>
      <c r="K95" s="10067" t="str">
        <f>+IF(M95="","",VLOOKUP(MATCH(M95,tid,0),tao,'12(id)'!$I$20,FALSE))</f>
        <v>PSEG Power LLC, PSEG Fossil LLC, PSEG Power Connecticut</v>
      </c>
      <c r="L95" s="10070">
        <v>8305</v>
      </c>
      <c r="M95" s="10073" t="s">
        <v>290</v>
      </c>
      <c r="N95" s="9000" t="str">
        <f>+IF(M95="","",VLOOKUP(MATCH(M95,tid,0),tao,'12(id)'!$L$20,FALSE))</f>
        <v>New Haven Harbor</v>
      </c>
      <c r="O95" s="10088" t="str">
        <f>+IF(ISERROR(MATCH(M95,tid,0)),"",VLOOKUP(MATCH(M95,tid,0),tao,'12(id)'!$Q$20,FALSE))</f>
        <v>NHB1</v>
      </c>
      <c r="P95" s="10049">
        <f>+IF(M95="","",VLOOKUP(MATCH(M95,tid,0),tao,'12(id)'!$U$20,FALSE))</f>
        <v>1</v>
      </c>
      <c r="Q95" s="10057" t="str">
        <f>+IF(ISERROR(MATCH(M95,tid,0)),"",IF(VLOOKUP(MATCH(M95,tid,0),tao,'12(id)'!$CT$20,FALSE)="","",VLOOKUP(MATCH(M95,tid,0),tao,'12(id)'!$CT$20,FALSE)))</f>
        <v>Unit is a steam boiler, only</v>
      </c>
      <c r="R95" s="10047" t="str">
        <f>+IF(M95="","",IF(VLOOKUP(MATCH(M95,tid,0),tao,'12(id)'!$T$20,FALSE)="","",VLOOKUP(MATCH(M95,tid,0),tao,'12(id)'!$T$20,FALSE)))</f>
        <v>Utility Boiler</v>
      </c>
      <c r="S95" s="10047" t="str">
        <f>+IF(ISERROR(MATCH(M95,tid,0)),"",IF(VLOOKUP(MATCH(M95,tid,0),tao,'12(id)'!$CO$20,FALSE)="","",VLOOKUP(MATCH(M95,tid,0),tao,'12(id)'!$CO$20,FALSE)))</f>
        <v>Not Known</v>
      </c>
      <c r="T95" s="10027" t="str">
        <f>+IF(ISERROR(MATCH(M95,tid,0)),"",IF(VLOOKUP(MATCH(M95,tid,0),tao,'12(id)'!$CP$20,FALSE)="","",VLOOKUP(MATCH(M95,tid,0),tao,'12(id)'!$CP$20,FALSE)))</f>
        <v/>
      </c>
      <c r="U95" s="10013">
        <f>+IF(ISERROR(MATCH(M95,tid,0)),"",IF(VLOOKUP(MATCH(M95,tid,0),tao,'12(id)'!$HJ$20,FALSE)="","",VLOOKUP(MATCH(M95,tid,0),tao,'12(id)'!$HJ$20,FALSE)))</f>
        <v>0.4</v>
      </c>
      <c r="V95" s="10027"/>
      <c r="W95" s="8085" t="str">
        <f t="shared" si="19"/>
        <v>8305-01-01</v>
      </c>
      <c r="X95" s="3668">
        <v>1</v>
      </c>
      <c r="Y95" s="3650" t="str">
        <f>+IF(W95="","",IF(VLOOKUP(MATCH(W95,op_id,0),op,'7(op)'!$T$18,FALSE)="","",IF(VLOOKUP(MATCH(W95,op_id,0),op,'7(op)'!$Y$18,FALSE)="Rejected",VLOOKUP(MATCH(W95,op_id,0),op,'7(op)'!$T$18,FALSE)&amp;"-Rejected by Stk - REMOVE OPTION No.",VLOOKUP(MATCH(W95,op_id,0),op,'7(op)'!$T$18,FALSE))))</f>
        <v>Low NOx Burners (LNB)</v>
      </c>
      <c r="Z95" s="3669"/>
      <c r="AA95" s="3670"/>
      <c r="AB95" s="3671" t="str">
        <f>+IF(U95="",IF(V95="","",IF(AA95="","",(V95-AA95)/V95)),IF(Z95="","",(U95-Z95)/U95))</f>
        <v/>
      </c>
      <c r="AC95" s="3669">
        <f>+IF(AG95="",IF(Z95="","",Z95),IF(AH95="lb/MMBtu",AG95,IF($U95="","",IF(AH95="%",(1-AG95/100)*$U95,IF(AH95="ppmvd",IF($V95="","",(AG95/$V95)*$U95),"")))))</f>
        <v>0.27999999999999997</v>
      </c>
      <c r="AD95" s="3670" t="str">
        <f>+IF(AG95="",IF(AA95="","",AA95),IF(AH95="ppmvd",AG95,IF($V95="","",IF(AH95="%",(1-AG95/100)*$V95,IF(AH95="lb/MMBtu",IF(U95="","",(AG95/$U95)*$V95),"")))))</f>
        <v/>
      </c>
      <c r="AE95" s="3671">
        <f>+IF(AG95="",IF(AB95="","",AB95),IF(AH95="%",AG95/100,IF($U95="","",IF(AND(AH95="lb/MMBtu",AC95&gt;0,$U95&gt;0),($U95-AC95)/$U95,IF(AND(AH95="ppmvd",AG95&gt;0,$V95&gt;0),IF($V95="","",($V95-AG95)/$V95),"")))))</f>
        <v>0.3</v>
      </c>
      <c r="AF95" s="5952"/>
      <c r="AG95" s="8164">
        <v>30</v>
      </c>
      <c r="AH95" s="8157" t="s">
        <v>417</v>
      </c>
      <c r="AI95" s="8065" t="str">
        <f t="shared" si="24"/>
        <v/>
      </c>
      <c r="AJ95" s="3702"/>
      <c r="AK95" s="5952"/>
      <c r="AL95" s="5959"/>
      <c r="AM95" s="5959"/>
      <c r="AN95" s="5959"/>
      <c r="AO95" s="5959"/>
      <c r="AP95" s="5959"/>
      <c r="AQ95" s="5959"/>
    </row>
    <row r="96" spans="1:43" s="3561" customFormat="1" ht="25.5" customHeight="1">
      <c r="A96" s="10140">
        <f t="shared" si="20"/>
        <v>0</v>
      </c>
      <c r="B96" s="10151" t="e">
        <f>+IF(A96="","",VLOOKUP(MATCH(A96,tid,0),tao,'12(id)'!$J$20,FALSE))</f>
        <v>#N/A</v>
      </c>
      <c r="C96" s="9008" t="str">
        <f t="shared" si="22"/>
        <v/>
      </c>
      <c r="D96" s="8162" t="str">
        <f t="shared" si="21"/>
        <v>8305-01-02</v>
      </c>
      <c r="E96" s="5952"/>
      <c r="F96" s="5959"/>
      <c r="G96" s="8118" t="str">
        <f>+IF(AND(G95="",A96=""),"",IF(OR(A96=G95,A96=0),G95,IF(VLOOKUP(MATCH(A96,tid,0),tao,'12(id)'!$U$20,FALSE)&gt;1,IF(AND(VLOOKUP(MATCH(A96,tid,0),tao,'12(id)'!$L$20,FALSE)=VLOOKUP(MATCH(G95,tid,0),tao,'12(id)'!$L$20,FALSE),X96&gt;X95),G95,IF(AND(X96="",VLOOKUP(MATCH(A96,tid,0),tao,'12(id)'!$U$20,FALSE)=VLOOKUP(MATCH(G95,tid,0),tao,'12(id)'!$U$20,FALSE)),G95,A96)),A96)))</f>
        <v>8305-01</v>
      </c>
      <c r="H96" s="5952"/>
      <c r="I96" s="4499">
        <f t="shared" si="23"/>
        <v>73</v>
      </c>
      <c r="J96" s="8985"/>
      <c r="K96" s="10068"/>
      <c r="L96" s="10071"/>
      <c r="M96" s="10074"/>
      <c r="N96" s="9001"/>
      <c r="O96" s="10053" t="str">
        <f>+IF(ISERROR(MATCH(M96,tid,0)),"",VLOOKUP(MATCH(M96,tid,0),tao,'12(id)'!$Q$20,FALSE))</f>
        <v/>
      </c>
      <c r="P96" s="10050" t="str">
        <f>+IF(M96="","",VLOOKUP(MATCH(M96,tid,0),tao,'12(id)'!$U$20,FALSE))</f>
        <v/>
      </c>
      <c r="Q96" s="10058"/>
      <c r="R96" s="10048"/>
      <c r="S96" s="10048"/>
      <c r="T96" s="10028"/>
      <c r="U96" s="10014" t="str">
        <f>+IF(ISERROR(MATCH(M96,tid,0)),"",IF(VLOOKUP(MATCH(M96,tid,0),tao,'12(id)'!$HJ$20,FALSE)="","",VLOOKUP(MATCH(M96,tid,0),tao,'12(id)'!$HJ$20,FALSE)))</f>
        <v/>
      </c>
      <c r="V96" s="10028"/>
      <c r="W96" s="8087" t="str">
        <f t="shared" si="19"/>
        <v>8305-01-02</v>
      </c>
      <c r="X96" s="3663">
        <v>2</v>
      </c>
      <c r="Y96" s="3664" t="str">
        <f>+IF(W96="","",IF(VLOOKUP(MATCH(W96,op_id,0),op,'7(op)'!$T$18,FALSE)="","",IF(VLOOKUP(MATCH(W96,op_id,0),op,'7(op)'!$Y$18,FALSE)="Rejected",VLOOKUP(MATCH(W96,op_id,0),op,'7(op)'!$T$18,FALSE)&amp;"-Rejected by Stk - REMOVE OPTION No.",VLOOKUP(MATCH(W96,op_id,0),op,'7(op)'!$T$18,FALSE))))</f>
        <v>Flue Gas Recirculation (FGR)</v>
      </c>
      <c r="Z96" s="3665"/>
      <c r="AA96" s="3666"/>
      <c r="AB96" s="3667" t="str">
        <f>+IF(U95="",IF(V95="","",IF(AA96="","",(V95-AA96)/V95)),IF(Z96="","",(U95-Z96)/U95))</f>
        <v/>
      </c>
      <c r="AC96" s="3665">
        <f>+IF(AG96="",IF(Z96="","",Z96),IF(AH96="lb/MMBtu",AG96,IF($U95="","",IF(AH96="%",(1-AG96/100)*$U95,IF(AH96="ppmvd",IF($V95="","",(AG96/$V95)*$U95),"")))))</f>
        <v>0.27999999999999997</v>
      </c>
      <c r="AD96" s="3666" t="str">
        <f>+IF(AG96="",IF(AA96="","",AA96),IF(AH96="ppmvd",AG96,IF($V95="","",IF(AH96="%",(1-AG96/100)*$V95,IF(AH96="lb/MMBtu",IF($U95="","",(AG96/$U95)*$V95),"")))))</f>
        <v/>
      </c>
      <c r="AE96" s="3667">
        <f>+IF(AG96="",IF(AB96="","",AB96),IF(AH96="%",AG96/100,IF($U95="","",IF(AND(AH96="lb/MMBtu",AC96&gt;0,$U95&gt;0),($U95-AC96)/$U95,IF(AND(AH96="ppmvd",AG96&gt;0,$V95&gt;0),IF($V95="","",($V95-AG96)/$V95),"")))))</f>
        <v>0.3</v>
      </c>
      <c r="AF96" s="5952"/>
      <c r="AG96" s="8163">
        <v>30</v>
      </c>
      <c r="AH96" s="8157" t="s">
        <v>417</v>
      </c>
      <c r="AI96" s="8065" t="str">
        <f t="shared" si="24"/>
        <v/>
      </c>
      <c r="AJ96" s="3701"/>
      <c r="AK96" s="5952"/>
      <c r="AL96" s="5959"/>
      <c r="AM96" s="5959"/>
      <c r="AN96" s="5959"/>
      <c r="AO96" s="5959"/>
      <c r="AP96" s="5959"/>
      <c r="AQ96" s="5959"/>
    </row>
    <row r="97" spans="1:43" s="3561" customFormat="1" ht="21" customHeight="1">
      <c r="A97" s="10149">
        <f t="shared" si="20"/>
        <v>0</v>
      </c>
      <c r="B97" s="10151" t="e">
        <f>+IF(A97="","",VLOOKUP(MATCH(A97,tid,0),tao,'12(id)'!$J$20,FALSE))</f>
        <v>#N/A</v>
      </c>
      <c r="C97" s="9008" t="str">
        <f t="shared" si="22"/>
        <v/>
      </c>
      <c r="D97" s="8147" t="str">
        <f t="shared" si="21"/>
        <v/>
      </c>
      <c r="E97" s="5952"/>
      <c r="F97" s="5959"/>
      <c r="G97" s="8127" t="str">
        <f>+IF(AND(G96="",A97=""),"",IF(OR(A97=G96,A97=0),G96,IF(VLOOKUP(MATCH(A97,tid,0),tao,'12(id)'!$U$20,FALSE)&gt;1,IF(AND(VLOOKUP(MATCH(A97,tid,0),tao,'12(id)'!$L$20,FALSE)=VLOOKUP(MATCH(G96,tid,0),tao,'12(id)'!$L$20,FALSE),X97&gt;X96),G96,IF(AND(X97="",VLOOKUP(MATCH(A97,tid,0),tao,'12(id)'!$U$20,FALSE)=VLOOKUP(MATCH(G96,tid,0),tao,'12(id)'!$U$20,FALSE)),G96,A97)),A97)))</f>
        <v>8305-01</v>
      </c>
      <c r="H97" s="5952"/>
      <c r="I97" s="4499">
        <f t="shared" si="23"/>
        <v>74</v>
      </c>
      <c r="J97" s="8985"/>
      <c r="K97" s="10068"/>
      <c r="L97" s="10071"/>
      <c r="M97" s="10075"/>
      <c r="N97" s="9027"/>
      <c r="O97" s="10054" t="str">
        <f>+IF(ISERROR(MATCH(M97,tid,0)),"",VLOOKUP(MATCH(M97,tid,0),tao,'12(id)'!$Q$20,FALSE))</f>
        <v/>
      </c>
      <c r="P97" s="10051" t="str">
        <f>+IF(M97="","",VLOOKUP(MATCH(M97,tid,0),tao,'12(id)'!$U$20,FALSE))</f>
        <v/>
      </c>
      <c r="Q97" s="10059"/>
      <c r="R97" s="10042"/>
      <c r="S97" s="10042"/>
      <c r="T97" s="10029"/>
      <c r="U97" s="10026" t="str">
        <f>+IF(ISERROR(MATCH(M97,tid,0)),"",IF(VLOOKUP(MATCH(M97,tid,0),tao,'12(id)'!$HJ$20,FALSE)="","",VLOOKUP(MATCH(M97,tid,0),tao,'12(id)'!$HJ$20,FALSE)))</f>
        <v/>
      </c>
      <c r="V97" s="10029"/>
      <c r="W97" s="8082" t="str">
        <f t="shared" si="19"/>
        <v/>
      </c>
      <c r="X97" s="3636"/>
      <c r="Y97" s="3637" t="str">
        <f>+IF(W97="","",IF(VLOOKUP(MATCH(W97,op_id,0),op,'7(op)'!$T$18,FALSE)="","",IF(VLOOKUP(MATCH(W97,op_id,0),op,'7(op)'!$Y$18,FALSE)="Rejected",VLOOKUP(MATCH(W97,op_id,0),op,'7(op)'!$T$18,FALSE)&amp;"-Rejected by Stk - REMOVE OPTION No.",VLOOKUP(MATCH(W97,op_id,0),op,'7(op)'!$T$18,FALSE))))</f>
        <v/>
      </c>
      <c r="Z97" s="3638"/>
      <c r="AA97" s="3639"/>
      <c r="AB97" s="3640"/>
      <c r="AC97" s="3638"/>
      <c r="AD97" s="3639"/>
      <c r="AE97" s="3640"/>
      <c r="AF97" s="5952"/>
      <c r="AG97" s="8148"/>
      <c r="AH97" s="8105"/>
      <c r="AI97" s="8065" t="str">
        <f t="shared" si="24"/>
        <v/>
      </c>
      <c r="AJ97" s="3695"/>
      <c r="AK97" s="5952"/>
      <c r="AL97" s="5959"/>
      <c r="AM97" s="5959"/>
      <c r="AN97" s="5959"/>
      <c r="AO97" s="5959"/>
      <c r="AP97" s="5959"/>
      <c r="AQ97" s="5959"/>
    </row>
    <row r="98" spans="1:43" s="3561" customFormat="1" ht="25.5" customHeight="1">
      <c r="A98" s="10139" t="str">
        <f t="shared" si="20"/>
        <v>8305-02</v>
      </c>
      <c r="B98" s="10151" t="str">
        <f>+IF(A98="","",VLOOKUP(MATCH(A98,tid,0),tao,'12(id)'!$J$20,FALSE))</f>
        <v>PSEG</v>
      </c>
      <c r="C98" s="9008" t="str">
        <f t="shared" si="22"/>
        <v>BHB2</v>
      </c>
      <c r="D98" s="8162" t="str">
        <f t="shared" si="21"/>
        <v>8305-02-01</v>
      </c>
      <c r="E98" s="5952"/>
      <c r="F98" s="5959"/>
      <c r="G98" s="8159" t="str">
        <f>+IF(AND(G97="",A98=""),"",IF(OR(A98=G97,A98=0),G97,IF(VLOOKUP(MATCH(A98,tid,0),tao,'12(id)'!$U$20,FALSE)&gt;1,IF(AND(VLOOKUP(MATCH(A98,tid,0),tao,'12(id)'!$L$20,FALSE)=VLOOKUP(MATCH(G97,tid,0),tao,'12(id)'!$L$20,FALSE),X98&gt;X97),G97,IF(AND(X98="",VLOOKUP(MATCH(A98,tid,0),tao,'12(id)'!$U$20,FALSE)=VLOOKUP(MATCH(G97,tid,0),tao,'12(id)'!$U$20,FALSE)),G97,A98)),A98)))</f>
        <v>8305-02</v>
      </c>
      <c r="H98" s="5952"/>
      <c r="I98" s="4499">
        <f t="shared" si="23"/>
        <v>75</v>
      </c>
      <c r="J98" s="8985"/>
      <c r="K98" s="10068"/>
      <c r="L98" s="10071"/>
      <c r="M98" s="10076" t="s">
        <v>291</v>
      </c>
      <c r="N98" s="10087" t="str">
        <f>+IF(M98="","",VLOOKUP(MATCH(M98,tid,0),tao,'12(id)'!$L$20,FALSE))</f>
        <v>Bridgeport Harbor Station</v>
      </c>
      <c r="O98" s="10052" t="str">
        <f>+IF(ISERROR(MATCH(M98,tid,0)),"",VLOOKUP(MATCH(M98,tid,0),tao,'12(id)'!$Q$20,FALSE))</f>
        <v>BHB2</v>
      </c>
      <c r="P98" s="10055">
        <f>+IF(M98="","",VLOOKUP(MATCH(M98,tid,0),tao,'12(id)'!$U$20,FALSE))</f>
        <v>1</v>
      </c>
      <c r="Q98" s="10046">
        <f>+IF(ISERROR(MATCH(M98,tid,0)),"",IF(VLOOKUP(MATCH(M98,tid,0),tao,'12(id)'!$CT$20,FALSE)="","",VLOOKUP(MATCH(M98,tid,0),tao,'12(id)'!$CT$20,FALSE)))</f>
        <v>170</v>
      </c>
      <c r="R98" s="10039" t="str">
        <f>+IF(M98="","",IF(VLOOKUP(MATCH(M98,tid,0),tao,'12(id)'!$T$20,FALSE)="","",VLOOKUP(MATCH(M98,tid,0),tao,'12(id)'!$T$20,FALSE)))</f>
        <v>Utility Boiler</v>
      </c>
      <c r="S98" s="10039" t="str">
        <f>+IF(ISERROR(MATCH(M98,tid,0)),"",IF(VLOOKUP(MATCH(M98,tid,0),tao,'12(id)'!$CO$20,FALSE)="","",VLOOKUP(MATCH(M98,tid,0),tao,'12(id)'!$CO$20,FALSE)))</f>
        <v>Babcock and Wilcox</v>
      </c>
      <c r="T98" s="10019" t="str">
        <f>+IF(ISERROR(MATCH(M98,tid,0)),"",IF(VLOOKUP(MATCH(M98,tid,0),tao,'12(id)'!$CP$20,FALSE)="","",VLOOKUP(MATCH(M98,tid,0),tao,'12(id)'!$CP$20,FALSE)))</f>
        <v/>
      </c>
      <c r="U98" s="10030" t="str">
        <f>+IF(ISERROR(MATCH(M98,tid,0)),"",IF(VLOOKUP(MATCH(M98,tid,0),tao,'12(id)'!$HJ$20,FALSE)="","",VLOOKUP(MATCH(M98,tid,0),tao,'12(id)'!$HJ$20,FALSE)))</f>
        <v/>
      </c>
      <c r="V98" s="10019"/>
      <c r="W98" s="8088" t="str">
        <f t="shared" si="19"/>
        <v>8305-02-01</v>
      </c>
      <c r="X98" s="3631">
        <v>1</v>
      </c>
      <c r="Y98" s="3632" t="str">
        <f>+IF(W98="","",IF(VLOOKUP(MATCH(W98,op_id,0),op,'7(op)'!$T$18,FALSE)="","",IF(VLOOKUP(MATCH(W98,op_id,0),op,'7(op)'!$Y$18,FALSE)="Rejected",VLOOKUP(MATCH(W98,op_id,0),op,'7(op)'!$T$18,FALSE)&amp;"-Rejected by Stk - REMOVE OPTION No.",VLOOKUP(MATCH(W98,op_id,0),op,'7(op)'!$T$18,FALSE))))</f>
        <v>Selective Catalytic Reduction (SCR)</v>
      </c>
      <c r="Z98" s="3633"/>
      <c r="AA98" s="3634"/>
      <c r="AB98" s="3635" t="str">
        <f>+IF(U98="","",(U98-Z98)/U98)</f>
        <v/>
      </c>
      <c r="AC98" s="3633" t="str">
        <f>+IF(AG98="",IF(Z98="","",Z98),IF(AH98="lb/MMBtu",AG98,IF($U98="","",IF(AH98="%",(1-AG98/100)*$U98,IF(AH98="ppmvd",IF($V98="","",(AG98/$V98)*$U98),"")))))</f>
        <v/>
      </c>
      <c r="AD98" s="3634" t="str">
        <f>+IF(AG98="",IF(AA98="","",AA98),IF(AH98="ppmvd",AG98,IF($V98="","",IF(AH98="%",(1-AG98/100)*$V98,IF(AH98="lb/MMBtu",IF(U98="","",(AG98/$U98)*$V98),"")))))</f>
        <v/>
      </c>
      <c r="AE98" s="3635">
        <f>+IF(AG98="",IF(AB98="","",AB98),IF(AH98="%",AG98/100,IF($U98="","",IF(AND(AH98="lb/MMBtu",AC98&gt;0,$U98&gt;0),($U98-AC98)/$U98,IF(AND(AH98="ppmvd",AG98&gt;0,$V98&gt;0),IF($V98="","",($V98-AG98)/$V98),"")))))</f>
        <v>0.9</v>
      </c>
      <c r="AF98" s="5952"/>
      <c r="AG98" s="8165">
        <v>90</v>
      </c>
      <c r="AH98" s="8105" t="s">
        <v>417</v>
      </c>
      <c r="AI98" s="8065" t="str">
        <f t="shared" si="24"/>
        <v/>
      </c>
      <c r="AJ98" s="3687"/>
      <c r="AK98" s="5952"/>
      <c r="AL98" s="5959"/>
      <c r="AM98" s="5959"/>
      <c r="AN98" s="5959"/>
      <c r="AO98" s="5959"/>
      <c r="AP98" s="5959"/>
      <c r="AQ98" s="5959"/>
    </row>
    <row r="99" spans="1:43" s="3561" customFormat="1" ht="25.5" customHeight="1">
      <c r="A99" s="10140">
        <f t="shared" si="20"/>
        <v>0</v>
      </c>
      <c r="B99" s="10151" t="e">
        <f>+IF(A99="","",VLOOKUP(MATCH(A99,tid,0),tao,'12(id)'!$J$20,FALSE))</f>
        <v>#N/A</v>
      </c>
      <c r="C99" s="9009" t="str">
        <f t="shared" si="22"/>
        <v/>
      </c>
      <c r="D99" s="8166" t="str">
        <f t="shared" si="21"/>
        <v>8305-02-02</v>
      </c>
      <c r="E99" s="5952"/>
      <c r="F99" s="5959"/>
      <c r="G99" s="8118" t="str">
        <f>+IF(AND(G98="",A99=""),"",IF(OR(A99=G98,A99=0),G98,IF(VLOOKUP(MATCH(A99,tid,0),tao,'12(id)'!$U$20,FALSE)&gt;1,IF(AND(VLOOKUP(MATCH(A99,tid,0),tao,'12(id)'!$L$20,FALSE)=VLOOKUP(MATCH(G98,tid,0),tao,'12(id)'!$L$20,FALSE),X99&gt;X98),G98,IF(AND(X99="",VLOOKUP(MATCH(A99,tid,0),tao,'12(id)'!$U$20,FALSE)=VLOOKUP(MATCH(G98,tid,0),tao,'12(id)'!$U$20,FALSE)),G98,A99)),A99)))</f>
        <v>8305-02</v>
      </c>
      <c r="H99" s="5952"/>
      <c r="I99" s="4499">
        <f t="shared" si="23"/>
        <v>76</v>
      </c>
      <c r="J99" s="8985"/>
      <c r="K99" s="10068"/>
      <c r="L99" s="10071"/>
      <c r="M99" s="10077"/>
      <c r="N99" s="9001"/>
      <c r="O99" s="10053" t="str">
        <f>+IF(ISERROR(MATCH(M99,tid,0)),"",VLOOKUP(MATCH(M99,tid,0),tao,'12(id)'!$Q$20,FALSE))</f>
        <v/>
      </c>
      <c r="P99" s="10050" t="str">
        <f>+IF(M99="","",VLOOKUP(MATCH(M99,tid,0),tao,'12(id)'!$U$20,FALSE))</f>
        <v/>
      </c>
      <c r="Q99" s="10046"/>
      <c r="R99" s="10039"/>
      <c r="S99" s="10039"/>
      <c r="T99" s="10019"/>
      <c r="U99" s="10030" t="str">
        <f>+IF(ISERROR(MATCH(M99,tid,0)),"",IF(VLOOKUP(MATCH(M99,tid,0),tao,'12(id)'!$HJ$20,FALSE)="","",VLOOKUP(MATCH(M99,tid,0),tao,'12(id)'!$HJ$20,FALSE)))</f>
        <v/>
      </c>
      <c r="V99" s="10019"/>
      <c r="W99" s="8089" t="str">
        <f t="shared" si="19"/>
        <v>8305-02-02</v>
      </c>
      <c r="X99" s="3672">
        <v>2</v>
      </c>
      <c r="Y99" s="3673" t="str">
        <f>+IF(W99="","",IF(VLOOKUP(MATCH(W99,op_id,0),op,'7(op)'!$T$18,FALSE)="","",IF(VLOOKUP(MATCH(W99,op_id,0),op,'7(op)'!$Y$18,FALSE)="Rejected",VLOOKUP(MATCH(W99,op_id,0),op,'7(op)'!$T$18,FALSE)&amp;"-Rejected by Stk - REMOVE OPTION No.",VLOOKUP(MATCH(W99,op_id,0),op,'7(op)'!$T$18,FALSE))))</f>
        <v>Combination of Control Technologies
LNB + OFA + SNCR</v>
      </c>
      <c r="Z99" s="3674"/>
      <c r="AA99" s="3675"/>
      <c r="AB99" s="3676" t="str">
        <f>+IF(U98="","",(U98-Z99)/U98)</f>
        <v/>
      </c>
      <c r="AC99" s="3674" t="str">
        <f>+IF(AG99="",IF(Z99="","",Z99),IF(AH99="lb/MMBtu",AG99,IF($U98="","",IF(AH99="%",(1-AG99/100)*$U98,IF(AH99="ppmvd",IF($V98="","",(AG99/$V98)*$U98),"")))))</f>
        <v/>
      </c>
      <c r="AD99" s="3675" t="str">
        <f>+IF(AG99="",IF(AA99="","",AA99),IF(AH99="ppmvd",AG99,IF($V98="","",IF(AH99="%",(1-AG99/100)*$V98,IF(AH99="lb/MMBtu",IF($U98="","",(AG99/$U98)*$V98),"")))))</f>
        <v/>
      </c>
      <c r="AE99" s="3676">
        <f>+IF(AG99="",IF(AB99="","",AB99),IF(AH99="%",AG99/100,IF($U98="","",IF(AND(AH99="lb/MMBtu",AC99&gt;0,$U98&gt;0),($U98-AC99)/$U98,IF(AND(AH99="ppmvd",AG99&gt;0,$V98&gt;0),IF($V98="","",($V98-AG99)/$V98),"")))))</f>
        <v>0.45</v>
      </c>
      <c r="AF99" s="5952"/>
      <c r="AG99" s="8107">
        <v>45</v>
      </c>
      <c r="AH99" s="8105" t="s">
        <v>417</v>
      </c>
      <c r="AI99" s="8065" t="str">
        <f t="shared" si="24"/>
        <v/>
      </c>
      <c r="AJ99" s="3682"/>
      <c r="AK99" s="5952"/>
      <c r="AL99" s="5959"/>
      <c r="AM99" s="5959"/>
      <c r="AN99" s="5959"/>
      <c r="AO99" s="5959"/>
      <c r="AP99" s="5959"/>
      <c r="AQ99" s="5959"/>
    </row>
    <row r="100" spans="1:43" s="3561" customFormat="1" ht="25.5" customHeight="1">
      <c r="A100" s="10140">
        <f t="shared" si="20"/>
        <v>0</v>
      </c>
      <c r="B100" s="10151" t="e">
        <f>+IF(A100="","",VLOOKUP(MATCH(A100,tid,0),tao,'12(id)'!$J$20,FALSE))</f>
        <v>#N/A</v>
      </c>
      <c r="C100" s="9009">
        <f t="shared" si="22"/>
        <v>0</v>
      </c>
      <c r="D100" s="8166" t="str">
        <f t="shared" si="21"/>
        <v>8305-02-03</v>
      </c>
      <c r="E100" s="5952"/>
      <c r="F100" s="5959"/>
      <c r="G100" s="8118" t="str">
        <f>+IF(AND(G99="",A100=""),"",IF(OR(A100=G99,A100=0),G99,IF(VLOOKUP(MATCH(A100,tid,0),tao,'12(id)'!$U$20,FALSE)&gt;1,IF(AND(VLOOKUP(MATCH(A100,tid,0),tao,'12(id)'!$L$20,FALSE)=VLOOKUP(MATCH(G99,tid,0),tao,'12(id)'!$L$20,FALSE),X100&gt;X99),G99,IF(AND(X100="",VLOOKUP(MATCH(A100,tid,0),tao,'12(id)'!$U$20,FALSE)=VLOOKUP(MATCH(G99,tid,0),tao,'12(id)'!$U$20,FALSE)),G99,A100)),A100)))</f>
        <v>8305-02</v>
      </c>
      <c r="H100" s="5952"/>
      <c r="I100" s="4499">
        <f t="shared" si="23"/>
        <v>77</v>
      </c>
      <c r="J100" s="8985"/>
      <c r="K100" s="10068"/>
      <c r="L100" s="10071"/>
      <c r="M100" s="10077"/>
      <c r="N100" s="9001"/>
      <c r="O100" s="10053"/>
      <c r="P100" s="10050"/>
      <c r="Q100" s="10046"/>
      <c r="R100" s="10039"/>
      <c r="S100" s="10039"/>
      <c r="T100" s="10019"/>
      <c r="U100" s="10030" t="str">
        <f>+IF(ISERROR(MATCH(M100,tid,0)),"",IF(VLOOKUP(MATCH(M100,tid,0),tao,'12(id)'!$HJ$20,FALSE)="","",VLOOKUP(MATCH(M100,tid,0),tao,'12(id)'!$HJ$20,FALSE)))</f>
        <v/>
      </c>
      <c r="V100" s="10019"/>
      <c r="W100" s="8090" t="str">
        <f t="shared" si="19"/>
        <v>8305-02-03</v>
      </c>
      <c r="X100" s="3677">
        <v>3</v>
      </c>
      <c r="Y100" s="3678" t="str">
        <f>+IF(W100="","",IF(VLOOKUP(MATCH(W100,op_id,0),op,'7(op)'!$T$18,FALSE)="","",IF(VLOOKUP(MATCH(W100,op_id,0),op,'7(op)'!$Y$18,FALSE)="Rejected",VLOOKUP(MATCH(W100,op_id,0),op,'7(op)'!$T$18,FALSE)&amp;"-Rejected by Stk - REMOVE OPTION No.",VLOOKUP(MATCH(W100,op_id,0),op,'7(op)'!$T$18,FALSE))))</f>
        <v>Combination of Control Technologies
LNB + OFA + FGR</v>
      </c>
      <c r="Z100" s="3674"/>
      <c r="AA100" s="3675"/>
      <c r="AB100" s="3676" t="str">
        <f>+IF(U98="","",(U98-Z100)/U98)</f>
        <v/>
      </c>
      <c r="AC100" s="3674" t="str">
        <f>+IF(AG100="",IF(Z100="","",Z100),IF(AH100="lb/MMBtu",AG100,IF($U98="","",IF(AH100="%",(1-AG100/100)*$U98,IF(AH100="ppmvd",IF($V98="","",(AG100/$V98)*$U98),"")))))</f>
        <v/>
      </c>
      <c r="AD100" s="3675" t="str">
        <f>+IF(AG100="",IF(AA100="","",AA100),IF(AH100="ppmvd",AG100,IF($V98="","",IF(AH100="%",(1-AG100/100)*$V98,IF(AH100="lb/MMBtu",IF($U98="","",(AG100/$U98)*$V98),"")))))</f>
        <v/>
      </c>
      <c r="AE100" s="3676">
        <f>+IF(AG100="",IF(AB100="","",AB100),IF(AH100="%",AG100/100,IF($U98="","",IF(AND(AH100="lb/MMBtu",AC100&gt;0,$U98&gt;0),($U98-AC100)/$U98,IF(AND(AH100="ppmvd",AG100&gt;0,$V98&gt;0),IF($V98="","",($V98-AG100)/$V98),"")))))</f>
        <v>0.45</v>
      </c>
      <c r="AF100" s="5952"/>
      <c r="AG100" s="8107">
        <v>45</v>
      </c>
      <c r="AH100" s="8105" t="s">
        <v>417</v>
      </c>
      <c r="AI100" s="8065" t="str">
        <f t="shared" si="24"/>
        <v/>
      </c>
      <c r="AJ100" s="3682"/>
      <c r="AK100" s="5952"/>
      <c r="AL100" s="5959"/>
      <c r="AM100" s="5959"/>
      <c r="AN100" s="5959"/>
      <c r="AO100" s="5959"/>
      <c r="AP100" s="5959"/>
      <c r="AQ100" s="5959"/>
    </row>
    <row r="101" spans="1:43" s="3561" customFormat="1" ht="21" customHeight="1">
      <c r="A101" s="10149">
        <f t="shared" si="20"/>
        <v>0</v>
      </c>
      <c r="B101" s="10151" t="e">
        <f>+IF(A101="","",VLOOKUP(MATCH(A101,tid,0),tao,'12(id)'!$J$20,FALSE))</f>
        <v>#N/A</v>
      </c>
      <c r="C101" s="9008" t="str">
        <f t="shared" si="22"/>
        <v/>
      </c>
      <c r="D101" s="8147" t="str">
        <f t="shared" si="21"/>
        <v/>
      </c>
      <c r="E101" s="5952"/>
      <c r="F101" s="5959"/>
      <c r="G101" s="8127" t="str">
        <f>+IF(AND(G100="",A101=""),"",IF(OR(A101=G100,A101=0),G100,IF(VLOOKUP(MATCH(A101,tid,0),tao,'12(id)'!$U$20,FALSE)&gt;1,IF(AND(VLOOKUP(MATCH(A101,tid,0),tao,'12(id)'!$L$20,FALSE)=VLOOKUP(MATCH(G100,tid,0),tao,'12(id)'!$L$20,FALSE),X101&gt;X100),G100,IF(AND(X101="",VLOOKUP(MATCH(A101,tid,0),tao,'12(id)'!$U$20,FALSE)=VLOOKUP(MATCH(G100,tid,0),tao,'12(id)'!$U$20,FALSE)),G100,A101)),A101)))</f>
        <v>8305-02</v>
      </c>
      <c r="H101" s="5952"/>
      <c r="I101" s="4499">
        <f t="shared" si="23"/>
        <v>78</v>
      </c>
      <c r="J101" s="8985"/>
      <c r="K101" s="10068"/>
      <c r="L101" s="10071"/>
      <c r="M101" s="10078"/>
      <c r="N101" s="9001"/>
      <c r="O101" s="10054" t="str">
        <f>+IF(ISERROR(MATCH(M101,tid,0)),"",VLOOKUP(MATCH(M101,tid,0),tao,'12(id)'!$Q$20,FALSE))</f>
        <v/>
      </c>
      <c r="P101" s="10051" t="str">
        <f>+IF(M101="","",VLOOKUP(MATCH(M101,tid,0),tao,'12(id)'!$U$20,FALSE))</f>
        <v/>
      </c>
      <c r="Q101" s="10046"/>
      <c r="R101" s="10039"/>
      <c r="S101" s="10039"/>
      <c r="T101" s="10019"/>
      <c r="U101" s="10030" t="str">
        <f>+IF(ISERROR(MATCH(M101,tid,0)),"",IF(VLOOKUP(MATCH(M101,tid,0),tao,'12(id)'!$HJ$20,FALSE)="","",VLOOKUP(MATCH(M101,tid,0),tao,'12(id)'!$HJ$20,FALSE)))</f>
        <v/>
      </c>
      <c r="V101" s="10019"/>
      <c r="W101" s="8082" t="str">
        <f t="shared" si="19"/>
        <v/>
      </c>
      <c r="X101" s="3636"/>
      <c r="Y101" s="3637" t="str">
        <f>+IF(W101="","",IF(VLOOKUP(MATCH(W101,op_id,0),op,'7(op)'!$T$18,FALSE)="","",VLOOKUP(MATCH(W101,op_id,0),op,'7(op)'!$T$18,FALSE)))</f>
        <v/>
      </c>
      <c r="Z101" s="3638"/>
      <c r="AA101" s="3639"/>
      <c r="AB101" s="3640"/>
      <c r="AC101" s="3638"/>
      <c r="AD101" s="3639"/>
      <c r="AE101" s="3640"/>
      <c r="AF101" s="5952"/>
      <c r="AG101" s="8148"/>
      <c r="AH101" s="8105"/>
      <c r="AI101" s="8065" t="str">
        <f t="shared" si="24"/>
        <v/>
      </c>
      <c r="AJ101" s="3695"/>
      <c r="AK101" s="5952"/>
      <c r="AL101" s="5959"/>
      <c r="AM101" s="5959"/>
      <c r="AN101" s="5959"/>
      <c r="AO101" s="5959"/>
      <c r="AP101" s="5959"/>
      <c r="AQ101" s="5959"/>
    </row>
    <row r="102" spans="1:43" s="3561" customFormat="1" ht="25.5" customHeight="1">
      <c r="A102" s="10153" t="str">
        <f t="shared" si="20"/>
        <v>8305-03</v>
      </c>
      <c r="B102" s="10151" t="str">
        <f>+IF(A102="","",VLOOKUP(MATCH(A102,tid,0),tao,'12(id)'!$J$20,FALSE))</f>
        <v>PSEG</v>
      </c>
      <c r="C102" s="9008" t="str">
        <f t="shared" si="22"/>
        <v>BHB3</v>
      </c>
      <c r="D102" s="8162" t="str">
        <f t="shared" si="21"/>
        <v>8305-03-01</v>
      </c>
      <c r="E102" s="5952"/>
      <c r="F102" s="5959"/>
      <c r="G102" s="8167" t="str">
        <f>+IF(AND(G101="",A102=""),"",IF(OR(A102=G101,A102=0),G101,IF(VLOOKUP(MATCH(A102,tid,0),tao,'12(id)'!$U$20,FALSE)&gt;1,IF(AND(VLOOKUP(MATCH(A102,tid,0),tao,'12(id)'!$L$20,FALSE)=VLOOKUP(MATCH(G101,tid,0),tao,'12(id)'!$L$20,FALSE),X102&gt;X101),G101,IF(AND(X102="",VLOOKUP(MATCH(A102,tid,0),tao,'12(id)'!$U$20,FALSE)=VLOOKUP(MATCH(G101,tid,0),tao,'12(id)'!$U$20,FALSE)),G101,A102)),A102)))</f>
        <v>8305-03</v>
      </c>
      <c r="H102" s="5952"/>
      <c r="I102" s="4499">
        <f t="shared" si="23"/>
        <v>79</v>
      </c>
      <c r="J102" s="8985"/>
      <c r="K102" s="10068"/>
      <c r="L102" s="10071"/>
      <c r="M102" s="10076" t="s">
        <v>292</v>
      </c>
      <c r="N102" s="9001"/>
      <c r="O102" s="10052" t="str">
        <f>+IF(ISERROR(MATCH(M102,tid,0)),"",VLOOKUP(MATCH(M102,tid,0),tao,'12(id)'!$Q$20,FALSE))</f>
        <v>BHB3</v>
      </c>
      <c r="P102" s="10055">
        <f>+IF(M102="","",VLOOKUP(MATCH(M102,tid,0),tao,'12(id)'!$U$20,FALSE))</f>
        <v>1</v>
      </c>
      <c r="Q102" s="10046">
        <f>+IF(ISERROR(MATCH(M102,tid,0)),"",IF(VLOOKUP(MATCH(M102,tid,0),tao,'12(id)'!$CT$20,FALSE)="","",VLOOKUP(MATCH(M102,tid,0),tao,'12(id)'!$CT$20,FALSE)))</f>
        <v>410</v>
      </c>
      <c r="R102" s="10039" t="str">
        <f>+IF(M102="","",IF(VLOOKUP(MATCH(M102,tid,0),tao,'12(id)'!$T$20,FALSE)="","",VLOOKUP(MATCH(M102,tid,0),tao,'12(id)'!$T$20,FALSE)))</f>
        <v>Utility Boiler</v>
      </c>
      <c r="S102" s="10039" t="str">
        <f>+IF(ISERROR(MATCH(M102,tid,0)),"",IF(VLOOKUP(MATCH(M102,tid,0),tao,'12(id)'!$CO$20,FALSE)="","",VLOOKUP(MATCH(M102,tid,0),tao,'12(id)'!$CO$20,FALSE)))</f>
        <v>Combustion Engineering</v>
      </c>
      <c r="T102" s="10019" t="str">
        <f>+IF(ISERROR(MATCH(M102,tid,0)),"",IF(VLOOKUP(MATCH(M102,tid,0),tao,'12(id)'!$CP$20,FALSE)="","",VLOOKUP(MATCH(M102,tid,0),tao,'12(id)'!$CP$20,FALSE)))</f>
        <v/>
      </c>
      <c r="U102" s="10030" t="str">
        <f>+IF(ISERROR(MATCH(M102,tid,0)),"",IF(VLOOKUP(MATCH(M102,tid,0),tao,'12(id)'!$HJ$20,FALSE)="","",VLOOKUP(MATCH(M102,tid,0),tao,'12(id)'!$HJ$20,FALSE)))</f>
        <v/>
      </c>
      <c r="V102" s="10019"/>
      <c r="W102" s="8087" t="str">
        <f t="shared" si="19"/>
        <v>8305-03-01</v>
      </c>
      <c r="X102" s="3663">
        <v>1</v>
      </c>
      <c r="Y102" s="3664" t="str">
        <f>+IF(W102="","",IF(VLOOKUP(MATCH(W102,op_id,0),op,'7(op)'!$T$18,FALSE)="","",IF(VLOOKUP(MATCH(W102,op_id,0),op,'7(op)'!$Y$18,FALSE)="Rejected",VLOOKUP(MATCH(W102,op_id,0),op,'7(op)'!$T$18,FALSE)&amp;"-Rejected by Stk - REMOVE OPTION No.",VLOOKUP(MATCH(W102,op_id,0),op,'7(op)'!$T$18,FALSE))))</f>
        <v>Work in progress, PSEG asks for more time to develop a solution, due to limited information on the NOx control technologies feasibility on coal boliers</v>
      </c>
      <c r="Z102" s="3665"/>
      <c r="AA102" s="3666"/>
      <c r="AB102" s="3667" t="str">
        <f>+IF(U102="","",(U102-Z102)/U102)</f>
        <v/>
      </c>
      <c r="AC102" s="3665" t="str">
        <f>+IF(AG102="",IF(Z102="","",Z102),IF(AH102="lb/MMBtu",AG102,IF($U102="","",IF(AH102="%",(1-AG102/100)*$U102,IF(AH102="ppmvd",IF($V102="","",(AG102/$V102)*$U102),"")))))</f>
        <v/>
      </c>
      <c r="AD102" s="3666" t="str">
        <f>+IF(AG102="",IF(AA102="","",AA102),IF(AH102="ppmvd",AG102,IF($V102="","",IF(AH102="%",(1-AG102/100)*$V102,IF(AH102="lb/MMBtu",IF(U102="","",(AG102/$U102)*$V102),"")))))</f>
        <v/>
      </c>
      <c r="AE102" s="3667">
        <f>+IF(AG102="",IF(AB102="","",AB102),IF(AH102="%",AG102/100,IF($U102="","",IF(AND(AH102="lb/MMBtu",AC102&gt;0,$U102&gt;0),($U102-AC102)/$U102,IF(AND(AH102="ppmvd",AG102&gt;0,$V102&gt;0),IF($V102="","",($V102-AG102)/$V102),"")))))</f>
        <v>0.6</v>
      </c>
      <c r="AF102" s="5952"/>
      <c r="AG102" s="8163">
        <v>60</v>
      </c>
      <c r="AH102" s="8157" t="s">
        <v>417</v>
      </c>
      <c r="AI102" s="8065" t="str">
        <f t="shared" si="24"/>
        <v/>
      </c>
      <c r="AJ102" s="3701"/>
      <c r="AK102" s="5952"/>
      <c r="AL102" s="5959"/>
      <c r="AM102" s="5959"/>
      <c r="AN102" s="5959"/>
      <c r="AO102" s="5959"/>
      <c r="AP102" s="5959"/>
      <c r="AQ102" s="5959"/>
    </row>
    <row r="103" spans="1:43" s="3561" customFormat="1" ht="21" customHeight="1" thickBot="1">
      <c r="A103" s="8882">
        <f t="shared" si="20"/>
        <v>0</v>
      </c>
      <c r="B103" s="10152" t="e">
        <f>+IF(A103="","",VLOOKUP(MATCH(A103,tid,0),tao,'12(id)'!$J$20,FALSE))</f>
        <v>#N/A</v>
      </c>
      <c r="C103" s="9010" t="str">
        <f t="shared" si="22"/>
        <v/>
      </c>
      <c r="D103" s="8150" t="str">
        <f t="shared" si="21"/>
        <v/>
      </c>
      <c r="E103" s="5952"/>
      <c r="F103" s="5959"/>
      <c r="G103" s="7793" t="str">
        <f>+IF(AND(G102="",A103=""),"",IF(OR(A103=G102,A103=0),G102,IF(VLOOKUP(MATCH(A103,tid,0),tao,'12(id)'!$U$20,FALSE)&gt;1,IF(AND(VLOOKUP(MATCH(A103,tid,0),tao,'12(id)'!$L$20,FALSE)=VLOOKUP(MATCH(G102,tid,0),tao,'12(id)'!$L$20,FALSE),X103&gt;X102),G102,IF(AND(X103="",VLOOKUP(MATCH(A103,tid,0),tao,'12(id)'!$U$20,FALSE)=VLOOKUP(MATCH(G102,tid,0),tao,'12(id)'!$U$20,FALSE)),G102,A103)),A103)))</f>
        <v>8305-03</v>
      </c>
      <c r="H103" s="5952"/>
      <c r="I103" s="4500">
        <f t="shared" si="23"/>
        <v>80</v>
      </c>
      <c r="J103" s="8986"/>
      <c r="K103" s="10069"/>
      <c r="L103" s="10072"/>
      <c r="M103" s="10079"/>
      <c r="N103" s="9002"/>
      <c r="O103" s="10089" t="str">
        <f>+IF(ISERROR(MATCH(M103,tid,0)),"",VLOOKUP(MATCH(M103,tid,0),tao,'12(id)'!$Q$20,FALSE))</f>
        <v/>
      </c>
      <c r="P103" s="10095" t="str">
        <f>+IF(M103="","",VLOOKUP(MATCH(M103,tid,0),tao,'12(id)'!$U$20,FALSE))</f>
        <v/>
      </c>
      <c r="Q103" s="10056"/>
      <c r="R103" s="10044"/>
      <c r="S103" s="10044"/>
      <c r="T103" s="10020"/>
      <c r="U103" s="10041" t="str">
        <f>+IF(ISERROR(MATCH(M103,tid,0)),"",IF(VLOOKUP(MATCH(M103,tid,0),tao,'12(id)'!$HJ$20,FALSE)="","",VLOOKUP(MATCH(M103,tid,0),tao,'12(id)'!$HJ$20,FALSE)))</f>
        <v/>
      </c>
      <c r="V103" s="10020"/>
      <c r="W103" s="8083" t="str">
        <f t="shared" si="19"/>
        <v/>
      </c>
      <c r="X103" s="3642"/>
      <c r="Y103" s="3643"/>
      <c r="Z103" s="3644"/>
      <c r="AA103" s="3645"/>
      <c r="AB103" s="3646"/>
      <c r="AC103" s="3644"/>
      <c r="AD103" s="3645"/>
      <c r="AE103" s="3646"/>
      <c r="AF103" s="5952"/>
      <c r="AG103" s="8151"/>
      <c r="AH103" s="8105"/>
      <c r="AI103" s="8065" t="str">
        <f t="shared" si="24"/>
        <v/>
      </c>
      <c r="AJ103" s="3696"/>
      <c r="AK103" s="5952"/>
      <c r="AL103" s="5959"/>
      <c r="AM103" s="5959"/>
      <c r="AN103" s="5959"/>
      <c r="AO103" s="5959"/>
      <c r="AP103" s="5959"/>
      <c r="AQ103" s="5959"/>
    </row>
    <row r="104" spans="1:43" s="3561" customFormat="1">
      <c r="A104" s="5952"/>
      <c r="B104" s="5952"/>
      <c r="C104" s="5952"/>
      <c r="D104" s="5952"/>
      <c r="E104" s="5952"/>
      <c r="F104" s="5959"/>
      <c r="G104" s="5959"/>
      <c r="H104" s="5952"/>
      <c r="I104" s="5952"/>
      <c r="J104" s="5952"/>
      <c r="K104" s="5952"/>
      <c r="L104" s="5952"/>
      <c r="M104" s="5952"/>
      <c r="N104" s="5952"/>
      <c r="O104" s="5952"/>
      <c r="P104" s="5952"/>
      <c r="Q104" s="5952"/>
      <c r="R104" s="5952"/>
      <c r="S104" s="5952"/>
      <c r="T104" s="5952"/>
      <c r="U104" s="5952"/>
      <c r="V104" s="5952"/>
      <c r="W104" s="5952"/>
      <c r="X104" s="5952"/>
      <c r="Y104" s="5963" t="s">
        <v>991</v>
      </c>
      <c r="Z104" s="5952"/>
      <c r="AA104" s="5964"/>
      <c r="AB104" s="5952"/>
      <c r="AC104" s="5952"/>
      <c r="AD104" s="5952"/>
      <c r="AE104" s="5952"/>
      <c r="AF104" s="5952"/>
      <c r="AG104" s="5952"/>
      <c r="AH104" s="5952"/>
      <c r="AI104" s="5952"/>
      <c r="AJ104" s="5952"/>
      <c r="AK104" s="5952"/>
      <c r="AL104" s="5959"/>
      <c r="AM104" s="5959"/>
      <c r="AN104" s="5959"/>
      <c r="AO104" s="5959"/>
      <c r="AP104" s="5959"/>
      <c r="AQ104" s="5959"/>
    </row>
    <row r="105" spans="1:43" s="3561" customFormat="1">
      <c r="A105" s="5952"/>
      <c r="B105" s="5952"/>
      <c r="C105" s="5952"/>
      <c r="D105" s="5952"/>
      <c r="E105" s="5952"/>
      <c r="F105" s="5959"/>
      <c r="G105" s="5959"/>
      <c r="H105" s="5952"/>
      <c r="I105" s="5952"/>
      <c r="J105" s="5952"/>
      <c r="K105" s="5952"/>
      <c r="L105" s="5952"/>
      <c r="M105" s="5952"/>
      <c r="N105" s="5952"/>
      <c r="O105" s="5952"/>
      <c r="P105" s="5952"/>
      <c r="Q105" s="5952"/>
      <c r="R105" s="5952"/>
      <c r="S105" s="5952"/>
      <c r="T105" s="5952"/>
      <c r="U105" s="5952"/>
      <c r="V105" s="5952"/>
      <c r="W105" s="5952"/>
      <c r="X105" s="5952"/>
      <c r="Y105" s="5952" t="s">
        <v>1916</v>
      </c>
      <c r="Z105" s="5952"/>
      <c r="AA105" s="5964"/>
      <c r="AB105" s="5952"/>
      <c r="AC105" s="5952"/>
      <c r="AD105" s="5952"/>
      <c r="AE105" s="5952"/>
      <c r="AF105" s="5952"/>
      <c r="AG105" s="5952"/>
      <c r="AH105" s="5952"/>
      <c r="AI105" s="5952"/>
      <c r="AJ105" s="5952"/>
      <c r="AK105" s="5952"/>
      <c r="AL105" s="5959"/>
      <c r="AM105" s="5959"/>
      <c r="AN105" s="5959"/>
      <c r="AO105" s="5959"/>
      <c r="AP105" s="5959"/>
      <c r="AQ105" s="5959"/>
    </row>
    <row r="106" spans="1:43" s="3561" customFormat="1">
      <c r="A106" s="5952"/>
      <c r="B106" s="5952"/>
      <c r="C106" s="5952"/>
      <c r="D106" s="5952"/>
      <c r="E106" s="5952"/>
      <c r="F106" s="5959"/>
      <c r="G106" s="5959"/>
      <c r="H106" s="5952"/>
      <c r="I106" s="5952"/>
      <c r="J106" s="5952"/>
      <c r="K106" s="5952"/>
      <c r="L106" s="5952"/>
      <c r="M106" s="5952"/>
      <c r="N106" s="5952"/>
      <c r="O106" s="5952"/>
      <c r="P106" s="5952"/>
      <c r="Q106" s="5952"/>
      <c r="R106" s="5952"/>
      <c r="S106" s="5952"/>
      <c r="T106" s="5952"/>
      <c r="U106" s="5952"/>
      <c r="V106" s="5952"/>
      <c r="W106" s="5952"/>
      <c r="X106" s="5952"/>
      <c r="Y106" s="5952" t="s">
        <v>1917</v>
      </c>
      <c r="Z106" s="5952"/>
      <c r="AA106" s="5952"/>
      <c r="AB106" s="5952"/>
      <c r="AC106" s="5952"/>
      <c r="AD106" s="5952"/>
      <c r="AE106" s="5952"/>
      <c r="AF106" s="5952"/>
      <c r="AG106" s="5952"/>
      <c r="AH106" s="5952"/>
      <c r="AI106" s="5952"/>
      <c r="AJ106" s="5952"/>
      <c r="AK106" s="5952"/>
      <c r="AL106" s="5959"/>
      <c r="AM106" s="5959"/>
      <c r="AN106" s="5959"/>
      <c r="AO106" s="5959"/>
      <c r="AP106" s="5959"/>
      <c r="AQ106" s="5959"/>
    </row>
    <row r="107" spans="1:43" s="3561" customFormat="1">
      <c r="A107" s="5952"/>
      <c r="B107" s="5952"/>
      <c r="C107" s="5952"/>
      <c r="D107" s="5952"/>
      <c r="E107" s="5952"/>
      <c r="F107" s="5959"/>
      <c r="G107" s="5959"/>
      <c r="H107" s="5952"/>
      <c r="I107" s="5952"/>
      <c r="J107" s="5952"/>
      <c r="K107" s="5952"/>
      <c r="L107" s="5952"/>
      <c r="M107" s="5952"/>
      <c r="N107" s="5952"/>
      <c r="O107" s="5952"/>
      <c r="P107" s="5952"/>
      <c r="Q107" s="5952"/>
      <c r="R107" s="5952"/>
      <c r="S107" s="5952"/>
      <c r="T107" s="5952"/>
      <c r="U107" s="5952"/>
      <c r="V107" s="5952"/>
      <c r="W107" s="5952"/>
      <c r="X107" s="5952"/>
      <c r="Y107" s="5952" t="s">
        <v>1918</v>
      </c>
      <c r="Z107" s="5952"/>
      <c r="AA107" s="5952"/>
      <c r="AB107" s="5952"/>
      <c r="AC107" s="5952"/>
      <c r="AD107" s="5952"/>
      <c r="AE107" s="5952"/>
      <c r="AF107" s="5952"/>
      <c r="AG107" s="5952"/>
      <c r="AH107" s="5952"/>
      <c r="AI107" s="5952"/>
      <c r="AJ107" s="5952"/>
      <c r="AK107" s="5952"/>
      <c r="AL107" s="5959"/>
      <c r="AM107" s="5959"/>
      <c r="AN107" s="5959"/>
      <c r="AO107" s="5959"/>
      <c r="AP107" s="5959"/>
      <c r="AQ107" s="5959"/>
    </row>
    <row r="108" spans="1:43" s="3561" customFormat="1">
      <c r="A108" s="5952"/>
      <c r="B108" s="5952"/>
      <c r="C108" s="5952"/>
      <c r="D108" s="5952"/>
      <c r="E108" s="5952"/>
      <c r="F108" s="5959"/>
      <c r="G108" s="5959"/>
      <c r="H108" s="5952"/>
      <c r="I108" s="5952"/>
      <c r="J108" s="5952"/>
      <c r="K108" s="5952"/>
      <c r="L108" s="5952"/>
      <c r="M108" s="5952"/>
      <c r="N108" s="5952"/>
      <c r="O108" s="5952"/>
      <c r="P108" s="5952"/>
      <c r="Q108" s="5952"/>
      <c r="R108" s="5952"/>
      <c r="S108" s="5952"/>
      <c r="T108" s="5952"/>
      <c r="U108" s="5952"/>
      <c r="V108" s="5952"/>
      <c r="W108" s="5952"/>
      <c r="X108" s="5952"/>
      <c r="Y108" s="7783" t="s">
        <v>1919</v>
      </c>
      <c r="Z108" s="5952"/>
      <c r="AA108" s="5952"/>
      <c r="AB108" s="5952"/>
      <c r="AC108" s="5952"/>
      <c r="AD108" s="5952"/>
      <c r="AE108" s="5952"/>
      <c r="AF108" s="5952"/>
      <c r="AG108" s="5952"/>
      <c r="AH108" s="5952"/>
      <c r="AI108" s="5952"/>
      <c r="AJ108" s="5952"/>
      <c r="AK108" s="5952"/>
      <c r="AL108" s="5959"/>
      <c r="AM108" s="5959"/>
      <c r="AN108" s="5959"/>
      <c r="AO108" s="5959"/>
      <c r="AP108" s="5959"/>
      <c r="AQ108" s="5959"/>
    </row>
    <row r="109" spans="1:43" s="3561" customFormat="1">
      <c r="A109" s="5952"/>
      <c r="B109" s="5952"/>
      <c r="C109" s="5952"/>
      <c r="D109" s="5952"/>
      <c r="E109" s="5952"/>
      <c r="F109" s="5959"/>
      <c r="G109" s="5959"/>
      <c r="H109" s="5952"/>
      <c r="I109" s="5952"/>
      <c r="J109" s="5952"/>
      <c r="K109" s="5952"/>
      <c r="L109" s="5952"/>
      <c r="M109" s="5952"/>
      <c r="N109" s="5952"/>
      <c r="O109" s="5952"/>
      <c r="P109" s="5952"/>
      <c r="Q109" s="5952"/>
      <c r="R109" s="5952"/>
      <c r="S109" s="5952"/>
      <c r="T109" s="5952"/>
      <c r="U109" s="5952"/>
      <c r="V109" s="5952"/>
      <c r="W109" s="5952"/>
      <c r="X109" s="5952"/>
      <c r="Y109" s="5952"/>
      <c r="Z109" s="5952"/>
      <c r="AA109" s="5952"/>
      <c r="AB109" s="5952"/>
      <c r="AC109" s="5952"/>
      <c r="AD109" s="5952"/>
      <c r="AE109" s="5952"/>
      <c r="AF109" s="5952"/>
      <c r="AG109" s="5952"/>
      <c r="AH109" s="5952"/>
      <c r="AI109" s="5952"/>
      <c r="AJ109" s="5952"/>
      <c r="AK109" s="5952"/>
      <c r="AL109" s="5959"/>
      <c r="AM109" s="5959"/>
      <c r="AN109" s="5959"/>
      <c r="AO109" s="5959"/>
      <c r="AP109" s="5959"/>
      <c r="AQ109" s="5959"/>
    </row>
    <row r="110" spans="1:43" s="5959" customFormat="1" ht="219.95" customHeight="1"/>
    <row r="111" spans="1:43" s="5959" customFormat="1" ht="219.95" customHeight="1"/>
    <row r="112" spans="1:43" s="5959" customFormat="1" ht="219.95" customHeight="1"/>
    <row r="113" s="5958" customFormat="1" ht="219.95" customHeight="1"/>
    <row r="114" s="5958" customFormat="1" ht="219.95" customHeight="1"/>
    <row r="115" s="5958" customFormat="1" ht="219.95" customHeight="1"/>
    <row r="116" s="5958" customFormat="1" ht="219.95" customHeight="1"/>
    <row r="117" hidden="1"/>
    <row r="118" hidden="1"/>
    <row r="119" hidden="1"/>
    <row r="120" hidden="1"/>
    <row r="121" hidden="1"/>
    <row r="122" hidden="1"/>
    <row r="123" hidden="1"/>
    <row r="124" hidden="1"/>
    <row r="125" hidden="1"/>
  </sheetData>
  <sheetProtection password="C665" sheet="1" objects="1" scenarios="1"/>
  <mergeCells count="273">
    <mergeCell ref="A95:A97"/>
    <mergeCell ref="B95:B103"/>
    <mergeCell ref="C95:C97"/>
    <mergeCell ref="A98:A101"/>
    <mergeCell ref="C98:C101"/>
    <mergeCell ref="A102:A103"/>
    <mergeCell ref="C102:C103"/>
    <mergeCell ref="B53:B68"/>
    <mergeCell ref="A63:A64"/>
    <mergeCell ref="C63:C64"/>
    <mergeCell ref="B69:B70"/>
    <mergeCell ref="A71:A73"/>
    <mergeCell ref="B71:B94"/>
    <mergeCell ref="C71:C73"/>
    <mergeCell ref="A74:A76"/>
    <mergeCell ref="C74:C76"/>
    <mergeCell ref="A77:A80"/>
    <mergeCell ref="C77:C80"/>
    <mergeCell ref="A81:A84"/>
    <mergeCell ref="C81:C84"/>
    <mergeCell ref="A85:A88"/>
    <mergeCell ref="C85:C88"/>
    <mergeCell ref="A89:A91"/>
    <mergeCell ref="C89:C91"/>
    <mergeCell ref="A92:A94"/>
    <mergeCell ref="C92:C94"/>
    <mergeCell ref="B25:B32"/>
    <mergeCell ref="A33:A41"/>
    <mergeCell ref="B33:B41"/>
    <mergeCell ref="C33:C41"/>
    <mergeCell ref="A42:A49"/>
    <mergeCell ref="B42:B49"/>
    <mergeCell ref="C42:C49"/>
    <mergeCell ref="A50:A52"/>
    <mergeCell ref="B50:B52"/>
    <mergeCell ref="C50:C52"/>
    <mergeCell ref="I18:I22"/>
    <mergeCell ref="J18:J22"/>
    <mergeCell ref="K18:K22"/>
    <mergeCell ref="P25:P32"/>
    <mergeCell ref="N33:N41"/>
    <mergeCell ref="N42:N49"/>
    <mergeCell ref="U42:U49"/>
    <mergeCell ref="V42:V49"/>
    <mergeCell ref="K42:K49"/>
    <mergeCell ref="L42:L49"/>
    <mergeCell ref="M42:M49"/>
    <mergeCell ref="R33:R41"/>
    <mergeCell ref="M18:M22"/>
    <mergeCell ref="N18:N22"/>
    <mergeCell ref="J33:J41"/>
    <mergeCell ref="K33:K41"/>
    <mergeCell ref="L33:L41"/>
    <mergeCell ref="M33:M41"/>
    <mergeCell ref="J42:J49"/>
    <mergeCell ref="AJ17:AJ21"/>
    <mergeCell ref="J25:J32"/>
    <mergeCell ref="K25:K32"/>
    <mergeCell ref="L25:L32"/>
    <mergeCell ref="N25:N32"/>
    <mergeCell ref="R25:R26"/>
    <mergeCell ref="S25:S26"/>
    <mergeCell ref="T25:T26"/>
    <mergeCell ref="R27:R28"/>
    <mergeCell ref="S27:S28"/>
    <mergeCell ref="T27:T28"/>
    <mergeCell ref="R29:R30"/>
    <mergeCell ref="S29:S30"/>
    <mergeCell ref="T29:T30"/>
    <mergeCell ref="Z18:AA18"/>
    <mergeCell ref="AC17:AE17"/>
    <mergeCell ref="AG17:AG21"/>
    <mergeCell ref="Z19:Z21"/>
    <mergeCell ref="W17:Y17"/>
    <mergeCell ref="T31:T32"/>
    <mergeCell ref="Q18:Q21"/>
    <mergeCell ref="R18:R22"/>
    <mergeCell ref="T18:T22"/>
    <mergeCell ref="S18:S22"/>
    <mergeCell ref="AA19:AA21"/>
    <mergeCell ref="AE19:AE21"/>
    <mergeCell ref="X18:X22"/>
    <mergeCell ref="P18:P22"/>
    <mergeCell ref="O33:O41"/>
    <mergeCell ref="P33:P41"/>
    <mergeCell ref="O42:O49"/>
    <mergeCell ref="P42:P49"/>
    <mergeCell ref="U33:U41"/>
    <mergeCell ref="V33:V41"/>
    <mergeCell ref="O18:O22"/>
    <mergeCell ref="S33:S41"/>
    <mergeCell ref="T33:T41"/>
    <mergeCell ref="V18:V21"/>
    <mergeCell ref="Y18:Y22"/>
    <mergeCell ref="W18:W22"/>
    <mergeCell ref="Z17:AB17"/>
    <mergeCell ref="U18:U21"/>
    <mergeCell ref="S31:S32"/>
    <mergeCell ref="J50:J52"/>
    <mergeCell ref="K50:K52"/>
    <mergeCell ref="U50:U52"/>
    <mergeCell ref="L50:L52"/>
    <mergeCell ref="M50:M52"/>
    <mergeCell ref="J53:J68"/>
    <mergeCell ref="K53:K68"/>
    <mergeCell ref="L53:L70"/>
    <mergeCell ref="M63:M64"/>
    <mergeCell ref="J69:J70"/>
    <mergeCell ref="K69:K70"/>
    <mergeCell ref="Q25:Q26"/>
    <mergeCell ref="Q27:Q28"/>
    <mergeCell ref="Q29:Q30"/>
    <mergeCell ref="Q31:Q32"/>
    <mergeCell ref="Q33:Q41"/>
    <mergeCell ref="Q42:Q49"/>
    <mergeCell ref="Q54:Q56"/>
    <mergeCell ref="Q50:Q52"/>
    <mergeCell ref="Q57:Q58"/>
    <mergeCell ref="L18:L22"/>
    <mergeCell ref="N98:N103"/>
    <mergeCell ref="O50:O52"/>
    <mergeCell ref="P50:P52"/>
    <mergeCell ref="O63:O64"/>
    <mergeCell ref="P63:P64"/>
    <mergeCell ref="O71:O73"/>
    <mergeCell ref="P71:P73"/>
    <mergeCell ref="N54:N58"/>
    <mergeCell ref="N63:N68"/>
    <mergeCell ref="P74:P76"/>
    <mergeCell ref="O77:O80"/>
    <mergeCell ref="P77:P80"/>
    <mergeCell ref="O81:O84"/>
    <mergeCell ref="N69:N70"/>
    <mergeCell ref="N71:N80"/>
    <mergeCell ref="N81:N88"/>
    <mergeCell ref="N89:N94"/>
    <mergeCell ref="N95:N97"/>
    <mergeCell ref="N50:N52"/>
    <mergeCell ref="O102:O103"/>
    <mergeCell ref="P102:P103"/>
    <mergeCell ref="O92:O94"/>
    <mergeCell ref="P92:P94"/>
    <mergeCell ref="O95:O97"/>
    <mergeCell ref="J95:J103"/>
    <mergeCell ref="K95:K103"/>
    <mergeCell ref="L95:L103"/>
    <mergeCell ref="M95:M97"/>
    <mergeCell ref="M98:M101"/>
    <mergeCell ref="M102:M103"/>
    <mergeCell ref="J71:J94"/>
    <mergeCell ref="K71:K94"/>
    <mergeCell ref="L71:L94"/>
    <mergeCell ref="M71:M73"/>
    <mergeCell ref="M74:M76"/>
    <mergeCell ref="M77:M80"/>
    <mergeCell ref="M81:M84"/>
    <mergeCell ref="M85:M88"/>
    <mergeCell ref="M89:M91"/>
    <mergeCell ref="M92:M94"/>
    <mergeCell ref="V50:V52"/>
    <mergeCell ref="U54:U56"/>
    <mergeCell ref="V54:V56"/>
    <mergeCell ref="I17:P17"/>
    <mergeCell ref="Q17:T17"/>
    <mergeCell ref="U17:V17"/>
    <mergeCell ref="T74:T76"/>
    <mergeCell ref="S74:S76"/>
    <mergeCell ref="R74:R76"/>
    <mergeCell ref="R31:R32"/>
    <mergeCell ref="Q69:Q70"/>
    <mergeCell ref="T54:T56"/>
    <mergeCell ref="S54:S56"/>
    <mergeCell ref="R54:R56"/>
    <mergeCell ref="R42:R49"/>
    <mergeCell ref="S42:S49"/>
    <mergeCell ref="T42:T49"/>
    <mergeCell ref="R50:R52"/>
    <mergeCell ref="S50:S52"/>
    <mergeCell ref="T50:T52"/>
    <mergeCell ref="T63:T64"/>
    <mergeCell ref="S63:S64"/>
    <mergeCell ref="R63:R64"/>
    <mergeCell ref="T69:T70"/>
    <mergeCell ref="Q102:Q103"/>
    <mergeCell ref="Q71:Q73"/>
    <mergeCell ref="Q74:Q76"/>
    <mergeCell ref="Q77:Q80"/>
    <mergeCell ref="Q81:Q84"/>
    <mergeCell ref="Q85:Q88"/>
    <mergeCell ref="T85:T88"/>
    <mergeCell ref="S85:S88"/>
    <mergeCell ref="T77:T80"/>
    <mergeCell ref="S77:S80"/>
    <mergeCell ref="R85:R88"/>
    <mergeCell ref="T92:T94"/>
    <mergeCell ref="S92:S94"/>
    <mergeCell ref="R92:R94"/>
    <mergeCell ref="T89:T91"/>
    <mergeCell ref="S89:S91"/>
    <mergeCell ref="R89:R91"/>
    <mergeCell ref="T102:T103"/>
    <mergeCell ref="S102:S103"/>
    <mergeCell ref="R102:R103"/>
    <mergeCell ref="P95:P97"/>
    <mergeCell ref="O98:O101"/>
    <mergeCell ref="P98:P101"/>
    <mergeCell ref="P81:P84"/>
    <mergeCell ref="O85:O88"/>
    <mergeCell ref="P85:P88"/>
    <mergeCell ref="O89:O91"/>
    <mergeCell ref="P89:P91"/>
    <mergeCell ref="Q89:Q91"/>
    <mergeCell ref="Q92:Q94"/>
    <mergeCell ref="Q95:Q97"/>
    <mergeCell ref="Q98:Q101"/>
    <mergeCell ref="U102:U103"/>
    <mergeCell ref="T98:T101"/>
    <mergeCell ref="S98:S101"/>
    <mergeCell ref="R98:R101"/>
    <mergeCell ref="T95:T97"/>
    <mergeCell ref="S95:S97"/>
    <mergeCell ref="R95:R97"/>
    <mergeCell ref="U71:U73"/>
    <mergeCell ref="V71:V73"/>
    <mergeCell ref="U81:U84"/>
    <mergeCell ref="V81:V84"/>
    <mergeCell ref="U92:U94"/>
    <mergeCell ref="V92:V94"/>
    <mergeCell ref="U57:U58"/>
    <mergeCell ref="V57:V58"/>
    <mergeCell ref="AJ54:AJ56"/>
    <mergeCell ref="AJ59:AJ62"/>
    <mergeCell ref="O74:O76"/>
    <mergeCell ref="R77:R80"/>
    <mergeCell ref="T81:T84"/>
    <mergeCell ref="S81:S84"/>
    <mergeCell ref="R81:R84"/>
    <mergeCell ref="V63:V64"/>
    <mergeCell ref="U69:U70"/>
    <mergeCell ref="T71:T73"/>
    <mergeCell ref="S71:S73"/>
    <mergeCell ref="R71:R73"/>
    <mergeCell ref="S69:S70"/>
    <mergeCell ref="R69:R70"/>
    <mergeCell ref="T57:T58"/>
    <mergeCell ref="S57:S58"/>
    <mergeCell ref="R57:R58"/>
    <mergeCell ref="V69:V70"/>
    <mergeCell ref="Q63:Q64"/>
    <mergeCell ref="X13:X15"/>
    <mergeCell ref="AG13:AI15"/>
    <mergeCell ref="Z13:AB15"/>
    <mergeCell ref="AC13:AE15"/>
    <mergeCell ref="U25:U32"/>
    <mergeCell ref="V25:V32"/>
    <mergeCell ref="V102:V103"/>
    <mergeCell ref="AC18:AD18"/>
    <mergeCell ref="AC19:AC21"/>
    <mergeCell ref="AD19:AD21"/>
    <mergeCell ref="AB19:AB21"/>
    <mergeCell ref="U95:U97"/>
    <mergeCell ref="V95:V97"/>
    <mergeCell ref="U98:U101"/>
    <mergeCell ref="V98:V101"/>
    <mergeCell ref="U85:U88"/>
    <mergeCell ref="V85:V88"/>
    <mergeCell ref="U89:U91"/>
    <mergeCell ref="V89:V91"/>
    <mergeCell ref="U74:U76"/>
    <mergeCell ref="V74:V76"/>
    <mergeCell ref="U77:U80"/>
    <mergeCell ref="V77:V80"/>
    <mergeCell ref="U63:U64"/>
  </mergeCells>
  <dataValidations count="1">
    <dataValidation type="list" allowBlank="1" showInputMessage="1" showErrorMessage="1" sqref="AH24:AH103">
      <formula1>"lb/MMBtu,ppmvd,%"</formula1>
    </dataValidation>
  </dataValidations>
  <hyperlinks>
    <hyperlink ref="H9" location="'Table of Contents'!A1" display="x"/>
  </hyperlinks>
  <pageMargins left="0.5" right="0" top="0.25" bottom="0.25" header="0" footer="0"/>
  <pageSetup paperSize="5" scale="45" orientation="portrait" r:id="rId1"/>
  <ignoredErrors>
    <ignoredError sqref="B24 B33:B49 Y101 AB64:AE64 Y80 Y91" formula="1"/>
    <ignoredError sqref="L24:L32 L33:L49" numberStoredAsText="1"/>
  </ignoredErrors>
  <drawing r:id="rId2"/>
</worksheet>
</file>

<file path=xl/worksheets/sheet13.xml><?xml version="1.0" encoding="utf-8"?>
<worksheet xmlns="http://schemas.openxmlformats.org/spreadsheetml/2006/main" xmlns:r="http://schemas.openxmlformats.org/officeDocument/2006/relationships">
  <sheetPr>
    <tabColor rgb="FFFFFFC1"/>
  </sheetPr>
  <dimension ref="A1:HS66"/>
  <sheetViews>
    <sheetView zoomScale="70" zoomScaleNormal="70" workbookViewId="0">
      <pane xSplit="7" ySplit="20" topLeftCell="H24" activePane="bottomRight" state="frozen"/>
      <selection activeCell="G6" sqref="G6"/>
      <selection pane="topRight" activeCell="G6" sqref="G6"/>
      <selection pane="bottomLeft" activeCell="G6" sqref="G6"/>
      <selection pane="bottomRight" activeCell="F1" sqref="F1"/>
    </sheetView>
  </sheetViews>
  <sheetFormatPr defaultColWidth="0" defaultRowHeight="12.75" zeroHeight="1"/>
  <cols>
    <col min="1" max="1" width="9.140625" style="5132" customWidth="1"/>
    <col min="2" max="2" width="11" style="5132" customWidth="1"/>
    <col min="3" max="3" width="8" style="5132" customWidth="1"/>
    <col min="4" max="6" width="2.7109375" style="5132" customWidth="1"/>
    <col min="7" max="7" width="5.7109375" style="5132" customWidth="1"/>
    <col min="8" max="8" width="4.5703125" style="5132" customWidth="1"/>
    <col min="9" max="9" width="32.28515625" style="5132" customWidth="1"/>
    <col min="10" max="10" width="12.5703125" style="5132" customWidth="1"/>
    <col min="11" max="11" width="8.85546875" style="5132" customWidth="1"/>
    <col min="12" max="12" width="20.140625" style="5132" customWidth="1"/>
    <col min="13" max="13" width="20.85546875" style="5132" customWidth="1"/>
    <col min="14" max="14" width="17.28515625" style="5132" customWidth="1"/>
    <col min="15" max="15" width="9.28515625" style="5132" customWidth="1"/>
    <col min="16" max="16" width="18.140625" style="5132" customWidth="1"/>
    <col min="17" max="17" width="11" style="5132" customWidth="1"/>
    <col min="18" max="19" width="10" style="5132" customWidth="1"/>
    <col min="20" max="20" width="16.7109375" style="5132" customWidth="1"/>
    <col min="21" max="21" width="9.7109375" style="5132" customWidth="1"/>
    <col min="22" max="22" width="8.28515625" style="5132" customWidth="1"/>
    <col min="23" max="23" width="7" style="5132" customWidth="1"/>
    <col min="24" max="24" width="12.42578125" style="5132" customWidth="1"/>
    <col min="25" max="25" width="19.7109375" style="5132" customWidth="1"/>
    <col min="26" max="26" width="15" style="5132" customWidth="1"/>
    <col min="27" max="27" width="13.42578125" style="5132" customWidth="1"/>
    <col min="28" max="28" width="11.7109375" style="5132" customWidth="1"/>
    <col min="29" max="29" width="10.85546875" style="5132" customWidth="1"/>
    <col min="30" max="30" width="15.7109375" style="5132" customWidth="1"/>
    <col min="31" max="34" width="11.7109375" style="5132" customWidth="1"/>
    <col min="35" max="35" width="14.7109375" style="5132" customWidth="1"/>
    <col min="36" max="37" width="11.7109375" style="5132" customWidth="1"/>
    <col min="38" max="38" width="15.7109375" style="5132" customWidth="1"/>
    <col min="39" max="39" width="27.42578125" style="5132" customWidth="1"/>
    <col min="40" max="40" width="13.28515625" style="5132" customWidth="1"/>
    <col min="41" max="41" width="12.85546875" style="5132" customWidth="1"/>
    <col min="42" max="45" width="13.28515625" style="5132" customWidth="1"/>
    <col min="46" max="46" width="10.7109375" style="5132" customWidth="1"/>
    <col min="47" max="47" width="11.7109375" style="5132" customWidth="1"/>
    <col min="48" max="48" width="10.7109375" style="5132" customWidth="1"/>
    <col min="49" max="49" width="11.7109375" style="5132" customWidth="1"/>
    <col min="50" max="50" width="10.7109375" style="5132" customWidth="1"/>
    <col min="51" max="51" width="11.7109375" style="5132" customWidth="1"/>
    <col min="52" max="52" width="11" style="5132" customWidth="1"/>
    <col min="53" max="53" width="14" style="5132" customWidth="1"/>
    <col min="54" max="54" width="7.7109375" style="5132" customWidth="1"/>
    <col min="55" max="55" width="25.5703125" style="5132" customWidth="1"/>
    <col min="56" max="56" width="33" style="5132" customWidth="1"/>
    <col min="57" max="57" width="24.5703125" style="5132" customWidth="1"/>
    <col min="58" max="58" width="27.5703125" style="5132" customWidth="1"/>
    <col min="59" max="59" width="40.7109375" style="5132" customWidth="1"/>
    <col min="60" max="60" width="7.85546875" style="5132" customWidth="1"/>
    <col min="61" max="61" width="10" style="5132" customWidth="1"/>
    <col min="62" max="62" width="10.85546875" style="5132" customWidth="1"/>
    <col min="63" max="63" width="19.85546875" style="5132" customWidth="1"/>
    <col min="64" max="64" width="27.85546875" style="5132" customWidth="1"/>
    <col min="65" max="65" width="26" style="5132" customWidth="1"/>
    <col min="66" max="66" width="12.140625" style="5132" customWidth="1"/>
    <col min="67" max="67" width="16.140625" style="5132" customWidth="1"/>
    <col min="68" max="68" width="17.140625" style="5132" customWidth="1"/>
    <col min="69" max="69" width="16.140625" style="5132" customWidth="1"/>
    <col min="70" max="70" width="18.5703125" style="5132" customWidth="1"/>
    <col min="71" max="71" width="30.5703125" style="5132" customWidth="1"/>
    <col min="72" max="72" width="14.140625" style="5132" customWidth="1"/>
    <col min="73" max="73" width="14.42578125" style="5132" customWidth="1"/>
    <col min="74" max="74" width="21.42578125" style="5132" customWidth="1"/>
    <col min="75" max="75" width="9.140625" style="5132" customWidth="1"/>
    <col min="76" max="76" width="30" style="5132" customWidth="1"/>
    <col min="77" max="77" width="17.7109375" style="5132" customWidth="1"/>
    <col min="78" max="78" width="17.42578125" style="5132" customWidth="1"/>
    <col min="79" max="79" width="21.140625" style="5132" customWidth="1"/>
    <col min="80" max="80" width="38.85546875" style="5132" customWidth="1"/>
    <col min="81" max="81" width="14" style="5132" customWidth="1"/>
    <col min="82" max="82" width="22.140625" style="5132" customWidth="1"/>
    <col min="83" max="83" width="13.5703125" style="5132" customWidth="1"/>
    <col min="84" max="84" width="65.42578125" style="5132" customWidth="1"/>
    <col min="85" max="85" width="38.5703125" style="5132" customWidth="1"/>
    <col min="86" max="86" width="16.85546875" style="5132" customWidth="1"/>
    <col min="87" max="87" width="12.7109375" style="5132" customWidth="1"/>
    <col min="88" max="88" width="8.7109375" style="5132" customWidth="1"/>
    <col min="89" max="89" width="18.7109375" style="5132" customWidth="1"/>
    <col min="90" max="90" width="50.5703125" style="5132" customWidth="1"/>
    <col min="91" max="91" width="36.85546875" style="5132" customWidth="1"/>
    <col min="92" max="92" width="13.85546875" style="5132" customWidth="1"/>
    <col min="93" max="93" width="21.42578125" style="5132" customWidth="1"/>
    <col min="94" max="94" width="18.85546875" style="5132" customWidth="1"/>
    <col min="95" max="95" width="13.42578125" style="5132" customWidth="1"/>
    <col min="96" max="96" width="34.140625" style="5132" customWidth="1"/>
    <col min="97" max="97" width="40.85546875" style="5132" customWidth="1"/>
    <col min="98" max="98" width="13" style="5132" customWidth="1"/>
    <col min="99" max="99" width="11" style="5132" customWidth="1"/>
    <col min="100" max="100" width="16.7109375" style="5132" customWidth="1"/>
    <col min="101" max="101" width="27.85546875" style="5132" customWidth="1"/>
    <col min="102" max="102" width="10.42578125" style="5132" customWidth="1"/>
    <col min="103" max="103" width="11.140625" style="5132" customWidth="1"/>
    <col min="104" max="104" width="11.28515625" style="5132" customWidth="1"/>
    <col min="105" max="105" width="11.7109375" style="5132" customWidth="1"/>
    <col min="106" max="109" width="10.42578125" style="5132" customWidth="1"/>
    <col min="110" max="110" width="12" style="5132" customWidth="1"/>
    <col min="111" max="111" width="21.7109375" style="5132" customWidth="1"/>
    <col min="112" max="113" width="19.42578125" style="5132" customWidth="1"/>
    <col min="114" max="114" width="24.28515625" style="5132" customWidth="1"/>
    <col min="115" max="115" width="9.28515625" style="5132" customWidth="1"/>
    <col min="116" max="117" width="9.85546875" style="5132" customWidth="1"/>
    <col min="118" max="118" width="15.28515625" style="5132" customWidth="1"/>
    <col min="119" max="119" width="11.42578125" style="5132" customWidth="1"/>
    <col min="120" max="120" width="14.7109375" style="5132" customWidth="1"/>
    <col min="121" max="121" width="19.5703125" style="5132" customWidth="1"/>
    <col min="122" max="122" width="21.5703125" style="5132" customWidth="1"/>
    <col min="123" max="123" width="8.42578125" style="5132" customWidth="1"/>
    <col min="124" max="124" width="9" style="5132" customWidth="1"/>
    <col min="125" max="125" width="19.28515625" style="5132" customWidth="1"/>
    <col min="126" max="126" width="20.28515625" style="5132" customWidth="1"/>
    <col min="127" max="127" width="26.140625" style="5132" customWidth="1"/>
    <col min="128" max="128" width="18.42578125" style="5132" customWidth="1"/>
    <col min="129" max="129" width="23.42578125" style="5132" customWidth="1"/>
    <col min="130" max="130" width="21.85546875" style="5132" customWidth="1"/>
    <col min="131" max="131" width="9.85546875" style="5132" customWidth="1"/>
    <col min="132" max="132" width="9" style="5132" customWidth="1"/>
    <col min="133" max="133" width="17" style="5132" customWidth="1"/>
    <col min="134" max="134" width="20.28515625" style="5132" customWidth="1"/>
    <col min="135" max="135" width="24.85546875" style="5132" customWidth="1"/>
    <col min="136" max="136" width="18.42578125" style="5132" customWidth="1"/>
    <col min="137" max="138" width="11.85546875" style="5132" customWidth="1"/>
    <col min="139" max="139" width="18.7109375" style="5132" customWidth="1"/>
    <col min="140" max="140" width="14.7109375" style="5132" customWidth="1"/>
    <col min="141" max="141" width="23.5703125" style="5132" customWidth="1"/>
    <col min="142" max="142" width="18.140625" style="5132" customWidth="1"/>
    <col min="143" max="143" width="14.7109375" style="5132" customWidth="1"/>
    <col min="144" max="145" width="13.42578125" style="5132" customWidth="1"/>
    <col min="146" max="146" width="25.5703125" style="5132" customWidth="1"/>
    <col min="147" max="147" width="16.5703125" style="5132" customWidth="1"/>
    <col min="148" max="148" width="12.42578125" style="5132" customWidth="1"/>
    <col min="149" max="149" width="29" style="5132" customWidth="1"/>
    <col min="150" max="150" width="19" style="5132" customWidth="1"/>
    <col min="151" max="151" width="13.7109375" style="5132" customWidth="1"/>
    <col min="152" max="152" width="26" style="5132" customWidth="1"/>
    <col min="153" max="153" width="17" style="5132" customWidth="1"/>
    <col min="154" max="154" width="17.5703125" style="5132" customWidth="1"/>
    <col min="155" max="155" width="22" style="5132" customWidth="1"/>
    <col min="156" max="156" width="14.85546875" style="5132" customWidth="1"/>
    <col min="157" max="157" width="14.42578125" style="5132" customWidth="1"/>
    <col min="158" max="158" width="13.28515625" style="5132" customWidth="1"/>
    <col min="159" max="159" width="51" style="5132" customWidth="1"/>
    <col min="160" max="160" width="10.7109375" style="5132" customWidth="1"/>
    <col min="161" max="161" width="12" style="5132" customWidth="1"/>
    <col min="162" max="166" width="10.7109375" style="5132" customWidth="1"/>
    <col min="167" max="167" width="12.5703125" style="5132" customWidth="1"/>
    <col min="168" max="171" width="10.7109375" style="5132" customWidth="1"/>
    <col min="172" max="172" width="44.85546875" style="5132" customWidth="1"/>
    <col min="173" max="173" width="35.140625" style="5132" customWidth="1"/>
    <col min="174" max="177" width="13.85546875" style="5132" customWidth="1"/>
    <col min="178" max="178" width="17.5703125" style="5132" customWidth="1"/>
    <col min="179" max="179" width="8.85546875" style="5132" customWidth="1"/>
    <col min="180" max="180" width="10.5703125" style="5132" customWidth="1"/>
    <col min="181" max="181" width="10" style="5132" customWidth="1"/>
    <col min="182" max="182" width="12.140625" style="5132" customWidth="1"/>
    <col min="183" max="183" width="10.28515625" style="5132" customWidth="1"/>
    <col min="184" max="184" width="29.85546875" style="5132" customWidth="1"/>
    <col min="185" max="186" width="11.85546875" style="5132" customWidth="1"/>
    <col min="187" max="187" width="36" style="5132" customWidth="1"/>
    <col min="188" max="188" width="16.7109375" style="5132" customWidth="1"/>
    <col min="189" max="189" width="27.5703125" style="5132" customWidth="1"/>
    <col min="190" max="191" width="11.140625" style="5132" customWidth="1"/>
    <col min="192" max="192" width="11.85546875" style="5132" customWidth="1"/>
    <col min="193" max="193" width="9.7109375" style="5132" customWidth="1"/>
    <col min="194" max="197" width="11.85546875" style="5132" customWidth="1"/>
    <col min="198" max="198" width="27" style="5132" customWidth="1"/>
    <col min="199" max="200" width="11.85546875" style="5132" customWidth="1"/>
    <col min="201" max="201" width="31.140625" style="5132" customWidth="1"/>
    <col min="202" max="202" width="14.7109375" style="5132" customWidth="1"/>
    <col min="203" max="203" width="25.5703125" style="5132" customWidth="1"/>
    <col min="204" max="205" width="10.5703125" style="5132" customWidth="1"/>
    <col min="206" max="213" width="11.85546875" style="5132" customWidth="1"/>
    <col min="214" max="215" width="14.5703125" style="5132" customWidth="1"/>
    <col min="216" max="217" width="11.85546875" style="5132" customWidth="1"/>
    <col min="218" max="218" width="16.140625" style="5132" customWidth="1"/>
    <col min="219" max="219" width="15.85546875" style="5132" customWidth="1"/>
    <col min="220" max="220" width="13.140625" style="5132" customWidth="1"/>
    <col min="221" max="221" width="11.28515625" style="5132" customWidth="1"/>
    <col min="222" max="222" width="18.7109375" style="5132" customWidth="1"/>
    <col min="223" max="223" width="2.7109375" style="5132" customWidth="1"/>
    <col min="224" max="226" width="40.7109375" style="5132" customWidth="1"/>
    <col min="227" max="227" width="0" style="5132" hidden="1" customWidth="1"/>
    <col min="228" max="16384" width="13.5703125" style="5132" hidden="1"/>
  </cols>
  <sheetData>
    <row r="1" spans="1:223" ht="12" customHeight="1">
      <c r="F1" s="5133"/>
      <c r="G1" s="5133"/>
      <c r="H1" s="5133"/>
      <c r="I1" s="5133"/>
      <c r="J1" s="5133"/>
      <c r="K1" s="5133"/>
      <c r="L1" s="5133"/>
      <c r="M1" s="5133"/>
      <c r="N1" s="5133"/>
      <c r="O1" s="5133"/>
      <c r="P1" s="5133"/>
      <c r="Q1" s="5133"/>
      <c r="R1" s="5133"/>
      <c r="S1" s="5133"/>
      <c r="T1" s="5133"/>
      <c r="U1" s="5133"/>
      <c r="V1" s="5133"/>
      <c r="W1" s="5133"/>
      <c r="X1" s="5133"/>
      <c r="Y1" s="5133"/>
      <c r="Z1" s="5133"/>
      <c r="AA1" s="5133"/>
      <c r="AB1" s="5133"/>
      <c r="AC1" s="5133"/>
      <c r="AD1" s="5133"/>
      <c r="AE1" s="5133"/>
      <c r="AF1" s="5133"/>
      <c r="AG1" s="5133"/>
      <c r="AH1" s="5133"/>
      <c r="AI1" s="5133"/>
      <c r="AJ1" s="5133"/>
      <c r="AK1" s="5133"/>
      <c r="AL1" s="5133"/>
      <c r="AM1" s="5133"/>
      <c r="AN1" s="5133"/>
      <c r="AO1" s="5133"/>
      <c r="AP1" s="5133"/>
      <c r="AQ1" s="5133"/>
      <c r="AR1" s="5133"/>
      <c r="AS1" s="5133"/>
      <c r="AT1" s="5133"/>
      <c r="AU1" s="5133"/>
      <c r="AV1" s="5133"/>
      <c r="AW1" s="5133"/>
      <c r="AX1" s="5133"/>
      <c r="AY1" s="5133"/>
      <c r="AZ1" s="5133"/>
      <c r="BA1" s="5133"/>
      <c r="BB1" s="5133"/>
      <c r="BC1" s="5133"/>
      <c r="BD1" s="5133"/>
      <c r="BE1" s="5133"/>
      <c r="BF1" s="5133"/>
      <c r="BG1" s="5133"/>
      <c r="BH1" s="5133"/>
      <c r="BI1" s="5133"/>
      <c r="BJ1" s="5133"/>
      <c r="BK1" s="5133"/>
      <c r="BL1" s="5133"/>
      <c r="BM1" s="5133"/>
      <c r="BN1" s="5133"/>
      <c r="BO1" s="5133"/>
      <c r="BP1" s="5133"/>
      <c r="BQ1" s="5133"/>
      <c r="BR1" s="5133"/>
      <c r="BS1" s="5133"/>
      <c r="BT1" s="5133"/>
      <c r="BU1" s="5133"/>
      <c r="BV1" s="5133"/>
      <c r="BW1" s="5133"/>
      <c r="BX1" s="5133"/>
      <c r="BY1" s="5133"/>
      <c r="BZ1" s="5133"/>
      <c r="CA1" s="5133"/>
      <c r="CB1" s="5133"/>
      <c r="CC1" s="5133"/>
      <c r="CD1" s="5133"/>
      <c r="CE1" s="5133"/>
      <c r="CF1" s="5133"/>
      <c r="CG1" s="5133"/>
      <c r="CH1" s="5133"/>
      <c r="CI1" s="5133"/>
      <c r="CJ1" s="5133"/>
      <c r="CK1" s="5133"/>
      <c r="CL1" s="5133"/>
      <c r="CM1" s="5133"/>
      <c r="CN1" s="5133"/>
      <c r="CO1" s="5133"/>
      <c r="CP1" s="5133"/>
      <c r="CQ1" s="5133"/>
      <c r="CR1" s="5133"/>
      <c r="CS1" s="5133"/>
      <c r="CT1" s="5133"/>
      <c r="CU1" s="5133"/>
      <c r="CV1" s="5133"/>
      <c r="CW1" s="5133"/>
      <c r="CX1" s="5133"/>
      <c r="CY1" s="5133"/>
      <c r="CZ1" s="5133"/>
      <c r="DA1" s="5133"/>
      <c r="DB1" s="5133"/>
      <c r="DC1" s="5133"/>
      <c r="DD1" s="5133"/>
      <c r="DE1" s="5133"/>
      <c r="DF1" s="5133"/>
      <c r="DG1" s="5133"/>
      <c r="DH1" s="5133"/>
      <c r="DI1" s="5133"/>
      <c r="DJ1" s="5133"/>
      <c r="DK1" s="5133"/>
      <c r="DL1" s="5133"/>
      <c r="DM1" s="5133"/>
      <c r="DN1" s="5133"/>
      <c r="DO1" s="5133"/>
      <c r="DP1" s="5133"/>
      <c r="DQ1" s="5133"/>
      <c r="DR1" s="5133"/>
      <c r="DS1" s="5133"/>
      <c r="DT1" s="5133"/>
      <c r="DU1" s="5133"/>
      <c r="DV1" s="5133"/>
      <c r="DW1" s="5133"/>
      <c r="DX1" s="5133"/>
      <c r="DY1" s="5133"/>
      <c r="DZ1" s="5133"/>
      <c r="EA1" s="5133"/>
      <c r="EB1" s="5133"/>
      <c r="EC1" s="5133"/>
      <c r="ED1" s="5133"/>
      <c r="EE1" s="5133"/>
      <c r="EF1" s="5133"/>
      <c r="EG1" s="5133"/>
      <c r="EH1" s="5133"/>
      <c r="EI1" s="5133"/>
      <c r="EJ1" s="5133"/>
      <c r="EK1" s="5133"/>
      <c r="EL1" s="5133"/>
      <c r="EM1" s="5133"/>
      <c r="EN1" s="5133"/>
      <c r="EO1" s="5133"/>
      <c r="EP1" s="5133"/>
      <c r="EQ1" s="5133"/>
      <c r="ER1" s="5133"/>
      <c r="ES1" s="5133"/>
      <c r="ET1" s="5133"/>
      <c r="EU1" s="5133"/>
      <c r="EV1" s="5133"/>
      <c r="EW1" s="5133"/>
      <c r="EX1" s="5133"/>
      <c r="EY1" s="5133"/>
      <c r="EZ1" s="5133"/>
      <c r="FA1" s="5133"/>
      <c r="FB1" s="5133"/>
      <c r="FC1" s="5133"/>
      <c r="FD1" s="5133"/>
      <c r="FE1" s="5133"/>
      <c r="FF1" s="5133"/>
      <c r="FG1" s="5133"/>
      <c r="FH1" s="5133"/>
      <c r="FI1" s="5133"/>
      <c r="FJ1" s="5133"/>
      <c r="FK1" s="5133"/>
      <c r="FL1" s="5133"/>
      <c r="FM1" s="5133"/>
      <c r="FN1" s="5133"/>
      <c r="FO1" s="5133"/>
      <c r="FP1" s="5133"/>
      <c r="FQ1" s="5133"/>
      <c r="FR1" s="5133"/>
      <c r="FS1" s="5133"/>
      <c r="FT1" s="5133"/>
      <c r="FU1" s="5133"/>
      <c r="FV1" s="5133"/>
      <c r="FW1" s="5133"/>
      <c r="FX1" s="5133"/>
      <c r="FY1" s="5133"/>
      <c r="FZ1" s="5133"/>
      <c r="GA1" s="5133"/>
      <c r="GB1" s="5133"/>
      <c r="GC1" s="5133"/>
      <c r="GD1" s="5133"/>
      <c r="GE1" s="5133"/>
      <c r="GF1" s="5133"/>
      <c r="GG1" s="5133"/>
      <c r="GH1" s="5133"/>
      <c r="GI1" s="5133"/>
      <c r="GJ1" s="5133"/>
      <c r="GK1" s="5133"/>
      <c r="GL1" s="5133"/>
      <c r="GM1" s="5133"/>
      <c r="GN1" s="5133"/>
      <c r="GO1" s="5133"/>
      <c r="GP1" s="5133"/>
      <c r="GQ1" s="5133"/>
      <c r="GR1" s="5133"/>
      <c r="GS1" s="5133"/>
      <c r="GT1" s="5133"/>
      <c r="GU1" s="5133"/>
      <c r="GV1" s="5133"/>
      <c r="GW1" s="5133"/>
      <c r="GX1" s="5133"/>
      <c r="GY1" s="5133"/>
      <c r="GZ1" s="5133"/>
      <c r="HA1" s="5133"/>
      <c r="HB1" s="5133"/>
      <c r="HC1" s="5133"/>
      <c r="HD1" s="5133"/>
      <c r="HE1" s="5133"/>
      <c r="HF1" s="5133"/>
      <c r="HG1" s="5133"/>
      <c r="HH1" s="5133"/>
      <c r="HI1" s="5133"/>
      <c r="HJ1" s="5133"/>
      <c r="HK1" s="5133"/>
      <c r="HL1" s="5133"/>
      <c r="HM1" s="5133"/>
      <c r="HN1" s="5133"/>
      <c r="HO1" s="5133"/>
    </row>
    <row r="2" spans="1:223">
      <c r="F2" s="5133"/>
      <c r="G2" s="5133"/>
      <c r="H2" s="8674" t="s">
        <v>2023</v>
      </c>
      <c r="I2" s="8675"/>
      <c r="J2" s="8675"/>
      <c r="K2" s="8675"/>
      <c r="L2" s="8676"/>
      <c r="M2" s="8676"/>
      <c r="N2" s="8677"/>
      <c r="O2" s="5133"/>
      <c r="P2" s="5133"/>
      <c r="Q2" s="5133"/>
      <c r="R2" s="5133"/>
      <c r="S2" s="5133"/>
      <c r="T2" s="5133"/>
      <c r="U2" s="5133"/>
      <c r="V2" s="5133"/>
      <c r="W2" s="5133"/>
      <c r="X2" s="5133"/>
      <c r="Y2" s="5133"/>
      <c r="Z2" s="6115"/>
      <c r="AA2" s="6115"/>
      <c r="AB2" s="6115"/>
      <c r="AC2" s="6115"/>
      <c r="AD2" s="6115"/>
      <c r="AE2" s="6115"/>
      <c r="AF2" s="6115"/>
      <c r="AG2" s="6115"/>
      <c r="AH2" s="6115"/>
      <c r="AI2" s="6115"/>
      <c r="AJ2" s="6115"/>
      <c r="AK2" s="6115"/>
      <c r="AL2" s="5133"/>
      <c r="AM2" s="5133"/>
      <c r="AN2" s="5133"/>
      <c r="AO2" s="5133"/>
      <c r="AP2" s="5133"/>
      <c r="AQ2" s="5133"/>
      <c r="AR2" s="5133"/>
      <c r="AS2" s="5133"/>
      <c r="AT2" s="5133"/>
      <c r="AU2" s="5133"/>
      <c r="AV2" s="5133"/>
      <c r="AW2" s="5133"/>
      <c r="AX2" s="5133"/>
      <c r="AY2" s="5133"/>
      <c r="AZ2" s="5133"/>
      <c r="BA2" s="5133"/>
      <c r="BB2" s="5133"/>
      <c r="BC2" s="5133"/>
      <c r="BD2" s="5133"/>
      <c r="BE2" s="5133"/>
      <c r="BF2" s="5133"/>
      <c r="BG2" s="5133"/>
      <c r="BH2" s="5133"/>
      <c r="BI2" s="5133"/>
      <c r="BJ2" s="5133"/>
      <c r="BK2" s="5133"/>
      <c r="BL2" s="5133"/>
      <c r="BM2" s="5133"/>
      <c r="BN2" s="5133"/>
      <c r="BO2" s="5133"/>
      <c r="BP2" s="5133"/>
      <c r="BQ2" s="5133"/>
      <c r="BR2" s="5133"/>
      <c r="BS2" s="5133"/>
      <c r="BT2" s="5133"/>
      <c r="BU2" s="5133"/>
      <c r="BV2" s="5133"/>
      <c r="BW2" s="5133"/>
      <c r="BX2" s="5133"/>
      <c r="BY2" s="5133"/>
      <c r="BZ2" s="5133"/>
      <c r="CA2" s="5133"/>
      <c r="CB2" s="5133"/>
      <c r="CC2" s="5133"/>
      <c r="CD2" s="5133"/>
      <c r="CE2" s="5133"/>
      <c r="CF2" s="5133"/>
      <c r="CG2" s="5133"/>
      <c r="CH2" s="5133"/>
      <c r="CI2" s="5133"/>
      <c r="CJ2" s="5133"/>
      <c r="CK2" s="5133"/>
      <c r="CL2" s="5133"/>
      <c r="CM2" s="5133"/>
      <c r="CN2" s="5133"/>
      <c r="CO2" s="5133"/>
      <c r="CP2" s="5133"/>
      <c r="CQ2" s="5133"/>
      <c r="CR2" s="5133"/>
      <c r="CS2" s="5133"/>
      <c r="CT2" s="5133"/>
      <c r="CU2" s="5133"/>
      <c r="CV2" s="5133"/>
      <c r="CW2" s="5133"/>
      <c r="CX2" s="5133"/>
      <c r="CY2" s="5133"/>
      <c r="CZ2" s="5133"/>
      <c r="DA2" s="5133"/>
      <c r="DB2" s="5133"/>
      <c r="DC2" s="5133"/>
      <c r="DD2" s="5133"/>
      <c r="DE2" s="5133"/>
      <c r="DF2" s="5133"/>
      <c r="DG2" s="5133"/>
      <c r="DH2" s="5133"/>
      <c r="DI2" s="5133"/>
      <c r="DJ2" s="5133"/>
      <c r="DK2" s="5133"/>
      <c r="DL2" s="5133"/>
      <c r="DM2" s="5133"/>
      <c r="DN2" s="5133"/>
      <c r="DO2" s="5133"/>
      <c r="DP2" s="5133"/>
      <c r="DQ2" s="5133"/>
      <c r="DR2" s="5133"/>
      <c r="DS2" s="5133"/>
      <c r="DT2" s="5133"/>
      <c r="DU2" s="5133"/>
      <c r="DV2" s="5133"/>
      <c r="DW2" s="5133"/>
      <c r="DX2" s="5133"/>
      <c r="DY2" s="5133"/>
      <c r="DZ2" s="5133"/>
      <c r="EA2" s="5133"/>
      <c r="EB2" s="5133"/>
      <c r="EC2" s="5133"/>
      <c r="ED2" s="5133"/>
      <c r="EE2" s="5133"/>
      <c r="EF2" s="5133"/>
      <c r="EG2" s="5133"/>
      <c r="EH2" s="5133"/>
      <c r="EI2" s="5133"/>
      <c r="EJ2" s="5133"/>
      <c r="EK2" s="5133"/>
      <c r="EL2" s="5133"/>
      <c r="EM2" s="5133"/>
      <c r="EN2" s="5133"/>
      <c r="EO2" s="5133"/>
      <c r="EP2" s="5133"/>
      <c r="EQ2" s="5133"/>
      <c r="ER2" s="5133"/>
      <c r="ES2" s="5133"/>
      <c r="ET2" s="5133"/>
      <c r="EU2" s="5133"/>
      <c r="EV2" s="5133"/>
      <c r="EW2" s="5133"/>
      <c r="EX2" s="5133"/>
      <c r="EY2" s="5133"/>
      <c r="EZ2" s="5133"/>
      <c r="FA2" s="5133"/>
      <c r="FB2" s="5133"/>
      <c r="FC2" s="5133"/>
      <c r="FD2" s="5133"/>
      <c r="FE2" s="5133"/>
      <c r="FF2" s="5133"/>
      <c r="FG2" s="5133"/>
      <c r="FH2" s="5133"/>
      <c r="FI2" s="5133"/>
      <c r="FJ2" s="5133"/>
      <c r="FK2" s="5133"/>
      <c r="FL2" s="5133"/>
      <c r="FM2" s="5133"/>
      <c r="FN2" s="5133"/>
      <c r="FO2" s="5133"/>
      <c r="FP2" s="5133"/>
      <c r="FQ2" s="5133"/>
      <c r="FR2" s="5133"/>
      <c r="FS2" s="5133"/>
      <c r="FT2" s="5133"/>
      <c r="FU2" s="5133"/>
      <c r="FV2" s="5133"/>
      <c r="FW2" s="5133"/>
      <c r="FX2" s="5133"/>
      <c r="FY2" s="5133"/>
      <c r="FZ2" s="5133"/>
      <c r="GA2" s="5133"/>
      <c r="GB2" s="5133"/>
      <c r="GC2" s="5133"/>
      <c r="GD2" s="5133"/>
      <c r="GE2" s="5133"/>
      <c r="GF2" s="5133"/>
      <c r="GG2" s="5133"/>
      <c r="GH2" s="5133"/>
      <c r="GI2" s="5133"/>
      <c r="GJ2" s="5133"/>
      <c r="GK2" s="5133"/>
      <c r="GL2" s="5133"/>
      <c r="GM2" s="5133"/>
      <c r="GN2" s="5133"/>
      <c r="GO2" s="5133"/>
      <c r="GP2" s="5133"/>
      <c r="GQ2" s="5133"/>
      <c r="GR2" s="5133"/>
      <c r="GS2" s="5133"/>
      <c r="GT2" s="5133"/>
      <c r="GU2" s="5133"/>
      <c r="GV2" s="5133"/>
      <c r="GW2" s="5133"/>
      <c r="GX2" s="5133"/>
      <c r="GY2" s="5133"/>
      <c r="GZ2" s="5133"/>
      <c r="HA2" s="5133"/>
      <c r="HB2" s="5133"/>
      <c r="HC2" s="5133"/>
      <c r="HD2" s="5133"/>
      <c r="HE2" s="5133"/>
      <c r="HF2" s="5133"/>
      <c r="HG2" s="5133"/>
      <c r="HH2" s="5133"/>
      <c r="HI2" s="5133"/>
      <c r="HJ2" s="5133"/>
      <c r="HK2" s="5133"/>
      <c r="HL2" s="5133"/>
      <c r="HM2" s="5133"/>
      <c r="HN2" s="5133"/>
      <c r="HO2" s="5133"/>
    </row>
    <row r="3" spans="1:223">
      <c r="F3" s="5133"/>
      <c r="G3" s="5133"/>
      <c r="H3" s="8678" t="s">
        <v>2021</v>
      </c>
      <c r="I3" s="7103" t="s">
        <v>2420</v>
      </c>
      <c r="J3" s="5121"/>
      <c r="K3" s="5121"/>
      <c r="L3" s="7405"/>
      <c r="M3" s="7405"/>
      <c r="N3" s="8679"/>
      <c r="O3" s="5133"/>
      <c r="P3" s="5133"/>
      <c r="Q3" s="5133"/>
      <c r="R3" s="5133"/>
      <c r="S3" s="5133"/>
      <c r="T3" s="5133"/>
      <c r="U3" s="5133"/>
      <c r="V3" s="5133"/>
      <c r="W3" s="5133"/>
      <c r="X3" s="5133"/>
      <c r="Y3" s="5133"/>
      <c r="Z3" s="6115"/>
      <c r="AA3" s="6115"/>
      <c r="AB3" s="6115"/>
      <c r="AC3" s="6115"/>
      <c r="AD3" s="6115"/>
      <c r="AE3" s="6115"/>
      <c r="AF3" s="6115"/>
      <c r="AG3" s="6115"/>
      <c r="AH3" s="6115"/>
      <c r="AI3" s="6115"/>
      <c r="AJ3" s="6115"/>
      <c r="AK3" s="6115"/>
      <c r="AL3" s="5133"/>
      <c r="AM3" s="5133"/>
      <c r="AN3" s="5133"/>
      <c r="AO3" s="5133"/>
      <c r="AP3" s="5133"/>
      <c r="AQ3" s="5133"/>
      <c r="AR3" s="5133"/>
      <c r="AS3" s="5133"/>
      <c r="AT3" s="5133"/>
      <c r="AU3" s="5133"/>
      <c r="AV3" s="5133"/>
      <c r="AW3" s="5133"/>
      <c r="AX3" s="5133"/>
      <c r="AY3" s="5133"/>
      <c r="AZ3" s="5133"/>
      <c r="BA3" s="5133"/>
      <c r="BB3" s="5133"/>
      <c r="BC3" s="5133"/>
      <c r="BD3" s="5133"/>
      <c r="BE3" s="5133"/>
      <c r="BF3" s="5133"/>
      <c r="BG3" s="5133"/>
      <c r="BH3" s="5133"/>
      <c r="BI3" s="5133"/>
      <c r="BJ3" s="5133"/>
      <c r="BK3" s="5133"/>
      <c r="BL3" s="5133"/>
      <c r="BM3" s="5133"/>
      <c r="BN3" s="5133"/>
      <c r="BO3" s="5133"/>
      <c r="BP3" s="5133"/>
      <c r="BQ3" s="5133"/>
      <c r="BR3" s="5133"/>
      <c r="BS3" s="5133"/>
      <c r="BT3" s="5133"/>
      <c r="BU3" s="5133"/>
      <c r="BV3" s="5133"/>
      <c r="BW3" s="5133"/>
      <c r="BX3" s="5133"/>
      <c r="BY3" s="5133"/>
      <c r="BZ3" s="5133"/>
      <c r="CA3" s="5133"/>
      <c r="CB3" s="5133"/>
      <c r="CC3" s="5133"/>
      <c r="CD3" s="5133"/>
      <c r="CE3" s="5133"/>
      <c r="CF3" s="5133"/>
      <c r="CG3" s="5133"/>
      <c r="CH3" s="5133"/>
      <c r="CI3" s="5133"/>
      <c r="CJ3" s="5133"/>
      <c r="CK3" s="5133"/>
      <c r="CL3" s="5133"/>
      <c r="CM3" s="5133"/>
      <c r="CN3" s="5133"/>
      <c r="CO3" s="5133"/>
      <c r="CP3" s="5133"/>
      <c r="CQ3" s="5133"/>
      <c r="CR3" s="5133"/>
      <c r="CS3" s="5133"/>
      <c r="CT3" s="5133"/>
      <c r="CU3" s="5133"/>
      <c r="CV3" s="5133"/>
      <c r="CW3" s="5133"/>
      <c r="CX3" s="5133"/>
      <c r="CY3" s="5133"/>
      <c r="CZ3" s="5133"/>
      <c r="DA3" s="5133"/>
      <c r="DB3" s="5133"/>
      <c r="DC3" s="5133"/>
      <c r="DD3" s="5133"/>
      <c r="DE3" s="5133"/>
      <c r="DF3" s="5133"/>
      <c r="DG3" s="5133"/>
      <c r="DH3" s="5133"/>
      <c r="DI3" s="5133"/>
      <c r="DJ3" s="5133"/>
      <c r="DK3" s="5133"/>
      <c r="DL3" s="5133"/>
      <c r="DM3" s="5133"/>
      <c r="DN3" s="5133"/>
      <c r="DO3" s="5133"/>
      <c r="DP3" s="5133"/>
      <c r="DQ3" s="5133"/>
      <c r="DR3" s="5133"/>
      <c r="DS3" s="5133"/>
      <c r="DT3" s="5133"/>
      <c r="DU3" s="5133"/>
      <c r="DV3" s="5133"/>
      <c r="DW3" s="5133"/>
      <c r="DX3" s="5133"/>
      <c r="DY3" s="5133"/>
      <c r="DZ3" s="5133"/>
      <c r="EA3" s="5133"/>
      <c r="EB3" s="5133"/>
      <c r="EC3" s="5133"/>
      <c r="ED3" s="5133"/>
      <c r="EE3" s="5133"/>
      <c r="EF3" s="5133"/>
      <c r="EG3" s="5133"/>
      <c r="EH3" s="5133"/>
      <c r="EI3" s="5133"/>
      <c r="EJ3" s="5133"/>
      <c r="EK3" s="5133"/>
      <c r="EL3" s="5133"/>
      <c r="EM3" s="5133"/>
      <c r="EN3" s="5133"/>
      <c r="EO3" s="5133"/>
      <c r="EP3" s="5133"/>
      <c r="EQ3" s="5133"/>
      <c r="ER3" s="5133"/>
      <c r="ES3" s="5133"/>
      <c r="ET3" s="5133"/>
      <c r="EU3" s="5133"/>
      <c r="EV3" s="5133"/>
      <c r="EW3" s="5133"/>
      <c r="EX3" s="5133"/>
      <c r="EY3" s="5133"/>
      <c r="EZ3" s="5133"/>
      <c r="FA3" s="5133"/>
      <c r="FB3" s="5133"/>
      <c r="FC3" s="5133"/>
      <c r="FD3" s="5133"/>
      <c r="FE3" s="5133"/>
      <c r="FF3" s="5133"/>
      <c r="FG3" s="5133"/>
      <c r="FH3" s="5133"/>
      <c r="FI3" s="5133"/>
      <c r="FJ3" s="5133"/>
      <c r="FK3" s="5133"/>
      <c r="FL3" s="5133"/>
      <c r="FM3" s="5133"/>
      <c r="FN3" s="5133"/>
      <c r="FO3" s="5133"/>
      <c r="FP3" s="5133"/>
      <c r="FQ3" s="5133"/>
      <c r="FR3" s="5133"/>
      <c r="FS3" s="5133"/>
      <c r="FT3" s="5133"/>
      <c r="FU3" s="5133"/>
      <c r="FV3" s="5133"/>
      <c r="FW3" s="5133"/>
      <c r="FX3" s="5133"/>
      <c r="FY3" s="5133"/>
      <c r="FZ3" s="5133"/>
      <c r="GA3" s="5133"/>
      <c r="GB3" s="5133"/>
      <c r="GC3" s="5133"/>
      <c r="GD3" s="5133"/>
      <c r="GE3" s="5133"/>
      <c r="GF3" s="5133"/>
      <c r="GG3" s="5133"/>
      <c r="GH3" s="5133"/>
      <c r="GI3" s="5133"/>
      <c r="GJ3" s="5133"/>
      <c r="GK3" s="5133"/>
      <c r="GL3" s="5133"/>
      <c r="GM3" s="5133"/>
      <c r="GN3" s="5133"/>
      <c r="GO3" s="5133"/>
      <c r="GP3" s="5133"/>
      <c r="GQ3" s="5133"/>
      <c r="GR3" s="5133"/>
      <c r="GS3" s="5133"/>
      <c r="GT3" s="5133"/>
      <c r="GU3" s="5133"/>
      <c r="GV3" s="5133"/>
      <c r="GW3" s="5133"/>
      <c r="GX3" s="5133"/>
      <c r="GY3" s="5133"/>
      <c r="GZ3" s="5133"/>
      <c r="HA3" s="5133"/>
      <c r="HB3" s="5133"/>
      <c r="HC3" s="5133"/>
      <c r="HD3" s="5133"/>
      <c r="HE3" s="5133"/>
      <c r="HF3" s="5133"/>
      <c r="HG3" s="5133"/>
      <c r="HH3" s="5133"/>
      <c r="HI3" s="5133"/>
      <c r="HJ3" s="5133"/>
      <c r="HK3" s="5133"/>
      <c r="HL3" s="5133"/>
      <c r="HM3" s="5133"/>
      <c r="HN3" s="5133"/>
      <c r="HO3" s="5133"/>
    </row>
    <row r="4" spans="1:223">
      <c r="F4" s="5133"/>
      <c r="G4" s="5133"/>
      <c r="H4" s="8678" t="s">
        <v>2021</v>
      </c>
      <c r="I4" s="5121" t="s">
        <v>2069</v>
      </c>
      <c r="J4" s="5121"/>
      <c r="K4" s="5121"/>
      <c r="L4" s="7405"/>
      <c r="M4" s="7405"/>
      <c r="N4" s="8679"/>
      <c r="O4" s="5133"/>
      <c r="P4" s="5133"/>
      <c r="Q4" s="5133"/>
      <c r="R4" s="5133"/>
      <c r="S4" s="5133"/>
      <c r="T4" s="5133"/>
      <c r="U4" s="5133"/>
      <c r="V4" s="5133"/>
      <c r="W4" s="5133"/>
      <c r="X4" s="5133"/>
      <c r="Y4" s="5133"/>
      <c r="Z4" s="5133"/>
      <c r="AA4" s="5133"/>
      <c r="AB4" s="5133"/>
      <c r="AC4" s="5133"/>
      <c r="AD4" s="5133"/>
      <c r="AE4" s="5133"/>
      <c r="AF4" s="5133"/>
      <c r="AG4" s="5133"/>
      <c r="AH4" s="5133"/>
      <c r="AI4" s="5133"/>
      <c r="AJ4" s="5133"/>
      <c r="AK4" s="5133"/>
      <c r="AL4" s="5133"/>
      <c r="AM4" s="5133"/>
      <c r="AN4" s="5133"/>
      <c r="AO4" s="5133"/>
      <c r="AP4" s="5133"/>
      <c r="AQ4" s="5133"/>
      <c r="AR4" s="5133"/>
      <c r="AS4" s="5133"/>
      <c r="AT4" s="5133"/>
      <c r="AU4" s="5133"/>
      <c r="AV4" s="5133"/>
      <c r="AW4" s="5133"/>
      <c r="AX4" s="5133"/>
      <c r="AY4" s="5133"/>
      <c r="AZ4" s="5133"/>
      <c r="BA4" s="5133"/>
      <c r="BB4" s="5133"/>
      <c r="BC4" s="5133"/>
      <c r="BD4" s="5133"/>
      <c r="BE4" s="5133"/>
      <c r="BF4" s="5133"/>
      <c r="BG4" s="5133"/>
      <c r="BH4" s="5133"/>
      <c r="BI4" s="5133"/>
      <c r="BJ4" s="5133"/>
      <c r="BK4" s="5133"/>
      <c r="BL4" s="5133"/>
      <c r="BM4" s="5133"/>
      <c r="BN4" s="5133"/>
      <c r="BO4" s="5133"/>
      <c r="BP4" s="5133"/>
      <c r="BQ4" s="5133"/>
      <c r="BR4" s="5133"/>
      <c r="BS4" s="5133"/>
      <c r="BT4" s="5133"/>
      <c r="BU4" s="5133"/>
      <c r="BV4" s="5133"/>
      <c r="BW4" s="5133"/>
      <c r="BX4" s="5133"/>
      <c r="BY4" s="5133"/>
      <c r="BZ4" s="5133"/>
      <c r="CA4" s="5133"/>
      <c r="CB4" s="5133"/>
      <c r="CC4" s="5133"/>
      <c r="CD4" s="5133"/>
      <c r="CE4" s="5133"/>
      <c r="CF4" s="5133"/>
      <c r="CG4" s="5133"/>
      <c r="CH4" s="5133"/>
      <c r="CI4" s="5133"/>
      <c r="CJ4" s="5133"/>
      <c r="CK4" s="5133"/>
      <c r="CL4" s="5133"/>
      <c r="CM4" s="5133"/>
      <c r="CN4" s="5133"/>
      <c r="CO4" s="5133"/>
      <c r="CP4" s="5133"/>
      <c r="CQ4" s="5133"/>
      <c r="CR4" s="5133"/>
      <c r="CS4" s="5133"/>
      <c r="CT4" s="5133"/>
      <c r="CU4" s="5133"/>
      <c r="CV4" s="5133"/>
      <c r="CW4" s="5133"/>
      <c r="CX4" s="5133"/>
      <c r="CY4" s="5133"/>
      <c r="CZ4" s="5133"/>
      <c r="DA4" s="5133"/>
      <c r="DB4" s="5133"/>
      <c r="DC4" s="5133"/>
      <c r="DD4" s="5133"/>
      <c r="DE4" s="5133"/>
      <c r="DF4" s="5133"/>
      <c r="DG4" s="5133"/>
      <c r="DH4" s="5133"/>
      <c r="DI4" s="5133"/>
      <c r="DJ4" s="5133"/>
      <c r="DK4" s="5133"/>
      <c r="DL4" s="5133"/>
      <c r="DM4" s="5133"/>
      <c r="DN4" s="5133"/>
      <c r="DO4" s="5133"/>
      <c r="DP4" s="5133"/>
      <c r="DQ4" s="5133"/>
      <c r="DR4" s="5133"/>
      <c r="DS4" s="5133"/>
      <c r="DT4" s="5133"/>
      <c r="DU4" s="5133"/>
      <c r="DV4" s="5133"/>
      <c r="DW4" s="5133"/>
      <c r="DX4" s="5133"/>
      <c r="DY4" s="5133"/>
      <c r="DZ4" s="5133"/>
      <c r="EA4" s="5133"/>
      <c r="EB4" s="5133"/>
      <c r="EC4" s="5133"/>
      <c r="ED4" s="5133"/>
      <c r="EE4" s="5133"/>
      <c r="EF4" s="5133"/>
      <c r="EG4" s="5133"/>
      <c r="EH4" s="5133"/>
      <c r="EI4" s="5133"/>
      <c r="EJ4" s="5133"/>
      <c r="EK4" s="5133"/>
      <c r="EL4" s="5133"/>
      <c r="EM4" s="5133"/>
      <c r="EN4" s="5133"/>
      <c r="EO4" s="5133"/>
      <c r="EP4" s="5133"/>
      <c r="EQ4" s="5133"/>
      <c r="ER4" s="5133"/>
      <c r="ES4" s="5133"/>
      <c r="ET4" s="5133"/>
      <c r="EU4" s="5133"/>
      <c r="EV4" s="5133"/>
      <c r="EW4" s="5133"/>
      <c r="EX4" s="5133"/>
      <c r="EY4" s="5133"/>
      <c r="EZ4" s="5133"/>
      <c r="FA4" s="5133"/>
      <c r="FB4" s="5133"/>
      <c r="FC4" s="5133"/>
      <c r="FD4" s="5133"/>
      <c r="FE4" s="5133"/>
      <c r="FF4" s="5133"/>
      <c r="FG4" s="5133"/>
      <c r="FH4" s="5133"/>
      <c r="FI4" s="5133"/>
      <c r="FJ4" s="5133"/>
      <c r="FK4" s="5133"/>
      <c r="FL4" s="5133"/>
      <c r="FM4" s="5133"/>
      <c r="FN4" s="5133"/>
      <c r="FO4" s="5133"/>
      <c r="FP4" s="5133"/>
      <c r="FQ4" s="5133"/>
      <c r="FR4" s="5133"/>
      <c r="FS4" s="5133"/>
      <c r="FT4" s="5133"/>
      <c r="FU4" s="5133"/>
      <c r="FV4" s="5133"/>
      <c r="FW4" s="5133"/>
      <c r="FX4" s="5133"/>
      <c r="FY4" s="5133"/>
      <c r="FZ4" s="5133"/>
      <c r="GA4" s="5133"/>
      <c r="GB4" s="5133"/>
      <c r="GC4" s="5133"/>
      <c r="GD4" s="5133"/>
      <c r="GE4" s="5133"/>
      <c r="GF4" s="5133"/>
      <c r="GG4" s="5133"/>
      <c r="GH4" s="5133"/>
      <c r="GI4" s="5133"/>
      <c r="GJ4" s="5133"/>
      <c r="GK4" s="5133"/>
      <c r="GL4" s="5133"/>
      <c r="GM4" s="5133"/>
      <c r="GN4" s="5133"/>
      <c r="GO4" s="5133"/>
      <c r="GP4" s="5133"/>
      <c r="GQ4" s="5133"/>
      <c r="GR4" s="5133"/>
      <c r="GS4" s="5133"/>
      <c r="GT4" s="5133"/>
      <c r="GU4" s="5133"/>
      <c r="GV4" s="5133"/>
      <c r="GW4" s="5133"/>
      <c r="GX4" s="5133"/>
      <c r="GY4" s="5133"/>
      <c r="GZ4" s="5133"/>
      <c r="HA4" s="5133"/>
      <c r="HB4" s="5133"/>
      <c r="HC4" s="5133"/>
      <c r="HD4" s="5133"/>
      <c r="HE4" s="5133"/>
      <c r="HF4" s="5133"/>
      <c r="HG4" s="5133"/>
      <c r="HH4" s="5133"/>
      <c r="HI4" s="5133"/>
      <c r="HJ4" s="5133"/>
      <c r="HK4" s="5133"/>
      <c r="HL4" s="5133"/>
      <c r="HM4" s="5133"/>
      <c r="HN4" s="5133"/>
      <c r="HO4" s="5133"/>
    </row>
    <row r="5" spans="1:223" ht="12.75" customHeight="1">
      <c r="A5" s="5143"/>
      <c r="F5" s="5133"/>
      <c r="G5" s="5133"/>
      <c r="H5" s="8678" t="s">
        <v>2021</v>
      </c>
      <c r="I5" s="7103" t="s">
        <v>2070</v>
      </c>
      <c r="J5" s="5121"/>
      <c r="K5" s="5121"/>
      <c r="L5" s="7405"/>
      <c r="M5" s="7405"/>
      <c r="N5" s="8679"/>
      <c r="O5" s="5133"/>
      <c r="P5" s="5133"/>
      <c r="Q5" s="5133"/>
      <c r="R5" s="5133"/>
      <c r="S5" s="5133"/>
      <c r="T5" s="5133"/>
      <c r="U5" s="5133"/>
      <c r="V5" s="5133"/>
      <c r="W5" s="5133"/>
      <c r="X5" s="5133"/>
      <c r="Y5" s="5133"/>
      <c r="Z5" s="6116"/>
      <c r="AA5" s="6116"/>
      <c r="AB5" s="6116"/>
      <c r="AC5" s="6116"/>
      <c r="AD5" s="6116"/>
      <c r="AE5" s="6116"/>
      <c r="AF5" s="6116"/>
      <c r="AG5" s="6116"/>
      <c r="AH5" s="6116"/>
      <c r="AI5" s="6116"/>
      <c r="AJ5" s="6116"/>
      <c r="AK5" s="6116"/>
      <c r="AL5" s="5133"/>
      <c r="AM5" s="5133"/>
      <c r="AN5" s="5133"/>
      <c r="AO5" s="5133"/>
      <c r="AP5" s="5133"/>
      <c r="AQ5" s="5133"/>
      <c r="AR5" s="5133"/>
      <c r="AS5" s="5133"/>
      <c r="AT5" s="5133"/>
      <c r="AU5" s="5133"/>
      <c r="AV5" s="5133"/>
      <c r="AW5" s="5133"/>
      <c r="AX5" s="5133"/>
      <c r="AY5" s="5133"/>
      <c r="AZ5" s="5133"/>
      <c r="BA5" s="5133"/>
      <c r="BB5" s="5133"/>
      <c r="BC5" s="5133"/>
      <c r="BD5" s="5133"/>
      <c r="BE5" s="5133"/>
      <c r="BF5" s="5133"/>
      <c r="BG5" s="5133"/>
      <c r="BH5" s="5133"/>
      <c r="BI5" s="5133"/>
      <c r="BJ5" s="5133"/>
      <c r="BK5" s="5133"/>
      <c r="BL5" s="5133"/>
      <c r="BM5" s="5133"/>
      <c r="BN5" s="5133"/>
      <c r="BO5" s="5937"/>
      <c r="BP5" s="5133"/>
      <c r="BQ5" s="5133"/>
      <c r="BR5" s="5133"/>
      <c r="BS5" s="5133"/>
      <c r="BT5" s="5133"/>
      <c r="BU5" s="5133"/>
      <c r="BV5" s="5133"/>
      <c r="BW5" s="5133"/>
      <c r="BX5" s="5133"/>
      <c r="BY5" s="5133"/>
      <c r="BZ5" s="5133"/>
      <c r="CA5" s="5133"/>
      <c r="CB5" s="5133"/>
      <c r="CC5" s="5133"/>
      <c r="CD5" s="5133"/>
      <c r="CE5" s="5133"/>
      <c r="CF5" s="5133"/>
      <c r="CG5" s="5133"/>
      <c r="CH5" s="5133"/>
      <c r="CI5" s="5133"/>
      <c r="CJ5" s="5133"/>
      <c r="CK5" s="5133"/>
      <c r="CL5" s="5133"/>
      <c r="CM5" s="5133"/>
      <c r="CN5" s="5133"/>
      <c r="CO5" s="5133"/>
      <c r="CP5" s="5133"/>
      <c r="CQ5" s="5133"/>
      <c r="CR5" s="5133"/>
      <c r="CS5" s="5133"/>
      <c r="CT5" s="5133"/>
      <c r="CU5" s="5133"/>
      <c r="CV5" s="5133"/>
      <c r="CW5" s="5133"/>
      <c r="CX5" s="5133"/>
      <c r="CY5" s="5133"/>
      <c r="CZ5" s="5133"/>
      <c r="DA5" s="5133"/>
      <c r="DB5" s="5133"/>
      <c r="DC5" s="5133"/>
      <c r="DD5" s="5133"/>
      <c r="DE5" s="5133"/>
      <c r="DF5" s="5133"/>
      <c r="DG5" s="5133"/>
      <c r="DH5" s="5133"/>
      <c r="DI5" s="5133"/>
      <c r="DJ5" s="5133"/>
      <c r="DK5" s="5133"/>
      <c r="DL5" s="5133"/>
      <c r="DM5" s="5133"/>
      <c r="DN5" s="5133"/>
      <c r="DO5" s="5133"/>
      <c r="DP5" s="5133"/>
      <c r="DQ5" s="5133"/>
      <c r="DR5" s="5133"/>
      <c r="DS5" s="5133"/>
      <c r="DT5" s="5133"/>
      <c r="DU5" s="5133"/>
      <c r="DV5" s="5133"/>
      <c r="DW5" s="5133"/>
      <c r="DX5" s="5133"/>
      <c r="DY5" s="5133"/>
      <c r="DZ5" s="5133"/>
      <c r="EA5" s="5133"/>
      <c r="EB5" s="5133"/>
      <c r="EC5" s="5133"/>
      <c r="ED5" s="5133"/>
      <c r="EE5" s="5133"/>
      <c r="EF5" s="5133"/>
      <c r="EG5" s="5133"/>
      <c r="EH5" s="5133"/>
      <c r="EI5" s="5133"/>
      <c r="EJ5" s="5133"/>
      <c r="EK5" s="5133"/>
      <c r="EL5" s="5133"/>
      <c r="EM5" s="5133"/>
      <c r="EN5" s="5133"/>
      <c r="EO5" s="5133"/>
      <c r="EP5" s="5133"/>
      <c r="EQ5" s="5133"/>
      <c r="ER5" s="5133"/>
      <c r="ES5" s="5133"/>
      <c r="ET5" s="5133"/>
      <c r="EU5" s="5133"/>
      <c r="EV5" s="5133"/>
      <c r="EW5" s="5133"/>
      <c r="EX5" s="5133"/>
      <c r="EY5" s="5133"/>
      <c r="EZ5" s="5133"/>
      <c r="FA5" s="5133"/>
      <c r="FB5" s="5133"/>
      <c r="FC5" s="5133"/>
      <c r="FD5" s="5133"/>
      <c r="FE5" s="5133"/>
      <c r="FF5" s="5133"/>
      <c r="FG5" s="5133"/>
      <c r="FH5" s="5133"/>
      <c r="FI5" s="5133"/>
      <c r="FJ5" s="5133"/>
      <c r="FK5" s="5133"/>
      <c r="FL5" s="5133"/>
      <c r="FM5" s="5133"/>
      <c r="FN5" s="5133"/>
      <c r="FO5" s="5133"/>
      <c r="FP5" s="5133"/>
      <c r="FQ5" s="5133"/>
      <c r="FR5" s="5133"/>
      <c r="FS5" s="5133"/>
      <c r="FT5" s="5133"/>
      <c r="FU5" s="5133"/>
      <c r="FV5" s="5133"/>
      <c r="FW5" s="5133"/>
      <c r="FX5" s="5133"/>
      <c r="FY5" s="5133"/>
      <c r="FZ5" s="5133"/>
      <c r="GA5" s="5133"/>
      <c r="GB5" s="5133"/>
      <c r="GC5" s="5133"/>
      <c r="GD5" s="5133"/>
      <c r="GE5" s="5133"/>
      <c r="GF5" s="5133"/>
      <c r="GG5" s="5133"/>
      <c r="GH5" s="5133"/>
      <c r="GI5" s="5133"/>
      <c r="GJ5" s="5133"/>
      <c r="GK5" s="5133"/>
      <c r="GL5" s="5133"/>
      <c r="GM5" s="5133"/>
      <c r="GN5" s="5133"/>
      <c r="GO5" s="5133"/>
      <c r="GP5" s="5133"/>
      <c r="GQ5" s="5133"/>
      <c r="GR5" s="5133"/>
      <c r="GS5" s="5133"/>
      <c r="GT5" s="5133"/>
      <c r="GU5" s="5133"/>
      <c r="GV5" s="5133"/>
      <c r="GW5" s="5133"/>
      <c r="GX5" s="5133"/>
      <c r="GY5" s="5133"/>
      <c r="GZ5" s="5133"/>
      <c r="HA5" s="5133"/>
      <c r="HB5" s="5133"/>
      <c r="HC5" s="5133"/>
      <c r="HD5" s="5133"/>
      <c r="HE5" s="5133"/>
      <c r="HF5" s="5133"/>
      <c r="HG5" s="5133"/>
      <c r="HH5" s="5133"/>
      <c r="HI5" s="5133"/>
      <c r="HJ5" s="5133"/>
      <c r="HK5" s="5133"/>
      <c r="HL5" s="5133"/>
      <c r="HM5" s="5133"/>
      <c r="HN5" s="5133"/>
      <c r="HO5" s="5133"/>
    </row>
    <row r="6" spans="1:223" ht="12.75" customHeight="1">
      <c r="F6" s="5133"/>
      <c r="G6" s="5133"/>
      <c r="H6" s="8678" t="s">
        <v>2021</v>
      </c>
      <c r="I6" s="7103" t="s">
        <v>2071</v>
      </c>
      <c r="J6" s="5121"/>
      <c r="K6" s="5121"/>
      <c r="L6" s="7405"/>
      <c r="M6" s="7405"/>
      <c r="N6" s="8679"/>
      <c r="O6" s="5133"/>
      <c r="P6" s="5133"/>
      <c r="Q6" s="5133"/>
      <c r="R6" s="5133"/>
      <c r="S6" s="5133"/>
      <c r="T6" s="5133"/>
      <c r="U6" s="5133"/>
      <c r="V6" s="5133"/>
      <c r="W6" s="5133"/>
      <c r="X6" s="5133"/>
      <c r="Y6" s="5133"/>
      <c r="Z6" s="6116"/>
      <c r="AA6" s="6116"/>
      <c r="AB6" s="6116"/>
      <c r="AC6" s="6116"/>
      <c r="AD6" s="6116"/>
      <c r="AE6" s="6116"/>
      <c r="AF6" s="6116"/>
      <c r="AG6" s="6116"/>
      <c r="AH6" s="6116"/>
      <c r="AI6" s="6116"/>
      <c r="AJ6" s="6116"/>
      <c r="AK6" s="6116"/>
      <c r="AL6" s="5133"/>
      <c r="AM6" s="5133"/>
      <c r="AN6" s="5133"/>
      <c r="AO6" s="5133"/>
      <c r="AP6" s="5133"/>
      <c r="AQ6" s="5133"/>
      <c r="AR6" s="5133"/>
      <c r="AS6" s="5133"/>
      <c r="AT6" s="5133"/>
      <c r="AU6" s="5133"/>
      <c r="AV6" s="5133"/>
      <c r="AW6" s="5133"/>
      <c r="AX6" s="5133"/>
      <c r="AY6" s="5133"/>
      <c r="AZ6" s="5133"/>
      <c r="BA6" s="5133"/>
      <c r="BB6" s="5133"/>
      <c r="BC6" s="5133"/>
      <c r="BD6" s="5133"/>
      <c r="BE6" s="5133"/>
      <c r="BF6" s="5133"/>
      <c r="BG6" s="5133"/>
      <c r="BH6" s="5133"/>
      <c r="BI6" s="5133"/>
      <c r="BJ6" s="5133"/>
      <c r="BK6" s="5133"/>
      <c r="BL6" s="5133"/>
      <c r="BM6" s="5133"/>
      <c r="BN6" s="5133"/>
      <c r="BO6" s="5133"/>
      <c r="BP6" s="5133"/>
      <c r="BQ6" s="5133"/>
      <c r="BR6" s="5133"/>
      <c r="BS6" s="5133"/>
      <c r="BT6" s="5133"/>
      <c r="BU6" s="5133"/>
      <c r="BV6" s="5133"/>
      <c r="BW6" s="5133"/>
      <c r="BX6" s="5133"/>
      <c r="BY6" s="5133"/>
      <c r="BZ6" s="5133"/>
      <c r="CA6" s="5133"/>
      <c r="CB6" s="5133"/>
      <c r="CC6" s="5133"/>
      <c r="CD6" s="5133"/>
      <c r="CE6" s="5133"/>
      <c r="CF6" s="5133"/>
      <c r="CG6" s="5133"/>
      <c r="CH6" s="5133"/>
      <c r="CI6" s="5133"/>
      <c r="CJ6" s="5133"/>
      <c r="CK6" s="5133"/>
      <c r="CL6" s="5133"/>
      <c r="CM6" s="5133"/>
      <c r="CN6" s="5133"/>
      <c r="CO6" s="5133"/>
      <c r="CP6" s="5133"/>
      <c r="CQ6" s="5133"/>
      <c r="CR6" s="5133"/>
      <c r="CS6" s="5133"/>
      <c r="CT6" s="5133"/>
      <c r="CU6" s="5133"/>
      <c r="CV6" s="5133"/>
      <c r="CW6" s="5133"/>
      <c r="CX6" s="5133"/>
      <c r="CY6" s="5133"/>
      <c r="CZ6" s="5133"/>
      <c r="DA6" s="5133"/>
      <c r="DB6" s="5133"/>
      <c r="DC6" s="5133"/>
      <c r="DD6" s="5133"/>
      <c r="DE6" s="5133"/>
      <c r="DF6" s="5133"/>
      <c r="DG6" s="5133"/>
      <c r="DH6" s="5133"/>
      <c r="DI6" s="6117"/>
      <c r="DJ6" s="6117"/>
      <c r="DK6" s="6117"/>
      <c r="DL6" s="6117"/>
      <c r="DM6" s="6117"/>
      <c r="DN6" s="6117"/>
      <c r="DO6" s="6117"/>
      <c r="DP6" s="6117"/>
      <c r="DQ6" s="6117"/>
      <c r="DR6" s="6117"/>
      <c r="DS6" s="6117"/>
      <c r="DT6" s="5133"/>
      <c r="DU6" s="5133"/>
      <c r="DV6" s="5133"/>
      <c r="DW6" s="5133"/>
      <c r="DX6" s="5133"/>
      <c r="DY6" s="5133"/>
      <c r="DZ6" s="5133"/>
      <c r="EA6" s="5133"/>
      <c r="EB6" s="5133"/>
      <c r="EC6" s="5133"/>
      <c r="ED6" s="5133"/>
      <c r="EE6" s="5133"/>
      <c r="EF6" s="5133"/>
      <c r="EG6" s="5133"/>
      <c r="EH6" s="5133"/>
      <c r="EI6" s="5133"/>
      <c r="EJ6" s="5133"/>
      <c r="EK6" s="5133"/>
      <c r="EL6" s="5133"/>
      <c r="EM6" s="5133"/>
      <c r="EN6" s="5133"/>
      <c r="EO6" s="5133"/>
      <c r="EP6" s="5133"/>
      <c r="EQ6" s="5133"/>
      <c r="ER6" s="5133"/>
      <c r="ES6" s="5133"/>
      <c r="ET6" s="5133"/>
      <c r="EU6" s="5133"/>
      <c r="EV6" s="5133"/>
      <c r="EW6" s="5133"/>
      <c r="EX6" s="5133"/>
      <c r="EY6" s="5133"/>
      <c r="EZ6" s="5133"/>
      <c r="FA6" s="5133"/>
      <c r="FB6" s="5133"/>
      <c r="FC6" s="5133"/>
      <c r="FD6" s="5133"/>
      <c r="FE6" s="5133"/>
      <c r="FF6" s="5133"/>
      <c r="FG6" s="5133"/>
      <c r="FH6" s="5133"/>
      <c r="FI6" s="5133"/>
      <c r="FJ6" s="5133"/>
      <c r="FK6" s="5133"/>
      <c r="FL6" s="5133"/>
      <c r="FM6" s="5133"/>
      <c r="FN6" s="5133"/>
      <c r="FO6" s="5133"/>
      <c r="FP6" s="5133"/>
      <c r="FQ6" s="5133"/>
      <c r="FR6" s="5133"/>
      <c r="FS6" s="5133"/>
      <c r="FT6" s="5133"/>
      <c r="FU6" s="5133"/>
      <c r="FV6" s="5133"/>
      <c r="FW6" s="5133"/>
      <c r="FX6" s="5133"/>
      <c r="FY6" s="5133"/>
      <c r="FZ6" s="5133"/>
      <c r="GA6" s="5133"/>
      <c r="GB6" s="5133"/>
      <c r="GC6" s="5133"/>
      <c r="GD6" s="5133"/>
      <c r="GE6" s="5133"/>
      <c r="GF6" s="5133"/>
      <c r="GG6" s="5133"/>
      <c r="GH6" s="5133"/>
      <c r="GI6" s="5133"/>
      <c r="GJ6" s="5133"/>
      <c r="GK6" s="5133"/>
      <c r="GL6" s="5133"/>
      <c r="GM6" s="5133"/>
      <c r="GN6" s="5133"/>
      <c r="GO6" s="5133"/>
      <c r="GP6" s="5133"/>
      <c r="GQ6" s="5133"/>
      <c r="GR6" s="5133"/>
      <c r="GS6" s="5133"/>
      <c r="GT6" s="5133"/>
      <c r="GU6" s="5133"/>
      <c r="GV6" s="5133"/>
      <c r="GW6" s="5133"/>
      <c r="GX6" s="5133"/>
      <c r="GY6" s="5133"/>
      <c r="GZ6" s="5133"/>
      <c r="HA6" s="5133"/>
      <c r="HB6" s="5133"/>
      <c r="HC6" s="5133"/>
      <c r="HD6" s="5133"/>
      <c r="HE6" s="5133"/>
      <c r="HF6" s="5133"/>
      <c r="HG6" s="5133"/>
      <c r="HH6" s="5133"/>
      <c r="HI6" s="5133"/>
      <c r="HJ6" s="5133"/>
      <c r="HK6" s="5133"/>
      <c r="HL6" s="5133"/>
      <c r="HM6" s="5133"/>
      <c r="HN6" s="5133"/>
      <c r="HO6" s="5133"/>
    </row>
    <row r="7" spans="1:223" ht="12.75" customHeight="1">
      <c r="F7" s="5133"/>
      <c r="G7" s="5133"/>
      <c r="H7" s="8678" t="s">
        <v>2021</v>
      </c>
      <c r="I7" s="7103" t="s">
        <v>2072</v>
      </c>
      <c r="J7" s="7405"/>
      <c r="K7" s="7405"/>
      <c r="L7" s="7405"/>
      <c r="M7" s="7405"/>
      <c r="N7" s="8679"/>
      <c r="O7" s="5133"/>
      <c r="P7" s="5133"/>
      <c r="Q7" s="5133"/>
      <c r="R7" s="5133"/>
      <c r="S7" s="5133"/>
      <c r="T7" s="5133"/>
      <c r="U7" s="5133"/>
      <c r="V7" s="5133"/>
      <c r="W7" s="5133"/>
      <c r="X7" s="5133"/>
      <c r="Y7" s="5133"/>
      <c r="Z7" s="6116"/>
      <c r="AA7" s="6116"/>
      <c r="AB7" s="6116"/>
      <c r="AC7" s="6116"/>
      <c r="AD7" s="6116"/>
      <c r="AE7" s="6116"/>
      <c r="AF7" s="6116"/>
      <c r="AG7" s="6116"/>
      <c r="AH7" s="6116"/>
      <c r="AI7" s="6116"/>
      <c r="AJ7" s="6116"/>
      <c r="AK7" s="6116"/>
      <c r="AL7" s="5133"/>
      <c r="AM7" s="5133"/>
      <c r="AN7" s="5133"/>
      <c r="AO7" s="5133"/>
      <c r="AP7" s="5133"/>
      <c r="AQ7" s="5133"/>
      <c r="AR7" s="5133"/>
      <c r="AS7" s="5133"/>
      <c r="AT7" s="5133"/>
      <c r="AU7" s="5133"/>
      <c r="AV7" s="5133"/>
      <c r="AW7" s="5133"/>
      <c r="AX7" s="5133"/>
      <c r="AY7" s="5133"/>
      <c r="AZ7" s="5133"/>
      <c r="BA7" s="5133"/>
      <c r="BB7" s="5133"/>
      <c r="BC7" s="5133"/>
      <c r="BD7" s="5133"/>
      <c r="BE7" s="5133"/>
      <c r="BF7" s="5133"/>
      <c r="BG7" s="5133"/>
      <c r="BH7" s="5133"/>
      <c r="BI7" s="5133"/>
      <c r="BJ7" s="5133"/>
      <c r="BK7" s="5133"/>
      <c r="BL7" s="5133"/>
      <c r="BM7" s="5133"/>
      <c r="BN7" s="5133"/>
      <c r="BO7" s="5133"/>
      <c r="BP7" s="5133"/>
      <c r="BQ7" s="5133"/>
      <c r="BR7" s="5133"/>
      <c r="BS7" s="5133"/>
      <c r="BT7" s="5133"/>
      <c r="BU7" s="5133"/>
      <c r="BV7" s="5133"/>
      <c r="BW7" s="5133"/>
      <c r="BX7" s="5133"/>
      <c r="BY7" s="5133"/>
      <c r="BZ7" s="5133"/>
      <c r="CA7" s="5133"/>
      <c r="CB7" s="5133"/>
      <c r="CC7" s="5133"/>
      <c r="CD7" s="5133"/>
      <c r="CE7" s="5133"/>
      <c r="CF7" s="5133"/>
      <c r="CG7" s="5133"/>
      <c r="CH7" s="5133"/>
      <c r="CI7" s="5133"/>
      <c r="CJ7" s="5133"/>
      <c r="CK7" s="5133"/>
      <c r="CL7" s="5133"/>
      <c r="CM7" s="5133"/>
      <c r="CN7" s="5133"/>
      <c r="CO7" s="5133"/>
      <c r="CP7" s="5133"/>
      <c r="CQ7" s="5133"/>
      <c r="CR7" s="5133"/>
      <c r="CS7" s="5133"/>
      <c r="CT7" s="5133"/>
      <c r="CU7" s="5133"/>
      <c r="CV7" s="5133"/>
      <c r="CW7" s="5133"/>
      <c r="CX7" s="5133"/>
      <c r="CY7" s="5133"/>
      <c r="CZ7" s="5133"/>
      <c r="DA7" s="5133"/>
      <c r="DB7" s="5133"/>
      <c r="DC7" s="5133"/>
      <c r="DD7" s="5133"/>
      <c r="DE7" s="5133"/>
      <c r="DF7" s="5133"/>
      <c r="DG7" s="5133"/>
      <c r="DH7" s="5133"/>
      <c r="DI7" s="5133"/>
      <c r="DJ7" s="5133"/>
      <c r="DK7" s="5133"/>
      <c r="DL7" s="5133"/>
      <c r="DM7" s="5133"/>
      <c r="DN7" s="5133"/>
      <c r="DO7" s="5133"/>
      <c r="DP7" s="5133"/>
      <c r="DQ7" s="5133"/>
      <c r="DR7" s="5133"/>
      <c r="DS7" s="5133"/>
      <c r="DT7" s="5133"/>
      <c r="DU7" s="5133"/>
      <c r="DV7" s="5133"/>
      <c r="DW7" s="5133"/>
      <c r="DX7" s="5133"/>
      <c r="DY7" s="5133"/>
      <c r="DZ7" s="5133"/>
      <c r="EA7" s="5133"/>
      <c r="EB7" s="5133"/>
      <c r="EC7" s="5133"/>
      <c r="ED7" s="5133"/>
      <c r="EE7" s="5133"/>
      <c r="EF7" s="5133"/>
      <c r="EG7" s="5133"/>
      <c r="EH7" s="5133"/>
      <c r="EI7" s="5133"/>
      <c r="EJ7" s="5133"/>
      <c r="EK7" s="5133"/>
      <c r="EL7" s="5133"/>
      <c r="EM7" s="5133"/>
      <c r="EN7" s="5133"/>
      <c r="EO7" s="5133"/>
      <c r="EP7" s="5133"/>
      <c r="EQ7" s="5133"/>
      <c r="ER7" s="5133"/>
      <c r="ES7" s="5133"/>
      <c r="ET7" s="5133"/>
      <c r="EU7" s="5133"/>
      <c r="EV7" s="5133"/>
      <c r="EW7" s="5133"/>
      <c r="EX7" s="5133"/>
      <c r="EY7" s="5133"/>
      <c r="EZ7" s="5133"/>
      <c r="FA7" s="5133"/>
      <c r="FB7" s="5133"/>
      <c r="FC7" s="5133"/>
      <c r="FD7" s="5133"/>
      <c r="FE7" s="5133"/>
      <c r="FF7" s="5133"/>
      <c r="FG7" s="5133"/>
      <c r="FH7" s="5133"/>
      <c r="FI7" s="5133"/>
      <c r="FJ7" s="5133"/>
      <c r="FK7" s="5133"/>
      <c r="FL7" s="5133"/>
      <c r="FM7" s="5133"/>
      <c r="FN7" s="5133"/>
      <c r="FO7" s="5133"/>
      <c r="FP7" s="5133"/>
      <c r="FQ7" s="5133"/>
      <c r="FR7" s="5133"/>
      <c r="FS7" s="5133"/>
      <c r="FT7" s="5133"/>
      <c r="FU7" s="5133"/>
      <c r="FV7" s="5133"/>
      <c r="FW7" s="5133"/>
      <c r="FX7" s="5133"/>
      <c r="FY7" s="5133"/>
      <c r="FZ7" s="5133"/>
      <c r="GA7" s="5133"/>
      <c r="GB7" s="5133"/>
      <c r="GC7" s="5133"/>
      <c r="GD7" s="5133"/>
      <c r="GE7" s="5133"/>
      <c r="GF7" s="5133"/>
      <c r="GG7" s="5133"/>
      <c r="GH7" s="5133"/>
      <c r="GI7" s="5133"/>
      <c r="GJ7" s="5133"/>
      <c r="GK7" s="5133"/>
      <c r="GL7" s="5133"/>
      <c r="GM7" s="5133"/>
      <c r="GN7" s="5133"/>
      <c r="GO7" s="5133"/>
      <c r="GP7" s="5133"/>
      <c r="GQ7" s="5133"/>
      <c r="GR7" s="5133"/>
      <c r="GS7" s="5133"/>
      <c r="GT7" s="5133"/>
      <c r="GU7" s="5133"/>
      <c r="GV7" s="5133"/>
      <c r="GW7" s="5133"/>
      <c r="GX7" s="5133"/>
      <c r="GY7" s="5133"/>
      <c r="GZ7" s="5133"/>
      <c r="HA7" s="5133"/>
      <c r="HB7" s="5133"/>
      <c r="HC7" s="5133"/>
      <c r="HD7" s="5133"/>
      <c r="HE7" s="5133"/>
      <c r="HF7" s="5133"/>
      <c r="HG7" s="5133"/>
      <c r="HH7" s="5133"/>
      <c r="HI7" s="5133"/>
      <c r="HJ7" s="5133"/>
      <c r="HK7" s="5133"/>
      <c r="HL7" s="5133"/>
      <c r="HM7" s="5133"/>
      <c r="HN7" s="5133"/>
      <c r="HO7" s="5133"/>
    </row>
    <row r="8" spans="1:223" ht="12.75" customHeight="1">
      <c r="F8" s="5133"/>
      <c r="G8" s="5133"/>
      <c r="H8" s="8678" t="s">
        <v>2021</v>
      </c>
      <c r="I8" s="7103" t="s">
        <v>2073</v>
      </c>
      <c r="J8" s="7405"/>
      <c r="K8" s="7405"/>
      <c r="L8" s="7405"/>
      <c r="M8" s="7405"/>
      <c r="N8" s="8679"/>
      <c r="O8" s="5133"/>
      <c r="P8" s="5133"/>
      <c r="Q8" s="5133"/>
      <c r="R8" s="5133"/>
      <c r="S8" s="5133"/>
      <c r="T8" s="5133"/>
      <c r="U8" s="5133"/>
      <c r="V8" s="5133"/>
      <c r="W8" s="5133"/>
      <c r="X8" s="5133"/>
      <c r="Y8" s="5133"/>
      <c r="Z8" s="5133"/>
      <c r="AA8" s="5133"/>
      <c r="AB8" s="5133"/>
      <c r="AC8" s="5133"/>
      <c r="AD8" s="5133"/>
      <c r="AE8" s="5133"/>
      <c r="AF8" s="5133"/>
      <c r="AG8" s="5133"/>
      <c r="AH8" s="5133"/>
      <c r="AI8" s="5133"/>
      <c r="AJ8" s="5133"/>
      <c r="AK8" s="5133"/>
      <c r="AL8" s="5133"/>
      <c r="AM8" s="5133"/>
      <c r="AN8" s="5133"/>
      <c r="AO8" s="5133"/>
      <c r="AP8" s="5133"/>
      <c r="AQ8" s="5133"/>
      <c r="AR8" s="5133"/>
      <c r="AS8" s="5133"/>
      <c r="AT8" s="5133"/>
      <c r="AU8" s="5133"/>
      <c r="AV8" s="5133"/>
      <c r="AW8" s="5133"/>
      <c r="AX8" s="5133"/>
      <c r="AY8" s="5133"/>
      <c r="AZ8" s="5133"/>
      <c r="BA8" s="5133"/>
      <c r="BB8" s="5133"/>
      <c r="BC8" s="5133"/>
      <c r="BD8" s="5133"/>
      <c r="BE8" s="5133"/>
      <c r="BF8" s="5133"/>
      <c r="BG8" s="5133"/>
      <c r="BH8" s="5133"/>
      <c r="BI8" s="5133"/>
      <c r="BJ8" s="5133"/>
      <c r="BK8" s="5133"/>
      <c r="BL8" s="5133"/>
      <c r="BM8" s="5133"/>
      <c r="BN8" s="5133"/>
      <c r="BO8" s="5133"/>
      <c r="BP8" s="5133"/>
      <c r="BQ8" s="5133"/>
      <c r="BR8" s="5133"/>
      <c r="BS8" s="5133"/>
      <c r="BT8" s="5133"/>
      <c r="BU8" s="5133"/>
      <c r="BV8" s="5133"/>
      <c r="BW8" s="5133"/>
      <c r="BX8" s="5133"/>
      <c r="BY8" s="5133"/>
      <c r="BZ8" s="5133"/>
      <c r="CA8" s="5133"/>
      <c r="CB8" s="5133"/>
      <c r="CC8" s="5133"/>
      <c r="CD8" s="5133"/>
      <c r="CE8" s="5133"/>
      <c r="CF8" s="5133"/>
      <c r="CG8" s="5133"/>
      <c r="CH8" s="5133"/>
      <c r="CI8" s="5133"/>
      <c r="CJ8" s="5133"/>
      <c r="CK8" s="5133"/>
      <c r="CL8" s="5133"/>
      <c r="CM8" s="5133"/>
      <c r="CN8" s="5133"/>
      <c r="CO8" s="5133"/>
      <c r="CP8" s="5133"/>
      <c r="CQ8" s="5133"/>
      <c r="CR8" s="5133"/>
      <c r="CS8" s="5133"/>
      <c r="CT8" s="5133"/>
      <c r="CU8" s="5133"/>
      <c r="CV8" s="5133"/>
      <c r="CW8" s="5133"/>
      <c r="CX8" s="5133"/>
      <c r="CY8" s="5133"/>
      <c r="CZ8" s="5133"/>
      <c r="DA8" s="5133"/>
      <c r="DB8" s="5133"/>
      <c r="DC8" s="5133"/>
      <c r="DD8" s="5133"/>
      <c r="DE8" s="5133"/>
      <c r="DF8" s="5133"/>
      <c r="DG8" s="5133"/>
      <c r="DH8" s="5133"/>
      <c r="DI8" s="5133"/>
      <c r="DJ8" s="5133"/>
      <c r="DK8" s="5133"/>
      <c r="DL8" s="5133"/>
      <c r="DM8" s="5133"/>
      <c r="DN8" s="5133"/>
      <c r="DO8" s="5133"/>
      <c r="DP8" s="5133"/>
      <c r="DQ8" s="5133"/>
      <c r="DR8" s="5133"/>
      <c r="DS8" s="5133"/>
      <c r="DT8" s="5133"/>
      <c r="DU8" s="5133"/>
      <c r="DV8" s="5133"/>
      <c r="DW8" s="5133"/>
      <c r="DX8" s="5133"/>
      <c r="DY8" s="5133"/>
      <c r="DZ8" s="5133"/>
      <c r="EA8" s="5133"/>
      <c r="EB8" s="5133"/>
      <c r="EC8" s="5133"/>
      <c r="ED8" s="5133"/>
      <c r="EE8" s="5133"/>
      <c r="EF8" s="5133"/>
      <c r="EG8" s="5133"/>
      <c r="EH8" s="5133"/>
      <c r="EI8" s="5133"/>
      <c r="EJ8" s="5133"/>
      <c r="EK8" s="5133"/>
      <c r="EL8" s="5133"/>
      <c r="EM8" s="5133"/>
      <c r="EN8" s="5133"/>
      <c r="EO8" s="5133"/>
      <c r="EP8" s="5133"/>
      <c r="EQ8" s="5133"/>
      <c r="ER8" s="5133"/>
      <c r="ES8" s="5133"/>
      <c r="ET8" s="5133"/>
      <c r="EU8" s="5133"/>
      <c r="EV8" s="5133"/>
      <c r="EW8" s="5133"/>
      <c r="EX8" s="5133"/>
      <c r="EY8" s="5133"/>
      <c r="EZ8" s="5133"/>
      <c r="FA8" s="5133"/>
      <c r="FB8" s="5133"/>
      <c r="FC8" s="5133"/>
      <c r="FD8" s="5133"/>
      <c r="FE8" s="5133"/>
      <c r="FF8" s="5133"/>
      <c r="FG8" s="5133"/>
      <c r="FH8" s="5133"/>
      <c r="FI8" s="5133"/>
      <c r="FJ8" s="5133"/>
      <c r="FK8" s="5133"/>
      <c r="FL8" s="5133"/>
      <c r="FM8" s="5133"/>
      <c r="FN8" s="5133"/>
      <c r="FO8" s="5133"/>
      <c r="FP8" s="5133"/>
      <c r="FQ8" s="5133"/>
      <c r="FR8" s="5133"/>
      <c r="FS8" s="5133"/>
      <c r="FT8" s="5133"/>
      <c r="FU8" s="5133"/>
      <c r="FV8" s="5133"/>
      <c r="FW8" s="5133"/>
      <c r="FX8" s="5133"/>
      <c r="FY8" s="5133"/>
      <c r="FZ8" s="5133"/>
      <c r="GA8" s="5133"/>
      <c r="GB8" s="5133"/>
      <c r="GC8" s="5133"/>
      <c r="GD8" s="5133"/>
      <c r="GE8" s="5133"/>
      <c r="GF8" s="5133"/>
      <c r="GG8" s="5133"/>
      <c r="GH8" s="5133"/>
      <c r="GI8" s="5133"/>
      <c r="GJ8" s="5133"/>
      <c r="GK8" s="5133"/>
      <c r="GL8" s="5133"/>
      <c r="GM8" s="5133"/>
      <c r="GN8" s="5133"/>
      <c r="GO8" s="5133"/>
      <c r="GP8" s="5133"/>
      <c r="GQ8" s="5133"/>
      <c r="GR8" s="5133"/>
      <c r="GS8" s="5133"/>
      <c r="GT8" s="5133"/>
      <c r="GU8" s="5133"/>
      <c r="GV8" s="5133"/>
      <c r="GW8" s="5133"/>
      <c r="GX8" s="5133"/>
      <c r="GY8" s="5133"/>
      <c r="GZ8" s="5133"/>
      <c r="HA8" s="5133"/>
      <c r="HB8" s="5133"/>
      <c r="HC8" s="5133"/>
      <c r="HD8" s="5133"/>
      <c r="HE8" s="5133"/>
      <c r="HF8" s="5133"/>
      <c r="HG8" s="5133"/>
      <c r="HH8" s="5133"/>
      <c r="HI8" s="5133"/>
      <c r="HJ8" s="5133"/>
      <c r="HK8" s="5133"/>
      <c r="HL8" s="5133"/>
      <c r="HM8" s="5133"/>
      <c r="HN8" s="5133"/>
      <c r="HO8" s="5133"/>
    </row>
    <row r="9" spans="1:223" ht="12.75" customHeight="1">
      <c r="F9" s="5133"/>
      <c r="G9" s="5133"/>
      <c r="H9" s="8680" t="s">
        <v>2021</v>
      </c>
      <c r="I9" s="8681" t="s">
        <v>2074</v>
      </c>
      <c r="J9" s="8682"/>
      <c r="K9" s="8682"/>
      <c r="L9" s="8682"/>
      <c r="M9" s="8682"/>
      <c r="N9" s="8683"/>
      <c r="O9" s="5133"/>
      <c r="P9" s="5133"/>
      <c r="Q9" s="5133"/>
      <c r="R9" s="5133"/>
      <c r="S9" s="5133"/>
      <c r="T9" s="5133"/>
      <c r="U9" s="5133"/>
      <c r="V9" s="5133"/>
      <c r="W9" s="5133"/>
      <c r="X9" s="5133"/>
      <c r="Y9" s="5133"/>
      <c r="Z9" s="5133"/>
      <c r="AA9" s="5133"/>
      <c r="AB9" s="5133"/>
      <c r="AC9" s="5133"/>
      <c r="AD9" s="5133"/>
      <c r="AE9" s="5133"/>
      <c r="AF9" s="5133"/>
      <c r="AG9" s="5133"/>
      <c r="AH9" s="5133"/>
      <c r="AI9" s="5133"/>
      <c r="AJ9" s="5133"/>
      <c r="AK9" s="5133"/>
      <c r="AL9" s="5133"/>
      <c r="AM9" s="5133"/>
      <c r="AN9" s="5133"/>
      <c r="AO9" s="5133"/>
      <c r="AP9" s="5133"/>
      <c r="AQ9" s="5133"/>
      <c r="AR9" s="5133"/>
      <c r="AS9" s="5133"/>
      <c r="AT9" s="5133"/>
      <c r="AU9" s="5133"/>
      <c r="AV9" s="5133"/>
      <c r="AW9" s="5133"/>
      <c r="AX9" s="5133"/>
      <c r="AY9" s="5133"/>
      <c r="AZ9" s="5133"/>
      <c r="BA9" s="5133"/>
      <c r="BB9" s="5133"/>
      <c r="BC9" s="5133"/>
      <c r="BD9" s="5133"/>
      <c r="BE9" s="5133"/>
      <c r="BF9" s="5133"/>
      <c r="BG9" s="5133"/>
      <c r="BH9" s="5133"/>
      <c r="BI9" s="5133"/>
      <c r="BJ9" s="5133"/>
      <c r="BK9" s="5133"/>
      <c r="BL9" s="5133"/>
      <c r="BM9" s="5133"/>
      <c r="BN9" s="5133"/>
      <c r="BO9" s="5133"/>
      <c r="BP9" s="5133"/>
      <c r="BQ9" s="5133"/>
      <c r="BR9" s="5133"/>
      <c r="BS9" s="5133"/>
      <c r="BT9" s="5133"/>
      <c r="BU9" s="5133"/>
      <c r="BV9" s="5133"/>
      <c r="BW9" s="5133"/>
      <c r="BX9" s="5133"/>
      <c r="BY9" s="5133"/>
      <c r="BZ9" s="5133"/>
      <c r="CA9" s="5133"/>
      <c r="CB9" s="5133"/>
      <c r="CC9" s="5133"/>
      <c r="CD9" s="5133"/>
      <c r="CE9" s="5133"/>
      <c r="CF9" s="5133"/>
      <c r="CG9" s="5133"/>
      <c r="CH9" s="5133"/>
      <c r="CI9" s="5133"/>
      <c r="CJ9" s="5133"/>
      <c r="CK9" s="5133"/>
      <c r="CL9" s="5133"/>
      <c r="CM9" s="5133"/>
      <c r="CN9" s="5133"/>
      <c r="CO9" s="5133"/>
      <c r="CP9" s="5133"/>
      <c r="CQ9" s="5133"/>
      <c r="CR9" s="5133"/>
      <c r="CS9" s="5133"/>
      <c r="CT9" s="5133"/>
      <c r="CU9" s="5133"/>
      <c r="CV9" s="5133"/>
      <c r="CW9" s="5133"/>
      <c r="CX9" s="5133"/>
      <c r="CY9" s="5133"/>
      <c r="CZ9" s="5133"/>
      <c r="DA9" s="5133"/>
      <c r="DB9" s="5133"/>
      <c r="DC9" s="5133"/>
      <c r="DD9" s="5133"/>
      <c r="DE9" s="5133"/>
      <c r="DF9" s="5133"/>
      <c r="DG9" s="5133"/>
      <c r="DH9" s="5133"/>
      <c r="DI9" s="5133"/>
      <c r="DJ9" s="5133"/>
      <c r="DK9" s="5133"/>
      <c r="DL9" s="5133"/>
      <c r="DM9" s="5133"/>
      <c r="DN9" s="5133"/>
      <c r="DO9" s="5133"/>
      <c r="DP9" s="5133"/>
      <c r="DQ9" s="5133"/>
      <c r="DR9" s="5133"/>
      <c r="DS9" s="5133"/>
      <c r="DT9" s="5133"/>
      <c r="DU9" s="5133"/>
      <c r="DV9" s="5133"/>
      <c r="DW9" s="5133"/>
      <c r="DX9" s="5133"/>
      <c r="DY9" s="5133"/>
      <c r="DZ9" s="5133"/>
      <c r="EA9" s="5133"/>
      <c r="EB9" s="5133"/>
      <c r="EC9" s="5133"/>
      <c r="ED9" s="5133"/>
      <c r="EE9" s="5133"/>
      <c r="EF9" s="5133"/>
      <c r="EG9" s="5133"/>
      <c r="EH9" s="5133"/>
      <c r="EI9" s="5133"/>
      <c r="EJ9" s="5133"/>
      <c r="EK9" s="5133"/>
      <c r="EL9" s="5133"/>
      <c r="EM9" s="5133"/>
      <c r="EN9" s="5133"/>
      <c r="EO9" s="5133"/>
      <c r="EP9" s="5133"/>
      <c r="EQ9" s="5133"/>
      <c r="ER9" s="5133"/>
      <c r="ES9" s="5133"/>
      <c r="ET9" s="5133"/>
      <c r="EU9" s="5133"/>
      <c r="EV9" s="5133"/>
      <c r="EW9" s="5133"/>
      <c r="EX9" s="5133"/>
      <c r="EY9" s="5133"/>
      <c r="EZ9" s="5133"/>
      <c r="FA9" s="5133"/>
      <c r="FB9" s="5133"/>
      <c r="FC9" s="5133"/>
      <c r="FD9" s="5133"/>
      <c r="FE9" s="5133"/>
      <c r="FF9" s="5133"/>
      <c r="FG9" s="5133"/>
      <c r="FH9" s="5133"/>
      <c r="FI9" s="5133"/>
      <c r="FJ9" s="5133"/>
      <c r="FK9" s="5133"/>
      <c r="FL9" s="5133"/>
      <c r="FM9" s="5133"/>
      <c r="FN9" s="5133"/>
      <c r="FO9" s="5133"/>
      <c r="FP9" s="5133"/>
      <c r="FQ9" s="5133"/>
      <c r="FR9" s="5133"/>
      <c r="FS9" s="5133"/>
      <c r="FT9" s="5133"/>
      <c r="FU9" s="5133"/>
      <c r="FV9" s="5133"/>
      <c r="FW9" s="5133"/>
      <c r="FX9" s="5133"/>
      <c r="FY9" s="5133"/>
      <c r="FZ9" s="5133"/>
      <c r="GA9" s="5133"/>
      <c r="GB9" s="5133"/>
      <c r="GC9" s="5133"/>
      <c r="GD9" s="5133"/>
      <c r="GE9" s="5133"/>
      <c r="GF9" s="5133"/>
      <c r="GG9" s="5133"/>
      <c r="GH9" s="5133"/>
      <c r="GI9" s="5133"/>
      <c r="GJ9" s="5133"/>
      <c r="GK9" s="5133"/>
      <c r="GL9" s="5133"/>
      <c r="GM9" s="5133"/>
      <c r="GN9" s="5133"/>
      <c r="GO9" s="5133"/>
      <c r="GP9" s="5133"/>
      <c r="GQ9" s="5133"/>
      <c r="GR9" s="5133"/>
      <c r="GS9" s="5133"/>
      <c r="GT9" s="5133"/>
      <c r="GU9" s="5133"/>
      <c r="GV9" s="5133"/>
      <c r="GW9" s="5133"/>
      <c r="GX9" s="5133"/>
      <c r="GY9" s="5133"/>
      <c r="GZ9" s="5133"/>
      <c r="HA9" s="5133"/>
      <c r="HB9" s="5133"/>
      <c r="HC9" s="5133"/>
      <c r="HD9" s="5133"/>
      <c r="HE9" s="5133"/>
      <c r="HF9" s="5133"/>
      <c r="HG9" s="5133"/>
      <c r="HH9" s="5133"/>
      <c r="HI9" s="5133"/>
      <c r="HJ9" s="5133"/>
      <c r="HK9" s="5133"/>
      <c r="HL9" s="5133"/>
      <c r="HM9" s="5133"/>
      <c r="HN9" s="5133"/>
      <c r="HO9" s="5133"/>
    </row>
    <row r="10" spans="1:223" ht="12.75" customHeight="1">
      <c r="F10" s="7086" t="s">
        <v>2430</v>
      </c>
      <c r="G10" s="5133"/>
      <c r="H10" s="6897"/>
      <c r="I10" s="7103"/>
      <c r="J10" s="7405"/>
      <c r="K10" s="7405"/>
      <c r="L10" s="7405"/>
      <c r="M10" s="7405"/>
      <c r="N10" s="5133"/>
      <c r="O10" s="5133"/>
      <c r="P10" s="5133"/>
      <c r="Q10" s="5133"/>
      <c r="R10" s="5133"/>
      <c r="S10" s="5133"/>
      <c r="T10" s="5133"/>
      <c r="U10" s="5133"/>
      <c r="V10" s="5133"/>
      <c r="W10" s="5133"/>
      <c r="X10" s="5133"/>
      <c r="Y10" s="5133"/>
      <c r="Z10" s="5133"/>
      <c r="AA10" s="5133"/>
      <c r="AB10" s="5133"/>
      <c r="AC10" s="5133"/>
      <c r="AD10" s="5133"/>
      <c r="AE10" s="5133"/>
      <c r="AF10" s="5133"/>
      <c r="AG10" s="5133"/>
      <c r="AH10" s="5133"/>
      <c r="AI10" s="5133"/>
      <c r="AJ10" s="5133"/>
      <c r="AK10" s="5133"/>
      <c r="AL10" s="5133"/>
      <c r="AM10" s="5133"/>
      <c r="AN10" s="5133"/>
      <c r="AO10" s="5133"/>
      <c r="AP10" s="5133"/>
      <c r="AQ10" s="5133"/>
      <c r="AR10" s="5133"/>
      <c r="AS10" s="5133"/>
      <c r="AT10" s="5133"/>
      <c r="AU10" s="5133"/>
      <c r="AV10" s="5133"/>
      <c r="AW10" s="5133"/>
      <c r="AX10" s="5133"/>
      <c r="AY10" s="5133"/>
      <c r="AZ10" s="5133"/>
      <c r="BA10" s="5133"/>
      <c r="BB10" s="5133"/>
      <c r="BC10" s="5133"/>
      <c r="BD10" s="5133"/>
      <c r="BE10" s="5133"/>
      <c r="BF10" s="5133"/>
      <c r="BG10" s="5133"/>
      <c r="BH10" s="5133"/>
      <c r="BI10" s="5133"/>
      <c r="BJ10" s="5133"/>
      <c r="BK10" s="5133"/>
      <c r="BL10" s="5133"/>
      <c r="BM10" s="5133"/>
      <c r="BN10" s="5133"/>
      <c r="BO10" s="5133"/>
      <c r="BP10" s="5133"/>
      <c r="BQ10" s="5133"/>
      <c r="BR10" s="5133"/>
      <c r="BS10" s="5133"/>
      <c r="BT10" s="5133"/>
      <c r="BU10" s="5133"/>
      <c r="BV10" s="5133"/>
      <c r="BW10" s="5133"/>
      <c r="BX10" s="5133"/>
      <c r="BY10" s="5133"/>
      <c r="BZ10" s="5133"/>
      <c r="CA10" s="5133"/>
      <c r="CB10" s="5133"/>
      <c r="CC10" s="5133"/>
      <c r="CD10" s="5133"/>
      <c r="CE10" s="5133"/>
      <c r="CF10" s="5133"/>
      <c r="CG10" s="5133"/>
      <c r="CH10" s="5133"/>
      <c r="CI10" s="5133"/>
      <c r="CJ10" s="5133"/>
      <c r="CK10" s="5133"/>
      <c r="CL10" s="5133"/>
      <c r="CM10" s="5133"/>
      <c r="CN10" s="5133"/>
      <c r="CO10" s="5133"/>
      <c r="CP10" s="5133"/>
      <c r="CQ10" s="5133"/>
      <c r="CR10" s="5133"/>
      <c r="CS10" s="5133"/>
      <c r="CT10" s="5133"/>
      <c r="CU10" s="5133"/>
      <c r="CV10" s="5133"/>
      <c r="CW10" s="5133"/>
      <c r="CX10" s="5133"/>
      <c r="CY10" s="5133"/>
      <c r="CZ10" s="5133"/>
      <c r="DA10" s="5133"/>
      <c r="DB10" s="5133"/>
      <c r="DC10" s="5133"/>
      <c r="DD10" s="5133"/>
      <c r="DE10" s="5133"/>
      <c r="DF10" s="5133"/>
      <c r="DG10" s="5133"/>
      <c r="DH10" s="5133"/>
      <c r="DI10" s="5133"/>
      <c r="DJ10" s="5133"/>
      <c r="DK10" s="5133"/>
      <c r="DL10" s="5133"/>
      <c r="DM10" s="5133"/>
      <c r="DN10" s="5133"/>
      <c r="DO10" s="5133"/>
      <c r="DP10" s="5133"/>
      <c r="DQ10" s="5133"/>
      <c r="DR10" s="5133"/>
      <c r="DS10" s="5133"/>
      <c r="DT10" s="5133"/>
      <c r="DU10" s="5133"/>
      <c r="DV10" s="5133"/>
      <c r="DW10" s="5133"/>
      <c r="DX10" s="5133"/>
      <c r="DY10" s="5133"/>
      <c r="DZ10" s="5133"/>
      <c r="EA10" s="5133"/>
      <c r="EB10" s="5133"/>
      <c r="EC10" s="5133"/>
      <c r="ED10" s="5133"/>
      <c r="EE10" s="5133"/>
      <c r="EF10" s="5133"/>
      <c r="EG10" s="5133"/>
      <c r="EH10" s="5133"/>
      <c r="EI10" s="5133"/>
      <c r="EJ10" s="5133"/>
      <c r="EK10" s="5133"/>
      <c r="EL10" s="5133"/>
      <c r="EM10" s="5133"/>
      <c r="EN10" s="5133"/>
      <c r="EO10" s="5133"/>
      <c r="EP10" s="5133"/>
      <c r="EQ10" s="5133"/>
      <c r="ER10" s="5133"/>
      <c r="ES10" s="5133"/>
      <c r="ET10" s="5133"/>
      <c r="EU10" s="5133"/>
      <c r="EV10" s="5133"/>
      <c r="EW10" s="5133"/>
      <c r="EX10" s="5133"/>
      <c r="EY10" s="5133"/>
      <c r="EZ10" s="5133"/>
      <c r="FA10" s="5133"/>
      <c r="FB10" s="5133"/>
      <c r="FC10" s="5133"/>
      <c r="FD10" s="5133"/>
      <c r="FE10" s="5133"/>
      <c r="FF10" s="5133"/>
      <c r="FG10" s="5133"/>
      <c r="FH10" s="5133"/>
      <c r="FI10" s="5133"/>
      <c r="FJ10" s="5133"/>
      <c r="FK10" s="5133"/>
      <c r="FL10" s="5133"/>
      <c r="FM10" s="5133"/>
      <c r="FN10" s="5133"/>
      <c r="FO10" s="5133"/>
      <c r="FP10" s="5133"/>
      <c r="FQ10" s="5133"/>
      <c r="FR10" s="5133"/>
      <c r="FS10" s="5133"/>
      <c r="FT10" s="5133"/>
      <c r="FU10" s="5133"/>
      <c r="FV10" s="5133"/>
      <c r="FW10" s="5133"/>
      <c r="FX10" s="5133"/>
      <c r="FY10" s="5133"/>
      <c r="FZ10" s="5133"/>
      <c r="GA10" s="5133"/>
      <c r="GB10" s="5133"/>
      <c r="GC10" s="5133"/>
      <c r="GD10" s="5133"/>
      <c r="GE10" s="5133"/>
      <c r="GF10" s="5133"/>
      <c r="GG10" s="5133"/>
      <c r="GH10" s="5133"/>
      <c r="GI10" s="5133"/>
      <c r="GJ10" s="5133"/>
      <c r="GK10" s="5133"/>
      <c r="GL10" s="5133"/>
      <c r="GM10" s="5133"/>
      <c r="GN10" s="5133"/>
      <c r="GO10" s="5133"/>
      <c r="GP10" s="5133"/>
      <c r="GQ10" s="5133"/>
      <c r="GR10" s="5133"/>
      <c r="GS10" s="5133"/>
      <c r="GT10" s="5133"/>
      <c r="GU10" s="5133"/>
      <c r="GV10" s="5133"/>
      <c r="GW10" s="5133"/>
      <c r="GX10" s="5133"/>
      <c r="GY10" s="5133"/>
      <c r="GZ10" s="5133"/>
      <c r="HA10" s="5133"/>
      <c r="HB10" s="5133"/>
      <c r="HC10" s="5133"/>
      <c r="HD10" s="5133"/>
      <c r="HE10" s="5133"/>
      <c r="HF10" s="5133"/>
      <c r="HG10" s="5133"/>
      <c r="HH10" s="5133"/>
      <c r="HI10" s="5133"/>
      <c r="HJ10" s="5133"/>
      <c r="HK10" s="5133"/>
      <c r="HL10" s="5133"/>
      <c r="HM10" s="5133"/>
      <c r="HN10" s="5133"/>
      <c r="HO10" s="5133"/>
    </row>
    <row r="11" spans="1:223" ht="12.75" hidden="1" customHeight="1">
      <c r="A11" s="6896" t="str">
        <f>+IF(X11="","",X11)</f>
        <v/>
      </c>
      <c r="B11" s="6896" t="str">
        <f>+IF(J11="","",J11)</f>
        <v/>
      </c>
      <c r="C11" s="6896" t="str">
        <f>+IF(Q11="","",Q11)</f>
        <v/>
      </c>
      <c r="F11" s="5133"/>
      <c r="G11" s="5133"/>
      <c r="H11" s="7405"/>
      <c r="I11" s="7405"/>
      <c r="J11" s="7405"/>
      <c r="K11" s="7405"/>
      <c r="L11" s="7405"/>
      <c r="M11" s="7405"/>
      <c r="N11" s="5133"/>
      <c r="O11" s="5133"/>
      <c r="P11" s="5133"/>
      <c r="Q11" s="5133"/>
      <c r="R11" s="6896" t="str">
        <f>+IF(ISERROR(MATCH(X11,epa_id,0)),"",IF(X11="","",IF(VLOOKUP(MATCH(X11,epa_id,0),epa,'A1(epa)'!$S$17,FALSE)="","",VLOOKUP(MATCH(X11,epa_id,0),epa,'A1(epa)'!$S$17,FALSE))))</f>
        <v/>
      </c>
      <c r="S11" s="6896" t="str">
        <f>+IF(ISERROR(MATCH(X11,epa_id,0)),"",IF(X11="","",IF(VLOOKUP(MATCH(X11,epa_id,0),epa,'A1(epa)'!$R$17,FALSE)="","",VLOOKUP(MATCH(X11,epa_id,0),epa,'A1(epa)'!$R$17,FALSE))))</f>
        <v/>
      </c>
      <c r="T11" s="5133"/>
      <c r="U11" s="5133"/>
      <c r="V11" s="5133"/>
      <c r="W11" s="5133"/>
      <c r="X11" s="6896" t="str">
        <f>+IF(K11="","",K11&amp;"-"&amp;IF(W11&lt;10,"0"&amp;W11,W11))</f>
        <v/>
      </c>
      <c r="Y11" s="5133"/>
      <c r="Z11" s="5133"/>
      <c r="AA11" s="5133"/>
      <c r="AB11" s="5133"/>
      <c r="AC11" s="5133"/>
      <c r="AD11" s="5133"/>
      <c r="AE11" s="5133"/>
      <c r="AF11" s="5133"/>
      <c r="AG11" s="5133"/>
      <c r="AH11" s="5133"/>
      <c r="AI11" s="5133"/>
      <c r="AJ11" s="5133"/>
      <c r="AK11" s="5133"/>
      <c r="AL11" s="5133"/>
      <c r="AM11" s="5133"/>
      <c r="AN11" s="5133"/>
      <c r="AO11" s="5133"/>
      <c r="AP11" s="5133"/>
      <c r="AQ11" s="5133"/>
      <c r="AR11" s="5133"/>
      <c r="AS11" s="5133"/>
      <c r="AT11" s="5133"/>
      <c r="AU11" s="5133"/>
      <c r="AV11" s="5133"/>
      <c r="AW11" s="5133"/>
      <c r="AX11" s="5133"/>
      <c r="AY11" s="5133"/>
      <c r="AZ11" s="5133"/>
      <c r="BA11" s="5133"/>
      <c r="BB11" s="6896" t="str">
        <f>+IF(AND(G11="",BA11=""),"",VLOOKUP(MATCH(BA11,tw,0),twn,'A4(twn)'!$D$12,FALSE))</f>
        <v/>
      </c>
      <c r="BC11" s="6896" t="str">
        <f>+IF(X11="","",IF(BH11=""," - ",IF(BH11&lt;10,"000"&amp;BH11,(IF(BH11&lt;100,"00"&amp;BH11,IF(BH11&lt;1000,"0"&amp;BH11,BH11)))))&amp;IF(BI11=""," / - "," / "&amp;IF(BI11&lt;10,"00"&amp;BI11,(IF(BI11&lt;100,"0"&amp;BI11,BI11))))&amp;" / "&amp;IF(BB11=""," - ",IF(BB11&lt;10,"00"&amp;BB11,(IF(BB11&lt;100,"0"&amp;BB11,BB11))))&amp;IF(AZ11=""," / - "," / "&amp;IF(AZ11&lt;10,"000"&amp;AZ11,(IF(AZ11&lt;100,"00"&amp;AZ11,IF(AZ11&lt;1000,"0"&amp;AZ11,AZ11))))))</f>
        <v/>
      </c>
      <c r="BD11" s="5133"/>
      <c r="BE11" s="5133"/>
      <c r="BF11" s="5133"/>
      <c r="BG11" s="6896" t="str">
        <f>+IF(OR(X11="",ISERROR(MATCH(X11,epa_id,0))),"",VLOOKUP(MATCH(X11,epa_id,0),epa,'A1(epa)'!$AH$17,FALSE))</f>
        <v/>
      </c>
      <c r="BH11" s="5133"/>
      <c r="BI11" s="5133"/>
      <c r="BJ11" s="5133"/>
      <c r="BK11" s="5133"/>
      <c r="BL11" s="5133"/>
      <c r="BM11" s="5133"/>
      <c r="BN11" s="5133"/>
      <c r="BO11" s="5133"/>
      <c r="BP11" s="5133"/>
      <c r="BQ11" s="5133"/>
      <c r="BR11" s="5133"/>
      <c r="BS11" s="5133"/>
      <c r="BT11" s="5133"/>
      <c r="BU11" s="5133"/>
      <c r="BV11" s="5133"/>
      <c r="BW11" s="5133"/>
      <c r="BX11" s="5133"/>
      <c r="BY11" s="5133"/>
      <c r="BZ11" s="5133"/>
      <c r="CA11" s="5133"/>
      <c r="CB11" s="5133"/>
      <c r="CC11" s="5133"/>
      <c r="CD11" s="5133"/>
      <c r="CE11" s="5133"/>
      <c r="CF11" s="5133"/>
      <c r="CG11" s="5133"/>
      <c r="CH11" s="6896" t="str">
        <f>+IF(ISERROR(MATCH(X11,epa_id,0)),"",IF(X11="","",IF(VLOOKUP(MATCH(X11,epa_id,0),epa,'A1(epa)'!$AE$17,FALSE)="","",VLOOKUP(MATCH(X11,epa_id,0),epa,'A1(epa)'!$AE$17,FALSE))))</f>
        <v/>
      </c>
      <c r="CI11" s="5133"/>
      <c r="CJ11" s="6896" t="str">
        <f>+IF(ISERROR(MATCH(X11,epa_id,0)),"",IF(X11="","",IF(VLOOKUP(MATCH(X11,epa_id,0),epa,'A1(epa)'!$AF$17,FALSE)="","",VLOOKUP(MATCH(X11,epa_id,0),epa,'A1(epa)'!$AF$17,FALSE))))</f>
        <v/>
      </c>
      <c r="CK11" s="6896" t="str">
        <f>+IF(ISERROR(MATCH(X11,epa_id,0)),"",IF(X11="","",IF(VLOOKUP(MATCH(X11,epa_id,0),epa,'A1(epa)'!$AG$17,FALSE)="","",VLOOKUP(MATCH(X11,epa_id,0),epa,'A1(epa)'!$AG$17,FALSE))))</f>
        <v/>
      </c>
      <c r="CL11" s="5133"/>
      <c r="CM11" s="5133"/>
      <c r="CN11" s="5133"/>
      <c r="CO11" s="5133"/>
      <c r="CP11" s="5133"/>
      <c r="CQ11" s="5133"/>
      <c r="CR11" s="5133"/>
      <c r="CS11" s="5133"/>
      <c r="CT11" s="5133"/>
      <c r="CU11" s="5133"/>
      <c r="CV11" s="5133"/>
      <c r="CW11" s="5133"/>
      <c r="CX11" s="5133"/>
      <c r="CY11" s="5133"/>
      <c r="CZ11" s="5133"/>
      <c r="DA11" s="5133"/>
      <c r="DB11" s="5133"/>
      <c r="DC11" s="5133"/>
      <c r="DD11" s="5133"/>
      <c r="DE11" s="6896" t="str">
        <f ca="1">+IF(X11="","",(NOW()-DD11)/365.25)</f>
        <v/>
      </c>
      <c r="DF11" s="5133"/>
      <c r="DG11" s="5133"/>
      <c r="DH11" s="5133"/>
      <c r="DI11" s="5133"/>
      <c r="DJ11" s="5133"/>
      <c r="DK11" s="5133"/>
      <c r="DL11" s="5133"/>
      <c r="DM11" s="5133"/>
      <c r="DN11" s="5133"/>
      <c r="DO11" s="5133"/>
      <c r="DP11" s="5133"/>
      <c r="DQ11" s="5133"/>
      <c r="DR11" s="5133"/>
      <c r="DS11" s="5133"/>
      <c r="DT11" s="5133"/>
      <c r="DU11" s="5133"/>
      <c r="DV11" s="5133"/>
      <c r="DW11" s="5133"/>
      <c r="DX11" s="5133"/>
      <c r="DY11" s="5133"/>
      <c r="DZ11" s="5133"/>
      <c r="EA11" s="5133"/>
      <c r="EB11" s="5133"/>
      <c r="EC11" s="5133"/>
      <c r="ED11" s="5133"/>
      <c r="EE11" s="5133"/>
      <c r="EF11" s="5133"/>
      <c r="EG11" s="5133"/>
      <c r="EH11" s="5133"/>
      <c r="EI11" s="5133"/>
      <c r="EJ11" s="5133"/>
      <c r="EK11" s="5133"/>
      <c r="EL11" s="5133"/>
      <c r="EM11" s="5133"/>
      <c r="EN11" s="5133"/>
      <c r="EO11" s="5133"/>
      <c r="EP11" s="5133"/>
      <c r="EQ11" s="5133"/>
      <c r="ER11" s="5133"/>
      <c r="ES11" s="5133"/>
      <c r="ET11" s="5133"/>
      <c r="EU11" s="5133"/>
      <c r="EV11" s="5133"/>
      <c r="EW11" s="5133"/>
      <c r="EX11" s="5133"/>
      <c r="EY11" s="5133"/>
      <c r="EZ11" s="5133"/>
      <c r="FA11" s="5133"/>
      <c r="FB11" s="6896" t="str">
        <f>+IF(OR(FA11="",EZ11=""),"",(FA11-EZ11)/365.25)</f>
        <v/>
      </c>
      <c r="FC11" s="5133"/>
      <c r="FD11" s="6896" t="str">
        <f>+IF(X11="","",IF(2010-VLOOKUP(MATCH(X11,eyr_id,0),eyr,'A1(epa)'!$U$17,FALSE)=0,IF(VLOOKUP(MATCH(X11,eyr_id,0),eyr,'A1(epa)'!$U$17,FALSE)=0,"",VLOOKUP(MATCH(X11,eyr_id,0),eyr,'A1(epa)'!$U$17,FALSE))))</f>
        <v/>
      </c>
      <c r="FE11" s="6896" t="str">
        <f>+IF(X11="","",IF(2010-VLOOKUP(MATCH(X11,eyr_id,0),eyr,'A1(epa)'!$U$17,FALSE)=0,IF(VLOOKUP(MATCH(X11,eyr_id,0),eyr,'A1(epa)'!$X$17,FALSE)=0,"",VLOOKUP(MATCH(X11,eyr_id,0),eyr,'A1(epa)'!$X$17,FALSE))))</f>
        <v/>
      </c>
      <c r="FF11" s="6896" t="str">
        <f>+IF(X11="","",IF(2010-VLOOKUP(MATCH(X11,eyr_id,0),eyr,'A1(epa)'!$U$17,FALSE)=0,IF(VLOOKUP(MATCH(X11,eyr_id,0),eyr,'A1(epa)'!$W$17,FALSE)=0,"",VLOOKUP(MATCH(X11,eyr_id,0),eyr,'A1(epa)'!$W$17,FALSE))))</f>
        <v/>
      </c>
      <c r="FG11" s="6896" t="str">
        <f>+IF(X11="","",IF(2010-VLOOKUP(MATCH(X11,eyr_id,0),eyr,'A1(epa)'!$U$17,FALSE)=0,IF(VLOOKUP(MATCH(X11,eyr_id,0),eyr,'A1(epa)'!$AC$17,FALSE)=0,"",VLOOKUP(MATCH(X11,eyr_id,0),eyr,'A1(epa)'!$AC$17,FALSE))))</f>
        <v/>
      </c>
      <c r="FH11" s="6896" t="str">
        <f>+IF(X11="","",IF(2010-VLOOKUP(MATCH(X11,eyr_id,0),eyr,'A1(epa)'!$U$17,FALSE)=0,IF(VLOOKUP(MATCH(X11,eyr_id,0),eyr,'A1(epa)'!$Y$17,FALSE)=0,"",VLOOKUP(MATCH(X11,eyr_id,0),eyr,'A1(epa)'!$Y$17,FALSE))))</f>
        <v/>
      </c>
      <c r="FI11" s="6896" t="str">
        <f>+IF(X11="","",IF(2010-VLOOKUP(MATCH(X11,eyr_id,0),eyr,'A1(epa)'!$U$17,FALSE)=0,IF(VLOOKUP(MATCH(X11,eyr_id,0),eyr,'A1(epa)'!$AB$17,FALSE)=0,"",VLOOKUP(MATCH(X11,eyr_id,0),eyr,'A1(epa)'!$AB$17,FALSE))))</f>
        <v/>
      </c>
      <c r="FJ11" s="6896" t="str">
        <f>+IF(X11="","",IF(2009-VLOOKUP(MATCH(X11,eyr_id,0)+1,eyr,'A1(epa)'!$U$17,FALSE)=0,IF(VLOOKUP(MATCH(X11,eyr_id,0)+1,eyr,'A1(epa)'!$U$17,FALSE)=0,"",VLOOKUP(MATCH(X11,eyr_id,0)+1,eyr,'A1(epa)'!$U$17,FALSE))))</f>
        <v/>
      </c>
      <c r="FK11" s="6896" t="str">
        <f>+IF(X11="","",IF(2009-VLOOKUP(MATCH(X11,eyr_id,0)+1,eyr,'A1(epa)'!$U$17,FALSE)=0,IF(VLOOKUP(MATCH(X11,eyr_id,0)+1,eyr,'A1(epa)'!$X$17,FALSE)=0,"",VLOOKUP(MATCH(X11,eyr_id,0)+1,eyr,'A1(epa)'!$X$17,FALSE))))</f>
        <v/>
      </c>
      <c r="FL11" s="6896" t="str">
        <f>+IF(X11="","",IF(2009-VLOOKUP(MATCH(X11,eyr_id,0)+1,eyr,'A1(epa)'!$U$17,FALSE)=0,IF(VLOOKUP(MATCH(X11,eyr_id,0)+1,eyr,'A1(epa)'!$W$17,FALSE)=0,"",VLOOKUP(MATCH(X11,eyr_id,0)+1,eyr,'A1(epa)'!$W$17,FALSE))))</f>
        <v/>
      </c>
      <c r="FM11" s="6896" t="str">
        <f>+IF(X11="","",IF(2009-VLOOKUP(MATCH(X11,eyr_id,0)+1,eyr,'A1(epa)'!$U$17,FALSE)=0,IF(VLOOKUP(MATCH(X11,eyr_id,0)+1,eyr,'A1(epa)'!$AC$17,FALSE)=0,"",VLOOKUP(MATCH(X11,eyr_id,0)+1,eyr,'A1(epa)'!$AC$17,FALSE))))</f>
        <v/>
      </c>
      <c r="FN11" s="6896" t="str">
        <f>+IF(X11="","",IF(2009-VLOOKUP(MATCH(X11,eyr_id,0)+1,eyr,'A1(epa)'!$U$17,FALSE)=0,IF(VLOOKUP(MATCH(X11,eyr_id,0)+1,eyr,'A1(epa)'!$Y$17,FALSE)=0,"",VLOOKUP(MATCH(X11,eyr_id,0)+1,eyr,'A1(epa)'!$Y$17,FALSE))))</f>
        <v/>
      </c>
      <c r="FO11" s="6896" t="str">
        <f>+IF(X11="","",IF(2009-VLOOKUP(MATCH(X11,eyr_id,0)+1,eyr,'A1(epa)'!$U$17,FALSE)=0,IF(VLOOKUP(MATCH(X11,eyr_id,0)+1,eyr,'A1(epa)'!$AB$17,FALSE)=0,"",VLOOKUP(MATCH(X11,eyr_id,0)+1,eyr,'A1(epa)'!$AB$17,FALSE))))</f>
        <v/>
      </c>
      <c r="FP11" s="5133"/>
      <c r="FQ11" s="5133"/>
      <c r="FR11" s="5133"/>
      <c r="FS11" s="5133"/>
      <c r="FT11" s="5133"/>
      <c r="FU11" s="5133"/>
      <c r="FV11" s="5133"/>
      <c r="FW11" s="5133"/>
      <c r="FX11" s="5133"/>
      <c r="FY11" s="5133"/>
      <c r="FZ11" s="5133"/>
      <c r="GA11" s="5133"/>
      <c r="GB11" s="6896" t="str">
        <f>+IF(OR(FX11="",FF11=""),"",IF(AND(ROUND(FX11/FF11,2)&lt;(FF11+1)/FF11,ROUND(FX11/FF11,2)&gt;(FF11-1)/FF11),"same as EPA-CAIROS report",IF(FX11/FF11&lt;1,"less "&amp;ROUND(FX11-FF11,0)&amp;" hrs than EPA-CAIROS report","more "&amp;ROUND(FX11-FF11,0)&amp;" hrs than EPA-CAIROS report")))</f>
        <v/>
      </c>
      <c r="GC11" s="5133"/>
      <c r="GD11" s="5133"/>
      <c r="GE11" s="6896" t="str">
        <f>+IF(OR(GD11="",FG11=""),"",IF(AND(ROUND(GD11/FG11,2)&lt;1.1,ROUND(GD11/FG11,2)&gt;0.9),"same as EPA-CAIROS report, within ±10%",IF(GD11/FG11&lt;1,"less "&amp;ROUND((GD11-FG11)/FG11,2)*100&amp;"% MMBtu/hr than EPA-CAIROS report","reported more "&amp;ROUND((GD11-FG11)/FG11,2)*100&amp;"% MMBtu/hr than EPA-CAIROS report")))</f>
        <v/>
      </c>
      <c r="GF11" s="5133"/>
      <c r="GG11" s="5133"/>
      <c r="GH11" s="5133"/>
      <c r="GI11" s="5133"/>
      <c r="GJ11" s="5133"/>
      <c r="GK11" s="5133"/>
      <c r="GL11" s="5133"/>
      <c r="GM11" s="5133"/>
      <c r="GN11" s="5133"/>
      <c r="GO11" s="5133"/>
      <c r="GP11" s="6896" t="str">
        <f>+IF(OR(GL11="",FL11=""),"",IF(AND(ROUND(GL11/FL11,2)&lt;(FL11+1)/FL11,ROUND(GL11/FL11,2)&gt;(FL11-1)/FL11),"same as EPA-CAIROS report",IF(GL11/FL11&lt;1,"less "&amp;ROUND(GL11-FL11,0)&amp;" hrs than EPA-CAIROS report","more "&amp;ROUND(GL11-FL11,0)&amp;" hrs than EPA-CAIROS report")))</f>
        <v/>
      </c>
      <c r="GQ11" s="5133"/>
      <c r="GR11" s="5133"/>
      <c r="GS11" s="6896" t="str">
        <f>+IF(OR(GR11="",FM11=""),"",IF(AND(ROUND(GR11/FM11,2)&lt;1.1,ROUND(GR11/FM11,2)&gt;0.9),"same as EPA-CAIROS report, within ±10%",IF(GR11/FM11&lt;1,"less "&amp;ROUND((GR11-FM11)/FM11,2)*100&amp;"% MMBtu/hr than EPA-CAIROS report","reported more "&amp;ROUND((GR11-FM11)/FM11,2)*100&amp;"% MMBtu/hr than EPA-CAIROS report")))</f>
        <v/>
      </c>
      <c r="GT11" s="5133"/>
      <c r="GU11" s="6896" t="str">
        <f>+IF(OR(GT11="",FN11=""),"",IF(AND(ROUND(GT11/FN11,2)&lt;1.025,ROUND(GT11/FN11,2)&gt;0.975),"same as EPA-CAIROS report, within ±5%",IF(GT11/FN11&lt;1,"less "&amp;ROUND((GT11-FN11)/FN11,2)*100&amp;"% MWhr","more "&amp;ROUND((GT11-FN11)/FN11,2)*100&amp;"% MWhr than EPA-CAIROS report")))</f>
        <v/>
      </c>
      <c r="GV11" s="5133"/>
      <c r="GW11" s="5133"/>
      <c r="GX11" s="5133"/>
      <c r="GY11" s="5133"/>
      <c r="GZ11" s="6896" t="str">
        <f>+IF(OR(FX11="",GL11=""),"",(FX11+GL11)/2)</f>
        <v/>
      </c>
      <c r="HA11" s="5133"/>
      <c r="HB11" s="6896" t="str">
        <f>+IF(OR(FZ11="",GN11=""),"",(FZ11+GN11)/2)</f>
        <v/>
      </c>
      <c r="HC11" s="5133"/>
      <c r="HD11" s="6896" t="str">
        <f>+IF((GD11+GR11)/2=0,"",(GD11+GR11)/2)</f>
        <v/>
      </c>
      <c r="HE11" s="6896" t="str">
        <f>+IF(OR(HD11="",U11=""),"",HD11*U11)</f>
        <v/>
      </c>
      <c r="HF11" s="6896" t="str">
        <f>+IF(OR(HE11="",U11=""),"",HE11/U11)</f>
        <v/>
      </c>
      <c r="HG11" s="5133"/>
      <c r="HH11" s="6896" t="str">
        <f>+IF(EI11="","",EI11)</f>
        <v/>
      </c>
      <c r="HI11" s="6896" t="str">
        <f>+IF(EL11="","",EL11)</f>
        <v/>
      </c>
      <c r="HJ11" s="6896" t="str">
        <f>+HI11</f>
        <v/>
      </c>
      <c r="HK11" s="6896" t="str">
        <f>+IF(HK10="","",HK10)</f>
        <v/>
      </c>
      <c r="HL11" s="6896" t="str">
        <f>+IF(OR(HJ11="",HF11=""),"",HJ11*HF11/2000)</f>
        <v/>
      </c>
      <c r="HM11" s="6896" t="str">
        <f>+IF(OR(HL11="",U11=""),"",HL11/U11)</f>
        <v/>
      </c>
      <c r="HN11" s="6896" t="str">
        <f>+IF(OR(HJ11="",HF11=""),"",HJ11*HF11/2000)</f>
        <v/>
      </c>
      <c r="HO11" s="5133"/>
    </row>
    <row r="12" spans="1:223" ht="12.75" customHeight="1"/>
    <row r="13" spans="1:223" ht="12.75" customHeight="1">
      <c r="A13" s="5133"/>
      <c r="B13" s="5133"/>
      <c r="C13" s="5133"/>
      <c r="D13" s="5133"/>
      <c r="F13" s="5133"/>
      <c r="G13" s="5133"/>
      <c r="H13" s="5133"/>
      <c r="I13" s="5133"/>
      <c r="J13" s="5133"/>
      <c r="K13" s="5133"/>
      <c r="L13" s="5133"/>
      <c r="M13" s="5133"/>
      <c r="N13" s="5133"/>
      <c r="O13" s="5133"/>
      <c r="P13" s="5133"/>
      <c r="Q13" s="5133"/>
      <c r="R13" s="5133"/>
      <c r="S13" s="5133"/>
      <c r="T13" s="5133"/>
      <c r="U13" s="5133"/>
      <c r="V13" s="5133"/>
      <c r="W13" s="5133"/>
      <c r="X13" s="5133"/>
      <c r="Y13" s="5133"/>
      <c r="Z13" s="5133"/>
      <c r="AA13" s="5133"/>
      <c r="AB13" s="5133"/>
      <c r="AC13" s="5133"/>
      <c r="AD13" s="5133"/>
      <c r="AE13" s="5133"/>
      <c r="AF13" s="5133"/>
      <c r="AG13" s="5133"/>
      <c r="AH13" s="5133"/>
      <c r="AI13" s="5133"/>
      <c r="AJ13" s="5133"/>
      <c r="AK13" s="5133"/>
      <c r="AL13" s="5133"/>
      <c r="AM13" s="5133"/>
      <c r="AN13" s="5133"/>
      <c r="AO13" s="5133"/>
      <c r="AP13" s="5133"/>
      <c r="AQ13" s="5133"/>
      <c r="AR13" s="5133"/>
      <c r="AS13" s="5133"/>
      <c r="AT13" s="5133"/>
      <c r="AU13" s="5133"/>
      <c r="AV13" s="5133"/>
      <c r="AW13" s="5133"/>
      <c r="AX13" s="5133"/>
      <c r="AY13" s="5133"/>
      <c r="AZ13" s="5133"/>
      <c r="BA13" s="5133"/>
      <c r="BB13" s="5133"/>
      <c r="BC13" s="5133"/>
      <c r="BD13" s="5133"/>
      <c r="BE13" s="5133"/>
      <c r="BF13" s="5133"/>
      <c r="BG13" s="5133"/>
      <c r="BH13" s="5133"/>
      <c r="BI13" s="5133"/>
      <c r="BJ13" s="5133"/>
      <c r="BK13" s="5133"/>
      <c r="BL13" s="5133"/>
      <c r="BM13" s="5133"/>
      <c r="BN13" s="5133"/>
      <c r="BO13" s="5133"/>
      <c r="BP13" s="5133"/>
      <c r="BQ13" s="5133"/>
      <c r="BR13" s="5133"/>
      <c r="BS13" s="5133"/>
      <c r="BT13" s="5133"/>
      <c r="BU13" s="5133"/>
      <c r="BV13" s="5133"/>
      <c r="BW13" s="5133"/>
      <c r="BX13" s="5133"/>
      <c r="BY13" s="5133"/>
      <c r="BZ13" s="5133"/>
      <c r="CA13" s="5133"/>
      <c r="CB13" s="5133"/>
      <c r="CC13" s="5133"/>
      <c r="CD13" s="5133"/>
      <c r="CE13" s="5133"/>
      <c r="CF13" s="5133"/>
      <c r="CG13" s="5133"/>
      <c r="CH13" s="5133"/>
      <c r="CI13" s="5133"/>
      <c r="CJ13" s="5133"/>
      <c r="CK13" s="5133"/>
      <c r="CL13" s="5133"/>
      <c r="CM13" s="5133"/>
      <c r="CN13" s="5133"/>
      <c r="CO13" s="5133"/>
      <c r="CP13" s="5133"/>
      <c r="CQ13" s="5133"/>
      <c r="CR13" s="5133"/>
      <c r="CS13" s="5133"/>
      <c r="CT13" s="5133"/>
      <c r="CU13" s="5133"/>
      <c r="CV13" s="5133"/>
      <c r="CW13" s="5133"/>
      <c r="CX13" s="5133"/>
      <c r="CY13" s="5133"/>
      <c r="CZ13" s="5133"/>
      <c r="DA13" s="5133"/>
      <c r="DB13" s="5133"/>
      <c r="DC13" s="5133"/>
      <c r="DD13" s="5133"/>
      <c r="DE13" s="5133"/>
      <c r="DF13" s="5133"/>
      <c r="DG13" s="5133"/>
      <c r="DH13" s="5133"/>
      <c r="DI13" s="5133"/>
      <c r="DJ13" s="5133"/>
      <c r="DK13" s="5133"/>
      <c r="DL13" s="5133"/>
      <c r="DM13" s="5133"/>
      <c r="DN13" s="5133"/>
      <c r="DO13" s="5133"/>
      <c r="DP13" s="5133"/>
      <c r="DQ13" s="5133"/>
      <c r="DR13" s="5133"/>
      <c r="DS13" s="5133"/>
      <c r="DT13" s="5133"/>
      <c r="DU13" s="5133"/>
      <c r="DV13" s="5133"/>
      <c r="DW13" s="5133"/>
      <c r="DX13" s="5133"/>
      <c r="DY13" s="5133"/>
      <c r="DZ13" s="5133"/>
      <c r="EA13" s="5133"/>
      <c r="EB13" s="5133"/>
      <c r="EC13" s="5133"/>
      <c r="ED13" s="5133"/>
      <c r="EE13" s="5133"/>
      <c r="EF13" s="5133"/>
      <c r="EG13" s="5133"/>
      <c r="EH13" s="5133"/>
      <c r="EI13" s="5133"/>
      <c r="EJ13" s="5133"/>
      <c r="EK13" s="5133"/>
      <c r="EL13" s="5133"/>
      <c r="EM13" s="5133"/>
      <c r="EN13" s="5133"/>
      <c r="EO13" s="5133"/>
      <c r="EP13" s="5133"/>
      <c r="EQ13" s="5133"/>
      <c r="ER13" s="5133"/>
      <c r="ES13" s="5133"/>
      <c r="ET13" s="5133"/>
      <c r="EU13" s="5133"/>
      <c r="EV13" s="5133"/>
      <c r="EW13" s="5133"/>
      <c r="EX13" s="5133"/>
      <c r="EY13" s="5133"/>
      <c r="EZ13" s="5133"/>
      <c r="FA13" s="5133"/>
      <c r="FB13" s="5133"/>
      <c r="FC13" s="5133"/>
      <c r="FD13" s="5133"/>
      <c r="FE13" s="5133"/>
      <c r="FF13" s="5133"/>
      <c r="FG13" s="5133"/>
      <c r="FH13" s="5133"/>
      <c r="FI13" s="5133"/>
      <c r="FJ13" s="5133"/>
      <c r="FK13" s="5133"/>
      <c r="FL13" s="5133"/>
      <c r="FM13" s="5133"/>
      <c r="FN13" s="5133"/>
      <c r="FO13" s="5133"/>
      <c r="FP13" s="5133"/>
      <c r="FQ13" s="5133"/>
      <c r="FR13" s="5133"/>
      <c r="FS13" s="5133"/>
      <c r="FT13" s="5133"/>
      <c r="FU13" s="5133"/>
      <c r="FV13" s="5133"/>
      <c r="FW13" s="5133"/>
      <c r="FX13" s="5133"/>
      <c r="FY13" s="5133"/>
      <c r="FZ13" s="5133"/>
      <c r="GA13" s="5133"/>
      <c r="GB13" s="5133"/>
      <c r="GC13" s="5133"/>
      <c r="GD13" s="5133"/>
      <c r="GE13" s="5133"/>
      <c r="GF13" s="5133"/>
      <c r="GG13" s="5133"/>
      <c r="GH13" s="5133"/>
      <c r="GI13" s="5133"/>
      <c r="GJ13" s="5133"/>
      <c r="GK13" s="5133"/>
      <c r="GL13" s="5133"/>
      <c r="GM13" s="5133"/>
      <c r="GN13" s="5133"/>
      <c r="GO13" s="5133"/>
      <c r="GP13" s="5133"/>
      <c r="GQ13" s="5133"/>
      <c r="GR13" s="5133"/>
      <c r="GS13" s="5133"/>
      <c r="GT13" s="5133"/>
      <c r="GU13" s="5133"/>
      <c r="GV13" s="5133"/>
      <c r="GW13" s="5133"/>
      <c r="GX13" s="5133"/>
      <c r="GY13" s="5133"/>
      <c r="GZ13" s="5133"/>
      <c r="HA13" s="5133"/>
      <c r="HB13" s="5133"/>
      <c r="HC13" s="5133"/>
      <c r="HD13" s="5133"/>
      <c r="HE13" s="5133"/>
      <c r="HF13" s="5133"/>
      <c r="HG13" s="5133"/>
      <c r="HH13" s="5133"/>
      <c r="HI13" s="5133"/>
      <c r="HJ13" s="5133"/>
      <c r="HK13" s="5133"/>
      <c r="HL13" s="5133"/>
      <c r="HM13" s="5133"/>
      <c r="HN13" s="5133"/>
      <c r="HO13" s="5133"/>
    </row>
    <row r="14" spans="1:223" ht="18" customHeight="1">
      <c r="A14" s="5133"/>
      <c r="B14" s="5133"/>
      <c r="C14" s="5133"/>
      <c r="D14" s="5133"/>
      <c r="F14" s="5133"/>
      <c r="G14" s="5133"/>
      <c r="H14" s="5373" t="s">
        <v>2075</v>
      </c>
      <c r="I14" s="5133"/>
      <c r="J14" s="5133"/>
      <c r="K14" s="5133"/>
      <c r="L14" s="5133"/>
      <c r="M14" s="5133"/>
      <c r="N14" s="5133"/>
      <c r="O14" s="5133"/>
      <c r="P14" s="5133"/>
      <c r="Q14" s="5133"/>
      <c r="R14" s="5133"/>
      <c r="S14" s="5133"/>
      <c r="T14" s="5133"/>
      <c r="U14" s="5133"/>
      <c r="V14" s="5948" t="s">
        <v>2414</v>
      </c>
      <c r="W14" s="5133"/>
      <c r="X14" s="5133"/>
      <c r="Y14" s="5133"/>
      <c r="Z14" s="5133"/>
      <c r="AA14" s="5133"/>
      <c r="AB14" s="5133"/>
      <c r="AC14" s="5133"/>
      <c r="AD14" s="5133"/>
      <c r="AE14" s="5133"/>
      <c r="AF14" s="5133"/>
      <c r="AG14" s="5133"/>
      <c r="AH14" s="5133"/>
      <c r="AI14" s="5133"/>
      <c r="AJ14" s="5133"/>
      <c r="AK14" s="5133"/>
      <c r="AL14" s="5133"/>
      <c r="AM14" s="5133"/>
      <c r="AN14" s="5133"/>
      <c r="AO14" s="5133"/>
      <c r="AP14" s="5133"/>
      <c r="AQ14" s="5133"/>
      <c r="AR14" s="5133"/>
      <c r="AS14" s="5133"/>
      <c r="AT14" s="5133"/>
      <c r="AU14" s="5133"/>
      <c r="AV14" s="5133"/>
      <c r="AW14" s="5133"/>
      <c r="AX14" s="5133"/>
      <c r="AY14" s="5133"/>
      <c r="AZ14" s="5133"/>
      <c r="BA14" s="5133"/>
      <c r="BB14" s="5133"/>
      <c r="BC14" s="5133"/>
      <c r="BD14" s="5133"/>
      <c r="BE14" s="5133"/>
      <c r="BF14" s="5133"/>
      <c r="BG14" s="5133"/>
      <c r="BH14" s="5133"/>
      <c r="BI14" s="5133"/>
      <c r="BJ14" s="5133"/>
      <c r="BK14" s="5133"/>
      <c r="BL14" s="5133"/>
      <c r="BM14" s="5133"/>
      <c r="BN14" s="5133"/>
      <c r="BO14" s="5133"/>
      <c r="BP14" s="5133"/>
      <c r="BQ14" s="5133"/>
      <c r="BR14" s="5133"/>
      <c r="BS14" s="5133"/>
      <c r="BT14" s="5133"/>
      <c r="BU14" s="5133"/>
      <c r="BV14" s="5133"/>
      <c r="BW14" s="5133"/>
      <c r="BX14" s="5133"/>
      <c r="BY14" s="5133"/>
      <c r="BZ14" s="5133"/>
      <c r="CA14" s="5133"/>
      <c r="CB14" s="5133"/>
      <c r="CC14" s="5133"/>
      <c r="CD14" s="5133"/>
      <c r="CE14" s="5133"/>
      <c r="CF14" s="5133"/>
      <c r="CG14" s="5133"/>
      <c r="CH14" s="5133"/>
      <c r="CI14" s="5133"/>
      <c r="CJ14" s="5133"/>
      <c r="CK14" s="5133"/>
      <c r="CL14" s="5133"/>
      <c r="CM14" s="5133"/>
      <c r="CN14" s="5133"/>
      <c r="CO14" s="5133"/>
      <c r="CP14" s="5133"/>
      <c r="CQ14" s="5133"/>
      <c r="CR14" s="5133"/>
      <c r="CS14" s="5133"/>
      <c r="CT14" s="5133"/>
      <c r="CU14" s="5133"/>
      <c r="CV14" s="5133"/>
      <c r="CW14" s="5133"/>
      <c r="CX14" s="5133"/>
      <c r="CY14" s="5133"/>
      <c r="CZ14" s="5133"/>
      <c r="DA14" s="5133"/>
      <c r="DB14" s="5133"/>
      <c r="DC14" s="5133"/>
      <c r="DD14" s="5133"/>
      <c r="DE14" s="5133"/>
      <c r="DF14" s="5133"/>
      <c r="DG14" s="5133"/>
      <c r="DH14" s="5133"/>
      <c r="DI14" s="5133"/>
      <c r="DJ14" s="5133"/>
      <c r="DK14" s="5133"/>
      <c r="DL14" s="5133"/>
      <c r="DM14" s="5133"/>
      <c r="DN14" s="5133"/>
      <c r="DO14" s="5133"/>
      <c r="DP14" s="5133"/>
      <c r="DQ14" s="5133"/>
      <c r="DR14" s="5133"/>
      <c r="DS14" s="5133"/>
      <c r="DT14" s="5133"/>
      <c r="DU14" s="5133"/>
      <c r="DV14" s="5133"/>
      <c r="DW14" s="5133"/>
      <c r="DX14" s="5133"/>
      <c r="DY14" s="5133"/>
      <c r="DZ14" s="5133"/>
      <c r="EA14" s="5133"/>
      <c r="EB14" s="5133"/>
      <c r="EC14" s="5133"/>
      <c r="ED14" s="5133"/>
      <c r="EE14" s="5133"/>
      <c r="EF14" s="5133"/>
      <c r="EG14" s="5133"/>
      <c r="EH14" s="5133"/>
      <c r="EI14" s="5133"/>
      <c r="EJ14" s="5133"/>
      <c r="EK14" s="5133"/>
      <c r="EL14" s="5133"/>
      <c r="EM14" s="5133"/>
      <c r="EN14" s="5133"/>
      <c r="EO14" s="5133"/>
      <c r="EP14" s="5133"/>
      <c r="EQ14" s="5133"/>
      <c r="ER14" s="5133"/>
      <c r="ES14" s="5133"/>
      <c r="ET14" s="5133"/>
      <c r="EU14" s="5133"/>
      <c r="EV14" s="5133"/>
      <c r="EW14" s="5133"/>
      <c r="EX14" s="5133"/>
      <c r="EY14" s="5133"/>
      <c r="EZ14" s="5133"/>
      <c r="FA14" s="5133"/>
      <c r="FB14" s="5133"/>
      <c r="FC14" s="5133"/>
      <c r="FD14" s="5133"/>
      <c r="FE14" s="5133"/>
      <c r="FF14" s="5133"/>
      <c r="FG14" s="5133"/>
      <c r="FH14" s="5133"/>
      <c r="FI14" s="5133"/>
      <c r="FJ14" s="5133"/>
      <c r="FK14" s="5133"/>
      <c r="FL14" s="5133"/>
      <c r="FM14" s="5133"/>
      <c r="FN14" s="5133"/>
      <c r="FO14" s="5133"/>
      <c r="FP14" s="5133"/>
      <c r="FQ14" s="5133"/>
      <c r="FR14" s="5133"/>
      <c r="FS14" s="5133"/>
      <c r="FT14" s="5133"/>
      <c r="FU14" s="5133"/>
      <c r="FV14" s="5133"/>
      <c r="FW14" s="5133"/>
      <c r="FX14" s="5133"/>
      <c r="FY14" s="5133"/>
      <c r="FZ14" s="5133"/>
      <c r="GA14" s="5133"/>
      <c r="GB14" s="5133"/>
      <c r="GC14" s="5133"/>
      <c r="GD14" s="5133"/>
      <c r="GE14" s="5133"/>
      <c r="GF14" s="5133"/>
      <c r="GG14" s="5133"/>
      <c r="GH14" s="5133"/>
      <c r="GI14" s="5133"/>
      <c r="GJ14" s="5133"/>
      <c r="GK14" s="5133"/>
      <c r="GL14" s="5133"/>
      <c r="GM14" s="5133"/>
      <c r="GN14" s="5133"/>
      <c r="GO14" s="5133"/>
      <c r="GP14" s="5133"/>
      <c r="GQ14" s="5133"/>
      <c r="GR14" s="5133"/>
      <c r="GS14" s="5133"/>
      <c r="GT14" s="5133"/>
      <c r="GU14" s="5133"/>
      <c r="GV14" s="5133"/>
      <c r="GW14" s="5133"/>
      <c r="GX14" s="5133"/>
      <c r="GY14" s="5133"/>
      <c r="GZ14" s="5133"/>
      <c r="HA14" s="5133"/>
      <c r="HB14" s="5133"/>
      <c r="HC14" s="5133"/>
      <c r="HD14" s="5133"/>
      <c r="HE14" s="5133"/>
      <c r="HF14" s="5133"/>
      <c r="HG14" s="5133"/>
      <c r="HH14" s="5133"/>
      <c r="HI14" s="5133"/>
      <c r="HJ14" s="5133"/>
      <c r="HK14" s="5133"/>
      <c r="HL14" s="5133"/>
      <c r="HM14" s="5133"/>
      <c r="HN14" s="5133"/>
      <c r="HO14" s="5133"/>
    </row>
    <row r="15" spans="1:223" ht="12.75" customHeight="1" thickBot="1">
      <c r="A15" s="5133"/>
      <c r="B15" s="5133"/>
      <c r="C15" s="5133"/>
      <c r="D15" s="5133"/>
      <c r="F15" s="5133"/>
      <c r="G15" s="5133"/>
      <c r="H15" s="5133"/>
      <c r="I15" s="5133"/>
      <c r="J15" s="5133"/>
      <c r="K15" s="5133"/>
      <c r="L15" s="5133"/>
      <c r="M15" s="5133"/>
      <c r="N15" s="5133"/>
      <c r="O15" s="5133"/>
      <c r="P15" s="5133"/>
      <c r="Q15" s="5133"/>
      <c r="R15" s="5133"/>
      <c r="S15" s="5133"/>
      <c r="T15" s="5997" t="s">
        <v>2795</v>
      </c>
      <c r="U15" s="5133"/>
      <c r="V15" s="5948" t="s">
        <v>2415</v>
      </c>
      <c r="W15" s="5133"/>
      <c r="X15" s="5133"/>
      <c r="Y15" s="5133"/>
      <c r="Z15" s="5133"/>
      <c r="AA15" s="5133"/>
      <c r="AB15" s="5133"/>
      <c r="AC15" s="5133"/>
      <c r="AD15" s="5133"/>
      <c r="AE15" s="5133"/>
      <c r="AF15" s="5133"/>
      <c r="AG15" s="5133"/>
      <c r="AH15" s="5133"/>
      <c r="AI15" s="5133"/>
      <c r="AJ15" s="5133"/>
      <c r="AK15" s="5133"/>
      <c r="AL15" s="5133"/>
      <c r="AM15" s="5133"/>
      <c r="AN15" s="5133"/>
      <c r="AO15" s="5133"/>
      <c r="AP15" s="5133"/>
      <c r="AQ15" s="5133"/>
      <c r="AR15" s="5133"/>
      <c r="AS15" s="5133"/>
      <c r="AT15" s="5133"/>
      <c r="AU15" s="5133"/>
      <c r="AV15" s="5133"/>
      <c r="AW15" s="5133"/>
      <c r="AX15" s="5133"/>
      <c r="AY15" s="5133"/>
      <c r="AZ15" s="5133"/>
      <c r="BA15" s="5133"/>
      <c r="BB15" s="5133"/>
      <c r="BC15" s="5133"/>
      <c r="BD15" s="5133"/>
      <c r="BE15" s="5133"/>
      <c r="BF15" s="5133"/>
      <c r="BG15" s="5133"/>
      <c r="BH15" s="5133"/>
      <c r="BI15" s="5133"/>
      <c r="BJ15" s="5133"/>
      <c r="BK15" s="5133"/>
      <c r="BL15" s="5133"/>
      <c r="BM15" s="5133"/>
      <c r="BN15" s="5133"/>
      <c r="BO15" s="5133"/>
      <c r="BP15" s="5133"/>
      <c r="BQ15" s="5133"/>
      <c r="BR15" s="5133"/>
      <c r="BS15" s="5133"/>
      <c r="BT15" s="5133"/>
      <c r="BU15" s="5133"/>
      <c r="BV15" s="5133"/>
      <c r="BW15" s="5133"/>
      <c r="BX15" s="5133"/>
      <c r="BY15" s="5133"/>
      <c r="BZ15" s="5133"/>
      <c r="CA15" s="5133"/>
      <c r="CB15" s="5133"/>
      <c r="CC15" s="5133"/>
      <c r="CD15" s="5133"/>
      <c r="CE15" s="5133"/>
      <c r="CF15" s="5133"/>
      <c r="CG15" s="5133"/>
      <c r="CH15" s="5133"/>
      <c r="CI15" s="5133"/>
      <c r="CJ15" s="5353"/>
      <c r="CK15" s="5353"/>
      <c r="CL15" s="5133"/>
      <c r="CM15" s="5133"/>
      <c r="CN15" s="5133"/>
      <c r="CO15" s="5133"/>
      <c r="CP15" s="5133"/>
      <c r="CQ15" s="5133"/>
      <c r="CR15" s="5133"/>
      <c r="CS15" s="5133"/>
      <c r="CT15" s="5133"/>
      <c r="CU15" s="5133"/>
      <c r="CV15" s="5133"/>
      <c r="CW15" s="5133"/>
      <c r="CX15" s="5133"/>
      <c r="CY15" s="5133"/>
      <c r="CZ15" s="5133"/>
      <c r="DA15" s="5133"/>
      <c r="DB15" s="5133"/>
      <c r="DC15" s="5133"/>
      <c r="DD15" s="5133"/>
      <c r="DE15" s="5133"/>
      <c r="DF15" s="5133"/>
      <c r="DG15" s="5133"/>
      <c r="DH15" s="5133"/>
      <c r="DI15" s="5133"/>
      <c r="DJ15" s="5133"/>
      <c r="DK15" s="5133"/>
      <c r="DL15" s="5133"/>
      <c r="DM15" s="5133"/>
      <c r="DN15" s="5133"/>
      <c r="DO15" s="5133"/>
      <c r="DP15" s="5133"/>
      <c r="DQ15" s="5133"/>
      <c r="DR15" s="5133"/>
      <c r="DS15" s="5133"/>
      <c r="DT15" s="5133"/>
      <c r="DU15" s="5133"/>
      <c r="DV15" s="5133"/>
      <c r="DW15" s="5133"/>
      <c r="DX15" s="5133"/>
      <c r="DY15" s="5133"/>
      <c r="DZ15" s="5133"/>
      <c r="EA15" s="5133"/>
      <c r="EB15" s="5133"/>
      <c r="EC15" s="5133"/>
      <c r="ED15" s="5133"/>
      <c r="EE15" s="5133"/>
      <c r="EF15" s="5133"/>
      <c r="EG15" s="5133"/>
      <c r="EH15" s="5133"/>
      <c r="EI15" s="5133"/>
      <c r="EJ15" s="5133"/>
      <c r="EK15" s="5133"/>
      <c r="EL15" s="5133"/>
      <c r="EM15" s="5133"/>
      <c r="EN15" s="5133"/>
      <c r="EO15" s="5133"/>
      <c r="EP15" s="5133"/>
      <c r="EQ15" s="5133"/>
      <c r="ER15" s="5133"/>
      <c r="ES15" s="5133"/>
      <c r="ET15" s="5133"/>
      <c r="EU15" s="5133"/>
      <c r="EV15" s="5133"/>
      <c r="EW15" s="5133"/>
      <c r="EX15" s="5133"/>
      <c r="EY15" s="5133"/>
      <c r="EZ15" s="5133"/>
      <c r="FA15" s="5133"/>
      <c r="FB15" s="5133"/>
      <c r="FC15" s="5133"/>
      <c r="FD15" s="5133"/>
      <c r="FE15" s="5133"/>
      <c r="FF15" s="5133"/>
      <c r="FG15" s="5133"/>
      <c r="FH15" s="5133"/>
      <c r="FI15" s="5133"/>
      <c r="FJ15" s="5133"/>
      <c r="FK15" s="5133"/>
      <c r="FL15" s="5133"/>
      <c r="FM15" s="5133"/>
      <c r="FN15" s="5133"/>
      <c r="FO15" s="5133"/>
      <c r="FP15" s="5133"/>
      <c r="FQ15" s="5133"/>
      <c r="FR15" s="5133"/>
      <c r="FS15" s="5133"/>
      <c r="FT15" s="5133"/>
      <c r="FU15" s="5133"/>
      <c r="FV15" s="5133"/>
      <c r="FW15" s="5133"/>
      <c r="FX15" s="5133"/>
      <c r="FY15" s="5133"/>
      <c r="FZ15" s="5133"/>
      <c r="GA15" s="5133"/>
      <c r="GB15" s="5133"/>
      <c r="GC15" s="5133"/>
      <c r="GD15" s="5133"/>
      <c r="GE15" s="5133"/>
      <c r="GF15" s="5133"/>
      <c r="GG15" s="5133"/>
      <c r="GH15" s="5133"/>
      <c r="GI15" s="5133"/>
      <c r="GJ15" s="5133"/>
      <c r="GK15" s="5133"/>
      <c r="GL15" s="5133"/>
      <c r="GM15" s="5133"/>
      <c r="GN15" s="5133"/>
      <c r="GO15" s="5133"/>
      <c r="GP15" s="5133"/>
      <c r="GQ15" s="5133"/>
      <c r="GR15" s="5133"/>
      <c r="GS15" s="5133"/>
      <c r="GT15" s="5133"/>
      <c r="GU15" s="5133"/>
      <c r="GV15" s="5133"/>
      <c r="GW15" s="5133"/>
      <c r="GX15" s="5133"/>
      <c r="GY15" s="5133"/>
      <c r="GZ15" s="5133"/>
      <c r="HA15" s="5133"/>
      <c r="HB15" s="5133"/>
      <c r="HC15" s="5133"/>
      <c r="HD15" s="5133"/>
      <c r="HE15" s="5133"/>
      <c r="HF15" s="5133"/>
      <c r="HG15" s="5133"/>
      <c r="HH15" s="5133"/>
      <c r="HI15" s="5133"/>
      <c r="HJ15" s="5133"/>
      <c r="HK15" s="5133"/>
      <c r="HL15" s="5133"/>
      <c r="HM15" s="5133"/>
      <c r="HN15" s="5133"/>
      <c r="HO15" s="5133"/>
    </row>
    <row r="16" spans="1:223" s="6122" customFormat="1" ht="18" customHeight="1" thickBot="1">
      <c r="A16" s="5133"/>
      <c r="B16" s="5133"/>
      <c r="C16" s="6108"/>
      <c r="D16" s="6108"/>
      <c r="E16" s="6111"/>
      <c r="F16" s="6108"/>
      <c r="G16" s="10211" t="s">
        <v>382</v>
      </c>
      <c r="H16" s="10214" t="s">
        <v>1357</v>
      </c>
      <c r="I16" s="10215"/>
      <c r="J16" s="10215"/>
      <c r="K16" s="10215"/>
      <c r="L16" s="10215"/>
      <c r="M16" s="10215"/>
      <c r="N16" s="10215"/>
      <c r="O16" s="10215"/>
      <c r="P16" s="10215"/>
      <c r="Q16" s="10215"/>
      <c r="R16" s="10215"/>
      <c r="S16" s="10215"/>
      <c r="T16" s="10215"/>
      <c r="U16" s="10215"/>
      <c r="V16" s="10215"/>
      <c r="W16" s="10215"/>
      <c r="X16" s="10215"/>
      <c r="Y16" s="10216"/>
      <c r="Z16" s="10187" t="s">
        <v>1492</v>
      </c>
      <c r="AA16" s="10188"/>
      <c r="AB16" s="10188"/>
      <c r="AC16" s="10188"/>
      <c r="AD16" s="10188"/>
      <c r="AE16" s="10188"/>
      <c r="AF16" s="10188"/>
      <c r="AG16" s="10188"/>
      <c r="AH16" s="10188"/>
      <c r="AI16" s="10188"/>
      <c r="AJ16" s="10188"/>
      <c r="AK16" s="10188"/>
      <c r="AL16" s="10188"/>
      <c r="AM16" s="10188"/>
      <c r="AN16" s="10188"/>
      <c r="AO16" s="10188"/>
      <c r="AP16" s="10188"/>
      <c r="AQ16" s="10188"/>
      <c r="AR16" s="10188"/>
      <c r="AS16" s="10188"/>
      <c r="AT16" s="10188"/>
      <c r="AU16" s="10188"/>
      <c r="AV16" s="10188"/>
      <c r="AW16" s="10188"/>
      <c r="AX16" s="10188"/>
      <c r="AY16" s="10189"/>
      <c r="AZ16" s="10204" t="s">
        <v>395</v>
      </c>
      <c r="BA16" s="10205"/>
      <c r="BB16" s="10205"/>
      <c r="BC16" s="10205"/>
      <c r="BD16" s="10205"/>
      <c r="BE16" s="10206"/>
      <c r="BF16" s="10204" t="s">
        <v>399</v>
      </c>
      <c r="BG16" s="10205"/>
      <c r="BH16" s="10205"/>
      <c r="BI16" s="10205"/>
      <c r="BJ16" s="10205"/>
      <c r="BK16" s="10205"/>
      <c r="BL16" s="10205"/>
      <c r="BM16" s="10205"/>
      <c r="BN16" s="10205"/>
      <c r="BO16" s="10205"/>
      <c r="BP16" s="10205"/>
      <c r="BQ16" s="10205"/>
      <c r="BR16" s="10205"/>
      <c r="BS16" s="10205"/>
      <c r="BT16" s="10205"/>
      <c r="BU16" s="10205"/>
      <c r="BV16" s="10206"/>
      <c r="BW16" s="10208" t="s">
        <v>404</v>
      </c>
      <c r="BX16" s="10209"/>
      <c r="BY16" s="10209"/>
      <c r="BZ16" s="10209"/>
      <c r="CA16" s="10209"/>
      <c r="CB16" s="10209"/>
      <c r="CC16" s="10209"/>
      <c r="CD16" s="10209"/>
      <c r="CE16" s="10209"/>
      <c r="CF16" s="10209"/>
      <c r="CG16" s="10210"/>
      <c r="CH16" s="10208" t="s">
        <v>902</v>
      </c>
      <c r="CI16" s="10209"/>
      <c r="CJ16" s="10209"/>
      <c r="CK16" s="10209"/>
      <c r="CL16" s="10209"/>
      <c r="CM16" s="10210"/>
      <c r="CN16" s="9492" t="s">
        <v>1521</v>
      </c>
      <c r="CO16" s="9493"/>
      <c r="CP16" s="9493"/>
      <c r="CQ16" s="9493"/>
      <c r="CR16" s="9493"/>
      <c r="CS16" s="9493"/>
      <c r="CT16" s="9493"/>
      <c r="CU16" s="9493"/>
      <c r="CV16" s="9493"/>
      <c r="CW16" s="9493"/>
      <c r="CX16" s="9493"/>
      <c r="CY16" s="9493"/>
      <c r="CZ16" s="9493"/>
      <c r="DA16" s="9493"/>
      <c r="DB16" s="9493"/>
      <c r="DC16" s="9493"/>
      <c r="DD16" s="9493"/>
      <c r="DE16" s="9493"/>
      <c r="DF16" s="9494"/>
      <c r="DG16" s="10214" t="s">
        <v>89</v>
      </c>
      <c r="DH16" s="10215"/>
      <c r="DI16" s="10215"/>
      <c r="DJ16" s="10215"/>
      <c r="DK16" s="10215"/>
      <c r="DL16" s="10215"/>
      <c r="DM16" s="10215"/>
      <c r="DN16" s="10215"/>
      <c r="DO16" s="10215"/>
      <c r="DP16" s="10216"/>
      <c r="DQ16" s="9492" t="s">
        <v>1077</v>
      </c>
      <c r="DR16" s="9493"/>
      <c r="DS16" s="9493"/>
      <c r="DT16" s="9493"/>
      <c r="DU16" s="9493"/>
      <c r="DV16" s="9493"/>
      <c r="DW16" s="9493"/>
      <c r="DX16" s="9494"/>
      <c r="DY16" s="10233" t="s">
        <v>926</v>
      </c>
      <c r="DZ16" s="10234"/>
      <c r="EA16" s="10234"/>
      <c r="EB16" s="10234"/>
      <c r="EC16" s="10234"/>
      <c r="ED16" s="10234"/>
      <c r="EE16" s="10234"/>
      <c r="EF16" s="10235"/>
      <c r="EG16" s="10233" t="s">
        <v>1525</v>
      </c>
      <c r="EH16" s="10234"/>
      <c r="EI16" s="10234"/>
      <c r="EJ16" s="10234"/>
      <c r="EK16" s="10234"/>
      <c r="EL16" s="10234"/>
      <c r="EM16" s="10234"/>
      <c r="EN16" s="10234"/>
      <c r="EO16" s="10234"/>
      <c r="EP16" s="10234"/>
      <c r="EQ16" s="10234"/>
      <c r="ER16" s="10234"/>
      <c r="ES16" s="10234"/>
      <c r="ET16" s="10234"/>
      <c r="EU16" s="10234"/>
      <c r="EV16" s="10234"/>
      <c r="EW16" s="10234"/>
      <c r="EX16" s="10234"/>
      <c r="EY16" s="10234"/>
      <c r="EZ16" s="10234"/>
      <c r="FA16" s="10234"/>
      <c r="FB16" s="10235"/>
      <c r="FC16" s="10211" t="s">
        <v>1526</v>
      </c>
      <c r="FD16" s="10244" t="s">
        <v>1982</v>
      </c>
      <c r="FE16" s="10245"/>
      <c r="FF16" s="10245"/>
      <c r="FG16" s="10245"/>
      <c r="FH16" s="10245"/>
      <c r="FI16" s="10245"/>
      <c r="FJ16" s="10245"/>
      <c r="FK16" s="10245"/>
      <c r="FL16" s="10245"/>
      <c r="FM16" s="10245"/>
      <c r="FN16" s="10245"/>
      <c r="FO16" s="10246"/>
      <c r="FP16" s="10241" t="s">
        <v>1538</v>
      </c>
      <c r="FQ16" s="10242"/>
      <c r="FR16" s="10242"/>
      <c r="FS16" s="10242"/>
      <c r="FT16" s="10242"/>
      <c r="FU16" s="10242"/>
      <c r="FV16" s="10242"/>
      <c r="FW16" s="10242"/>
      <c r="FX16" s="10242"/>
      <c r="FY16" s="10242"/>
      <c r="FZ16" s="10242"/>
      <c r="GA16" s="10242"/>
      <c r="GB16" s="10242"/>
      <c r="GC16" s="10242"/>
      <c r="GD16" s="10242"/>
      <c r="GE16" s="10242"/>
      <c r="GF16" s="10242"/>
      <c r="GG16" s="10242"/>
      <c r="GH16" s="10242"/>
      <c r="GI16" s="10242"/>
      <c r="GJ16" s="10242"/>
      <c r="GK16" s="10242"/>
      <c r="GL16" s="10242"/>
      <c r="GM16" s="10242"/>
      <c r="GN16" s="10242"/>
      <c r="GO16" s="10242"/>
      <c r="GP16" s="10242"/>
      <c r="GQ16" s="10242"/>
      <c r="GR16" s="10242"/>
      <c r="GS16" s="10242"/>
      <c r="GT16" s="10242"/>
      <c r="GU16" s="10242"/>
      <c r="GV16" s="10242"/>
      <c r="GW16" s="10242"/>
      <c r="GX16" s="10242"/>
      <c r="GY16" s="10242"/>
      <c r="GZ16" s="10242"/>
      <c r="HA16" s="10242"/>
      <c r="HB16" s="10242"/>
      <c r="HC16" s="10242"/>
      <c r="HD16" s="10242"/>
      <c r="HE16" s="10242"/>
      <c r="HF16" s="10242"/>
      <c r="HG16" s="10242"/>
      <c r="HH16" s="10242"/>
      <c r="HI16" s="10242"/>
      <c r="HJ16" s="10242"/>
      <c r="HK16" s="10242"/>
      <c r="HL16" s="10242"/>
      <c r="HM16" s="10242"/>
      <c r="HN16" s="10243"/>
      <c r="HO16" s="6125"/>
    </row>
    <row r="17" spans="1:223" s="6122" customFormat="1" ht="18" customHeight="1" thickBot="1">
      <c r="A17" s="5133"/>
      <c r="B17" s="5133"/>
      <c r="C17" s="6108"/>
      <c r="D17" s="6108"/>
      <c r="E17" s="6111"/>
      <c r="F17" s="6108"/>
      <c r="G17" s="10212"/>
      <c r="H17" s="10217"/>
      <c r="I17" s="10218"/>
      <c r="J17" s="10218"/>
      <c r="K17" s="10218"/>
      <c r="L17" s="10218"/>
      <c r="M17" s="10218"/>
      <c r="N17" s="10218"/>
      <c r="O17" s="10218"/>
      <c r="P17" s="10218"/>
      <c r="Q17" s="10218"/>
      <c r="R17" s="10218"/>
      <c r="S17" s="10218"/>
      <c r="T17" s="10218"/>
      <c r="U17" s="10218"/>
      <c r="V17" s="10218"/>
      <c r="W17" s="10218"/>
      <c r="X17" s="10218"/>
      <c r="Y17" s="10219"/>
      <c r="Z17" s="10179" t="s">
        <v>1491</v>
      </c>
      <c r="AA17" s="10180"/>
      <c r="AB17" s="10180"/>
      <c r="AC17" s="10180"/>
      <c r="AD17" s="10180"/>
      <c r="AE17" s="10181"/>
      <c r="AF17" s="10179" t="s">
        <v>812</v>
      </c>
      <c r="AG17" s="10180"/>
      <c r="AH17" s="10181"/>
      <c r="AI17" s="10179" t="s">
        <v>612</v>
      </c>
      <c r="AJ17" s="10180"/>
      <c r="AK17" s="10181"/>
      <c r="AL17" s="10179" t="s">
        <v>1451</v>
      </c>
      <c r="AM17" s="10180"/>
      <c r="AN17" s="10180"/>
      <c r="AO17" s="10180"/>
      <c r="AP17" s="10180"/>
      <c r="AQ17" s="10180"/>
      <c r="AR17" s="10180"/>
      <c r="AS17" s="10180"/>
      <c r="AT17" s="10180"/>
      <c r="AU17" s="10180"/>
      <c r="AV17" s="10180"/>
      <c r="AW17" s="10180"/>
      <c r="AX17" s="10180"/>
      <c r="AY17" s="10181"/>
      <c r="AZ17" s="10207" t="s">
        <v>787</v>
      </c>
      <c r="BA17" s="9747" t="s">
        <v>397</v>
      </c>
      <c r="BB17" s="9747" t="s">
        <v>440</v>
      </c>
      <c r="BC17" s="9747" t="s">
        <v>333</v>
      </c>
      <c r="BD17" s="9747" t="s">
        <v>406</v>
      </c>
      <c r="BE17" s="9750" t="s">
        <v>817</v>
      </c>
      <c r="BF17" s="10207" t="s">
        <v>1519</v>
      </c>
      <c r="BG17" s="9747" t="s">
        <v>334</v>
      </c>
      <c r="BH17" s="9747" t="s">
        <v>813</v>
      </c>
      <c r="BI17" s="9747" t="s">
        <v>814</v>
      </c>
      <c r="BJ17" s="9747" t="s">
        <v>446</v>
      </c>
      <c r="BK17" s="9747" t="s">
        <v>362</v>
      </c>
      <c r="BL17" s="9747" t="s">
        <v>779</v>
      </c>
      <c r="BM17" s="9747" t="s">
        <v>401</v>
      </c>
      <c r="BN17" s="9747" t="s">
        <v>781</v>
      </c>
      <c r="BO17" s="9747" t="s">
        <v>530</v>
      </c>
      <c r="BP17" s="9747" t="s">
        <v>400</v>
      </c>
      <c r="BQ17" s="9747" t="s">
        <v>510</v>
      </c>
      <c r="BR17" s="9747" t="s">
        <v>515</v>
      </c>
      <c r="BS17" s="9747" t="s">
        <v>401</v>
      </c>
      <c r="BT17" s="9747" t="s">
        <v>514</v>
      </c>
      <c r="BU17" s="9747" t="s">
        <v>402</v>
      </c>
      <c r="BV17" s="9750" t="s">
        <v>403</v>
      </c>
      <c r="BW17" s="10191" t="s">
        <v>616</v>
      </c>
      <c r="BX17" s="9748" t="s">
        <v>405</v>
      </c>
      <c r="BY17" s="9748" t="s">
        <v>823</v>
      </c>
      <c r="BZ17" s="9748" t="s">
        <v>402</v>
      </c>
      <c r="CA17" s="9748" t="s">
        <v>516</v>
      </c>
      <c r="CB17" s="9748" t="s">
        <v>518</v>
      </c>
      <c r="CC17" s="9748" t="s">
        <v>409</v>
      </c>
      <c r="CD17" s="9748" t="s">
        <v>410</v>
      </c>
      <c r="CE17" s="9748" t="s">
        <v>392</v>
      </c>
      <c r="CF17" s="9748" t="s">
        <v>973</v>
      </c>
      <c r="CG17" s="9751" t="s">
        <v>306</v>
      </c>
      <c r="CH17" s="10191" t="s">
        <v>359</v>
      </c>
      <c r="CI17" s="9748" t="s">
        <v>902</v>
      </c>
      <c r="CJ17" s="9748" t="s">
        <v>1000</v>
      </c>
      <c r="CK17" s="9748" t="s">
        <v>574</v>
      </c>
      <c r="CL17" s="9504" t="s">
        <v>906</v>
      </c>
      <c r="CM17" s="10220" t="s">
        <v>577</v>
      </c>
      <c r="CN17" s="10191" t="s">
        <v>553</v>
      </c>
      <c r="CO17" s="9748" t="s">
        <v>432</v>
      </c>
      <c r="CP17" s="9748" t="s">
        <v>384</v>
      </c>
      <c r="CQ17" s="9748" t="s">
        <v>827</v>
      </c>
      <c r="CR17" s="9748" t="s">
        <v>434</v>
      </c>
      <c r="CS17" s="9764" t="s">
        <v>989</v>
      </c>
      <c r="CT17" s="9748" t="s">
        <v>993</v>
      </c>
      <c r="CU17" s="9748" t="s">
        <v>1540</v>
      </c>
      <c r="CV17" s="9764" t="s">
        <v>341</v>
      </c>
      <c r="CW17" s="9754" t="s">
        <v>74</v>
      </c>
      <c r="CX17" s="10217" t="s">
        <v>1520</v>
      </c>
      <c r="CY17" s="10218"/>
      <c r="CZ17" s="10218"/>
      <c r="DA17" s="10219"/>
      <c r="DB17" s="9492" t="s">
        <v>1524</v>
      </c>
      <c r="DC17" s="9493"/>
      <c r="DD17" s="9493"/>
      <c r="DE17" s="9493"/>
      <c r="DF17" s="9493"/>
      <c r="DG17" s="9482" t="s">
        <v>47</v>
      </c>
      <c r="DH17" s="9486" t="s">
        <v>992</v>
      </c>
      <c r="DI17" s="9486" t="s">
        <v>89</v>
      </c>
      <c r="DJ17" s="9486" t="s">
        <v>59</v>
      </c>
      <c r="DK17" s="9486" t="s">
        <v>910</v>
      </c>
      <c r="DL17" s="9486" t="s">
        <v>913</v>
      </c>
      <c r="DM17" s="9486" t="s">
        <v>60</v>
      </c>
      <c r="DN17" s="9486" t="s">
        <v>419</v>
      </c>
      <c r="DO17" s="9486" t="s">
        <v>919</v>
      </c>
      <c r="DP17" s="9480" t="s">
        <v>187</v>
      </c>
      <c r="DQ17" s="9516" t="s">
        <v>908</v>
      </c>
      <c r="DR17" s="9504" t="s">
        <v>922</v>
      </c>
      <c r="DS17" s="9504" t="s">
        <v>921</v>
      </c>
      <c r="DT17" s="9504" t="s">
        <v>913</v>
      </c>
      <c r="DU17" s="9504" t="s">
        <v>929</v>
      </c>
      <c r="DV17" s="9504" t="s">
        <v>923</v>
      </c>
      <c r="DW17" s="9504" t="s">
        <v>924</v>
      </c>
      <c r="DX17" s="9512" t="s">
        <v>187</v>
      </c>
      <c r="DY17" s="9516" t="s">
        <v>926</v>
      </c>
      <c r="DZ17" s="9504" t="s">
        <v>909</v>
      </c>
      <c r="EA17" s="9504" t="s">
        <v>927</v>
      </c>
      <c r="EB17" s="9504" t="s">
        <v>913</v>
      </c>
      <c r="EC17" s="9504" t="s">
        <v>928</v>
      </c>
      <c r="ED17" s="9504" t="s">
        <v>930</v>
      </c>
      <c r="EE17" s="9504" t="s">
        <v>931</v>
      </c>
      <c r="EF17" s="9512" t="s">
        <v>187</v>
      </c>
      <c r="EG17" s="10207" t="s">
        <v>932</v>
      </c>
      <c r="EH17" s="9747" t="s">
        <v>1192</v>
      </c>
      <c r="EI17" s="9747" t="s">
        <v>933</v>
      </c>
      <c r="EJ17" s="9747" t="s">
        <v>933</v>
      </c>
      <c r="EK17" s="9747" t="s">
        <v>1179</v>
      </c>
      <c r="EL17" s="9747" t="s">
        <v>4</v>
      </c>
      <c r="EM17" s="9747" t="s">
        <v>4</v>
      </c>
      <c r="EN17" s="9747" t="s">
        <v>5</v>
      </c>
      <c r="EO17" s="9747" t="s">
        <v>5</v>
      </c>
      <c r="EP17" s="9747" t="s">
        <v>1196</v>
      </c>
      <c r="EQ17" s="9747" t="s">
        <v>420</v>
      </c>
      <c r="ER17" s="9747" t="s">
        <v>420</v>
      </c>
      <c r="ES17" s="9747" t="s">
        <v>1104</v>
      </c>
      <c r="ET17" s="9747" t="s">
        <v>1940</v>
      </c>
      <c r="EU17" s="9747" t="str">
        <f>+ET17</f>
        <v>Lowest target AEL</v>
      </c>
      <c r="EV17" s="9747" t="s">
        <v>1941</v>
      </c>
      <c r="EW17" s="9747" t="s">
        <v>309</v>
      </c>
      <c r="EX17" s="9747" t="s">
        <v>309</v>
      </c>
      <c r="EY17" s="9747" t="s">
        <v>1105</v>
      </c>
      <c r="EZ17" s="9747" t="s">
        <v>934</v>
      </c>
      <c r="FA17" s="9747" t="s">
        <v>935</v>
      </c>
      <c r="FB17" s="9750" t="s">
        <v>308</v>
      </c>
      <c r="FC17" s="10212"/>
      <c r="FD17" s="10247">
        <v>2010</v>
      </c>
      <c r="FE17" s="10248"/>
      <c r="FF17" s="10248"/>
      <c r="FG17" s="10249"/>
      <c r="FH17" s="10250"/>
      <c r="FI17" s="10251"/>
      <c r="FJ17" s="10252">
        <v>2009</v>
      </c>
      <c r="FK17" s="10248"/>
      <c r="FL17" s="10248"/>
      <c r="FM17" s="10249"/>
      <c r="FN17" s="10250"/>
      <c r="FO17" s="10251"/>
      <c r="FP17" s="10227" t="s">
        <v>1532</v>
      </c>
      <c r="FQ17" s="10228"/>
      <c r="FR17" s="10228"/>
      <c r="FS17" s="10228"/>
      <c r="FT17" s="10228"/>
      <c r="FU17" s="10228"/>
      <c r="FV17" s="10229"/>
      <c r="FW17" s="10236" t="s">
        <v>1536</v>
      </c>
      <c r="FX17" s="10237"/>
      <c r="FY17" s="10237"/>
      <c r="FZ17" s="10237"/>
      <c r="GA17" s="10237"/>
      <c r="GB17" s="10237"/>
      <c r="GC17" s="10237"/>
      <c r="GD17" s="10237"/>
      <c r="GE17" s="10237"/>
      <c r="GF17" s="10237"/>
      <c r="GG17" s="10237"/>
      <c r="GH17" s="10237"/>
      <c r="GI17" s="10237"/>
      <c r="GJ17" s="10238"/>
      <c r="GK17" s="10239" t="s">
        <v>1537</v>
      </c>
      <c r="GL17" s="10240"/>
      <c r="GM17" s="10240"/>
      <c r="GN17" s="10240"/>
      <c r="GO17" s="10240"/>
      <c r="GP17" s="10240"/>
      <c r="GQ17" s="10240"/>
      <c r="GR17" s="10240"/>
      <c r="GS17" s="10240"/>
      <c r="GT17" s="10240"/>
      <c r="GU17" s="10240"/>
      <c r="GV17" s="10240"/>
      <c r="GW17" s="10240"/>
      <c r="GX17" s="10240"/>
      <c r="GY17" s="10227" t="s">
        <v>1539</v>
      </c>
      <c r="GZ17" s="10228"/>
      <c r="HA17" s="10228"/>
      <c r="HB17" s="10228"/>
      <c r="HC17" s="10228"/>
      <c r="HD17" s="10228"/>
      <c r="HE17" s="10228"/>
      <c r="HF17" s="10228"/>
      <c r="HG17" s="10228"/>
      <c r="HH17" s="10228"/>
      <c r="HI17" s="10228"/>
      <c r="HJ17" s="10228"/>
      <c r="HK17" s="10228"/>
      <c r="HL17" s="10228"/>
      <c r="HM17" s="10228"/>
      <c r="HN17" s="10229"/>
      <c r="HO17" s="6125"/>
    </row>
    <row r="18" spans="1:223" ht="50.25" customHeight="1">
      <c r="A18" s="5133"/>
      <c r="B18" s="5133"/>
      <c r="C18" s="5944"/>
      <c r="D18" s="5944"/>
      <c r="E18" s="6112"/>
      <c r="F18" s="5944"/>
      <c r="G18" s="10212"/>
      <c r="H18" s="9516" t="s">
        <v>1086</v>
      </c>
      <c r="I18" s="9504" t="s">
        <v>255</v>
      </c>
      <c r="J18" s="9504" t="s">
        <v>1518</v>
      </c>
      <c r="K18" s="9504" t="s">
        <v>383</v>
      </c>
      <c r="L18" s="9504" t="s">
        <v>2102</v>
      </c>
      <c r="M18" s="9486" t="s">
        <v>2100</v>
      </c>
      <c r="N18" s="9747" t="s">
        <v>1503</v>
      </c>
      <c r="O18" s="9747" t="s">
        <v>917</v>
      </c>
      <c r="P18" s="9748" t="s">
        <v>1504</v>
      </c>
      <c r="Q18" s="9504" t="s">
        <v>302</v>
      </c>
      <c r="R18" s="9748" t="s">
        <v>380</v>
      </c>
      <c r="S18" s="9486" t="s">
        <v>942</v>
      </c>
      <c r="T18" s="9504" t="s">
        <v>1006</v>
      </c>
      <c r="U18" s="9504" t="s">
        <v>113</v>
      </c>
      <c r="V18" s="9486" t="s">
        <v>2416</v>
      </c>
      <c r="W18" s="9504" t="s">
        <v>2417</v>
      </c>
      <c r="X18" s="9504" t="s">
        <v>381</v>
      </c>
      <c r="Y18" s="9750" t="s">
        <v>904</v>
      </c>
      <c r="Z18" s="10191" t="s">
        <v>2136</v>
      </c>
      <c r="AA18" s="9748" t="s">
        <v>2137</v>
      </c>
      <c r="AB18" s="9748" t="s">
        <v>809</v>
      </c>
      <c r="AC18" s="9751" t="s">
        <v>615</v>
      </c>
      <c r="AD18" s="9748" t="s">
        <v>2138</v>
      </c>
      <c r="AE18" s="9748" t="s">
        <v>1541</v>
      </c>
      <c r="AF18" s="10191" t="s">
        <v>581</v>
      </c>
      <c r="AG18" s="9748" t="s">
        <v>809</v>
      </c>
      <c r="AH18" s="9751" t="s">
        <v>615</v>
      </c>
      <c r="AI18" s="10191" t="s">
        <v>580</v>
      </c>
      <c r="AJ18" s="9748" t="s">
        <v>809</v>
      </c>
      <c r="AK18" s="9751" t="s">
        <v>615</v>
      </c>
      <c r="AL18" s="10191" t="s">
        <v>1356</v>
      </c>
      <c r="AM18" s="9748" t="s">
        <v>829</v>
      </c>
      <c r="AN18" s="9748" t="s">
        <v>437</v>
      </c>
      <c r="AO18" s="9748" t="s">
        <v>615</v>
      </c>
      <c r="AP18" s="9748" t="s">
        <v>803</v>
      </c>
      <c r="AQ18" s="9748" t="s">
        <v>436</v>
      </c>
      <c r="AR18" s="9748" t="s">
        <v>804</v>
      </c>
      <c r="AS18" s="9748" t="s">
        <v>805</v>
      </c>
      <c r="AT18" s="9748" t="s">
        <v>617</v>
      </c>
      <c r="AU18" s="9748" t="s">
        <v>618</v>
      </c>
      <c r="AV18" s="9748" t="s">
        <v>617</v>
      </c>
      <c r="AW18" s="9748" t="s">
        <v>618</v>
      </c>
      <c r="AX18" s="9748" t="s">
        <v>617</v>
      </c>
      <c r="AY18" s="9751" t="s">
        <v>618</v>
      </c>
      <c r="AZ18" s="10191"/>
      <c r="BA18" s="9748"/>
      <c r="BB18" s="9748"/>
      <c r="BC18" s="9748"/>
      <c r="BD18" s="9748"/>
      <c r="BE18" s="9751"/>
      <c r="BF18" s="10191"/>
      <c r="BG18" s="9748"/>
      <c r="BH18" s="9748"/>
      <c r="BI18" s="9748"/>
      <c r="BJ18" s="9748"/>
      <c r="BK18" s="9748"/>
      <c r="BL18" s="9748"/>
      <c r="BM18" s="9748"/>
      <c r="BN18" s="9748"/>
      <c r="BO18" s="9748"/>
      <c r="BP18" s="9748"/>
      <c r="BQ18" s="9748"/>
      <c r="BR18" s="9748"/>
      <c r="BS18" s="9748"/>
      <c r="BT18" s="9748"/>
      <c r="BU18" s="9748"/>
      <c r="BV18" s="9751"/>
      <c r="BW18" s="10191"/>
      <c r="BX18" s="9748"/>
      <c r="BY18" s="9748"/>
      <c r="BZ18" s="9748"/>
      <c r="CA18" s="9748"/>
      <c r="CB18" s="9748"/>
      <c r="CC18" s="9748"/>
      <c r="CD18" s="9748"/>
      <c r="CE18" s="9748"/>
      <c r="CF18" s="9748"/>
      <c r="CG18" s="9751"/>
      <c r="CH18" s="10191"/>
      <c r="CI18" s="9748"/>
      <c r="CJ18" s="9748"/>
      <c r="CK18" s="9748"/>
      <c r="CL18" s="9504"/>
      <c r="CM18" s="10220"/>
      <c r="CN18" s="10191"/>
      <c r="CO18" s="9748"/>
      <c r="CP18" s="9748"/>
      <c r="CQ18" s="9748"/>
      <c r="CR18" s="9748"/>
      <c r="CS18" s="9764"/>
      <c r="CT18" s="9748"/>
      <c r="CU18" s="9748"/>
      <c r="CV18" s="9764"/>
      <c r="CW18" s="9755"/>
      <c r="CX18" s="4996" t="s">
        <v>1522</v>
      </c>
      <c r="CY18" s="9751" t="s">
        <v>190</v>
      </c>
      <c r="CZ18" s="4997" t="s">
        <v>1523</v>
      </c>
      <c r="DA18" s="9751" t="s">
        <v>189</v>
      </c>
      <c r="DB18" s="10185" t="s">
        <v>387</v>
      </c>
      <c r="DC18" s="10186"/>
      <c r="DD18" s="9747" t="s">
        <v>799</v>
      </c>
      <c r="DE18" s="4504" t="s">
        <v>984</v>
      </c>
      <c r="DF18" s="9763" t="s">
        <v>915</v>
      </c>
      <c r="DG18" s="9516"/>
      <c r="DH18" s="9504"/>
      <c r="DI18" s="9504"/>
      <c r="DJ18" s="9504"/>
      <c r="DK18" s="9504"/>
      <c r="DL18" s="9504"/>
      <c r="DM18" s="9504"/>
      <c r="DN18" s="9504"/>
      <c r="DO18" s="9504"/>
      <c r="DP18" s="9512"/>
      <c r="DQ18" s="9516"/>
      <c r="DR18" s="9504"/>
      <c r="DS18" s="9504"/>
      <c r="DT18" s="9504"/>
      <c r="DU18" s="9504"/>
      <c r="DV18" s="9504"/>
      <c r="DW18" s="9504"/>
      <c r="DX18" s="9512"/>
      <c r="DY18" s="9516"/>
      <c r="DZ18" s="9504"/>
      <c r="EA18" s="9504"/>
      <c r="EB18" s="9504"/>
      <c r="EC18" s="9504"/>
      <c r="ED18" s="9504"/>
      <c r="EE18" s="9504"/>
      <c r="EF18" s="9512"/>
      <c r="EG18" s="10191"/>
      <c r="EH18" s="9748"/>
      <c r="EI18" s="9748"/>
      <c r="EJ18" s="9748"/>
      <c r="EK18" s="9748"/>
      <c r="EL18" s="9748"/>
      <c r="EM18" s="9748"/>
      <c r="EN18" s="9748"/>
      <c r="EO18" s="9748"/>
      <c r="EP18" s="9748"/>
      <c r="EQ18" s="9748"/>
      <c r="ER18" s="9748"/>
      <c r="ES18" s="9748"/>
      <c r="ET18" s="9748"/>
      <c r="EU18" s="9748"/>
      <c r="EV18" s="9748"/>
      <c r="EW18" s="9748"/>
      <c r="EX18" s="9748"/>
      <c r="EY18" s="9748"/>
      <c r="EZ18" s="9748"/>
      <c r="FA18" s="9748"/>
      <c r="FB18" s="9751"/>
      <c r="FC18" s="10212"/>
      <c r="FD18" s="10254" t="s">
        <v>413</v>
      </c>
      <c r="FE18" s="10253" t="s">
        <v>1983</v>
      </c>
      <c r="FF18" s="8582" t="s">
        <v>418</v>
      </c>
      <c r="FG18" s="8553" t="s">
        <v>832</v>
      </c>
      <c r="FH18" s="8607" t="s">
        <v>1371</v>
      </c>
      <c r="FI18" s="8584" t="s">
        <v>393</v>
      </c>
      <c r="FJ18" s="10254" t="s">
        <v>413</v>
      </c>
      <c r="FK18" s="10253" t="s">
        <v>1983</v>
      </c>
      <c r="FL18" s="8582" t="s">
        <v>418</v>
      </c>
      <c r="FM18" s="8553" t="s">
        <v>832</v>
      </c>
      <c r="FN18" s="8607" t="s">
        <v>1371</v>
      </c>
      <c r="FO18" s="8584" t="s">
        <v>393</v>
      </c>
      <c r="FP18" s="8556" t="s">
        <v>975</v>
      </c>
      <c r="FQ18" s="8553" t="s">
        <v>1533</v>
      </c>
      <c r="FR18" s="8553" t="s">
        <v>108</v>
      </c>
      <c r="FS18" s="8553" t="s">
        <v>311</v>
      </c>
      <c r="FT18" s="8553" t="s">
        <v>1531</v>
      </c>
      <c r="FU18" s="8553" t="s">
        <v>323</v>
      </c>
      <c r="FV18" s="8554" t="s">
        <v>536</v>
      </c>
      <c r="FW18" s="404" t="s">
        <v>413</v>
      </c>
      <c r="FX18" s="2743" t="s">
        <v>1534</v>
      </c>
      <c r="FY18" s="2743" t="s">
        <v>45</v>
      </c>
      <c r="FZ18" s="2743" t="s">
        <v>46</v>
      </c>
      <c r="GA18" s="2743" t="s">
        <v>66</v>
      </c>
      <c r="GB18" s="2743" t="s">
        <v>1107</v>
      </c>
      <c r="GC18" s="2743" t="s">
        <v>1883</v>
      </c>
      <c r="GD18" s="2743" t="s">
        <v>419</v>
      </c>
      <c r="GE18" s="402" t="s">
        <v>1108</v>
      </c>
      <c r="GF18" s="402" t="s">
        <v>1109</v>
      </c>
      <c r="GG18" s="402" t="s">
        <v>1110</v>
      </c>
      <c r="GH18" s="2743" t="s">
        <v>834</v>
      </c>
      <c r="GI18" s="2743" t="s">
        <v>835</v>
      </c>
      <c r="GJ18" s="403" t="s">
        <v>44</v>
      </c>
      <c r="GK18" s="405" t="s">
        <v>413</v>
      </c>
      <c r="GL18" s="406" t="s">
        <v>1534</v>
      </c>
      <c r="GM18" s="406" t="s">
        <v>45</v>
      </c>
      <c r="GN18" s="406" t="s">
        <v>46</v>
      </c>
      <c r="GO18" s="406" t="s">
        <v>66</v>
      </c>
      <c r="GP18" s="406" t="s">
        <v>1107</v>
      </c>
      <c r="GQ18" s="406" t="s">
        <v>1883</v>
      </c>
      <c r="GR18" s="406" t="s">
        <v>419</v>
      </c>
      <c r="GS18" s="4511" t="s">
        <v>1108</v>
      </c>
      <c r="GT18" s="4511" t="s">
        <v>1109</v>
      </c>
      <c r="GU18" s="4511" t="s">
        <v>1110</v>
      </c>
      <c r="GV18" s="406" t="s">
        <v>834</v>
      </c>
      <c r="GW18" s="406" t="s">
        <v>835</v>
      </c>
      <c r="GX18" s="407" t="s">
        <v>44</v>
      </c>
      <c r="GY18" s="4512" t="s">
        <v>1880</v>
      </c>
      <c r="GZ18" s="4513" t="s">
        <v>1562</v>
      </c>
      <c r="HA18" s="4513" t="s">
        <v>1560</v>
      </c>
      <c r="HB18" s="4513" t="s">
        <v>1561</v>
      </c>
      <c r="HC18" s="4513" t="s">
        <v>1882</v>
      </c>
      <c r="HD18" s="4513" t="s">
        <v>1881</v>
      </c>
      <c r="HE18" s="4514" t="s">
        <v>1620</v>
      </c>
      <c r="HF18" s="4513" t="s">
        <v>1621</v>
      </c>
      <c r="HG18" s="4992" t="s">
        <v>1109</v>
      </c>
      <c r="HH18" s="4513" t="s">
        <v>1530</v>
      </c>
      <c r="HI18" s="4513" t="s">
        <v>485</v>
      </c>
      <c r="HJ18" s="4513" t="s">
        <v>1529</v>
      </c>
      <c r="HK18" s="4513" t="s">
        <v>1529</v>
      </c>
      <c r="HL18" s="4515" t="s">
        <v>1632</v>
      </c>
      <c r="HM18" s="4515" t="s">
        <v>1595</v>
      </c>
      <c r="HN18" s="4516" t="s">
        <v>1097</v>
      </c>
      <c r="HO18" s="5133"/>
    </row>
    <row r="19" spans="1:223" ht="15" customHeight="1" thickBot="1">
      <c r="A19" s="5133"/>
      <c r="B19" s="5133"/>
      <c r="C19" s="5944"/>
      <c r="D19" s="5944"/>
      <c r="E19" s="6112"/>
      <c r="F19" s="5944"/>
      <c r="G19" s="10213"/>
      <c r="H19" s="9484"/>
      <c r="I19" s="9487"/>
      <c r="J19" s="9487"/>
      <c r="K19" s="9487"/>
      <c r="L19" s="9487"/>
      <c r="M19" s="9487"/>
      <c r="N19" s="10178"/>
      <c r="O19" s="10178"/>
      <c r="P19" s="10178"/>
      <c r="Q19" s="9487"/>
      <c r="R19" s="10178"/>
      <c r="S19" s="9487"/>
      <c r="T19" s="9487"/>
      <c r="U19" s="9487"/>
      <c r="V19" s="9487"/>
      <c r="W19" s="9487"/>
      <c r="X19" s="9487"/>
      <c r="Y19" s="10190"/>
      <c r="Z19" s="10192"/>
      <c r="AA19" s="10178"/>
      <c r="AB19" s="10178"/>
      <c r="AC19" s="10190"/>
      <c r="AD19" s="10178"/>
      <c r="AE19" s="10178"/>
      <c r="AF19" s="10192"/>
      <c r="AG19" s="10178"/>
      <c r="AH19" s="10190"/>
      <c r="AI19" s="10192"/>
      <c r="AJ19" s="10178"/>
      <c r="AK19" s="10190"/>
      <c r="AL19" s="10192"/>
      <c r="AM19" s="10178"/>
      <c r="AN19" s="10178"/>
      <c r="AO19" s="10178"/>
      <c r="AP19" s="10178"/>
      <c r="AQ19" s="10178"/>
      <c r="AR19" s="10178"/>
      <c r="AS19" s="10178"/>
      <c r="AT19" s="10178"/>
      <c r="AU19" s="10178"/>
      <c r="AV19" s="10178"/>
      <c r="AW19" s="10178"/>
      <c r="AX19" s="10178"/>
      <c r="AY19" s="10190"/>
      <c r="AZ19" s="10192"/>
      <c r="BA19" s="10178"/>
      <c r="BB19" s="10178"/>
      <c r="BC19" s="10178"/>
      <c r="BD19" s="10178"/>
      <c r="BE19" s="10190"/>
      <c r="BF19" s="10192"/>
      <c r="BG19" s="10178"/>
      <c r="BH19" s="10178"/>
      <c r="BI19" s="10178"/>
      <c r="BJ19" s="4517" t="s">
        <v>445</v>
      </c>
      <c r="BK19" s="10178"/>
      <c r="BL19" s="10178"/>
      <c r="BM19" s="10178"/>
      <c r="BN19" s="10178"/>
      <c r="BO19" s="10178"/>
      <c r="BP19" s="10178"/>
      <c r="BQ19" s="10178"/>
      <c r="BR19" s="10178"/>
      <c r="BS19" s="10178"/>
      <c r="BT19" s="10178"/>
      <c r="BU19" s="10178"/>
      <c r="BV19" s="10190"/>
      <c r="BW19" s="10192"/>
      <c r="BX19" s="10178"/>
      <c r="BY19" s="10178"/>
      <c r="BZ19" s="10178"/>
      <c r="CA19" s="10178"/>
      <c r="CB19" s="10178"/>
      <c r="CC19" s="10178"/>
      <c r="CD19" s="10178"/>
      <c r="CE19" s="10178"/>
      <c r="CF19" s="10178"/>
      <c r="CG19" s="10190"/>
      <c r="CH19" s="10192"/>
      <c r="CI19" s="10178"/>
      <c r="CJ19" s="10178"/>
      <c r="CK19" s="10178"/>
      <c r="CL19" s="9487"/>
      <c r="CM19" s="10221"/>
      <c r="CN19" s="10192"/>
      <c r="CO19" s="10178"/>
      <c r="CP19" s="10178"/>
      <c r="CQ19" s="10178"/>
      <c r="CR19" s="10178"/>
      <c r="CS19" s="10256"/>
      <c r="CT19" s="8598" t="s">
        <v>388</v>
      </c>
      <c r="CU19" s="8598" t="s">
        <v>388</v>
      </c>
      <c r="CV19" s="8614" t="s">
        <v>545</v>
      </c>
      <c r="CW19" s="10257"/>
      <c r="CX19" s="8600" t="s">
        <v>414</v>
      </c>
      <c r="CY19" s="10190"/>
      <c r="CZ19" s="8600" t="s">
        <v>414</v>
      </c>
      <c r="DA19" s="10190"/>
      <c r="DB19" s="8598" t="s">
        <v>390</v>
      </c>
      <c r="DC19" s="8598" t="s">
        <v>389</v>
      </c>
      <c r="DD19" s="10178"/>
      <c r="DE19" s="8598" t="s">
        <v>987</v>
      </c>
      <c r="DF19" s="10256"/>
      <c r="DG19" s="9484"/>
      <c r="DH19" s="9487"/>
      <c r="DI19" s="9487"/>
      <c r="DJ19" s="9487"/>
      <c r="DK19" s="9487"/>
      <c r="DL19" s="9487"/>
      <c r="DM19" s="9487"/>
      <c r="DN19" s="9487"/>
      <c r="DO19" s="9487"/>
      <c r="DP19" s="9485"/>
      <c r="DQ19" s="9484"/>
      <c r="DR19" s="9487"/>
      <c r="DS19" s="9487"/>
      <c r="DT19" s="9487"/>
      <c r="DU19" s="9487"/>
      <c r="DV19" s="9487"/>
      <c r="DW19" s="9487"/>
      <c r="DX19" s="9485"/>
      <c r="DY19" s="9484"/>
      <c r="DZ19" s="9487"/>
      <c r="EA19" s="9487"/>
      <c r="EB19" s="9487"/>
      <c r="EC19" s="9487"/>
      <c r="ED19" s="9487"/>
      <c r="EE19" s="9487"/>
      <c r="EF19" s="9485"/>
      <c r="EG19" s="10192"/>
      <c r="EH19" s="8598" t="s">
        <v>545</v>
      </c>
      <c r="EI19" s="8598" t="s">
        <v>481</v>
      </c>
      <c r="EJ19" s="8598" t="s">
        <v>480</v>
      </c>
      <c r="EK19" s="8598"/>
      <c r="EL19" s="8598" t="s">
        <v>486</v>
      </c>
      <c r="EM19" s="8598" t="s">
        <v>480</v>
      </c>
      <c r="EN19" s="8598" t="s">
        <v>486</v>
      </c>
      <c r="EO19" s="8598" t="s">
        <v>480</v>
      </c>
      <c r="EP19" s="8598"/>
      <c r="EQ19" s="8598" t="s">
        <v>481</v>
      </c>
      <c r="ER19" s="8598" t="s">
        <v>480</v>
      </c>
      <c r="ES19" s="10178"/>
      <c r="ET19" s="8598" t="s">
        <v>481</v>
      </c>
      <c r="EU19" s="8598" t="s">
        <v>480</v>
      </c>
      <c r="EV19" s="10178"/>
      <c r="EW19" s="8598" t="s">
        <v>481</v>
      </c>
      <c r="EX19" s="8598" t="s">
        <v>480</v>
      </c>
      <c r="EY19" s="8598"/>
      <c r="EZ19" s="8598"/>
      <c r="FA19" s="8598"/>
      <c r="FB19" s="8599"/>
      <c r="FC19" s="10213"/>
      <c r="FD19" s="10255"/>
      <c r="FE19" s="9749"/>
      <c r="FF19" s="8583" t="s">
        <v>117</v>
      </c>
      <c r="FG19" s="8586" t="s">
        <v>985</v>
      </c>
      <c r="FH19" s="8586" t="s">
        <v>1500</v>
      </c>
      <c r="FI19" s="8585" t="s">
        <v>118</v>
      </c>
      <c r="FJ19" s="10255"/>
      <c r="FK19" s="9749"/>
      <c r="FL19" s="8583" t="s">
        <v>117</v>
      </c>
      <c r="FM19" s="8586" t="s">
        <v>985</v>
      </c>
      <c r="FN19" s="8586" t="s">
        <v>1500</v>
      </c>
      <c r="FO19" s="8585" t="s">
        <v>118</v>
      </c>
      <c r="FP19" s="8549"/>
      <c r="FQ19" s="8552"/>
      <c r="FR19" s="8552"/>
      <c r="FS19" s="8552"/>
      <c r="FT19" s="8552"/>
      <c r="FU19" s="8552"/>
      <c r="FV19" s="8550"/>
      <c r="FW19" s="4518"/>
      <c r="FX19" s="4519" t="s">
        <v>1502</v>
      </c>
      <c r="FY19" s="4519" t="s">
        <v>1502</v>
      </c>
      <c r="FZ19" s="4519" t="s">
        <v>1502</v>
      </c>
      <c r="GA19" s="4519" t="s">
        <v>1502</v>
      </c>
      <c r="GB19" s="4519" t="s">
        <v>1502</v>
      </c>
      <c r="GC19" s="4519" t="s">
        <v>1535</v>
      </c>
      <c r="GD19" s="4519" t="s">
        <v>1535</v>
      </c>
      <c r="GE19" s="4520"/>
      <c r="GF19" s="4520"/>
      <c r="GG19" s="4520"/>
      <c r="GH19" s="4519"/>
      <c r="GI19" s="4519"/>
      <c r="GJ19" s="4521"/>
      <c r="GK19" s="4522"/>
      <c r="GL19" s="4523" t="s">
        <v>1502</v>
      </c>
      <c r="GM19" s="4523" t="s">
        <v>1502</v>
      </c>
      <c r="GN19" s="4523" t="s">
        <v>1502</v>
      </c>
      <c r="GO19" s="4523" t="s">
        <v>1502</v>
      </c>
      <c r="GP19" s="4523" t="s">
        <v>1502</v>
      </c>
      <c r="GQ19" s="4523" t="s">
        <v>545</v>
      </c>
      <c r="GR19" s="4523" t="s">
        <v>1535</v>
      </c>
      <c r="GS19" s="4524"/>
      <c r="GT19" s="4524" t="s">
        <v>1500</v>
      </c>
      <c r="GU19" s="4524"/>
      <c r="GV19" s="4523"/>
      <c r="GW19" s="4523"/>
      <c r="GX19" s="4525"/>
      <c r="GY19" s="8549" t="s">
        <v>117</v>
      </c>
      <c r="GZ19" s="8552" t="s">
        <v>117</v>
      </c>
      <c r="HA19" s="8552" t="s">
        <v>117</v>
      </c>
      <c r="HB19" s="8552" t="s">
        <v>117</v>
      </c>
      <c r="HC19" s="8552" t="s">
        <v>545</v>
      </c>
      <c r="HD19" s="8552" t="s">
        <v>1535</v>
      </c>
      <c r="HE19" s="8552" t="s">
        <v>985</v>
      </c>
      <c r="HF19" s="8552" t="s">
        <v>985</v>
      </c>
      <c r="HG19" s="4993" t="s">
        <v>1500</v>
      </c>
      <c r="HH19" s="8552" t="s">
        <v>481</v>
      </c>
      <c r="HI19" s="8552" t="s">
        <v>481</v>
      </c>
      <c r="HJ19" s="8552" t="s">
        <v>481</v>
      </c>
      <c r="HK19" s="8552" t="s">
        <v>1885</v>
      </c>
      <c r="HL19" s="8552" t="s">
        <v>118</v>
      </c>
      <c r="HM19" s="8552" t="s">
        <v>118</v>
      </c>
      <c r="HN19" s="8550" t="s">
        <v>118</v>
      </c>
      <c r="HO19" s="5133"/>
    </row>
    <row r="20" spans="1:223" ht="13.5" thickBot="1">
      <c r="A20" s="6127" t="s">
        <v>1357</v>
      </c>
      <c r="B20" s="6127"/>
      <c r="C20" s="6127"/>
      <c r="D20" s="5944"/>
      <c r="E20" s="6112"/>
      <c r="F20" s="5944"/>
      <c r="G20" s="68">
        <v>1</v>
      </c>
      <c r="H20" s="68">
        <f>1+G20</f>
        <v>2</v>
      </c>
      <c r="I20" s="68">
        <f t="shared" ref="I20:BU20" si="0">1+H20</f>
        <v>3</v>
      </c>
      <c r="J20" s="68">
        <f t="shared" si="0"/>
        <v>4</v>
      </c>
      <c r="K20" s="68">
        <f t="shared" si="0"/>
        <v>5</v>
      </c>
      <c r="L20" s="68">
        <f t="shared" si="0"/>
        <v>6</v>
      </c>
      <c r="M20" s="68">
        <f t="shared" si="0"/>
        <v>7</v>
      </c>
      <c r="N20" s="68">
        <f t="shared" si="0"/>
        <v>8</v>
      </c>
      <c r="O20" s="68">
        <f t="shared" ref="O20:T20" si="1">1+N20</f>
        <v>9</v>
      </c>
      <c r="P20" s="68">
        <f t="shared" si="1"/>
        <v>10</v>
      </c>
      <c r="Q20" s="68">
        <f t="shared" si="1"/>
        <v>11</v>
      </c>
      <c r="R20" s="68">
        <f t="shared" si="1"/>
        <v>12</v>
      </c>
      <c r="S20" s="68">
        <f t="shared" si="1"/>
        <v>13</v>
      </c>
      <c r="T20" s="68">
        <f t="shared" si="1"/>
        <v>14</v>
      </c>
      <c r="U20" s="68">
        <f t="shared" si="0"/>
        <v>15</v>
      </c>
      <c r="V20" s="68">
        <f t="shared" si="0"/>
        <v>16</v>
      </c>
      <c r="W20" s="68">
        <f t="shared" si="0"/>
        <v>17</v>
      </c>
      <c r="X20" s="68">
        <f t="shared" si="0"/>
        <v>18</v>
      </c>
      <c r="Y20" s="68">
        <f t="shared" si="0"/>
        <v>19</v>
      </c>
      <c r="Z20" s="68">
        <f t="shared" si="0"/>
        <v>20</v>
      </c>
      <c r="AA20" s="68">
        <f t="shared" si="0"/>
        <v>21</v>
      </c>
      <c r="AB20" s="68">
        <f t="shared" si="0"/>
        <v>22</v>
      </c>
      <c r="AC20" s="68">
        <f t="shared" si="0"/>
        <v>23</v>
      </c>
      <c r="AD20" s="68">
        <f t="shared" si="0"/>
        <v>24</v>
      </c>
      <c r="AE20" s="68">
        <f t="shared" si="0"/>
        <v>25</v>
      </c>
      <c r="AF20" s="68">
        <f t="shared" si="0"/>
        <v>26</v>
      </c>
      <c r="AG20" s="68">
        <f t="shared" si="0"/>
        <v>27</v>
      </c>
      <c r="AH20" s="68">
        <f t="shared" si="0"/>
        <v>28</v>
      </c>
      <c r="AI20" s="68">
        <f t="shared" si="0"/>
        <v>29</v>
      </c>
      <c r="AJ20" s="68">
        <f t="shared" si="0"/>
        <v>30</v>
      </c>
      <c r="AK20" s="68">
        <f t="shared" si="0"/>
        <v>31</v>
      </c>
      <c r="AL20" s="68">
        <f t="shared" si="0"/>
        <v>32</v>
      </c>
      <c r="AM20" s="68">
        <f t="shared" si="0"/>
        <v>33</v>
      </c>
      <c r="AN20" s="68">
        <f t="shared" si="0"/>
        <v>34</v>
      </c>
      <c r="AO20" s="68">
        <f t="shared" si="0"/>
        <v>35</v>
      </c>
      <c r="AP20" s="68">
        <f t="shared" si="0"/>
        <v>36</v>
      </c>
      <c r="AQ20" s="68">
        <f t="shared" si="0"/>
        <v>37</v>
      </c>
      <c r="AR20" s="68">
        <f t="shared" si="0"/>
        <v>38</v>
      </c>
      <c r="AS20" s="68">
        <f t="shared" si="0"/>
        <v>39</v>
      </c>
      <c r="AT20" s="68">
        <f t="shared" si="0"/>
        <v>40</v>
      </c>
      <c r="AU20" s="68">
        <f t="shared" si="0"/>
        <v>41</v>
      </c>
      <c r="AV20" s="68">
        <f t="shared" si="0"/>
        <v>42</v>
      </c>
      <c r="AW20" s="68">
        <f t="shared" si="0"/>
        <v>43</v>
      </c>
      <c r="AX20" s="68">
        <f t="shared" si="0"/>
        <v>44</v>
      </c>
      <c r="AY20" s="68">
        <f t="shared" si="0"/>
        <v>45</v>
      </c>
      <c r="AZ20" s="68">
        <f t="shared" si="0"/>
        <v>46</v>
      </c>
      <c r="BA20" s="68">
        <f t="shared" si="0"/>
        <v>47</v>
      </c>
      <c r="BB20" s="68">
        <f t="shared" si="0"/>
        <v>48</v>
      </c>
      <c r="BC20" s="68">
        <f t="shared" si="0"/>
        <v>49</v>
      </c>
      <c r="BD20" s="68">
        <f t="shared" si="0"/>
        <v>50</v>
      </c>
      <c r="BE20" s="68">
        <f t="shared" si="0"/>
        <v>51</v>
      </c>
      <c r="BF20" s="68">
        <f t="shared" si="0"/>
        <v>52</v>
      </c>
      <c r="BG20" s="68">
        <f t="shared" si="0"/>
        <v>53</v>
      </c>
      <c r="BH20" s="68">
        <f t="shared" si="0"/>
        <v>54</v>
      </c>
      <c r="BI20" s="68">
        <f t="shared" si="0"/>
        <v>55</v>
      </c>
      <c r="BJ20" s="68">
        <f t="shared" si="0"/>
        <v>56</v>
      </c>
      <c r="BK20" s="68">
        <f t="shared" si="0"/>
        <v>57</v>
      </c>
      <c r="BL20" s="68">
        <f t="shared" si="0"/>
        <v>58</v>
      </c>
      <c r="BM20" s="68">
        <f t="shared" si="0"/>
        <v>59</v>
      </c>
      <c r="BN20" s="68">
        <f t="shared" si="0"/>
        <v>60</v>
      </c>
      <c r="BO20" s="68">
        <f t="shared" si="0"/>
        <v>61</v>
      </c>
      <c r="BP20" s="68">
        <f t="shared" si="0"/>
        <v>62</v>
      </c>
      <c r="BQ20" s="68">
        <f t="shared" si="0"/>
        <v>63</v>
      </c>
      <c r="BR20" s="68">
        <f t="shared" si="0"/>
        <v>64</v>
      </c>
      <c r="BS20" s="68">
        <f t="shared" si="0"/>
        <v>65</v>
      </c>
      <c r="BT20" s="68">
        <f t="shared" si="0"/>
        <v>66</v>
      </c>
      <c r="BU20" s="68">
        <f t="shared" si="0"/>
        <v>67</v>
      </c>
      <c r="BV20" s="68">
        <f t="shared" ref="BV20:EG20" si="2">1+BU20</f>
        <v>68</v>
      </c>
      <c r="BW20" s="68">
        <f t="shared" si="2"/>
        <v>69</v>
      </c>
      <c r="BX20" s="68">
        <f t="shared" si="2"/>
        <v>70</v>
      </c>
      <c r="BY20" s="68">
        <f t="shared" si="2"/>
        <v>71</v>
      </c>
      <c r="BZ20" s="68">
        <f t="shared" si="2"/>
        <v>72</v>
      </c>
      <c r="CA20" s="68">
        <f t="shared" si="2"/>
        <v>73</v>
      </c>
      <c r="CB20" s="68">
        <f t="shared" si="2"/>
        <v>74</v>
      </c>
      <c r="CC20" s="68">
        <f t="shared" si="2"/>
        <v>75</v>
      </c>
      <c r="CD20" s="68">
        <f t="shared" si="2"/>
        <v>76</v>
      </c>
      <c r="CE20" s="68">
        <f t="shared" si="2"/>
        <v>77</v>
      </c>
      <c r="CF20" s="68">
        <f t="shared" si="2"/>
        <v>78</v>
      </c>
      <c r="CG20" s="68">
        <f t="shared" si="2"/>
        <v>79</v>
      </c>
      <c r="CH20" s="68">
        <f t="shared" si="2"/>
        <v>80</v>
      </c>
      <c r="CI20" s="68">
        <f t="shared" si="2"/>
        <v>81</v>
      </c>
      <c r="CJ20" s="68">
        <f t="shared" si="2"/>
        <v>82</v>
      </c>
      <c r="CK20" s="68">
        <f t="shared" si="2"/>
        <v>83</v>
      </c>
      <c r="CL20" s="68">
        <f t="shared" si="2"/>
        <v>84</v>
      </c>
      <c r="CM20" s="68">
        <f t="shared" si="2"/>
        <v>85</v>
      </c>
      <c r="CN20" s="68">
        <f t="shared" si="2"/>
        <v>86</v>
      </c>
      <c r="CO20" s="68">
        <f t="shared" si="2"/>
        <v>87</v>
      </c>
      <c r="CP20" s="68">
        <f t="shared" si="2"/>
        <v>88</v>
      </c>
      <c r="CQ20" s="68">
        <f t="shared" si="2"/>
        <v>89</v>
      </c>
      <c r="CR20" s="68">
        <f t="shared" si="2"/>
        <v>90</v>
      </c>
      <c r="CS20" s="68">
        <f t="shared" si="2"/>
        <v>91</v>
      </c>
      <c r="CT20" s="68">
        <f t="shared" si="2"/>
        <v>92</v>
      </c>
      <c r="CU20" s="68">
        <f t="shared" si="2"/>
        <v>93</v>
      </c>
      <c r="CV20" s="68">
        <f t="shared" si="2"/>
        <v>94</v>
      </c>
      <c r="CW20" s="68">
        <f t="shared" si="2"/>
        <v>95</v>
      </c>
      <c r="CX20" s="68">
        <f t="shared" si="2"/>
        <v>96</v>
      </c>
      <c r="CY20" s="68">
        <f t="shared" si="2"/>
        <v>97</v>
      </c>
      <c r="CZ20" s="68">
        <f t="shared" si="2"/>
        <v>98</v>
      </c>
      <c r="DA20" s="68">
        <f t="shared" si="2"/>
        <v>99</v>
      </c>
      <c r="DB20" s="68">
        <f t="shared" si="2"/>
        <v>100</v>
      </c>
      <c r="DC20" s="68">
        <f t="shared" si="2"/>
        <v>101</v>
      </c>
      <c r="DD20" s="68">
        <f t="shared" si="2"/>
        <v>102</v>
      </c>
      <c r="DE20" s="68">
        <f t="shared" si="2"/>
        <v>103</v>
      </c>
      <c r="DF20" s="68">
        <f t="shared" si="2"/>
        <v>104</v>
      </c>
      <c r="DG20" s="68">
        <f t="shared" si="2"/>
        <v>105</v>
      </c>
      <c r="DH20" s="68">
        <f t="shared" si="2"/>
        <v>106</v>
      </c>
      <c r="DI20" s="68">
        <f t="shared" si="2"/>
        <v>107</v>
      </c>
      <c r="DJ20" s="68">
        <f t="shared" si="2"/>
        <v>108</v>
      </c>
      <c r="DK20" s="68">
        <f t="shared" si="2"/>
        <v>109</v>
      </c>
      <c r="DL20" s="68">
        <f t="shared" si="2"/>
        <v>110</v>
      </c>
      <c r="DM20" s="68">
        <f t="shared" si="2"/>
        <v>111</v>
      </c>
      <c r="DN20" s="68">
        <f t="shared" si="2"/>
        <v>112</v>
      </c>
      <c r="DO20" s="68">
        <f t="shared" si="2"/>
        <v>113</v>
      </c>
      <c r="DP20" s="68">
        <f t="shared" si="2"/>
        <v>114</v>
      </c>
      <c r="DQ20" s="68">
        <f t="shared" si="2"/>
        <v>115</v>
      </c>
      <c r="DR20" s="68">
        <f t="shared" si="2"/>
        <v>116</v>
      </c>
      <c r="DS20" s="68">
        <f t="shared" si="2"/>
        <v>117</v>
      </c>
      <c r="DT20" s="68">
        <f t="shared" si="2"/>
        <v>118</v>
      </c>
      <c r="DU20" s="68">
        <f t="shared" si="2"/>
        <v>119</v>
      </c>
      <c r="DV20" s="68">
        <f t="shared" si="2"/>
        <v>120</v>
      </c>
      <c r="DW20" s="68">
        <f t="shared" si="2"/>
        <v>121</v>
      </c>
      <c r="DX20" s="68">
        <f t="shared" si="2"/>
        <v>122</v>
      </c>
      <c r="DY20" s="68">
        <f t="shared" si="2"/>
        <v>123</v>
      </c>
      <c r="DZ20" s="68">
        <f t="shared" si="2"/>
        <v>124</v>
      </c>
      <c r="EA20" s="68">
        <f t="shared" si="2"/>
        <v>125</v>
      </c>
      <c r="EB20" s="68">
        <f t="shared" si="2"/>
        <v>126</v>
      </c>
      <c r="EC20" s="68">
        <f t="shared" si="2"/>
        <v>127</v>
      </c>
      <c r="ED20" s="68">
        <f t="shared" si="2"/>
        <v>128</v>
      </c>
      <c r="EE20" s="68">
        <f t="shared" si="2"/>
        <v>129</v>
      </c>
      <c r="EF20" s="68">
        <f t="shared" si="2"/>
        <v>130</v>
      </c>
      <c r="EG20" s="68">
        <f t="shared" si="2"/>
        <v>131</v>
      </c>
      <c r="EH20" s="68">
        <f t="shared" ref="EH20:GT20" si="3">1+EG20</f>
        <v>132</v>
      </c>
      <c r="EI20" s="68">
        <f t="shared" si="3"/>
        <v>133</v>
      </c>
      <c r="EJ20" s="68">
        <f t="shared" si="3"/>
        <v>134</v>
      </c>
      <c r="EK20" s="68">
        <f t="shared" si="3"/>
        <v>135</v>
      </c>
      <c r="EL20" s="68">
        <f t="shared" si="3"/>
        <v>136</v>
      </c>
      <c r="EM20" s="68">
        <f t="shared" si="3"/>
        <v>137</v>
      </c>
      <c r="EN20" s="68">
        <f t="shared" si="3"/>
        <v>138</v>
      </c>
      <c r="EO20" s="68">
        <f t="shared" si="3"/>
        <v>139</v>
      </c>
      <c r="EP20" s="68">
        <f t="shared" si="3"/>
        <v>140</v>
      </c>
      <c r="EQ20" s="68">
        <f t="shared" si="3"/>
        <v>141</v>
      </c>
      <c r="ER20" s="68">
        <f t="shared" si="3"/>
        <v>142</v>
      </c>
      <c r="ES20" s="68">
        <f t="shared" si="3"/>
        <v>143</v>
      </c>
      <c r="ET20" s="68">
        <f t="shared" si="3"/>
        <v>144</v>
      </c>
      <c r="EU20" s="68">
        <f t="shared" si="3"/>
        <v>145</v>
      </c>
      <c r="EV20" s="68">
        <f t="shared" si="3"/>
        <v>146</v>
      </c>
      <c r="EW20" s="68">
        <f t="shared" si="3"/>
        <v>147</v>
      </c>
      <c r="EX20" s="68">
        <f t="shared" si="3"/>
        <v>148</v>
      </c>
      <c r="EY20" s="68">
        <f t="shared" si="3"/>
        <v>149</v>
      </c>
      <c r="EZ20" s="68">
        <f t="shared" si="3"/>
        <v>150</v>
      </c>
      <c r="FA20" s="68">
        <f t="shared" si="3"/>
        <v>151</v>
      </c>
      <c r="FB20" s="68">
        <f t="shared" si="3"/>
        <v>152</v>
      </c>
      <c r="FC20" s="68">
        <f t="shared" si="3"/>
        <v>153</v>
      </c>
      <c r="FD20" s="68">
        <f t="shared" si="3"/>
        <v>154</v>
      </c>
      <c r="FE20" s="68">
        <f t="shared" si="3"/>
        <v>155</v>
      </c>
      <c r="FF20" s="68">
        <f t="shared" si="3"/>
        <v>156</v>
      </c>
      <c r="FG20" s="68">
        <f t="shared" si="3"/>
        <v>157</v>
      </c>
      <c r="FH20" s="68">
        <f>1+FG20</f>
        <v>158</v>
      </c>
      <c r="FI20" s="68">
        <f>1+FH20</f>
        <v>159</v>
      </c>
      <c r="FJ20" s="68">
        <f>1+FI20</f>
        <v>160</v>
      </c>
      <c r="FK20" s="68">
        <f t="shared" si="3"/>
        <v>161</v>
      </c>
      <c r="FL20" s="68">
        <f t="shared" si="3"/>
        <v>162</v>
      </c>
      <c r="FM20" s="68">
        <f t="shared" si="3"/>
        <v>163</v>
      </c>
      <c r="FN20" s="68">
        <f>1+FM20</f>
        <v>164</v>
      </c>
      <c r="FO20" s="68">
        <f>1+FN20</f>
        <v>165</v>
      </c>
      <c r="FP20" s="68">
        <f>1+FO20</f>
        <v>166</v>
      </c>
      <c r="FQ20" s="68">
        <f t="shared" si="3"/>
        <v>167</v>
      </c>
      <c r="FR20" s="68">
        <f t="shared" si="3"/>
        <v>168</v>
      </c>
      <c r="FS20" s="68">
        <f t="shared" si="3"/>
        <v>169</v>
      </c>
      <c r="FT20" s="68">
        <f t="shared" si="3"/>
        <v>170</v>
      </c>
      <c r="FU20" s="68">
        <f t="shared" si="3"/>
        <v>171</v>
      </c>
      <c r="FV20" s="68">
        <f t="shared" si="3"/>
        <v>172</v>
      </c>
      <c r="FW20" s="68">
        <f t="shared" si="3"/>
        <v>173</v>
      </c>
      <c r="FX20" s="68">
        <f t="shared" si="3"/>
        <v>174</v>
      </c>
      <c r="FY20" s="68">
        <f t="shared" si="3"/>
        <v>175</v>
      </c>
      <c r="FZ20" s="68">
        <f t="shared" si="3"/>
        <v>176</v>
      </c>
      <c r="GA20" s="68">
        <f t="shared" si="3"/>
        <v>177</v>
      </c>
      <c r="GB20" s="68">
        <f>1+GA20</f>
        <v>178</v>
      </c>
      <c r="GC20" s="68">
        <f>1+GB20</f>
        <v>179</v>
      </c>
      <c r="GD20" s="68">
        <f>1+GC20</f>
        <v>180</v>
      </c>
      <c r="GE20" s="68">
        <f>1+GD20</f>
        <v>181</v>
      </c>
      <c r="GF20" s="68">
        <f t="shared" si="3"/>
        <v>182</v>
      </c>
      <c r="GG20" s="68">
        <f t="shared" si="3"/>
        <v>183</v>
      </c>
      <c r="GH20" s="68">
        <f t="shared" si="3"/>
        <v>184</v>
      </c>
      <c r="GI20" s="68">
        <f t="shared" si="3"/>
        <v>185</v>
      </c>
      <c r="GJ20" s="68">
        <f t="shared" si="3"/>
        <v>186</v>
      </c>
      <c r="GK20" s="68">
        <f t="shared" si="3"/>
        <v>187</v>
      </c>
      <c r="GL20" s="68">
        <f t="shared" si="3"/>
        <v>188</v>
      </c>
      <c r="GM20" s="68">
        <f t="shared" si="3"/>
        <v>189</v>
      </c>
      <c r="GN20" s="68">
        <f t="shared" si="3"/>
        <v>190</v>
      </c>
      <c r="GO20" s="68">
        <f t="shared" si="3"/>
        <v>191</v>
      </c>
      <c r="GP20" s="68">
        <f t="shared" si="3"/>
        <v>192</v>
      </c>
      <c r="GQ20" s="68">
        <f t="shared" si="3"/>
        <v>193</v>
      </c>
      <c r="GR20" s="68">
        <f t="shared" si="3"/>
        <v>194</v>
      </c>
      <c r="GS20" s="68">
        <f t="shared" si="3"/>
        <v>195</v>
      </c>
      <c r="GT20" s="68">
        <f t="shared" si="3"/>
        <v>196</v>
      </c>
      <c r="GU20" s="68">
        <f t="shared" ref="GU20:HN20" si="4">1+GT20</f>
        <v>197</v>
      </c>
      <c r="GV20" s="68">
        <f t="shared" si="4"/>
        <v>198</v>
      </c>
      <c r="GW20" s="68">
        <f t="shared" si="4"/>
        <v>199</v>
      </c>
      <c r="GX20" s="68">
        <f t="shared" si="4"/>
        <v>200</v>
      </c>
      <c r="GY20" s="68">
        <f t="shared" si="4"/>
        <v>201</v>
      </c>
      <c r="GZ20" s="68">
        <f t="shared" si="4"/>
        <v>202</v>
      </c>
      <c r="HA20" s="68">
        <f t="shared" si="4"/>
        <v>203</v>
      </c>
      <c r="HB20" s="68">
        <f t="shared" si="4"/>
        <v>204</v>
      </c>
      <c r="HC20" s="68">
        <f t="shared" si="4"/>
        <v>205</v>
      </c>
      <c r="HD20" s="68">
        <f t="shared" si="4"/>
        <v>206</v>
      </c>
      <c r="HE20" s="68">
        <f t="shared" si="4"/>
        <v>207</v>
      </c>
      <c r="HF20" s="68">
        <f t="shared" si="4"/>
        <v>208</v>
      </c>
      <c r="HG20" s="68">
        <f t="shared" si="4"/>
        <v>209</v>
      </c>
      <c r="HH20" s="68">
        <f t="shared" si="4"/>
        <v>210</v>
      </c>
      <c r="HI20" s="68">
        <f t="shared" si="4"/>
        <v>211</v>
      </c>
      <c r="HJ20" s="68">
        <f t="shared" si="4"/>
        <v>212</v>
      </c>
      <c r="HK20" s="68">
        <f t="shared" si="4"/>
        <v>213</v>
      </c>
      <c r="HL20" s="68">
        <f t="shared" si="4"/>
        <v>214</v>
      </c>
      <c r="HM20" s="68">
        <f t="shared" si="4"/>
        <v>215</v>
      </c>
      <c r="HN20" s="68">
        <f t="shared" si="4"/>
        <v>216</v>
      </c>
      <c r="HO20" s="5133"/>
    </row>
    <row r="21" spans="1:223" s="6123" customFormat="1" ht="27.95" customHeight="1" thickBot="1">
      <c r="A21" s="5360" t="str">
        <f>+IF(X21="","",X21)</f>
        <v>8298-01</v>
      </c>
      <c r="B21" s="5361" t="str">
        <f>+IF(J21="","",J21)</f>
        <v>CDECCA</v>
      </c>
      <c r="C21" s="7890" t="str">
        <f>+IF(Q21="","",Q21)</f>
        <v>GT </v>
      </c>
      <c r="D21" s="6109"/>
      <c r="E21" s="6113"/>
      <c r="F21" s="6109"/>
      <c r="G21" s="4635">
        <v>1</v>
      </c>
      <c r="H21" s="8593">
        <v>1</v>
      </c>
      <c r="I21" s="6128" t="s">
        <v>1487</v>
      </c>
      <c r="J21" s="8606" t="s">
        <v>782</v>
      </c>
      <c r="K21" s="4734">
        <v>8298</v>
      </c>
      <c r="L21" s="4735" t="s">
        <v>342</v>
      </c>
      <c r="M21" s="4735" t="s">
        <v>342</v>
      </c>
      <c r="N21" s="4505"/>
      <c r="O21" s="4505"/>
      <c r="P21" s="4505" t="s">
        <v>2135</v>
      </c>
      <c r="Q21" s="4528" t="s">
        <v>155</v>
      </c>
      <c r="R21" s="4638" t="str">
        <f>+IF(ISERROR(MATCH(X21,epa_id,0)),"",IF(X21="","",IF(VLOOKUP(MATCH(X21,epa_id,0),epa,'A1(epa)'!$S$17,FALSE)="","",VLOOKUP(MATCH(X21,epa_id,0),epa,'A1(epa)'!$S$17,FALSE))))</f>
        <v>GT</v>
      </c>
      <c r="S21" s="4527">
        <f>+IF(ISERROR(MATCH(X21,epa_id,0)),"",IF(X21="","",IF(VLOOKUP(MATCH(X21,epa_id,0),epa,'A1(epa)'!$R$17,FALSE)="","",VLOOKUP(MATCH(X21,epa_id,0),epa,'A1(epa)'!$R$17,FALSE))))</f>
        <v>50498</v>
      </c>
      <c r="T21" s="6069" t="s">
        <v>794</v>
      </c>
      <c r="U21" s="4529">
        <v>1</v>
      </c>
      <c r="V21" s="4529">
        <v>1</v>
      </c>
      <c r="W21" s="4529">
        <v>1</v>
      </c>
      <c r="X21" s="4526" t="str">
        <f t="shared" ref="X21:X59" si="5">+IF(K21="","",K21&amp;"-"&amp;IF(W21&lt;10,"0"&amp;W21,W21))</f>
        <v>8298-01</v>
      </c>
      <c r="Y21" s="4639" t="s">
        <v>1510</v>
      </c>
      <c r="Z21" s="8593" t="s">
        <v>1513</v>
      </c>
      <c r="AA21" s="8572" t="s">
        <v>361</v>
      </c>
      <c r="AB21" s="4640">
        <v>32540</v>
      </c>
      <c r="AC21" s="4641" t="s">
        <v>979</v>
      </c>
      <c r="AD21" s="4642"/>
      <c r="AE21" s="4643"/>
      <c r="AF21" s="312"/>
      <c r="AG21" s="313"/>
      <c r="AH21" s="314"/>
      <c r="AI21" s="633"/>
      <c r="AJ21" s="4758"/>
      <c r="AK21" s="4759"/>
      <c r="AL21" s="4760" t="s">
        <v>806</v>
      </c>
      <c r="AM21" s="4761" t="s">
        <v>830</v>
      </c>
      <c r="AN21" s="4762">
        <v>40289</v>
      </c>
      <c r="AO21" s="4762">
        <v>41275</v>
      </c>
      <c r="AP21" s="4762"/>
      <c r="AQ21" s="4762"/>
      <c r="AR21" s="4762"/>
      <c r="AS21" s="4762"/>
      <c r="AT21" s="4761">
        <v>8249</v>
      </c>
      <c r="AU21" s="4758"/>
      <c r="AV21" s="311"/>
      <c r="AW21" s="311"/>
      <c r="AX21" s="311"/>
      <c r="AY21" s="315"/>
      <c r="AZ21" s="4530">
        <v>766</v>
      </c>
      <c r="BA21" s="316" t="s">
        <v>438</v>
      </c>
      <c r="BB21" s="4817">
        <f>+IF(AND(G21="",BA21=""),"",VLOOKUP(MATCH(BA21,tw,0),twn,'A4(twn)'!$D$12,FALSE))</f>
        <v>75</v>
      </c>
      <c r="BC21" s="4817" t="str">
        <f>+IF(X21="","",IF(BH21=""," - ",IF(BH21&lt;10,"000"&amp;BH21,(IF(BH21&lt;100,"00"&amp;BH21,IF(BH21&lt;1000,"0"&amp;BH21,BH21)))))&amp;IF(BI21=""," / - "," / "&amp;IF(BI21&lt;10,"00"&amp;BI21,(IF(BI21&lt;100,"0"&amp;BI21,BI21))))&amp;" / "&amp;IF(BB21=""," - ",IF(BB21&lt;10,"00"&amp;BB21,(IF(BB21&lt;100,"0"&amp;BB21,BB21))))&amp;IF(AZ21=""," / - "," / "&amp;IF(AZ21&lt;10,"000"&amp;AZ21,(IF(AZ21&lt;100,"00"&amp;AZ21,IF(AZ21&lt;1000,"0"&amp;AZ21,AZ21))))))</f>
        <v xml:space="preserve"> -  / -  / 075 / 0766</v>
      </c>
      <c r="BD21" s="4505" t="s">
        <v>439</v>
      </c>
      <c r="BE21" s="4818" t="s">
        <v>441</v>
      </c>
      <c r="BF21" s="316" t="s">
        <v>340</v>
      </c>
      <c r="BG21" s="4819" t="str">
        <f>+IF(OR(X21="",ISERROR(MATCH(X21,epa_id,0))),"",VLOOKUP(MATCH(X21,epa_id,0),epa,'A1(epa)'!$AH$17,FALSE))</f>
        <v>Capitol District Energy Center Cogeneration Assoc. (Owner) / PurEnergy, LLC (Operator)</v>
      </c>
      <c r="BH21" s="8565"/>
      <c r="BI21" s="8565"/>
      <c r="BJ21" s="8565">
        <v>2006</v>
      </c>
      <c r="BK21" s="317" t="s">
        <v>444</v>
      </c>
      <c r="BL21" s="318" t="s">
        <v>1487</v>
      </c>
      <c r="BM21" s="318" t="s">
        <v>441</v>
      </c>
      <c r="BN21" s="318" t="s">
        <v>782</v>
      </c>
      <c r="BO21" s="317" t="s">
        <v>447</v>
      </c>
      <c r="BP21" s="317" t="s">
        <v>448</v>
      </c>
      <c r="BQ21" s="317"/>
      <c r="BR21" s="317"/>
      <c r="BS21" s="303"/>
      <c r="BT21" s="317"/>
      <c r="BU21" s="317"/>
      <c r="BV21" s="4531"/>
      <c r="BW21" s="4848" t="s">
        <v>802</v>
      </c>
      <c r="BX21" s="317"/>
      <c r="BY21" s="317"/>
      <c r="BZ21" s="317"/>
      <c r="CA21" s="317"/>
      <c r="CB21" s="317"/>
      <c r="CC21" s="319"/>
      <c r="CD21" s="6149"/>
      <c r="CE21" s="320"/>
      <c r="CF21" s="4376"/>
      <c r="CG21" s="4376"/>
      <c r="CH21" s="4855" t="str">
        <f>+IF(ISERROR(MATCH(X21,epa_id,0)),"",IF(X21="","",IF(VLOOKUP(MATCH(X21,epa_id,0),epa,'A1(epa)'!$AE$17,FALSE)="","",VLOOKUP(MATCH(X21,epa_id,0),epa,'A1(epa)'!$AE$17,FALSE))))</f>
        <v>Cogeneration</v>
      </c>
      <c r="CI21" s="8571" t="s">
        <v>360</v>
      </c>
      <c r="CJ21" s="8571" t="str">
        <f>+IF(ISERROR(MATCH(X21,epa_id,0)),"",IF(X21="","",IF(VLOOKUP(MATCH(X21,epa_id,0),epa,'A1(epa)'!$AF$17,FALSE)="","",VLOOKUP(MATCH(X21,epa_id,0),epa,'A1(epa)'!$AF$17,FALSE))))</f>
        <v>4961</v>
      </c>
      <c r="CK21" s="8561" t="str">
        <f>+IF(ISERROR(MATCH(X21,epa_id,0)),"",IF(X21="","",IF(VLOOKUP(MATCH(X21,epa_id,0),epa,'A1(epa)'!$AG$17,FALSE)="","",VLOOKUP(MATCH(X21,epa_id,0),epa,'A1(epa)'!$AG$17,FALSE))))</f>
        <v>Steam Supply</v>
      </c>
      <c r="CL21" s="322"/>
      <c r="CM21" s="324"/>
      <c r="CN21" s="4876" t="s">
        <v>554</v>
      </c>
      <c r="CO21" s="4761" t="s">
        <v>442</v>
      </c>
      <c r="CP21" s="4761" t="s">
        <v>443</v>
      </c>
      <c r="CQ21" s="4877" t="s">
        <v>363</v>
      </c>
      <c r="CR21" s="4877" t="s">
        <v>521</v>
      </c>
      <c r="CS21" s="4877"/>
      <c r="CT21" s="4878"/>
      <c r="CU21" s="4878"/>
      <c r="CV21" s="4879"/>
      <c r="CW21" s="4880"/>
      <c r="CX21" s="633"/>
      <c r="CY21" s="4927"/>
      <c r="CZ21" s="4928"/>
      <c r="DA21" s="4929"/>
      <c r="DB21" s="633"/>
      <c r="DC21" s="4529"/>
      <c r="DD21" s="4930">
        <f>+AB21</f>
        <v>32540</v>
      </c>
      <c r="DE21" s="4508">
        <f t="shared" ref="DE21:DE32" ca="1" si="6">+(NOW()-DD21)/365.25</f>
        <v>25.436171565328166</v>
      </c>
      <c r="DF21" s="4924"/>
      <c r="DG21" s="4925" t="s">
        <v>939</v>
      </c>
      <c r="DH21" s="4877" t="s">
        <v>1981</v>
      </c>
      <c r="DI21" s="4877" t="s">
        <v>90</v>
      </c>
      <c r="DJ21" s="322" t="s">
        <v>920</v>
      </c>
      <c r="DK21" s="322"/>
      <c r="DL21" s="322"/>
      <c r="DM21" s="322"/>
      <c r="DN21" s="4991">
        <v>738.8</v>
      </c>
      <c r="DO21" s="322" t="s">
        <v>920</v>
      </c>
      <c r="DP21" s="324"/>
      <c r="DQ21" s="321" t="s">
        <v>1124</v>
      </c>
      <c r="DR21" s="322" t="s">
        <v>1078</v>
      </c>
      <c r="DS21" s="322"/>
      <c r="DT21" s="322"/>
      <c r="DU21" s="322"/>
      <c r="DV21" s="4991">
        <v>708.2</v>
      </c>
      <c r="DW21" s="322" t="s">
        <v>920</v>
      </c>
      <c r="DX21" s="324"/>
      <c r="DY21" s="321"/>
      <c r="DZ21" s="322"/>
      <c r="EA21" s="322"/>
      <c r="EB21" s="322"/>
      <c r="EC21" s="322"/>
      <c r="ED21" s="323"/>
      <c r="EE21" s="322"/>
      <c r="EF21" s="325"/>
      <c r="EG21" s="5046"/>
      <c r="EH21" s="4876"/>
      <c r="EI21" s="4877"/>
      <c r="EJ21" s="4877"/>
      <c r="EK21" s="4877"/>
      <c r="EL21" s="5047"/>
      <c r="EM21" s="5047"/>
      <c r="EN21" s="5047"/>
      <c r="EO21" s="5047"/>
      <c r="EP21" s="5047"/>
      <c r="EQ21" s="5047">
        <v>0.15</v>
      </c>
      <c r="ER21" s="5057"/>
      <c r="ES21" s="5057"/>
      <c r="ET21" s="6160">
        <v>0.15</v>
      </c>
      <c r="EU21" s="5057"/>
      <c r="EV21" s="326"/>
      <c r="EW21" s="5060"/>
      <c r="EX21" s="5057"/>
      <c r="EY21" s="5057"/>
      <c r="EZ21" s="4877"/>
      <c r="FA21" s="4877"/>
      <c r="FB21" s="5061"/>
      <c r="FC21" s="4532"/>
      <c r="FD21" s="6161">
        <f>+IF(X21="","",IF(2010-VLOOKUP(MATCH(X21,eyr_id,0),eyr,'A1(epa)'!$U$17,FALSE)=0,IF(VLOOKUP(MATCH(X21,eyr_id,0),eyr,'A1(epa)'!$U$17,FALSE)=0,"",VLOOKUP(MATCH(X21,eyr_id,0),eyr,'A1(epa)'!$U$17,FALSE))))</f>
        <v>2010</v>
      </c>
      <c r="FE21" s="6162">
        <f>+IF(X21="","",IF(2010-VLOOKUP(MATCH(X21,eyr_id,0),eyr,'A1(epa)'!$U$17,FALSE)=0,IF(VLOOKUP(MATCH(X21,eyr_id,0),eyr,'A1(epa)'!$X$17,FALSE)=0,"",VLOOKUP(MATCH(X21,eyr_id,0),eyr,'A1(epa)'!$X$17,FALSE))))</f>
        <v>12</v>
      </c>
      <c r="FF21" s="6163">
        <f>+IF(X21="","",IF(2010-VLOOKUP(MATCH(X21,eyr_id,0),eyr,'A1(epa)'!$U$17,FALSE)=0,IF(VLOOKUP(MATCH(X21,eyr_id,0),eyr,'A1(epa)'!$W$17,FALSE)=0,"",VLOOKUP(MATCH(X21,eyr_id,0),eyr,'A1(epa)'!$W$17,FALSE))))</f>
        <v>308</v>
      </c>
      <c r="FG21" s="6164">
        <f>+IF(X21="","",IF(2010-VLOOKUP(MATCH(X21,eyr_id,0),eyr,'A1(epa)'!$U$17,FALSE)=0,IF(VLOOKUP(MATCH(X21,eyr_id,0),eyr,'A1(epa)'!$AC$17,FALSE)=0,"",VLOOKUP(MATCH(X21,eyr_id,0),eyr,'A1(epa)'!$AC$17,FALSE))))</f>
        <v>103236</v>
      </c>
      <c r="FH21" s="6164">
        <f>+IF(X21="","",IF(2010-VLOOKUP(MATCH(X21,eyr_id,0),eyr,'A1(epa)'!$U$17,FALSE)=0,IF(VLOOKUP(MATCH(X21,eyr_id,0),eyr,'A1(epa)'!$Y$17,FALSE)=0,"",VLOOKUP(MATCH(X21,eyr_id,0),eyr,'A1(epa)'!$Y$17,FALSE))))</f>
        <v>11458</v>
      </c>
      <c r="FI21" s="6165">
        <f>+IF(X21="","",IF(2010-VLOOKUP(MATCH(X21,eyr_id,0),eyr,'A1(epa)'!$U$17,FALSE)=0,IF(VLOOKUP(MATCH(X21,eyr_id,0),eyr,'A1(epa)'!$AB$17,FALSE)=0,"",VLOOKUP(MATCH(X21,eyr_id,0),eyr,'A1(epa)'!$AB$17,FALSE))))</f>
        <v>5.9</v>
      </c>
      <c r="FJ21" s="6161">
        <f>+IF(X21="","",IF(2009-VLOOKUP(MATCH(X21,eyr_id,0)+1,eyr,'A1(epa)'!$U$17,FALSE)=0,IF(VLOOKUP(MATCH(X21,eyr_id,0)+1,eyr,'A1(epa)'!$U$17,FALSE)=0,"",VLOOKUP(MATCH(X21,eyr_id,0)+1,eyr,'A1(epa)'!$U$17,FALSE))))</f>
        <v>2009</v>
      </c>
      <c r="FK21" s="6162">
        <f>+IF(X21="","",IF(2009-VLOOKUP(MATCH(X21,eyr_id,0)+1,eyr,'A1(epa)'!$U$17,FALSE)=0,IF(VLOOKUP(MATCH(X21,eyr_id,0)+1,eyr,'A1(epa)'!$X$17,FALSE)=0,"",VLOOKUP(MATCH(X21,eyr_id,0)+1,eyr,'A1(epa)'!$X$17,FALSE))))</f>
        <v>12</v>
      </c>
      <c r="FL21" s="6163">
        <f>+IF(X21="","",IF(2009-VLOOKUP(MATCH(X21,eyr_id,0)+1,eyr,'A1(epa)'!$U$17,FALSE)=0,IF(VLOOKUP(MATCH(X21,eyr_id,0)+1,eyr,'A1(epa)'!$W$17,FALSE)=0,"",VLOOKUP(MATCH(X21,eyr_id,0)+1,eyr,'A1(epa)'!$W$17,FALSE))))</f>
        <v>207</v>
      </c>
      <c r="FM21" s="6164">
        <f>+IF(X21="","",IF(2009-VLOOKUP(MATCH(X21,eyr_id,0)+1,eyr,'A1(epa)'!$U$17,FALSE)=0,IF(VLOOKUP(MATCH(X21,eyr_id,0)+1,eyr,'A1(epa)'!$AC$17,FALSE)=0,"",VLOOKUP(MATCH(X21,eyr_id,0)+1,eyr,'A1(epa)'!$AC$17,FALSE))))</f>
        <v>69014</v>
      </c>
      <c r="FN21" s="6164">
        <f>+IF(X21="","",IF(2009-VLOOKUP(MATCH(X21,eyr_id,0)+1,eyr,'A1(epa)'!$U$17,FALSE)=0,IF(VLOOKUP(MATCH(X21,eyr_id,0)+1,eyr,'A1(epa)'!$Y$17,FALSE)=0,"",VLOOKUP(MATCH(X21,eyr_id,0)+1,eyr,'A1(epa)'!$Y$17,FALSE))))</f>
        <v>7968</v>
      </c>
      <c r="FO21" s="6165">
        <f>+IF(X21="","",IF(2009-VLOOKUP(MATCH(X21,eyr_id,0)+1,eyr,'A1(epa)'!$U$17,FALSE)=0,IF(VLOOKUP(MATCH(X21,eyr_id,0)+1,eyr,'A1(epa)'!$AB$17,FALSE)=0,"",VLOOKUP(MATCH(X21,eyr_id,0)+1,eyr,'A1(epa)'!$AB$17,FALSE))))</f>
        <v>4.0999999999999996</v>
      </c>
      <c r="FP21" s="633" t="s">
        <v>449</v>
      </c>
      <c r="FQ21" s="4529"/>
      <c r="FR21" s="4529"/>
      <c r="FS21" s="4529"/>
      <c r="FT21" s="4529"/>
      <c r="FU21" s="4529"/>
      <c r="FV21" s="4927"/>
      <c r="FW21" s="633"/>
      <c r="FX21" s="6239"/>
      <c r="FY21" s="6239"/>
      <c r="FZ21" s="6239"/>
      <c r="GA21" s="6239"/>
      <c r="GB21" s="6351" t="str">
        <f t="shared" ref="GB21:GB30" si="7">+IF(OR(FX21="",FF21=""),"",IF(AND(ROUND(FX21/FF21,2)&lt;(FF21+1)/FF21,ROUND(FX21/FF21,2)&gt;(FF21-1)/FF21),"same as EPA-CAIROS report",IF(FX21/FF21&lt;1,"less "&amp;ROUND(FX21-FF21,0)&amp;" hrs than EPA-CAIROS report","more "&amp;ROUND(FX21-FF21,0)&amp;" hrs than EPA-CAIROS report")))</f>
        <v/>
      </c>
      <c r="GC21" s="6239"/>
      <c r="GD21" s="6304"/>
      <c r="GE21" s="6305" t="str">
        <f t="shared" ref="GE21:GE33" si="8">+IF(OR(GD21="",FG21=""),"",IF(AND(ROUND(GD21/FG21,2)&lt;1.1,ROUND(GD21/FG21,2)&gt;0.9),"same as EPA-CAIROS report, within ±10%",IF(GD21/FG21&lt;1,"less "&amp;ROUND((GD21-FG21)/FG21,2)*100&amp;"% MMBtu/hr than EPA-CAIROS report","reported more "&amp;ROUND((GD21-FG21)/FG21,2)*100&amp;"% MMBtu/hr than EPA-CAIROS report")))</f>
        <v/>
      </c>
      <c r="GF21" s="6304"/>
      <c r="GG21" s="6304" t="str">
        <f t="shared" ref="GG21:GG47" si="9">+IF(OR(GF21="",FH21=""),"",IF(AND(ROUND(GF21/FH21,2)&lt;1.025,ROUND(GF21/FH21,2)&gt;0.975),"same as EPA-CAIROS report, within ±5%",IF(GF21/FH21&lt;1,"less "&amp;ROUND((GF21-FH21)/FH21,2)*100&amp;"% MWhr","more "&amp;ROUND((GF21-FH21)/FH21,2)*100&amp;"% MWhr than EPA-CAIROS report")))</f>
        <v/>
      </c>
      <c r="GH21" s="6304"/>
      <c r="GI21" s="6304"/>
      <c r="GJ21" s="6306"/>
      <c r="GK21" s="633"/>
      <c r="GL21" s="6303"/>
      <c r="GM21" s="6303"/>
      <c r="GN21" s="6303"/>
      <c r="GO21" s="6303"/>
      <c r="GP21" s="6303"/>
      <c r="GQ21" s="6303"/>
      <c r="GR21" s="6304"/>
      <c r="GS21" s="6305" t="str">
        <f t="shared" ref="GS21:GS32" si="10">+IF(OR(GR21="",FM21=""),"",IF(AND(ROUND(GR21/FM21,2)&lt;1.1,ROUND(GR21/FM21,2)&gt;0.9),"same as EPA-CAIROS report, within ±10%",IF(GR21/FM21&lt;1,"less "&amp;ROUND((GR21-FM21)/FM21,2)*100&amp;"% MMBtu/hr than EPA-CAIROS report","reported more "&amp;ROUND((GR21-FM21)/FM21,2)*100&amp;"% MMBtu/hr than EPA-CAIROS report")))</f>
        <v/>
      </c>
      <c r="GT21" s="6304"/>
      <c r="GU21" s="6304" t="str">
        <f t="shared" ref="GU21:GU32" si="11">+IF(OR(GT21="",FN21=""),"",IF(AND(ROUND(GT21/FN21,2)&lt;1.025,ROUND(GT21/FN21,2)&gt;0.975),"same as EPA-CAIROS report, within ±5%",IF(GT21/FN21&lt;1,"less "&amp;ROUND((GT21-FN21)/FN21,2)*100&amp;"% MWhr","more "&amp;ROUND((GT21-FN21)/FN21,2)*100&amp;"% MWhr than EPA-CAIROS report")))</f>
        <v/>
      </c>
      <c r="GV21" s="6304"/>
      <c r="GW21" s="6304"/>
      <c r="GX21" s="6306"/>
      <c r="GY21" s="6238"/>
      <c r="GZ21" s="6239"/>
      <c r="HA21" s="6239"/>
      <c r="HB21" s="6239"/>
      <c r="HC21" s="6239"/>
      <c r="HD21" s="6239"/>
      <c r="HE21" s="6239"/>
      <c r="HF21" s="6240" t="str">
        <f t="shared" ref="HF21:HF29" si="12">+IF((GD21+GR21)/2=0,"",(GD21+GR21)/2)</f>
        <v/>
      </c>
      <c r="HG21" s="6240"/>
      <c r="HH21" s="6241" t="str">
        <f t="shared" ref="HH21:HH59" si="13">+IF(EI21="","",EI21)</f>
        <v/>
      </c>
      <c r="HI21" s="6241" t="str">
        <f t="shared" ref="HI21:HI59" si="14">+IF(EL21="","",EL21)</f>
        <v/>
      </c>
      <c r="HJ21" s="6241" t="str">
        <f>+HI21</f>
        <v/>
      </c>
      <c r="HK21" s="6241"/>
      <c r="HL21" s="8608"/>
      <c r="HM21" s="8608"/>
      <c r="HN21" s="6242"/>
      <c r="HO21" s="6126"/>
    </row>
    <row r="22" spans="1:223" s="6124" customFormat="1" ht="25.5" customHeight="1">
      <c r="A22" s="5362" t="str">
        <f t="shared" ref="A22:A36" si="15">+X22</f>
        <v>8302-01</v>
      </c>
      <c r="B22" s="9570" t="str">
        <f>+J22</f>
        <v>CRRA</v>
      </c>
      <c r="C22" s="5363" t="str">
        <f t="shared" ref="C22:C29" si="16">+P22</f>
        <v>11A</v>
      </c>
      <c r="D22" s="6110"/>
      <c r="E22" s="6114"/>
      <c r="F22" s="6110"/>
      <c r="G22" s="4636">
        <v>2</v>
      </c>
      <c r="H22" s="10168">
        <v>2</v>
      </c>
      <c r="I22" s="10170" t="s">
        <v>507</v>
      </c>
      <c r="J22" s="10182" t="s">
        <v>819</v>
      </c>
      <c r="K22" s="4736">
        <v>8302</v>
      </c>
      <c r="L22" s="4737" t="s">
        <v>325</v>
      </c>
      <c r="M22" s="10196" t="s">
        <v>325</v>
      </c>
      <c r="N22" s="4645" t="s">
        <v>506</v>
      </c>
      <c r="O22" s="4645" t="s">
        <v>818</v>
      </c>
      <c r="P22" s="4545" t="s">
        <v>487</v>
      </c>
      <c r="Q22" s="4536" t="s">
        <v>487</v>
      </c>
      <c r="R22" s="4545" t="str">
        <f>+IF(ISERROR(MATCH(X22,epa_id,0)),"",IF(X22="","",IF(VLOOKUP(MATCH(X22,epa_id,0),epa,'A1(epa)'!$S$17,FALSE)="","",VLOOKUP(MATCH(X22,epa_id,0),epa,'A1(epa)'!$S$17,FALSE))))</f>
        <v>11A</v>
      </c>
      <c r="S22" s="4534">
        <f>+IF(ISERROR(MATCH(X22,epa_id,0)),"",IF(X22="","",IF(VLOOKUP(MATCH(X22,epa_id,0),epa,'A1(epa)'!$R$17,FALSE)="","",VLOOKUP(MATCH(X22,epa_id,0),epa,'A1(epa)'!$R$17,FALSE))))</f>
        <v>563</v>
      </c>
      <c r="T22" s="4537" t="s">
        <v>794</v>
      </c>
      <c r="U22" s="4538">
        <v>8</v>
      </c>
      <c r="V22" s="4538">
        <v>2</v>
      </c>
      <c r="W22" s="4538">
        <v>1</v>
      </c>
      <c r="X22" s="4644" t="str">
        <f t="shared" si="5"/>
        <v>8302-01</v>
      </c>
      <c r="Y22" s="4646" t="s">
        <v>905</v>
      </c>
      <c r="Z22" s="8595" t="s">
        <v>811</v>
      </c>
      <c r="AA22" s="4647" t="s">
        <v>602</v>
      </c>
      <c r="AB22" s="4648"/>
      <c r="AC22" s="4649" t="s">
        <v>979</v>
      </c>
      <c r="AD22" s="4650"/>
      <c r="AE22" s="4651"/>
      <c r="AF22" s="4539"/>
      <c r="AG22" s="4540"/>
      <c r="AH22" s="4541"/>
      <c r="AI22" s="4763" t="s">
        <v>810</v>
      </c>
      <c r="AJ22" s="4764">
        <v>39041</v>
      </c>
      <c r="AK22" s="4765">
        <v>40867</v>
      </c>
      <c r="AL22" s="4766" t="s">
        <v>806</v>
      </c>
      <c r="AM22" s="4748" t="s">
        <v>830</v>
      </c>
      <c r="AN22" s="4767">
        <v>40297</v>
      </c>
      <c r="AO22" s="4767">
        <v>41790</v>
      </c>
      <c r="AP22" s="4767">
        <v>40569</v>
      </c>
      <c r="AQ22" s="4767"/>
      <c r="AR22" s="4767">
        <v>40660</v>
      </c>
      <c r="AS22" s="4767">
        <v>40662</v>
      </c>
      <c r="AT22" s="4768" t="s">
        <v>479</v>
      </c>
      <c r="AU22" s="4769"/>
      <c r="AV22" s="4542"/>
      <c r="AW22" s="4542"/>
      <c r="AX22" s="4542"/>
      <c r="AY22" s="4543"/>
      <c r="AZ22" s="4544">
        <v>158</v>
      </c>
      <c r="BA22" s="4820" t="s">
        <v>438</v>
      </c>
      <c r="BB22" s="4821">
        <v>75</v>
      </c>
      <c r="BC22" s="4821" t="str">
        <f t="shared" ref="BC22:BC59" si="17">+IF(X22="","",IF(BH22=""," - ",IF(BH22&lt;10,"000"&amp;BH22,(IF(BH22&lt;100,"00"&amp;BH22,IF(BH22&lt;1000,"0"&amp;BH22,BH22)))))&amp;IF(BI22=""," / - "," / "&amp;IF(BI22&lt;10,"00"&amp;BI22,(IF(BI22&lt;100,"0"&amp;BI22,BI22))))&amp;" / "&amp;IF(BB22=""," - ",IF(BB22&lt;10,"00"&amp;BB22,(IF(BB22&lt;100,"0"&amp;BB22,BB22))))&amp;IF(AZ22=""," / - "," / "&amp;IF(AZ22&lt;10,"000"&amp;AZ22,(IF(AZ22&lt;100,"00"&amp;AZ22,IF(AZ22&lt;1000,"0"&amp;AZ22,AZ22))))))</f>
        <v>5497 / 002 / 075 / 0158</v>
      </c>
      <c r="BD22" s="4545" t="s">
        <v>816</v>
      </c>
      <c r="BE22" s="4646" t="s">
        <v>508</v>
      </c>
      <c r="BF22" s="4820" t="s">
        <v>507</v>
      </c>
      <c r="BG22" s="4645" t="str">
        <f>+IF(OR(X22="",ISERROR(MATCH(X22,epa_id,0))),"",VLOOKUP(MATCH(X22,epa_id,0),epa,'A1(epa)'!$AH$17,FALSE))</f>
        <v>Connecticut Resources Recovery Authority (Owner/Operator)</v>
      </c>
      <c r="BH22" s="4822">
        <v>5497</v>
      </c>
      <c r="BI22" s="4822">
        <v>2</v>
      </c>
      <c r="BJ22" s="6131"/>
      <c r="BK22" s="4546"/>
      <c r="BL22" s="4535" t="s">
        <v>507</v>
      </c>
      <c r="BM22" s="4535" t="s">
        <v>820</v>
      </c>
      <c r="BN22" s="4535" t="s">
        <v>819</v>
      </c>
      <c r="BO22" s="4533" t="s">
        <v>511</v>
      </c>
      <c r="BP22" s="4533" t="s">
        <v>512</v>
      </c>
      <c r="BQ22" s="4533" t="s">
        <v>821</v>
      </c>
      <c r="BR22" s="4533" t="s">
        <v>509</v>
      </c>
      <c r="BS22" s="4547" t="str">
        <f t="shared" ref="BS22:BS29" si="18">+BM22</f>
        <v>100 Constitution Plaza, 6th Floor, Hartford, CT 06103</v>
      </c>
      <c r="BT22" s="4546" t="s">
        <v>513</v>
      </c>
      <c r="BU22" s="4546"/>
      <c r="BV22" s="4548"/>
      <c r="BW22" s="4849" t="s">
        <v>790</v>
      </c>
      <c r="BX22" s="4533" t="s">
        <v>519</v>
      </c>
      <c r="BY22" s="4533" t="s">
        <v>824</v>
      </c>
      <c r="BZ22" s="4533" t="s">
        <v>825</v>
      </c>
      <c r="CA22" s="4533" t="s">
        <v>517</v>
      </c>
      <c r="CB22" s="4533" t="s">
        <v>826</v>
      </c>
      <c r="CC22" s="4549">
        <v>40569</v>
      </c>
      <c r="CD22" s="6150" t="s">
        <v>938</v>
      </c>
      <c r="CE22" s="4550">
        <v>40662</v>
      </c>
      <c r="CF22" s="4551" t="s">
        <v>974</v>
      </c>
      <c r="CG22" s="4551"/>
      <c r="CH22" s="4856" t="str">
        <f>+IF(ISERROR(MATCH(X22,epa_id,0)),"",IF(X22="","",IF(VLOOKUP(MATCH(X22,epa_id,0),epa,'A1(epa)'!$AE$17,FALSE)="","",VLOOKUP(MATCH(X22,epa_id,0),epa,'A1(epa)'!$AE$17,FALSE))))</f>
        <v>Electric Utility</v>
      </c>
      <c r="CI22" s="4647" t="s">
        <v>944</v>
      </c>
      <c r="CJ22" s="4647" t="str">
        <f>+IF(ISERROR(MATCH(X22,epa_id,0)),"",IF(X22="","",IF(VLOOKUP(MATCH(X22,epa_id,0),epa,'A1(epa)'!$AF$17,FALSE)="","",VLOOKUP(MATCH(X22,epa_id,0),epa,'A1(epa)'!$AF$17,FALSE))))</f>
        <v>4911</v>
      </c>
      <c r="CK22" s="4857" t="str">
        <f>+IF(ISERROR(MATCH(X22,epa_id,0)),"",IF(X22="","",IF(VLOOKUP(MATCH(X22,epa_id,0),epa,'A1(epa)'!$AG$17,FALSE)="","",VLOOKUP(MATCH(X22,epa_id,0),epa,'A1(epa)'!$AG$17,FALSE))))</f>
        <v>Electric Services</v>
      </c>
      <c r="CL22" s="4552" t="str">
        <f>+"Driven by turbines "&amp;RIGHT(R22,1)&amp;" and "&amp;RIGHT(R23,1)&amp;" operating simultaneously"</f>
        <v>Driven by turbines A and B operating simultaneously</v>
      </c>
      <c r="CM22" s="4553"/>
      <c r="CN22" s="4881"/>
      <c r="CO22" s="4791" t="s">
        <v>385</v>
      </c>
      <c r="CP22" s="4791" t="s">
        <v>520</v>
      </c>
      <c r="CQ22" s="4882" t="s">
        <v>828</v>
      </c>
      <c r="CR22" s="4884" t="s">
        <v>907</v>
      </c>
      <c r="CS22" s="4884" t="s">
        <v>901</v>
      </c>
      <c r="CT22" s="10159">
        <v>40</v>
      </c>
      <c r="CU22" s="10159">
        <f>+SUM(CT22:CT29)</f>
        <v>160</v>
      </c>
      <c r="CV22" s="4885"/>
      <c r="CW22" s="4886" t="s">
        <v>903</v>
      </c>
      <c r="CX22" s="4763">
        <v>19.3</v>
      </c>
      <c r="CY22" s="4931" t="s">
        <v>80</v>
      </c>
      <c r="CZ22" s="4932">
        <v>22.1</v>
      </c>
      <c r="DA22" s="4933" t="s">
        <v>80</v>
      </c>
      <c r="DB22" s="4763"/>
      <c r="DC22" s="4883">
        <v>1970</v>
      </c>
      <c r="DD22" s="4934">
        <v>25569</v>
      </c>
      <c r="DE22" s="4935">
        <f t="shared" ca="1" si="6"/>
        <v>44.521729402426047</v>
      </c>
      <c r="DF22" s="6154" t="s">
        <v>990</v>
      </c>
      <c r="DG22" s="6166"/>
      <c r="DH22" s="4884" t="s">
        <v>983</v>
      </c>
      <c r="DI22" s="4884" t="s">
        <v>1151</v>
      </c>
      <c r="DJ22" s="4552" t="s">
        <v>911</v>
      </c>
      <c r="DK22" s="4552">
        <v>1900</v>
      </c>
      <c r="DL22" s="4552" t="s">
        <v>914</v>
      </c>
      <c r="DM22" s="4552" t="s">
        <v>918</v>
      </c>
      <c r="DN22" s="4554">
        <v>256</v>
      </c>
      <c r="DO22" s="4990" t="s">
        <v>920</v>
      </c>
      <c r="DP22" s="4553"/>
      <c r="DQ22" s="4555" t="s">
        <v>1124</v>
      </c>
      <c r="DR22" s="4552" t="s">
        <v>920</v>
      </c>
      <c r="DS22" s="4552">
        <v>1900</v>
      </c>
      <c r="DT22" s="4552" t="s">
        <v>914</v>
      </c>
      <c r="DU22" s="4552"/>
      <c r="DV22" s="4554">
        <v>256</v>
      </c>
      <c r="DW22" s="4552" t="s">
        <v>920</v>
      </c>
      <c r="DX22" s="4553"/>
      <c r="DY22" s="4555" t="s">
        <v>925</v>
      </c>
      <c r="DZ22" s="4552" t="s">
        <v>920</v>
      </c>
      <c r="EA22" s="4552">
        <v>1900</v>
      </c>
      <c r="EB22" s="4552" t="s">
        <v>914</v>
      </c>
      <c r="EC22" s="4552"/>
      <c r="ED22" s="4554">
        <v>256</v>
      </c>
      <c r="EE22" s="4552" t="s">
        <v>920</v>
      </c>
      <c r="EF22" s="4556"/>
      <c r="EG22" s="5040" t="s">
        <v>186</v>
      </c>
      <c r="EH22" s="6167">
        <v>256</v>
      </c>
      <c r="EI22" s="5032">
        <v>0.67500000000000004</v>
      </c>
      <c r="EJ22" s="5031">
        <v>132.5</v>
      </c>
      <c r="EK22" s="5031" t="s">
        <v>920</v>
      </c>
      <c r="EL22" s="5032">
        <v>0.81</v>
      </c>
      <c r="EM22" s="5032"/>
      <c r="EN22" s="5032"/>
      <c r="EO22" s="5032"/>
      <c r="EP22" s="5032"/>
      <c r="EQ22" s="5032">
        <v>0.28899999999999998</v>
      </c>
      <c r="ER22" s="5031">
        <v>75</v>
      </c>
      <c r="ES22" s="5031"/>
      <c r="ET22" s="6160">
        <v>0.15</v>
      </c>
      <c r="EU22" s="5031">
        <v>40</v>
      </c>
      <c r="EV22" s="4557"/>
      <c r="EW22" s="5062"/>
      <c r="EX22" s="5031"/>
      <c r="EY22" s="5031"/>
      <c r="EZ22" s="5063">
        <v>40132</v>
      </c>
      <c r="FA22" s="5063">
        <v>41958</v>
      </c>
      <c r="FB22" s="5064">
        <f>+IF(OR(FA22="",EZ22=""),"",(FA22-EZ22)/365.25)</f>
        <v>4.9993155373032172</v>
      </c>
      <c r="FC22" s="4558"/>
      <c r="FD22" s="6168">
        <f>+IF(X22="","",IF(2010-VLOOKUP(MATCH(X22,eyr_id,0),eyr,'A1(epa)'!$U$17,FALSE)=0,IF(VLOOKUP(MATCH(X22,eyr_id,0),eyr,'A1(epa)'!$U$17,FALSE)=0,"",VLOOKUP(MATCH(X22,eyr_id,0),eyr,'A1(epa)'!$U$17,FALSE))))</f>
        <v>2010</v>
      </c>
      <c r="FE22" s="6169">
        <f>+IF(X22="","",IF(2010-VLOOKUP(MATCH(X22,eyr_id,0),eyr,'A1(epa)'!$U$17,FALSE)=0,IF(VLOOKUP(MATCH(X22,eyr_id,0),eyr,'A1(epa)'!$X$17,FALSE)=0,"",VLOOKUP(MATCH(X22,eyr_id,0),eyr,'A1(epa)'!$X$17,FALSE))))</f>
        <v>12</v>
      </c>
      <c r="FF22" s="6170">
        <f>+IF(X22="","",IF(2010-VLOOKUP(MATCH(X22,eyr_id,0),eyr,'A1(epa)'!$U$17,FALSE)=0,IF(VLOOKUP(MATCH(X22,eyr_id,0),eyr,'A1(epa)'!$W$17,FALSE)=0,"",VLOOKUP(MATCH(X22,eyr_id,0),eyr,'A1(epa)'!$W$17,FALSE))))</f>
        <v>23</v>
      </c>
      <c r="FG22" s="6171">
        <f>+IF(X22="","",IF(2010-VLOOKUP(MATCH(X22,eyr_id,0),eyr,'A1(epa)'!$U$17,FALSE)=0,IF(VLOOKUP(MATCH(X22,eyr_id,0),eyr,'A1(epa)'!$AC$17,FALSE)=0,"",VLOOKUP(MATCH(X22,eyr_id,0),eyr,'A1(epa)'!$AC$17,FALSE))))</f>
        <v>3882</v>
      </c>
      <c r="FH22" s="6172">
        <f>+IF(X22="","",IF(2010-VLOOKUP(MATCH(X22,eyr_id,0),eyr,'A1(epa)'!$U$17,FALSE)=0,IF(VLOOKUP(MATCH(X22,eyr_id,0),eyr,'A1(epa)'!$Y$17,FALSE)=0,"",VLOOKUP(MATCH(X22,eyr_id,0),eyr,'A1(epa)'!$Y$17,FALSE))))</f>
        <v>298</v>
      </c>
      <c r="FI22" s="6173">
        <f>+IF(X22="","",IF(2010-VLOOKUP(MATCH(X22,eyr_id,0),eyr,'A1(epa)'!$U$17,FALSE)=0,IF(VLOOKUP(MATCH(X22,eyr_id,0),eyr,'A1(epa)'!$AB$17,FALSE)=0,"",VLOOKUP(MATCH(X22,eyr_id,0),eyr,'A1(epa)'!$AB$17,FALSE))))</f>
        <v>1.5</v>
      </c>
      <c r="FJ22" s="6168">
        <f>+IF(X22="","",IF(2009-VLOOKUP(MATCH(X22,eyr_id,0)+1,eyr,'A1(epa)'!$U$17,FALSE)=0,IF(VLOOKUP(MATCH(X22,eyr_id,0)+1,eyr,'A1(epa)'!$U$17,FALSE)=0,"",VLOOKUP(MATCH(X22,eyr_id,0)+1,eyr,'A1(epa)'!$U$17,FALSE))))</f>
        <v>2009</v>
      </c>
      <c r="FK22" s="6169">
        <f>+IF(X22="","",IF(2009-VLOOKUP(MATCH(X22,eyr_id,0)+1,eyr,'A1(epa)'!$U$17,FALSE)=0,IF(VLOOKUP(MATCH(X22,eyr_id,0)+1,eyr,'A1(epa)'!$X$17,FALSE)=0,"",VLOOKUP(MATCH(X22,eyr_id,0)+1,eyr,'A1(epa)'!$X$17,FALSE))))</f>
        <v>12</v>
      </c>
      <c r="FL22" s="6170">
        <f>+IF(X22="","",IF(2009-VLOOKUP(MATCH(X22,eyr_id,0)+1,eyr,'A1(epa)'!$U$17,FALSE)=0,IF(VLOOKUP(MATCH(X22,eyr_id,0)+1,eyr,'A1(epa)'!$W$17,FALSE)=0,"",VLOOKUP(MATCH(X22,eyr_id,0)+1,eyr,'A1(epa)'!$W$17,FALSE))))</f>
        <v>22</v>
      </c>
      <c r="FM22" s="6171">
        <f>+IF(X22="","",IF(2009-VLOOKUP(MATCH(X22,eyr_id,0)+1,eyr,'A1(epa)'!$U$17,FALSE)=0,IF(VLOOKUP(MATCH(X22,eyr_id,0)+1,eyr,'A1(epa)'!$AC$17,FALSE)=0,"",VLOOKUP(MATCH(X22,eyr_id,0)+1,eyr,'A1(epa)'!$AC$17,FALSE))))</f>
        <v>3368</v>
      </c>
      <c r="FN22" s="6172">
        <f>+IF(X22="","",IF(2009-VLOOKUP(MATCH(X22,eyr_id,0)+1,eyr,'A1(epa)'!$U$17,FALSE)=0,IF(VLOOKUP(MATCH(X22,eyr_id,0)+1,eyr,'A1(epa)'!$Y$17,FALSE)=0,"",VLOOKUP(MATCH(X22,eyr_id,0)+1,eyr,'A1(epa)'!$Y$17,FALSE))))</f>
        <v>264</v>
      </c>
      <c r="FO22" s="6173">
        <f>+IF(X22="","",IF(2009-VLOOKUP(MATCH(X22,eyr_id,0)+1,eyr,'A1(epa)'!$U$17,FALSE)=0,IF(VLOOKUP(MATCH(X22,eyr_id,0)+1,eyr,'A1(epa)'!$AB$17,FALSE)=0,"",VLOOKUP(MATCH(X22,eyr_id,0)+1,eyr,'A1(epa)'!$AB$17,FALSE))))</f>
        <v>1.4</v>
      </c>
      <c r="FP22" s="5088" t="s">
        <v>978</v>
      </c>
      <c r="FQ22" s="5089" t="s">
        <v>976</v>
      </c>
      <c r="FR22" s="5090" t="s">
        <v>979</v>
      </c>
      <c r="FS22" s="5090"/>
      <c r="FT22" s="5090"/>
      <c r="FU22" s="5090"/>
      <c r="FV22" s="5091" t="s">
        <v>979</v>
      </c>
      <c r="FW22" s="6307"/>
      <c r="FX22" s="6244"/>
      <c r="FY22" s="6244"/>
      <c r="FZ22" s="6244"/>
      <c r="GA22" s="6244"/>
      <c r="GB22" s="6352" t="str">
        <f t="shared" si="7"/>
        <v/>
      </c>
      <c r="GC22" s="6244"/>
      <c r="GD22" s="8610"/>
      <c r="GE22" s="6309" t="str">
        <f t="shared" si="8"/>
        <v/>
      </c>
      <c r="GF22" s="8610"/>
      <c r="GG22" s="8610" t="str">
        <f t="shared" si="9"/>
        <v/>
      </c>
      <c r="GH22" s="8610"/>
      <c r="GI22" s="8610"/>
      <c r="GJ22" s="6310"/>
      <c r="GK22" s="6307"/>
      <c r="GL22" s="6308"/>
      <c r="GM22" s="6308"/>
      <c r="GN22" s="6308"/>
      <c r="GO22" s="6308"/>
      <c r="GP22" s="6308"/>
      <c r="GQ22" s="6308"/>
      <c r="GR22" s="8610"/>
      <c r="GS22" s="6309" t="str">
        <f t="shared" si="10"/>
        <v/>
      </c>
      <c r="GT22" s="8610"/>
      <c r="GU22" s="8610" t="str">
        <f t="shared" si="11"/>
        <v/>
      </c>
      <c r="GV22" s="8610"/>
      <c r="GW22" s="8610"/>
      <c r="GX22" s="6310"/>
      <c r="GY22" s="6243"/>
      <c r="GZ22" s="6244"/>
      <c r="HA22" s="6244"/>
      <c r="HB22" s="6244"/>
      <c r="HC22" s="6244"/>
      <c r="HD22" s="6244"/>
      <c r="HE22" s="6244"/>
      <c r="HF22" s="6245" t="str">
        <f t="shared" si="12"/>
        <v/>
      </c>
      <c r="HG22" s="6245"/>
      <c r="HH22" s="6246">
        <f t="shared" si="13"/>
        <v>0.67500000000000004</v>
      </c>
      <c r="HI22" s="6247">
        <f t="shared" si="14"/>
        <v>0.81</v>
      </c>
      <c r="HJ22" s="6246">
        <f>+AVERAGEA($HH$22:$HH$29)</f>
        <v>0.73049999999999993</v>
      </c>
      <c r="HK22" s="6247">
        <f>+AVERAGEA($HH$22:$HH$29)*(EJ22/EI22+EJ23/EI23+EJ24/EI24+EJ25/EI25+EJ26/EI26+EJ27/EI27+EJ28/EI28+EJ29/EI29)/8</f>
        <v>129.36842099334265</v>
      </c>
      <c r="HL22" s="6248"/>
      <c r="HM22" s="6248"/>
      <c r="HN22" s="6249"/>
      <c r="HO22" s="6062"/>
    </row>
    <row r="23" spans="1:223" s="6124" customFormat="1" ht="25.5" customHeight="1">
      <c r="A23" s="5364" t="str">
        <f t="shared" si="15"/>
        <v>8302-02</v>
      </c>
      <c r="B23" s="9571"/>
      <c r="C23" s="5365" t="str">
        <f t="shared" si="16"/>
        <v>11B</v>
      </c>
      <c r="D23" s="6110"/>
      <c r="E23" s="6114"/>
      <c r="F23" s="6110"/>
      <c r="G23" s="4636">
        <v>3</v>
      </c>
      <c r="H23" s="10169"/>
      <c r="I23" s="10171"/>
      <c r="J23" s="10183"/>
      <c r="K23" s="4738">
        <v>8302</v>
      </c>
      <c r="L23" s="8601" t="s">
        <v>325</v>
      </c>
      <c r="M23" s="10197"/>
      <c r="N23" s="4653" t="s">
        <v>506</v>
      </c>
      <c r="O23" s="4653" t="s">
        <v>818</v>
      </c>
      <c r="P23" s="4506" t="s">
        <v>488</v>
      </c>
      <c r="Q23" s="309" t="s">
        <v>488</v>
      </c>
      <c r="R23" s="4506" t="str">
        <f>+IF(ISERROR(MATCH(X23,epa_id,0)),"",IF(X23="","",IF(VLOOKUP(MATCH(X23,epa_id,0),epa,'A1(epa)'!$S$17,FALSE)="","",VLOOKUP(MATCH(X23,epa_id,0),epa,'A1(epa)'!$S$17,FALSE))))</f>
        <v>11B</v>
      </c>
      <c r="S23" s="305">
        <f>+IF(ISERROR(MATCH(X23,epa_id,0)),"",IF(X23="","",IF(VLOOKUP(MATCH(X23,epa_id,0),epa,'A1(epa)'!$R$17,FALSE)="","",VLOOKUP(MATCH(X23,epa_id,0),epa,'A1(epa)'!$R$17,FALSE))))</f>
        <v>563</v>
      </c>
      <c r="T23" s="6070" t="s">
        <v>794</v>
      </c>
      <c r="U23" s="4502">
        <v>8</v>
      </c>
      <c r="V23" s="4502">
        <v>2</v>
      </c>
      <c r="W23" s="4502">
        <f>1+W22</f>
        <v>2</v>
      </c>
      <c r="X23" s="4652" t="str">
        <f t="shared" si="5"/>
        <v>8302-02</v>
      </c>
      <c r="Y23" s="4654" t="s">
        <v>905</v>
      </c>
      <c r="Z23" s="8596" t="s">
        <v>811</v>
      </c>
      <c r="AA23" s="4655" t="s">
        <v>603</v>
      </c>
      <c r="AB23" s="4655"/>
      <c r="AC23" s="4656" t="s">
        <v>979</v>
      </c>
      <c r="AD23" s="4657"/>
      <c r="AE23" s="4658"/>
      <c r="AF23" s="329"/>
      <c r="AG23" s="330"/>
      <c r="AH23" s="331"/>
      <c r="AI23" s="4770" t="s">
        <v>810</v>
      </c>
      <c r="AJ23" s="4771"/>
      <c r="AK23" s="4772"/>
      <c r="AL23" s="4773" t="s">
        <v>806</v>
      </c>
      <c r="AM23" s="8603" t="s">
        <v>830</v>
      </c>
      <c r="AN23" s="4774">
        <v>40297</v>
      </c>
      <c r="AO23" s="4774">
        <v>41790</v>
      </c>
      <c r="AP23" s="4774">
        <f t="shared" ref="AP23:AP29" si="19">+IF(K23=K22,IF(AP22="","",AP22),"Check Date")</f>
        <v>40569</v>
      </c>
      <c r="AQ23" s="4774" t="str">
        <f t="shared" ref="AQ23:AQ29" si="20">+IF(K23=K22,IF(AQ22="","",AQ22),"Check Date")</f>
        <v/>
      </c>
      <c r="AR23" s="4774">
        <f t="shared" ref="AR23:AR29" si="21">+IF(K23=K22,IF(AR22="","",AR22),"Check Date")</f>
        <v>40660</v>
      </c>
      <c r="AS23" s="4774">
        <f t="shared" ref="AS23:AS29" si="22">+IF(K23=K22,IF(AS22="","",AS22),"Check Date")</f>
        <v>40662</v>
      </c>
      <c r="AT23" s="4775" t="s">
        <v>479</v>
      </c>
      <c r="AU23" s="4776"/>
      <c r="AV23" s="332"/>
      <c r="AW23" s="332"/>
      <c r="AX23" s="332"/>
      <c r="AY23" s="333"/>
      <c r="AZ23" s="334">
        <v>158</v>
      </c>
      <c r="BA23" s="4823" t="s">
        <v>438</v>
      </c>
      <c r="BB23" s="624">
        <f>+IF(AND(G23="",BA23=""),"",VLOOKUP(MATCH(BA23,tw,0),twn,'A4(twn)'!$D$12,FALSE))</f>
        <v>75</v>
      </c>
      <c r="BC23" s="624" t="str">
        <f t="shared" si="17"/>
        <v>5497 / 002 / 075 / 0158</v>
      </c>
      <c r="BD23" s="4506" t="s">
        <v>816</v>
      </c>
      <c r="BE23" s="4654" t="s">
        <v>508</v>
      </c>
      <c r="BF23" s="4823" t="s">
        <v>507</v>
      </c>
      <c r="BG23" s="4653" t="str">
        <f>+IF(OR(X23="",ISERROR(MATCH(X23,epa_id,0))),"",VLOOKUP(MATCH(X23,epa_id,0),epa,'A1(epa)'!$AH$17,FALSE))</f>
        <v>Connecticut Resources Recovery Authority (Owner/Operator)</v>
      </c>
      <c r="BH23" s="4824">
        <v>5497</v>
      </c>
      <c r="BI23" s="4824">
        <v>2</v>
      </c>
      <c r="BJ23" s="6132"/>
      <c r="BK23" s="335"/>
      <c r="BL23" s="328" t="s">
        <v>507</v>
      </c>
      <c r="BM23" s="328" t="s">
        <v>820</v>
      </c>
      <c r="BN23" s="328" t="s">
        <v>819</v>
      </c>
      <c r="BO23" s="327" t="s">
        <v>511</v>
      </c>
      <c r="BP23" s="327" t="s">
        <v>512</v>
      </c>
      <c r="BQ23" s="327" t="s">
        <v>821</v>
      </c>
      <c r="BR23" s="327" t="s">
        <v>509</v>
      </c>
      <c r="BS23" s="301" t="str">
        <f t="shared" si="18"/>
        <v>100 Constitution Plaza, 6th Floor, Hartford, CT 06103</v>
      </c>
      <c r="BT23" s="335" t="s">
        <v>513</v>
      </c>
      <c r="BU23" s="335"/>
      <c r="BV23" s="336"/>
      <c r="BW23" s="4850" t="s">
        <v>790</v>
      </c>
      <c r="BX23" s="327" t="str">
        <f>+BX22</f>
        <v>Combustion Components Associates, Inc. (CCA)</v>
      </c>
      <c r="BY23" s="327" t="s">
        <v>824</v>
      </c>
      <c r="BZ23" s="327" t="s">
        <v>825</v>
      </c>
      <c r="CA23" s="327" t="s">
        <v>517</v>
      </c>
      <c r="CB23" s="327" t="s">
        <v>826</v>
      </c>
      <c r="CC23" s="337">
        <v>40569</v>
      </c>
      <c r="CD23" s="6151" t="s">
        <v>938</v>
      </c>
      <c r="CE23" s="338">
        <v>40662</v>
      </c>
      <c r="CF23" s="4374" t="s">
        <v>974</v>
      </c>
      <c r="CG23" s="4374"/>
      <c r="CH23" s="4858" t="str">
        <f>+IF(ISERROR(MATCH(X23,epa_id,0)),"",IF(X23="","",IF(VLOOKUP(MATCH(X23,epa_id,0),epa,'A1(epa)'!$AE$17,FALSE)="","",VLOOKUP(MATCH(X23,epa_id,0),epa,'A1(epa)'!$AE$17,FALSE))))</f>
        <v>Electric Utility</v>
      </c>
      <c r="CI23" s="4655" t="s">
        <v>944</v>
      </c>
      <c r="CJ23" s="4655" t="str">
        <f>+IF(ISERROR(MATCH(X23,epa_id,0)),"",IF(X23="","",IF(VLOOKUP(MATCH(X23,epa_id,0),epa,'A1(epa)'!$AF$17,FALSE)="","",VLOOKUP(MATCH(X23,epa_id,0),epa,'A1(epa)'!$AF$17,FALSE))))</f>
        <v>4911</v>
      </c>
      <c r="CK23" s="8560" t="str">
        <f>+IF(ISERROR(MATCH(X23,epa_id,0)),"",IF(X23="","",IF(VLOOKUP(MATCH(X23,epa_id,0),epa,'A1(epa)'!$AG$17,FALSE)="","",VLOOKUP(MATCH(X23,epa_id,0),epa,'A1(epa)'!$AG$17,FALSE))))</f>
        <v>Electric Services</v>
      </c>
      <c r="CL23" s="340" t="str">
        <f t="shared" ref="CL23:CL29" si="23">+"Driven by turbines "&amp;RIGHT(R23,1)&amp;" and "&amp;RIGHT(R24,1)&amp;" operating simultaneously"</f>
        <v>Driven by turbines B and A operating simultaneously</v>
      </c>
      <c r="CM23" s="339"/>
      <c r="CN23" s="4887"/>
      <c r="CO23" s="4792" t="s">
        <v>385</v>
      </c>
      <c r="CP23" s="4792" t="s">
        <v>520</v>
      </c>
      <c r="CQ23" s="4888" t="s">
        <v>828</v>
      </c>
      <c r="CR23" s="4926" t="s">
        <v>907</v>
      </c>
      <c r="CS23" s="4926" t="s">
        <v>901</v>
      </c>
      <c r="CT23" s="10160"/>
      <c r="CU23" s="10160"/>
      <c r="CV23" s="4890"/>
      <c r="CW23" s="4891" t="s">
        <v>903</v>
      </c>
      <c r="CX23" s="4770">
        <v>15.5</v>
      </c>
      <c r="CY23" s="4936" t="s">
        <v>80</v>
      </c>
      <c r="CZ23" s="4937">
        <v>18.8</v>
      </c>
      <c r="DA23" s="4938" t="s">
        <v>80</v>
      </c>
      <c r="DB23" s="4770"/>
      <c r="DC23" s="4889">
        <v>1970</v>
      </c>
      <c r="DD23" s="4939">
        <v>25569</v>
      </c>
      <c r="DE23" s="4940">
        <f t="shared" ca="1" si="6"/>
        <v>44.521729402426047</v>
      </c>
      <c r="DF23" s="6155" t="s">
        <v>916</v>
      </c>
      <c r="DG23" s="6174"/>
      <c r="DH23" s="4926" t="s">
        <v>983</v>
      </c>
      <c r="DI23" s="4926" t="str">
        <f>+DI22</f>
        <v>Jet Fuel A (Kerosene K1)</v>
      </c>
      <c r="DJ23" s="340" t="s">
        <v>911</v>
      </c>
      <c r="DK23" s="340">
        <v>1900</v>
      </c>
      <c r="DL23" s="340" t="s">
        <v>914</v>
      </c>
      <c r="DM23" s="340" t="s">
        <v>918</v>
      </c>
      <c r="DN23" s="341">
        <v>256</v>
      </c>
      <c r="DO23" s="340" t="s">
        <v>920</v>
      </c>
      <c r="DP23" s="339"/>
      <c r="DQ23" s="342" t="s">
        <v>1124</v>
      </c>
      <c r="DR23" s="340" t="s">
        <v>920</v>
      </c>
      <c r="DS23" s="340"/>
      <c r="DT23" s="340"/>
      <c r="DU23" s="343" t="s">
        <v>939</v>
      </c>
      <c r="DV23" s="341">
        <v>256</v>
      </c>
      <c r="DW23" s="340" t="s">
        <v>920</v>
      </c>
      <c r="DX23" s="339"/>
      <c r="DY23" s="342" t="s">
        <v>925</v>
      </c>
      <c r="DZ23" s="340" t="s">
        <v>920</v>
      </c>
      <c r="EA23" s="340"/>
      <c r="EB23" s="340"/>
      <c r="EC23" s="340"/>
      <c r="ED23" s="341">
        <v>256</v>
      </c>
      <c r="EE23" s="340" t="s">
        <v>920</v>
      </c>
      <c r="EF23" s="344"/>
      <c r="EG23" s="5042" t="s">
        <v>185</v>
      </c>
      <c r="EH23" s="6175">
        <v>256</v>
      </c>
      <c r="EI23" s="5034">
        <v>0.71</v>
      </c>
      <c r="EJ23" s="5033">
        <v>138.4</v>
      </c>
      <c r="EK23" s="5033" t="s">
        <v>920</v>
      </c>
      <c r="EL23" s="5034">
        <v>0.81</v>
      </c>
      <c r="EM23" s="5034"/>
      <c r="EN23" s="5034"/>
      <c r="EO23" s="5034"/>
      <c r="EP23" s="5034"/>
      <c r="EQ23" s="5034">
        <v>0.28899999999999998</v>
      </c>
      <c r="ER23" s="5033">
        <v>75</v>
      </c>
      <c r="ES23" s="5033"/>
      <c r="ET23" s="6176">
        <v>0.15</v>
      </c>
      <c r="EU23" s="5033"/>
      <c r="EV23" s="345"/>
      <c r="EW23" s="5065"/>
      <c r="EX23" s="5033"/>
      <c r="EY23" s="5033"/>
      <c r="EZ23" s="5066">
        <v>40132</v>
      </c>
      <c r="FA23" s="5066">
        <v>41958</v>
      </c>
      <c r="FB23" s="5067">
        <f t="shared" ref="FB23:FB33" si="24">+(FA23-EZ23)/365.25</f>
        <v>4.9993155373032172</v>
      </c>
      <c r="FC23" s="346"/>
      <c r="FD23" s="6177">
        <f>+IF(X23="","",IF(2010-VLOOKUP(MATCH(X23,eyr_id,0),eyr,'A1(epa)'!$U$17,FALSE)=0,IF(VLOOKUP(MATCH(X23,eyr_id,0),eyr,'A1(epa)'!$U$17,FALSE)=0,"",VLOOKUP(MATCH(X23,eyr_id,0),eyr,'A1(epa)'!$U$17,FALSE))))</f>
        <v>2010</v>
      </c>
      <c r="FE23" s="6178">
        <f>+IF(X23="","",IF(2010-VLOOKUP(MATCH(X23,eyr_id,0),eyr,'A1(epa)'!$U$17,FALSE)=0,IF(VLOOKUP(MATCH(X23,eyr_id,0),eyr,'A1(epa)'!$X$17,FALSE)=0,"",VLOOKUP(MATCH(X23,eyr_id,0),eyr,'A1(epa)'!$X$17,FALSE))))</f>
        <v>12</v>
      </c>
      <c r="FF23" s="6179">
        <f>+IF(X23="","",IF(2010-VLOOKUP(MATCH(X23,eyr_id,0),eyr,'A1(epa)'!$U$17,FALSE)=0,IF(VLOOKUP(MATCH(X23,eyr_id,0),eyr,'A1(epa)'!$W$17,FALSE)=0,"",VLOOKUP(MATCH(X23,eyr_id,0),eyr,'A1(epa)'!$W$17,FALSE))))</f>
        <v>23</v>
      </c>
      <c r="FG23" s="6180">
        <f>+IF(X23="","",IF(2010-VLOOKUP(MATCH(X23,eyr_id,0),eyr,'A1(epa)'!$U$17,FALSE)=0,IF(VLOOKUP(MATCH(X23,eyr_id,0),eyr,'A1(epa)'!$AC$17,FALSE)=0,"",VLOOKUP(MATCH(X23,eyr_id,0),eyr,'A1(epa)'!$AC$17,FALSE))))</f>
        <v>3882</v>
      </c>
      <c r="FH23" s="6180">
        <f>+IF(X23="","",IF(2010-VLOOKUP(MATCH(X23,eyr_id,0),eyr,'A1(epa)'!$U$17,FALSE)=0,IF(VLOOKUP(MATCH(X23,eyr_id,0),eyr,'A1(epa)'!$Y$17,FALSE)=0,"",VLOOKUP(MATCH(X23,eyr_id,0),eyr,'A1(epa)'!$Y$17,FALSE))))</f>
        <v>298</v>
      </c>
      <c r="FI23" s="6181">
        <f>+IF(X23="","",IF(2010-VLOOKUP(MATCH(X23,eyr_id,0),eyr,'A1(epa)'!$U$17,FALSE)=0,IF(VLOOKUP(MATCH(X23,eyr_id,0),eyr,'A1(epa)'!$AB$17,FALSE)=0,"",VLOOKUP(MATCH(X23,eyr_id,0),eyr,'A1(epa)'!$AB$17,FALSE))))</f>
        <v>1.5</v>
      </c>
      <c r="FJ23" s="6177">
        <f>+IF(X23="","",IF(2009-VLOOKUP(MATCH(X23,eyr_id,0)+1,eyr,'A1(epa)'!$U$17,FALSE)=0,IF(VLOOKUP(MATCH(X23,eyr_id,0)+1,eyr,'A1(epa)'!$U$17,FALSE)=0,"",VLOOKUP(MATCH(X23,eyr_id,0)+1,eyr,'A1(epa)'!$U$17,FALSE))))</f>
        <v>2009</v>
      </c>
      <c r="FK23" s="6178">
        <f>+IF(X23="","",IF(2009-VLOOKUP(MATCH(X23,eyr_id,0)+1,eyr,'A1(epa)'!$U$17,FALSE)=0,IF(VLOOKUP(MATCH(X23,eyr_id,0)+1,eyr,'A1(epa)'!$X$17,FALSE)=0,"",VLOOKUP(MATCH(X23,eyr_id,0)+1,eyr,'A1(epa)'!$X$17,FALSE))))</f>
        <v>12</v>
      </c>
      <c r="FL23" s="6179">
        <f>+IF(X23="","",IF(2009-VLOOKUP(MATCH(X23,eyr_id,0)+1,eyr,'A1(epa)'!$U$17,FALSE)=0,IF(VLOOKUP(MATCH(X23,eyr_id,0)+1,eyr,'A1(epa)'!$W$17,FALSE)=0,"",VLOOKUP(MATCH(X23,eyr_id,0)+1,eyr,'A1(epa)'!$W$17,FALSE))))</f>
        <v>22</v>
      </c>
      <c r="FM23" s="6180">
        <f>+IF(X23="","",IF(2009-VLOOKUP(MATCH(X23,eyr_id,0)+1,eyr,'A1(epa)'!$U$17,FALSE)=0,IF(VLOOKUP(MATCH(X23,eyr_id,0)+1,eyr,'A1(epa)'!$AC$17,FALSE)=0,"",VLOOKUP(MATCH(X23,eyr_id,0)+1,eyr,'A1(epa)'!$AC$17,FALSE))))</f>
        <v>3368</v>
      </c>
      <c r="FN23" s="6180">
        <f>+IF(X23="","",IF(2009-VLOOKUP(MATCH(X23,eyr_id,0)+1,eyr,'A1(epa)'!$U$17,FALSE)=0,IF(VLOOKUP(MATCH(X23,eyr_id,0)+1,eyr,'A1(epa)'!$Y$17,FALSE)=0,"",VLOOKUP(MATCH(X23,eyr_id,0)+1,eyr,'A1(epa)'!$Y$17,FALSE))))</f>
        <v>264</v>
      </c>
      <c r="FO23" s="6181">
        <f>+IF(X23="","",IF(2009-VLOOKUP(MATCH(X23,eyr_id,0)+1,eyr,'A1(epa)'!$U$17,FALSE)=0,IF(VLOOKUP(MATCH(X23,eyr_id,0)+1,eyr,'A1(epa)'!$AB$17,FALSE)=0,"",VLOOKUP(MATCH(X23,eyr_id,0)+1,eyr,'A1(epa)'!$AB$17,FALSE))))</f>
        <v>1.2</v>
      </c>
      <c r="FP23" s="5092" t="s">
        <v>978</v>
      </c>
      <c r="FQ23" s="5093" t="s">
        <v>976</v>
      </c>
      <c r="FR23" s="5094" t="s">
        <v>979</v>
      </c>
      <c r="FS23" s="5094"/>
      <c r="FT23" s="5094"/>
      <c r="FU23" s="5094"/>
      <c r="FV23" s="5095" t="s">
        <v>979</v>
      </c>
      <c r="FW23" s="5092"/>
      <c r="FX23" s="6251"/>
      <c r="FY23" s="6251"/>
      <c r="FZ23" s="6251"/>
      <c r="GA23" s="6251"/>
      <c r="GB23" s="6353" t="str">
        <f t="shared" si="7"/>
        <v/>
      </c>
      <c r="GC23" s="6251"/>
      <c r="GD23" s="8611"/>
      <c r="GE23" s="6312" t="str">
        <f t="shared" si="8"/>
        <v/>
      </c>
      <c r="GF23" s="8611"/>
      <c r="GG23" s="8611" t="str">
        <f t="shared" si="9"/>
        <v/>
      </c>
      <c r="GH23" s="8611"/>
      <c r="GI23" s="8611"/>
      <c r="GJ23" s="6313"/>
      <c r="GK23" s="5092"/>
      <c r="GL23" s="6311"/>
      <c r="GM23" s="6311"/>
      <c r="GN23" s="6311"/>
      <c r="GO23" s="6311"/>
      <c r="GP23" s="6311"/>
      <c r="GQ23" s="6311"/>
      <c r="GR23" s="8611"/>
      <c r="GS23" s="6312" t="str">
        <f t="shared" si="10"/>
        <v/>
      </c>
      <c r="GT23" s="8611"/>
      <c r="GU23" s="8611" t="str">
        <f t="shared" si="11"/>
        <v/>
      </c>
      <c r="GV23" s="8611"/>
      <c r="GW23" s="8611"/>
      <c r="GX23" s="6313"/>
      <c r="GY23" s="6250"/>
      <c r="GZ23" s="6251"/>
      <c r="HA23" s="6251"/>
      <c r="HB23" s="6251"/>
      <c r="HC23" s="6251"/>
      <c r="HD23" s="6251"/>
      <c r="HE23" s="6251"/>
      <c r="HF23" s="6252" t="str">
        <f t="shared" si="12"/>
        <v/>
      </c>
      <c r="HG23" s="6252"/>
      <c r="HH23" s="6253">
        <f t="shared" si="13"/>
        <v>0.71</v>
      </c>
      <c r="HI23" s="6254">
        <f t="shared" si="14"/>
        <v>0.81</v>
      </c>
      <c r="HJ23" s="6253">
        <f>+HJ22</f>
        <v>0.73049999999999993</v>
      </c>
      <c r="HK23" s="6253">
        <f>+HK22</f>
        <v>129.36842099334265</v>
      </c>
      <c r="HL23" s="6255"/>
      <c r="HM23" s="6255"/>
      <c r="HN23" s="6256"/>
      <c r="HO23" s="6062"/>
    </row>
    <row r="24" spans="1:223" s="6124" customFormat="1" ht="25.5" customHeight="1">
      <c r="A24" s="5364" t="str">
        <f t="shared" si="15"/>
        <v>8302-03</v>
      </c>
      <c r="B24" s="9571"/>
      <c r="C24" s="5365" t="str">
        <f t="shared" si="16"/>
        <v>12A</v>
      </c>
      <c r="D24" s="6110"/>
      <c r="E24" s="6114"/>
      <c r="F24" s="6110"/>
      <c r="G24" s="4636">
        <v>4</v>
      </c>
      <c r="H24" s="10169"/>
      <c r="I24" s="10171"/>
      <c r="J24" s="10183"/>
      <c r="K24" s="4738">
        <v>8302</v>
      </c>
      <c r="L24" s="8601" t="s">
        <v>325</v>
      </c>
      <c r="M24" s="10197"/>
      <c r="N24" s="4653" t="s">
        <v>506</v>
      </c>
      <c r="O24" s="4653" t="s">
        <v>818</v>
      </c>
      <c r="P24" s="4506" t="s">
        <v>482</v>
      </c>
      <c r="Q24" s="309" t="s">
        <v>482</v>
      </c>
      <c r="R24" s="4506" t="str">
        <f>+IF(ISERROR(MATCH(X24,epa_id,0)),"",IF(X24="","",IF(VLOOKUP(MATCH(X24,epa_id,0),epa,'A1(epa)'!$S$17,FALSE)="","",VLOOKUP(MATCH(X24,epa_id,0),epa,'A1(epa)'!$S$17,FALSE))))</f>
        <v>12A</v>
      </c>
      <c r="S24" s="305">
        <f>+IF(ISERROR(MATCH(X24,epa_id,0)),"",IF(X24="","",IF(VLOOKUP(MATCH(X24,epa_id,0),epa,'A1(epa)'!$R$17,FALSE)="","",VLOOKUP(MATCH(X24,epa_id,0),epa,'A1(epa)'!$R$17,FALSE))))</f>
        <v>563</v>
      </c>
      <c r="T24" s="6070" t="s">
        <v>794</v>
      </c>
      <c r="U24" s="4502">
        <v>8</v>
      </c>
      <c r="V24" s="4502">
        <v>2</v>
      </c>
      <c r="W24" s="4502">
        <f t="shared" ref="W24:W29" si="25">1+W23</f>
        <v>3</v>
      </c>
      <c r="X24" s="4652" t="str">
        <f t="shared" si="5"/>
        <v>8302-03</v>
      </c>
      <c r="Y24" s="4654" t="s">
        <v>905</v>
      </c>
      <c r="Z24" s="8596" t="s">
        <v>811</v>
      </c>
      <c r="AA24" s="4655" t="s">
        <v>604</v>
      </c>
      <c r="AB24" s="4655"/>
      <c r="AC24" s="4656" t="s">
        <v>979</v>
      </c>
      <c r="AD24" s="4657"/>
      <c r="AE24" s="4658"/>
      <c r="AF24" s="329"/>
      <c r="AG24" s="330"/>
      <c r="AH24" s="331"/>
      <c r="AI24" s="4770" t="s">
        <v>810</v>
      </c>
      <c r="AJ24" s="4771"/>
      <c r="AK24" s="4772"/>
      <c r="AL24" s="4773" t="s">
        <v>806</v>
      </c>
      <c r="AM24" s="8603" t="s">
        <v>830</v>
      </c>
      <c r="AN24" s="4774">
        <v>40297</v>
      </c>
      <c r="AO24" s="4774">
        <v>41790</v>
      </c>
      <c r="AP24" s="4774">
        <f t="shared" si="19"/>
        <v>40569</v>
      </c>
      <c r="AQ24" s="4774" t="str">
        <f t="shared" si="20"/>
        <v/>
      </c>
      <c r="AR24" s="4774">
        <f t="shared" si="21"/>
        <v>40660</v>
      </c>
      <c r="AS24" s="4774">
        <f t="shared" si="22"/>
        <v>40662</v>
      </c>
      <c r="AT24" s="4775" t="s">
        <v>479</v>
      </c>
      <c r="AU24" s="4776"/>
      <c r="AV24" s="332"/>
      <c r="AW24" s="332"/>
      <c r="AX24" s="332"/>
      <c r="AY24" s="333"/>
      <c r="AZ24" s="334">
        <v>158</v>
      </c>
      <c r="BA24" s="4823" t="s">
        <v>438</v>
      </c>
      <c r="BB24" s="624">
        <f>+IF(AND(G24="",BA24=""),"",VLOOKUP(MATCH(BA24,tw,0),twn,'A4(twn)'!$D$12,FALSE))</f>
        <v>75</v>
      </c>
      <c r="BC24" s="624" t="str">
        <f t="shared" si="17"/>
        <v>5497 / 002 / 075 / 0158</v>
      </c>
      <c r="BD24" s="4506" t="s">
        <v>816</v>
      </c>
      <c r="BE24" s="4654" t="s">
        <v>508</v>
      </c>
      <c r="BF24" s="4823" t="s">
        <v>507</v>
      </c>
      <c r="BG24" s="4653" t="str">
        <f>+IF(OR(X24="",ISERROR(MATCH(X24,epa_id,0))),"",VLOOKUP(MATCH(X24,epa_id,0),epa,'A1(epa)'!$AH$17,FALSE))</f>
        <v>Connecticut Resources Recovery Authority (Owner/Operator)</v>
      </c>
      <c r="BH24" s="4824">
        <v>5497</v>
      </c>
      <c r="BI24" s="4824">
        <v>2</v>
      </c>
      <c r="BJ24" s="6132"/>
      <c r="BK24" s="335"/>
      <c r="BL24" s="328" t="s">
        <v>507</v>
      </c>
      <c r="BM24" s="328" t="s">
        <v>820</v>
      </c>
      <c r="BN24" s="328" t="s">
        <v>819</v>
      </c>
      <c r="BO24" s="327" t="s">
        <v>511</v>
      </c>
      <c r="BP24" s="327" t="s">
        <v>512</v>
      </c>
      <c r="BQ24" s="327" t="s">
        <v>821</v>
      </c>
      <c r="BR24" s="327" t="s">
        <v>509</v>
      </c>
      <c r="BS24" s="301" t="str">
        <f t="shared" si="18"/>
        <v>100 Constitution Plaza, 6th Floor, Hartford, CT 06103</v>
      </c>
      <c r="BT24" s="335" t="s">
        <v>513</v>
      </c>
      <c r="BU24" s="335"/>
      <c r="BV24" s="336"/>
      <c r="BW24" s="4850" t="s">
        <v>790</v>
      </c>
      <c r="BX24" s="327" t="str">
        <f t="shared" ref="BX24:BX29" si="26">+BX23</f>
        <v>Combustion Components Associates, Inc. (CCA)</v>
      </c>
      <c r="BY24" s="327" t="s">
        <v>824</v>
      </c>
      <c r="BZ24" s="327" t="s">
        <v>825</v>
      </c>
      <c r="CA24" s="327" t="s">
        <v>517</v>
      </c>
      <c r="CB24" s="327" t="s">
        <v>826</v>
      </c>
      <c r="CC24" s="337">
        <v>40569</v>
      </c>
      <c r="CD24" s="6151" t="s">
        <v>938</v>
      </c>
      <c r="CE24" s="338">
        <v>40662</v>
      </c>
      <c r="CF24" s="4374" t="s">
        <v>974</v>
      </c>
      <c r="CG24" s="4374"/>
      <c r="CH24" s="4858" t="str">
        <f>+IF(ISERROR(MATCH(X24,epa_id,0)),"",IF(X24="","",IF(VLOOKUP(MATCH(X24,epa_id,0),epa,'A1(epa)'!$AE$17,FALSE)="","",VLOOKUP(MATCH(X24,epa_id,0),epa,'A1(epa)'!$AE$17,FALSE))))</f>
        <v>Electric Utility</v>
      </c>
      <c r="CI24" s="4655" t="s">
        <v>944</v>
      </c>
      <c r="CJ24" s="4655" t="str">
        <f>+IF(ISERROR(MATCH(X24,epa_id,0)),"",IF(X24="","",IF(VLOOKUP(MATCH(X24,epa_id,0),epa,'A1(epa)'!$AF$17,FALSE)="","",VLOOKUP(MATCH(X24,epa_id,0),epa,'A1(epa)'!$AF$17,FALSE))))</f>
        <v>4911</v>
      </c>
      <c r="CK24" s="8560" t="str">
        <f>+IF(ISERROR(MATCH(X24,epa_id,0)),"",IF(X24="","",IF(VLOOKUP(MATCH(X24,epa_id,0),epa,'A1(epa)'!$AG$17,FALSE)="","",VLOOKUP(MATCH(X24,epa_id,0),epa,'A1(epa)'!$AG$17,FALSE))))</f>
        <v>Electric Services</v>
      </c>
      <c r="CL24" s="340" t="str">
        <f t="shared" si="23"/>
        <v>Driven by turbines A and B operating simultaneously</v>
      </c>
      <c r="CM24" s="339"/>
      <c r="CN24" s="4887"/>
      <c r="CO24" s="4792" t="s">
        <v>385</v>
      </c>
      <c r="CP24" s="4792" t="s">
        <v>520</v>
      </c>
      <c r="CQ24" s="4888" t="s">
        <v>828</v>
      </c>
      <c r="CR24" s="4926" t="s">
        <v>907</v>
      </c>
      <c r="CS24" s="4926" t="s">
        <v>901</v>
      </c>
      <c r="CT24" s="10160">
        <v>40</v>
      </c>
      <c r="CU24" s="10160"/>
      <c r="CV24" s="4890"/>
      <c r="CW24" s="4891" t="s">
        <v>903</v>
      </c>
      <c r="CX24" s="4770"/>
      <c r="CY24" s="4936"/>
      <c r="CZ24" s="4937"/>
      <c r="DA24" s="4938"/>
      <c r="DB24" s="4770"/>
      <c r="DC24" s="4889">
        <v>1970</v>
      </c>
      <c r="DD24" s="4939">
        <v>25569</v>
      </c>
      <c r="DE24" s="4940">
        <f t="shared" ca="1" si="6"/>
        <v>44.521729402426047</v>
      </c>
      <c r="DF24" s="6155" t="s">
        <v>916</v>
      </c>
      <c r="DG24" s="6174"/>
      <c r="DH24" s="4926" t="s">
        <v>983</v>
      </c>
      <c r="DI24" s="4926" t="str">
        <f t="shared" ref="DI24:DI29" si="27">+DI23</f>
        <v>Jet Fuel A (Kerosene K1)</v>
      </c>
      <c r="DJ24" s="340" t="s">
        <v>911</v>
      </c>
      <c r="DK24" s="340">
        <v>1900</v>
      </c>
      <c r="DL24" s="340" t="s">
        <v>914</v>
      </c>
      <c r="DM24" s="340" t="s">
        <v>918</v>
      </c>
      <c r="DN24" s="341">
        <v>256</v>
      </c>
      <c r="DO24" s="340" t="s">
        <v>920</v>
      </c>
      <c r="DP24" s="339"/>
      <c r="DQ24" s="342" t="s">
        <v>1124</v>
      </c>
      <c r="DR24" s="340" t="s">
        <v>920</v>
      </c>
      <c r="DS24" s="340"/>
      <c r="DT24" s="340"/>
      <c r="DU24" s="340"/>
      <c r="DV24" s="341">
        <v>256</v>
      </c>
      <c r="DW24" s="340" t="s">
        <v>920</v>
      </c>
      <c r="DX24" s="339"/>
      <c r="DY24" s="342" t="s">
        <v>925</v>
      </c>
      <c r="DZ24" s="340" t="s">
        <v>920</v>
      </c>
      <c r="EA24" s="340"/>
      <c r="EB24" s="340"/>
      <c r="EC24" s="340"/>
      <c r="ED24" s="341">
        <v>256</v>
      </c>
      <c r="EE24" s="340" t="s">
        <v>920</v>
      </c>
      <c r="EF24" s="344"/>
      <c r="EG24" s="5042" t="s">
        <v>185</v>
      </c>
      <c r="EH24" s="6175">
        <v>256</v>
      </c>
      <c r="EI24" s="5034">
        <v>0.74399999999999999</v>
      </c>
      <c r="EJ24" s="5033">
        <v>124.8</v>
      </c>
      <c r="EK24" s="5033" t="s">
        <v>920</v>
      </c>
      <c r="EL24" s="5034">
        <v>0.81</v>
      </c>
      <c r="EM24" s="5034"/>
      <c r="EN24" s="5034"/>
      <c r="EO24" s="5034"/>
      <c r="EP24" s="5034"/>
      <c r="EQ24" s="5034">
        <v>0.28899999999999998</v>
      </c>
      <c r="ER24" s="5033">
        <v>75</v>
      </c>
      <c r="ES24" s="5055"/>
      <c r="ET24" s="6176">
        <v>0.15</v>
      </c>
      <c r="EU24" s="5055"/>
      <c r="EV24" s="347"/>
      <c r="EW24" s="5065"/>
      <c r="EX24" s="5033"/>
      <c r="EY24" s="5033"/>
      <c r="EZ24" s="5066">
        <v>40131</v>
      </c>
      <c r="FA24" s="5066">
        <v>41957</v>
      </c>
      <c r="FB24" s="5067">
        <f t="shared" si="24"/>
        <v>4.9993155373032172</v>
      </c>
      <c r="FC24" s="346"/>
      <c r="FD24" s="6177">
        <f>+IF(X24="","",IF(2010-VLOOKUP(MATCH(X24,eyr_id,0),eyr,'A1(epa)'!$U$17,FALSE)=0,IF(VLOOKUP(MATCH(X24,eyr_id,0),eyr,'A1(epa)'!$U$17,FALSE)=0,"",VLOOKUP(MATCH(X24,eyr_id,0),eyr,'A1(epa)'!$U$17,FALSE))))</f>
        <v>2010</v>
      </c>
      <c r="FE24" s="6178">
        <f>+IF(X24="","",IF(2010-VLOOKUP(MATCH(X24,eyr_id,0),eyr,'A1(epa)'!$U$17,FALSE)=0,IF(VLOOKUP(MATCH(X24,eyr_id,0),eyr,'A1(epa)'!$X$17,FALSE)=0,"",VLOOKUP(MATCH(X24,eyr_id,0),eyr,'A1(epa)'!$X$17,FALSE))))</f>
        <v>12</v>
      </c>
      <c r="FF24" s="6179">
        <f>+IF(X24="","",IF(2010-VLOOKUP(MATCH(X24,eyr_id,0),eyr,'A1(epa)'!$U$17,FALSE)=0,IF(VLOOKUP(MATCH(X24,eyr_id,0),eyr,'A1(epa)'!$W$17,FALSE)=0,"",VLOOKUP(MATCH(X24,eyr_id,0),eyr,'A1(epa)'!$W$17,FALSE))))</f>
        <v>26</v>
      </c>
      <c r="FG24" s="6180">
        <f>+IF(X24="","",IF(2010-VLOOKUP(MATCH(X24,eyr_id,0),eyr,'A1(epa)'!$U$17,FALSE)=0,IF(VLOOKUP(MATCH(X24,eyr_id,0),eyr,'A1(epa)'!$AC$17,FALSE)=0,"",VLOOKUP(MATCH(X24,eyr_id,0),eyr,'A1(epa)'!$AC$17,FALSE))))</f>
        <v>4770</v>
      </c>
      <c r="FH24" s="6180">
        <f>+IF(X24="","",IF(2010-VLOOKUP(MATCH(X24,eyr_id,0),eyr,'A1(epa)'!$U$17,FALSE)=0,IF(VLOOKUP(MATCH(X24,eyr_id,0),eyr,'A1(epa)'!$Y$17,FALSE)=0,"",VLOOKUP(MATCH(X24,eyr_id,0),eyr,'A1(epa)'!$Y$17,FALSE))))</f>
        <v>361</v>
      </c>
      <c r="FI24" s="6181">
        <f>+IF(X24="","",IF(2010-VLOOKUP(MATCH(X24,eyr_id,0),eyr,'A1(epa)'!$U$17,FALSE)=0,IF(VLOOKUP(MATCH(X24,eyr_id,0),eyr,'A1(epa)'!$AB$17,FALSE)=0,"",VLOOKUP(MATCH(X24,eyr_id,0),eyr,'A1(epa)'!$AB$17,FALSE))))</f>
        <v>1.9</v>
      </c>
      <c r="FJ24" s="6177">
        <f>+IF(X24="","",IF(2009-VLOOKUP(MATCH(X24,eyr_id,0)+1,eyr,'A1(epa)'!$U$17,FALSE)=0,IF(VLOOKUP(MATCH(X24,eyr_id,0)+1,eyr,'A1(epa)'!$U$17,FALSE)=0,"",VLOOKUP(MATCH(X24,eyr_id,0)+1,eyr,'A1(epa)'!$U$17,FALSE))))</f>
        <v>2009</v>
      </c>
      <c r="FK24" s="6178">
        <f>+IF(X24="","",IF(2009-VLOOKUP(MATCH(X24,eyr_id,0)+1,eyr,'A1(epa)'!$U$17,FALSE)=0,IF(VLOOKUP(MATCH(X24,eyr_id,0)+1,eyr,'A1(epa)'!$X$17,FALSE)=0,"",VLOOKUP(MATCH(X24,eyr_id,0)+1,eyr,'A1(epa)'!$X$17,FALSE))))</f>
        <v>12</v>
      </c>
      <c r="FL24" s="6179">
        <f>+IF(X24="","",IF(2009-VLOOKUP(MATCH(X24,eyr_id,0)+1,eyr,'A1(epa)'!$U$17,FALSE)=0,IF(VLOOKUP(MATCH(X24,eyr_id,0)+1,eyr,'A1(epa)'!$W$17,FALSE)=0,"",VLOOKUP(MATCH(X24,eyr_id,0)+1,eyr,'A1(epa)'!$W$17,FALSE))))</f>
        <v>21</v>
      </c>
      <c r="FM24" s="6180">
        <f>+IF(X24="","",IF(2009-VLOOKUP(MATCH(X24,eyr_id,0)+1,eyr,'A1(epa)'!$U$17,FALSE)=0,IF(VLOOKUP(MATCH(X24,eyr_id,0)+1,eyr,'A1(epa)'!$AC$17,FALSE)=0,"",VLOOKUP(MATCH(X24,eyr_id,0)+1,eyr,'A1(epa)'!$AC$17,FALSE))))</f>
        <v>3507</v>
      </c>
      <c r="FN24" s="6180">
        <f>+IF(X24="","",IF(2009-VLOOKUP(MATCH(X24,eyr_id,0)+1,eyr,'A1(epa)'!$U$17,FALSE)=0,IF(VLOOKUP(MATCH(X24,eyr_id,0)+1,eyr,'A1(epa)'!$Y$17,FALSE)=0,"",VLOOKUP(MATCH(X24,eyr_id,0)+1,eyr,'A1(epa)'!$Y$17,FALSE))))</f>
        <v>272</v>
      </c>
      <c r="FO24" s="6181">
        <f>+IF(X24="","",IF(2009-VLOOKUP(MATCH(X24,eyr_id,0)+1,eyr,'A1(epa)'!$U$17,FALSE)=0,IF(VLOOKUP(MATCH(X24,eyr_id,0)+1,eyr,'A1(epa)'!$AB$17,FALSE)=0,"",VLOOKUP(MATCH(X24,eyr_id,0)+1,eyr,'A1(epa)'!$AB$17,FALSE))))</f>
        <v>1.4</v>
      </c>
      <c r="FP24" s="5092" t="s">
        <v>978</v>
      </c>
      <c r="FQ24" s="5093" t="s">
        <v>976</v>
      </c>
      <c r="FR24" s="5094" t="s">
        <v>979</v>
      </c>
      <c r="FS24" s="5094"/>
      <c r="FT24" s="5094"/>
      <c r="FU24" s="5094"/>
      <c r="FV24" s="5095" t="s">
        <v>979</v>
      </c>
      <c r="FW24" s="5092"/>
      <c r="FX24" s="6251"/>
      <c r="FY24" s="6251"/>
      <c r="FZ24" s="6251"/>
      <c r="GA24" s="6251"/>
      <c r="GB24" s="6353" t="str">
        <f t="shared" si="7"/>
        <v/>
      </c>
      <c r="GC24" s="6251"/>
      <c r="GD24" s="8611"/>
      <c r="GE24" s="6312" t="str">
        <f t="shared" si="8"/>
        <v/>
      </c>
      <c r="GF24" s="8611"/>
      <c r="GG24" s="8611" t="str">
        <f t="shared" si="9"/>
        <v/>
      </c>
      <c r="GH24" s="8611"/>
      <c r="GI24" s="8611"/>
      <c r="GJ24" s="6313"/>
      <c r="GK24" s="5092"/>
      <c r="GL24" s="6311"/>
      <c r="GM24" s="6311"/>
      <c r="GN24" s="6311"/>
      <c r="GO24" s="6311"/>
      <c r="GP24" s="6311"/>
      <c r="GQ24" s="6311"/>
      <c r="GR24" s="8611"/>
      <c r="GS24" s="6312" t="str">
        <f t="shared" si="10"/>
        <v/>
      </c>
      <c r="GT24" s="8611"/>
      <c r="GU24" s="8611" t="str">
        <f t="shared" si="11"/>
        <v/>
      </c>
      <c r="GV24" s="8611"/>
      <c r="GW24" s="8611"/>
      <c r="GX24" s="6313"/>
      <c r="GY24" s="6250"/>
      <c r="GZ24" s="6251"/>
      <c r="HA24" s="6251"/>
      <c r="HB24" s="6251"/>
      <c r="HC24" s="6251"/>
      <c r="HD24" s="6251"/>
      <c r="HE24" s="6251"/>
      <c r="HF24" s="6252" t="str">
        <f t="shared" si="12"/>
        <v/>
      </c>
      <c r="HG24" s="6252"/>
      <c r="HH24" s="6253">
        <f t="shared" si="13"/>
        <v>0.74399999999999999</v>
      </c>
      <c r="HI24" s="6254">
        <f t="shared" si="14"/>
        <v>0.81</v>
      </c>
      <c r="HJ24" s="6253">
        <f t="shared" ref="HJ24:HK29" si="28">+HJ23</f>
        <v>0.73049999999999993</v>
      </c>
      <c r="HK24" s="6253">
        <f t="shared" si="28"/>
        <v>129.36842099334265</v>
      </c>
      <c r="HL24" s="6255"/>
      <c r="HM24" s="6255"/>
      <c r="HN24" s="6256"/>
      <c r="HO24" s="6062"/>
    </row>
    <row r="25" spans="1:223" s="6124" customFormat="1" ht="25.5" customHeight="1">
      <c r="A25" s="5364" t="str">
        <f t="shared" si="15"/>
        <v>8302-04</v>
      </c>
      <c r="B25" s="9571"/>
      <c r="C25" s="5365" t="str">
        <f t="shared" si="16"/>
        <v>12B</v>
      </c>
      <c r="D25" s="6110"/>
      <c r="E25" s="6114"/>
      <c r="F25" s="6110"/>
      <c r="G25" s="4636">
        <v>5</v>
      </c>
      <c r="H25" s="10169"/>
      <c r="I25" s="10171"/>
      <c r="J25" s="10183"/>
      <c r="K25" s="4738">
        <v>8302</v>
      </c>
      <c r="L25" s="8601" t="s">
        <v>325</v>
      </c>
      <c r="M25" s="10197"/>
      <c r="N25" s="4653" t="s">
        <v>506</v>
      </c>
      <c r="O25" s="4653" t="s">
        <v>818</v>
      </c>
      <c r="P25" s="4506" t="s">
        <v>489</v>
      </c>
      <c r="Q25" s="309" t="s">
        <v>489</v>
      </c>
      <c r="R25" s="4506" t="str">
        <f>+IF(ISERROR(MATCH(X25,epa_id,0)),"",IF(X25="","",IF(VLOOKUP(MATCH(X25,epa_id,0),epa,'A1(epa)'!$S$17,FALSE)="","",VLOOKUP(MATCH(X25,epa_id,0),epa,'A1(epa)'!$S$17,FALSE))))</f>
        <v>12B</v>
      </c>
      <c r="S25" s="305">
        <f>+IF(ISERROR(MATCH(X25,epa_id,0)),"",IF(X25="","",IF(VLOOKUP(MATCH(X25,epa_id,0),epa,'A1(epa)'!$R$17,FALSE)="","",VLOOKUP(MATCH(X25,epa_id,0),epa,'A1(epa)'!$R$17,FALSE))))</f>
        <v>563</v>
      </c>
      <c r="T25" s="6070" t="s">
        <v>794</v>
      </c>
      <c r="U25" s="4502">
        <v>8</v>
      </c>
      <c r="V25" s="4502">
        <v>2</v>
      </c>
      <c r="W25" s="4502">
        <f t="shared" si="25"/>
        <v>4</v>
      </c>
      <c r="X25" s="4652" t="str">
        <f t="shared" si="5"/>
        <v>8302-04</v>
      </c>
      <c r="Y25" s="4654" t="s">
        <v>905</v>
      </c>
      <c r="Z25" s="8596" t="s">
        <v>811</v>
      </c>
      <c r="AA25" s="4655" t="s">
        <v>605</v>
      </c>
      <c r="AB25" s="4655"/>
      <c r="AC25" s="4656" t="s">
        <v>979</v>
      </c>
      <c r="AD25" s="4657"/>
      <c r="AE25" s="4658"/>
      <c r="AF25" s="329"/>
      <c r="AG25" s="330"/>
      <c r="AH25" s="331"/>
      <c r="AI25" s="4770" t="s">
        <v>810</v>
      </c>
      <c r="AJ25" s="4771"/>
      <c r="AK25" s="4772"/>
      <c r="AL25" s="4773" t="s">
        <v>806</v>
      </c>
      <c r="AM25" s="8603" t="s">
        <v>830</v>
      </c>
      <c r="AN25" s="4774">
        <v>40297</v>
      </c>
      <c r="AO25" s="4774">
        <v>41790</v>
      </c>
      <c r="AP25" s="4774">
        <f t="shared" si="19"/>
        <v>40569</v>
      </c>
      <c r="AQ25" s="4774" t="str">
        <f t="shared" si="20"/>
        <v/>
      </c>
      <c r="AR25" s="4774">
        <f t="shared" si="21"/>
        <v>40660</v>
      </c>
      <c r="AS25" s="4774">
        <f t="shared" si="22"/>
        <v>40662</v>
      </c>
      <c r="AT25" s="4775" t="s">
        <v>479</v>
      </c>
      <c r="AU25" s="4776"/>
      <c r="AV25" s="332"/>
      <c r="AW25" s="332"/>
      <c r="AX25" s="332"/>
      <c r="AY25" s="333"/>
      <c r="AZ25" s="334">
        <v>158</v>
      </c>
      <c r="BA25" s="4823" t="s">
        <v>438</v>
      </c>
      <c r="BB25" s="624">
        <f>+IF(AND(G25="",BA25=""),"",VLOOKUP(MATCH(BA25,tw,0),twn,'A4(twn)'!$D$12,FALSE))</f>
        <v>75</v>
      </c>
      <c r="BC25" s="624" t="str">
        <f t="shared" si="17"/>
        <v>5497 / 002 / 075 / 0158</v>
      </c>
      <c r="BD25" s="4506" t="s">
        <v>816</v>
      </c>
      <c r="BE25" s="4654" t="s">
        <v>508</v>
      </c>
      <c r="BF25" s="4823" t="s">
        <v>507</v>
      </c>
      <c r="BG25" s="4653" t="str">
        <f>+IF(OR(X25="",ISERROR(MATCH(X25,epa_id,0))),"",VLOOKUP(MATCH(X25,epa_id,0),epa,'A1(epa)'!$AH$17,FALSE))</f>
        <v>Connecticut Resources Recovery Authority (Owner/Operator)</v>
      </c>
      <c r="BH25" s="4824">
        <v>5497</v>
      </c>
      <c r="BI25" s="4824">
        <v>2</v>
      </c>
      <c r="BJ25" s="6132"/>
      <c r="BK25" s="335"/>
      <c r="BL25" s="328" t="s">
        <v>507</v>
      </c>
      <c r="BM25" s="328" t="s">
        <v>820</v>
      </c>
      <c r="BN25" s="328" t="s">
        <v>819</v>
      </c>
      <c r="BO25" s="327" t="s">
        <v>511</v>
      </c>
      <c r="BP25" s="327" t="s">
        <v>512</v>
      </c>
      <c r="BQ25" s="327" t="s">
        <v>821</v>
      </c>
      <c r="BR25" s="327" t="s">
        <v>509</v>
      </c>
      <c r="BS25" s="301" t="str">
        <f t="shared" si="18"/>
        <v>100 Constitution Plaza, 6th Floor, Hartford, CT 06103</v>
      </c>
      <c r="BT25" s="335" t="s">
        <v>513</v>
      </c>
      <c r="BU25" s="335"/>
      <c r="BV25" s="336"/>
      <c r="BW25" s="4850" t="s">
        <v>790</v>
      </c>
      <c r="BX25" s="327" t="str">
        <f t="shared" si="26"/>
        <v>Combustion Components Associates, Inc. (CCA)</v>
      </c>
      <c r="BY25" s="327" t="s">
        <v>824</v>
      </c>
      <c r="BZ25" s="327" t="s">
        <v>825</v>
      </c>
      <c r="CA25" s="327" t="s">
        <v>517</v>
      </c>
      <c r="CB25" s="327" t="s">
        <v>826</v>
      </c>
      <c r="CC25" s="337">
        <v>40569</v>
      </c>
      <c r="CD25" s="6151" t="s">
        <v>938</v>
      </c>
      <c r="CE25" s="338">
        <v>40662</v>
      </c>
      <c r="CF25" s="4374" t="s">
        <v>974</v>
      </c>
      <c r="CG25" s="4374"/>
      <c r="CH25" s="4858" t="str">
        <f>+IF(ISERROR(MATCH(X25,epa_id,0)),"",IF(X25="","",IF(VLOOKUP(MATCH(X25,epa_id,0),epa,'A1(epa)'!$AE$17,FALSE)="","",VLOOKUP(MATCH(X25,epa_id,0),epa,'A1(epa)'!$AE$17,FALSE))))</f>
        <v>Electric Utility</v>
      </c>
      <c r="CI25" s="4655" t="s">
        <v>944</v>
      </c>
      <c r="CJ25" s="4655" t="str">
        <f>+IF(ISERROR(MATCH(X25,epa_id,0)),"",IF(X25="","",IF(VLOOKUP(MATCH(X25,epa_id,0),epa,'A1(epa)'!$AF$17,FALSE)="","",VLOOKUP(MATCH(X25,epa_id,0),epa,'A1(epa)'!$AF$17,FALSE))))</f>
        <v>4911</v>
      </c>
      <c r="CK25" s="8560" t="str">
        <f>+IF(ISERROR(MATCH(X25,epa_id,0)),"",IF(X25="","",IF(VLOOKUP(MATCH(X25,epa_id,0),epa,'A1(epa)'!$AG$17,FALSE)="","",VLOOKUP(MATCH(X25,epa_id,0),epa,'A1(epa)'!$AG$17,FALSE))))</f>
        <v>Electric Services</v>
      </c>
      <c r="CL25" s="340" t="str">
        <f t="shared" si="23"/>
        <v>Driven by turbines B and A operating simultaneously</v>
      </c>
      <c r="CM25" s="339"/>
      <c r="CN25" s="4887"/>
      <c r="CO25" s="4792" t="s">
        <v>385</v>
      </c>
      <c r="CP25" s="4792" t="s">
        <v>520</v>
      </c>
      <c r="CQ25" s="4888" t="s">
        <v>828</v>
      </c>
      <c r="CR25" s="4926" t="s">
        <v>907</v>
      </c>
      <c r="CS25" s="4926" t="s">
        <v>901</v>
      </c>
      <c r="CT25" s="10160"/>
      <c r="CU25" s="10160"/>
      <c r="CV25" s="4890"/>
      <c r="CW25" s="4891" t="s">
        <v>903</v>
      </c>
      <c r="CX25" s="4770"/>
      <c r="CY25" s="4936"/>
      <c r="CZ25" s="4937"/>
      <c r="DA25" s="4938"/>
      <c r="DB25" s="4770"/>
      <c r="DC25" s="4889">
        <v>1970</v>
      </c>
      <c r="DD25" s="4939">
        <v>25569</v>
      </c>
      <c r="DE25" s="4940">
        <f t="shared" ca="1" si="6"/>
        <v>44.521729402426047</v>
      </c>
      <c r="DF25" s="6155" t="s">
        <v>916</v>
      </c>
      <c r="DG25" s="6174"/>
      <c r="DH25" s="4926" t="s">
        <v>983</v>
      </c>
      <c r="DI25" s="4926" t="str">
        <f t="shared" si="27"/>
        <v>Jet Fuel A (Kerosene K1)</v>
      </c>
      <c r="DJ25" s="340" t="s">
        <v>911</v>
      </c>
      <c r="DK25" s="340">
        <v>1900</v>
      </c>
      <c r="DL25" s="340" t="s">
        <v>914</v>
      </c>
      <c r="DM25" s="340" t="s">
        <v>918</v>
      </c>
      <c r="DN25" s="341">
        <v>256</v>
      </c>
      <c r="DO25" s="340" t="s">
        <v>920</v>
      </c>
      <c r="DP25" s="339"/>
      <c r="DQ25" s="342" t="s">
        <v>1124</v>
      </c>
      <c r="DR25" s="340" t="s">
        <v>920</v>
      </c>
      <c r="DS25" s="340"/>
      <c r="DT25" s="340"/>
      <c r="DU25" s="340"/>
      <c r="DV25" s="341">
        <v>256</v>
      </c>
      <c r="DW25" s="340" t="s">
        <v>920</v>
      </c>
      <c r="DX25" s="339"/>
      <c r="DY25" s="342" t="s">
        <v>925</v>
      </c>
      <c r="DZ25" s="340" t="s">
        <v>920</v>
      </c>
      <c r="EA25" s="340"/>
      <c r="EB25" s="340"/>
      <c r="EC25" s="340"/>
      <c r="ED25" s="341">
        <v>256</v>
      </c>
      <c r="EE25" s="340" t="s">
        <v>920</v>
      </c>
      <c r="EF25" s="344"/>
      <c r="EG25" s="5042" t="s">
        <v>185</v>
      </c>
      <c r="EH25" s="6175">
        <v>256</v>
      </c>
      <c r="EI25" s="5034">
        <v>0.70599999999999996</v>
      </c>
      <c r="EJ25" s="5033">
        <v>114.8</v>
      </c>
      <c r="EK25" s="5033" t="s">
        <v>920</v>
      </c>
      <c r="EL25" s="5034">
        <v>0.81</v>
      </c>
      <c r="EM25" s="5034"/>
      <c r="EN25" s="5034"/>
      <c r="EO25" s="5034"/>
      <c r="EP25" s="5034"/>
      <c r="EQ25" s="5034">
        <v>0.28899999999999998</v>
      </c>
      <c r="ER25" s="5033">
        <v>75</v>
      </c>
      <c r="ES25" s="5055"/>
      <c r="ET25" s="6176">
        <v>0.15</v>
      </c>
      <c r="EU25" s="5055"/>
      <c r="EV25" s="347"/>
      <c r="EW25" s="5065"/>
      <c r="EX25" s="5033"/>
      <c r="EY25" s="5033"/>
      <c r="EZ25" s="5066">
        <v>40131</v>
      </c>
      <c r="FA25" s="5066">
        <v>41957</v>
      </c>
      <c r="FB25" s="5067">
        <f t="shared" si="24"/>
        <v>4.9993155373032172</v>
      </c>
      <c r="FC25" s="346"/>
      <c r="FD25" s="6177">
        <f>+IF(X25="","",IF(2010-VLOOKUP(MATCH(X25,eyr_id,0),eyr,'A1(epa)'!$U$17,FALSE)=0,IF(VLOOKUP(MATCH(X25,eyr_id,0),eyr,'A1(epa)'!$U$17,FALSE)=0,"",VLOOKUP(MATCH(X25,eyr_id,0),eyr,'A1(epa)'!$U$17,FALSE))))</f>
        <v>2010</v>
      </c>
      <c r="FE25" s="6178">
        <f>+IF(X25="","",IF(2010-VLOOKUP(MATCH(X25,eyr_id,0),eyr,'A1(epa)'!$U$17,FALSE)=0,IF(VLOOKUP(MATCH(X25,eyr_id,0),eyr,'A1(epa)'!$X$17,FALSE)=0,"",VLOOKUP(MATCH(X25,eyr_id,0),eyr,'A1(epa)'!$X$17,FALSE))))</f>
        <v>12</v>
      </c>
      <c r="FF25" s="6179">
        <f>+IF(X25="","",IF(2010-VLOOKUP(MATCH(X25,eyr_id,0),eyr,'A1(epa)'!$U$17,FALSE)=0,IF(VLOOKUP(MATCH(X25,eyr_id,0),eyr,'A1(epa)'!$W$17,FALSE)=0,"",VLOOKUP(MATCH(X25,eyr_id,0),eyr,'A1(epa)'!$W$17,FALSE))))</f>
        <v>26</v>
      </c>
      <c r="FG25" s="6180">
        <f>+IF(X25="","",IF(2010-VLOOKUP(MATCH(X25,eyr_id,0),eyr,'A1(epa)'!$U$17,FALSE)=0,IF(VLOOKUP(MATCH(X25,eyr_id,0),eyr,'A1(epa)'!$AC$17,FALSE)=0,"",VLOOKUP(MATCH(X25,eyr_id,0),eyr,'A1(epa)'!$AC$17,FALSE))))</f>
        <v>4770</v>
      </c>
      <c r="FH25" s="6180">
        <f>+IF(X25="","",IF(2010-VLOOKUP(MATCH(X25,eyr_id,0),eyr,'A1(epa)'!$U$17,FALSE)=0,IF(VLOOKUP(MATCH(X25,eyr_id,0),eyr,'A1(epa)'!$Y$17,FALSE)=0,"",VLOOKUP(MATCH(X25,eyr_id,0),eyr,'A1(epa)'!$Y$17,FALSE))))</f>
        <v>361</v>
      </c>
      <c r="FI25" s="6181">
        <f>+IF(X25="","",IF(2010-VLOOKUP(MATCH(X25,eyr_id,0),eyr,'A1(epa)'!$U$17,FALSE)=0,IF(VLOOKUP(MATCH(X25,eyr_id,0),eyr,'A1(epa)'!$AB$17,FALSE)=0,"",VLOOKUP(MATCH(X25,eyr_id,0),eyr,'A1(epa)'!$AB$17,FALSE))))</f>
        <v>1.8</v>
      </c>
      <c r="FJ25" s="6177">
        <f>+IF(X25="","",IF(2009-VLOOKUP(MATCH(X25,eyr_id,0)+1,eyr,'A1(epa)'!$U$17,FALSE)=0,IF(VLOOKUP(MATCH(X25,eyr_id,0)+1,eyr,'A1(epa)'!$U$17,FALSE)=0,"",VLOOKUP(MATCH(X25,eyr_id,0)+1,eyr,'A1(epa)'!$U$17,FALSE))))</f>
        <v>2009</v>
      </c>
      <c r="FK25" s="6178">
        <f>+IF(X25="","",IF(2009-VLOOKUP(MATCH(X25,eyr_id,0)+1,eyr,'A1(epa)'!$U$17,FALSE)=0,IF(VLOOKUP(MATCH(X25,eyr_id,0)+1,eyr,'A1(epa)'!$X$17,FALSE)=0,"",VLOOKUP(MATCH(X25,eyr_id,0)+1,eyr,'A1(epa)'!$X$17,FALSE))))</f>
        <v>12</v>
      </c>
      <c r="FL25" s="6179">
        <f>+IF(X25="","",IF(2009-VLOOKUP(MATCH(X25,eyr_id,0)+1,eyr,'A1(epa)'!$U$17,FALSE)=0,IF(VLOOKUP(MATCH(X25,eyr_id,0)+1,eyr,'A1(epa)'!$W$17,FALSE)=0,"",VLOOKUP(MATCH(X25,eyr_id,0)+1,eyr,'A1(epa)'!$W$17,FALSE))))</f>
        <v>21</v>
      </c>
      <c r="FM25" s="6180">
        <f>+IF(X25="","",IF(2009-VLOOKUP(MATCH(X25,eyr_id,0)+1,eyr,'A1(epa)'!$U$17,FALSE)=0,IF(VLOOKUP(MATCH(X25,eyr_id,0)+1,eyr,'A1(epa)'!$AC$17,FALSE)=0,"",VLOOKUP(MATCH(X25,eyr_id,0)+1,eyr,'A1(epa)'!$AC$17,FALSE))))</f>
        <v>3507</v>
      </c>
      <c r="FN25" s="6180">
        <f>+IF(X25="","",IF(2009-VLOOKUP(MATCH(X25,eyr_id,0)+1,eyr,'A1(epa)'!$U$17,FALSE)=0,IF(VLOOKUP(MATCH(X25,eyr_id,0)+1,eyr,'A1(epa)'!$Y$17,FALSE)=0,"",VLOOKUP(MATCH(X25,eyr_id,0)+1,eyr,'A1(epa)'!$Y$17,FALSE))))</f>
        <v>272</v>
      </c>
      <c r="FO25" s="6181">
        <f>+IF(X25="","",IF(2009-VLOOKUP(MATCH(X25,eyr_id,0)+1,eyr,'A1(epa)'!$U$17,FALSE)=0,IF(VLOOKUP(MATCH(X25,eyr_id,0)+1,eyr,'A1(epa)'!$AB$17,FALSE)=0,"",VLOOKUP(MATCH(X25,eyr_id,0)+1,eyr,'A1(epa)'!$AB$17,FALSE))))</f>
        <v>1.3</v>
      </c>
      <c r="FP25" s="5092" t="s">
        <v>978</v>
      </c>
      <c r="FQ25" s="5093" t="s">
        <v>976</v>
      </c>
      <c r="FR25" s="5094" t="s">
        <v>979</v>
      </c>
      <c r="FS25" s="5094"/>
      <c r="FT25" s="5094"/>
      <c r="FU25" s="5094"/>
      <c r="FV25" s="5095" t="s">
        <v>979</v>
      </c>
      <c r="FW25" s="5092"/>
      <c r="FX25" s="6251"/>
      <c r="FY25" s="6251"/>
      <c r="FZ25" s="6251"/>
      <c r="GA25" s="6251"/>
      <c r="GB25" s="6353" t="str">
        <f t="shared" si="7"/>
        <v/>
      </c>
      <c r="GC25" s="6251"/>
      <c r="GD25" s="8611"/>
      <c r="GE25" s="6312" t="str">
        <f t="shared" si="8"/>
        <v/>
      </c>
      <c r="GF25" s="8611"/>
      <c r="GG25" s="8611" t="str">
        <f t="shared" si="9"/>
        <v/>
      </c>
      <c r="GH25" s="8611"/>
      <c r="GI25" s="8611"/>
      <c r="GJ25" s="6313"/>
      <c r="GK25" s="5092"/>
      <c r="GL25" s="6311"/>
      <c r="GM25" s="6311"/>
      <c r="GN25" s="6311"/>
      <c r="GO25" s="6311"/>
      <c r="GP25" s="6311"/>
      <c r="GQ25" s="6311"/>
      <c r="GR25" s="8611"/>
      <c r="GS25" s="6312" t="str">
        <f t="shared" si="10"/>
        <v/>
      </c>
      <c r="GT25" s="8611"/>
      <c r="GU25" s="8611" t="str">
        <f t="shared" si="11"/>
        <v/>
      </c>
      <c r="GV25" s="8611"/>
      <c r="GW25" s="8611"/>
      <c r="GX25" s="6313"/>
      <c r="GY25" s="6250"/>
      <c r="GZ25" s="6251"/>
      <c r="HA25" s="6251"/>
      <c r="HB25" s="6251"/>
      <c r="HC25" s="6251"/>
      <c r="HD25" s="6251"/>
      <c r="HE25" s="6251"/>
      <c r="HF25" s="6252" t="str">
        <f t="shared" si="12"/>
        <v/>
      </c>
      <c r="HG25" s="6252"/>
      <c r="HH25" s="6253">
        <f t="shared" si="13"/>
        <v>0.70599999999999996</v>
      </c>
      <c r="HI25" s="6254">
        <f t="shared" si="14"/>
        <v>0.81</v>
      </c>
      <c r="HJ25" s="6253">
        <f t="shared" si="28"/>
        <v>0.73049999999999993</v>
      </c>
      <c r="HK25" s="6253">
        <f t="shared" si="28"/>
        <v>129.36842099334265</v>
      </c>
      <c r="HL25" s="6255"/>
      <c r="HM25" s="6255"/>
      <c r="HN25" s="6256"/>
      <c r="HO25" s="6062"/>
    </row>
    <row r="26" spans="1:223" s="6124" customFormat="1" ht="25.5" customHeight="1">
      <c r="A26" s="5364" t="str">
        <f t="shared" si="15"/>
        <v>8302-05</v>
      </c>
      <c r="B26" s="9571"/>
      <c r="C26" s="5365" t="str">
        <f t="shared" si="16"/>
        <v>13A</v>
      </c>
      <c r="D26" s="6110"/>
      <c r="E26" s="6114"/>
      <c r="F26" s="6110"/>
      <c r="G26" s="4636">
        <v>6</v>
      </c>
      <c r="H26" s="10169"/>
      <c r="I26" s="10171"/>
      <c r="J26" s="10183"/>
      <c r="K26" s="4738">
        <v>8302</v>
      </c>
      <c r="L26" s="8601" t="s">
        <v>325</v>
      </c>
      <c r="M26" s="10197"/>
      <c r="N26" s="4653" t="s">
        <v>506</v>
      </c>
      <c r="O26" s="4653" t="s">
        <v>818</v>
      </c>
      <c r="P26" s="4506" t="s">
        <v>483</v>
      </c>
      <c r="Q26" s="309" t="s">
        <v>483</v>
      </c>
      <c r="R26" s="4506" t="str">
        <f>+IF(ISERROR(MATCH(X26,epa_id,0)),"",IF(X26="","",IF(VLOOKUP(MATCH(X26,epa_id,0),epa,'A1(epa)'!$S$17,FALSE)="","",VLOOKUP(MATCH(X26,epa_id,0),epa,'A1(epa)'!$S$17,FALSE))))</f>
        <v>13A</v>
      </c>
      <c r="S26" s="305">
        <f>+IF(ISERROR(MATCH(X26,epa_id,0)),"",IF(X26="","",IF(VLOOKUP(MATCH(X26,epa_id,0),epa,'A1(epa)'!$R$17,FALSE)="","",VLOOKUP(MATCH(X26,epa_id,0),epa,'A1(epa)'!$R$17,FALSE))))</f>
        <v>563</v>
      </c>
      <c r="T26" s="6070" t="s">
        <v>794</v>
      </c>
      <c r="U26" s="4502">
        <v>8</v>
      </c>
      <c r="V26" s="4502">
        <v>2</v>
      </c>
      <c r="W26" s="4502">
        <f t="shared" si="25"/>
        <v>5</v>
      </c>
      <c r="X26" s="4652" t="str">
        <f t="shared" si="5"/>
        <v>8302-05</v>
      </c>
      <c r="Y26" s="4654" t="s">
        <v>905</v>
      </c>
      <c r="Z26" s="8596" t="s">
        <v>811</v>
      </c>
      <c r="AA26" s="4655" t="s">
        <v>598</v>
      </c>
      <c r="AB26" s="4655"/>
      <c r="AC26" s="4656" t="s">
        <v>979</v>
      </c>
      <c r="AD26" s="4659"/>
      <c r="AE26" s="4658"/>
      <c r="AF26" s="329"/>
      <c r="AG26" s="330"/>
      <c r="AH26" s="331"/>
      <c r="AI26" s="4770" t="s">
        <v>810</v>
      </c>
      <c r="AJ26" s="4771"/>
      <c r="AK26" s="4772"/>
      <c r="AL26" s="4773" t="s">
        <v>806</v>
      </c>
      <c r="AM26" s="8603" t="s">
        <v>830</v>
      </c>
      <c r="AN26" s="4774">
        <v>40297</v>
      </c>
      <c r="AO26" s="4774">
        <v>41790</v>
      </c>
      <c r="AP26" s="4774">
        <f t="shared" si="19"/>
        <v>40569</v>
      </c>
      <c r="AQ26" s="4774" t="str">
        <f t="shared" si="20"/>
        <v/>
      </c>
      <c r="AR26" s="4774">
        <f t="shared" si="21"/>
        <v>40660</v>
      </c>
      <c r="AS26" s="4774">
        <f t="shared" si="22"/>
        <v>40662</v>
      </c>
      <c r="AT26" s="4775" t="s">
        <v>479</v>
      </c>
      <c r="AU26" s="4776"/>
      <c r="AV26" s="332"/>
      <c r="AW26" s="332"/>
      <c r="AX26" s="332"/>
      <c r="AY26" s="333"/>
      <c r="AZ26" s="334">
        <v>158</v>
      </c>
      <c r="BA26" s="4823" t="s">
        <v>438</v>
      </c>
      <c r="BB26" s="624">
        <f>+IF(AND(G26="",BA26=""),"",VLOOKUP(MATCH(BA26,tw,0),twn,'A4(twn)'!$D$12,FALSE))</f>
        <v>75</v>
      </c>
      <c r="BC26" s="624" t="str">
        <f t="shared" si="17"/>
        <v>5497 / 002 / 075 / 0158</v>
      </c>
      <c r="BD26" s="4506" t="s">
        <v>816</v>
      </c>
      <c r="BE26" s="4654" t="s">
        <v>508</v>
      </c>
      <c r="BF26" s="4823" t="s">
        <v>507</v>
      </c>
      <c r="BG26" s="4653" t="str">
        <f>+IF(OR(X26="",ISERROR(MATCH(X26,epa_id,0))),"",VLOOKUP(MATCH(X26,epa_id,0),epa,'A1(epa)'!$AH$17,FALSE))</f>
        <v>Connecticut Resources Recovery Authority (Owner/Operator)</v>
      </c>
      <c r="BH26" s="4824">
        <v>5497</v>
      </c>
      <c r="BI26" s="4824">
        <v>2</v>
      </c>
      <c r="BJ26" s="6132"/>
      <c r="BK26" s="335"/>
      <c r="BL26" s="328" t="s">
        <v>507</v>
      </c>
      <c r="BM26" s="328" t="s">
        <v>820</v>
      </c>
      <c r="BN26" s="328" t="s">
        <v>819</v>
      </c>
      <c r="BO26" s="327" t="s">
        <v>511</v>
      </c>
      <c r="BP26" s="327" t="s">
        <v>512</v>
      </c>
      <c r="BQ26" s="327" t="s">
        <v>821</v>
      </c>
      <c r="BR26" s="327" t="s">
        <v>509</v>
      </c>
      <c r="BS26" s="301" t="str">
        <f t="shared" si="18"/>
        <v>100 Constitution Plaza, 6th Floor, Hartford, CT 06103</v>
      </c>
      <c r="BT26" s="335" t="s">
        <v>513</v>
      </c>
      <c r="BU26" s="335"/>
      <c r="BV26" s="336"/>
      <c r="BW26" s="4850" t="s">
        <v>790</v>
      </c>
      <c r="BX26" s="327" t="str">
        <f t="shared" si="26"/>
        <v>Combustion Components Associates, Inc. (CCA)</v>
      </c>
      <c r="BY26" s="327" t="s">
        <v>824</v>
      </c>
      <c r="BZ26" s="327" t="s">
        <v>825</v>
      </c>
      <c r="CA26" s="327" t="s">
        <v>517</v>
      </c>
      <c r="CB26" s="327" t="s">
        <v>826</v>
      </c>
      <c r="CC26" s="337">
        <v>40569</v>
      </c>
      <c r="CD26" s="6151" t="s">
        <v>938</v>
      </c>
      <c r="CE26" s="338">
        <v>40662</v>
      </c>
      <c r="CF26" s="4374" t="s">
        <v>974</v>
      </c>
      <c r="CG26" s="4374"/>
      <c r="CH26" s="4858" t="str">
        <f>+IF(ISERROR(MATCH(X26,epa_id,0)),"",IF(X26="","",IF(VLOOKUP(MATCH(X26,epa_id,0),epa,'A1(epa)'!$AE$17,FALSE)="","",VLOOKUP(MATCH(X26,epa_id,0),epa,'A1(epa)'!$AE$17,FALSE))))</f>
        <v>Electric Utility</v>
      </c>
      <c r="CI26" s="4655" t="s">
        <v>944</v>
      </c>
      <c r="CJ26" s="4655" t="str">
        <f>+IF(ISERROR(MATCH(X26,epa_id,0)),"",IF(X26="","",IF(VLOOKUP(MATCH(X26,epa_id,0),epa,'A1(epa)'!$AF$17,FALSE)="","",VLOOKUP(MATCH(X26,epa_id,0),epa,'A1(epa)'!$AF$17,FALSE))))</f>
        <v>4911</v>
      </c>
      <c r="CK26" s="8560" t="str">
        <f>+IF(ISERROR(MATCH(X26,epa_id,0)),"",IF(X26="","",IF(VLOOKUP(MATCH(X26,epa_id,0),epa,'A1(epa)'!$AG$17,FALSE)="","",VLOOKUP(MATCH(X26,epa_id,0),epa,'A1(epa)'!$AG$17,FALSE))))</f>
        <v>Electric Services</v>
      </c>
      <c r="CL26" s="340" t="str">
        <f t="shared" si="23"/>
        <v>Driven by turbines A and B operating simultaneously</v>
      </c>
      <c r="CM26" s="339"/>
      <c r="CN26" s="4887"/>
      <c r="CO26" s="4792" t="s">
        <v>385</v>
      </c>
      <c r="CP26" s="4792" t="s">
        <v>520</v>
      </c>
      <c r="CQ26" s="4888" t="s">
        <v>828</v>
      </c>
      <c r="CR26" s="4926" t="s">
        <v>907</v>
      </c>
      <c r="CS26" s="4926" t="s">
        <v>901</v>
      </c>
      <c r="CT26" s="10160">
        <v>40</v>
      </c>
      <c r="CU26" s="10160"/>
      <c r="CV26" s="4890"/>
      <c r="CW26" s="4891" t="s">
        <v>903</v>
      </c>
      <c r="CX26" s="4770"/>
      <c r="CY26" s="4936"/>
      <c r="CZ26" s="4937"/>
      <c r="DA26" s="4938"/>
      <c r="DB26" s="4770"/>
      <c r="DC26" s="4889">
        <v>1970</v>
      </c>
      <c r="DD26" s="4939">
        <v>25569</v>
      </c>
      <c r="DE26" s="4940">
        <f t="shared" ca="1" si="6"/>
        <v>44.521729402426047</v>
      </c>
      <c r="DF26" s="6155" t="s">
        <v>916</v>
      </c>
      <c r="DG26" s="6174"/>
      <c r="DH26" s="4926" t="s">
        <v>983</v>
      </c>
      <c r="DI26" s="4926" t="str">
        <f t="shared" si="27"/>
        <v>Jet Fuel A (Kerosene K1)</v>
      </c>
      <c r="DJ26" s="340" t="s">
        <v>911</v>
      </c>
      <c r="DK26" s="340">
        <v>1900</v>
      </c>
      <c r="DL26" s="340" t="s">
        <v>914</v>
      </c>
      <c r="DM26" s="340" t="s">
        <v>918</v>
      </c>
      <c r="DN26" s="341">
        <v>256</v>
      </c>
      <c r="DO26" s="340" t="s">
        <v>920</v>
      </c>
      <c r="DP26" s="339"/>
      <c r="DQ26" s="342" t="s">
        <v>1124</v>
      </c>
      <c r="DR26" s="340" t="s">
        <v>920</v>
      </c>
      <c r="DS26" s="340"/>
      <c r="DT26" s="340"/>
      <c r="DU26" s="340"/>
      <c r="DV26" s="341">
        <v>256</v>
      </c>
      <c r="DW26" s="340" t="s">
        <v>920</v>
      </c>
      <c r="DX26" s="339"/>
      <c r="DY26" s="342" t="s">
        <v>925</v>
      </c>
      <c r="DZ26" s="340" t="s">
        <v>920</v>
      </c>
      <c r="EA26" s="340"/>
      <c r="EB26" s="340"/>
      <c r="EC26" s="340"/>
      <c r="ED26" s="341">
        <v>256</v>
      </c>
      <c r="EE26" s="340" t="s">
        <v>920</v>
      </c>
      <c r="EF26" s="344"/>
      <c r="EG26" s="5042" t="s">
        <v>185</v>
      </c>
      <c r="EH26" s="6175">
        <v>256</v>
      </c>
      <c r="EI26" s="5034">
        <v>0.75</v>
      </c>
      <c r="EJ26" s="5033">
        <v>132.5</v>
      </c>
      <c r="EK26" s="5033" t="s">
        <v>920</v>
      </c>
      <c r="EL26" s="5034">
        <v>0.81</v>
      </c>
      <c r="EM26" s="5034"/>
      <c r="EN26" s="5034"/>
      <c r="EO26" s="5034"/>
      <c r="EP26" s="5034"/>
      <c r="EQ26" s="5034">
        <v>0.28899999999999998</v>
      </c>
      <c r="ER26" s="5033">
        <v>75</v>
      </c>
      <c r="ES26" s="5055"/>
      <c r="ET26" s="6176">
        <v>0.15</v>
      </c>
      <c r="EU26" s="5055"/>
      <c r="EV26" s="347"/>
      <c r="EW26" s="5065"/>
      <c r="EX26" s="5033"/>
      <c r="EY26" s="5033"/>
      <c r="EZ26" s="5066">
        <v>40125</v>
      </c>
      <c r="FA26" s="5066">
        <v>41951</v>
      </c>
      <c r="FB26" s="5067">
        <f t="shared" si="24"/>
        <v>4.9993155373032172</v>
      </c>
      <c r="FC26" s="346"/>
      <c r="FD26" s="6177">
        <f>+IF(X26="","",IF(2010-VLOOKUP(MATCH(X26,eyr_id,0),eyr,'A1(epa)'!$U$17,FALSE)=0,IF(VLOOKUP(MATCH(X26,eyr_id,0),eyr,'A1(epa)'!$U$17,FALSE)=0,"",VLOOKUP(MATCH(X26,eyr_id,0),eyr,'A1(epa)'!$U$17,FALSE))))</f>
        <v>2010</v>
      </c>
      <c r="FE26" s="6178">
        <f>+IF(X26="","",IF(2010-VLOOKUP(MATCH(X26,eyr_id,0),eyr,'A1(epa)'!$U$17,FALSE)=0,IF(VLOOKUP(MATCH(X26,eyr_id,0),eyr,'A1(epa)'!$X$17,FALSE)=0,"",VLOOKUP(MATCH(X26,eyr_id,0),eyr,'A1(epa)'!$X$17,FALSE))))</f>
        <v>12</v>
      </c>
      <c r="FF26" s="6179">
        <f>+IF(X26="","",IF(2010-VLOOKUP(MATCH(X26,eyr_id,0),eyr,'A1(epa)'!$U$17,FALSE)=0,IF(VLOOKUP(MATCH(X26,eyr_id,0),eyr,'A1(epa)'!$W$17,FALSE)=0,"",VLOOKUP(MATCH(X26,eyr_id,0),eyr,'A1(epa)'!$W$17,FALSE))))</f>
        <v>25</v>
      </c>
      <c r="FG26" s="6180">
        <f>+IF(X26="","",IF(2010-VLOOKUP(MATCH(X26,eyr_id,0),eyr,'A1(epa)'!$U$17,FALSE)=0,IF(VLOOKUP(MATCH(X26,eyr_id,0),eyr,'A1(epa)'!$AC$17,FALSE)=0,"",VLOOKUP(MATCH(X26,eyr_id,0),eyr,'A1(epa)'!$AC$17,FALSE))))</f>
        <v>4308</v>
      </c>
      <c r="FH26" s="6180">
        <f>+IF(X26="","",IF(2010-VLOOKUP(MATCH(X26,eyr_id,0),eyr,'A1(epa)'!$U$17,FALSE)=0,IF(VLOOKUP(MATCH(X26,eyr_id,0),eyr,'A1(epa)'!$Y$17,FALSE)=0,"",VLOOKUP(MATCH(X26,eyr_id,0),eyr,'A1(epa)'!$Y$17,FALSE))))</f>
        <v>326</v>
      </c>
      <c r="FI26" s="6181">
        <f>+IF(X26="","",IF(2010-VLOOKUP(MATCH(X26,eyr_id,0),eyr,'A1(epa)'!$U$17,FALSE)=0,IF(VLOOKUP(MATCH(X26,eyr_id,0),eyr,'A1(epa)'!$AB$17,FALSE)=0,"",VLOOKUP(MATCH(X26,eyr_id,0),eyr,'A1(epa)'!$AB$17,FALSE))))</f>
        <v>1.8</v>
      </c>
      <c r="FJ26" s="6177">
        <f>+IF(X26="","",IF(2009-VLOOKUP(MATCH(X26,eyr_id,0)+1,eyr,'A1(epa)'!$U$17,FALSE)=0,IF(VLOOKUP(MATCH(X26,eyr_id,0)+1,eyr,'A1(epa)'!$U$17,FALSE)=0,"",VLOOKUP(MATCH(X26,eyr_id,0)+1,eyr,'A1(epa)'!$U$17,FALSE))))</f>
        <v>2009</v>
      </c>
      <c r="FK26" s="6178">
        <f>+IF(X26="","",IF(2009-VLOOKUP(MATCH(X26,eyr_id,0)+1,eyr,'A1(epa)'!$U$17,FALSE)=0,IF(VLOOKUP(MATCH(X26,eyr_id,0)+1,eyr,'A1(epa)'!$X$17,FALSE)=0,"",VLOOKUP(MATCH(X26,eyr_id,0)+1,eyr,'A1(epa)'!$X$17,FALSE))))</f>
        <v>12</v>
      </c>
      <c r="FL26" s="6179">
        <f>+IF(X26="","",IF(2009-VLOOKUP(MATCH(X26,eyr_id,0)+1,eyr,'A1(epa)'!$U$17,FALSE)=0,IF(VLOOKUP(MATCH(X26,eyr_id,0)+1,eyr,'A1(epa)'!$W$17,FALSE)=0,"",VLOOKUP(MATCH(X26,eyr_id,0)+1,eyr,'A1(epa)'!$W$17,FALSE))))</f>
        <v>24</v>
      </c>
      <c r="FM26" s="6180">
        <f>+IF(X26="","",IF(2009-VLOOKUP(MATCH(X26,eyr_id,0)+1,eyr,'A1(epa)'!$U$17,FALSE)=0,IF(VLOOKUP(MATCH(X26,eyr_id,0)+1,eyr,'A1(epa)'!$AC$17,FALSE)=0,"",VLOOKUP(MATCH(X26,eyr_id,0)+1,eyr,'A1(epa)'!$AC$17,FALSE))))</f>
        <v>3611</v>
      </c>
      <c r="FN26" s="6180">
        <f>+IF(X26="","",IF(2009-VLOOKUP(MATCH(X26,eyr_id,0)+1,eyr,'A1(epa)'!$U$17,FALSE)=0,IF(VLOOKUP(MATCH(X26,eyr_id,0)+1,eyr,'A1(epa)'!$Y$17,FALSE)=0,"",VLOOKUP(MATCH(X26,eyr_id,0)+1,eyr,'A1(epa)'!$Y$17,FALSE))))</f>
        <v>284</v>
      </c>
      <c r="FO26" s="6181">
        <f>+IF(X26="","",IF(2009-VLOOKUP(MATCH(X26,eyr_id,0)+1,eyr,'A1(epa)'!$U$17,FALSE)=0,IF(VLOOKUP(MATCH(X26,eyr_id,0)+1,eyr,'A1(epa)'!$AB$17,FALSE)=0,"",VLOOKUP(MATCH(X26,eyr_id,0)+1,eyr,'A1(epa)'!$AB$17,FALSE))))</f>
        <v>1.5</v>
      </c>
      <c r="FP26" s="5092" t="s">
        <v>978</v>
      </c>
      <c r="FQ26" s="5093" t="s">
        <v>976</v>
      </c>
      <c r="FR26" s="5094" t="s">
        <v>979</v>
      </c>
      <c r="FS26" s="5094"/>
      <c r="FT26" s="5094"/>
      <c r="FU26" s="5094"/>
      <c r="FV26" s="5095" t="s">
        <v>979</v>
      </c>
      <c r="FW26" s="5092"/>
      <c r="FX26" s="6251"/>
      <c r="FY26" s="6251"/>
      <c r="FZ26" s="6251"/>
      <c r="GA26" s="6251"/>
      <c r="GB26" s="6353" t="str">
        <f t="shared" si="7"/>
        <v/>
      </c>
      <c r="GC26" s="6251"/>
      <c r="GD26" s="8611"/>
      <c r="GE26" s="6312" t="str">
        <f t="shared" si="8"/>
        <v/>
      </c>
      <c r="GF26" s="8611"/>
      <c r="GG26" s="8611" t="str">
        <f t="shared" si="9"/>
        <v/>
      </c>
      <c r="GH26" s="8611"/>
      <c r="GI26" s="8611"/>
      <c r="GJ26" s="6313"/>
      <c r="GK26" s="5092"/>
      <c r="GL26" s="6311"/>
      <c r="GM26" s="6311"/>
      <c r="GN26" s="6311"/>
      <c r="GO26" s="6311"/>
      <c r="GP26" s="6311"/>
      <c r="GQ26" s="6311"/>
      <c r="GR26" s="8611"/>
      <c r="GS26" s="6312" t="str">
        <f t="shared" si="10"/>
        <v/>
      </c>
      <c r="GT26" s="8611"/>
      <c r="GU26" s="8611" t="str">
        <f t="shared" si="11"/>
        <v/>
      </c>
      <c r="GV26" s="8611"/>
      <c r="GW26" s="8611"/>
      <c r="GX26" s="6313"/>
      <c r="GY26" s="6250"/>
      <c r="GZ26" s="6251"/>
      <c r="HA26" s="6251"/>
      <c r="HB26" s="6251"/>
      <c r="HC26" s="6251"/>
      <c r="HD26" s="6251"/>
      <c r="HE26" s="6251"/>
      <c r="HF26" s="6252" t="str">
        <f t="shared" si="12"/>
        <v/>
      </c>
      <c r="HG26" s="6252"/>
      <c r="HH26" s="6253">
        <f t="shared" si="13"/>
        <v>0.75</v>
      </c>
      <c r="HI26" s="6254">
        <f t="shared" si="14"/>
        <v>0.81</v>
      </c>
      <c r="HJ26" s="6253">
        <f t="shared" si="28"/>
        <v>0.73049999999999993</v>
      </c>
      <c r="HK26" s="6253">
        <f t="shared" si="28"/>
        <v>129.36842099334265</v>
      </c>
      <c r="HL26" s="6255"/>
      <c r="HM26" s="6255"/>
      <c r="HN26" s="6256"/>
      <c r="HO26" s="6062"/>
    </row>
    <row r="27" spans="1:223" s="6124" customFormat="1" ht="25.5" customHeight="1">
      <c r="A27" s="5364" t="str">
        <f t="shared" si="15"/>
        <v>8302-06</v>
      </c>
      <c r="B27" s="9571"/>
      <c r="C27" s="5365" t="str">
        <f t="shared" si="16"/>
        <v>13B</v>
      </c>
      <c r="D27" s="6110"/>
      <c r="E27" s="6114"/>
      <c r="F27" s="6110"/>
      <c r="G27" s="4636">
        <v>7</v>
      </c>
      <c r="H27" s="10169"/>
      <c r="I27" s="10171"/>
      <c r="J27" s="10183"/>
      <c r="K27" s="4738">
        <v>8302</v>
      </c>
      <c r="L27" s="8601" t="s">
        <v>325</v>
      </c>
      <c r="M27" s="10197"/>
      <c r="N27" s="4653" t="s">
        <v>506</v>
      </c>
      <c r="O27" s="4653" t="s">
        <v>818</v>
      </c>
      <c r="P27" s="4506" t="s">
        <v>490</v>
      </c>
      <c r="Q27" s="309" t="s">
        <v>490</v>
      </c>
      <c r="R27" s="4506" t="str">
        <f>+IF(ISERROR(MATCH(X27,epa_id,0)),"",IF(X27="","",IF(VLOOKUP(MATCH(X27,epa_id,0),epa,'A1(epa)'!$S$17,FALSE)="","",VLOOKUP(MATCH(X27,epa_id,0),epa,'A1(epa)'!$S$17,FALSE))))</f>
        <v>13B</v>
      </c>
      <c r="S27" s="305">
        <f>+IF(ISERROR(MATCH(X27,epa_id,0)),"",IF(X27="","",IF(VLOOKUP(MATCH(X27,epa_id,0),epa,'A1(epa)'!$R$17,FALSE)="","",VLOOKUP(MATCH(X27,epa_id,0),epa,'A1(epa)'!$R$17,FALSE))))</f>
        <v>563</v>
      </c>
      <c r="T27" s="6070" t="s">
        <v>794</v>
      </c>
      <c r="U27" s="4502">
        <v>8</v>
      </c>
      <c r="V27" s="4502">
        <v>2</v>
      </c>
      <c r="W27" s="4502">
        <f t="shared" si="25"/>
        <v>6</v>
      </c>
      <c r="X27" s="4652" t="str">
        <f t="shared" si="5"/>
        <v>8302-06</v>
      </c>
      <c r="Y27" s="4654" t="s">
        <v>905</v>
      </c>
      <c r="Z27" s="8596" t="s">
        <v>811</v>
      </c>
      <c r="AA27" s="4655" t="s">
        <v>599</v>
      </c>
      <c r="AB27" s="4655"/>
      <c r="AC27" s="4656" t="s">
        <v>979</v>
      </c>
      <c r="AD27" s="4659"/>
      <c r="AE27" s="4658"/>
      <c r="AF27" s="329"/>
      <c r="AG27" s="330"/>
      <c r="AH27" s="331"/>
      <c r="AI27" s="4770" t="s">
        <v>810</v>
      </c>
      <c r="AJ27" s="4771"/>
      <c r="AK27" s="4772"/>
      <c r="AL27" s="4773" t="s">
        <v>806</v>
      </c>
      <c r="AM27" s="8603" t="s">
        <v>830</v>
      </c>
      <c r="AN27" s="4774">
        <v>40297</v>
      </c>
      <c r="AO27" s="4774">
        <v>41790</v>
      </c>
      <c r="AP27" s="4774">
        <f t="shared" si="19"/>
        <v>40569</v>
      </c>
      <c r="AQ27" s="4774" t="str">
        <f t="shared" si="20"/>
        <v/>
      </c>
      <c r="AR27" s="4774">
        <f t="shared" si="21"/>
        <v>40660</v>
      </c>
      <c r="AS27" s="4774">
        <f t="shared" si="22"/>
        <v>40662</v>
      </c>
      <c r="AT27" s="4775" t="s">
        <v>479</v>
      </c>
      <c r="AU27" s="4776"/>
      <c r="AV27" s="332"/>
      <c r="AW27" s="332"/>
      <c r="AX27" s="332"/>
      <c r="AY27" s="333"/>
      <c r="AZ27" s="334">
        <v>158</v>
      </c>
      <c r="BA27" s="4823" t="s">
        <v>438</v>
      </c>
      <c r="BB27" s="624">
        <f>+IF(AND(G27="",BA27=""),"",VLOOKUP(MATCH(BA27,tw,0),twn,'A4(twn)'!$D$12,FALSE))</f>
        <v>75</v>
      </c>
      <c r="BC27" s="624" t="str">
        <f t="shared" si="17"/>
        <v>5497 / 002 / 075 / 0158</v>
      </c>
      <c r="BD27" s="4506" t="s">
        <v>816</v>
      </c>
      <c r="BE27" s="4654" t="s">
        <v>508</v>
      </c>
      <c r="BF27" s="4823" t="s">
        <v>507</v>
      </c>
      <c r="BG27" s="4653" t="str">
        <f>+IF(OR(X27="",ISERROR(MATCH(X27,epa_id,0))),"",VLOOKUP(MATCH(X27,epa_id,0),epa,'A1(epa)'!$AH$17,FALSE))</f>
        <v>Connecticut Resources Recovery Authority (Owner/Operator)</v>
      </c>
      <c r="BH27" s="4824">
        <v>5497</v>
      </c>
      <c r="BI27" s="4824">
        <v>2</v>
      </c>
      <c r="BJ27" s="6132"/>
      <c r="BK27" s="335"/>
      <c r="BL27" s="328" t="s">
        <v>507</v>
      </c>
      <c r="BM27" s="328" t="s">
        <v>820</v>
      </c>
      <c r="BN27" s="328" t="s">
        <v>819</v>
      </c>
      <c r="BO27" s="327" t="s">
        <v>511</v>
      </c>
      <c r="BP27" s="327" t="s">
        <v>512</v>
      </c>
      <c r="BQ27" s="327" t="s">
        <v>821</v>
      </c>
      <c r="BR27" s="327" t="s">
        <v>509</v>
      </c>
      <c r="BS27" s="301" t="str">
        <f t="shared" si="18"/>
        <v>100 Constitution Plaza, 6th Floor, Hartford, CT 06103</v>
      </c>
      <c r="BT27" s="335" t="s">
        <v>513</v>
      </c>
      <c r="BU27" s="335"/>
      <c r="BV27" s="336"/>
      <c r="BW27" s="4850" t="s">
        <v>790</v>
      </c>
      <c r="BX27" s="327" t="str">
        <f t="shared" si="26"/>
        <v>Combustion Components Associates, Inc. (CCA)</v>
      </c>
      <c r="BY27" s="327" t="s">
        <v>824</v>
      </c>
      <c r="BZ27" s="327" t="s">
        <v>825</v>
      </c>
      <c r="CA27" s="327" t="s">
        <v>517</v>
      </c>
      <c r="CB27" s="327" t="s">
        <v>826</v>
      </c>
      <c r="CC27" s="337">
        <v>40569</v>
      </c>
      <c r="CD27" s="6151" t="s">
        <v>938</v>
      </c>
      <c r="CE27" s="338">
        <v>40662</v>
      </c>
      <c r="CF27" s="4374" t="s">
        <v>974</v>
      </c>
      <c r="CG27" s="4374"/>
      <c r="CH27" s="4858" t="str">
        <f>+IF(ISERROR(MATCH(X27,epa_id,0)),"",IF(X27="","",IF(VLOOKUP(MATCH(X27,epa_id,0),epa,'A1(epa)'!$AE$17,FALSE)="","",VLOOKUP(MATCH(X27,epa_id,0),epa,'A1(epa)'!$AE$17,FALSE))))</f>
        <v>Electric Utility</v>
      </c>
      <c r="CI27" s="4655" t="s">
        <v>944</v>
      </c>
      <c r="CJ27" s="4655" t="str">
        <f>+IF(ISERROR(MATCH(X27,epa_id,0)),"",IF(X27="","",IF(VLOOKUP(MATCH(X27,epa_id,0),epa,'A1(epa)'!$AF$17,FALSE)="","",VLOOKUP(MATCH(X27,epa_id,0),epa,'A1(epa)'!$AF$17,FALSE))))</f>
        <v>4911</v>
      </c>
      <c r="CK27" s="8560" t="str">
        <f>+IF(ISERROR(MATCH(X27,epa_id,0)),"",IF(X27="","",IF(VLOOKUP(MATCH(X27,epa_id,0),epa,'A1(epa)'!$AG$17,FALSE)="","",VLOOKUP(MATCH(X27,epa_id,0),epa,'A1(epa)'!$AG$17,FALSE))))</f>
        <v>Electric Services</v>
      </c>
      <c r="CL27" s="340" t="str">
        <f t="shared" si="23"/>
        <v>Driven by turbines B and A operating simultaneously</v>
      </c>
      <c r="CM27" s="339"/>
      <c r="CN27" s="4887"/>
      <c r="CO27" s="4792" t="s">
        <v>385</v>
      </c>
      <c r="CP27" s="4792" t="s">
        <v>520</v>
      </c>
      <c r="CQ27" s="4888" t="s">
        <v>828</v>
      </c>
      <c r="CR27" s="4926" t="s">
        <v>907</v>
      </c>
      <c r="CS27" s="4926" t="s">
        <v>901</v>
      </c>
      <c r="CT27" s="10160"/>
      <c r="CU27" s="10160"/>
      <c r="CV27" s="4890"/>
      <c r="CW27" s="4891" t="s">
        <v>903</v>
      </c>
      <c r="CX27" s="4770"/>
      <c r="CY27" s="4936"/>
      <c r="CZ27" s="4937"/>
      <c r="DA27" s="4938"/>
      <c r="DB27" s="4770"/>
      <c r="DC27" s="4889">
        <v>1970</v>
      </c>
      <c r="DD27" s="4939">
        <v>25569</v>
      </c>
      <c r="DE27" s="4940">
        <f t="shared" ca="1" si="6"/>
        <v>44.521729402426047</v>
      </c>
      <c r="DF27" s="6155" t="s">
        <v>916</v>
      </c>
      <c r="DG27" s="6174"/>
      <c r="DH27" s="4926" t="s">
        <v>983</v>
      </c>
      <c r="DI27" s="4926" t="str">
        <f t="shared" si="27"/>
        <v>Jet Fuel A (Kerosene K1)</v>
      </c>
      <c r="DJ27" s="340" t="s">
        <v>911</v>
      </c>
      <c r="DK27" s="340">
        <v>1900</v>
      </c>
      <c r="DL27" s="340" t="s">
        <v>914</v>
      </c>
      <c r="DM27" s="340" t="s">
        <v>918</v>
      </c>
      <c r="DN27" s="341">
        <v>256</v>
      </c>
      <c r="DO27" s="340" t="s">
        <v>920</v>
      </c>
      <c r="DP27" s="339"/>
      <c r="DQ27" s="342" t="s">
        <v>1124</v>
      </c>
      <c r="DR27" s="340" t="s">
        <v>920</v>
      </c>
      <c r="DS27" s="340"/>
      <c r="DT27" s="340"/>
      <c r="DU27" s="340"/>
      <c r="DV27" s="341">
        <v>256</v>
      </c>
      <c r="DW27" s="340" t="s">
        <v>920</v>
      </c>
      <c r="DX27" s="339"/>
      <c r="DY27" s="342" t="s">
        <v>925</v>
      </c>
      <c r="DZ27" s="340" t="s">
        <v>920</v>
      </c>
      <c r="EA27" s="340"/>
      <c r="EB27" s="340"/>
      <c r="EC27" s="340"/>
      <c r="ED27" s="341">
        <v>256</v>
      </c>
      <c r="EE27" s="340" t="s">
        <v>920</v>
      </c>
      <c r="EF27" s="344"/>
      <c r="EG27" s="5042" t="s">
        <v>185</v>
      </c>
      <c r="EH27" s="6175">
        <v>256</v>
      </c>
      <c r="EI27" s="5034">
        <v>0.73299999999999998</v>
      </c>
      <c r="EJ27" s="5033">
        <v>130.30000000000001</v>
      </c>
      <c r="EK27" s="5033" t="s">
        <v>920</v>
      </c>
      <c r="EL27" s="5034">
        <v>0.81</v>
      </c>
      <c r="EM27" s="5034"/>
      <c r="EN27" s="5034"/>
      <c r="EO27" s="5034"/>
      <c r="EP27" s="5034"/>
      <c r="EQ27" s="5034">
        <v>0.28899999999999998</v>
      </c>
      <c r="ER27" s="5033">
        <v>75</v>
      </c>
      <c r="ES27" s="5055"/>
      <c r="ET27" s="6176">
        <v>0.15</v>
      </c>
      <c r="EU27" s="5055"/>
      <c r="EV27" s="347"/>
      <c r="EW27" s="5065"/>
      <c r="EX27" s="5033"/>
      <c r="EY27" s="5033"/>
      <c r="EZ27" s="5066">
        <v>40125</v>
      </c>
      <c r="FA27" s="5066">
        <v>41951</v>
      </c>
      <c r="FB27" s="5067">
        <f t="shared" si="24"/>
        <v>4.9993155373032172</v>
      </c>
      <c r="FC27" s="346"/>
      <c r="FD27" s="6177">
        <f>+IF(X27="","",IF(2010-VLOOKUP(MATCH(X27,eyr_id,0),eyr,'A1(epa)'!$U$17,FALSE)=0,IF(VLOOKUP(MATCH(X27,eyr_id,0),eyr,'A1(epa)'!$U$17,FALSE)=0,"",VLOOKUP(MATCH(X27,eyr_id,0),eyr,'A1(epa)'!$U$17,FALSE))))</f>
        <v>2010</v>
      </c>
      <c r="FE27" s="6178">
        <f>+IF(X27="","",IF(2010-VLOOKUP(MATCH(X27,eyr_id,0),eyr,'A1(epa)'!$U$17,FALSE)=0,IF(VLOOKUP(MATCH(X27,eyr_id,0),eyr,'A1(epa)'!$X$17,FALSE)=0,"",VLOOKUP(MATCH(X27,eyr_id,0),eyr,'A1(epa)'!$X$17,FALSE))))</f>
        <v>12</v>
      </c>
      <c r="FF27" s="6179">
        <f>+IF(X27="","",IF(2010-VLOOKUP(MATCH(X27,eyr_id,0),eyr,'A1(epa)'!$U$17,FALSE)=0,IF(VLOOKUP(MATCH(X27,eyr_id,0),eyr,'A1(epa)'!$W$17,FALSE)=0,"",VLOOKUP(MATCH(X27,eyr_id,0),eyr,'A1(epa)'!$W$17,FALSE))))</f>
        <v>25</v>
      </c>
      <c r="FG27" s="6180">
        <f>+IF(X27="","",IF(2010-VLOOKUP(MATCH(X27,eyr_id,0),eyr,'A1(epa)'!$U$17,FALSE)=0,IF(VLOOKUP(MATCH(X27,eyr_id,0),eyr,'A1(epa)'!$AC$17,FALSE)=0,"",VLOOKUP(MATCH(X27,eyr_id,0),eyr,'A1(epa)'!$AC$17,FALSE))))</f>
        <v>4308</v>
      </c>
      <c r="FH27" s="6180">
        <f>+IF(X27="","",IF(2010-VLOOKUP(MATCH(X27,eyr_id,0),eyr,'A1(epa)'!$U$17,FALSE)=0,IF(VLOOKUP(MATCH(X27,eyr_id,0),eyr,'A1(epa)'!$Y$17,FALSE)=0,"",VLOOKUP(MATCH(X27,eyr_id,0),eyr,'A1(epa)'!$Y$17,FALSE))))</f>
        <v>326</v>
      </c>
      <c r="FI27" s="6181">
        <f>+IF(X27="","",IF(2010-VLOOKUP(MATCH(X27,eyr_id,0),eyr,'A1(epa)'!$U$17,FALSE)=0,IF(VLOOKUP(MATCH(X27,eyr_id,0),eyr,'A1(epa)'!$AB$17,FALSE)=0,"",VLOOKUP(MATCH(X27,eyr_id,0),eyr,'A1(epa)'!$AB$17,FALSE))))</f>
        <v>1.7</v>
      </c>
      <c r="FJ27" s="6177">
        <f>+IF(X27="","",IF(2009-VLOOKUP(MATCH(X27,eyr_id,0)+1,eyr,'A1(epa)'!$U$17,FALSE)=0,IF(VLOOKUP(MATCH(X27,eyr_id,0)+1,eyr,'A1(epa)'!$U$17,FALSE)=0,"",VLOOKUP(MATCH(X27,eyr_id,0)+1,eyr,'A1(epa)'!$U$17,FALSE))))</f>
        <v>2009</v>
      </c>
      <c r="FK27" s="6178">
        <f>+IF(X27="","",IF(2009-VLOOKUP(MATCH(X27,eyr_id,0)+1,eyr,'A1(epa)'!$U$17,FALSE)=0,IF(VLOOKUP(MATCH(X27,eyr_id,0)+1,eyr,'A1(epa)'!$X$17,FALSE)=0,"",VLOOKUP(MATCH(X27,eyr_id,0)+1,eyr,'A1(epa)'!$X$17,FALSE))))</f>
        <v>12</v>
      </c>
      <c r="FL27" s="6179">
        <f>+IF(X27="","",IF(2009-VLOOKUP(MATCH(X27,eyr_id,0)+1,eyr,'A1(epa)'!$U$17,FALSE)=0,IF(VLOOKUP(MATCH(X27,eyr_id,0)+1,eyr,'A1(epa)'!$W$17,FALSE)=0,"",VLOOKUP(MATCH(X27,eyr_id,0)+1,eyr,'A1(epa)'!$W$17,FALSE))))</f>
        <v>24</v>
      </c>
      <c r="FM27" s="6180">
        <f>+IF(X27="","",IF(2009-VLOOKUP(MATCH(X27,eyr_id,0)+1,eyr,'A1(epa)'!$U$17,FALSE)=0,IF(VLOOKUP(MATCH(X27,eyr_id,0)+1,eyr,'A1(epa)'!$AC$17,FALSE)=0,"",VLOOKUP(MATCH(X27,eyr_id,0)+1,eyr,'A1(epa)'!$AC$17,FALSE))))</f>
        <v>3611</v>
      </c>
      <c r="FN27" s="6180">
        <f>+IF(X27="","",IF(2009-VLOOKUP(MATCH(X27,eyr_id,0)+1,eyr,'A1(epa)'!$U$17,FALSE)=0,IF(VLOOKUP(MATCH(X27,eyr_id,0)+1,eyr,'A1(epa)'!$Y$17,FALSE)=0,"",VLOOKUP(MATCH(X27,eyr_id,0)+1,eyr,'A1(epa)'!$Y$17,FALSE))))</f>
        <v>284</v>
      </c>
      <c r="FO27" s="6181">
        <f>+IF(X27="","",IF(2009-VLOOKUP(MATCH(X27,eyr_id,0)+1,eyr,'A1(epa)'!$U$17,FALSE)=0,IF(VLOOKUP(MATCH(X27,eyr_id,0)+1,eyr,'A1(epa)'!$AB$17,FALSE)=0,"",VLOOKUP(MATCH(X27,eyr_id,0)+1,eyr,'A1(epa)'!$AB$17,FALSE))))</f>
        <v>1.4</v>
      </c>
      <c r="FP27" s="5092" t="s">
        <v>978</v>
      </c>
      <c r="FQ27" s="5093" t="s">
        <v>976</v>
      </c>
      <c r="FR27" s="5094" t="s">
        <v>979</v>
      </c>
      <c r="FS27" s="5094"/>
      <c r="FT27" s="5094"/>
      <c r="FU27" s="5094"/>
      <c r="FV27" s="5095" t="s">
        <v>979</v>
      </c>
      <c r="FW27" s="5092"/>
      <c r="FX27" s="6251"/>
      <c r="FY27" s="6251"/>
      <c r="FZ27" s="6251"/>
      <c r="GA27" s="6251"/>
      <c r="GB27" s="6353" t="str">
        <f t="shared" si="7"/>
        <v/>
      </c>
      <c r="GC27" s="6251"/>
      <c r="GD27" s="8611"/>
      <c r="GE27" s="6312" t="str">
        <f t="shared" si="8"/>
        <v/>
      </c>
      <c r="GF27" s="8611"/>
      <c r="GG27" s="8611" t="str">
        <f t="shared" si="9"/>
        <v/>
      </c>
      <c r="GH27" s="8611"/>
      <c r="GI27" s="8611"/>
      <c r="GJ27" s="6313"/>
      <c r="GK27" s="5092"/>
      <c r="GL27" s="6311"/>
      <c r="GM27" s="6311"/>
      <c r="GN27" s="6311"/>
      <c r="GO27" s="6311"/>
      <c r="GP27" s="6311"/>
      <c r="GQ27" s="6311"/>
      <c r="GR27" s="8611"/>
      <c r="GS27" s="6312" t="str">
        <f t="shared" si="10"/>
        <v/>
      </c>
      <c r="GT27" s="8611"/>
      <c r="GU27" s="8611" t="str">
        <f t="shared" si="11"/>
        <v/>
      </c>
      <c r="GV27" s="8611"/>
      <c r="GW27" s="8611"/>
      <c r="GX27" s="6313"/>
      <c r="GY27" s="6250"/>
      <c r="GZ27" s="6251"/>
      <c r="HA27" s="6251"/>
      <c r="HB27" s="6251"/>
      <c r="HC27" s="6251"/>
      <c r="HD27" s="6251"/>
      <c r="HE27" s="6251"/>
      <c r="HF27" s="6252" t="str">
        <f t="shared" si="12"/>
        <v/>
      </c>
      <c r="HG27" s="6252"/>
      <c r="HH27" s="6253">
        <f t="shared" si="13"/>
        <v>0.73299999999999998</v>
      </c>
      <c r="HI27" s="6254">
        <f t="shared" si="14"/>
        <v>0.81</v>
      </c>
      <c r="HJ27" s="6253">
        <f t="shared" si="28"/>
        <v>0.73049999999999993</v>
      </c>
      <c r="HK27" s="6253">
        <f t="shared" si="28"/>
        <v>129.36842099334265</v>
      </c>
      <c r="HL27" s="6255"/>
      <c r="HM27" s="6255"/>
      <c r="HN27" s="6256"/>
      <c r="HO27" s="6062"/>
    </row>
    <row r="28" spans="1:223" s="6124" customFormat="1" ht="25.5" customHeight="1">
      <c r="A28" s="5364" t="str">
        <f t="shared" si="15"/>
        <v>8302-07</v>
      </c>
      <c r="B28" s="9571"/>
      <c r="C28" s="5365" t="str">
        <f t="shared" si="16"/>
        <v>14A</v>
      </c>
      <c r="D28" s="6110"/>
      <c r="E28" s="6114"/>
      <c r="F28" s="6110"/>
      <c r="G28" s="4636">
        <v>8</v>
      </c>
      <c r="H28" s="10169"/>
      <c r="I28" s="10171"/>
      <c r="J28" s="10183"/>
      <c r="K28" s="4738">
        <v>8302</v>
      </c>
      <c r="L28" s="8601" t="s">
        <v>325</v>
      </c>
      <c r="M28" s="10197"/>
      <c r="N28" s="4653" t="s">
        <v>506</v>
      </c>
      <c r="O28" s="4653" t="s">
        <v>818</v>
      </c>
      <c r="P28" s="4506" t="s">
        <v>491</v>
      </c>
      <c r="Q28" s="309" t="s">
        <v>491</v>
      </c>
      <c r="R28" s="4506" t="str">
        <f>+IF(ISERROR(MATCH(X28,epa_id,0)),"",IF(X28="","",IF(VLOOKUP(MATCH(X28,epa_id,0),epa,'A1(epa)'!$S$17,FALSE)="","",VLOOKUP(MATCH(X28,epa_id,0),epa,'A1(epa)'!$S$17,FALSE))))</f>
        <v>14A</v>
      </c>
      <c r="S28" s="305">
        <f>+IF(ISERROR(MATCH(X28,epa_id,0)),"",IF(X28="","",IF(VLOOKUP(MATCH(X28,epa_id,0),epa,'A1(epa)'!$R$17,FALSE)="","",VLOOKUP(MATCH(X28,epa_id,0),epa,'A1(epa)'!$R$17,FALSE))))</f>
        <v>563</v>
      </c>
      <c r="T28" s="6070" t="s">
        <v>794</v>
      </c>
      <c r="U28" s="4502">
        <v>8</v>
      </c>
      <c r="V28" s="4502">
        <v>2</v>
      </c>
      <c r="W28" s="4502">
        <f t="shared" si="25"/>
        <v>7</v>
      </c>
      <c r="X28" s="4652" t="str">
        <f t="shared" si="5"/>
        <v>8302-07</v>
      </c>
      <c r="Y28" s="4654" t="s">
        <v>905</v>
      </c>
      <c r="Z28" s="8596" t="s">
        <v>811</v>
      </c>
      <c r="AA28" s="4655" t="s">
        <v>600</v>
      </c>
      <c r="AB28" s="4655"/>
      <c r="AC28" s="4656" t="s">
        <v>979</v>
      </c>
      <c r="AD28" s="4659"/>
      <c r="AE28" s="4658"/>
      <c r="AF28" s="329"/>
      <c r="AG28" s="330"/>
      <c r="AH28" s="331"/>
      <c r="AI28" s="4770" t="s">
        <v>810</v>
      </c>
      <c r="AJ28" s="4771"/>
      <c r="AK28" s="4772"/>
      <c r="AL28" s="4773" t="s">
        <v>806</v>
      </c>
      <c r="AM28" s="8603" t="s">
        <v>830</v>
      </c>
      <c r="AN28" s="4774">
        <v>40297</v>
      </c>
      <c r="AO28" s="4774">
        <v>41790</v>
      </c>
      <c r="AP28" s="4774">
        <f t="shared" si="19"/>
        <v>40569</v>
      </c>
      <c r="AQ28" s="4774" t="str">
        <f t="shared" si="20"/>
        <v/>
      </c>
      <c r="AR28" s="4774">
        <f t="shared" si="21"/>
        <v>40660</v>
      </c>
      <c r="AS28" s="4774">
        <f t="shared" si="22"/>
        <v>40662</v>
      </c>
      <c r="AT28" s="4775" t="s">
        <v>479</v>
      </c>
      <c r="AU28" s="4776"/>
      <c r="AV28" s="332"/>
      <c r="AW28" s="332"/>
      <c r="AX28" s="332"/>
      <c r="AY28" s="333"/>
      <c r="AZ28" s="334">
        <v>158</v>
      </c>
      <c r="BA28" s="4823" t="s">
        <v>438</v>
      </c>
      <c r="BB28" s="624">
        <f>+IF(AND(G28="",BA28=""),"",VLOOKUP(MATCH(BA28,tw,0),twn,'A4(twn)'!$D$12,FALSE))</f>
        <v>75</v>
      </c>
      <c r="BC28" s="624" t="str">
        <f t="shared" si="17"/>
        <v>5497 / 002 / 075 / 0158</v>
      </c>
      <c r="BD28" s="4506" t="s">
        <v>816</v>
      </c>
      <c r="BE28" s="4654" t="s">
        <v>508</v>
      </c>
      <c r="BF28" s="4823" t="s">
        <v>507</v>
      </c>
      <c r="BG28" s="4653" t="str">
        <f>+IF(OR(X28="",ISERROR(MATCH(X28,epa_id,0))),"",VLOOKUP(MATCH(X28,epa_id,0),epa,'A1(epa)'!$AH$17,FALSE))</f>
        <v>Connecticut Resources Recovery Authority (Owner/Operator)</v>
      </c>
      <c r="BH28" s="4824">
        <v>5497</v>
      </c>
      <c r="BI28" s="4824">
        <v>2</v>
      </c>
      <c r="BJ28" s="6132"/>
      <c r="BK28" s="335"/>
      <c r="BL28" s="328" t="s">
        <v>507</v>
      </c>
      <c r="BM28" s="328" t="s">
        <v>820</v>
      </c>
      <c r="BN28" s="328" t="s">
        <v>819</v>
      </c>
      <c r="BO28" s="327" t="s">
        <v>511</v>
      </c>
      <c r="BP28" s="327" t="s">
        <v>512</v>
      </c>
      <c r="BQ28" s="327" t="s">
        <v>821</v>
      </c>
      <c r="BR28" s="327" t="s">
        <v>509</v>
      </c>
      <c r="BS28" s="301" t="str">
        <f t="shared" si="18"/>
        <v>100 Constitution Plaza, 6th Floor, Hartford, CT 06103</v>
      </c>
      <c r="BT28" s="335" t="s">
        <v>513</v>
      </c>
      <c r="BU28" s="335"/>
      <c r="BV28" s="336"/>
      <c r="BW28" s="4850" t="s">
        <v>790</v>
      </c>
      <c r="BX28" s="327" t="str">
        <f t="shared" si="26"/>
        <v>Combustion Components Associates, Inc. (CCA)</v>
      </c>
      <c r="BY28" s="327" t="s">
        <v>824</v>
      </c>
      <c r="BZ28" s="327" t="s">
        <v>825</v>
      </c>
      <c r="CA28" s="327" t="s">
        <v>517</v>
      </c>
      <c r="CB28" s="327" t="s">
        <v>826</v>
      </c>
      <c r="CC28" s="337">
        <v>40569</v>
      </c>
      <c r="CD28" s="6151" t="s">
        <v>938</v>
      </c>
      <c r="CE28" s="338">
        <v>40662</v>
      </c>
      <c r="CF28" s="4374" t="s">
        <v>974</v>
      </c>
      <c r="CG28" s="4374"/>
      <c r="CH28" s="4858" t="str">
        <f>+IF(ISERROR(MATCH(X28,epa_id,0)),"",IF(X28="","",IF(VLOOKUP(MATCH(X28,epa_id,0),epa,'A1(epa)'!$AE$17,FALSE)="","",VLOOKUP(MATCH(X28,epa_id,0),epa,'A1(epa)'!$AE$17,FALSE))))</f>
        <v>Electric Utility</v>
      </c>
      <c r="CI28" s="4655" t="s">
        <v>944</v>
      </c>
      <c r="CJ28" s="4655" t="str">
        <f>+IF(ISERROR(MATCH(X28,epa_id,0)),"",IF(X28="","",IF(VLOOKUP(MATCH(X28,epa_id,0),epa,'A1(epa)'!$AF$17,FALSE)="","",VLOOKUP(MATCH(X28,epa_id,0),epa,'A1(epa)'!$AF$17,FALSE))))</f>
        <v>4911</v>
      </c>
      <c r="CK28" s="8560" t="str">
        <f>+IF(ISERROR(MATCH(X28,epa_id,0)),"",IF(X28="","",IF(VLOOKUP(MATCH(X28,epa_id,0),epa,'A1(epa)'!$AG$17,FALSE)="","",VLOOKUP(MATCH(X28,epa_id,0),epa,'A1(epa)'!$AG$17,FALSE))))</f>
        <v>Electric Services</v>
      </c>
      <c r="CL28" s="340" t="str">
        <f t="shared" si="23"/>
        <v>Driven by turbines A and B operating simultaneously</v>
      </c>
      <c r="CM28" s="339"/>
      <c r="CN28" s="4887"/>
      <c r="CO28" s="4792" t="s">
        <v>385</v>
      </c>
      <c r="CP28" s="4792" t="s">
        <v>520</v>
      </c>
      <c r="CQ28" s="4888" t="s">
        <v>828</v>
      </c>
      <c r="CR28" s="4926" t="s">
        <v>907</v>
      </c>
      <c r="CS28" s="4926" t="s">
        <v>901</v>
      </c>
      <c r="CT28" s="10160">
        <v>40</v>
      </c>
      <c r="CU28" s="10160"/>
      <c r="CV28" s="4890"/>
      <c r="CW28" s="4891" t="s">
        <v>903</v>
      </c>
      <c r="CX28" s="4770"/>
      <c r="CY28" s="4936"/>
      <c r="CZ28" s="4937"/>
      <c r="DA28" s="4938"/>
      <c r="DB28" s="4770"/>
      <c r="DC28" s="4889">
        <v>1970</v>
      </c>
      <c r="DD28" s="4939">
        <v>25569</v>
      </c>
      <c r="DE28" s="4940">
        <f t="shared" ca="1" si="6"/>
        <v>44.521729402426047</v>
      </c>
      <c r="DF28" s="6155" t="s">
        <v>916</v>
      </c>
      <c r="DG28" s="6174"/>
      <c r="DH28" s="4926" t="s">
        <v>983</v>
      </c>
      <c r="DI28" s="4926" t="str">
        <f t="shared" si="27"/>
        <v>Jet Fuel A (Kerosene K1)</v>
      </c>
      <c r="DJ28" s="340" t="s">
        <v>911</v>
      </c>
      <c r="DK28" s="340">
        <v>1900</v>
      </c>
      <c r="DL28" s="340" t="s">
        <v>914</v>
      </c>
      <c r="DM28" s="340" t="s">
        <v>918</v>
      </c>
      <c r="DN28" s="341">
        <v>256</v>
      </c>
      <c r="DO28" s="340" t="s">
        <v>920</v>
      </c>
      <c r="DP28" s="339"/>
      <c r="DQ28" s="342" t="s">
        <v>1124</v>
      </c>
      <c r="DR28" s="340" t="s">
        <v>920</v>
      </c>
      <c r="DS28" s="340"/>
      <c r="DT28" s="340"/>
      <c r="DU28" s="340"/>
      <c r="DV28" s="341">
        <v>256</v>
      </c>
      <c r="DW28" s="340" t="s">
        <v>920</v>
      </c>
      <c r="DX28" s="339"/>
      <c r="DY28" s="342" t="s">
        <v>925</v>
      </c>
      <c r="DZ28" s="340" t="s">
        <v>920</v>
      </c>
      <c r="EA28" s="340"/>
      <c r="EB28" s="340"/>
      <c r="EC28" s="340"/>
      <c r="ED28" s="341">
        <v>256</v>
      </c>
      <c r="EE28" s="340" t="s">
        <v>920</v>
      </c>
      <c r="EF28" s="344"/>
      <c r="EG28" s="5042" t="s">
        <v>185</v>
      </c>
      <c r="EH28" s="6175">
        <v>256</v>
      </c>
      <c r="EI28" s="5034">
        <v>0.755</v>
      </c>
      <c r="EJ28" s="5033">
        <v>124</v>
      </c>
      <c r="EK28" s="5033" t="s">
        <v>920</v>
      </c>
      <c r="EL28" s="5034">
        <v>0.81</v>
      </c>
      <c r="EM28" s="5034"/>
      <c r="EN28" s="5034"/>
      <c r="EO28" s="5034"/>
      <c r="EP28" s="5034"/>
      <c r="EQ28" s="5034">
        <v>0.28899999999999998</v>
      </c>
      <c r="ER28" s="5033">
        <v>75</v>
      </c>
      <c r="ES28" s="5033"/>
      <c r="ET28" s="6176">
        <v>0.15</v>
      </c>
      <c r="EU28" s="5033"/>
      <c r="EV28" s="345"/>
      <c r="EW28" s="5065"/>
      <c r="EX28" s="5033"/>
      <c r="EY28" s="5033"/>
      <c r="EZ28" s="5066">
        <v>40124</v>
      </c>
      <c r="FA28" s="5066">
        <v>41950</v>
      </c>
      <c r="FB28" s="5067">
        <f t="shared" si="24"/>
        <v>4.9993155373032172</v>
      </c>
      <c r="FC28" s="346"/>
      <c r="FD28" s="6177">
        <f>+IF(X28="","",IF(2010-VLOOKUP(MATCH(X28,eyr_id,0),eyr,'A1(epa)'!$U$17,FALSE)=0,IF(VLOOKUP(MATCH(X28,eyr_id,0),eyr,'A1(epa)'!$U$17,FALSE)=0,"",VLOOKUP(MATCH(X28,eyr_id,0),eyr,'A1(epa)'!$U$17,FALSE))))</f>
        <v>2010</v>
      </c>
      <c r="FE28" s="6178">
        <f>+IF(X28="","",IF(2010-VLOOKUP(MATCH(X28,eyr_id,0),eyr,'A1(epa)'!$U$17,FALSE)=0,IF(VLOOKUP(MATCH(X28,eyr_id,0),eyr,'A1(epa)'!$X$17,FALSE)=0,"",VLOOKUP(MATCH(X28,eyr_id,0),eyr,'A1(epa)'!$X$17,FALSE))))</f>
        <v>12</v>
      </c>
      <c r="FF28" s="6179">
        <f>+IF(X28="","",IF(2010-VLOOKUP(MATCH(X28,eyr_id,0),eyr,'A1(epa)'!$U$17,FALSE)=0,IF(VLOOKUP(MATCH(X28,eyr_id,0),eyr,'A1(epa)'!$W$17,FALSE)=0,"",VLOOKUP(MATCH(X28,eyr_id,0),eyr,'A1(epa)'!$W$17,FALSE))))</f>
        <v>24</v>
      </c>
      <c r="FG28" s="6180">
        <f>+IF(X28="","",IF(2010-VLOOKUP(MATCH(X28,eyr_id,0),eyr,'A1(epa)'!$U$17,FALSE)=0,IF(VLOOKUP(MATCH(X28,eyr_id,0),eyr,'A1(epa)'!$AC$17,FALSE)=0,"",VLOOKUP(MATCH(X28,eyr_id,0),eyr,'A1(epa)'!$AC$17,FALSE))))</f>
        <v>3909</v>
      </c>
      <c r="FH28" s="6180">
        <f>+IF(X28="","",IF(2010-VLOOKUP(MATCH(X28,eyr_id,0),eyr,'A1(epa)'!$U$17,FALSE)=0,IF(VLOOKUP(MATCH(X28,eyr_id,0),eyr,'A1(epa)'!$Y$17,FALSE)=0,"",VLOOKUP(MATCH(X28,eyr_id,0),eyr,'A1(epa)'!$Y$17,FALSE))))</f>
        <v>296</v>
      </c>
      <c r="FI28" s="6181">
        <f>+IF(X28="","",IF(2010-VLOOKUP(MATCH(X28,eyr_id,0),eyr,'A1(epa)'!$U$17,FALSE)=0,IF(VLOOKUP(MATCH(X28,eyr_id,0),eyr,'A1(epa)'!$AB$17,FALSE)=0,"",VLOOKUP(MATCH(X28,eyr_id,0),eyr,'A1(epa)'!$AB$17,FALSE))))</f>
        <v>1.6</v>
      </c>
      <c r="FJ28" s="6177">
        <f>+IF(X28="","",IF(2009-VLOOKUP(MATCH(X28,eyr_id,0)+1,eyr,'A1(epa)'!$U$17,FALSE)=0,IF(VLOOKUP(MATCH(X28,eyr_id,0)+1,eyr,'A1(epa)'!$U$17,FALSE)=0,"",VLOOKUP(MATCH(X28,eyr_id,0)+1,eyr,'A1(epa)'!$U$17,FALSE))))</f>
        <v>2009</v>
      </c>
      <c r="FK28" s="6178">
        <f>+IF(X28="","",IF(2009-VLOOKUP(MATCH(X28,eyr_id,0)+1,eyr,'A1(epa)'!$U$17,FALSE)=0,IF(VLOOKUP(MATCH(X28,eyr_id,0)+1,eyr,'A1(epa)'!$X$17,FALSE)=0,"",VLOOKUP(MATCH(X28,eyr_id,0)+1,eyr,'A1(epa)'!$X$17,FALSE))))</f>
        <v>12</v>
      </c>
      <c r="FL28" s="6179">
        <f>+IF(X28="","",IF(2009-VLOOKUP(MATCH(X28,eyr_id,0)+1,eyr,'A1(epa)'!$U$17,FALSE)=0,IF(VLOOKUP(MATCH(X28,eyr_id,0)+1,eyr,'A1(epa)'!$W$17,FALSE)=0,"",VLOOKUP(MATCH(X28,eyr_id,0)+1,eyr,'A1(epa)'!$W$17,FALSE))))</f>
        <v>19</v>
      </c>
      <c r="FM28" s="6180">
        <f>+IF(X28="","",IF(2009-VLOOKUP(MATCH(X28,eyr_id,0)+1,eyr,'A1(epa)'!$U$17,FALSE)=0,IF(VLOOKUP(MATCH(X28,eyr_id,0)+1,eyr,'A1(epa)'!$AC$17,FALSE)=0,"",VLOOKUP(MATCH(X28,eyr_id,0)+1,eyr,'A1(epa)'!$AC$17,FALSE))))</f>
        <v>3094</v>
      </c>
      <c r="FN28" s="6180">
        <f>+IF(X28="","",IF(2009-VLOOKUP(MATCH(X28,eyr_id,0)+1,eyr,'A1(epa)'!$U$17,FALSE)=0,IF(VLOOKUP(MATCH(X28,eyr_id,0)+1,eyr,'A1(epa)'!$Y$17,FALSE)=0,"",VLOOKUP(MATCH(X28,eyr_id,0)+1,eyr,'A1(epa)'!$Y$17,FALSE))))</f>
        <v>239</v>
      </c>
      <c r="FO28" s="6181">
        <f>+IF(X28="","",IF(2009-VLOOKUP(MATCH(X28,eyr_id,0)+1,eyr,'A1(epa)'!$U$17,FALSE)=0,IF(VLOOKUP(MATCH(X28,eyr_id,0)+1,eyr,'A1(epa)'!$AB$17,FALSE)=0,"",VLOOKUP(MATCH(X28,eyr_id,0)+1,eyr,'A1(epa)'!$AB$17,FALSE))))</f>
        <v>1.3</v>
      </c>
      <c r="FP28" s="5092" t="s">
        <v>978</v>
      </c>
      <c r="FQ28" s="5093" t="s">
        <v>976</v>
      </c>
      <c r="FR28" s="5094" t="s">
        <v>979</v>
      </c>
      <c r="FS28" s="5094"/>
      <c r="FT28" s="5094"/>
      <c r="FU28" s="5094"/>
      <c r="FV28" s="5095" t="s">
        <v>979</v>
      </c>
      <c r="FW28" s="5092"/>
      <c r="FX28" s="6251"/>
      <c r="FY28" s="6251"/>
      <c r="FZ28" s="6251"/>
      <c r="GA28" s="6251"/>
      <c r="GB28" s="6353" t="str">
        <f t="shared" si="7"/>
        <v/>
      </c>
      <c r="GC28" s="6251"/>
      <c r="GD28" s="8611"/>
      <c r="GE28" s="6312" t="str">
        <f t="shared" si="8"/>
        <v/>
      </c>
      <c r="GF28" s="8611"/>
      <c r="GG28" s="8611" t="str">
        <f t="shared" si="9"/>
        <v/>
      </c>
      <c r="GH28" s="8611"/>
      <c r="GI28" s="8611"/>
      <c r="GJ28" s="6313"/>
      <c r="GK28" s="5092"/>
      <c r="GL28" s="6311"/>
      <c r="GM28" s="6311"/>
      <c r="GN28" s="6311"/>
      <c r="GO28" s="6311"/>
      <c r="GP28" s="6311"/>
      <c r="GQ28" s="6311"/>
      <c r="GR28" s="8611"/>
      <c r="GS28" s="6312" t="str">
        <f t="shared" si="10"/>
        <v/>
      </c>
      <c r="GT28" s="8611"/>
      <c r="GU28" s="8611" t="str">
        <f t="shared" si="11"/>
        <v/>
      </c>
      <c r="GV28" s="8611"/>
      <c r="GW28" s="8611"/>
      <c r="GX28" s="6313"/>
      <c r="GY28" s="6250"/>
      <c r="GZ28" s="6251"/>
      <c r="HA28" s="6251"/>
      <c r="HB28" s="6251"/>
      <c r="HC28" s="6251"/>
      <c r="HD28" s="6251"/>
      <c r="HE28" s="6251"/>
      <c r="HF28" s="6252" t="str">
        <f t="shared" si="12"/>
        <v/>
      </c>
      <c r="HG28" s="6252"/>
      <c r="HH28" s="6253">
        <f t="shared" si="13"/>
        <v>0.755</v>
      </c>
      <c r="HI28" s="6254">
        <f t="shared" si="14"/>
        <v>0.81</v>
      </c>
      <c r="HJ28" s="6253">
        <f t="shared" si="28"/>
        <v>0.73049999999999993</v>
      </c>
      <c r="HK28" s="6253">
        <f t="shared" si="28"/>
        <v>129.36842099334265</v>
      </c>
      <c r="HL28" s="6255"/>
      <c r="HM28" s="6255"/>
      <c r="HN28" s="6256"/>
      <c r="HO28" s="6062"/>
    </row>
    <row r="29" spans="1:223" s="5349" customFormat="1" ht="25.5" customHeight="1" thickBot="1">
      <c r="A29" s="5366" t="str">
        <f t="shared" si="15"/>
        <v>8302-08</v>
      </c>
      <c r="B29" s="9572"/>
      <c r="C29" s="5367" t="str">
        <f t="shared" si="16"/>
        <v>14B</v>
      </c>
      <c r="D29" s="6110"/>
      <c r="E29" s="6114"/>
      <c r="F29" s="6110"/>
      <c r="G29" s="4636">
        <v>9</v>
      </c>
      <c r="H29" s="10173"/>
      <c r="I29" s="10172"/>
      <c r="J29" s="10184"/>
      <c r="K29" s="4739">
        <v>8302</v>
      </c>
      <c r="L29" s="8602" t="s">
        <v>325</v>
      </c>
      <c r="M29" s="10198"/>
      <c r="N29" s="4661" t="s">
        <v>506</v>
      </c>
      <c r="O29" s="4661" t="s">
        <v>818</v>
      </c>
      <c r="P29" s="355" t="s">
        <v>492</v>
      </c>
      <c r="Q29" s="284" t="s">
        <v>492</v>
      </c>
      <c r="R29" s="355" t="str">
        <f>+IF(ISERROR(MATCH(X29,epa_id,0)),"",IF(X29="","",IF(VLOOKUP(MATCH(X29,epa_id,0),epa,'A1(epa)'!$S$17,FALSE)="","",VLOOKUP(MATCH(X29,epa_id,0),epa,'A1(epa)'!$S$17,FALSE))))</f>
        <v>14B</v>
      </c>
      <c r="S29" s="306">
        <f>+IF(ISERROR(MATCH(X29,epa_id,0)),"",IF(X29="","",IF(VLOOKUP(MATCH(X29,epa_id,0),epa,'A1(epa)'!$R$17,FALSE)="","",VLOOKUP(MATCH(X29,epa_id,0),epa,'A1(epa)'!$R$17,FALSE))))</f>
        <v>563</v>
      </c>
      <c r="T29" s="6071" t="s">
        <v>794</v>
      </c>
      <c r="U29" s="350">
        <v>8</v>
      </c>
      <c r="V29" s="350">
        <v>2</v>
      </c>
      <c r="W29" s="350">
        <f t="shared" si="25"/>
        <v>8</v>
      </c>
      <c r="X29" s="4660" t="str">
        <f t="shared" si="5"/>
        <v>8302-08</v>
      </c>
      <c r="Y29" s="4662" t="s">
        <v>905</v>
      </c>
      <c r="Z29" s="8597" t="s">
        <v>811</v>
      </c>
      <c r="AA29" s="4663" t="s">
        <v>601</v>
      </c>
      <c r="AB29" s="4663"/>
      <c r="AC29" s="4664" t="s">
        <v>979</v>
      </c>
      <c r="AD29" s="4665"/>
      <c r="AE29" s="4666"/>
      <c r="AF29" s="351"/>
      <c r="AG29" s="5149"/>
      <c r="AH29" s="5151"/>
      <c r="AI29" s="4777" t="s">
        <v>810</v>
      </c>
      <c r="AJ29" s="4778"/>
      <c r="AK29" s="4779"/>
      <c r="AL29" s="4780" t="s">
        <v>806</v>
      </c>
      <c r="AM29" s="8604" t="s">
        <v>830</v>
      </c>
      <c r="AN29" s="4781">
        <v>40297</v>
      </c>
      <c r="AO29" s="4781">
        <v>41790</v>
      </c>
      <c r="AP29" s="4781">
        <f t="shared" si="19"/>
        <v>40569</v>
      </c>
      <c r="AQ29" s="4781" t="str">
        <f t="shared" si="20"/>
        <v/>
      </c>
      <c r="AR29" s="4781">
        <f t="shared" si="21"/>
        <v>40660</v>
      </c>
      <c r="AS29" s="4781">
        <f t="shared" si="22"/>
        <v>40662</v>
      </c>
      <c r="AT29" s="4782" t="s">
        <v>479</v>
      </c>
      <c r="AU29" s="4783"/>
      <c r="AV29" s="352"/>
      <c r="AW29" s="352"/>
      <c r="AX29" s="352"/>
      <c r="AY29" s="353"/>
      <c r="AZ29" s="354">
        <v>158</v>
      </c>
      <c r="BA29" s="4825" t="s">
        <v>438</v>
      </c>
      <c r="BB29" s="613">
        <f>+IF(AND(G29="",BA29=""),"",VLOOKUP(MATCH(BA29,tw,0),twn,'A4(twn)'!$D$12,FALSE))</f>
        <v>75</v>
      </c>
      <c r="BC29" s="613" t="str">
        <f t="shared" si="17"/>
        <v>5497 / 002 / 075 / 0158</v>
      </c>
      <c r="BD29" s="355" t="s">
        <v>816</v>
      </c>
      <c r="BE29" s="4662" t="s">
        <v>508</v>
      </c>
      <c r="BF29" s="4825" t="s">
        <v>507</v>
      </c>
      <c r="BG29" s="4661" t="str">
        <f>+IF(OR(X29="",ISERROR(MATCH(X29,epa_id,0))),"",VLOOKUP(MATCH(X29,epa_id,0),epa,'A1(epa)'!$AH$17,FALSE))</f>
        <v>Connecticut Resources Recovery Authority (Owner/Operator)</v>
      </c>
      <c r="BH29" s="4826">
        <v>5497</v>
      </c>
      <c r="BI29" s="4826">
        <v>2</v>
      </c>
      <c r="BJ29" s="6133"/>
      <c r="BK29" s="356"/>
      <c r="BL29" s="349" t="s">
        <v>507</v>
      </c>
      <c r="BM29" s="349" t="s">
        <v>820</v>
      </c>
      <c r="BN29" s="349" t="s">
        <v>819</v>
      </c>
      <c r="BO29" s="348" t="s">
        <v>511</v>
      </c>
      <c r="BP29" s="348" t="s">
        <v>512</v>
      </c>
      <c r="BQ29" s="348" t="s">
        <v>821</v>
      </c>
      <c r="BR29" s="348" t="s">
        <v>509</v>
      </c>
      <c r="BS29" s="302" t="str">
        <f t="shared" si="18"/>
        <v>100 Constitution Plaza, 6th Floor, Hartford, CT 06103</v>
      </c>
      <c r="BT29" s="356" t="s">
        <v>513</v>
      </c>
      <c r="BU29" s="356"/>
      <c r="BV29" s="357"/>
      <c r="BW29" s="4851" t="s">
        <v>790</v>
      </c>
      <c r="BX29" s="348" t="str">
        <f t="shared" si="26"/>
        <v>Combustion Components Associates, Inc. (CCA)</v>
      </c>
      <c r="BY29" s="348" t="s">
        <v>824</v>
      </c>
      <c r="BZ29" s="348" t="s">
        <v>825</v>
      </c>
      <c r="CA29" s="348" t="s">
        <v>517</v>
      </c>
      <c r="CB29" s="348" t="s">
        <v>826</v>
      </c>
      <c r="CC29" s="358">
        <v>40569</v>
      </c>
      <c r="CD29" s="6152" t="s">
        <v>938</v>
      </c>
      <c r="CE29" s="359">
        <v>40662</v>
      </c>
      <c r="CF29" s="4375" t="s">
        <v>974</v>
      </c>
      <c r="CG29" s="4375"/>
      <c r="CH29" s="4859" t="str">
        <f>+IF(ISERROR(MATCH(X29,epa_id,0)),"",IF(X29="","",IF(VLOOKUP(MATCH(X29,epa_id,0),epa,'A1(epa)'!$AE$17,FALSE)="","",VLOOKUP(MATCH(X29,epa_id,0),epa,'A1(epa)'!$AE$17,FALSE))))</f>
        <v>Electric Utility</v>
      </c>
      <c r="CI29" s="4663" t="s">
        <v>944</v>
      </c>
      <c r="CJ29" s="4663" t="str">
        <f>+IF(ISERROR(MATCH(X29,epa_id,0)),"",IF(X29="","",IF(VLOOKUP(MATCH(X29,epa_id,0),epa,'A1(epa)'!$AF$17,FALSE)="","",VLOOKUP(MATCH(X29,epa_id,0),epa,'A1(epa)'!$AF$17,FALSE))))</f>
        <v>4911</v>
      </c>
      <c r="CK29" s="4702" t="str">
        <f>+IF(ISERROR(MATCH(X29,epa_id,0)),"",IF(X29="","",IF(VLOOKUP(MATCH(X29,epa_id,0),epa,'A1(epa)'!$AG$17,FALSE)="","",VLOOKUP(MATCH(X29,epa_id,0),epa,'A1(epa)'!$AG$17,FALSE))))</f>
        <v>Electric Services</v>
      </c>
      <c r="CL29" s="340" t="str">
        <f t="shared" si="23"/>
        <v>Driven by turbines B and 0 operating simultaneously</v>
      </c>
      <c r="CM29" s="360"/>
      <c r="CN29" s="4892"/>
      <c r="CO29" s="4793" t="s">
        <v>385</v>
      </c>
      <c r="CP29" s="4793" t="s">
        <v>520</v>
      </c>
      <c r="CQ29" s="4893" t="s">
        <v>828</v>
      </c>
      <c r="CR29" s="4913" t="s">
        <v>907</v>
      </c>
      <c r="CS29" s="4913" t="s">
        <v>901</v>
      </c>
      <c r="CT29" s="10161"/>
      <c r="CU29" s="10161"/>
      <c r="CV29" s="4895"/>
      <c r="CW29" s="4896" t="s">
        <v>903</v>
      </c>
      <c r="CX29" s="4777"/>
      <c r="CY29" s="4941"/>
      <c r="CZ29" s="4942"/>
      <c r="DA29" s="4943"/>
      <c r="DB29" s="4777"/>
      <c r="DC29" s="4894">
        <v>1970</v>
      </c>
      <c r="DD29" s="4944">
        <v>25569</v>
      </c>
      <c r="DE29" s="4945">
        <f t="shared" ca="1" si="6"/>
        <v>44.521729402426047</v>
      </c>
      <c r="DF29" s="6156" t="s">
        <v>916</v>
      </c>
      <c r="DG29" s="6182"/>
      <c r="DH29" s="4913" t="s">
        <v>983</v>
      </c>
      <c r="DI29" s="4913" t="str">
        <f t="shared" si="27"/>
        <v>Jet Fuel A (Kerosene K1)</v>
      </c>
      <c r="DJ29" s="361" t="s">
        <v>911</v>
      </c>
      <c r="DK29" s="361">
        <v>1900</v>
      </c>
      <c r="DL29" s="361" t="s">
        <v>914</v>
      </c>
      <c r="DM29" s="361" t="s">
        <v>918</v>
      </c>
      <c r="DN29" s="362">
        <v>256</v>
      </c>
      <c r="DO29" s="361" t="s">
        <v>920</v>
      </c>
      <c r="DP29" s="360"/>
      <c r="DQ29" s="363" t="s">
        <v>1124</v>
      </c>
      <c r="DR29" s="361" t="s">
        <v>920</v>
      </c>
      <c r="DS29" s="361"/>
      <c r="DT29" s="361"/>
      <c r="DU29" s="361"/>
      <c r="DV29" s="362">
        <v>256</v>
      </c>
      <c r="DW29" s="361" t="s">
        <v>920</v>
      </c>
      <c r="DX29" s="360"/>
      <c r="DY29" s="363" t="s">
        <v>925</v>
      </c>
      <c r="DZ29" s="361" t="s">
        <v>920</v>
      </c>
      <c r="EA29" s="361"/>
      <c r="EB29" s="361"/>
      <c r="EC29" s="361"/>
      <c r="ED29" s="362">
        <v>256</v>
      </c>
      <c r="EE29" s="361" t="s">
        <v>920</v>
      </c>
      <c r="EF29" s="364"/>
      <c r="EG29" s="5044" t="s">
        <v>185</v>
      </c>
      <c r="EH29" s="6183">
        <v>256</v>
      </c>
      <c r="EI29" s="5036">
        <v>0.77100000000000002</v>
      </c>
      <c r="EJ29" s="5035">
        <v>136.1</v>
      </c>
      <c r="EK29" s="5035" t="s">
        <v>920</v>
      </c>
      <c r="EL29" s="5036">
        <v>0.81</v>
      </c>
      <c r="EM29" s="5036"/>
      <c r="EN29" s="5036"/>
      <c r="EO29" s="5036"/>
      <c r="EP29" s="5036"/>
      <c r="EQ29" s="5036">
        <v>0.28899999999999998</v>
      </c>
      <c r="ER29" s="5035">
        <v>75</v>
      </c>
      <c r="ES29" s="5035"/>
      <c r="ET29" s="6184">
        <v>0.15</v>
      </c>
      <c r="EU29" s="5035"/>
      <c r="EV29" s="365"/>
      <c r="EW29" s="5068"/>
      <c r="EX29" s="5035"/>
      <c r="EY29" s="5035"/>
      <c r="EZ29" s="5069">
        <v>40124</v>
      </c>
      <c r="FA29" s="5069">
        <v>41950</v>
      </c>
      <c r="FB29" s="5070">
        <f t="shared" si="24"/>
        <v>4.9993155373032172</v>
      </c>
      <c r="FC29" s="366"/>
      <c r="FD29" s="6185">
        <f>+IF(X29="","",IF(2010-VLOOKUP(MATCH(X29,eyr_id,0),eyr,'A1(epa)'!$U$17,FALSE)=0,IF(VLOOKUP(MATCH(X29,eyr_id,0),eyr,'A1(epa)'!$U$17,FALSE)=0,"",VLOOKUP(MATCH(X29,eyr_id,0),eyr,'A1(epa)'!$U$17,FALSE))))</f>
        <v>2010</v>
      </c>
      <c r="FE29" s="6186">
        <f>+IF(X29="","",IF(2010-VLOOKUP(MATCH(X29,eyr_id,0),eyr,'A1(epa)'!$U$17,FALSE)=0,IF(VLOOKUP(MATCH(X29,eyr_id,0),eyr,'A1(epa)'!$X$17,FALSE)=0,"",VLOOKUP(MATCH(X29,eyr_id,0),eyr,'A1(epa)'!$X$17,FALSE))))</f>
        <v>12</v>
      </c>
      <c r="FF29" s="6187">
        <f>+IF(X29="","",IF(2010-VLOOKUP(MATCH(X29,eyr_id,0),eyr,'A1(epa)'!$U$17,FALSE)=0,IF(VLOOKUP(MATCH(X29,eyr_id,0),eyr,'A1(epa)'!$W$17,FALSE)=0,"",VLOOKUP(MATCH(X29,eyr_id,0),eyr,'A1(epa)'!$W$17,FALSE))))</f>
        <v>24</v>
      </c>
      <c r="FG29" s="6188">
        <f>+IF(X29="","",IF(2010-VLOOKUP(MATCH(X29,eyr_id,0),eyr,'A1(epa)'!$U$17,FALSE)=0,IF(VLOOKUP(MATCH(X29,eyr_id,0),eyr,'A1(epa)'!$AC$17,FALSE)=0,"",VLOOKUP(MATCH(X29,eyr_id,0),eyr,'A1(epa)'!$AC$17,FALSE))))</f>
        <v>3909</v>
      </c>
      <c r="FH29" s="6188">
        <f>+IF(X29="","",IF(2010-VLOOKUP(MATCH(X29,eyr_id,0),eyr,'A1(epa)'!$U$17,FALSE)=0,IF(VLOOKUP(MATCH(X29,eyr_id,0),eyr,'A1(epa)'!$Y$17,FALSE)=0,"",VLOOKUP(MATCH(X29,eyr_id,0),eyr,'A1(epa)'!$Y$17,FALSE))))</f>
        <v>296</v>
      </c>
      <c r="FI29" s="6189">
        <f>+IF(X29="","",IF(2010-VLOOKUP(MATCH(X29,eyr_id,0),eyr,'A1(epa)'!$U$17,FALSE)=0,IF(VLOOKUP(MATCH(X29,eyr_id,0),eyr,'A1(epa)'!$AB$17,FALSE)=0,"",VLOOKUP(MATCH(X29,eyr_id,0),eyr,'A1(epa)'!$AB$17,FALSE))))</f>
        <v>1.7</v>
      </c>
      <c r="FJ29" s="6185">
        <f>+IF(X29="","",IF(2009-VLOOKUP(MATCH(X29,eyr_id,0)+1,eyr,'A1(epa)'!$U$17,FALSE)=0,IF(VLOOKUP(MATCH(X29,eyr_id,0)+1,eyr,'A1(epa)'!$U$17,FALSE)=0,"",VLOOKUP(MATCH(X29,eyr_id,0)+1,eyr,'A1(epa)'!$U$17,FALSE))))</f>
        <v>2009</v>
      </c>
      <c r="FK29" s="6186">
        <f>+IF(X29="","",IF(2009-VLOOKUP(MATCH(X29,eyr_id,0)+1,eyr,'A1(epa)'!$U$17,FALSE)=0,IF(VLOOKUP(MATCH(X29,eyr_id,0)+1,eyr,'A1(epa)'!$X$17,FALSE)=0,"",VLOOKUP(MATCH(X29,eyr_id,0)+1,eyr,'A1(epa)'!$X$17,FALSE))))</f>
        <v>12</v>
      </c>
      <c r="FL29" s="6187">
        <f>+IF(X29="","",IF(2009-VLOOKUP(MATCH(X29,eyr_id,0)+1,eyr,'A1(epa)'!$U$17,FALSE)=0,IF(VLOOKUP(MATCH(X29,eyr_id,0)+1,eyr,'A1(epa)'!$W$17,FALSE)=0,"",VLOOKUP(MATCH(X29,eyr_id,0)+1,eyr,'A1(epa)'!$W$17,FALSE))))</f>
        <v>19</v>
      </c>
      <c r="FM29" s="6188">
        <f>+IF(X29="","",IF(2009-VLOOKUP(MATCH(X29,eyr_id,0)+1,eyr,'A1(epa)'!$U$17,FALSE)=0,IF(VLOOKUP(MATCH(X29,eyr_id,0)+1,eyr,'A1(epa)'!$AC$17,FALSE)=0,"",VLOOKUP(MATCH(X29,eyr_id,0)+1,eyr,'A1(epa)'!$AC$17,FALSE))))</f>
        <v>3094</v>
      </c>
      <c r="FN29" s="6188">
        <f>+IF(X29="","",IF(2009-VLOOKUP(MATCH(X29,eyr_id,0)+1,eyr,'A1(epa)'!$U$17,FALSE)=0,IF(VLOOKUP(MATCH(X29,eyr_id,0)+1,eyr,'A1(epa)'!$Y$17,FALSE)=0,"",VLOOKUP(MATCH(X29,eyr_id,0)+1,eyr,'A1(epa)'!$Y$17,FALSE))))</f>
        <v>239</v>
      </c>
      <c r="FO29" s="6189">
        <f>+IF(X29="","",IF(2009-VLOOKUP(MATCH(X29,eyr_id,0)+1,eyr,'A1(epa)'!$U$17,FALSE)=0,IF(VLOOKUP(MATCH(X29,eyr_id,0)+1,eyr,'A1(epa)'!$AB$17,FALSE)=0,"",VLOOKUP(MATCH(X29,eyr_id,0)+1,eyr,'A1(epa)'!$AB$17,FALSE))))</f>
        <v>1.2</v>
      </c>
      <c r="FP29" s="4977" t="s">
        <v>978</v>
      </c>
      <c r="FQ29" s="5096" t="s">
        <v>976</v>
      </c>
      <c r="FR29" s="5097" t="s">
        <v>979</v>
      </c>
      <c r="FS29" s="5097"/>
      <c r="FT29" s="5097"/>
      <c r="FU29" s="5097"/>
      <c r="FV29" s="5098" t="s">
        <v>979</v>
      </c>
      <c r="FW29" s="6257"/>
      <c r="FX29" s="6258"/>
      <c r="FY29" s="6258"/>
      <c r="FZ29" s="6258"/>
      <c r="GA29" s="6258"/>
      <c r="GB29" s="6354" t="str">
        <f t="shared" si="7"/>
        <v/>
      </c>
      <c r="GC29" s="6258"/>
      <c r="GD29" s="6315"/>
      <c r="GE29" s="6316" t="str">
        <f t="shared" si="8"/>
        <v/>
      </c>
      <c r="GF29" s="6315"/>
      <c r="GG29" s="6315" t="str">
        <f t="shared" si="9"/>
        <v/>
      </c>
      <c r="GH29" s="6315"/>
      <c r="GI29" s="6315"/>
      <c r="GJ29" s="6317"/>
      <c r="GK29" s="4977"/>
      <c r="GL29" s="6314"/>
      <c r="GM29" s="6314"/>
      <c r="GN29" s="6314"/>
      <c r="GO29" s="6314"/>
      <c r="GP29" s="6314"/>
      <c r="GQ29" s="6314"/>
      <c r="GR29" s="6315"/>
      <c r="GS29" s="6316" t="str">
        <f t="shared" si="10"/>
        <v/>
      </c>
      <c r="GT29" s="6315"/>
      <c r="GU29" s="6315" t="str">
        <f t="shared" si="11"/>
        <v/>
      </c>
      <c r="GV29" s="6315"/>
      <c r="GW29" s="6315"/>
      <c r="GX29" s="6317"/>
      <c r="GY29" s="6257"/>
      <c r="GZ29" s="6258"/>
      <c r="HA29" s="6258"/>
      <c r="HB29" s="6258"/>
      <c r="HC29" s="6258"/>
      <c r="HD29" s="6258"/>
      <c r="HE29" s="6258"/>
      <c r="HF29" s="5208" t="str">
        <f t="shared" si="12"/>
        <v/>
      </c>
      <c r="HG29" s="5208"/>
      <c r="HH29" s="6259">
        <f t="shared" si="13"/>
        <v>0.77100000000000002</v>
      </c>
      <c r="HI29" s="6260">
        <f t="shared" si="14"/>
        <v>0.81</v>
      </c>
      <c r="HJ29" s="6259">
        <f t="shared" si="28"/>
        <v>0.73049999999999993</v>
      </c>
      <c r="HK29" s="6259">
        <f t="shared" si="28"/>
        <v>129.36842099334265</v>
      </c>
      <c r="HL29" s="6261"/>
      <c r="HM29" s="6261"/>
      <c r="HN29" s="6262"/>
      <c r="HO29" s="5357"/>
    </row>
    <row r="30" spans="1:223" s="5349" customFormat="1" ht="30" customHeight="1" thickBot="1">
      <c r="A30" s="5360" t="str">
        <f t="shared" si="15"/>
        <v>8303-01</v>
      </c>
      <c r="B30" s="5361" t="str">
        <f>+J30</f>
        <v>FirstLight</v>
      </c>
      <c r="C30" s="7890">
        <f>+Q30</f>
        <v>10</v>
      </c>
      <c r="D30" s="6109"/>
      <c r="E30" s="6113"/>
      <c r="F30" s="6109"/>
      <c r="G30" s="4636">
        <v>10</v>
      </c>
      <c r="H30" s="4559">
        <v>3</v>
      </c>
      <c r="I30" s="6129" t="s">
        <v>1489</v>
      </c>
      <c r="J30" s="4740" t="s">
        <v>331</v>
      </c>
      <c r="K30" s="4741">
        <v>8303</v>
      </c>
      <c r="L30" s="4742" t="s">
        <v>355</v>
      </c>
      <c r="M30" s="5109" t="s">
        <v>534</v>
      </c>
      <c r="N30" s="4572"/>
      <c r="O30" s="4572"/>
      <c r="P30" s="4572" t="s">
        <v>534</v>
      </c>
      <c r="Q30" s="4562">
        <v>10</v>
      </c>
      <c r="R30" s="4572" t="str">
        <f>+IF(ISERROR(MATCH(X30,epa_id,0)),"",IF(X30="","",IF(VLOOKUP(MATCH(X30,epa_id,0),epa,'A1(epa)'!$S$17,FALSE)="","",VLOOKUP(MATCH(X30,epa_id,0),epa,'A1(epa)'!$S$17,FALSE))))</f>
        <v>10</v>
      </c>
      <c r="S30" s="4561">
        <f>+IF(ISERROR(MATCH(X30,epa_id,0)),"",IF(X30="","",IF(VLOOKUP(MATCH(X30,epa_id,0),epa,'A1(epa)'!$R$17,FALSE)="","",VLOOKUP(MATCH(X30,epa_id,0),epa,'A1(epa)'!$R$17,FALSE))))</f>
        <v>557</v>
      </c>
      <c r="T30" s="4563" t="s">
        <v>794</v>
      </c>
      <c r="U30" s="4564">
        <v>1</v>
      </c>
      <c r="V30" s="4564">
        <v>1</v>
      </c>
      <c r="W30" s="4564">
        <v>1</v>
      </c>
      <c r="X30" s="4667" t="str">
        <f t="shared" si="5"/>
        <v>8303-01</v>
      </c>
      <c r="Y30" s="4596" t="s">
        <v>1510</v>
      </c>
      <c r="Z30" s="8595"/>
      <c r="AA30" s="4668"/>
      <c r="AB30" s="4668"/>
      <c r="AC30" s="4669"/>
      <c r="AD30" s="4670"/>
      <c r="AE30" s="4671"/>
      <c r="AF30" s="4567"/>
      <c r="AG30" s="4565"/>
      <c r="AH30" s="4568"/>
      <c r="AI30" s="4784"/>
      <c r="AJ30" s="4785"/>
      <c r="AK30" s="4786"/>
      <c r="AL30" s="4787" t="s">
        <v>806</v>
      </c>
      <c r="AM30" s="4788" t="s">
        <v>830</v>
      </c>
      <c r="AN30" s="4789">
        <v>40662</v>
      </c>
      <c r="AO30" s="4789">
        <v>41790</v>
      </c>
      <c r="AP30" s="4789">
        <v>40554</v>
      </c>
      <c r="AQ30" s="4789">
        <v>40557</v>
      </c>
      <c r="AR30" s="4789"/>
      <c r="AS30" s="4789"/>
      <c r="AT30" s="4785"/>
      <c r="AU30" s="4785"/>
      <c r="AV30" s="4569"/>
      <c r="AW30" s="4569"/>
      <c r="AX30" s="4569"/>
      <c r="AY30" s="4566"/>
      <c r="AZ30" s="4571"/>
      <c r="BA30" s="4597" t="s">
        <v>528</v>
      </c>
      <c r="BB30" s="4827">
        <f>+IF(AND(G30="",BA30=""),"",VLOOKUP(MATCH(BA30,tw,0),twn,'A4(twn)'!$D$12,FALSE))</f>
        <v>150</v>
      </c>
      <c r="BC30" s="4827" t="str">
        <f t="shared" si="17"/>
        <v xml:space="preserve"> -  / -  / 150 / - </v>
      </c>
      <c r="BD30" s="4572" t="s">
        <v>535</v>
      </c>
      <c r="BE30" s="4596" t="s">
        <v>529</v>
      </c>
      <c r="BF30" s="4597" t="s">
        <v>2139</v>
      </c>
      <c r="BG30" s="4828" t="str">
        <f>+IF(OR(X30="",ISERROR(MATCH(X30,epa_id,0))),"",VLOOKUP(MATCH(X30,epa_id,0),epa,'A1(epa)'!$AH$17,FALSE))</f>
        <v>FirstLight Hydro Generating Company (Owner) (Started Oct 19, 2010)</v>
      </c>
      <c r="BH30" s="4829"/>
      <c r="BI30" s="4829"/>
      <c r="BJ30" s="6134">
        <v>2010</v>
      </c>
      <c r="BK30" s="4573"/>
      <c r="BL30" s="4574" t="s">
        <v>407</v>
      </c>
      <c r="BM30" s="4574"/>
      <c r="BN30" s="4574"/>
      <c r="BO30" s="4573" t="s">
        <v>531</v>
      </c>
      <c r="BP30" s="4573" t="s">
        <v>532</v>
      </c>
      <c r="BQ30" s="4573" t="s">
        <v>531</v>
      </c>
      <c r="BR30" s="4573" t="s">
        <v>532</v>
      </c>
      <c r="BS30" s="4575" t="s">
        <v>493</v>
      </c>
      <c r="BT30" s="4573"/>
      <c r="BU30" s="4573"/>
      <c r="BV30" s="4576"/>
      <c r="BW30" s="4852" t="s">
        <v>790</v>
      </c>
      <c r="BX30" s="4574" t="s">
        <v>408</v>
      </c>
      <c r="BY30" s="4574"/>
      <c r="BZ30" s="4574"/>
      <c r="CA30" s="4573"/>
      <c r="CB30" s="4573" t="s">
        <v>533</v>
      </c>
      <c r="CC30" s="4577">
        <v>40483</v>
      </c>
      <c r="CD30" s="4574"/>
      <c r="CE30" s="4573"/>
      <c r="CF30" s="4578"/>
      <c r="CG30" s="4578"/>
      <c r="CH30" s="4860" t="str">
        <f>+IF(ISERROR(MATCH(X30,epa_id,0)),"",IF(X30="","",IF(VLOOKUP(MATCH(X30,epa_id,0),epa,'A1(epa)'!$AE$17,FALSE)="","",VLOOKUP(MATCH(X30,epa_id,0),epa,'A1(epa)'!$AE$17,FALSE))))</f>
        <v>Electric Utility</v>
      </c>
      <c r="CI30" s="4672" t="s">
        <v>944</v>
      </c>
      <c r="CJ30" s="4672" t="str">
        <f>+IF(ISERROR(MATCH(X30,epa_id,0)),"",IF(X30="","",IF(VLOOKUP(MATCH(X30,epa_id,0),epa,'A1(epa)'!$AF$17,FALSE)="","",VLOOKUP(MATCH(X30,epa_id,0),epa,'A1(epa)'!$AF$17,FALSE))))</f>
        <v>4911</v>
      </c>
      <c r="CK30" s="4706" t="str">
        <f>+IF(ISERROR(MATCH(X30,epa_id,0)),"",IF(X30="","",IF(VLOOKUP(MATCH(X30,epa_id,0),epa,'A1(epa)'!$AG$17,FALSE)="","",VLOOKUP(MATCH(X30,epa_id,0),epa,'A1(epa)'!$AG$17,FALSE))))</f>
        <v>Electric Services</v>
      </c>
      <c r="CL30" s="4579"/>
      <c r="CM30" s="4580"/>
      <c r="CN30" s="4897"/>
      <c r="CO30" s="4788" t="s">
        <v>385</v>
      </c>
      <c r="CP30" s="4788" t="s">
        <v>386</v>
      </c>
      <c r="CQ30" s="4898" t="s">
        <v>305</v>
      </c>
      <c r="CR30" s="4899" t="s">
        <v>435</v>
      </c>
      <c r="CS30" s="4899"/>
      <c r="CT30" s="4901">
        <v>20</v>
      </c>
      <c r="CU30" s="4901">
        <f>+CT30</f>
        <v>20</v>
      </c>
      <c r="CV30" s="4902"/>
      <c r="CW30" s="4903"/>
      <c r="CX30" s="4784">
        <v>19.3</v>
      </c>
      <c r="CY30" s="4946"/>
      <c r="CZ30" s="4947">
        <v>22.1</v>
      </c>
      <c r="DA30" s="4948"/>
      <c r="DB30" s="4784" t="s">
        <v>391</v>
      </c>
      <c r="DC30" s="4898">
        <v>1969</v>
      </c>
      <c r="DD30" s="4949">
        <v>25204</v>
      </c>
      <c r="DE30" s="4790">
        <f t="shared" ca="1" si="6"/>
        <v>45.521044939729265</v>
      </c>
      <c r="DF30" s="5099"/>
      <c r="DG30" s="5039"/>
      <c r="DH30" s="4899" t="s">
        <v>431</v>
      </c>
      <c r="DI30" s="4899" t="s">
        <v>1151</v>
      </c>
      <c r="DJ30" s="4579"/>
      <c r="DK30" s="4579"/>
      <c r="DL30" s="4579"/>
      <c r="DM30" s="4579"/>
      <c r="DN30" s="4585"/>
      <c r="DO30" s="4579"/>
      <c r="DP30" s="4580"/>
      <c r="DQ30" s="4586"/>
      <c r="DR30" s="4579"/>
      <c r="DS30" s="4579"/>
      <c r="DT30" s="4579"/>
      <c r="DU30" s="4579"/>
      <c r="DV30" s="4585"/>
      <c r="DW30" s="4579"/>
      <c r="DX30" s="4580"/>
      <c r="DY30" s="4586"/>
      <c r="DZ30" s="4579"/>
      <c r="EA30" s="4579"/>
      <c r="EB30" s="4579"/>
      <c r="EC30" s="4579"/>
      <c r="ED30" s="4585"/>
      <c r="EE30" s="4579"/>
      <c r="EF30" s="4587"/>
      <c r="EG30" s="4982" t="str">
        <f>+EG29</f>
        <v>Stack Test</v>
      </c>
      <c r="EH30" s="6190" t="s">
        <v>1193</v>
      </c>
      <c r="EI30" s="5037">
        <v>0.69799999999999995</v>
      </c>
      <c r="EJ30" s="5038">
        <v>119.6</v>
      </c>
      <c r="EK30" s="5038" t="s">
        <v>920</v>
      </c>
      <c r="EL30" s="5037">
        <v>0.72</v>
      </c>
      <c r="EM30" s="5037"/>
      <c r="EN30" s="5037"/>
      <c r="EO30" s="5037"/>
      <c r="EP30" s="5037"/>
      <c r="EQ30" s="5037">
        <v>0.28999999999999998</v>
      </c>
      <c r="ER30" s="5056">
        <v>75</v>
      </c>
      <c r="ES30" s="5056"/>
      <c r="ET30" s="6191">
        <v>0.15</v>
      </c>
      <c r="EU30" s="5056"/>
      <c r="EV30" s="4588"/>
      <c r="EW30" s="5071"/>
      <c r="EX30" s="5056"/>
      <c r="EY30" s="5056"/>
      <c r="EZ30" s="5072">
        <v>38805</v>
      </c>
      <c r="FA30" s="5072">
        <v>40631</v>
      </c>
      <c r="FB30" s="5073">
        <f t="shared" si="24"/>
        <v>4.9993155373032172</v>
      </c>
      <c r="FC30" s="4582"/>
      <c r="FD30" s="6192">
        <f>+IF(X30="","",IF(2010-VLOOKUP(MATCH(X30,eyr_id,0),eyr,'A1(epa)'!$U$17,FALSE)=0,IF(VLOOKUP(MATCH(X30,eyr_id,0),eyr,'A1(epa)'!$U$17,FALSE)=0,"",VLOOKUP(MATCH(X30,eyr_id,0),eyr,'A1(epa)'!$U$17,FALSE))))</f>
        <v>2010</v>
      </c>
      <c r="FE30" s="6193">
        <f>+IF(X30="","",IF(2010-VLOOKUP(MATCH(X30,eyr_id,0),eyr,'A1(epa)'!$U$17,FALSE)=0,IF(VLOOKUP(MATCH(X30,eyr_id,0),eyr,'A1(epa)'!$X$17,FALSE)=0,"",VLOOKUP(MATCH(X30,eyr_id,0),eyr,'A1(epa)'!$X$17,FALSE))))</f>
        <v>6</v>
      </c>
      <c r="FF30" s="6194">
        <f>+IF(X30="","",IF(2010-VLOOKUP(MATCH(X30,eyr_id,0),eyr,'A1(epa)'!$U$17,FALSE)=0,IF(VLOOKUP(MATCH(X30,eyr_id,0),eyr,'A1(epa)'!$W$17,FALSE)=0,"",VLOOKUP(MATCH(X30,eyr_id,0),eyr,'A1(epa)'!$W$17,FALSE))))</f>
        <v>20</v>
      </c>
      <c r="FG30" s="6195">
        <f>+IF(X30="","",IF(2010-VLOOKUP(MATCH(X30,eyr_id,0),eyr,'A1(epa)'!$U$17,FALSE)=0,IF(VLOOKUP(MATCH(X30,eyr_id,0),eyr,'A1(epa)'!$AC$17,FALSE)=0,"",VLOOKUP(MATCH(X30,eyr_id,0),eyr,'A1(epa)'!$AC$17,FALSE))))</f>
        <v>4575</v>
      </c>
      <c r="FH30" s="6196">
        <f>+IF(X30="","",IF(2010-VLOOKUP(MATCH(X30,eyr_id,0),eyr,'A1(epa)'!$U$17,FALSE)=0,IF(VLOOKUP(MATCH(X30,eyr_id,0),eyr,'A1(epa)'!$Y$17,FALSE)=0,"",VLOOKUP(MATCH(X30,eyr_id,0),eyr,'A1(epa)'!$Y$17,FALSE))))</f>
        <v>301</v>
      </c>
      <c r="FI30" s="6197">
        <f>+IF(X30="","",IF(2010-VLOOKUP(MATCH(X30,eyr_id,0),eyr,'A1(epa)'!$U$17,FALSE)=0,IF(VLOOKUP(MATCH(X30,eyr_id,0),eyr,'A1(epa)'!$AB$17,FALSE)=0,"",VLOOKUP(MATCH(X30,eyr_id,0),eyr,'A1(epa)'!$AB$17,FALSE))))</f>
        <v>1.7</v>
      </c>
      <c r="FJ30" s="6192">
        <f>+IF(X30="","",IF(2009-VLOOKUP(MATCH(X30,eyr_id,0)+1,eyr,'A1(epa)'!$U$17,FALSE)=0,IF(VLOOKUP(MATCH(X30,eyr_id,0)+1,eyr,'A1(epa)'!$U$17,FALSE)=0,"",VLOOKUP(MATCH(X30,eyr_id,0)+1,eyr,'A1(epa)'!$U$17,FALSE))))</f>
        <v>2009</v>
      </c>
      <c r="FK30" s="6193">
        <f>+IF(X30="","",IF(2009-VLOOKUP(MATCH(X30,eyr_id,0)+1,eyr,'A1(epa)'!$U$17,FALSE)=0,IF(VLOOKUP(MATCH(X30,eyr_id,0)+1,eyr,'A1(epa)'!$X$17,FALSE)=0,"",VLOOKUP(MATCH(X30,eyr_id,0)+1,eyr,'A1(epa)'!$X$17,FALSE))))</f>
        <v>6</v>
      </c>
      <c r="FL30" s="6194">
        <f>+IF(X30="","",IF(2009-VLOOKUP(MATCH(X30,eyr_id,0)+1,eyr,'A1(epa)'!$U$17,FALSE)=0,IF(VLOOKUP(MATCH(X30,eyr_id,0)+1,eyr,'A1(epa)'!$W$17,FALSE)=0,"",VLOOKUP(MATCH(X30,eyr_id,0)+1,eyr,'A1(epa)'!$W$17,FALSE))))</f>
        <v>3</v>
      </c>
      <c r="FM30" s="6195">
        <f>+IF(X30="","",IF(2009-VLOOKUP(MATCH(X30,eyr_id,0)+1,eyr,'A1(epa)'!$U$17,FALSE)=0,IF(VLOOKUP(MATCH(X30,eyr_id,0)+1,eyr,'A1(epa)'!$AC$17,FALSE)=0,"",VLOOKUP(MATCH(X30,eyr_id,0)+1,eyr,'A1(epa)'!$AC$17,FALSE))))</f>
        <v>808</v>
      </c>
      <c r="FN30" s="6196">
        <f>+IF(X30="","",IF(2009-VLOOKUP(MATCH(X30,eyr_id,0)+1,eyr,'A1(epa)'!$U$17,FALSE)=0,IF(VLOOKUP(MATCH(X30,eyr_id,0)+1,eyr,'A1(epa)'!$Y$17,FALSE)=0,"",VLOOKUP(MATCH(X30,eyr_id,0)+1,eyr,'A1(epa)'!$Y$17,FALSE))))</f>
        <v>46</v>
      </c>
      <c r="FO30" s="6197">
        <f>+IF(X30="","",IF(2009-VLOOKUP(MATCH(X30,eyr_id,0)+1,eyr,'A1(epa)'!$U$17,FALSE)=0,IF(VLOOKUP(MATCH(X30,eyr_id,0)+1,eyr,'A1(epa)'!$AB$17,FALSE)=0,"",VLOOKUP(MATCH(X30,eyr_id,0)+1,eyr,'A1(epa)'!$AB$17,FALSE))))</f>
        <v>0.3</v>
      </c>
      <c r="FP30" s="4806" t="s">
        <v>415</v>
      </c>
      <c r="FQ30" s="4992"/>
      <c r="FR30" s="5100" t="s">
        <v>979</v>
      </c>
      <c r="FS30" s="4992"/>
      <c r="FT30" s="4992"/>
      <c r="FU30" s="4992"/>
      <c r="FV30" s="5099"/>
      <c r="FW30" s="6287"/>
      <c r="FX30" s="6264"/>
      <c r="FY30" s="6264"/>
      <c r="FZ30" s="6264"/>
      <c r="GA30" s="6264"/>
      <c r="GB30" s="6355" t="str">
        <f t="shared" si="7"/>
        <v/>
      </c>
      <c r="GC30" s="6264"/>
      <c r="GD30" s="6265"/>
      <c r="GE30" s="6320" t="str">
        <f t="shared" si="8"/>
        <v/>
      </c>
      <c r="GF30" s="6265"/>
      <c r="GG30" s="6265" t="str">
        <f t="shared" si="9"/>
        <v/>
      </c>
      <c r="GH30" s="6265"/>
      <c r="GI30" s="6265"/>
      <c r="GJ30" s="6321"/>
      <c r="GK30" s="6318"/>
      <c r="GL30" s="6319"/>
      <c r="GM30" s="6319"/>
      <c r="GN30" s="6319"/>
      <c r="GO30" s="6319"/>
      <c r="GP30" s="6319"/>
      <c r="GQ30" s="6319"/>
      <c r="GR30" s="6265"/>
      <c r="GS30" s="6320" t="str">
        <f t="shared" si="10"/>
        <v/>
      </c>
      <c r="GT30" s="6265"/>
      <c r="GU30" s="6265" t="str">
        <f t="shared" si="11"/>
        <v/>
      </c>
      <c r="GV30" s="6265"/>
      <c r="GW30" s="6265"/>
      <c r="GX30" s="6321"/>
      <c r="GY30" s="6263">
        <v>50</v>
      </c>
      <c r="GZ30" s="6264">
        <v>45</v>
      </c>
      <c r="HA30" s="6264"/>
      <c r="HB30" s="6264"/>
      <c r="HC30" s="6265">
        <v>249</v>
      </c>
      <c r="HD30" s="6265">
        <f>+GY30*HC30</f>
        <v>12450</v>
      </c>
      <c r="HE30" s="6265">
        <f>+HD30*U30</f>
        <v>12450</v>
      </c>
      <c r="HF30" s="6265">
        <f>+HE30/U30</f>
        <v>12450</v>
      </c>
      <c r="HG30" s="6265"/>
      <c r="HH30" s="6266">
        <f t="shared" si="13"/>
        <v>0.69799999999999995</v>
      </c>
      <c r="HI30" s="6266">
        <f t="shared" si="14"/>
        <v>0.72</v>
      </c>
      <c r="HJ30" s="6267">
        <v>0.73599999999999999</v>
      </c>
      <c r="HK30" s="6267">
        <f>+HJ30*'A3(trc)'!$I$104</f>
        <v>186.70717329804756</v>
      </c>
      <c r="HL30" s="6268">
        <f>+HJ30*HF30/2000</f>
        <v>4.5816000000000008</v>
      </c>
      <c r="HM30" s="6268">
        <f>+HL30/U30</f>
        <v>4.5816000000000008</v>
      </c>
      <c r="HN30" s="6269">
        <f>+HJ30*HF30/2000</f>
        <v>4.5816000000000008</v>
      </c>
      <c r="HO30" s="5357"/>
    </row>
    <row r="31" spans="1:223" s="5349" customFormat="1" ht="25.5" customHeight="1" thickBot="1">
      <c r="A31" s="5360" t="str">
        <f t="shared" si="15"/>
        <v>8304-01</v>
      </c>
      <c r="B31" s="5361" t="str">
        <f>+J31</f>
        <v>NPU</v>
      </c>
      <c r="C31" s="7890" t="str">
        <f>+Q31</f>
        <v>TRBINE</v>
      </c>
      <c r="D31" s="6109"/>
      <c r="E31" s="6113"/>
      <c r="F31" s="6109"/>
      <c r="G31" s="4636">
        <v>11</v>
      </c>
      <c r="H31" s="4559">
        <v>4</v>
      </c>
      <c r="I31" s="6129" t="s">
        <v>2865</v>
      </c>
      <c r="J31" s="4740" t="s">
        <v>1444</v>
      </c>
      <c r="K31" s="4741">
        <v>8304</v>
      </c>
      <c r="L31" s="4742" t="s">
        <v>496</v>
      </c>
      <c r="M31" s="5109" t="s">
        <v>495</v>
      </c>
      <c r="N31" s="4572"/>
      <c r="O31" s="4572"/>
      <c r="P31" s="4572" t="s">
        <v>495</v>
      </c>
      <c r="Q31" s="4590" t="s">
        <v>1245</v>
      </c>
      <c r="R31" s="4572" t="str">
        <f>+IF(ISERROR(MATCH(X31,epa_id,0)),"",IF(X31="","",IF(VLOOKUP(MATCH(X31,epa_id,0),epa,'A1(epa)'!$S$17,FALSE)="","",VLOOKUP(MATCH(X31,epa_id,0),epa,'A1(epa)'!$S$17,FALSE))))</f>
        <v>TRBINE</v>
      </c>
      <c r="S31" s="4561">
        <f>+IF(ISERROR(MATCH(X31,epa_id,0)),"",IF(X31="","",IF(VLOOKUP(MATCH(X31,epa_id,0),epa,'A1(epa)'!$R$17,FALSE)="","",VLOOKUP(MATCH(X31,epa_id,0),epa,'A1(epa)'!$R$17,FALSE))))</f>
        <v>581</v>
      </c>
      <c r="T31" s="4563" t="s">
        <v>794</v>
      </c>
      <c r="U31" s="4564">
        <v>1</v>
      </c>
      <c r="V31" s="4564">
        <v>1</v>
      </c>
      <c r="W31" s="4564">
        <v>1</v>
      </c>
      <c r="X31" s="4667" t="str">
        <f t="shared" si="5"/>
        <v>8304-01</v>
      </c>
      <c r="Y31" s="4596" t="s">
        <v>1510</v>
      </c>
      <c r="Z31" s="8595"/>
      <c r="AA31" s="4668"/>
      <c r="AB31" s="4668"/>
      <c r="AC31" s="4669"/>
      <c r="AD31" s="4670"/>
      <c r="AE31" s="4671"/>
      <c r="AF31" s="4567"/>
      <c r="AG31" s="4565"/>
      <c r="AH31" s="4568"/>
      <c r="AI31" s="4784"/>
      <c r="AJ31" s="4785"/>
      <c r="AK31" s="4786"/>
      <c r="AL31" s="4787" t="s">
        <v>806</v>
      </c>
      <c r="AM31" s="4788" t="s">
        <v>830</v>
      </c>
      <c r="AN31" s="4789">
        <v>40296</v>
      </c>
      <c r="AO31" s="4789">
        <v>41790</v>
      </c>
      <c r="AP31" s="4789">
        <v>40652</v>
      </c>
      <c r="AQ31" s="4789">
        <v>40654</v>
      </c>
      <c r="AR31" s="4789"/>
      <c r="AS31" s="4789"/>
      <c r="AT31" s="4789" t="s">
        <v>537</v>
      </c>
      <c r="AU31" s="4785"/>
      <c r="AV31" s="4569"/>
      <c r="AW31" s="4569"/>
      <c r="AX31" s="4569"/>
      <c r="AY31" s="4591" t="s">
        <v>537</v>
      </c>
      <c r="AZ31" s="4571"/>
      <c r="BA31" s="4597" t="s">
        <v>496</v>
      </c>
      <c r="BB31" s="4827">
        <f>+IF(AND(G31="",BA31=""),"",VLOOKUP(MATCH(BA31,tw,0),twn,'A4(twn)'!$D$12,FALSE))</f>
        <v>139</v>
      </c>
      <c r="BC31" s="4827" t="str">
        <f t="shared" si="17"/>
        <v xml:space="preserve"> -  / -  / 139 / - </v>
      </c>
      <c r="BD31" s="4572" t="s">
        <v>539</v>
      </c>
      <c r="BE31" s="4596" t="s">
        <v>497</v>
      </c>
      <c r="BF31" s="4597" t="s">
        <v>538</v>
      </c>
      <c r="BG31" s="4828" t="str">
        <f>+IF(OR(X31="",ISERROR(MATCH(X31,epa_id,0))),"",VLOOKUP(MATCH(X31,epa_id,0),epa,'A1(epa)'!$AH$17,FALSE))</f>
        <v>Norwich Public Utilities (Owner/Operator)</v>
      </c>
      <c r="BH31" s="4829"/>
      <c r="BI31" s="4829"/>
      <c r="BJ31" s="6134"/>
      <c r="BK31" s="4573"/>
      <c r="BL31" s="5140" t="s">
        <v>2078</v>
      </c>
      <c r="BM31" s="4560" t="s">
        <v>1442</v>
      </c>
      <c r="BN31" s="4560" t="s">
        <v>1444</v>
      </c>
      <c r="BO31" s="4573" t="s">
        <v>1443</v>
      </c>
      <c r="BP31" s="4573" t="s">
        <v>498</v>
      </c>
      <c r="BQ31" s="4573" t="s">
        <v>1445</v>
      </c>
      <c r="BR31" s="4573"/>
      <c r="BS31" s="4575" t="s">
        <v>1442</v>
      </c>
      <c r="BT31" s="4573" t="s">
        <v>1446</v>
      </c>
      <c r="BU31" s="4573" t="s">
        <v>1447</v>
      </c>
      <c r="BV31" s="4576"/>
      <c r="BW31" s="4852" t="s">
        <v>790</v>
      </c>
      <c r="BX31" s="4574" t="s">
        <v>408</v>
      </c>
      <c r="BY31" s="4574"/>
      <c r="BZ31" s="4574"/>
      <c r="CA31" s="4573"/>
      <c r="CB31" s="4573" t="str">
        <f>+CB30</f>
        <v>TRC staff</v>
      </c>
      <c r="CC31" s="4577">
        <v>40575</v>
      </c>
      <c r="CD31" s="4574"/>
      <c r="CE31" s="4573"/>
      <c r="CF31" s="4578"/>
      <c r="CG31" s="4578"/>
      <c r="CH31" s="4860" t="str">
        <f>+IF(ISERROR(MATCH(X31,epa_id,0)),"",IF(X31="","",IF(VLOOKUP(MATCH(X31,epa_id,0),epa,'A1(epa)'!$AE$17,FALSE)="","",VLOOKUP(MATCH(X31,epa_id,0),epa,'A1(epa)'!$AE$17,FALSE))))</f>
        <v>Electric Utility</v>
      </c>
      <c r="CI31" s="4672" t="s">
        <v>944</v>
      </c>
      <c r="CJ31" s="4672" t="str">
        <f>+IF(ISERROR(MATCH(X31,epa_id,0)),"",IF(X31="","",IF(VLOOKUP(MATCH(X31,epa_id,0),epa,'A1(epa)'!$AF$17,FALSE)="","",VLOOKUP(MATCH(X31,epa_id,0),epa,'A1(epa)'!$AF$17,FALSE))))</f>
        <v>4911</v>
      </c>
      <c r="CK31" s="4706" t="str">
        <f>+IF(ISERROR(MATCH(X31,epa_id,0)),"",IF(X31="","",IF(VLOOKUP(MATCH(X31,epa_id,0),epa,'A1(epa)'!$AG$17,FALSE)="","",VLOOKUP(MATCH(X31,epa_id,0),epa,'A1(epa)'!$AG$17,FALSE))))</f>
        <v>Electric Services</v>
      </c>
      <c r="CL31" s="4579"/>
      <c r="CM31" s="4580"/>
      <c r="CN31" s="4897"/>
      <c r="CO31" s="4788" t="s">
        <v>1391</v>
      </c>
      <c r="CP31" s="4788" t="s">
        <v>1392</v>
      </c>
      <c r="CQ31" s="4898"/>
      <c r="CR31" s="4899"/>
      <c r="CS31" s="4899"/>
      <c r="CT31" s="4904">
        <v>18.8</v>
      </c>
      <c r="CU31" s="4901">
        <f>+CT31</f>
        <v>18.8</v>
      </c>
      <c r="CV31" s="4902"/>
      <c r="CW31" s="4903"/>
      <c r="CX31" s="4784">
        <v>15.5</v>
      </c>
      <c r="CY31" s="4946"/>
      <c r="CZ31" s="4947">
        <v>18.8</v>
      </c>
      <c r="DA31" s="4948"/>
      <c r="DB31" s="4784"/>
      <c r="DC31" s="4898">
        <v>1972</v>
      </c>
      <c r="DD31" s="4949">
        <v>26299</v>
      </c>
      <c r="DE31" s="4790">
        <f t="shared" ca="1" si="6"/>
        <v>42.523098327819611</v>
      </c>
      <c r="DF31" s="5099"/>
      <c r="DG31" s="5039"/>
      <c r="DH31" s="4899" t="s">
        <v>1124</v>
      </c>
      <c r="DI31" s="4899" t="str">
        <f>+DH31</f>
        <v>No. 2 oil</v>
      </c>
      <c r="DJ31" s="4563"/>
      <c r="DK31" s="4563">
        <v>1426</v>
      </c>
      <c r="DL31" s="4563" t="s">
        <v>914</v>
      </c>
      <c r="DM31" s="4563"/>
      <c r="DN31" s="4998">
        <v>198</v>
      </c>
      <c r="DO31" s="4563" t="s">
        <v>1448</v>
      </c>
      <c r="DP31" s="4999"/>
      <c r="DQ31" s="4843"/>
      <c r="DR31" s="4563"/>
      <c r="DS31" s="4563"/>
      <c r="DT31" s="4563"/>
      <c r="DU31" s="4563"/>
      <c r="DV31" s="4998"/>
      <c r="DW31" s="4563"/>
      <c r="DX31" s="4999"/>
      <c r="DY31" s="4843"/>
      <c r="DZ31" s="4563"/>
      <c r="EA31" s="4563"/>
      <c r="EB31" s="4563"/>
      <c r="EC31" s="4563"/>
      <c r="ED31" s="4998"/>
      <c r="EE31" s="4563"/>
      <c r="EF31" s="5000"/>
      <c r="EG31" s="4982" t="str">
        <f>+EG30</f>
        <v>Stack Test</v>
      </c>
      <c r="EH31" s="6190">
        <v>249</v>
      </c>
      <c r="EI31" s="5037">
        <v>0.55300000000000005</v>
      </c>
      <c r="EJ31" s="5038">
        <v>141.31</v>
      </c>
      <c r="EK31" s="5038" t="s">
        <v>920</v>
      </c>
      <c r="EL31" s="5037">
        <v>0.62</v>
      </c>
      <c r="EM31" s="5037"/>
      <c r="EN31" s="5037"/>
      <c r="EO31" s="5037"/>
      <c r="EP31" s="5037"/>
      <c r="EQ31" s="5037"/>
      <c r="ER31" s="5056">
        <v>75</v>
      </c>
      <c r="ES31" s="5056"/>
      <c r="ET31" s="6191">
        <v>0.15</v>
      </c>
      <c r="EU31" s="5056"/>
      <c r="EV31" s="5001"/>
      <c r="EW31" s="5071"/>
      <c r="EX31" s="5056"/>
      <c r="EY31" s="5056"/>
      <c r="EZ31" s="5072">
        <v>40082</v>
      </c>
      <c r="FA31" s="5072">
        <v>41816</v>
      </c>
      <c r="FB31" s="5073">
        <f t="shared" si="24"/>
        <v>4.7474332648870634</v>
      </c>
      <c r="FC31" s="4875"/>
      <c r="FD31" s="6198">
        <f>+IF(X31="","",IF(2010-VLOOKUP(MATCH(X31,eyr_id,0),eyr,'A1(epa)'!$U$17,FALSE)=0,IF(VLOOKUP(MATCH(X31,eyr_id,0),eyr,'A1(epa)'!$U$17,FALSE)=0,"",VLOOKUP(MATCH(X31,eyr_id,0),eyr,'A1(epa)'!$U$17,FALSE))))</f>
        <v>2010</v>
      </c>
      <c r="FE31" s="6199">
        <f>+IF(X31="","",IF(2010-VLOOKUP(MATCH(X31,eyr_id,0),eyr,'A1(epa)'!$U$17,FALSE)=0,IF(VLOOKUP(MATCH(X31,eyr_id,0),eyr,'A1(epa)'!$X$17,FALSE)=0,"",VLOOKUP(MATCH(X31,eyr_id,0),eyr,'A1(epa)'!$X$17,FALSE))))</f>
        <v>6</v>
      </c>
      <c r="FF31" s="6200">
        <f>+IF(X31="","",IF(2010-VLOOKUP(MATCH(X31,eyr_id,0),eyr,'A1(epa)'!$U$17,FALSE)=0,IF(VLOOKUP(MATCH(X31,eyr_id,0),eyr,'A1(epa)'!$W$17,FALSE)=0,"",VLOOKUP(MATCH(X31,eyr_id,0),eyr,'A1(epa)'!$W$17,FALSE))))</f>
        <v>19</v>
      </c>
      <c r="FG31" s="6201">
        <f>+IF(X31="","",IF(2010-VLOOKUP(MATCH(X31,eyr_id,0),eyr,'A1(epa)'!$U$17,FALSE)=0,IF(VLOOKUP(MATCH(X31,eyr_id,0),eyr,'A1(epa)'!$AC$17,FALSE)=0,"",VLOOKUP(MATCH(X31,eyr_id,0),eyr,'A1(epa)'!$AC$17,FALSE))))</f>
        <v>4811</v>
      </c>
      <c r="FH31" s="6202">
        <f>+IF(X31="","",IF(2010-VLOOKUP(MATCH(X31,eyr_id,0),eyr,'A1(epa)'!$U$17,FALSE)=0,IF(VLOOKUP(MATCH(X31,eyr_id,0),eyr,'A1(epa)'!$Y$17,FALSE)=0,"",VLOOKUP(MATCH(X31,eyr_id,0),eyr,'A1(epa)'!$Y$17,FALSE))))</f>
        <v>327</v>
      </c>
      <c r="FI31" s="6203">
        <f>+IF(X31="","",IF(2010-VLOOKUP(MATCH(X31,eyr_id,0),eyr,'A1(epa)'!$U$17,FALSE)=0,IF(VLOOKUP(MATCH(X31,eyr_id,0),eyr,'A1(epa)'!$AB$17,FALSE)=0,"",VLOOKUP(MATCH(X31,eyr_id,0),eyr,'A1(epa)'!$AB$17,FALSE))))</f>
        <v>1.5</v>
      </c>
      <c r="FJ31" s="6198">
        <f>+IF(X31="","",IF(2009-VLOOKUP(MATCH(X31,eyr_id,0)+1,eyr,'A1(epa)'!$U$17,FALSE)=0,IF(VLOOKUP(MATCH(X31,eyr_id,0)+1,eyr,'A1(epa)'!$U$17,FALSE)=0,"",VLOOKUP(MATCH(X31,eyr_id,0)+1,eyr,'A1(epa)'!$U$17,FALSE))))</f>
        <v>2009</v>
      </c>
      <c r="FK31" s="6199">
        <f>+IF(X31="","",IF(2009-VLOOKUP(MATCH(X31,eyr_id,0)+1,eyr,'A1(epa)'!$U$17,FALSE)=0,IF(VLOOKUP(MATCH(X31,eyr_id,0)+1,eyr,'A1(epa)'!$X$17,FALSE)=0,"",VLOOKUP(MATCH(X31,eyr_id,0)+1,eyr,'A1(epa)'!$X$17,FALSE))))</f>
        <v>6</v>
      </c>
      <c r="FL31" s="6200">
        <f>+IF(X31="","",IF(2009-VLOOKUP(MATCH(X31,eyr_id,0)+1,eyr,'A1(epa)'!$U$17,FALSE)=0,IF(VLOOKUP(MATCH(X31,eyr_id,0)+1,eyr,'A1(epa)'!$W$17,FALSE)=0,"",VLOOKUP(MATCH(X31,eyr_id,0)+1,eyr,'A1(epa)'!$W$17,FALSE))))</f>
        <v>15</v>
      </c>
      <c r="FM31" s="6201">
        <f>+IF(X31="","",IF(2009-VLOOKUP(MATCH(X31,eyr_id,0)+1,eyr,'A1(epa)'!$U$17,FALSE)=0,IF(VLOOKUP(MATCH(X31,eyr_id,0)+1,eyr,'A1(epa)'!$AC$17,FALSE)=0,"",VLOOKUP(MATCH(X31,eyr_id,0)+1,eyr,'A1(epa)'!$AC$17,FALSE))))</f>
        <v>3782</v>
      </c>
      <c r="FN31" s="6202">
        <f>+IF(X31="","",IF(2009-VLOOKUP(MATCH(X31,eyr_id,0)+1,eyr,'A1(epa)'!$U$17,FALSE)=0,IF(VLOOKUP(MATCH(X31,eyr_id,0)+1,eyr,'A1(epa)'!$Y$17,FALSE)=0,"",VLOOKUP(MATCH(X31,eyr_id,0)+1,eyr,'A1(epa)'!$Y$17,FALSE))))</f>
        <v>225</v>
      </c>
      <c r="FO31" s="6203">
        <f>+IF(X31="","",IF(2009-VLOOKUP(MATCH(X31,eyr_id,0)+1,eyr,'A1(epa)'!$U$17,FALSE)=0,IF(VLOOKUP(MATCH(X31,eyr_id,0)+1,eyr,'A1(epa)'!$AB$17,FALSE)=0,"",VLOOKUP(MATCH(X31,eyr_id,0)+1,eyr,'A1(epa)'!$AB$17,FALSE))))</f>
        <v>1.2</v>
      </c>
      <c r="FP31" s="4806" t="s">
        <v>415</v>
      </c>
      <c r="FQ31" s="4992"/>
      <c r="FR31" s="5100" t="s">
        <v>979</v>
      </c>
      <c r="FS31" s="4992"/>
      <c r="FT31" s="4992"/>
      <c r="FU31" s="4992"/>
      <c r="FV31" s="5099"/>
      <c r="FW31" s="6287"/>
      <c r="FX31" s="6264">
        <v>38</v>
      </c>
      <c r="FY31" s="6264"/>
      <c r="FZ31" s="6264"/>
      <c r="GA31" s="6264"/>
      <c r="GB31" s="6355" t="str">
        <f>+IF(OR(FX31="",FF31=""),"",IF(AND(ROUND(FX31/FF31,2)&lt;(FF31+1)/FF31,ROUND(FX31/FF31,2)&gt;(FF31-1)/FF31),"same as EPA-CAIROS report",IF(FX31/FF31&lt;1,"less "&amp;ROUND(FX31-FF31,0)&amp;" hrs than EPA-CAIROS report","more "&amp;ROUND(FX31-FF31,0)&amp;" hrs than EPA-CAIROS report")))</f>
        <v>more 19 hrs than EPA-CAIROS report</v>
      </c>
      <c r="GC31" s="6264">
        <v>198</v>
      </c>
      <c r="GD31" s="6265"/>
      <c r="GE31" s="6320" t="str">
        <f t="shared" si="8"/>
        <v/>
      </c>
      <c r="GF31" s="6265"/>
      <c r="GG31" s="6265" t="str">
        <f t="shared" si="9"/>
        <v/>
      </c>
      <c r="GH31" s="6265"/>
      <c r="GI31" s="6265"/>
      <c r="GJ31" s="6321"/>
      <c r="GK31" s="6318"/>
      <c r="GL31" s="6319">
        <v>38</v>
      </c>
      <c r="GM31" s="6319"/>
      <c r="GN31" s="6319"/>
      <c r="GO31" s="6319"/>
      <c r="GP31" s="6319"/>
      <c r="GQ31" s="6319">
        <v>198</v>
      </c>
      <c r="GR31" s="6265"/>
      <c r="GS31" s="6320" t="str">
        <f t="shared" si="10"/>
        <v/>
      </c>
      <c r="GT31" s="6265"/>
      <c r="GU31" s="6265" t="str">
        <f t="shared" si="11"/>
        <v/>
      </c>
      <c r="GV31" s="6265"/>
      <c r="GW31" s="6265"/>
      <c r="GX31" s="6321"/>
      <c r="GY31" s="6263">
        <v>50</v>
      </c>
      <c r="GZ31" s="6264">
        <f>+(FX31+GL31)/2</f>
        <v>38</v>
      </c>
      <c r="HA31" s="6264"/>
      <c r="HB31" s="6264"/>
      <c r="HC31" s="6264">
        <f>+IF((GC31+GQ31)/2=0,"",(GC31+GQ31)/2)</f>
        <v>198</v>
      </c>
      <c r="HD31" s="6265">
        <f>+GY31*HC31</f>
        <v>9900</v>
      </c>
      <c r="HE31" s="6265">
        <f>+HD31*U31</f>
        <v>9900</v>
      </c>
      <c r="HF31" s="6265">
        <f>+HE31/U31</f>
        <v>9900</v>
      </c>
      <c r="HG31" s="6265"/>
      <c r="HH31" s="6266">
        <f t="shared" si="13"/>
        <v>0.55300000000000005</v>
      </c>
      <c r="HI31" s="6266">
        <f t="shared" si="14"/>
        <v>0.62</v>
      </c>
      <c r="HJ31" s="6267">
        <f>+HH31</f>
        <v>0.55300000000000005</v>
      </c>
      <c r="HK31" s="6267">
        <f>+EJ31</f>
        <v>141.31</v>
      </c>
      <c r="HL31" s="6270">
        <f>+HJ31*HF31/2000</f>
        <v>2.7373500000000002</v>
      </c>
      <c r="HM31" s="6268">
        <f>+HL31/U31</f>
        <v>2.7373500000000002</v>
      </c>
      <c r="HN31" s="6269">
        <f>+HI31*HF31/2000</f>
        <v>3.069</v>
      </c>
      <c r="HO31" s="5357"/>
    </row>
    <row r="32" spans="1:223" s="5349" customFormat="1" ht="25.5" customHeight="1" thickBot="1">
      <c r="A32" s="5360" t="str">
        <f t="shared" si="15"/>
        <v>8301-01</v>
      </c>
      <c r="B32" s="5361" t="str">
        <f>+J32</f>
        <v>PSEG</v>
      </c>
      <c r="C32" s="7890" t="str">
        <f>+Q32</f>
        <v>BHB4 </v>
      </c>
      <c r="D32" s="6109"/>
      <c r="E32" s="6113"/>
      <c r="F32" s="6109"/>
      <c r="G32" s="4636">
        <v>12</v>
      </c>
      <c r="H32" s="4559">
        <v>5</v>
      </c>
      <c r="I32" s="6130" t="s">
        <v>1486</v>
      </c>
      <c r="J32" s="4743" t="s">
        <v>610</v>
      </c>
      <c r="K32" s="4741">
        <v>8301</v>
      </c>
      <c r="L32" s="4742" t="s">
        <v>330</v>
      </c>
      <c r="M32" s="5109" t="s">
        <v>2079</v>
      </c>
      <c r="N32" s="4572"/>
      <c r="O32" s="4572"/>
      <c r="P32" s="4572" t="s">
        <v>422</v>
      </c>
      <c r="Q32" s="4590" t="s">
        <v>154</v>
      </c>
      <c r="R32" s="4572" t="str">
        <f>+IF(ISERROR(MATCH(X32,epa_id,0)),"",IF(X32="","",IF(VLOOKUP(MATCH(X32,epa_id,0),epa,'A1(epa)'!$S$17,FALSE)="","",VLOOKUP(MATCH(X32,epa_id,0),epa,'A1(epa)'!$S$17,FALSE))))</f>
        <v>BHB4</v>
      </c>
      <c r="S32" s="4561">
        <f>+IF(ISERROR(MATCH(X32,epa_id,0)),"",IF(X32="","",IF(VLOOKUP(MATCH(X32,epa_id,0),epa,'A1(epa)'!$R$17,FALSE)="","",VLOOKUP(MATCH(X32,epa_id,0),epa,'A1(epa)'!$R$17,FALSE))))</f>
        <v>568</v>
      </c>
      <c r="T32" s="4563" t="s">
        <v>794</v>
      </c>
      <c r="U32" s="4564">
        <v>1</v>
      </c>
      <c r="V32" s="4564">
        <v>1</v>
      </c>
      <c r="W32" s="4564">
        <v>1</v>
      </c>
      <c r="X32" s="4667" t="str">
        <f t="shared" si="5"/>
        <v>8301-01</v>
      </c>
      <c r="Y32" s="4596" t="s">
        <v>1510</v>
      </c>
      <c r="Z32" s="8595" t="s">
        <v>811</v>
      </c>
      <c r="AA32" s="4672" t="s">
        <v>606</v>
      </c>
      <c r="AB32" s="4672"/>
      <c r="AC32" s="4673" t="s">
        <v>979</v>
      </c>
      <c r="AD32" s="4670"/>
      <c r="AE32" s="4674"/>
      <c r="AF32" s="4567"/>
      <c r="AG32" s="4565"/>
      <c r="AH32" s="4568"/>
      <c r="AI32" s="4784" t="s">
        <v>421</v>
      </c>
      <c r="AJ32" s="4785">
        <v>40072</v>
      </c>
      <c r="AK32" s="4786">
        <v>40941</v>
      </c>
      <c r="AL32" s="4787" t="s">
        <v>806</v>
      </c>
      <c r="AM32" s="4788" t="s">
        <v>830</v>
      </c>
      <c r="AN32" s="4789">
        <v>40298</v>
      </c>
      <c r="AO32" s="4789">
        <v>41790</v>
      </c>
      <c r="AP32" s="4789">
        <v>40568</v>
      </c>
      <c r="AQ32" s="4789">
        <v>40570</v>
      </c>
      <c r="AR32" s="4789"/>
      <c r="AS32" s="4789"/>
      <c r="AT32" s="4790">
        <v>8244</v>
      </c>
      <c r="AU32" s="4785"/>
      <c r="AV32" s="4569"/>
      <c r="AW32" s="4569"/>
      <c r="AX32" s="4569"/>
      <c r="AY32" s="4593"/>
      <c r="AZ32" s="4571"/>
      <c r="BA32" s="4597" t="s">
        <v>424</v>
      </c>
      <c r="BB32" s="4827">
        <f>+IF(AND(G32="",BA32=""),"",VLOOKUP(MATCH(BA32,tw,0),twn,'A4(twn)'!$D$12,FALSE))</f>
        <v>15</v>
      </c>
      <c r="BC32" s="4827" t="str">
        <f t="shared" si="17"/>
        <v xml:space="preserve"> -  / -  / 015 / - </v>
      </c>
      <c r="BD32" s="4572" t="s">
        <v>425</v>
      </c>
      <c r="BE32" s="4596" t="s">
        <v>801</v>
      </c>
      <c r="BF32" s="4830" t="s">
        <v>428</v>
      </c>
      <c r="BG32" s="4828" t="str">
        <f>+IF(OR(X32="",ISERROR(MATCH(X32,epa_id,0))),"",VLOOKUP(MATCH(X32,epa_id,0),epa,'A1(epa)'!$AH$17,FALSE))</f>
        <v>PSEG Power Connecticut, LLC (Owner/Operator)</v>
      </c>
      <c r="BH32" s="4829"/>
      <c r="BI32" s="4829"/>
      <c r="BJ32" s="6134"/>
      <c r="BK32" s="4573"/>
      <c r="BL32" s="4574" t="s">
        <v>427</v>
      </c>
      <c r="BM32" s="4574"/>
      <c r="BN32" s="4574" t="s">
        <v>610</v>
      </c>
      <c r="BO32" s="4573" t="s">
        <v>526</v>
      </c>
      <c r="BP32" s="4592" t="s">
        <v>527</v>
      </c>
      <c r="BQ32" s="4573" t="s">
        <v>429</v>
      </c>
      <c r="BR32" s="4573"/>
      <c r="BS32" s="4575"/>
      <c r="BT32" s="4573" t="s">
        <v>430</v>
      </c>
      <c r="BU32" s="4573"/>
      <c r="BV32" s="4576"/>
      <c r="BW32" s="4852" t="s">
        <v>790</v>
      </c>
      <c r="BX32" s="4573" t="str">
        <f>+BL32</f>
        <v>PSEG Fossil LLC</v>
      </c>
      <c r="BY32" s="4573"/>
      <c r="BZ32" s="4573"/>
      <c r="CA32" s="4573"/>
      <c r="CB32" s="4573"/>
      <c r="CC32" s="4577">
        <f>+AP32</f>
        <v>40568</v>
      </c>
      <c r="CD32" s="6153">
        <v>0</v>
      </c>
      <c r="CE32" s="4573"/>
      <c r="CF32" s="4578"/>
      <c r="CG32" s="4578"/>
      <c r="CH32" s="4860" t="str">
        <f>+IF(ISERROR(MATCH(X32,epa_id,0)),"",IF(X32="","",IF(VLOOKUP(MATCH(X32,epa_id,0),epa,'A1(epa)'!$AE$17,FALSE)="","",VLOOKUP(MATCH(X32,epa_id,0),epa,'A1(epa)'!$AE$17,FALSE))))</f>
        <v>Electric Utility</v>
      </c>
      <c r="CI32" s="4672" t="s">
        <v>944</v>
      </c>
      <c r="CJ32" s="4672" t="str">
        <f>+IF(ISERROR(MATCH(X32,epa_id,0)),"",IF(X32="","",IF(VLOOKUP(MATCH(X32,epa_id,0),epa,'A1(epa)'!$AF$17,FALSE)="","",VLOOKUP(MATCH(X32,epa_id,0),epa,'A1(epa)'!$AF$17,FALSE))))</f>
        <v>4911</v>
      </c>
      <c r="CK32" s="4706" t="str">
        <f>+IF(ISERROR(MATCH(X32,epa_id,0)),"",IF(X32="","",IF(VLOOKUP(MATCH(X32,epa_id,0),epa,'A1(epa)'!$AG$17,FALSE)="","",VLOOKUP(MATCH(X32,epa_id,0),epa,'A1(epa)'!$AG$17,FALSE))))</f>
        <v>Electric Services</v>
      </c>
      <c r="CL32" s="4579" t="s">
        <v>111</v>
      </c>
      <c r="CM32" s="4580" t="s">
        <v>608</v>
      </c>
      <c r="CN32" s="4897"/>
      <c r="CO32" s="4788" t="s">
        <v>385</v>
      </c>
      <c r="CP32" s="4788" t="s">
        <v>433</v>
      </c>
      <c r="CQ32" s="4898" t="s">
        <v>305</v>
      </c>
      <c r="CR32" s="5100" t="s">
        <v>435</v>
      </c>
      <c r="CS32" s="4899"/>
      <c r="CT32" s="4901">
        <v>22</v>
      </c>
      <c r="CU32" s="4901">
        <f>+CU58</f>
        <v>602</v>
      </c>
      <c r="CV32" s="4902"/>
      <c r="CW32" s="4903"/>
      <c r="CX32" s="4784"/>
      <c r="CY32" s="4946"/>
      <c r="CZ32" s="4947"/>
      <c r="DA32" s="4948"/>
      <c r="DB32" s="4784" t="s">
        <v>391</v>
      </c>
      <c r="DC32" s="4898">
        <v>1967</v>
      </c>
      <c r="DD32" s="4949">
        <v>24487</v>
      </c>
      <c r="DE32" s="4790">
        <f t="shared" ca="1" si="6"/>
        <v>47.484083954102978</v>
      </c>
      <c r="DF32" s="6157"/>
      <c r="DG32" s="6204"/>
      <c r="DH32" s="4899" t="s">
        <v>607</v>
      </c>
      <c r="DI32" s="4899" t="s">
        <v>1151</v>
      </c>
      <c r="DJ32" s="4563"/>
      <c r="DK32" s="4563"/>
      <c r="DL32" s="4563"/>
      <c r="DM32" s="4563"/>
      <c r="DN32" s="4998"/>
      <c r="DO32" s="4563"/>
      <c r="DP32" s="4999"/>
      <c r="DQ32" s="4843"/>
      <c r="DR32" s="4563"/>
      <c r="DS32" s="4563"/>
      <c r="DT32" s="4563"/>
      <c r="DU32" s="4563"/>
      <c r="DV32" s="4998"/>
      <c r="DW32" s="4563"/>
      <c r="DX32" s="4999"/>
      <c r="DY32" s="4843"/>
      <c r="DZ32" s="4563"/>
      <c r="EA32" s="4563"/>
      <c r="EB32" s="4563"/>
      <c r="EC32" s="4563"/>
      <c r="ED32" s="4998"/>
      <c r="EE32" s="4563"/>
      <c r="EF32" s="5000"/>
      <c r="EG32" s="4982" t="s">
        <v>185</v>
      </c>
      <c r="EH32" s="6190">
        <v>287</v>
      </c>
      <c r="EI32" s="5037">
        <v>0.70899999999999996</v>
      </c>
      <c r="EJ32" s="5038">
        <v>186.17</v>
      </c>
      <c r="EK32" s="5038" t="s">
        <v>920</v>
      </c>
      <c r="EL32" s="5037">
        <v>0.73</v>
      </c>
      <c r="EM32" s="5037"/>
      <c r="EN32" s="5037"/>
      <c r="EO32" s="5037"/>
      <c r="EP32" s="5037"/>
      <c r="EQ32" s="5037"/>
      <c r="ER32" s="5056">
        <v>75</v>
      </c>
      <c r="ES32" s="5056"/>
      <c r="ET32" s="6191">
        <v>0.15</v>
      </c>
      <c r="EU32" s="5056"/>
      <c r="EV32" s="5001"/>
      <c r="EW32" s="5071"/>
      <c r="EX32" s="5056"/>
      <c r="EY32" s="5056"/>
      <c r="EZ32" s="5072">
        <v>40197</v>
      </c>
      <c r="FA32" s="5072">
        <v>42023</v>
      </c>
      <c r="FB32" s="5073">
        <f t="shared" si="24"/>
        <v>4.9993155373032172</v>
      </c>
      <c r="FC32" s="4875"/>
      <c r="FD32" s="6198">
        <f>+IF(X32="","",IF(2010-VLOOKUP(MATCH(X32,eyr_id,0),eyr,'A1(epa)'!$U$17,FALSE)=0,IF(VLOOKUP(MATCH(X32,eyr_id,0),eyr,'A1(epa)'!$U$17,FALSE)=0,"",VLOOKUP(MATCH(X32,eyr_id,0),eyr,'A1(epa)'!$U$17,FALSE))))</f>
        <v>2010</v>
      </c>
      <c r="FE32" s="6199">
        <f>+IF(X32="","",IF(2010-VLOOKUP(MATCH(X32,eyr_id,0),eyr,'A1(epa)'!$U$17,FALSE)=0,IF(VLOOKUP(MATCH(X32,eyr_id,0),eyr,'A1(epa)'!$X$17,FALSE)=0,"",VLOOKUP(MATCH(X32,eyr_id,0),eyr,'A1(epa)'!$X$17,FALSE))))</f>
        <v>6</v>
      </c>
      <c r="FF32" s="6200">
        <f>+IF(X32="","",IF(2010-VLOOKUP(MATCH(X32,eyr_id,0),eyr,'A1(epa)'!$U$17,FALSE)=0,IF(VLOOKUP(MATCH(X32,eyr_id,0),eyr,'A1(epa)'!$W$17,FALSE)=0,"",VLOOKUP(MATCH(X32,eyr_id,0),eyr,'A1(epa)'!$W$17,FALSE))))</f>
        <v>11</v>
      </c>
      <c r="FG32" s="6201">
        <f>+IF(X32="","",IF(2010-VLOOKUP(MATCH(X32,eyr_id,0),eyr,'A1(epa)'!$U$17,FALSE)=0,IF(VLOOKUP(MATCH(X32,eyr_id,0),eyr,'A1(epa)'!$AC$17,FALSE)=0,"",VLOOKUP(MATCH(X32,eyr_id,0),eyr,'A1(epa)'!$AC$17,FALSE))))</f>
        <v>2026</v>
      </c>
      <c r="FH32" s="6202">
        <f>+IF(X32="","",IF(2010-VLOOKUP(MATCH(X32,eyr_id,0),eyr,'A1(epa)'!$U$17,FALSE)=0,IF(VLOOKUP(MATCH(X32,eyr_id,0),eyr,'A1(epa)'!$Y$17,FALSE)=0,"",VLOOKUP(MATCH(X32,eyr_id,0),eyr,'A1(epa)'!$Y$17,FALSE))))</f>
        <v>114</v>
      </c>
      <c r="FI32" s="6203">
        <f>+IF(X32="","",IF(2010-VLOOKUP(MATCH(X32,eyr_id,0),eyr,'A1(epa)'!$U$17,FALSE)=0,IF(VLOOKUP(MATCH(X32,eyr_id,0),eyr,'A1(epa)'!$AB$17,FALSE)=0,"",VLOOKUP(MATCH(X32,eyr_id,0),eyr,'A1(epa)'!$AB$17,FALSE))))</f>
        <v>0.7</v>
      </c>
      <c r="FJ32" s="6198">
        <f>+IF(X32="","",IF(2009-VLOOKUP(MATCH(X32,eyr_id,0)+1,eyr,'A1(epa)'!$U$17,FALSE)=0,IF(VLOOKUP(MATCH(X32,eyr_id,0)+1,eyr,'A1(epa)'!$U$17,FALSE)=0,"",VLOOKUP(MATCH(X32,eyr_id,0)+1,eyr,'A1(epa)'!$U$17,FALSE))))</f>
        <v>2009</v>
      </c>
      <c r="FK32" s="6199">
        <f>+IF(X32="","",IF(2009-VLOOKUP(MATCH(X32,eyr_id,0)+1,eyr,'A1(epa)'!$U$17,FALSE)=0,IF(VLOOKUP(MATCH(X32,eyr_id,0)+1,eyr,'A1(epa)'!$X$17,FALSE)=0,"",VLOOKUP(MATCH(X32,eyr_id,0)+1,eyr,'A1(epa)'!$X$17,FALSE))))</f>
        <v>6</v>
      </c>
      <c r="FL32" s="6200">
        <f>+IF(X32="","",IF(2009-VLOOKUP(MATCH(X32,eyr_id,0)+1,eyr,'A1(epa)'!$U$17,FALSE)=0,IF(VLOOKUP(MATCH(X32,eyr_id,0)+1,eyr,'A1(epa)'!$W$17,FALSE)=0,"",VLOOKUP(MATCH(X32,eyr_id,0)+1,eyr,'A1(epa)'!$W$17,FALSE))))</f>
        <v>8</v>
      </c>
      <c r="FM32" s="6201">
        <f>+IF(X32="","",IF(2009-VLOOKUP(MATCH(X32,eyr_id,0)+1,eyr,'A1(epa)'!$U$17,FALSE)=0,IF(VLOOKUP(MATCH(X32,eyr_id,0)+1,eyr,'A1(epa)'!$AC$17,FALSE)=0,"",VLOOKUP(MATCH(X32,eyr_id,0)+1,eyr,'A1(epa)'!$AC$17,FALSE))))</f>
        <v>1962</v>
      </c>
      <c r="FN32" s="6202">
        <f>+IF(X32="","",IF(2009-VLOOKUP(MATCH(X32,eyr_id,0)+1,eyr,'A1(epa)'!$U$17,FALSE)=0,IF(VLOOKUP(MATCH(X32,eyr_id,0)+1,eyr,'A1(epa)'!$Y$17,FALSE)=0,"",VLOOKUP(MATCH(X32,eyr_id,0)+1,eyr,'A1(epa)'!$Y$17,FALSE))))</f>
        <v>119</v>
      </c>
      <c r="FO32" s="6203">
        <f>+IF(X32="","",IF(2009-VLOOKUP(MATCH(X32,eyr_id,0)+1,eyr,'A1(epa)'!$U$17,FALSE)=0,IF(VLOOKUP(MATCH(X32,eyr_id,0)+1,eyr,'A1(epa)'!$AB$17,FALSE)=0,"",VLOOKUP(MATCH(X32,eyr_id,0)+1,eyr,'A1(epa)'!$AB$17,FALSE))))</f>
        <v>0.7</v>
      </c>
      <c r="FP32" s="4806"/>
      <c r="FQ32" s="4992"/>
      <c r="FR32" s="5100" t="s">
        <v>979</v>
      </c>
      <c r="FS32" s="4992"/>
      <c r="FT32" s="4992"/>
      <c r="FU32" s="4992"/>
      <c r="FV32" s="5099"/>
      <c r="FW32" s="4806"/>
      <c r="FX32" s="6264"/>
      <c r="FY32" s="6264"/>
      <c r="FZ32" s="6264"/>
      <c r="GA32" s="6264"/>
      <c r="GB32" s="6355" t="str">
        <f>+IF(OR(FX32="",FF32=""),"",IF(AND(ROUND(FX32/FF32,2)&lt;(FF32+1)/FF32,ROUND(FX32/FF32,2)&gt;(FF32-1)/FF32),"same as EPA-CAIROS report",IF(FX32/FF32&lt;1,"less "&amp;ROUND(FX32-FF32,0)&amp;" hrs than EPA-CAIROS report","more "&amp;ROUND(FX32-FF32,0)&amp;" hrs than EPA-CAIROS report")))</f>
        <v/>
      </c>
      <c r="GC32" s="6264"/>
      <c r="GD32" s="6265"/>
      <c r="GE32" s="6320" t="str">
        <f t="shared" si="8"/>
        <v/>
      </c>
      <c r="GF32" s="6265"/>
      <c r="GG32" s="6265" t="str">
        <f t="shared" si="9"/>
        <v/>
      </c>
      <c r="GH32" s="6265"/>
      <c r="GI32" s="6265"/>
      <c r="GJ32" s="6321"/>
      <c r="GK32" s="4806"/>
      <c r="GL32" s="6319"/>
      <c r="GM32" s="6319"/>
      <c r="GN32" s="6319"/>
      <c r="GO32" s="6319"/>
      <c r="GP32" s="6319"/>
      <c r="GQ32" s="6319"/>
      <c r="GR32" s="6265"/>
      <c r="GS32" s="6320" t="str">
        <f t="shared" si="10"/>
        <v/>
      </c>
      <c r="GT32" s="6265"/>
      <c r="GU32" s="6265" t="str">
        <f t="shared" si="11"/>
        <v/>
      </c>
      <c r="GV32" s="6265"/>
      <c r="GW32" s="6265"/>
      <c r="GX32" s="6321"/>
      <c r="GY32" s="6263"/>
      <c r="GZ32" s="6264"/>
      <c r="HA32" s="6264"/>
      <c r="HB32" s="6264"/>
      <c r="HC32" s="6264"/>
      <c r="HD32" s="6264"/>
      <c r="HE32" s="6264"/>
      <c r="HF32" s="6271" t="str">
        <f>+IF((GD32+GR32)/2=0,"",(GD32+GR32)/2)</f>
        <v/>
      </c>
      <c r="HG32" s="6271"/>
      <c r="HH32" s="6266">
        <f t="shared" si="13"/>
        <v>0.70899999999999996</v>
      </c>
      <c r="HI32" s="6266">
        <f t="shared" si="14"/>
        <v>0.73</v>
      </c>
      <c r="HJ32" s="6266">
        <f t="shared" ref="HJ32:HJ39" si="29">+HI32</f>
        <v>0.73</v>
      </c>
      <c r="HK32" s="6266">
        <f>+EJ32</f>
        <v>186.17</v>
      </c>
      <c r="HL32" s="6268"/>
      <c r="HM32" s="6268"/>
      <c r="HN32" s="6269"/>
      <c r="HO32" s="5357"/>
    </row>
    <row r="33" spans="1:223" s="5349" customFormat="1" ht="25.5" customHeight="1">
      <c r="A33" s="5362" t="str">
        <f t="shared" si="15"/>
        <v>8300-01</v>
      </c>
      <c r="B33" s="9570" t="str">
        <f>+J33</f>
        <v>NRG</v>
      </c>
      <c r="C33" s="5363" t="str">
        <f t="shared" ref="C33:C49" si="30">+Q33</f>
        <v>BR10</v>
      </c>
      <c r="D33" s="6109"/>
      <c r="E33" s="6113"/>
      <c r="F33" s="6109"/>
      <c r="G33" s="4636">
        <v>13</v>
      </c>
      <c r="H33" s="4559">
        <v>6</v>
      </c>
      <c r="I33" s="10156" t="s">
        <v>473</v>
      </c>
      <c r="J33" s="4744" t="s">
        <v>611</v>
      </c>
      <c r="K33" s="4745">
        <v>8300</v>
      </c>
      <c r="L33" s="4604" t="s">
        <v>475</v>
      </c>
      <c r="M33" s="5147" t="s">
        <v>450</v>
      </c>
      <c r="N33" s="4572"/>
      <c r="O33" s="4572"/>
      <c r="P33" s="4572" t="s">
        <v>450</v>
      </c>
      <c r="Q33" s="4594" t="s">
        <v>303</v>
      </c>
      <c r="R33" s="4572" t="str">
        <f>+IF(ISERROR(MATCH(X33,epa_id,0)),"",IF(X33="","",IF(VLOOKUP(MATCH(X33,epa_id,0),epa,'A1(epa)'!$S$17,FALSE)="","",VLOOKUP(MATCH(X33,epa_id,0),epa,'A1(epa)'!$S$17,FALSE))))</f>
        <v>10</v>
      </c>
      <c r="S33" s="4561">
        <f>+IF(ISERROR(MATCH(X33,epa_id,0)),"",IF(X33="","",IF(VLOOKUP(MATCH(X33,epa_id,0),epa,'A1(epa)'!$R$17,FALSE)="","",VLOOKUP(MATCH(X33,epa_id,0),epa,'A1(epa)'!$R$17,FALSE))))</f>
        <v>540</v>
      </c>
      <c r="T33" s="4563" t="s">
        <v>794</v>
      </c>
      <c r="U33" s="4564">
        <v>1</v>
      </c>
      <c r="V33" s="4564">
        <v>1</v>
      </c>
      <c r="W33" s="4564">
        <v>1</v>
      </c>
      <c r="X33" s="4675" t="str">
        <f t="shared" si="5"/>
        <v>8300-01</v>
      </c>
      <c r="Y33" s="4596" t="s">
        <v>1510</v>
      </c>
      <c r="Z33" s="8595" t="s">
        <v>811</v>
      </c>
      <c r="AA33" s="4668" t="s">
        <v>597</v>
      </c>
      <c r="AB33" s="4668"/>
      <c r="AC33" s="4673" t="s">
        <v>979</v>
      </c>
      <c r="AD33" s="4676" t="s">
        <v>1542</v>
      </c>
      <c r="AE33" s="4674"/>
      <c r="AF33" s="4567"/>
      <c r="AG33" s="4565"/>
      <c r="AH33" s="4568"/>
      <c r="AI33" s="4784"/>
      <c r="AJ33" s="4785"/>
      <c r="AK33" s="4786"/>
      <c r="AL33" s="4787" t="s">
        <v>806</v>
      </c>
      <c r="AM33" s="4788" t="s">
        <v>1553</v>
      </c>
      <c r="AN33" s="4789"/>
      <c r="AO33" s="4789">
        <v>41790</v>
      </c>
      <c r="AP33" s="4789">
        <v>40658</v>
      </c>
      <c r="AQ33" s="4789"/>
      <c r="AR33" s="4789"/>
      <c r="AS33" s="4789"/>
      <c r="AT33" s="4785"/>
      <c r="AU33" s="4785"/>
      <c r="AV33" s="4569"/>
      <c r="AW33" s="4569"/>
      <c r="AX33" s="4569"/>
      <c r="AY33" s="4566"/>
      <c r="AZ33" s="4595"/>
      <c r="BA33" s="4597" t="s">
        <v>475</v>
      </c>
      <c r="BB33" s="4827">
        <f>+IF(AND(G33="",BA33=""),"",VLOOKUP(MATCH(BA33,tw,0),twn,'A4(twn)'!$D$12,FALSE))</f>
        <v>14</v>
      </c>
      <c r="BC33" s="4827" t="str">
        <f t="shared" si="17"/>
        <v xml:space="preserve"> -  / -  / 014 / - </v>
      </c>
      <c r="BD33" s="4572" t="s">
        <v>335</v>
      </c>
      <c r="BE33" s="4596" t="s">
        <v>335</v>
      </c>
      <c r="BF33" s="4597" t="s">
        <v>473</v>
      </c>
      <c r="BG33" s="4828" t="str">
        <f>+IF(OR(X33="",ISERROR(MATCH(X33,epa_id,0))),"",VLOOKUP(MATCH(X33,epa_id,0),epa,'A1(epa)'!$AH$17,FALSE))</f>
        <v>Connecticut Jet Power, LLC (Owner/Operator)</v>
      </c>
      <c r="BH33" s="4829"/>
      <c r="BI33" s="4829"/>
      <c r="BJ33" s="6134"/>
      <c r="BK33" s="4573"/>
      <c r="BL33" s="4574" t="s">
        <v>522</v>
      </c>
      <c r="BM33" s="6140" t="s">
        <v>1517</v>
      </c>
      <c r="BN33" s="4574" t="s">
        <v>611</v>
      </c>
      <c r="BO33" s="4573" t="s">
        <v>523</v>
      </c>
      <c r="BP33" s="4592" t="s">
        <v>524</v>
      </c>
      <c r="BQ33" s="4573"/>
      <c r="BR33" s="4573"/>
      <c r="BS33" s="4575" t="s">
        <v>525</v>
      </c>
      <c r="BT33" s="4573"/>
      <c r="BU33" s="4573"/>
      <c r="BV33" s="4576"/>
      <c r="BW33" s="4852" t="s">
        <v>790</v>
      </c>
      <c r="BX33" s="4573" t="s">
        <v>522</v>
      </c>
      <c r="BY33" s="4573"/>
      <c r="BZ33" s="4573"/>
      <c r="CA33" s="4573"/>
      <c r="CB33" s="4573"/>
      <c r="CC33" s="4577"/>
      <c r="CD33" s="4574"/>
      <c r="CE33" s="4584"/>
      <c r="CF33" s="4578" t="s">
        <v>110</v>
      </c>
      <c r="CG33" s="4578" t="s">
        <v>307</v>
      </c>
      <c r="CH33" s="4860" t="str">
        <f>+IF(ISERROR(MATCH(X33,epa_id,0)),"",IF(X33="","",IF(VLOOKUP(MATCH(X33,epa_id,0),epa,'A1(epa)'!$AE$17,FALSE)="","",VLOOKUP(MATCH(X33,epa_id,0),epa,'A1(epa)'!$AE$17,FALSE))))</f>
        <v>Electric Utility</v>
      </c>
      <c r="CI33" s="4672" t="s">
        <v>944</v>
      </c>
      <c r="CJ33" s="4672" t="str">
        <f>+IF(ISERROR(MATCH(X33,epa_id,0)),"",IF(X33="","",IF(VLOOKUP(MATCH(X33,epa_id,0),epa,'A1(epa)'!$AF$17,FALSE)="","",VLOOKUP(MATCH(X33,epa_id,0),epa,'A1(epa)'!$AF$17,FALSE))))</f>
        <v>4911</v>
      </c>
      <c r="CK33" s="4706" t="str">
        <f>+IF(ISERROR(MATCH(X33,epa_id,0)),"",IF(X33="","",IF(VLOOKUP(MATCH(X33,epa_id,0),epa,'A1(epa)'!$AG$17,FALSE)="","",VLOOKUP(MATCH(X33,epa_id,0),epa,'A1(epa)'!$AG$17,FALSE))))</f>
        <v>Electric Services</v>
      </c>
      <c r="CL33" s="4579" t="s">
        <v>115</v>
      </c>
      <c r="CM33" s="4580"/>
      <c r="CN33" s="4897"/>
      <c r="CO33" s="4788" t="s">
        <v>385</v>
      </c>
      <c r="CP33" s="4788" t="s">
        <v>304</v>
      </c>
      <c r="CQ33" s="4898" t="s">
        <v>305</v>
      </c>
      <c r="CR33" s="4899" t="s">
        <v>188</v>
      </c>
      <c r="CS33" s="4899"/>
      <c r="CT33" s="4901">
        <v>20</v>
      </c>
      <c r="CU33" s="4901">
        <f>+CT33</f>
        <v>20</v>
      </c>
      <c r="CV33" s="4902"/>
      <c r="CW33" s="4903" t="s">
        <v>191</v>
      </c>
      <c r="CX33" s="4784" t="s">
        <v>192</v>
      </c>
      <c r="CY33" s="4946" t="s">
        <v>80</v>
      </c>
      <c r="CZ33" s="4950">
        <v>22</v>
      </c>
      <c r="DA33" s="4951" t="s">
        <v>81</v>
      </c>
      <c r="DB33" s="4784" t="s">
        <v>43</v>
      </c>
      <c r="DC33" s="4898">
        <v>1969</v>
      </c>
      <c r="DD33" s="4949">
        <v>25385</v>
      </c>
      <c r="DE33" s="4790">
        <f ca="1">+(NOW()-DD33)/365.25</f>
        <v>45.025493947258354</v>
      </c>
      <c r="DF33" s="4983" t="s">
        <v>50</v>
      </c>
      <c r="DG33" s="5039" t="s">
        <v>48</v>
      </c>
      <c r="DH33" s="4899" t="s">
        <v>451</v>
      </c>
      <c r="DI33" s="4899" t="str">
        <f t="shared" ref="DI33:DI38" si="31">+DG33</f>
        <v>Ultra low sulfur kerosene  oil (ULSD)</v>
      </c>
      <c r="DJ33" s="4563"/>
      <c r="DK33" s="4563"/>
      <c r="DL33" s="4563"/>
      <c r="DM33" s="4563"/>
      <c r="DN33" s="4998"/>
      <c r="DO33" s="4563"/>
      <c r="DP33" s="4999"/>
      <c r="DQ33" s="4843"/>
      <c r="DR33" s="4563"/>
      <c r="DS33" s="4563"/>
      <c r="DT33" s="4563"/>
      <c r="DU33" s="4563"/>
      <c r="DV33" s="4998"/>
      <c r="DW33" s="4563"/>
      <c r="DX33" s="4999"/>
      <c r="DY33" s="4843"/>
      <c r="DZ33" s="4563"/>
      <c r="EA33" s="4563"/>
      <c r="EB33" s="4563"/>
      <c r="EC33" s="4563"/>
      <c r="ED33" s="4998"/>
      <c r="EE33" s="4563"/>
      <c r="EF33" s="5000"/>
      <c r="EG33" s="5039" t="s">
        <v>185</v>
      </c>
      <c r="EH33" s="6190">
        <v>256</v>
      </c>
      <c r="EI33" s="5037">
        <v>0.72599999999999998</v>
      </c>
      <c r="EJ33" s="5038"/>
      <c r="EK33" s="5038" t="s">
        <v>920</v>
      </c>
      <c r="EL33" s="5037">
        <v>0.8</v>
      </c>
      <c r="EM33" s="5037"/>
      <c r="EN33" s="5037"/>
      <c r="EO33" s="5037"/>
      <c r="EP33" s="5037"/>
      <c r="EQ33" s="5037">
        <v>0.28999999999999998</v>
      </c>
      <c r="ER33" s="5056"/>
      <c r="ES33" s="5056"/>
      <c r="ET33" s="6191">
        <v>0.15</v>
      </c>
      <c r="EU33" s="5056"/>
      <c r="EV33" s="5001"/>
      <c r="EW33" s="5071">
        <v>0.15</v>
      </c>
      <c r="EX33" s="5056"/>
      <c r="EY33" s="5056"/>
      <c r="EZ33" s="5072">
        <v>38939</v>
      </c>
      <c r="FA33" s="5072">
        <v>40765</v>
      </c>
      <c r="FB33" s="5073">
        <f t="shared" si="24"/>
        <v>4.9993155373032172</v>
      </c>
      <c r="FC33" s="5002"/>
      <c r="FD33" s="6198">
        <f>+IF(X33="","",IF(2010-VLOOKUP(MATCH(X33,eyr_id,0),eyr,'A1(epa)'!$U$17,FALSE)=0,IF(VLOOKUP(MATCH(X33,eyr_id,0),eyr,'A1(epa)'!$U$17,FALSE)=0,"",VLOOKUP(MATCH(X33,eyr_id,0),eyr,'A1(epa)'!$U$17,FALSE))))</f>
        <v>2010</v>
      </c>
      <c r="FE33" s="6199">
        <f>+IF(X33="","",IF(2010-VLOOKUP(MATCH(X33,eyr_id,0),eyr,'A1(epa)'!$U$17,FALSE)=0,IF(VLOOKUP(MATCH(X33,eyr_id,0),eyr,'A1(epa)'!$X$17,FALSE)=0,"",VLOOKUP(MATCH(X33,eyr_id,0),eyr,'A1(epa)'!$X$17,FALSE))))</f>
        <v>6</v>
      </c>
      <c r="FF33" s="6200">
        <f>+IF(X33="","",IF(2010-VLOOKUP(MATCH(X33,eyr_id,0),eyr,'A1(epa)'!$U$17,FALSE)=0,IF(VLOOKUP(MATCH(X33,eyr_id,0),eyr,'A1(epa)'!$W$17,FALSE)=0,"",VLOOKUP(MATCH(X33,eyr_id,0),eyr,'A1(epa)'!$W$17,FALSE))))</f>
        <v>39</v>
      </c>
      <c r="FG33" s="6201">
        <f>+IF(X33="","",IF(2010-VLOOKUP(MATCH(X33,eyr_id,0),eyr,'A1(epa)'!$U$17,FALSE)=0,IF(VLOOKUP(MATCH(X33,eyr_id,0),eyr,'A1(epa)'!$AC$17,FALSE)=0,"",VLOOKUP(MATCH(X33,eyr_id,0),eyr,'A1(epa)'!$AC$17,FALSE))))</f>
        <v>9750</v>
      </c>
      <c r="FH33" s="6202">
        <f>+IF(X33="","",IF(2010-VLOOKUP(MATCH(X33,eyr_id,0),eyr,'A1(epa)'!$U$17,FALSE)=0,IF(VLOOKUP(MATCH(X33,eyr_id,0),eyr,'A1(epa)'!$Y$17,FALSE)=0,"",VLOOKUP(MATCH(X33,eyr_id,0),eyr,'A1(epa)'!$Y$17,FALSE))))</f>
        <v>512</v>
      </c>
      <c r="FI33" s="6203">
        <f>+IF(X33="","",IF(2010-VLOOKUP(MATCH(X33,eyr_id,0),eyr,'A1(epa)'!$U$17,FALSE)=0,IF(VLOOKUP(MATCH(X33,eyr_id,0),eyr,'A1(epa)'!$AB$17,FALSE)=0,"",VLOOKUP(MATCH(X33,eyr_id,0),eyr,'A1(epa)'!$AB$17,FALSE))))</f>
        <v>5.9</v>
      </c>
      <c r="FJ33" s="6198">
        <f>+IF(X33="","",IF(2009-VLOOKUP(MATCH(X33,eyr_id,0)+1,eyr,'A1(epa)'!$U$17,FALSE)=0,IF(VLOOKUP(MATCH(X33,eyr_id,0)+1,eyr,'A1(epa)'!$U$17,FALSE)=0,"",VLOOKUP(MATCH(X33,eyr_id,0)+1,eyr,'A1(epa)'!$U$17,FALSE))))</f>
        <v>2009</v>
      </c>
      <c r="FK33" s="6199">
        <f>+IF(X33="","",IF(2009-VLOOKUP(MATCH(X33,eyr_id,0)+1,eyr,'A1(epa)'!$U$17,FALSE)=0,IF(VLOOKUP(MATCH(X33,eyr_id,0)+1,eyr,'A1(epa)'!$X$17,FALSE)=0,"",VLOOKUP(MATCH(X33,eyr_id,0)+1,eyr,'A1(epa)'!$X$17,FALSE))))</f>
        <v>6</v>
      </c>
      <c r="FL33" s="6200">
        <f>+IF(X33="","",IF(2009-VLOOKUP(MATCH(X33,eyr_id,0)+1,eyr,'A1(epa)'!$U$17,FALSE)=0,IF(VLOOKUP(MATCH(X33,eyr_id,0)+1,eyr,'A1(epa)'!$W$17,FALSE)=0,"",VLOOKUP(MATCH(X33,eyr_id,0)+1,eyr,'A1(epa)'!$W$17,FALSE))))</f>
        <v>2</v>
      </c>
      <c r="FM33" s="6201">
        <f>+IF(X33="","",IF(2009-VLOOKUP(MATCH(X33,eyr_id,0)+1,eyr,'A1(epa)'!$U$17,FALSE)=0,IF(VLOOKUP(MATCH(X33,eyr_id,0)+1,eyr,'A1(epa)'!$AC$17,FALSE)=0,"",VLOOKUP(MATCH(X33,eyr_id,0)+1,eyr,'A1(epa)'!$AC$17,FALSE))))</f>
        <v>525</v>
      </c>
      <c r="FN33" s="6202">
        <f>+IF(X33="","",IF(2009-VLOOKUP(MATCH(X33,eyr_id,0)+1,eyr,'A1(epa)'!$U$17,FALSE)=0,IF(VLOOKUP(MATCH(X33,eyr_id,0)+1,eyr,'A1(epa)'!$Y$17,FALSE)=0,"",VLOOKUP(MATCH(X33,eyr_id,0)+1,eyr,'A1(epa)'!$Y$17,FALSE))))</f>
        <v>20</v>
      </c>
      <c r="FO33" s="6203">
        <f>+IF(X33="","",IF(2009-VLOOKUP(MATCH(X33,eyr_id,0)+1,eyr,'A1(epa)'!$U$17,FALSE)=0,IF(VLOOKUP(MATCH(X33,eyr_id,0)+1,eyr,'A1(epa)'!$AB$17,FALSE)=0,"",VLOOKUP(MATCH(X33,eyr_id,0)+1,eyr,'A1(epa)'!$AB$17,FALSE))))</f>
        <v>0.3</v>
      </c>
      <c r="FP33" s="5039" t="s">
        <v>312</v>
      </c>
      <c r="FQ33" s="4992"/>
      <c r="FR33" s="5100" t="s">
        <v>2034</v>
      </c>
      <c r="FS33" s="4992"/>
      <c r="FT33" s="4992"/>
      <c r="FU33" s="4992"/>
      <c r="FV33" s="5099" t="s">
        <v>570</v>
      </c>
      <c r="FW33" s="4806">
        <v>2010</v>
      </c>
      <c r="FX33" s="6264">
        <f>+FY33+FZ33</f>
        <v>38.799999999999997</v>
      </c>
      <c r="FY33" s="6264">
        <v>30.3</v>
      </c>
      <c r="FZ33" s="6264">
        <v>8.5</v>
      </c>
      <c r="GA33" s="6264"/>
      <c r="GB33" s="6355" t="str">
        <f>+IF(OR(FX33="",FF33=""),"",IF(AND(ROUND(FX33/FF33,2)&lt;(FF33+1)/FF33,ROUND(FX33/FF33,2)&gt;(FF33-1)/FF33),"same as EPA-CAIROS report",IF(FX33/FF33&lt;1,"less "&amp;ROUND(FX33-FF33,0)&amp;" hrs than EPA-CAIROS report","more "&amp;ROUND(FX33-FF33,0)&amp;" hrs than EPA-CAIROS report")))</f>
        <v>same as EPA-CAIROS report</v>
      </c>
      <c r="GC33" s="6264"/>
      <c r="GD33" s="6265">
        <f>10.11*1000</f>
        <v>10110</v>
      </c>
      <c r="GE33" s="6320" t="str">
        <f t="shared" si="8"/>
        <v>same as EPA-CAIROS report, within ±10%</v>
      </c>
      <c r="GF33" s="6265"/>
      <c r="GG33" s="6265" t="str">
        <f t="shared" si="9"/>
        <v/>
      </c>
      <c r="GH33" s="6265"/>
      <c r="GI33" s="6265"/>
      <c r="GJ33" s="6321">
        <v>4.0000000000000001E-3</v>
      </c>
      <c r="GK33" s="4806">
        <v>2009</v>
      </c>
      <c r="GL33" s="6319">
        <v>19.100000000000001</v>
      </c>
      <c r="GM33" s="6319">
        <v>6.1</v>
      </c>
      <c r="GN33" s="6319">
        <v>15.6</v>
      </c>
      <c r="GO33" s="6319">
        <f>+GN33+GM33</f>
        <v>21.7</v>
      </c>
      <c r="GP33" s="6322" t="str">
        <f>+IF(OR(GL33="",FL33=""),"",IF(AND(ROUND(GL33/FL33,2)&lt;(FL33+1)/FL33,ROUND(GL33/FL33,2)&gt;(FL33-1)/FL33),"same as EPA-CAIROS report",IF(GL33/FL33&lt;1,"less "&amp;ROUND(GL33-FL33,0)&amp;" hrs than EPA-CAIROS report","more "&amp;ROUND(GL33-FL33,0)&amp;" hrs than EPA-CAIROS report")))</f>
        <v>more 17 hrs than EPA-CAIROS report</v>
      </c>
      <c r="GQ33" s="6319"/>
      <c r="GR33" s="6265">
        <f>5.36*1000</f>
        <v>5360</v>
      </c>
      <c r="GS33" s="6323" t="str">
        <f>+IF(OR(GR33="",FM33=""),"",IF(AND(ROUND(GR33/FM33,2)&lt;1.1,ROUND(GR33/FM33,2)&gt;0.9),"same as EPA-CAIROS report, within ±10%",IF(GR33/FM33&lt;1,"less "&amp;ROUND((GR33-FM33)/FM33,2)*100&amp;"% MMBtu/hr than EPA-CAIROS report","reported more "&amp;ROUND((GR33-FM33)/FM33,2)*100&amp;"% MMBtu/hr than EPA-CAIROS report")))</f>
        <v>reported more 921% MMBtu/hr than EPA-CAIROS report</v>
      </c>
      <c r="GT33" s="6265"/>
      <c r="GU33" s="6324" t="str">
        <f>+IF(OR(GT33="",FN33=""),"",IF(AND(ROUND(GT33/FN33,2)&lt;1.025,ROUND(GT33/FN33,2)&gt;0.975),"same as EPA-CAIROS report, within ±5%",IF(GT33/FN33&lt;1,"less "&amp;ROUND((GT33-FN33)/FN33,2)*100&amp;"% MWhr","more "&amp;ROUND((GT33-FN33)/FN33,2)*100&amp;"% MWhr than EPA-CAIROS report")))</f>
        <v/>
      </c>
      <c r="GV33" s="6265"/>
      <c r="GW33" s="6265"/>
      <c r="GX33" s="6321">
        <v>2E-3</v>
      </c>
      <c r="GY33" s="6263">
        <v>29</v>
      </c>
      <c r="GZ33" s="6264">
        <f>+(FX33+GL33)/2</f>
        <v>28.95</v>
      </c>
      <c r="HA33" s="6266">
        <v>16.91</v>
      </c>
      <c r="HB33" s="6266">
        <f>+(FZ33+GN33)/2</f>
        <v>12.05</v>
      </c>
      <c r="HC33" s="6266"/>
      <c r="HD33" s="6272">
        <f>+IF((GD33+GR33)/2=0,"",(GD33+GR33)/2)</f>
        <v>7735</v>
      </c>
      <c r="HE33" s="6265">
        <f>+HD33*U33</f>
        <v>7735</v>
      </c>
      <c r="HF33" s="6265">
        <f>+HE33/U33</f>
        <v>7735</v>
      </c>
      <c r="HG33" s="6265"/>
      <c r="HH33" s="6266">
        <f t="shared" si="13"/>
        <v>0.72599999999999998</v>
      </c>
      <c r="HI33" s="6266">
        <f t="shared" si="14"/>
        <v>0.8</v>
      </c>
      <c r="HJ33" s="6266">
        <f t="shared" si="29"/>
        <v>0.8</v>
      </c>
      <c r="HK33" s="6266"/>
      <c r="HL33" s="6268">
        <v>3.4</v>
      </c>
      <c r="HM33" s="6268">
        <f>+HL33/U33</f>
        <v>3.4</v>
      </c>
      <c r="HN33" s="6269">
        <f>+HJ33*HF33/2000</f>
        <v>3.0939999999999999</v>
      </c>
      <c r="HO33" s="5357"/>
    </row>
    <row r="34" spans="1:223" s="5349" customFormat="1" ht="25.5" customHeight="1">
      <c r="A34" s="5364" t="str">
        <f t="shared" si="15"/>
        <v>8300-02</v>
      </c>
      <c r="B34" s="9571"/>
      <c r="C34" s="5365" t="str">
        <f t="shared" si="30"/>
        <v>CC10</v>
      </c>
      <c r="D34" s="6109"/>
      <c r="E34" s="6113"/>
      <c r="F34" s="6109"/>
      <c r="G34" s="4636">
        <v>14</v>
      </c>
      <c r="H34" s="10168">
        <v>7</v>
      </c>
      <c r="I34" s="10157"/>
      <c r="J34" s="4746" t="s">
        <v>611</v>
      </c>
      <c r="K34" s="4747">
        <v>8300</v>
      </c>
      <c r="L34" s="4748" t="s">
        <v>344</v>
      </c>
      <c r="M34" s="10199" t="s">
        <v>2080</v>
      </c>
      <c r="N34" s="4545"/>
      <c r="O34" s="4545"/>
      <c r="P34" s="4545" t="s">
        <v>452</v>
      </c>
      <c r="Q34" s="4598" t="s">
        <v>51</v>
      </c>
      <c r="R34" s="4545" t="str">
        <f>+IF(ISERROR(MATCH(X34,epa_id,0)),"",IF(X34="","",IF(VLOOKUP(MATCH(X34,epa_id,0),epa,'A1(epa)'!$S$17,FALSE)="","",VLOOKUP(MATCH(X34,epa_id,0),epa,'A1(epa)'!$S$17,FALSE))))</f>
        <v>10</v>
      </c>
      <c r="S34" s="4534">
        <f>+IF(ISERROR(MATCH(X34,epa_id,0)),"",IF(X34="","",IF(VLOOKUP(MATCH(X34,epa_id,0),epa,'A1(epa)'!$R$17,FALSE)="","",VLOOKUP(MATCH(X34,epa_id,0),epa,'A1(epa)'!$R$17,FALSE))))</f>
        <v>542</v>
      </c>
      <c r="T34" s="4537" t="s">
        <v>794</v>
      </c>
      <c r="U34" s="4538">
        <v>3</v>
      </c>
      <c r="V34" s="4538">
        <v>1</v>
      </c>
      <c r="W34" s="4538">
        <f>1+W33</f>
        <v>2</v>
      </c>
      <c r="X34" s="4677" t="str">
        <f t="shared" si="5"/>
        <v>8300-02</v>
      </c>
      <c r="Y34" s="4646" t="s">
        <v>1510</v>
      </c>
      <c r="Z34" s="8595" t="s">
        <v>811</v>
      </c>
      <c r="AA34" s="4678" t="s">
        <v>453</v>
      </c>
      <c r="AB34" s="4678"/>
      <c r="AC34" s="4649" t="s">
        <v>979</v>
      </c>
      <c r="AD34" s="4679" t="s">
        <v>453</v>
      </c>
      <c r="AE34" s="4651"/>
      <c r="AF34" s="4539"/>
      <c r="AG34" s="4540"/>
      <c r="AH34" s="4541"/>
      <c r="AI34" s="4763"/>
      <c r="AJ34" s="4764"/>
      <c r="AK34" s="4765"/>
      <c r="AL34" s="4766" t="s">
        <v>806</v>
      </c>
      <c r="AM34" s="4791" t="s">
        <v>1554</v>
      </c>
      <c r="AN34" s="4767"/>
      <c r="AO34" s="4767">
        <v>41790</v>
      </c>
      <c r="AP34" s="4767">
        <v>40658</v>
      </c>
      <c r="AQ34" s="4767"/>
      <c r="AR34" s="4767"/>
      <c r="AS34" s="4767"/>
      <c r="AT34" s="4764"/>
      <c r="AU34" s="4764"/>
      <c r="AV34" s="4599"/>
      <c r="AW34" s="4599"/>
      <c r="AX34" s="4599"/>
      <c r="AY34" s="4600"/>
      <c r="AZ34" s="4601"/>
      <c r="BA34" s="4820" t="s">
        <v>476</v>
      </c>
      <c r="BB34" s="4821">
        <f>+IF(AND(G34="",BA34=""),"",VLOOKUP(MATCH(BA34,tw,0),twn,'A4(twn)'!$D$12,FALSE))</f>
        <v>67</v>
      </c>
      <c r="BC34" s="4821" t="str">
        <f t="shared" si="17"/>
        <v xml:space="preserve"> -  / -  / 067 / - </v>
      </c>
      <c r="BD34" s="4545" t="s">
        <v>336</v>
      </c>
      <c r="BE34" s="4646" t="s">
        <v>239</v>
      </c>
      <c r="BF34" s="4831" t="s">
        <v>473</v>
      </c>
      <c r="BG34" s="4645" t="str">
        <f>+IF(OR(X34="",ISERROR(MATCH(X34,epa_id,0))),"",VLOOKUP(MATCH(X34,epa_id,0),epa,'A1(epa)'!$AH$17,FALSE))</f>
        <v>Connecticut Jet Power, LLC (Owner/Operator)</v>
      </c>
      <c r="BH34" s="4832"/>
      <c r="BI34" s="4832"/>
      <c r="BJ34" s="6131"/>
      <c r="BK34" s="4546"/>
      <c r="BL34" s="4602" t="s">
        <v>522</v>
      </c>
      <c r="BM34" s="6141" t="s">
        <v>1517</v>
      </c>
      <c r="BN34" s="4602" t="s">
        <v>611</v>
      </c>
      <c r="BO34" s="4546" t="s">
        <v>523</v>
      </c>
      <c r="BP34" s="4533" t="s">
        <v>524</v>
      </c>
      <c r="BQ34" s="4546"/>
      <c r="BR34" s="4546"/>
      <c r="BS34" s="4547" t="s">
        <v>525</v>
      </c>
      <c r="BT34" s="4546"/>
      <c r="BU34" s="4546"/>
      <c r="BV34" s="4548"/>
      <c r="BW34" s="4849" t="s">
        <v>790</v>
      </c>
      <c r="BX34" s="4546" t="s">
        <v>522</v>
      </c>
      <c r="BY34" s="4546"/>
      <c r="BZ34" s="4546"/>
      <c r="CA34" s="4546"/>
      <c r="CB34" s="4546"/>
      <c r="CC34" s="4603"/>
      <c r="CD34" s="4602"/>
      <c r="CE34" s="4550"/>
      <c r="CF34" s="4551" t="s">
        <v>110</v>
      </c>
      <c r="CG34" s="4551"/>
      <c r="CH34" s="4861" t="str">
        <f>+IF(ISERROR(MATCH(X34,epa_id,0)),"",IF(X34="","",IF(VLOOKUP(MATCH(X34,epa_id,0),epa,'A1(epa)'!$AE$17,FALSE)="","",VLOOKUP(MATCH(X34,epa_id,0),epa,'A1(epa)'!$AE$17,FALSE))))</f>
        <v>Electric Utility</v>
      </c>
      <c r="CI34" s="4647" t="s">
        <v>944</v>
      </c>
      <c r="CJ34" s="4647" t="str">
        <f>+IF(ISERROR(MATCH(X34,epa_id,0)),"",IF(X34="","",IF(VLOOKUP(MATCH(X34,epa_id,0),epa,'A1(epa)'!$AF$17,FALSE)="","",VLOOKUP(MATCH(X34,epa_id,0),epa,'A1(epa)'!$AF$17,FALSE))))</f>
        <v>4911</v>
      </c>
      <c r="CK34" s="4857" t="str">
        <f>+IF(ISERROR(MATCH(X34,epa_id,0)),"",IF(X34="","",IF(VLOOKUP(MATCH(X34,epa_id,0),epa,'A1(epa)'!$AG$17,FALSE)="","",VLOOKUP(MATCH(X34,epa_id,0),epa,'A1(epa)'!$AG$17,FALSE))))</f>
        <v>Electric Services</v>
      </c>
      <c r="CL34" s="4552" t="s">
        <v>114</v>
      </c>
      <c r="CM34" s="4553"/>
      <c r="CN34" s="4881"/>
      <c r="CO34" s="4791" t="s">
        <v>385</v>
      </c>
      <c r="CP34" s="4791" t="s">
        <v>56</v>
      </c>
      <c r="CQ34" s="4882" t="s">
        <v>305</v>
      </c>
      <c r="CR34" s="4884" t="s">
        <v>58</v>
      </c>
      <c r="CS34" s="4884"/>
      <c r="CT34" s="8588">
        <v>20</v>
      </c>
      <c r="CU34" s="10159">
        <f>+SUM(CT34:CT38)</f>
        <v>100</v>
      </c>
      <c r="CV34" s="4885"/>
      <c r="CW34" s="4886"/>
      <c r="CX34" s="4763"/>
      <c r="CY34" s="4952"/>
      <c r="CZ34" s="4932"/>
      <c r="DA34" s="4933"/>
      <c r="DB34" s="4763"/>
      <c r="DC34" s="4882">
        <v>1969</v>
      </c>
      <c r="DD34" s="4953">
        <v>25355</v>
      </c>
      <c r="DE34" s="4935">
        <f t="shared" ref="DE34:DE49" ca="1" si="32">+(NOW()-DD34)/365.25</f>
        <v>45.107629470872311</v>
      </c>
      <c r="DF34" s="5091" t="s">
        <v>50</v>
      </c>
      <c r="DG34" s="5088" t="s">
        <v>48</v>
      </c>
      <c r="DH34" s="4884" t="s">
        <v>451</v>
      </c>
      <c r="DI34" s="4884" t="str">
        <f t="shared" si="31"/>
        <v>Ultra low sulfur kerosene  oil (ULSD)</v>
      </c>
      <c r="DJ34" s="4537"/>
      <c r="DK34" s="4537"/>
      <c r="DL34" s="4537"/>
      <c r="DM34" s="4537"/>
      <c r="DN34" s="5003"/>
      <c r="DO34" s="4537"/>
      <c r="DP34" s="5004"/>
      <c r="DQ34" s="5005"/>
      <c r="DR34" s="4537"/>
      <c r="DS34" s="4537"/>
      <c r="DT34" s="4537"/>
      <c r="DU34" s="4537"/>
      <c r="DV34" s="5003"/>
      <c r="DW34" s="4537"/>
      <c r="DX34" s="5004"/>
      <c r="DY34" s="5005"/>
      <c r="DZ34" s="4537"/>
      <c r="EA34" s="4537"/>
      <c r="EB34" s="4537"/>
      <c r="EC34" s="4537"/>
      <c r="ED34" s="5003"/>
      <c r="EE34" s="4537"/>
      <c r="EF34" s="5006"/>
      <c r="EG34" s="5040" t="s">
        <v>185</v>
      </c>
      <c r="EH34" s="6167">
        <v>256</v>
      </c>
      <c r="EI34" s="5032">
        <v>0.192</v>
      </c>
      <c r="EJ34" s="5041"/>
      <c r="EK34" s="5041" t="s">
        <v>920</v>
      </c>
      <c r="EL34" s="5032">
        <v>0.22</v>
      </c>
      <c r="EM34" s="5032"/>
      <c r="EN34" s="5032"/>
      <c r="EO34" s="5032"/>
      <c r="EP34" s="5032"/>
      <c r="EQ34" s="5032"/>
      <c r="ER34" s="5031"/>
      <c r="ES34" s="5031"/>
      <c r="ET34" s="6160">
        <v>0.15</v>
      </c>
      <c r="EU34" s="5031"/>
      <c r="EV34" s="4557"/>
      <c r="EW34" s="5062">
        <v>0.15</v>
      </c>
      <c r="EX34" s="5031"/>
      <c r="EY34" s="5031"/>
      <c r="EZ34" s="5063">
        <v>39771</v>
      </c>
      <c r="FA34" s="5063">
        <v>41597</v>
      </c>
      <c r="FB34" s="5064">
        <f t="shared" ref="FB34:FB43" si="33">+(FA34-EZ34)/365.25</f>
        <v>4.9993155373032172</v>
      </c>
      <c r="FC34" s="4558"/>
      <c r="FD34" s="6168">
        <f>+IF(X34="","",IF(2010-VLOOKUP(MATCH(X34,eyr_id,0),eyr,'A1(epa)'!$U$17,FALSE)=0,IF(VLOOKUP(MATCH(X34,eyr_id,0),eyr,'A1(epa)'!$U$17,FALSE)=0,"",VLOOKUP(MATCH(X34,eyr_id,0),eyr,'A1(epa)'!$U$17,FALSE))))</f>
        <v>2010</v>
      </c>
      <c r="FE34" s="6169">
        <f>+IF(X34="","",IF(2010-VLOOKUP(MATCH(X34,eyr_id,0),eyr,'A1(epa)'!$U$17,FALSE)=0,IF(VLOOKUP(MATCH(X34,eyr_id,0),eyr,'A1(epa)'!$X$17,FALSE)=0,"",VLOOKUP(MATCH(X34,eyr_id,0),eyr,'A1(epa)'!$X$17,FALSE))))</f>
        <v>6</v>
      </c>
      <c r="FF34" s="6170">
        <f>+IF(X34="","",IF(2010-VLOOKUP(MATCH(X34,eyr_id,0),eyr,'A1(epa)'!$U$17,FALSE)=0,IF(VLOOKUP(MATCH(X34,eyr_id,0),eyr,'A1(epa)'!$W$17,FALSE)=0,"",VLOOKUP(MATCH(X34,eyr_id,0),eyr,'A1(epa)'!$W$17,FALSE))))</f>
        <v>44</v>
      </c>
      <c r="FG34" s="6171">
        <f>+IF(X34="","",IF(2010-VLOOKUP(MATCH(X34,eyr_id,0),eyr,'A1(epa)'!$U$17,FALSE)=0,IF(VLOOKUP(MATCH(X34,eyr_id,0),eyr,'A1(epa)'!$AC$17,FALSE)=0,"",VLOOKUP(MATCH(X34,eyr_id,0),eyr,'A1(epa)'!$AC$17,FALSE))))</f>
        <v>11038</v>
      </c>
      <c r="FH34" s="6172">
        <f>+IF(X34="","",IF(2010-VLOOKUP(MATCH(X34,eyr_id,0),eyr,'A1(epa)'!$U$17,FALSE)=0,IF(VLOOKUP(MATCH(X34,eyr_id,0),eyr,'A1(epa)'!$Y$17,FALSE)=0,"",VLOOKUP(MATCH(X34,eyr_id,0),eyr,'A1(epa)'!$Y$17,FALSE))))</f>
        <v>677</v>
      </c>
      <c r="FI34" s="6173">
        <f>+IF(X34="","",IF(2010-VLOOKUP(MATCH(X34,eyr_id,0),eyr,'A1(epa)'!$U$17,FALSE)=0,IF(VLOOKUP(MATCH(X34,eyr_id,0),eyr,'A1(epa)'!$AB$17,FALSE)=0,"",VLOOKUP(MATCH(X34,eyr_id,0),eyr,'A1(epa)'!$AB$17,FALSE))))</f>
        <v>6.6</v>
      </c>
      <c r="FJ34" s="6168">
        <f>+IF(X34="","",IF(2009-VLOOKUP(MATCH(X34,eyr_id,0)+1,eyr,'A1(epa)'!$U$17,FALSE)=0,IF(VLOOKUP(MATCH(X34,eyr_id,0)+1,eyr,'A1(epa)'!$U$17,FALSE)=0,"",VLOOKUP(MATCH(X34,eyr_id,0)+1,eyr,'A1(epa)'!$U$17,FALSE))))</f>
        <v>2009</v>
      </c>
      <c r="FK34" s="6169">
        <f>+IF(X34="","",IF(2009-VLOOKUP(MATCH(X34,eyr_id,0)+1,eyr,'A1(epa)'!$U$17,FALSE)=0,IF(VLOOKUP(MATCH(X34,eyr_id,0)+1,eyr,'A1(epa)'!$X$17,FALSE)=0,"",VLOOKUP(MATCH(X34,eyr_id,0)+1,eyr,'A1(epa)'!$X$17,FALSE))))</f>
        <v>6</v>
      </c>
      <c r="FL34" s="6170">
        <f>+IF(X34="","",IF(2009-VLOOKUP(MATCH(X34,eyr_id,0)+1,eyr,'A1(epa)'!$U$17,FALSE)=0,IF(VLOOKUP(MATCH(X34,eyr_id,0)+1,eyr,'A1(epa)'!$W$17,FALSE)=0,"",VLOOKUP(MATCH(X34,eyr_id,0)+1,eyr,'A1(epa)'!$W$17,FALSE))))</f>
        <v>8</v>
      </c>
      <c r="FM34" s="6171">
        <f>+IF(X34="","",IF(2009-VLOOKUP(MATCH(X34,eyr_id,0)+1,eyr,'A1(epa)'!$U$17,FALSE)=0,IF(VLOOKUP(MATCH(X34,eyr_id,0)+1,eyr,'A1(epa)'!$AC$17,FALSE)=0,"",VLOOKUP(MATCH(X34,eyr_id,0)+1,eyr,'A1(epa)'!$AC$17,FALSE))))</f>
        <v>1968</v>
      </c>
      <c r="FN34" s="6172">
        <f>+IF(X34="","",IF(2009-VLOOKUP(MATCH(X34,eyr_id,0)+1,eyr,'A1(epa)'!$U$17,FALSE)=0,IF(VLOOKUP(MATCH(X34,eyr_id,0)+1,eyr,'A1(epa)'!$Y$17,FALSE)=0,"",VLOOKUP(MATCH(X34,eyr_id,0)+1,eyr,'A1(epa)'!$Y$17,FALSE))))</f>
        <v>139</v>
      </c>
      <c r="FO34" s="6173">
        <f>+IF(X34="","",IF(2009-VLOOKUP(MATCH(X34,eyr_id,0)+1,eyr,'A1(epa)'!$U$17,FALSE)=0,IF(VLOOKUP(MATCH(X34,eyr_id,0)+1,eyr,'A1(epa)'!$AB$17,FALSE)=0,"",VLOOKUP(MATCH(X34,eyr_id,0)+1,eyr,'A1(epa)'!$AB$17,FALSE))))</f>
        <v>1.2</v>
      </c>
      <c r="FP34" s="5088" t="s">
        <v>312</v>
      </c>
      <c r="FQ34" s="5089"/>
      <c r="FR34" s="5089" t="s">
        <v>1022</v>
      </c>
      <c r="FS34" s="5089"/>
      <c r="FT34" s="5089"/>
      <c r="FU34" s="5089"/>
      <c r="FV34" s="4958" t="s">
        <v>570</v>
      </c>
      <c r="FW34" s="6325">
        <v>2010</v>
      </c>
      <c r="FX34" s="6356" t="s">
        <v>1979</v>
      </c>
      <c r="FY34" s="6244"/>
      <c r="FZ34" s="6244"/>
      <c r="GA34" s="6244"/>
      <c r="GB34" s="6352"/>
      <c r="GC34" s="6244"/>
      <c r="GD34" s="8610"/>
      <c r="GE34" s="6309"/>
      <c r="GF34" s="8610"/>
      <c r="GG34" s="8610" t="str">
        <f t="shared" si="9"/>
        <v/>
      </c>
      <c r="GH34" s="8610"/>
      <c r="GI34" s="8610"/>
      <c r="GJ34" s="6326">
        <v>1E-3</v>
      </c>
      <c r="GK34" s="6325">
        <v>2009</v>
      </c>
      <c r="GL34" s="6308" t="s">
        <v>1979</v>
      </c>
      <c r="GM34" s="6308"/>
      <c r="GN34" s="6308"/>
      <c r="GO34" s="6308"/>
      <c r="GP34" s="6308"/>
      <c r="GQ34" s="6308"/>
      <c r="GR34" s="8610"/>
      <c r="GS34" s="8610"/>
      <c r="GT34" s="8610"/>
      <c r="GU34" s="8610"/>
      <c r="GV34" s="8610"/>
      <c r="GW34" s="8610"/>
      <c r="GX34" s="6326">
        <v>1E-3</v>
      </c>
      <c r="GY34" s="6243"/>
      <c r="GZ34" s="6244"/>
      <c r="HA34" s="6244"/>
      <c r="HB34" s="6244"/>
      <c r="HC34" s="6244"/>
      <c r="HD34" s="6244"/>
      <c r="HE34" s="6244"/>
      <c r="HF34" s="6273"/>
      <c r="HG34" s="6273"/>
      <c r="HH34" s="6247">
        <f t="shared" si="13"/>
        <v>0.192</v>
      </c>
      <c r="HI34" s="6247">
        <f t="shared" si="14"/>
        <v>0.22</v>
      </c>
      <c r="HJ34" s="6247">
        <f t="shared" si="29"/>
        <v>0.22</v>
      </c>
      <c r="HK34" s="6247"/>
      <c r="HL34" s="6248"/>
      <c r="HM34" s="6248"/>
      <c r="HN34" s="6249"/>
      <c r="HO34" s="5357"/>
    </row>
    <row r="35" spans="1:223" s="5349" customFormat="1" ht="25.5" customHeight="1">
      <c r="A35" s="5364" t="str">
        <f t="shared" si="15"/>
        <v>8300-03</v>
      </c>
      <c r="B35" s="9571"/>
      <c r="C35" s="5365" t="str">
        <f t="shared" si="30"/>
        <v>CC11</v>
      </c>
      <c r="D35" s="6109"/>
      <c r="E35" s="6113"/>
      <c r="F35" s="6109"/>
      <c r="G35" s="4636">
        <v>15</v>
      </c>
      <c r="H35" s="10169"/>
      <c r="I35" s="10157"/>
      <c r="J35" s="6892" t="s">
        <v>611</v>
      </c>
      <c r="K35" s="4738">
        <v>8300</v>
      </c>
      <c r="L35" s="8601" t="s">
        <v>344</v>
      </c>
      <c r="M35" s="10200"/>
      <c r="N35" s="4506"/>
      <c r="O35" s="4506"/>
      <c r="P35" s="4680" t="s">
        <v>1507</v>
      </c>
      <c r="Q35" s="367" t="s">
        <v>52</v>
      </c>
      <c r="R35" s="4680" t="str">
        <f>+IF(ISERROR(MATCH(X35,epa_id,0)),"",IF(X35="","",IF(VLOOKUP(MATCH(X35,epa_id,0),epa,'A1(epa)'!$S$17,FALSE)="","",VLOOKUP(MATCH(X35,epa_id,0),epa,'A1(epa)'!$S$17,FALSE))))</f>
        <v>11</v>
      </c>
      <c r="S35" s="305">
        <f>+IF(ISERROR(MATCH(X35,epa_id,0)),"",IF(X35="","",IF(VLOOKUP(MATCH(X35,epa_id,0),epa,'A1(epa)'!$R$17,FALSE)="","",VLOOKUP(MATCH(X35,epa_id,0),epa,'A1(epa)'!$R$17,FALSE))))</f>
        <v>542</v>
      </c>
      <c r="T35" s="6070" t="s">
        <v>794</v>
      </c>
      <c r="U35" s="4502">
        <v>3</v>
      </c>
      <c r="V35" s="4502">
        <v>1</v>
      </c>
      <c r="W35" s="4502">
        <f t="shared" ref="W35:W49" si="34">1+W34</f>
        <v>3</v>
      </c>
      <c r="X35" s="4652" t="str">
        <f t="shared" si="5"/>
        <v>8300-03</v>
      </c>
      <c r="Y35" s="4654" t="s">
        <v>1510</v>
      </c>
      <c r="Z35" s="8596" t="s">
        <v>811</v>
      </c>
      <c r="AA35" s="4681" t="s">
        <v>454</v>
      </c>
      <c r="AB35" s="4681"/>
      <c r="AC35" s="4656" t="s">
        <v>979</v>
      </c>
      <c r="AD35" s="4682" t="s">
        <v>454</v>
      </c>
      <c r="AE35" s="4658"/>
      <c r="AF35" s="329"/>
      <c r="AG35" s="330"/>
      <c r="AH35" s="331"/>
      <c r="AI35" s="4770"/>
      <c r="AJ35" s="4771"/>
      <c r="AK35" s="4772"/>
      <c r="AL35" s="4773" t="s">
        <v>806</v>
      </c>
      <c r="AM35" s="4792" t="s">
        <v>1554</v>
      </c>
      <c r="AN35" s="4774"/>
      <c r="AO35" s="4774">
        <v>41790</v>
      </c>
      <c r="AP35" s="4774">
        <v>40658</v>
      </c>
      <c r="AQ35" s="4774"/>
      <c r="AR35" s="4774"/>
      <c r="AS35" s="4774"/>
      <c r="AT35" s="4771"/>
      <c r="AU35" s="4771"/>
      <c r="AV35" s="368"/>
      <c r="AW35" s="368"/>
      <c r="AX35" s="368"/>
      <c r="AY35" s="369"/>
      <c r="AZ35" s="370"/>
      <c r="BA35" s="4823" t="s">
        <v>476</v>
      </c>
      <c r="BB35" s="624">
        <f>+IF(AND(G35="",BA35=""),"",VLOOKUP(MATCH(BA35,tw,0),twn,'A4(twn)'!$D$12,FALSE))</f>
        <v>67</v>
      </c>
      <c r="BC35" s="624" t="str">
        <f t="shared" si="17"/>
        <v xml:space="preserve"> -  / -  / 067 / - </v>
      </c>
      <c r="BD35" s="4506" t="s">
        <v>336</v>
      </c>
      <c r="BE35" s="4654" t="s">
        <v>239</v>
      </c>
      <c r="BF35" s="4833" t="s">
        <v>473</v>
      </c>
      <c r="BG35" s="4653" t="str">
        <f>+IF(OR(X35="",ISERROR(MATCH(X35,epa_id,0))),"",VLOOKUP(MATCH(X35,epa_id,0),epa,'A1(epa)'!$AH$17,FALSE))</f>
        <v>Connecticut Jet Power, LLC (Owner/Operator)</v>
      </c>
      <c r="BH35" s="4509"/>
      <c r="BI35" s="4509"/>
      <c r="BJ35" s="6132"/>
      <c r="BK35" s="335"/>
      <c r="BL35" s="371" t="s">
        <v>522</v>
      </c>
      <c r="BM35" s="6142" t="s">
        <v>1517</v>
      </c>
      <c r="BN35" s="371" t="s">
        <v>611</v>
      </c>
      <c r="BO35" s="335" t="s">
        <v>523</v>
      </c>
      <c r="BP35" s="327" t="s">
        <v>524</v>
      </c>
      <c r="BQ35" s="335"/>
      <c r="BR35" s="335"/>
      <c r="BS35" s="301" t="s">
        <v>525</v>
      </c>
      <c r="BT35" s="335"/>
      <c r="BU35" s="335"/>
      <c r="BV35" s="336"/>
      <c r="BW35" s="4850" t="s">
        <v>790</v>
      </c>
      <c r="BX35" s="335" t="s">
        <v>522</v>
      </c>
      <c r="BY35" s="335"/>
      <c r="BZ35" s="335"/>
      <c r="CA35" s="335"/>
      <c r="CB35" s="335"/>
      <c r="CC35" s="372"/>
      <c r="CD35" s="371"/>
      <c r="CE35" s="338"/>
      <c r="CF35" s="4374" t="s">
        <v>110</v>
      </c>
      <c r="CG35" s="4374"/>
      <c r="CH35" s="4862" t="str">
        <f>+IF(ISERROR(MATCH(X35,epa_id,0)),"",IF(X35="","",IF(VLOOKUP(MATCH(X35,epa_id,0),epa,'A1(epa)'!$AE$17,FALSE)="","",VLOOKUP(MATCH(X35,epa_id,0),epa,'A1(epa)'!$AE$17,FALSE))))</f>
        <v>Electric Utility</v>
      </c>
      <c r="CI35" s="4655" t="s">
        <v>944</v>
      </c>
      <c r="CJ35" s="4655" t="str">
        <f>+IF(ISERROR(MATCH(X35,epa_id,0)),"",IF(X35="","",IF(VLOOKUP(MATCH(X35,epa_id,0),epa,'A1(epa)'!$AF$17,FALSE)="","",VLOOKUP(MATCH(X35,epa_id,0),epa,'A1(epa)'!$AF$17,FALSE))))</f>
        <v>4911</v>
      </c>
      <c r="CK35" s="8560" t="str">
        <f>+IF(ISERROR(MATCH(X35,epa_id,0)),"",IF(X35="","",IF(VLOOKUP(MATCH(X35,epa_id,0),epa,'A1(epa)'!$AG$17,FALSE)="","",VLOOKUP(MATCH(X35,epa_id,0),epa,'A1(epa)'!$AG$17,FALSE))))</f>
        <v>Electric Services</v>
      </c>
      <c r="CL35" s="340" t="s">
        <v>114</v>
      </c>
      <c r="CM35" s="339"/>
      <c r="CN35" s="4887"/>
      <c r="CO35" s="4792" t="s">
        <v>385</v>
      </c>
      <c r="CP35" s="4792" t="s">
        <v>56</v>
      </c>
      <c r="CQ35" s="4888" t="s">
        <v>305</v>
      </c>
      <c r="CR35" s="4926" t="s">
        <v>58</v>
      </c>
      <c r="CS35" s="4926"/>
      <c r="CT35" s="8589">
        <v>20</v>
      </c>
      <c r="CU35" s="10160"/>
      <c r="CV35" s="4890"/>
      <c r="CW35" s="4891"/>
      <c r="CX35" s="4770"/>
      <c r="CY35" s="4936"/>
      <c r="CZ35" s="4937"/>
      <c r="DA35" s="4938"/>
      <c r="DB35" s="4770"/>
      <c r="DC35" s="4888">
        <v>1969</v>
      </c>
      <c r="DD35" s="4954">
        <v>25355</v>
      </c>
      <c r="DE35" s="4940">
        <f t="shared" ca="1" si="32"/>
        <v>45.107629470872311</v>
      </c>
      <c r="DF35" s="5095" t="s">
        <v>50</v>
      </c>
      <c r="DG35" s="5092" t="s">
        <v>48</v>
      </c>
      <c r="DH35" s="4926" t="s">
        <v>451</v>
      </c>
      <c r="DI35" s="4926" t="str">
        <f t="shared" si="31"/>
        <v>Ultra low sulfur kerosene  oil (ULSD)</v>
      </c>
      <c r="DJ35" s="6070"/>
      <c r="DK35" s="6070"/>
      <c r="DL35" s="6070"/>
      <c r="DM35" s="6070"/>
      <c r="DN35" s="5007"/>
      <c r="DO35" s="6070"/>
      <c r="DP35" s="5008"/>
      <c r="DQ35" s="5009"/>
      <c r="DR35" s="6070"/>
      <c r="DS35" s="6070"/>
      <c r="DT35" s="6070"/>
      <c r="DU35" s="6070"/>
      <c r="DV35" s="5007"/>
      <c r="DW35" s="6070"/>
      <c r="DX35" s="5008"/>
      <c r="DY35" s="5009"/>
      <c r="DZ35" s="6070"/>
      <c r="EA35" s="6070"/>
      <c r="EB35" s="6070"/>
      <c r="EC35" s="6070"/>
      <c r="ED35" s="5007"/>
      <c r="EE35" s="6070"/>
      <c r="EF35" s="3478"/>
      <c r="EG35" s="5042" t="s">
        <v>185</v>
      </c>
      <c r="EH35" s="6175">
        <v>256</v>
      </c>
      <c r="EI35" s="5034">
        <v>0.185</v>
      </c>
      <c r="EJ35" s="5043"/>
      <c r="EK35" s="5043" t="s">
        <v>920</v>
      </c>
      <c r="EL35" s="5034">
        <v>0.22</v>
      </c>
      <c r="EM35" s="5034"/>
      <c r="EN35" s="5034"/>
      <c r="EO35" s="5034"/>
      <c r="EP35" s="5034"/>
      <c r="EQ35" s="5034"/>
      <c r="ER35" s="5033"/>
      <c r="ES35" s="5033"/>
      <c r="ET35" s="6176">
        <v>0.15</v>
      </c>
      <c r="EU35" s="5033"/>
      <c r="EV35" s="345"/>
      <c r="EW35" s="5065">
        <v>0.15</v>
      </c>
      <c r="EX35" s="5033"/>
      <c r="EY35" s="5033"/>
      <c r="EZ35" s="5074">
        <v>39771</v>
      </c>
      <c r="FA35" s="5074">
        <v>41597</v>
      </c>
      <c r="FB35" s="5067">
        <f t="shared" si="33"/>
        <v>4.9993155373032172</v>
      </c>
      <c r="FC35" s="346"/>
      <c r="FD35" s="6177">
        <f>+IF(X35="","",IF(2010-VLOOKUP(MATCH(X35,eyr_id,0),eyr,'A1(epa)'!$U$17,FALSE)=0,IF(VLOOKUP(MATCH(X35,eyr_id,0),eyr,'A1(epa)'!$U$17,FALSE)=0,"",VLOOKUP(MATCH(X35,eyr_id,0),eyr,'A1(epa)'!$U$17,FALSE))))</f>
        <v>2010</v>
      </c>
      <c r="FE35" s="6178">
        <f>+IF(X35="","",IF(2010-VLOOKUP(MATCH(X35,eyr_id,0),eyr,'A1(epa)'!$U$17,FALSE)=0,IF(VLOOKUP(MATCH(X35,eyr_id,0),eyr,'A1(epa)'!$X$17,FALSE)=0,"",VLOOKUP(MATCH(X35,eyr_id,0),eyr,'A1(epa)'!$X$17,FALSE))))</f>
        <v>6</v>
      </c>
      <c r="FF35" s="6179">
        <f>+IF(X35="","",IF(2010-VLOOKUP(MATCH(X35,eyr_id,0),eyr,'A1(epa)'!$U$17,FALSE)=0,IF(VLOOKUP(MATCH(X35,eyr_id,0),eyr,'A1(epa)'!$W$17,FALSE)=0,"",VLOOKUP(MATCH(X35,eyr_id,0),eyr,'A1(epa)'!$W$17,FALSE))))</f>
        <v>40</v>
      </c>
      <c r="FG35" s="6180">
        <f>+IF(X35="","",IF(2010-VLOOKUP(MATCH(X35,eyr_id,0),eyr,'A1(epa)'!$U$17,FALSE)=0,IF(VLOOKUP(MATCH(X35,eyr_id,0),eyr,'A1(epa)'!$AC$17,FALSE)=0,"",VLOOKUP(MATCH(X35,eyr_id,0),eyr,'A1(epa)'!$AC$17,FALSE))))</f>
        <v>10085</v>
      </c>
      <c r="FH35" s="6180">
        <f>+IF(X35="","",IF(2010-VLOOKUP(MATCH(X35,eyr_id,0),eyr,'A1(epa)'!$U$17,FALSE)=0,IF(VLOOKUP(MATCH(X35,eyr_id,0),eyr,'A1(epa)'!$Y$17,FALSE)=0,"",VLOOKUP(MATCH(X35,eyr_id,0),eyr,'A1(epa)'!$Y$17,FALSE))))</f>
        <v>619</v>
      </c>
      <c r="FI35" s="6181">
        <f>+IF(X35="","",IF(2010-VLOOKUP(MATCH(X35,eyr_id,0),eyr,'A1(epa)'!$U$17,FALSE)=0,IF(VLOOKUP(MATCH(X35,eyr_id,0),eyr,'A1(epa)'!$AB$17,FALSE)=0,"",VLOOKUP(MATCH(X35,eyr_id,0),eyr,'A1(epa)'!$AB$17,FALSE))))</f>
        <v>6.1</v>
      </c>
      <c r="FJ35" s="6177">
        <f>+IF(X35="","",IF(2009-VLOOKUP(MATCH(X35,eyr_id,0)+1,eyr,'A1(epa)'!$U$17,FALSE)=0,IF(VLOOKUP(MATCH(X35,eyr_id,0)+1,eyr,'A1(epa)'!$U$17,FALSE)=0,"",VLOOKUP(MATCH(X35,eyr_id,0)+1,eyr,'A1(epa)'!$U$17,FALSE))))</f>
        <v>2009</v>
      </c>
      <c r="FK35" s="6178">
        <f>+IF(X35="","",IF(2009-VLOOKUP(MATCH(X35,eyr_id,0)+1,eyr,'A1(epa)'!$U$17,FALSE)=0,IF(VLOOKUP(MATCH(X35,eyr_id,0)+1,eyr,'A1(epa)'!$X$17,FALSE)=0,"",VLOOKUP(MATCH(X35,eyr_id,0)+1,eyr,'A1(epa)'!$X$17,FALSE))))</f>
        <v>6</v>
      </c>
      <c r="FL35" s="6179">
        <f>+IF(X35="","",IF(2009-VLOOKUP(MATCH(X35,eyr_id,0)+1,eyr,'A1(epa)'!$U$17,FALSE)=0,IF(VLOOKUP(MATCH(X35,eyr_id,0)+1,eyr,'A1(epa)'!$W$17,FALSE)=0,"",VLOOKUP(MATCH(X35,eyr_id,0)+1,eyr,'A1(epa)'!$W$17,FALSE))))</f>
        <v>6</v>
      </c>
      <c r="FM35" s="6180">
        <f>+IF(X35="","",IF(2009-VLOOKUP(MATCH(X35,eyr_id,0)+1,eyr,'A1(epa)'!$U$17,FALSE)=0,IF(VLOOKUP(MATCH(X35,eyr_id,0)+1,eyr,'A1(epa)'!$AC$17,FALSE)=0,"",VLOOKUP(MATCH(X35,eyr_id,0)+1,eyr,'A1(epa)'!$AC$17,FALSE))))</f>
        <v>1465</v>
      </c>
      <c r="FN35" s="6180">
        <f>+IF(X35="","",IF(2009-VLOOKUP(MATCH(X35,eyr_id,0)+1,eyr,'A1(epa)'!$U$17,FALSE)=0,IF(VLOOKUP(MATCH(X35,eyr_id,0)+1,eyr,'A1(epa)'!$Y$17,FALSE)=0,"",VLOOKUP(MATCH(X35,eyr_id,0)+1,eyr,'A1(epa)'!$Y$17,FALSE))))</f>
        <v>102</v>
      </c>
      <c r="FO35" s="6181">
        <f>+IF(X35="","",IF(2009-VLOOKUP(MATCH(X35,eyr_id,0)+1,eyr,'A1(epa)'!$U$17,FALSE)=0,IF(VLOOKUP(MATCH(X35,eyr_id,0)+1,eyr,'A1(epa)'!$AB$17,FALSE)=0,"",VLOOKUP(MATCH(X35,eyr_id,0)+1,eyr,'A1(epa)'!$AB$17,FALSE))))</f>
        <v>0.9</v>
      </c>
      <c r="FP35" s="5092" t="s">
        <v>312</v>
      </c>
      <c r="FQ35" s="5093"/>
      <c r="FR35" s="5093" t="s">
        <v>1022</v>
      </c>
      <c r="FS35" s="5093"/>
      <c r="FT35" s="5093"/>
      <c r="FU35" s="5093"/>
      <c r="FV35" s="4962" t="s">
        <v>570</v>
      </c>
      <c r="FW35" s="89">
        <v>2010</v>
      </c>
      <c r="FX35" s="6357" t="s">
        <v>1979</v>
      </c>
      <c r="FY35" s="6251"/>
      <c r="FZ35" s="6251"/>
      <c r="GA35" s="6251"/>
      <c r="GB35" s="6353"/>
      <c r="GC35" s="6251"/>
      <c r="GD35" s="8611"/>
      <c r="GE35" s="6312"/>
      <c r="GF35" s="8611"/>
      <c r="GG35" s="8611" t="str">
        <f t="shared" si="9"/>
        <v/>
      </c>
      <c r="GH35" s="8611"/>
      <c r="GI35" s="8611"/>
      <c r="GJ35" s="6328">
        <v>1E-3</v>
      </c>
      <c r="GK35" s="89">
        <v>2009</v>
      </c>
      <c r="GL35" s="6327" t="s">
        <v>1979</v>
      </c>
      <c r="GM35" s="6311"/>
      <c r="GN35" s="6311"/>
      <c r="GO35" s="6311"/>
      <c r="GP35" s="6311"/>
      <c r="GQ35" s="6311"/>
      <c r="GR35" s="8611"/>
      <c r="GS35" s="8611"/>
      <c r="GT35" s="8611"/>
      <c r="GU35" s="8611"/>
      <c r="GV35" s="8611"/>
      <c r="GW35" s="8611"/>
      <c r="GX35" s="6328">
        <v>1E-3</v>
      </c>
      <c r="GY35" s="6250"/>
      <c r="GZ35" s="6251"/>
      <c r="HA35" s="6251"/>
      <c r="HB35" s="6251"/>
      <c r="HC35" s="6251"/>
      <c r="HD35" s="6251"/>
      <c r="HE35" s="6251"/>
      <c r="HF35" s="6274"/>
      <c r="HG35" s="6274"/>
      <c r="HH35" s="6254">
        <f t="shared" si="13"/>
        <v>0.185</v>
      </c>
      <c r="HI35" s="6254">
        <f t="shared" si="14"/>
        <v>0.22</v>
      </c>
      <c r="HJ35" s="6254">
        <f t="shared" si="29"/>
        <v>0.22</v>
      </c>
      <c r="HK35" s="6254"/>
      <c r="HL35" s="6255"/>
      <c r="HM35" s="6255"/>
      <c r="HN35" s="6256"/>
      <c r="HO35" s="5357"/>
    </row>
    <row r="36" spans="1:223" s="5349" customFormat="1" ht="25.5" customHeight="1">
      <c r="A36" s="5364" t="str">
        <f t="shared" si="15"/>
        <v>8300-04</v>
      </c>
      <c r="B36" s="9571"/>
      <c r="C36" s="5365" t="str">
        <f t="shared" si="30"/>
        <v>CC12</v>
      </c>
      <c r="D36" s="6109"/>
      <c r="E36" s="6113"/>
      <c r="F36" s="6109"/>
      <c r="G36" s="4636">
        <v>16</v>
      </c>
      <c r="H36" s="10173"/>
      <c r="I36" s="10157"/>
      <c r="J36" s="4749" t="s">
        <v>611</v>
      </c>
      <c r="K36" s="4739">
        <v>8300</v>
      </c>
      <c r="L36" s="8602" t="s">
        <v>344</v>
      </c>
      <c r="M36" s="10201"/>
      <c r="N36" s="355"/>
      <c r="O36" s="355"/>
      <c r="P36" s="4683" t="s">
        <v>1508</v>
      </c>
      <c r="Q36" s="373" t="s">
        <v>53</v>
      </c>
      <c r="R36" s="4683" t="str">
        <f>+IF(ISERROR(MATCH(X36,epa_id,0)),"",IF(X36="","",IF(VLOOKUP(MATCH(X36,epa_id,0),epa,'A1(epa)'!$S$17,FALSE)="","",VLOOKUP(MATCH(X36,epa_id,0),epa,'A1(epa)'!$S$17,FALSE))))</f>
        <v>12</v>
      </c>
      <c r="S36" s="306">
        <f>+IF(ISERROR(MATCH(X36,epa_id,0)),"",IF(X36="","",IF(VLOOKUP(MATCH(X36,epa_id,0),epa,'A1(epa)'!$R$17,FALSE)="","",VLOOKUP(MATCH(X36,epa_id,0),epa,'A1(epa)'!$R$17,FALSE))))</f>
        <v>542</v>
      </c>
      <c r="T36" s="6071" t="s">
        <v>794</v>
      </c>
      <c r="U36" s="350">
        <v>3</v>
      </c>
      <c r="V36" s="350">
        <v>1</v>
      </c>
      <c r="W36" s="350">
        <f t="shared" si="34"/>
        <v>4</v>
      </c>
      <c r="X36" s="4660" t="str">
        <f t="shared" si="5"/>
        <v>8300-04</v>
      </c>
      <c r="Y36" s="4662" t="s">
        <v>1510</v>
      </c>
      <c r="Z36" s="8597" t="s">
        <v>811</v>
      </c>
      <c r="AA36" s="4684" t="s">
        <v>455</v>
      </c>
      <c r="AB36" s="4684"/>
      <c r="AC36" s="4664" t="s">
        <v>979</v>
      </c>
      <c r="AD36" s="4685" t="s">
        <v>455</v>
      </c>
      <c r="AE36" s="4666"/>
      <c r="AF36" s="351"/>
      <c r="AG36" s="5149"/>
      <c r="AH36" s="5151"/>
      <c r="AI36" s="4777"/>
      <c r="AJ36" s="4778"/>
      <c r="AK36" s="4779"/>
      <c r="AL36" s="4780" t="s">
        <v>806</v>
      </c>
      <c r="AM36" s="4793" t="s">
        <v>1554</v>
      </c>
      <c r="AN36" s="4781"/>
      <c r="AO36" s="4781">
        <v>41790</v>
      </c>
      <c r="AP36" s="4781">
        <v>40658</v>
      </c>
      <c r="AQ36" s="4781"/>
      <c r="AR36" s="4781"/>
      <c r="AS36" s="4781"/>
      <c r="AT36" s="4778"/>
      <c r="AU36" s="4778"/>
      <c r="AV36" s="374"/>
      <c r="AW36" s="374"/>
      <c r="AX36" s="374"/>
      <c r="AY36" s="375"/>
      <c r="AZ36" s="376"/>
      <c r="BA36" s="4825" t="s">
        <v>476</v>
      </c>
      <c r="BB36" s="613">
        <f>+IF(AND(G36="",BA36=""),"",VLOOKUP(MATCH(BA36,tw,0),twn,'A4(twn)'!$D$12,FALSE))</f>
        <v>67</v>
      </c>
      <c r="BC36" s="613" t="str">
        <f t="shared" si="17"/>
        <v xml:space="preserve"> -  / -  / 067 / - </v>
      </c>
      <c r="BD36" s="355" t="s">
        <v>336</v>
      </c>
      <c r="BE36" s="4662" t="s">
        <v>239</v>
      </c>
      <c r="BF36" s="4834" t="s">
        <v>473</v>
      </c>
      <c r="BG36" s="4661" t="str">
        <f>+IF(OR(X36="",ISERROR(MATCH(X36,epa_id,0))),"",VLOOKUP(MATCH(X36,epa_id,0),epa,'A1(epa)'!$AH$17,FALSE))</f>
        <v>Connecticut Jet Power, LLC (Owner/Operator)</v>
      </c>
      <c r="BH36" s="4835"/>
      <c r="BI36" s="4835"/>
      <c r="BJ36" s="6133"/>
      <c r="BK36" s="356"/>
      <c r="BL36" s="377" t="s">
        <v>522</v>
      </c>
      <c r="BM36" s="6143" t="s">
        <v>1517</v>
      </c>
      <c r="BN36" s="377" t="s">
        <v>611</v>
      </c>
      <c r="BO36" s="356" t="s">
        <v>523</v>
      </c>
      <c r="BP36" s="348" t="s">
        <v>524</v>
      </c>
      <c r="BQ36" s="356"/>
      <c r="BR36" s="356"/>
      <c r="BS36" s="302" t="s">
        <v>525</v>
      </c>
      <c r="BT36" s="356"/>
      <c r="BU36" s="356"/>
      <c r="BV36" s="357"/>
      <c r="BW36" s="4851" t="s">
        <v>790</v>
      </c>
      <c r="BX36" s="356" t="s">
        <v>522</v>
      </c>
      <c r="BY36" s="356"/>
      <c r="BZ36" s="356"/>
      <c r="CA36" s="356"/>
      <c r="CB36" s="356"/>
      <c r="CC36" s="378"/>
      <c r="CD36" s="377"/>
      <c r="CE36" s="359"/>
      <c r="CF36" s="4375" t="s">
        <v>110</v>
      </c>
      <c r="CG36" s="4375"/>
      <c r="CH36" s="4863" t="str">
        <f>+IF(ISERROR(MATCH(X36,epa_id,0)),"",IF(X36="","",IF(VLOOKUP(MATCH(X36,epa_id,0),epa,'A1(epa)'!$AE$17,FALSE)="","",VLOOKUP(MATCH(X36,epa_id,0),epa,'A1(epa)'!$AE$17,FALSE))))</f>
        <v>Electric Utility</v>
      </c>
      <c r="CI36" s="4663" t="s">
        <v>944</v>
      </c>
      <c r="CJ36" s="4663" t="str">
        <f>+IF(ISERROR(MATCH(X36,epa_id,0)),"",IF(X36="","",IF(VLOOKUP(MATCH(X36,epa_id,0),epa,'A1(epa)'!$AF$17,FALSE)="","",VLOOKUP(MATCH(X36,epa_id,0),epa,'A1(epa)'!$AF$17,FALSE))))</f>
        <v>4911</v>
      </c>
      <c r="CK36" s="4702" t="str">
        <f>+IF(ISERROR(MATCH(X36,epa_id,0)),"",IF(X36="","",IF(VLOOKUP(MATCH(X36,epa_id,0),epa,'A1(epa)'!$AG$17,FALSE)="","",VLOOKUP(MATCH(X36,epa_id,0),epa,'A1(epa)'!$AG$17,FALSE))))</f>
        <v>Electric Services</v>
      </c>
      <c r="CL36" s="361" t="s">
        <v>114</v>
      </c>
      <c r="CM36" s="360"/>
      <c r="CN36" s="4892"/>
      <c r="CO36" s="4793" t="s">
        <v>385</v>
      </c>
      <c r="CP36" s="4793" t="s">
        <v>56</v>
      </c>
      <c r="CQ36" s="4893" t="s">
        <v>305</v>
      </c>
      <c r="CR36" s="4913" t="s">
        <v>58</v>
      </c>
      <c r="CS36" s="4913"/>
      <c r="CT36" s="8590">
        <v>20</v>
      </c>
      <c r="CU36" s="10160"/>
      <c r="CV36" s="4895"/>
      <c r="CW36" s="4896"/>
      <c r="CX36" s="4777"/>
      <c r="CY36" s="4941"/>
      <c r="CZ36" s="4942"/>
      <c r="DA36" s="4943"/>
      <c r="DB36" s="4777"/>
      <c r="DC36" s="4893">
        <v>1969</v>
      </c>
      <c r="DD36" s="4955">
        <v>25355</v>
      </c>
      <c r="DE36" s="4945">
        <f t="shared" ca="1" si="32"/>
        <v>45.107629470872311</v>
      </c>
      <c r="DF36" s="5098" t="s">
        <v>50</v>
      </c>
      <c r="DG36" s="4977" t="s">
        <v>48</v>
      </c>
      <c r="DH36" s="4913" t="s">
        <v>451</v>
      </c>
      <c r="DI36" s="4913" t="str">
        <f t="shared" si="31"/>
        <v>Ultra low sulfur kerosene  oil (ULSD)</v>
      </c>
      <c r="DJ36" s="6071"/>
      <c r="DK36" s="6071"/>
      <c r="DL36" s="6071"/>
      <c r="DM36" s="6071"/>
      <c r="DN36" s="5010"/>
      <c r="DO36" s="6071"/>
      <c r="DP36" s="5011"/>
      <c r="DQ36" s="5012"/>
      <c r="DR36" s="6071"/>
      <c r="DS36" s="6071"/>
      <c r="DT36" s="6071"/>
      <c r="DU36" s="6071"/>
      <c r="DV36" s="5010"/>
      <c r="DW36" s="6071"/>
      <c r="DX36" s="5011"/>
      <c r="DY36" s="5012"/>
      <c r="DZ36" s="6071"/>
      <c r="EA36" s="6071"/>
      <c r="EB36" s="6071"/>
      <c r="EC36" s="6071"/>
      <c r="ED36" s="5010"/>
      <c r="EE36" s="6071"/>
      <c r="EF36" s="5013"/>
      <c r="EG36" s="5044" t="s">
        <v>185</v>
      </c>
      <c r="EH36" s="6183">
        <v>256</v>
      </c>
      <c r="EI36" s="5036">
        <v>0.19400000000000001</v>
      </c>
      <c r="EJ36" s="5045"/>
      <c r="EK36" s="5045" t="s">
        <v>920</v>
      </c>
      <c r="EL36" s="5036">
        <v>0.22</v>
      </c>
      <c r="EM36" s="5036"/>
      <c r="EN36" s="5036"/>
      <c r="EO36" s="5036"/>
      <c r="EP36" s="5036"/>
      <c r="EQ36" s="5036"/>
      <c r="ER36" s="5035"/>
      <c r="ES36" s="5035"/>
      <c r="ET36" s="6184">
        <v>0.15</v>
      </c>
      <c r="EU36" s="5035"/>
      <c r="EV36" s="365"/>
      <c r="EW36" s="5068">
        <v>0.15</v>
      </c>
      <c r="EX36" s="5035"/>
      <c r="EY36" s="5035"/>
      <c r="EZ36" s="5075">
        <v>39771</v>
      </c>
      <c r="FA36" s="5075">
        <v>41597</v>
      </c>
      <c r="FB36" s="5070">
        <f t="shared" si="33"/>
        <v>4.9993155373032172</v>
      </c>
      <c r="FC36" s="366"/>
      <c r="FD36" s="6185">
        <f>+IF(X36="","",IF(2010-VLOOKUP(MATCH(X36,eyr_id,0),eyr,'A1(epa)'!$U$17,FALSE)=0,IF(VLOOKUP(MATCH(X36,eyr_id,0),eyr,'A1(epa)'!$U$17,FALSE)=0,"",VLOOKUP(MATCH(X36,eyr_id,0),eyr,'A1(epa)'!$U$17,FALSE))))</f>
        <v>2010</v>
      </c>
      <c r="FE36" s="6186">
        <f>+IF(X36="","",IF(2010-VLOOKUP(MATCH(X36,eyr_id,0),eyr,'A1(epa)'!$U$17,FALSE)=0,IF(VLOOKUP(MATCH(X36,eyr_id,0),eyr,'A1(epa)'!$X$17,FALSE)=0,"",VLOOKUP(MATCH(X36,eyr_id,0),eyr,'A1(epa)'!$X$17,FALSE))))</f>
        <v>6</v>
      </c>
      <c r="FF36" s="6187">
        <f>+IF(X36="","",IF(2010-VLOOKUP(MATCH(X36,eyr_id,0),eyr,'A1(epa)'!$U$17,FALSE)=0,IF(VLOOKUP(MATCH(X36,eyr_id,0),eyr,'A1(epa)'!$W$17,FALSE)=0,"",VLOOKUP(MATCH(X36,eyr_id,0),eyr,'A1(epa)'!$W$17,FALSE))))</f>
        <v>51</v>
      </c>
      <c r="FG36" s="6188">
        <f>+IF(X36="","",IF(2010-VLOOKUP(MATCH(X36,eyr_id,0),eyr,'A1(epa)'!$U$17,FALSE)=0,IF(VLOOKUP(MATCH(X36,eyr_id,0),eyr,'A1(epa)'!$AC$17,FALSE)=0,"",VLOOKUP(MATCH(X36,eyr_id,0),eyr,'A1(epa)'!$AC$17,FALSE))))</f>
        <v>12848</v>
      </c>
      <c r="FH36" s="6188">
        <f>+IF(X36="","",IF(2010-VLOOKUP(MATCH(X36,eyr_id,0),eyr,'A1(epa)'!$U$17,FALSE)=0,IF(VLOOKUP(MATCH(X36,eyr_id,0),eyr,'A1(epa)'!$Y$17,FALSE)=0,"",VLOOKUP(MATCH(X36,eyr_id,0),eyr,'A1(epa)'!$Y$17,FALSE))))</f>
        <v>790</v>
      </c>
      <c r="FI36" s="6189">
        <f>+IF(X36="","",IF(2010-VLOOKUP(MATCH(X36,eyr_id,0),eyr,'A1(epa)'!$U$17,FALSE)=0,IF(VLOOKUP(MATCH(X36,eyr_id,0),eyr,'A1(epa)'!$AB$17,FALSE)=0,"",VLOOKUP(MATCH(X36,eyr_id,0),eyr,'A1(epa)'!$AB$17,FALSE))))</f>
        <v>7.7</v>
      </c>
      <c r="FJ36" s="6185">
        <f>+IF(X36="","",IF(2009-VLOOKUP(MATCH(X36,eyr_id,0)+1,eyr,'A1(epa)'!$U$17,FALSE)=0,IF(VLOOKUP(MATCH(X36,eyr_id,0)+1,eyr,'A1(epa)'!$U$17,FALSE)=0,"",VLOOKUP(MATCH(X36,eyr_id,0)+1,eyr,'A1(epa)'!$U$17,FALSE))))</f>
        <v>2009</v>
      </c>
      <c r="FK36" s="6186">
        <f>+IF(X36="","",IF(2009-VLOOKUP(MATCH(X36,eyr_id,0)+1,eyr,'A1(epa)'!$U$17,FALSE)=0,IF(VLOOKUP(MATCH(X36,eyr_id,0)+1,eyr,'A1(epa)'!$X$17,FALSE)=0,"",VLOOKUP(MATCH(X36,eyr_id,0)+1,eyr,'A1(epa)'!$X$17,FALSE))))</f>
        <v>6</v>
      </c>
      <c r="FL36" s="6187">
        <f>+IF(X36="","",IF(2009-VLOOKUP(MATCH(X36,eyr_id,0)+1,eyr,'A1(epa)'!$U$17,FALSE)=0,IF(VLOOKUP(MATCH(X36,eyr_id,0)+1,eyr,'A1(epa)'!$W$17,FALSE)=0,"",VLOOKUP(MATCH(X36,eyr_id,0)+1,eyr,'A1(epa)'!$W$17,FALSE))))</f>
        <v>7</v>
      </c>
      <c r="FM36" s="6188">
        <f>+IF(X36="","",IF(2009-VLOOKUP(MATCH(X36,eyr_id,0)+1,eyr,'A1(epa)'!$U$17,FALSE)=0,IF(VLOOKUP(MATCH(X36,eyr_id,0)+1,eyr,'A1(epa)'!$AC$17,FALSE)=0,"",VLOOKUP(MATCH(X36,eyr_id,0)+1,eyr,'A1(epa)'!$AC$17,FALSE))))</f>
        <v>1780</v>
      </c>
      <c r="FN36" s="6188">
        <f>+IF(X36="","",IF(2009-VLOOKUP(MATCH(X36,eyr_id,0)+1,eyr,'A1(epa)'!$U$17,FALSE)=0,IF(VLOOKUP(MATCH(X36,eyr_id,0)+1,eyr,'A1(epa)'!$Y$17,FALSE)=0,"",VLOOKUP(MATCH(X36,eyr_id,0)+1,eyr,'A1(epa)'!$Y$17,FALSE))))</f>
        <v>131</v>
      </c>
      <c r="FO36" s="6189">
        <f>+IF(X36="","",IF(2009-VLOOKUP(MATCH(X36,eyr_id,0)+1,eyr,'A1(epa)'!$U$17,FALSE)=0,IF(VLOOKUP(MATCH(X36,eyr_id,0)+1,eyr,'A1(epa)'!$AB$17,FALSE)=0,"",VLOOKUP(MATCH(X36,eyr_id,0)+1,eyr,'A1(epa)'!$AB$17,FALSE))))</f>
        <v>1.1000000000000001</v>
      </c>
      <c r="FP36" s="4977" t="s">
        <v>312</v>
      </c>
      <c r="FQ36" s="5096"/>
      <c r="FR36" s="5096" t="s">
        <v>1022</v>
      </c>
      <c r="FS36" s="5096"/>
      <c r="FT36" s="5096"/>
      <c r="FU36" s="5096"/>
      <c r="FV36" s="5101" t="s">
        <v>570</v>
      </c>
      <c r="FW36" s="158">
        <v>2010</v>
      </c>
      <c r="FX36" s="6258" t="s">
        <v>1979</v>
      </c>
      <c r="FY36" s="6258"/>
      <c r="FZ36" s="6258"/>
      <c r="GA36" s="6258"/>
      <c r="GB36" s="6354"/>
      <c r="GC36" s="6258"/>
      <c r="GD36" s="6315"/>
      <c r="GE36" s="6316"/>
      <c r="GF36" s="6315"/>
      <c r="GG36" s="6315" t="str">
        <f t="shared" si="9"/>
        <v/>
      </c>
      <c r="GH36" s="6315"/>
      <c r="GI36" s="6315"/>
      <c r="GJ36" s="6329">
        <v>1E-3</v>
      </c>
      <c r="GK36" s="158">
        <v>2009</v>
      </c>
      <c r="GL36" s="6314" t="s">
        <v>1979</v>
      </c>
      <c r="GM36" s="6314"/>
      <c r="GN36" s="6314"/>
      <c r="GO36" s="6314"/>
      <c r="GP36" s="6314"/>
      <c r="GQ36" s="6314"/>
      <c r="GR36" s="6315"/>
      <c r="GS36" s="6315"/>
      <c r="GT36" s="6315"/>
      <c r="GU36" s="6315"/>
      <c r="GV36" s="6315"/>
      <c r="GW36" s="6315"/>
      <c r="GX36" s="6329">
        <v>1E-3</v>
      </c>
      <c r="GY36" s="6257"/>
      <c r="GZ36" s="6258"/>
      <c r="HA36" s="6258"/>
      <c r="HB36" s="6258"/>
      <c r="HC36" s="6258"/>
      <c r="HD36" s="6258"/>
      <c r="HE36" s="6258"/>
      <c r="HF36" s="6275"/>
      <c r="HG36" s="6275"/>
      <c r="HH36" s="6260">
        <f t="shared" si="13"/>
        <v>0.19400000000000001</v>
      </c>
      <c r="HI36" s="6260">
        <f t="shared" si="14"/>
        <v>0.22</v>
      </c>
      <c r="HJ36" s="6260">
        <f t="shared" si="29"/>
        <v>0.22</v>
      </c>
      <c r="HK36" s="6260"/>
      <c r="HL36" s="6261"/>
      <c r="HM36" s="6261"/>
      <c r="HN36" s="6262"/>
      <c r="HO36" s="5357"/>
    </row>
    <row r="37" spans="1:223" s="5349" customFormat="1" ht="25.5" customHeight="1">
      <c r="A37" s="5364" t="str">
        <f t="shared" ref="A37:A49" si="35">+X37</f>
        <v>8300-05</v>
      </c>
      <c r="B37" s="9571"/>
      <c r="C37" s="5365" t="str">
        <f t="shared" si="30"/>
        <v>CC13</v>
      </c>
      <c r="D37" s="6109"/>
      <c r="E37" s="6113"/>
      <c r="F37" s="6109"/>
      <c r="G37" s="4636">
        <v>17</v>
      </c>
      <c r="H37" s="10168">
        <v>8</v>
      </c>
      <c r="I37" s="10157"/>
      <c r="J37" s="4746" t="s">
        <v>611</v>
      </c>
      <c r="K37" s="4736">
        <v>8300</v>
      </c>
      <c r="L37" s="4737" t="s">
        <v>344</v>
      </c>
      <c r="M37" s="10196" t="s">
        <v>2081</v>
      </c>
      <c r="N37" s="4545"/>
      <c r="O37" s="4545"/>
      <c r="P37" s="4545" t="s">
        <v>456</v>
      </c>
      <c r="Q37" s="4598" t="s">
        <v>54</v>
      </c>
      <c r="R37" s="4545" t="str">
        <f>+IF(ISERROR(MATCH(X37,epa_id,0)),"",IF(X37="","",IF(VLOOKUP(MATCH(X37,epa_id,0),epa,'A1(epa)'!$S$17,FALSE)="","",VLOOKUP(MATCH(X37,epa_id,0),epa,'A1(epa)'!$S$17,FALSE))))</f>
        <v>13</v>
      </c>
      <c r="S37" s="4534">
        <f>+IF(ISERROR(MATCH(X37,epa_id,0)),"",IF(X37="","",IF(VLOOKUP(MATCH(X37,epa_id,0),epa,'A1(epa)'!$R$17,FALSE)="","",VLOOKUP(MATCH(X37,epa_id,0),epa,'A1(epa)'!$R$17,FALSE))))</f>
        <v>542</v>
      </c>
      <c r="T37" s="4537" t="s">
        <v>794</v>
      </c>
      <c r="U37" s="4538">
        <v>2</v>
      </c>
      <c r="V37" s="4538">
        <v>1</v>
      </c>
      <c r="W37" s="4538">
        <f>1+W36</f>
        <v>5</v>
      </c>
      <c r="X37" s="4644" t="str">
        <f t="shared" si="5"/>
        <v>8300-05</v>
      </c>
      <c r="Y37" s="4646" t="s">
        <v>1510</v>
      </c>
      <c r="Z37" s="8595" t="s">
        <v>1513</v>
      </c>
      <c r="AA37" s="4678" t="s">
        <v>596</v>
      </c>
      <c r="AB37" s="4678"/>
      <c r="AC37" s="4649" t="s">
        <v>979</v>
      </c>
      <c r="AD37" s="4679" t="s">
        <v>596</v>
      </c>
      <c r="AE37" s="4651"/>
      <c r="AF37" s="4539"/>
      <c r="AG37" s="4540"/>
      <c r="AH37" s="4541"/>
      <c r="AI37" s="4763"/>
      <c r="AJ37" s="4764"/>
      <c r="AK37" s="4765"/>
      <c r="AL37" s="4766" t="s">
        <v>806</v>
      </c>
      <c r="AM37" s="4791" t="s">
        <v>1554</v>
      </c>
      <c r="AN37" s="4767"/>
      <c r="AO37" s="4767">
        <v>41790</v>
      </c>
      <c r="AP37" s="4767">
        <v>40658</v>
      </c>
      <c r="AQ37" s="4767"/>
      <c r="AR37" s="4767"/>
      <c r="AS37" s="4767"/>
      <c r="AT37" s="4764"/>
      <c r="AU37" s="4764"/>
      <c r="AV37" s="4599"/>
      <c r="AW37" s="4599"/>
      <c r="AX37" s="4599"/>
      <c r="AY37" s="4600"/>
      <c r="AZ37" s="4601"/>
      <c r="BA37" s="4820" t="s">
        <v>476</v>
      </c>
      <c r="BB37" s="4821">
        <f>+IF(AND(G37="",BA37=""),"",VLOOKUP(MATCH(BA37,tw,0),twn,'A4(twn)'!$D$12,FALSE))</f>
        <v>67</v>
      </c>
      <c r="BC37" s="4821" t="str">
        <f t="shared" si="17"/>
        <v xml:space="preserve"> -  / -  / 067 / - </v>
      </c>
      <c r="BD37" s="4545" t="s">
        <v>336</v>
      </c>
      <c r="BE37" s="4646" t="s">
        <v>239</v>
      </c>
      <c r="BF37" s="4831" t="s">
        <v>473</v>
      </c>
      <c r="BG37" s="4645" t="str">
        <f>+IF(OR(X37="",ISERROR(MATCH(X37,epa_id,0))),"",VLOOKUP(MATCH(X37,epa_id,0),epa,'A1(epa)'!$AH$17,FALSE))</f>
        <v>Connecticut Jet Power, LLC (Owner/Operator)</v>
      </c>
      <c r="BH37" s="4832"/>
      <c r="BI37" s="4832"/>
      <c r="BJ37" s="6131"/>
      <c r="BK37" s="4546"/>
      <c r="BL37" s="4602" t="s">
        <v>522</v>
      </c>
      <c r="BM37" s="6141" t="s">
        <v>1517</v>
      </c>
      <c r="BN37" s="4602" t="s">
        <v>611</v>
      </c>
      <c r="BO37" s="4546" t="s">
        <v>523</v>
      </c>
      <c r="BP37" s="4533" t="s">
        <v>524</v>
      </c>
      <c r="BQ37" s="4546"/>
      <c r="BR37" s="4546"/>
      <c r="BS37" s="4547" t="s">
        <v>525</v>
      </c>
      <c r="BT37" s="4546"/>
      <c r="BU37" s="4546"/>
      <c r="BV37" s="4548"/>
      <c r="BW37" s="4849" t="s">
        <v>790</v>
      </c>
      <c r="BX37" s="4546" t="s">
        <v>522</v>
      </c>
      <c r="BY37" s="4546"/>
      <c r="BZ37" s="4546"/>
      <c r="CA37" s="4546"/>
      <c r="CB37" s="4546"/>
      <c r="CC37" s="4603"/>
      <c r="CD37" s="4602"/>
      <c r="CE37" s="4550"/>
      <c r="CF37" s="4551" t="s">
        <v>110</v>
      </c>
      <c r="CG37" s="4551"/>
      <c r="CH37" s="4861" t="str">
        <f>+IF(ISERROR(MATCH(X37,epa_id,0)),"",IF(X37="","",IF(VLOOKUP(MATCH(X37,epa_id,0),epa,'A1(epa)'!$AE$17,FALSE)="","",VLOOKUP(MATCH(X37,epa_id,0),epa,'A1(epa)'!$AE$17,FALSE))))</f>
        <v>Electric Utility</v>
      </c>
      <c r="CI37" s="4647" t="s">
        <v>944</v>
      </c>
      <c r="CJ37" s="4647" t="str">
        <f>+IF(ISERROR(MATCH(X37,epa_id,0)),"",IF(X37="","",IF(VLOOKUP(MATCH(X37,epa_id,0),epa,'A1(epa)'!$AF$17,FALSE)="","",VLOOKUP(MATCH(X37,epa_id,0),epa,'A1(epa)'!$AF$17,FALSE))))</f>
        <v>4911</v>
      </c>
      <c r="CK37" s="4857" t="str">
        <f>+IF(ISERROR(MATCH(X37,epa_id,0)),"",IF(X37="","",IF(VLOOKUP(MATCH(X37,epa_id,0),epa,'A1(epa)'!$AG$17,FALSE)="","",VLOOKUP(MATCH(X37,epa_id,0),epa,'A1(epa)'!$AG$17,FALSE))))</f>
        <v>Electric Services</v>
      </c>
      <c r="CL37" s="4552" t="s">
        <v>114</v>
      </c>
      <c r="CM37" s="4553"/>
      <c r="CN37" s="4881"/>
      <c r="CO37" s="4791" t="s">
        <v>385</v>
      </c>
      <c r="CP37" s="4791" t="s">
        <v>56</v>
      </c>
      <c r="CQ37" s="4882" t="s">
        <v>305</v>
      </c>
      <c r="CR37" s="4884" t="s">
        <v>58</v>
      </c>
      <c r="CS37" s="4884"/>
      <c r="CT37" s="8588">
        <v>20</v>
      </c>
      <c r="CU37" s="10160"/>
      <c r="CV37" s="4885"/>
      <c r="CW37" s="4886"/>
      <c r="CX37" s="4763"/>
      <c r="CY37" s="4952"/>
      <c r="CZ37" s="4932"/>
      <c r="DA37" s="4933"/>
      <c r="DB37" s="4763"/>
      <c r="DC37" s="4882">
        <v>1969</v>
      </c>
      <c r="DD37" s="4953">
        <v>25355</v>
      </c>
      <c r="DE37" s="4935">
        <f t="shared" ca="1" si="32"/>
        <v>45.107629470872311</v>
      </c>
      <c r="DF37" s="5091" t="s">
        <v>50</v>
      </c>
      <c r="DG37" s="5088" t="s">
        <v>48</v>
      </c>
      <c r="DH37" s="4884" t="s">
        <v>474</v>
      </c>
      <c r="DI37" s="4884" t="str">
        <f t="shared" si="31"/>
        <v>Ultra low sulfur kerosene  oil (ULSD)</v>
      </c>
      <c r="DJ37" s="4537"/>
      <c r="DK37" s="4537"/>
      <c r="DL37" s="4537"/>
      <c r="DM37" s="4537"/>
      <c r="DN37" s="5003"/>
      <c r="DO37" s="4537"/>
      <c r="DP37" s="5004"/>
      <c r="DQ37" s="5005" t="s">
        <v>90</v>
      </c>
      <c r="DR37" s="4537"/>
      <c r="DS37" s="4537"/>
      <c r="DT37" s="4537"/>
      <c r="DU37" s="4537"/>
      <c r="DV37" s="5003"/>
      <c r="DW37" s="4537"/>
      <c r="DX37" s="5004"/>
      <c r="DY37" s="5005"/>
      <c r="DZ37" s="4537"/>
      <c r="EA37" s="4537"/>
      <c r="EB37" s="4537"/>
      <c r="EC37" s="4537"/>
      <c r="ED37" s="5003"/>
      <c r="EE37" s="4537"/>
      <c r="EF37" s="5006"/>
      <c r="EG37" s="5040" t="s">
        <v>185</v>
      </c>
      <c r="EH37" s="6167">
        <v>256</v>
      </c>
      <c r="EI37" s="5032">
        <v>0.19400000000000001</v>
      </c>
      <c r="EJ37" s="5041"/>
      <c r="EK37" s="5041" t="s">
        <v>920</v>
      </c>
      <c r="EL37" s="5032">
        <v>0.22</v>
      </c>
      <c r="EM37" s="5032"/>
      <c r="EN37" s="5032"/>
      <c r="EO37" s="5032"/>
      <c r="EP37" s="5032"/>
      <c r="EQ37" s="5032"/>
      <c r="ER37" s="5031"/>
      <c r="ES37" s="5031"/>
      <c r="ET37" s="6160">
        <v>0.15</v>
      </c>
      <c r="EU37" s="5031"/>
      <c r="EV37" s="4557"/>
      <c r="EW37" s="5062">
        <v>0.15</v>
      </c>
      <c r="EX37" s="5031"/>
      <c r="EY37" s="5031"/>
      <c r="EZ37" s="5076">
        <v>39771</v>
      </c>
      <c r="FA37" s="5076">
        <v>41597</v>
      </c>
      <c r="FB37" s="5064">
        <f t="shared" si="33"/>
        <v>4.9993155373032172</v>
      </c>
      <c r="FC37" s="4558"/>
      <c r="FD37" s="6168">
        <f>+IF(X37="","",IF(2010-VLOOKUP(MATCH(X37,eyr_id,0),eyr,'A1(epa)'!$U$17,FALSE)=0,IF(VLOOKUP(MATCH(X37,eyr_id,0),eyr,'A1(epa)'!$U$17,FALSE)=0,"",VLOOKUP(MATCH(X37,eyr_id,0),eyr,'A1(epa)'!$U$17,FALSE))))</f>
        <v>2010</v>
      </c>
      <c r="FE37" s="6169">
        <f>+IF(X37="","",IF(2010-VLOOKUP(MATCH(X37,eyr_id,0),eyr,'A1(epa)'!$U$17,FALSE)=0,IF(VLOOKUP(MATCH(X37,eyr_id,0),eyr,'A1(epa)'!$X$17,FALSE)=0,"",VLOOKUP(MATCH(X37,eyr_id,0),eyr,'A1(epa)'!$X$17,FALSE))))</f>
        <v>6</v>
      </c>
      <c r="FF37" s="6170">
        <f>+IF(X37="","",IF(2010-VLOOKUP(MATCH(X37,eyr_id,0),eyr,'A1(epa)'!$U$17,FALSE)=0,IF(VLOOKUP(MATCH(X37,eyr_id,0),eyr,'A1(epa)'!$W$17,FALSE)=0,"",VLOOKUP(MATCH(X37,eyr_id,0),eyr,'A1(epa)'!$W$17,FALSE))))</f>
        <v>35</v>
      </c>
      <c r="FG37" s="6171">
        <f>+IF(X37="","",IF(2010-VLOOKUP(MATCH(X37,eyr_id,0),eyr,'A1(epa)'!$U$17,FALSE)=0,IF(VLOOKUP(MATCH(X37,eyr_id,0),eyr,'A1(epa)'!$AC$17,FALSE)=0,"",VLOOKUP(MATCH(X37,eyr_id,0),eyr,'A1(epa)'!$AC$17,FALSE))))</f>
        <v>10832</v>
      </c>
      <c r="FH37" s="6172">
        <f>+IF(X37="","",IF(2010-VLOOKUP(MATCH(X37,eyr_id,0),eyr,'A1(epa)'!$U$17,FALSE)=0,IF(VLOOKUP(MATCH(X37,eyr_id,0),eyr,'A1(epa)'!$Y$17,FALSE)=0,"",VLOOKUP(MATCH(X37,eyr_id,0),eyr,'A1(epa)'!$Y$17,FALSE))))</f>
        <v>476</v>
      </c>
      <c r="FI37" s="6173">
        <f>+IF(X37="","",IF(2010-VLOOKUP(MATCH(X37,eyr_id,0),eyr,'A1(epa)'!$U$17,FALSE)=0,IF(VLOOKUP(MATCH(X37,eyr_id,0),eyr,'A1(epa)'!$AB$17,FALSE)=0,"",VLOOKUP(MATCH(X37,eyr_id,0),eyr,'A1(epa)'!$AB$17,FALSE))))</f>
        <v>6.5</v>
      </c>
      <c r="FJ37" s="6168">
        <f>+IF(X37="","",IF(2009-VLOOKUP(MATCH(X37,eyr_id,0)+1,eyr,'A1(epa)'!$U$17,FALSE)=0,IF(VLOOKUP(MATCH(X37,eyr_id,0)+1,eyr,'A1(epa)'!$U$17,FALSE)=0,"",VLOOKUP(MATCH(X37,eyr_id,0)+1,eyr,'A1(epa)'!$U$17,FALSE))))</f>
        <v>2009</v>
      </c>
      <c r="FK37" s="6169">
        <f>+IF(X37="","",IF(2009-VLOOKUP(MATCH(X37,eyr_id,0)+1,eyr,'A1(epa)'!$U$17,FALSE)=0,IF(VLOOKUP(MATCH(X37,eyr_id,0)+1,eyr,'A1(epa)'!$X$17,FALSE)=0,"",VLOOKUP(MATCH(X37,eyr_id,0)+1,eyr,'A1(epa)'!$X$17,FALSE))))</f>
        <v>6</v>
      </c>
      <c r="FL37" s="6170">
        <f>+IF(X37="","",IF(2009-VLOOKUP(MATCH(X37,eyr_id,0)+1,eyr,'A1(epa)'!$U$17,FALSE)=0,IF(VLOOKUP(MATCH(X37,eyr_id,0)+1,eyr,'A1(epa)'!$W$17,FALSE)=0,"",VLOOKUP(MATCH(X37,eyr_id,0)+1,eyr,'A1(epa)'!$W$17,FALSE))))</f>
        <v>8</v>
      </c>
      <c r="FM37" s="6171">
        <f>+IF(X37="","",IF(2009-VLOOKUP(MATCH(X37,eyr_id,0)+1,eyr,'A1(epa)'!$U$17,FALSE)=0,IF(VLOOKUP(MATCH(X37,eyr_id,0)+1,eyr,'A1(epa)'!$AC$17,FALSE)=0,"",VLOOKUP(MATCH(X37,eyr_id,0)+1,eyr,'A1(epa)'!$AC$17,FALSE))))</f>
        <v>2602</v>
      </c>
      <c r="FN37" s="6172">
        <f>+IF(X37="","",IF(2009-VLOOKUP(MATCH(X37,eyr_id,0)+1,eyr,'A1(epa)'!$U$17,FALSE)=0,IF(VLOOKUP(MATCH(X37,eyr_id,0)+1,eyr,'A1(epa)'!$Y$17,FALSE)=0,"",VLOOKUP(MATCH(X37,eyr_id,0)+1,eyr,'A1(epa)'!$Y$17,FALSE))))</f>
        <v>155</v>
      </c>
      <c r="FO37" s="6173">
        <f>+IF(X37="","",IF(2009-VLOOKUP(MATCH(X37,eyr_id,0)+1,eyr,'A1(epa)'!$U$17,FALSE)=0,IF(VLOOKUP(MATCH(X37,eyr_id,0)+1,eyr,'A1(epa)'!$AB$17,FALSE)=0,"",VLOOKUP(MATCH(X37,eyr_id,0)+1,eyr,'A1(epa)'!$AB$17,FALSE))))</f>
        <v>1.6</v>
      </c>
      <c r="FP37" s="5088" t="s">
        <v>312</v>
      </c>
      <c r="FQ37" s="5089"/>
      <c r="FR37" s="5089" t="s">
        <v>1022</v>
      </c>
      <c r="FS37" s="5089"/>
      <c r="FT37" s="5089"/>
      <c r="FU37" s="5089"/>
      <c r="FV37" s="4958" t="s">
        <v>570</v>
      </c>
      <c r="FW37" s="6325">
        <v>2010</v>
      </c>
      <c r="FX37" s="6244" t="s">
        <v>1979</v>
      </c>
      <c r="FY37" s="6244"/>
      <c r="FZ37" s="6244"/>
      <c r="GA37" s="6244"/>
      <c r="GB37" s="6352"/>
      <c r="GC37" s="6244"/>
      <c r="GD37" s="8610"/>
      <c r="GE37" s="6309"/>
      <c r="GF37" s="8610"/>
      <c r="GG37" s="8610" t="str">
        <f t="shared" si="9"/>
        <v/>
      </c>
      <c r="GH37" s="8610"/>
      <c r="GI37" s="8610"/>
      <c r="GJ37" s="6326">
        <v>1E-3</v>
      </c>
      <c r="GK37" s="6325">
        <v>2009</v>
      </c>
      <c r="GL37" s="6308" t="s">
        <v>1979</v>
      </c>
      <c r="GM37" s="6308"/>
      <c r="GN37" s="6308"/>
      <c r="GO37" s="6308"/>
      <c r="GP37" s="6308"/>
      <c r="GQ37" s="6308"/>
      <c r="GR37" s="8610"/>
      <c r="GS37" s="8610"/>
      <c r="GT37" s="8610"/>
      <c r="GU37" s="8610"/>
      <c r="GV37" s="8610"/>
      <c r="GW37" s="8610"/>
      <c r="GX37" s="6326">
        <v>1E-3</v>
      </c>
      <c r="GY37" s="6243"/>
      <c r="GZ37" s="6244"/>
      <c r="HA37" s="6244"/>
      <c r="HB37" s="6244"/>
      <c r="HC37" s="6244"/>
      <c r="HD37" s="6244"/>
      <c r="HE37" s="6244"/>
      <c r="HF37" s="6273"/>
      <c r="HG37" s="6273"/>
      <c r="HH37" s="6247">
        <f t="shared" si="13"/>
        <v>0.19400000000000001</v>
      </c>
      <c r="HI37" s="6247">
        <f t="shared" si="14"/>
        <v>0.22</v>
      </c>
      <c r="HJ37" s="6247">
        <f t="shared" si="29"/>
        <v>0.22</v>
      </c>
      <c r="HK37" s="6247"/>
      <c r="HL37" s="6248"/>
      <c r="HM37" s="6248"/>
      <c r="HN37" s="6249"/>
      <c r="HO37" s="5357"/>
    </row>
    <row r="38" spans="1:223" s="5349" customFormat="1" ht="25.5" customHeight="1">
      <c r="A38" s="5364" t="str">
        <f t="shared" si="35"/>
        <v>8300-06</v>
      </c>
      <c r="B38" s="9571"/>
      <c r="C38" s="5365" t="str">
        <f t="shared" si="30"/>
        <v>CC14</v>
      </c>
      <c r="D38" s="6109"/>
      <c r="E38" s="6113"/>
      <c r="F38" s="6109"/>
      <c r="G38" s="4636">
        <v>18</v>
      </c>
      <c r="H38" s="10173"/>
      <c r="I38" s="10157"/>
      <c r="J38" s="4749" t="s">
        <v>611</v>
      </c>
      <c r="K38" s="4739">
        <v>8300</v>
      </c>
      <c r="L38" s="8602" t="s">
        <v>344</v>
      </c>
      <c r="M38" s="10198"/>
      <c r="N38" s="355"/>
      <c r="O38" s="355"/>
      <c r="P38" s="4683" t="s">
        <v>1509</v>
      </c>
      <c r="Q38" s="373" t="s">
        <v>55</v>
      </c>
      <c r="R38" s="4683" t="str">
        <f>+IF(ISERROR(MATCH(X38,epa_id,0)),"",IF(X38="","",IF(VLOOKUP(MATCH(X38,epa_id,0),epa,'A1(epa)'!$S$17,FALSE)="","",VLOOKUP(MATCH(X38,epa_id,0),epa,'A1(epa)'!$S$17,FALSE))))</f>
        <v>14</v>
      </c>
      <c r="S38" s="306">
        <f>+IF(ISERROR(MATCH(X38,epa_id,0)),"",IF(X38="","",IF(VLOOKUP(MATCH(X38,epa_id,0),epa,'A1(epa)'!$R$17,FALSE)="","",VLOOKUP(MATCH(X38,epa_id,0),epa,'A1(epa)'!$R$17,FALSE))))</f>
        <v>542</v>
      </c>
      <c r="T38" s="6071" t="s">
        <v>794</v>
      </c>
      <c r="U38" s="350">
        <v>2</v>
      </c>
      <c r="V38" s="350">
        <v>1</v>
      </c>
      <c r="W38" s="350">
        <f t="shared" si="34"/>
        <v>6</v>
      </c>
      <c r="X38" s="4660" t="str">
        <f t="shared" si="5"/>
        <v>8300-06</v>
      </c>
      <c r="Y38" s="4662" t="s">
        <v>1510</v>
      </c>
      <c r="Z38" s="8597" t="s">
        <v>1513</v>
      </c>
      <c r="AA38" s="4684" t="s">
        <v>595</v>
      </c>
      <c r="AB38" s="4684"/>
      <c r="AC38" s="4664" t="s">
        <v>979</v>
      </c>
      <c r="AD38" s="4685" t="s">
        <v>595</v>
      </c>
      <c r="AE38" s="4666"/>
      <c r="AF38" s="351"/>
      <c r="AG38" s="5149"/>
      <c r="AH38" s="5151"/>
      <c r="AI38" s="4777"/>
      <c r="AJ38" s="4778"/>
      <c r="AK38" s="4779"/>
      <c r="AL38" s="4780" t="s">
        <v>806</v>
      </c>
      <c r="AM38" s="4793" t="s">
        <v>1554</v>
      </c>
      <c r="AN38" s="4781"/>
      <c r="AO38" s="4781">
        <v>41790</v>
      </c>
      <c r="AP38" s="4781">
        <v>40658</v>
      </c>
      <c r="AQ38" s="4781"/>
      <c r="AR38" s="4781"/>
      <c r="AS38" s="4781"/>
      <c r="AT38" s="4778"/>
      <c r="AU38" s="4778"/>
      <c r="AV38" s="374"/>
      <c r="AW38" s="374"/>
      <c r="AX38" s="374"/>
      <c r="AY38" s="375"/>
      <c r="AZ38" s="376"/>
      <c r="BA38" s="4825" t="s">
        <v>476</v>
      </c>
      <c r="BB38" s="613">
        <f>+IF(AND(G38="",BA38=""),"",VLOOKUP(MATCH(BA38,tw,0),twn,'A4(twn)'!$D$12,FALSE))</f>
        <v>67</v>
      </c>
      <c r="BC38" s="613" t="str">
        <f t="shared" si="17"/>
        <v xml:space="preserve"> -  / -  / 067 / - </v>
      </c>
      <c r="BD38" s="355" t="s">
        <v>336</v>
      </c>
      <c r="BE38" s="4662" t="s">
        <v>239</v>
      </c>
      <c r="BF38" s="4834" t="s">
        <v>473</v>
      </c>
      <c r="BG38" s="4661" t="str">
        <f>+IF(OR(X38="",ISERROR(MATCH(X38,epa_id,0))),"",VLOOKUP(MATCH(X38,epa_id,0),epa,'A1(epa)'!$AH$17,FALSE))</f>
        <v>Connecticut Jet Power, LLC (Owner/Operator)</v>
      </c>
      <c r="BH38" s="4835"/>
      <c r="BI38" s="4835"/>
      <c r="BJ38" s="6133"/>
      <c r="BK38" s="356"/>
      <c r="BL38" s="377" t="s">
        <v>522</v>
      </c>
      <c r="BM38" s="6143" t="s">
        <v>1517</v>
      </c>
      <c r="BN38" s="377" t="s">
        <v>611</v>
      </c>
      <c r="BO38" s="356" t="s">
        <v>523</v>
      </c>
      <c r="BP38" s="348" t="s">
        <v>524</v>
      </c>
      <c r="BQ38" s="356"/>
      <c r="BR38" s="356"/>
      <c r="BS38" s="302" t="s">
        <v>525</v>
      </c>
      <c r="BT38" s="356"/>
      <c r="BU38" s="356"/>
      <c r="BV38" s="357"/>
      <c r="BW38" s="4851" t="s">
        <v>790</v>
      </c>
      <c r="BX38" s="356" t="s">
        <v>522</v>
      </c>
      <c r="BY38" s="356"/>
      <c r="BZ38" s="356"/>
      <c r="CA38" s="356"/>
      <c r="CB38" s="356"/>
      <c r="CC38" s="378"/>
      <c r="CD38" s="377"/>
      <c r="CE38" s="356"/>
      <c r="CF38" s="4375" t="s">
        <v>110</v>
      </c>
      <c r="CG38" s="4375"/>
      <c r="CH38" s="4863" t="str">
        <f>+IF(ISERROR(MATCH(X38,epa_id,0)),"",IF(X38="","",IF(VLOOKUP(MATCH(X38,epa_id,0),epa,'A1(epa)'!$AE$17,FALSE)="","",VLOOKUP(MATCH(X38,epa_id,0),epa,'A1(epa)'!$AE$17,FALSE))))</f>
        <v>Electric Utility</v>
      </c>
      <c r="CI38" s="4663" t="s">
        <v>944</v>
      </c>
      <c r="CJ38" s="4663" t="str">
        <f>+IF(ISERROR(MATCH(X38,epa_id,0)),"",IF(X38="","",IF(VLOOKUP(MATCH(X38,epa_id,0),epa,'A1(epa)'!$AF$17,FALSE)="","",VLOOKUP(MATCH(X38,epa_id,0),epa,'A1(epa)'!$AF$17,FALSE))))</f>
        <v>4911</v>
      </c>
      <c r="CK38" s="4702" t="str">
        <f>+IF(ISERROR(MATCH(X38,epa_id,0)),"",IF(X38="","",IF(VLOOKUP(MATCH(X38,epa_id,0),epa,'A1(epa)'!$AG$17,FALSE)="","",VLOOKUP(MATCH(X38,epa_id,0),epa,'A1(epa)'!$AG$17,FALSE))))</f>
        <v>Electric Services</v>
      </c>
      <c r="CL38" s="361" t="s">
        <v>114</v>
      </c>
      <c r="CM38" s="360"/>
      <c r="CN38" s="4892"/>
      <c r="CO38" s="4793" t="s">
        <v>385</v>
      </c>
      <c r="CP38" s="4793" t="s">
        <v>56</v>
      </c>
      <c r="CQ38" s="4893" t="s">
        <v>305</v>
      </c>
      <c r="CR38" s="4913" t="s">
        <v>58</v>
      </c>
      <c r="CS38" s="4913"/>
      <c r="CT38" s="8590">
        <v>20</v>
      </c>
      <c r="CU38" s="10161"/>
      <c r="CV38" s="4895"/>
      <c r="CW38" s="4896"/>
      <c r="CX38" s="4777"/>
      <c r="CY38" s="4941"/>
      <c r="CZ38" s="4942"/>
      <c r="DA38" s="4943"/>
      <c r="DB38" s="4777"/>
      <c r="DC38" s="4893">
        <v>1969</v>
      </c>
      <c r="DD38" s="4955">
        <v>25355</v>
      </c>
      <c r="DE38" s="4945">
        <f t="shared" ca="1" si="32"/>
        <v>45.107629470872311</v>
      </c>
      <c r="DF38" s="5098" t="s">
        <v>50</v>
      </c>
      <c r="DG38" s="4977" t="s">
        <v>48</v>
      </c>
      <c r="DH38" s="4913" t="s">
        <v>474</v>
      </c>
      <c r="DI38" s="4913" t="str">
        <f t="shared" si="31"/>
        <v>Ultra low sulfur kerosene  oil (ULSD)</v>
      </c>
      <c r="DJ38" s="6071"/>
      <c r="DK38" s="6071"/>
      <c r="DL38" s="6071"/>
      <c r="DM38" s="6071"/>
      <c r="DN38" s="5010"/>
      <c r="DO38" s="6071"/>
      <c r="DP38" s="5011"/>
      <c r="DQ38" s="5012" t="s">
        <v>90</v>
      </c>
      <c r="DR38" s="6071"/>
      <c r="DS38" s="6071"/>
      <c r="DT38" s="6071"/>
      <c r="DU38" s="6071"/>
      <c r="DV38" s="5010"/>
      <c r="DW38" s="6071"/>
      <c r="DX38" s="5011"/>
      <c r="DY38" s="5012"/>
      <c r="DZ38" s="6071"/>
      <c r="EA38" s="6071"/>
      <c r="EB38" s="6071"/>
      <c r="EC38" s="6071"/>
      <c r="ED38" s="5010"/>
      <c r="EE38" s="6071"/>
      <c r="EF38" s="5013"/>
      <c r="EG38" s="5044" t="s">
        <v>185</v>
      </c>
      <c r="EH38" s="6183">
        <v>256</v>
      </c>
      <c r="EI38" s="5036">
        <v>0.17100000000000001</v>
      </c>
      <c r="EJ38" s="5045"/>
      <c r="EK38" s="5045" t="s">
        <v>920</v>
      </c>
      <c r="EL38" s="5036">
        <v>0.22</v>
      </c>
      <c r="EM38" s="5036"/>
      <c r="EN38" s="5036"/>
      <c r="EO38" s="5036"/>
      <c r="EP38" s="5036"/>
      <c r="EQ38" s="5036"/>
      <c r="ER38" s="5035"/>
      <c r="ES38" s="5035"/>
      <c r="ET38" s="6184">
        <v>0.15</v>
      </c>
      <c r="EU38" s="5035"/>
      <c r="EV38" s="365"/>
      <c r="EW38" s="5068">
        <v>0.15</v>
      </c>
      <c r="EX38" s="5035"/>
      <c r="EY38" s="5035"/>
      <c r="EZ38" s="5075">
        <v>39771</v>
      </c>
      <c r="FA38" s="5075">
        <v>41597</v>
      </c>
      <c r="FB38" s="5070">
        <f t="shared" si="33"/>
        <v>4.9993155373032172</v>
      </c>
      <c r="FC38" s="366"/>
      <c r="FD38" s="6185">
        <f>+IF(X38="","",IF(2010-VLOOKUP(MATCH(X38,eyr_id,0),eyr,'A1(epa)'!$U$17,FALSE)=0,IF(VLOOKUP(MATCH(X38,eyr_id,0),eyr,'A1(epa)'!$U$17,FALSE)=0,"",VLOOKUP(MATCH(X38,eyr_id,0),eyr,'A1(epa)'!$U$17,FALSE))))</f>
        <v>2010</v>
      </c>
      <c r="FE38" s="6186">
        <f>+IF(X38="","",IF(2010-VLOOKUP(MATCH(X38,eyr_id,0),eyr,'A1(epa)'!$U$17,FALSE)=0,IF(VLOOKUP(MATCH(X38,eyr_id,0),eyr,'A1(epa)'!$X$17,FALSE)=0,"",VLOOKUP(MATCH(X38,eyr_id,0),eyr,'A1(epa)'!$X$17,FALSE))))</f>
        <v>6</v>
      </c>
      <c r="FF38" s="6187">
        <f>+IF(X38="","",IF(2010-VLOOKUP(MATCH(X38,eyr_id,0),eyr,'A1(epa)'!$U$17,FALSE)=0,IF(VLOOKUP(MATCH(X38,eyr_id,0),eyr,'A1(epa)'!$W$17,FALSE)=0,"",VLOOKUP(MATCH(X38,eyr_id,0),eyr,'A1(epa)'!$W$17,FALSE))))</f>
        <v>42</v>
      </c>
      <c r="FG38" s="6188">
        <f>+IF(X38="","",IF(2010-VLOOKUP(MATCH(X38,eyr_id,0),eyr,'A1(epa)'!$U$17,FALSE)=0,IF(VLOOKUP(MATCH(X38,eyr_id,0),eyr,'A1(epa)'!$AC$17,FALSE)=0,"",VLOOKUP(MATCH(X38,eyr_id,0),eyr,'A1(epa)'!$AC$17,FALSE))))</f>
        <v>12967</v>
      </c>
      <c r="FH38" s="6188">
        <f>+IF(X38="","",IF(2010-VLOOKUP(MATCH(X38,eyr_id,0),eyr,'A1(epa)'!$U$17,FALSE)=0,IF(VLOOKUP(MATCH(X38,eyr_id,0),eyr,'A1(epa)'!$Y$17,FALSE)=0,"",VLOOKUP(MATCH(X38,eyr_id,0),eyr,'A1(epa)'!$Y$17,FALSE))))</f>
        <v>604</v>
      </c>
      <c r="FI38" s="6189">
        <f>+IF(X38="","",IF(2010-VLOOKUP(MATCH(X38,eyr_id,0),eyr,'A1(epa)'!$U$17,FALSE)=0,IF(VLOOKUP(MATCH(X38,eyr_id,0),eyr,'A1(epa)'!$AB$17,FALSE)=0,"",VLOOKUP(MATCH(X38,eyr_id,0),eyr,'A1(epa)'!$AB$17,FALSE))))</f>
        <v>7.8</v>
      </c>
      <c r="FJ38" s="6185">
        <f>+IF(X38="","",IF(2009-VLOOKUP(MATCH(X38,eyr_id,0)+1,eyr,'A1(epa)'!$U$17,FALSE)=0,IF(VLOOKUP(MATCH(X38,eyr_id,0)+1,eyr,'A1(epa)'!$U$17,FALSE)=0,"",VLOOKUP(MATCH(X38,eyr_id,0)+1,eyr,'A1(epa)'!$U$17,FALSE))))</f>
        <v>2009</v>
      </c>
      <c r="FK38" s="6186">
        <f>+IF(X38="","",IF(2009-VLOOKUP(MATCH(X38,eyr_id,0)+1,eyr,'A1(epa)'!$U$17,FALSE)=0,IF(VLOOKUP(MATCH(X38,eyr_id,0)+1,eyr,'A1(epa)'!$X$17,FALSE)=0,"",VLOOKUP(MATCH(X38,eyr_id,0)+1,eyr,'A1(epa)'!$X$17,FALSE))))</f>
        <v>6</v>
      </c>
      <c r="FL38" s="6187">
        <f>+IF(X38="","",IF(2009-VLOOKUP(MATCH(X38,eyr_id,0)+1,eyr,'A1(epa)'!$U$17,FALSE)=0,IF(VLOOKUP(MATCH(X38,eyr_id,0)+1,eyr,'A1(epa)'!$W$17,FALSE)=0,"",VLOOKUP(MATCH(X38,eyr_id,0)+1,eyr,'A1(epa)'!$W$17,FALSE))))</f>
        <v>13</v>
      </c>
      <c r="FM38" s="6188">
        <f>+IF(X38="","",IF(2009-VLOOKUP(MATCH(X38,eyr_id,0)+1,eyr,'A1(epa)'!$U$17,FALSE)=0,IF(VLOOKUP(MATCH(X38,eyr_id,0)+1,eyr,'A1(epa)'!$AC$17,FALSE)=0,"",VLOOKUP(MATCH(X38,eyr_id,0)+1,eyr,'A1(epa)'!$AC$17,FALSE))))</f>
        <v>4118</v>
      </c>
      <c r="FN38" s="6188">
        <f>+IF(X38="","",IF(2009-VLOOKUP(MATCH(X38,eyr_id,0)+1,eyr,'A1(epa)'!$U$17,FALSE)=0,IF(VLOOKUP(MATCH(X38,eyr_id,0)+1,eyr,'A1(epa)'!$Y$17,FALSE)=0,"",VLOOKUP(MATCH(X38,eyr_id,0)+1,eyr,'A1(epa)'!$Y$17,FALSE))))</f>
        <v>209</v>
      </c>
      <c r="FO38" s="6189">
        <f>+IF(X38="","",IF(2009-VLOOKUP(MATCH(X38,eyr_id,0)+1,eyr,'A1(epa)'!$U$17,FALSE)=0,IF(VLOOKUP(MATCH(X38,eyr_id,0)+1,eyr,'A1(epa)'!$AB$17,FALSE)=0,"",VLOOKUP(MATCH(X38,eyr_id,0)+1,eyr,'A1(epa)'!$AB$17,FALSE))))</f>
        <v>2.5</v>
      </c>
      <c r="FP38" s="4977" t="s">
        <v>312</v>
      </c>
      <c r="FQ38" s="5096"/>
      <c r="FR38" s="5096" t="s">
        <v>1022</v>
      </c>
      <c r="FS38" s="5096"/>
      <c r="FT38" s="5096"/>
      <c r="FU38" s="5096"/>
      <c r="FV38" s="5101" t="s">
        <v>570</v>
      </c>
      <c r="FW38" s="158">
        <v>2010</v>
      </c>
      <c r="FX38" s="6258" t="s">
        <v>1979</v>
      </c>
      <c r="FY38" s="6258"/>
      <c r="FZ38" s="6258"/>
      <c r="GA38" s="6258"/>
      <c r="GB38" s="6354"/>
      <c r="GC38" s="6258"/>
      <c r="GD38" s="6315"/>
      <c r="GE38" s="6316"/>
      <c r="GF38" s="6315"/>
      <c r="GG38" s="6315" t="str">
        <f t="shared" si="9"/>
        <v/>
      </c>
      <c r="GH38" s="6315"/>
      <c r="GI38" s="6315"/>
      <c r="GJ38" s="6329">
        <v>1E-3</v>
      </c>
      <c r="GK38" s="158">
        <v>2009</v>
      </c>
      <c r="GL38" s="6314" t="s">
        <v>1979</v>
      </c>
      <c r="GM38" s="6314"/>
      <c r="GN38" s="6314"/>
      <c r="GO38" s="6314"/>
      <c r="GP38" s="6314"/>
      <c r="GQ38" s="6314"/>
      <c r="GR38" s="6315"/>
      <c r="GS38" s="6315"/>
      <c r="GT38" s="6315"/>
      <c r="GU38" s="6315"/>
      <c r="GV38" s="6315"/>
      <c r="GW38" s="6315"/>
      <c r="GX38" s="6329">
        <v>1E-3</v>
      </c>
      <c r="GY38" s="6257"/>
      <c r="GZ38" s="6258"/>
      <c r="HA38" s="6258"/>
      <c r="HB38" s="6258"/>
      <c r="HC38" s="6258"/>
      <c r="HD38" s="6258"/>
      <c r="HE38" s="6258"/>
      <c r="HF38" s="6275"/>
      <c r="HG38" s="6275"/>
      <c r="HH38" s="6260">
        <f t="shared" si="13"/>
        <v>0.17100000000000001</v>
      </c>
      <c r="HI38" s="6260">
        <f t="shared" si="14"/>
        <v>0.22</v>
      </c>
      <c r="HJ38" s="6260">
        <f t="shared" si="29"/>
        <v>0.22</v>
      </c>
      <c r="HK38" s="6260"/>
      <c r="HL38" s="6261"/>
      <c r="HM38" s="6261"/>
      <c r="HN38" s="6262"/>
      <c r="HO38" s="5357"/>
    </row>
    <row r="39" spans="1:223" s="5349" customFormat="1" ht="25.5" customHeight="1">
      <c r="A39" s="5364" t="str">
        <f t="shared" si="35"/>
        <v>8300-07</v>
      </c>
      <c r="B39" s="9571"/>
      <c r="C39" s="5365" t="str">
        <f t="shared" si="30"/>
        <v>FD10</v>
      </c>
      <c r="D39" s="6109"/>
      <c r="E39" s="6113"/>
      <c r="F39" s="6109"/>
      <c r="G39" s="4636">
        <v>19</v>
      </c>
      <c r="H39" s="4559">
        <v>9</v>
      </c>
      <c r="I39" s="10157"/>
      <c r="J39" s="4744" t="s">
        <v>611</v>
      </c>
      <c r="K39" s="4741">
        <v>8300</v>
      </c>
      <c r="L39" s="4742" t="s">
        <v>347</v>
      </c>
      <c r="M39" s="5109" t="s">
        <v>457</v>
      </c>
      <c r="N39" s="4572"/>
      <c r="O39" s="4572"/>
      <c r="P39" s="4604" t="s">
        <v>457</v>
      </c>
      <c r="Q39" s="4594" t="s">
        <v>49</v>
      </c>
      <c r="R39" s="4604" t="str">
        <f>+IF(ISERROR(MATCH(X39,epa_id,0)),"",IF(X39="","",IF(VLOOKUP(MATCH(X39,epa_id,0),epa,'A1(epa)'!$S$17,FALSE)="","",VLOOKUP(MATCH(X39,epa_id,0),epa,'A1(epa)'!$S$17,FALSE))))</f>
        <v>10</v>
      </c>
      <c r="S39" s="4561">
        <f>+IF(ISERROR(MATCH(X39,epa_id,0)),"",IF(X39="","",IF(VLOOKUP(MATCH(X39,epa_id,0),epa,'A1(epa)'!$R$17,FALSE)="","",VLOOKUP(MATCH(X39,epa_id,0),epa,'A1(epa)'!$R$17,FALSE))))</f>
        <v>561</v>
      </c>
      <c r="T39" s="4563" t="s">
        <v>794</v>
      </c>
      <c r="U39" s="4564">
        <v>1</v>
      </c>
      <c r="V39" s="4564">
        <v>1</v>
      </c>
      <c r="W39" s="4564">
        <f>1+W38</f>
        <v>7</v>
      </c>
      <c r="X39" s="4667" t="str">
        <f t="shared" si="5"/>
        <v>8300-07</v>
      </c>
      <c r="Y39" s="4596" t="s">
        <v>1510</v>
      </c>
      <c r="Z39" s="8595" t="s">
        <v>811</v>
      </c>
      <c r="AA39" s="4668" t="s">
        <v>458</v>
      </c>
      <c r="AB39" s="4668"/>
      <c r="AC39" s="4673" t="s">
        <v>979</v>
      </c>
      <c r="AD39" s="4676" t="s">
        <v>1543</v>
      </c>
      <c r="AE39" s="4674"/>
      <c r="AF39" s="4567"/>
      <c r="AG39" s="4565"/>
      <c r="AH39" s="4568"/>
      <c r="AI39" s="4784"/>
      <c r="AJ39" s="4785"/>
      <c r="AK39" s="4786"/>
      <c r="AL39" s="4787" t="s">
        <v>806</v>
      </c>
      <c r="AM39" s="4788" t="s">
        <v>1553</v>
      </c>
      <c r="AN39" s="4789"/>
      <c r="AO39" s="4789">
        <v>41790</v>
      </c>
      <c r="AP39" s="4789">
        <v>40658</v>
      </c>
      <c r="AQ39" s="4789"/>
      <c r="AR39" s="4789"/>
      <c r="AS39" s="4789"/>
      <c r="AT39" s="4785"/>
      <c r="AU39" s="4785"/>
      <c r="AV39" s="4569"/>
      <c r="AW39" s="4569"/>
      <c r="AX39" s="4569"/>
      <c r="AY39" s="4566"/>
      <c r="AZ39" s="4595"/>
      <c r="BA39" s="4597" t="s">
        <v>477</v>
      </c>
      <c r="BB39" s="4827">
        <f>+IF(AND(G39="",BA39=""),"",VLOOKUP(MATCH(BA39,tw,0),twn,'A4(twn)'!$D$12,FALSE))</f>
        <v>183</v>
      </c>
      <c r="BC39" s="4827" t="str">
        <f t="shared" si="17"/>
        <v xml:space="preserve"> -  / -  / 183 / - </v>
      </c>
      <c r="BD39" s="4572" t="s">
        <v>337</v>
      </c>
      <c r="BE39" s="4596" t="s">
        <v>337</v>
      </c>
      <c r="BF39" s="4830" t="s">
        <v>473</v>
      </c>
      <c r="BG39" s="4828" t="str">
        <f>+IF(OR(X39="",ISERROR(MATCH(X39,epa_id,0))),"",VLOOKUP(MATCH(X39,epa_id,0),epa,'A1(epa)'!$AH$17,FALSE))</f>
        <v>Connecticut Jet Power, LLC (Owner/Operator)</v>
      </c>
      <c r="BH39" s="4829"/>
      <c r="BI39" s="4829"/>
      <c r="BJ39" s="6134"/>
      <c r="BK39" s="4573"/>
      <c r="BL39" s="4574" t="s">
        <v>522</v>
      </c>
      <c r="BM39" s="6140" t="s">
        <v>1517</v>
      </c>
      <c r="BN39" s="4574" t="s">
        <v>611</v>
      </c>
      <c r="BO39" s="4573" t="s">
        <v>523</v>
      </c>
      <c r="BP39" s="4592" t="s">
        <v>524</v>
      </c>
      <c r="BQ39" s="4573"/>
      <c r="BR39" s="4573"/>
      <c r="BS39" s="4575" t="s">
        <v>525</v>
      </c>
      <c r="BT39" s="4573"/>
      <c r="BU39" s="4573"/>
      <c r="BV39" s="4576"/>
      <c r="BW39" s="4852" t="s">
        <v>790</v>
      </c>
      <c r="BX39" s="4573" t="s">
        <v>522</v>
      </c>
      <c r="BY39" s="4573"/>
      <c r="BZ39" s="4573"/>
      <c r="CA39" s="4573"/>
      <c r="CB39" s="4573"/>
      <c r="CC39" s="4577"/>
      <c r="CD39" s="4574"/>
      <c r="CE39" s="4573"/>
      <c r="CF39" s="4578" t="s">
        <v>110</v>
      </c>
      <c r="CG39" s="4578"/>
      <c r="CH39" s="4860" t="str">
        <f>+IF(ISERROR(MATCH(X39,epa_id,0)),"",IF(X39="","",IF(VLOOKUP(MATCH(X39,epa_id,0),epa,'A1(epa)'!$AE$17,FALSE)="","",VLOOKUP(MATCH(X39,epa_id,0),epa,'A1(epa)'!$AE$17,FALSE))))</f>
        <v>Electric Utility</v>
      </c>
      <c r="CI39" s="4672" t="s">
        <v>944</v>
      </c>
      <c r="CJ39" s="4672" t="str">
        <f>+IF(ISERROR(MATCH(X39,epa_id,0)),"",IF(X39="","",IF(VLOOKUP(MATCH(X39,epa_id,0),epa,'A1(epa)'!$AF$17,FALSE)="","",VLOOKUP(MATCH(X39,epa_id,0),epa,'A1(epa)'!$AF$17,FALSE))))</f>
        <v>4911</v>
      </c>
      <c r="CK39" s="4706" t="str">
        <f>+IF(ISERROR(MATCH(X39,epa_id,0)),"",IF(X39="","",IF(VLOOKUP(MATCH(X39,epa_id,0),epa,'A1(epa)'!$AG$17,FALSE)="","",VLOOKUP(MATCH(X39,epa_id,0),epa,'A1(epa)'!$AG$17,FALSE))))</f>
        <v>Electric Services</v>
      </c>
      <c r="CL39" s="4579" t="s">
        <v>115</v>
      </c>
      <c r="CM39" s="4580"/>
      <c r="CN39" s="4897"/>
      <c r="CO39" s="4788" t="s">
        <v>385</v>
      </c>
      <c r="CP39" s="4788" t="s">
        <v>304</v>
      </c>
      <c r="CQ39" s="4898" t="s">
        <v>305</v>
      </c>
      <c r="CR39" s="4899" t="s">
        <v>188</v>
      </c>
      <c r="CS39" s="4899"/>
      <c r="CT39" s="4901">
        <v>20</v>
      </c>
      <c r="CU39" s="4901">
        <f>+CT39</f>
        <v>20</v>
      </c>
      <c r="CV39" s="4902"/>
      <c r="CW39" s="4903" t="s">
        <v>191</v>
      </c>
      <c r="CX39" s="4784" t="s">
        <v>192</v>
      </c>
      <c r="CY39" s="4946" t="s">
        <v>80</v>
      </c>
      <c r="CZ39" s="4950">
        <v>22</v>
      </c>
      <c r="DA39" s="4951" t="s">
        <v>81</v>
      </c>
      <c r="DB39" s="4784" t="s">
        <v>391</v>
      </c>
      <c r="DC39" s="4898">
        <v>1969</v>
      </c>
      <c r="DD39" s="4949">
        <v>25204</v>
      </c>
      <c r="DE39" s="4790">
        <f t="shared" ca="1" si="32"/>
        <v>45.521044939729265</v>
      </c>
      <c r="DF39" s="4983" t="s">
        <v>50</v>
      </c>
      <c r="DG39" s="5039" t="s">
        <v>48</v>
      </c>
      <c r="DH39" s="4899" t="s">
        <v>474</v>
      </c>
      <c r="DI39" s="4899" t="str">
        <f>+DG39</f>
        <v>Ultra low sulfur kerosene  oil (ULSD)</v>
      </c>
      <c r="DJ39" s="4563"/>
      <c r="DK39" s="4563"/>
      <c r="DL39" s="4563"/>
      <c r="DM39" s="4563"/>
      <c r="DN39" s="4998"/>
      <c r="DO39" s="4563"/>
      <c r="DP39" s="4999"/>
      <c r="DQ39" s="4843"/>
      <c r="DR39" s="4563"/>
      <c r="DS39" s="4563"/>
      <c r="DT39" s="4563"/>
      <c r="DU39" s="4563"/>
      <c r="DV39" s="4998"/>
      <c r="DW39" s="4563"/>
      <c r="DX39" s="4999"/>
      <c r="DY39" s="4843"/>
      <c r="DZ39" s="4563"/>
      <c r="EA39" s="4563"/>
      <c r="EB39" s="4563"/>
      <c r="EC39" s="4563"/>
      <c r="ED39" s="4998"/>
      <c r="EE39" s="4563"/>
      <c r="EF39" s="5000"/>
      <c r="EG39" s="4982" t="s">
        <v>185</v>
      </c>
      <c r="EH39" s="6190">
        <v>256</v>
      </c>
      <c r="EI39" s="5037">
        <v>0.76</v>
      </c>
      <c r="EJ39" s="5038"/>
      <c r="EK39" s="5038" t="s">
        <v>920</v>
      </c>
      <c r="EL39" s="5037">
        <v>0.8</v>
      </c>
      <c r="EM39" s="5037"/>
      <c r="EN39" s="5037"/>
      <c r="EO39" s="5037"/>
      <c r="EP39" s="5037"/>
      <c r="EQ39" s="5037">
        <v>0.28999999999999998</v>
      </c>
      <c r="ER39" s="5056"/>
      <c r="ES39" s="5056"/>
      <c r="ET39" s="6191">
        <v>0.15</v>
      </c>
      <c r="EU39" s="5056"/>
      <c r="EV39" s="5001"/>
      <c r="EW39" s="5071">
        <v>0.15</v>
      </c>
      <c r="EX39" s="5056"/>
      <c r="EY39" s="5056"/>
      <c r="EZ39" s="5072">
        <v>38650</v>
      </c>
      <c r="FA39" s="5072">
        <v>40476</v>
      </c>
      <c r="FB39" s="5073">
        <f t="shared" si="33"/>
        <v>4.9993155373032172</v>
      </c>
      <c r="FC39" s="5030" t="s">
        <v>62</v>
      </c>
      <c r="FD39" s="6198">
        <f>+IF(X39="","",IF(2010-VLOOKUP(MATCH(X39,eyr_id,0),eyr,'A1(epa)'!$U$17,FALSE)=0,IF(VLOOKUP(MATCH(X39,eyr_id,0),eyr,'A1(epa)'!$U$17,FALSE)=0,"",VLOOKUP(MATCH(X39,eyr_id,0),eyr,'A1(epa)'!$U$17,FALSE))))</f>
        <v>2010</v>
      </c>
      <c r="FE39" s="6199">
        <f>+IF(X39="","",IF(2010-VLOOKUP(MATCH(X39,eyr_id,0),eyr,'A1(epa)'!$U$17,FALSE)=0,IF(VLOOKUP(MATCH(X39,eyr_id,0),eyr,'A1(epa)'!$X$17,FALSE)=0,"",VLOOKUP(MATCH(X39,eyr_id,0),eyr,'A1(epa)'!$X$17,FALSE))))</f>
        <v>6</v>
      </c>
      <c r="FF39" s="6200">
        <f>+IF(X39="","",IF(2010-VLOOKUP(MATCH(X39,eyr_id,0),eyr,'A1(epa)'!$U$17,FALSE)=0,IF(VLOOKUP(MATCH(X39,eyr_id,0),eyr,'A1(epa)'!$W$17,FALSE)=0,"",VLOOKUP(MATCH(X39,eyr_id,0),eyr,'A1(epa)'!$W$17,FALSE))))</f>
        <v>46</v>
      </c>
      <c r="FG39" s="6201">
        <f>+IF(X39="","",IF(2010-VLOOKUP(MATCH(X39,eyr_id,0),eyr,'A1(epa)'!$U$17,FALSE)=0,IF(VLOOKUP(MATCH(X39,eyr_id,0),eyr,'A1(epa)'!$AC$17,FALSE)=0,"",VLOOKUP(MATCH(X39,eyr_id,0),eyr,'A1(epa)'!$AC$17,FALSE))))</f>
        <v>11515</v>
      </c>
      <c r="FH39" s="6202">
        <f>+IF(X39="","",IF(2010-VLOOKUP(MATCH(X39,eyr_id,0),eyr,'A1(epa)'!$U$17,FALSE)=0,IF(VLOOKUP(MATCH(X39,eyr_id,0),eyr,'A1(epa)'!$Y$17,FALSE)=0,"",VLOOKUP(MATCH(X39,eyr_id,0),eyr,'A1(epa)'!$Y$17,FALSE))))</f>
        <v>639</v>
      </c>
      <c r="FI39" s="6203">
        <f>+IF(X39="","",IF(2010-VLOOKUP(MATCH(X39,eyr_id,0),eyr,'A1(epa)'!$U$17,FALSE)=0,IF(VLOOKUP(MATCH(X39,eyr_id,0),eyr,'A1(epa)'!$AB$17,FALSE)=0,"",VLOOKUP(MATCH(X39,eyr_id,0),eyr,'A1(epa)'!$AB$17,FALSE))))</f>
        <v>6.9</v>
      </c>
      <c r="FJ39" s="6198">
        <f>+IF(X39="","",IF(2009-VLOOKUP(MATCH(X39,eyr_id,0)+1,eyr,'A1(epa)'!$U$17,FALSE)=0,IF(VLOOKUP(MATCH(X39,eyr_id,0)+1,eyr,'A1(epa)'!$U$17,FALSE)=0,"",VLOOKUP(MATCH(X39,eyr_id,0)+1,eyr,'A1(epa)'!$U$17,FALSE))))</f>
        <v>2009</v>
      </c>
      <c r="FK39" s="6199">
        <f>+IF(X39="","",IF(2009-VLOOKUP(MATCH(X39,eyr_id,0)+1,eyr,'A1(epa)'!$U$17,FALSE)=0,IF(VLOOKUP(MATCH(X39,eyr_id,0)+1,eyr,'A1(epa)'!$X$17,FALSE)=0,"",VLOOKUP(MATCH(X39,eyr_id,0)+1,eyr,'A1(epa)'!$X$17,FALSE))))</f>
        <v>6</v>
      </c>
      <c r="FL39" s="6200">
        <f>+IF(X39="","",IF(2009-VLOOKUP(MATCH(X39,eyr_id,0)+1,eyr,'A1(epa)'!$U$17,FALSE)=0,IF(VLOOKUP(MATCH(X39,eyr_id,0)+1,eyr,'A1(epa)'!$W$17,FALSE)=0,"",VLOOKUP(MATCH(X39,eyr_id,0)+1,eyr,'A1(epa)'!$W$17,FALSE))))</f>
        <v>5</v>
      </c>
      <c r="FM39" s="6201">
        <f>+IF(X39="","",IF(2009-VLOOKUP(MATCH(X39,eyr_id,0)+1,eyr,'A1(epa)'!$U$17,FALSE)=0,IF(VLOOKUP(MATCH(X39,eyr_id,0)+1,eyr,'A1(epa)'!$AC$17,FALSE)=0,"",VLOOKUP(MATCH(X39,eyr_id,0)+1,eyr,'A1(epa)'!$AC$17,FALSE))))</f>
        <v>1145</v>
      </c>
      <c r="FN39" s="6202">
        <f>+IF(X39="","",IF(2009-VLOOKUP(MATCH(X39,eyr_id,0)+1,eyr,'A1(epa)'!$U$17,FALSE)=0,IF(VLOOKUP(MATCH(X39,eyr_id,0)+1,eyr,'A1(epa)'!$Y$17,FALSE)=0,"",VLOOKUP(MATCH(X39,eyr_id,0)+1,eyr,'A1(epa)'!$Y$17,FALSE))))</f>
        <v>62</v>
      </c>
      <c r="FO39" s="6203">
        <f>+IF(X39="","",IF(2009-VLOOKUP(MATCH(X39,eyr_id,0)+1,eyr,'A1(epa)'!$U$17,FALSE)=0,IF(VLOOKUP(MATCH(X39,eyr_id,0)+1,eyr,'A1(epa)'!$AB$17,FALSE)=0,"",VLOOKUP(MATCH(X39,eyr_id,0)+1,eyr,'A1(epa)'!$AB$17,FALSE))))</f>
        <v>0.7</v>
      </c>
      <c r="FP39" s="5039" t="s">
        <v>312</v>
      </c>
      <c r="FQ39" s="4992"/>
      <c r="FR39" s="5100" t="s">
        <v>979</v>
      </c>
      <c r="FS39" s="4992"/>
      <c r="FT39" s="4992"/>
      <c r="FU39" s="4992"/>
      <c r="FV39" s="5099" t="s">
        <v>570</v>
      </c>
      <c r="FW39" s="4806">
        <v>2010</v>
      </c>
      <c r="FX39" s="6264">
        <v>48.2</v>
      </c>
      <c r="FY39" s="6264">
        <v>38.200000000000003</v>
      </c>
      <c r="FZ39" s="6264">
        <v>10</v>
      </c>
      <c r="GA39" s="6264"/>
      <c r="GB39" s="6355" t="str">
        <f t="shared" ref="GB39:GB59" si="36">+IF(OR(FX39="",FF39=""),"",IF(AND(ROUND(FX39/FF39,2)&lt;(FF39+1)/FF39,ROUND(FX39/FF39,2)&gt;(FF39-1)/FF39),"same as EPA-CAIROS report",IF(FX39/FF39&lt;1,"less "&amp;ROUND(FX39-FF39,0)&amp;" hrs than EPA-CAIROS report","more "&amp;ROUND(FX39-FF39,0)&amp;" hrs than EPA-CAIROS report")))</f>
        <v>more 2 hrs than EPA-CAIROS report</v>
      </c>
      <c r="GC39" s="6264"/>
      <c r="GD39" s="6265">
        <f>1000*12.01</f>
        <v>12010</v>
      </c>
      <c r="GE39" s="6320" t="str">
        <f t="shared" ref="GE39:GE47" si="37">+IF(OR(GD39="",FG39=""),"",IF(AND(ROUND(GD39/FG39,2)&lt;1.1,ROUND(GD39/FG39,2)&gt;0.9),"same as EPA-CAIROS report, within ±10%",IF(GD39/FG39&lt;1,"less "&amp;ROUND((GD39-FG39)/FG39,2)*100&amp;"% MMBtu/hr than EPA-CAIROS report","reported more "&amp;ROUND((GD39-FG39)/FG39,2)*100&amp;"% MMBtu/hr than EPA-CAIROS report")))</f>
        <v>same as EPA-CAIROS report, within ±10%</v>
      </c>
      <c r="GF39" s="6265"/>
      <c r="GG39" s="6265" t="str">
        <f t="shared" si="9"/>
        <v/>
      </c>
      <c r="GH39" s="6265"/>
      <c r="GI39" s="6265"/>
      <c r="GJ39" s="6321">
        <v>5.4999999999999997E-3</v>
      </c>
      <c r="GK39" s="4806">
        <v>2009</v>
      </c>
      <c r="GL39" s="6319">
        <f>+GM39+GN39</f>
        <v>29.3</v>
      </c>
      <c r="GM39" s="6319">
        <v>3.5</v>
      </c>
      <c r="GN39" s="6319">
        <v>25.8</v>
      </c>
      <c r="GO39" s="6319">
        <f t="shared" ref="GO39:GO49" si="38">+GN39+GM39</f>
        <v>29.3</v>
      </c>
      <c r="GP39" s="6330" t="str">
        <f t="shared" ref="GP39:GP47" si="39">+IF(OR(GL39="",FL39=""),"",IF(AND(ROUND(GL39/FL39,2)&lt;(FL39+1)/FL39,ROUND(GL39/FL39,2)&gt;(FL39-1)/FL39),"same as EPA-CAIROS report",IF(GL39/FL39&lt;1,"less "&amp;ROUND(GL39-FL39,0)&amp;" hrs than EPA-CAIROS report","more "&amp;ROUND(GL39-FL39,0)&amp;" hrs than EPA-CAIROS report")))</f>
        <v>more 24 hrs than EPA-CAIROS report</v>
      </c>
      <c r="GQ39" s="6319"/>
      <c r="GR39" s="6265">
        <f>7.82*1000</f>
        <v>7820</v>
      </c>
      <c r="GS39" s="6320" t="str">
        <f t="shared" ref="GS39:GS59" si="40">+IF(OR(GR39="",FM39=""),"",IF(AND(ROUND(GR39/FM39,2)&lt;1.1,ROUND(GR39/FM39,2)&gt;0.9),"same as EPA-CAIROS report, within ±10%",IF(GR39/FM39&lt;1,"less "&amp;ROUND((GR39-FM39)/FM39,2)*100&amp;"% MMBtu/hr than EPA-CAIROS report","reported more "&amp;ROUND((GR39-FM39)/FM39,2)*100&amp;"% MMBtu/hr than EPA-CAIROS report")))</f>
        <v>reported more 583% MMBtu/hr than EPA-CAIROS report</v>
      </c>
      <c r="GT39" s="6265"/>
      <c r="GU39" s="6320" t="str">
        <f t="shared" ref="GU39:GU59" si="41">+IF(OR(GT39="",FN39=""),"",IF(AND(ROUND(GT39/FN39,2)&lt;1.025,ROUND(GT39/FN39,2)&gt;0.975),"same as EPA-CAIROS report, within ±5%",IF(GT39/FN39&lt;1,"less "&amp;ROUND((GT39-FN39)/FN39,2)*100&amp;"% MWhr","more "&amp;ROUND((GT39-FN39)/FN39,2)*100&amp;"% MWhr than EPA-CAIROS report")))</f>
        <v/>
      </c>
      <c r="GV39" s="6265"/>
      <c r="GW39" s="6265"/>
      <c r="GX39" s="6321">
        <v>3.0000000000000001E-3</v>
      </c>
      <c r="GY39" s="6263">
        <v>38.799999999999997</v>
      </c>
      <c r="GZ39" s="6264">
        <f t="shared" ref="GZ39:GZ56" si="42">+(FX39+GL39)/2</f>
        <v>38.75</v>
      </c>
      <c r="HA39" s="6266">
        <v>16.91</v>
      </c>
      <c r="HB39" s="6266">
        <v>12.05</v>
      </c>
      <c r="HC39" s="6266"/>
      <c r="HD39" s="6265">
        <f>+IF((GD39+GR39)/2=0,"",(GD39+GR39)/2)</f>
        <v>9915</v>
      </c>
      <c r="HE39" s="6265">
        <f>+HD39*U39</f>
        <v>9915</v>
      </c>
      <c r="HF39" s="6265">
        <f t="shared" ref="HF39:HF44" si="43">+HE39/U39</f>
        <v>9915</v>
      </c>
      <c r="HG39" s="6265"/>
      <c r="HH39" s="6266">
        <f t="shared" si="13"/>
        <v>0.76</v>
      </c>
      <c r="HI39" s="6266">
        <f t="shared" si="14"/>
        <v>0.8</v>
      </c>
      <c r="HJ39" s="6266">
        <f t="shared" si="29"/>
        <v>0.8</v>
      </c>
      <c r="HK39" s="6266"/>
      <c r="HL39" s="6268">
        <v>4.2</v>
      </c>
      <c r="HM39" s="6268">
        <f t="shared" ref="HM39:HM44" si="44">+HL39/U39</f>
        <v>4.2</v>
      </c>
      <c r="HN39" s="6269">
        <f t="shared" ref="HN39:HN47" si="45">+HI39*HF39/2000</f>
        <v>3.9660000000000002</v>
      </c>
      <c r="HO39" s="5357"/>
    </row>
    <row r="40" spans="1:223" s="5349" customFormat="1" ht="25.5" customHeight="1">
      <c r="A40" s="5364" t="str">
        <f t="shared" si="35"/>
        <v>8300-08</v>
      </c>
      <c r="B40" s="9571"/>
      <c r="C40" s="5365" t="str">
        <f t="shared" si="30"/>
        <v>TT10</v>
      </c>
      <c r="D40" s="6109"/>
      <c r="E40" s="6113"/>
      <c r="F40" s="6109"/>
      <c r="G40" s="4636">
        <v>20</v>
      </c>
      <c r="H40" s="4559">
        <v>10</v>
      </c>
      <c r="I40" s="10157"/>
      <c r="J40" s="4744" t="s">
        <v>611</v>
      </c>
      <c r="K40" s="4741">
        <v>8300</v>
      </c>
      <c r="L40" s="4742" t="s">
        <v>354</v>
      </c>
      <c r="M40" s="5109" t="s">
        <v>2082</v>
      </c>
      <c r="N40" s="4572"/>
      <c r="O40" s="4572"/>
      <c r="P40" s="4686" t="s">
        <v>459</v>
      </c>
      <c r="Q40" s="4594" t="s">
        <v>61</v>
      </c>
      <c r="R40" s="4686" t="str">
        <f>+IF(ISERROR(MATCH(X40,epa_id,0)),"",IF(X40="","",IF(VLOOKUP(MATCH(X40,epa_id,0),epa,'A1(epa)'!$S$17,FALSE)="","",VLOOKUP(MATCH(X40,epa_id,0),epa,'A1(epa)'!$S$17,FALSE))))</f>
        <v>10</v>
      </c>
      <c r="S40" s="4561">
        <f>+IF(ISERROR(MATCH(X40,epa_id,0)),"",IF(X40="","",IF(VLOOKUP(MATCH(X40,epa_id,0),epa,'A1(epa)'!$R$17,FALSE)="","",VLOOKUP(MATCH(X40,epa_id,0),epa,'A1(epa)'!$R$17,FALSE))))</f>
        <v>565</v>
      </c>
      <c r="T40" s="4563" t="s">
        <v>794</v>
      </c>
      <c r="U40" s="4564">
        <v>1</v>
      </c>
      <c r="V40" s="4564">
        <v>1</v>
      </c>
      <c r="W40" s="4564">
        <f t="shared" si="34"/>
        <v>8</v>
      </c>
      <c r="X40" s="4667" t="str">
        <f t="shared" si="5"/>
        <v>8300-08</v>
      </c>
      <c r="Y40" s="4596" t="s">
        <v>1510</v>
      </c>
      <c r="Z40" s="8595" t="s">
        <v>811</v>
      </c>
      <c r="AA40" s="4668" t="s">
        <v>460</v>
      </c>
      <c r="AB40" s="4668"/>
      <c r="AC40" s="4673" t="s">
        <v>979</v>
      </c>
      <c r="AD40" s="4676" t="s">
        <v>1544</v>
      </c>
      <c r="AE40" s="4674"/>
      <c r="AF40" s="4567"/>
      <c r="AG40" s="4565"/>
      <c r="AH40" s="4568"/>
      <c r="AI40" s="4784"/>
      <c r="AJ40" s="4785"/>
      <c r="AK40" s="4786"/>
      <c r="AL40" s="4787" t="s">
        <v>806</v>
      </c>
      <c r="AM40" s="4788" t="s">
        <v>1553</v>
      </c>
      <c r="AN40" s="4789"/>
      <c r="AO40" s="4789">
        <v>41790</v>
      </c>
      <c r="AP40" s="4789">
        <v>40658</v>
      </c>
      <c r="AQ40" s="4789"/>
      <c r="AR40" s="4789"/>
      <c r="AS40" s="4789"/>
      <c r="AT40" s="4785"/>
      <c r="AU40" s="4785"/>
      <c r="AV40" s="4569"/>
      <c r="AW40" s="4569"/>
      <c r="AX40" s="4569"/>
      <c r="AY40" s="4566"/>
      <c r="AZ40" s="4595"/>
      <c r="BA40" s="4597" t="s">
        <v>477</v>
      </c>
      <c r="BB40" s="4827">
        <f>+IF(AND(G40="",BA40=""),"",VLOOKUP(MATCH(BA40,tw,0),twn,'A4(twn)'!$D$12,FALSE))</f>
        <v>183</v>
      </c>
      <c r="BC40" s="4827" t="str">
        <f t="shared" si="17"/>
        <v xml:space="preserve"> -  / -  / 183 / - </v>
      </c>
      <c r="BD40" s="4572" t="s">
        <v>338</v>
      </c>
      <c r="BE40" s="4596" t="s">
        <v>338</v>
      </c>
      <c r="BF40" s="4830" t="str">
        <f t="shared" ref="BF40:BF49" si="46">+BF39</f>
        <v>NRG Energy, Inc</v>
      </c>
      <c r="BG40" s="4828" t="str">
        <f>+IF(OR(X40="",ISERROR(MATCH(X40,epa_id,0))),"",VLOOKUP(MATCH(X40,epa_id,0),epa,'A1(epa)'!$AH$17,FALSE))</f>
        <v>Connecticut Jet Power, LLC (Owner/Operator)</v>
      </c>
      <c r="BH40" s="4829"/>
      <c r="BI40" s="4829"/>
      <c r="BJ40" s="6134"/>
      <c r="BK40" s="4573"/>
      <c r="BL40" s="4574" t="s">
        <v>522</v>
      </c>
      <c r="BM40" s="6140" t="s">
        <v>1517</v>
      </c>
      <c r="BN40" s="4574" t="s">
        <v>611</v>
      </c>
      <c r="BO40" s="4573" t="s">
        <v>523</v>
      </c>
      <c r="BP40" s="4592" t="s">
        <v>524</v>
      </c>
      <c r="BQ40" s="4573"/>
      <c r="BR40" s="4573"/>
      <c r="BS40" s="4575" t="s">
        <v>525</v>
      </c>
      <c r="BT40" s="4573"/>
      <c r="BU40" s="4573"/>
      <c r="BV40" s="4576"/>
      <c r="BW40" s="4852" t="s">
        <v>790</v>
      </c>
      <c r="BX40" s="4573" t="s">
        <v>522</v>
      </c>
      <c r="BY40" s="4573"/>
      <c r="BZ40" s="4573"/>
      <c r="CA40" s="4573"/>
      <c r="CB40" s="4573"/>
      <c r="CC40" s="4577"/>
      <c r="CD40" s="4574"/>
      <c r="CE40" s="4573"/>
      <c r="CF40" s="4578" t="s">
        <v>110</v>
      </c>
      <c r="CG40" s="4578"/>
      <c r="CH40" s="4860" t="str">
        <f>+IF(ISERROR(MATCH(X40,epa_id,0)),"",IF(X40="","",IF(VLOOKUP(MATCH(X40,epa_id,0),epa,'A1(epa)'!$AE$17,FALSE)="","",VLOOKUP(MATCH(X40,epa_id,0),epa,'A1(epa)'!$AE$17,FALSE))))</f>
        <v>Electric Utility</v>
      </c>
      <c r="CI40" s="4672" t="s">
        <v>944</v>
      </c>
      <c r="CJ40" s="4672" t="str">
        <f>+IF(ISERROR(MATCH(X40,epa_id,0)),"",IF(X40="","",IF(VLOOKUP(MATCH(X40,epa_id,0),epa,'A1(epa)'!$AF$17,FALSE)="","",VLOOKUP(MATCH(X40,epa_id,0),epa,'A1(epa)'!$AF$17,FALSE))))</f>
        <v>4911</v>
      </c>
      <c r="CK40" s="4706" t="str">
        <f>+IF(ISERROR(MATCH(X40,epa_id,0)),"",IF(X40="","",IF(VLOOKUP(MATCH(X40,epa_id,0),epa,'A1(epa)'!$AG$17,FALSE)="","",VLOOKUP(MATCH(X40,epa_id,0),epa,'A1(epa)'!$AG$17,FALSE))))</f>
        <v>Electric Services</v>
      </c>
      <c r="CL40" s="4579" t="s">
        <v>115</v>
      </c>
      <c r="CM40" s="4580"/>
      <c r="CN40" s="4897"/>
      <c r="CO40" s="4788" t="s">
        <v>385</v>
      </c>
      <c r="CP40" s="4788" t="s">
        <v>304</v>
      </c>
      <c r="CQ40" s="4898" t="s">
        <v>305</v>
      </c>
      <c r="CR40" s="4899" t="s">
        <v>188</v>
      </c>
      <c r="CS40" s="4899"/>
      <c r="CT40" s="4901">
        <v>20</v>
      </c>
      <c r="CU40" s="4901">
        <f>+CT40</f>
        <v>20</v>
      </c>
      <c r="CV40" s="4902"/>
      <c r="CW40" s="4903" t="s">
        <v>191</v>
      </c>
      <c r="CX40" s="4784" t="s">
        <v>192</v>
      </c>
      <c r="CY40" s="4946" t="s">
        <v>80</v>
      </c>
      <c r="CZ40" s="4950">
        <v>22</v>
      </c>
      <c r="DA40" s="4951" t="s">
        <v>81</v>
      </c>
      <c r="DB40" s="4784" t="s">
        <v>391</v>
      </c>
      <c r="DC40" s="4898">
        <v>1969</v>
      </c>
      <c r="DD40" s="4949">
        <v>25204</v>
      </c>
      <c r="DE40" s="4790">
        <f t="shared" ca="1" si="32"/>
        <v>45.521044939729265</v>
      </c>
      <c r="DF40" s="4983" t="s">
        <v>50</v>
      </c>
      <c r="DG40" s="5039" t="s">
        <v>48</v>
      </c>
      <c r="DH40" s="4899" t="s">
        <v>451</v>
      </c>
      <c r="DI40" s="4899" t="str">
        <f>+DG40</f>
        <v>Ultra low sulfur kerosene  oil (ULSD)</v>
      </c>
      <c r="DJ40" s="4563"/>
      <c r="DK40" s="4563"/>
      <c r="DL40" s="4563"/>
      <c r="DM40" s="4563"/>
      <c r="DN40" s="4998"/>
      <c r="DO40" s="4563"/>
      <c r="DP40" s="4999"/>
      <c r="DQ40" s="4843"/>
      <c r="DR40" s="4563"/>
      <c r="DS40" s="4563"/>
      <c r="DT40" s="4563"/>
      <c r="DU40" s="4563"/>
      <c r="DV40" s="4998"/>
      <c r="DW40" s="4563"/>
      <c r="DX40" s="4999"/>
      <c r="DY40" s="4843"/>
      <c r="DZ40" s="4563"/>
      <c r="EA40" s="4563"/>
      <c r="EB40" s="4563"/>
      <c r="EC40" s="4563"/>
      <c r="ED40" s="4998"/>
      <c r="EE40" s="4563"/>
      <c r="EF40" s="5000"/>
      <c r="EG40" s="4982" t="s">
        <v>185</v>
      </c>
      <c r="EH40" s="6190">
        <v>256</v>
      </c>
      <c r="EI40" s="5037">
        <v>0.68</v>
      </c>
      <c r="EJ40" s="5038"/>
      <c r="EK40" s="5038" t="s">
        <v>920</v>
      </c>
      <c r="EL40" s="5037">
        <v>0.8</v>
      </c>
      <c r="EM40" s="5037"/>
      <c r="EN40" s="5037"/>
      <c r="EO40" s="5037"/>
      <c r="EP40" s="5037"/>
      <c r="EQ40" s="5037">
        <v>0.28999999999999998</v>
      </c>
      <c r="ER40" s="5056"/>
      <c r="ES40" s="5056"/>
      <c r="ET40" s="6191">
        <v>0.15</v>
      </c>
      <c r="EU40" s="5056"/>
      <c r="EV40" s="5001"/>
      <c r="EW40" s="5071">
        <v>0.15</v>
      </c>
      <c r="EX40" s="5056"/>
      <c r="EY40" s="5056"/>
      <c r="EZ40" s="5072">
        <v>38719</v>
      </c>
      <c r="FA40" s="5072">
        <v>40545</v>
      </c>
      <c r="FB40" s="5073">
        <f t="shared" si="33"/>
        <v>4.9993155373032172</v>
      </c>
      <c r="FC40" s="5030" t="s">
        <v>63</v>
      </c>
      <c r="FD40" s="6198">
        <f>+IF(X40="","",IF(2010-VLOOKUP(MATCH(X40,eyr_id,0),eyr,'A1(epa)'!$U$17,FALSE)=0,IF(VLOOKUP(MATCH(X40,eyr_id,0),eyr,'A1(epa)'!$U$17,FALSE)=0,"",VLOOKUP(MATCH(X40,eyr_id,0),eyr,'A1(epa)'!$U$17,FALSE))))</f>
        <v>2010</v>
      </c>
      <c r="FE40" s="6199">
        <f>+IF(X40="","",IF(2010-VLOOKUP(MATCH(X40,eyr_id,0),eyr,'A1(epa)'!$U$17,FALSE)=0,IF(VLOOKUP(MATCH(X40,eyr_id,0),eyr,'A1(epa)'!$X$17,FALSE)=0,"",VLOOKUP(MATCH(X40,eyr_id,0),eyr,'A1(epa)'!$X$17,FALSE))))</f>
        <v>6</v>
      </c>
      <c r="FF40" s="6200">
        <f>+IF(X40="","",IF(2010-VLOOKUP(MATCH(X40,eyr_id,0),eyr,'A1(epa)'!$U$17,FALSE)=0,IF(VLOOKUP(MATCH(X40,eyr_id,0),eyr,'A1(epa)'!$W$17,FALSE)=0,"",VLOOKUP(MATCH(X40,eyr_id,0),eyr,'A1(epa)'!$W$17,FALSE))))</f>
        <v>36</v>
      </c>
      <c r="FG40" s="6201">
        <f>+IF(X40="","",IF(2010-VLOOKUP(MATCH(X40,eyr_id,0),eyr,'A1(epa)'!$U$17,FALSE)=0,IF(VLOOKUP(MATCH(X40,eyr_id,0),eyr,'A1(epa)'!$AC$17,FALSE)=0,"",VLOOKUP(MATCH(X40,eyr_id,0),eyr,'A1(epa)'!$AC$17,FALSE))))</f>
        <v>9070</v>
      </c>
      <c r="FH40" s="6202">
        <f>+IF(X40="","",IF(2010-VLOOKUP(MATCH(X40,eyr_id,0),eyr,'A1(epa)'!$U$17,FALSE)=0,IF(VLOOKUP(MATCH(X40,eyr_id,0),eyr,'A1(epa)'!$Y$17,FALSE)=0,"",VLOOKUP(MATCH(X40,eyr_id,0),eyr,'A1(epa)'!$Y$17,FALSE))))</f>
        <v>468</v>
      </c>
      <c r="FI40" s="6203">
        <f>+IF(X40="","",IF(2010-VLOOKUP(MATCH(X40,eyr_id,0),eyr,'A1(epa)'!$U$17,FALSE)=0,IF(VLOOKUP(MATCH(X40,eyr_id,0),eyr,'A1(epa)'!$AB$17,FALSE)=0,"",VLOOKUP(MATCH(X40,eyr_id,0),eyr,'A1(epa)'!$AB$17,FALSE))))</f>
        <v>5.4</v>
      </c>
      <c r="FJ40" s="6198">
        <f>+IF(X40="","",IF(2009-VLOOKUP(MATCH(X40,eyr_id,0)+1,eyr,'A1(epa)'!$U$17,FALSE)=0,IF(VLOOKUP(MATCH(X40,eyr_id,0)+1,eyr,'A1(epa)'!$U$17,FALSE)=0,"",VLOOKUP(MATCH(X40,eyr_id,0)+1,eyr,'A1(epa)'!$U$17,FALSE))))</f>
        <v>2009</v>
      </c>
      <c r="FK40" s="6199">
        <f>+IF(X40="","",IF(2009-VLOOKUP(MATCH(X40,eyr_id,0)+1,eyr,'A1(epa)'!$U$17,FALSE)=0,IF(VLOOKUP(MATCH(X40,eyr_id,0)+1,eyr,'A1(epa)'!$X$17,FALSE)=0,"",VLOOKUP(MATCH(X40,eyr_id,0)+1,eyr,'A1(epa)'!$X$17,FALSE))))</f>
        <v>6</v>
      </c>
      <c r="FL40" s="6200">
        <f>+IF(X40="","",IF(2009-VLOOKUP(MATCH(X40,eyr_id,0)+1,eyr,'A1(epa)'!$U$17,FALSE)=0,IF(VLOOKUP(MATCH(X40,eyr_id,0)+1,eyr,'A1(epa)'!$W$17,FALSE)=0,"",VLOOKUP(MATCH(X40,eyr_id,0)+1,eyr,'A1(epa)'!$W$17,FALSE))))</f>
        <v>6</v>
      </c>
      <c r="FM40" s="6201">
        <f>+IF(X40="","",IF(2009-VLOOKUP(MATCH(X40,eyr_id,0)+1,eyr,'A1(epa)'!$U$17,FALSE)=0,IF(VLOOKUP(MATCH(X40,eyr_id,0)+1,eyr,'A1(epa)'!$AC$17,FALSE)=0,"",VLOOKUP(MATCH(X40,eyr_id,0)+1,eyr,'A1(epa)'!$AC$17,FALSE))))</f>
        <v>1408</v>
      </c>
      <c r="FN40" s="6202">
        <f>+IF(X40="","",IF(2009-VLOOKUP(MATCH(X40,eyr_id,0)+1,eyr,'A1(epa)'!$U$17,FALSE)=0,IF(VLOOKUP(MATCH(X40,eyr_id,0)+1,eyr,'A1(epa)'!$Y$17,FALSE)=0,"",VLOOKUP(MATCH(X40,eyr_id,0)+1,eyr,'A1(epa)'!$Y$17,FALSE))))</f>
        <v>91</v>
      </c>
      <c r="FO40" s="6203">
        <f>+IF(X40="","",IF(2009-VLOOKUP(MATCH(X40,eyr_id,0)+1,eyr,'A1(epa)'!$U$17,FALSE)=0,IF(VLOOKUP(MATCH(X40,eyr_id,0)+1,eyr,'A1(epa)'!$AB$17,FALSE)=0,"",VLOOKUP(MATCH(X40,eyr_id,0)+1,eyr,'A1(epa)'!$AB$17,FALSE))))</f>
        <v>0.8</v>
      </c>
      <c r="FP40" s="5039" t="s">
        <v>312</v>
      </c>
      <c r="FQ40" s="4992"/>
      <c r="FR40" s="5100" t="s">
        <v>979</v>
      </c>
      <c r="FS40" s="4992"/>
      <c r="FT40" s="4992"/>
      <c r="FU40" s="4992"/>
      <c r="FV40" s="5099" t="s">
        <v>570</v>
      </c>
      <c r="FW40" s="4806">
        <v>2010</v>
      </c>
      <c r="FX40" s="6264">
        <v>34.799999999999997</v>
      </c>
      <c r="FY40" s="6264">
        <v>28.2</v>
      </c>
      <c r="FZ40" s="6264">
        <v>6.7</v>
      </c>
      <c r="GA40" s="6264">
        <f t="shared" ref="GA40:GA49" si="47">+FZ40+FY40</f>
        <v>34.9</v>
      </c>
      <c r="GB40" s="6355" t="str">
        <f t="shared" si="36"/>
        <v>less -1 hrs than EPA-CAIROS report</v>
      </c>
      <c r="GC40" s="6264"/>
      <c r="GD40" s="6265">
        <f>1000*10.11</f>
        <v>10110</v>
      </c>
      <c r="GE40" s="6320" t="str">
        <f t="shared" si="37"/>
        <v>reported more 11% MMBtu/hr than EPA-CAIROS report</v>
      </c>
      <c r="GF40" s="6265"/>
      <c r="GG40" s="6265" t="str">
        <f t="shared" si="9"/>
        <v/>
      </c>
      <c r="GH40" s="6265"/>
      <c r="GI40" s="6265"/>
      <c r="GJ40" s="6321">
        <v>4.0000000000000001E-3</v>
      </c>
      <c r="GK40" s="4806">
        <v>2009</v>
      </c>
      <c r="GL40" s="6319">
        <v>24.3</v>
      </c>
      <c r="GM40" s="6319">
        <v>5.0999999999999996</v>
      </c>
      <c r="GN40" s="6319">
        <v>19.100000000000001</v>
      </c>
      <c r="GO40" s="6319">
        <f t="shared" si="38"/>
        <v>24.200000000000003</v>
      </c>
      <c r="GP40" s="6330" t="str">
        <f t="shared" si="39"/>
        <v>more 18 hrs than EPA-CAIROS report</v>
      </c>
      <c r="GQ40" s="6319"/>
      <c r="GR40" s="6265">
        <f>6.54*1000</f>
        <v>6540</v>
      </c>
      <c r="GS40" s="6320" t="str">
        <f t="shared" si="40"/>
        <v>reported more 364% MMBtu/hr than EPA-CAIROS report</v>
      </c>
      <c r="GT40" s="6265"/>
      <c r="GU40" s="6320" t="str">
        <f t="shared" si="41"/>
        <v/>
      </c>
      <c r="GV40" s="6265"/>
      <c r="GW40" s="6265"/>
      <c r="GX40" s="6321">
        <v>3.0000000000000001E-3</v>
      </c>
      <c r="GY40" s="6263">
        <v>29.5</v>
      </c>
      <c r="GZ40" s="6264">
        <f t="shared" si="42"/>
        <v>29.549999999999997</v>
      </c>
      <c r="HA40" s="6266">
        <v>16.91</v>
      </c>
      <c r="HB40" s="6266">
        <v>12.05</v>
      </c>
      <c r="HC40" s="6266"/>
      <c r="HD40" s="6265">
        <f>+IF((GD40+GR40)/2=0,"",(GD40+GR40)/2)</f>
        <v>8325</v>
      </c>
      <c r="HE40" s="6265">
        <f>+HD40*U40</f>
        <v>8325</v>
      </c>
      <c r="HF40" s="6265">
        <f t="shared" si="43"/>
        <v>8325</v>
      </c>
      <c r="HG40" s="6265"/>
      <c r="HH40" s="6266">
        <f t="shared" si="13"/>
        <v>0.68</v>
      </c>
      <c r="HI40" s="6266">
        <f t="shared" si="14"/>
        <v>0.8</v>
      </c>
      <c r="HJ40" s="6266">
        <v>0.8</v>
      </c>
      <c r="HK40" s="6266"/>
      <c r="HL40" s="6268">
        <v>3.2</v>
      </c>
      <c r="HM40" s="6268">
        <f t="shared" si="44"/>
        <v>3.2</v>
      </c>
      <c r="HN40" s="6269">
        <f t="shared" si="45"/>
        <v>3.33</v>
      </c>
      <c r="HO40" s="5357"/>
    </row>
    <row r="41" spans="1:223" s="5349" customFormat="1" ht="25.5" customHeight="1">
      <c r="A41" s="5364" t="str">
        <f t="shared" si="35"/>
        <v>8300-09</v>
      </c>
      <c r="B41" s="9571"/>
      <c r="C41" s="5365" t="str">
        <f t="shared" si="30"/>
        <v>MD10</v>
      </c>
      <c r="D41" s="6109"/>
      <c r="E41" s="6113"/>
      <c r="F41" s="6109"/>
      <c r="G41" s="4636">
        <v>21</v>
      </c>
      <c r="H41" s="4559">
        <v>11</v>
      </c>
      <c r="I41" s="10157"/>
      <c r="J41" s="4744" t="s">
        <v>611</v>
      </c>
      <c r="K41" s="4741">
        <v>8300</v>
      </c>
      <c r="L41" s="4742" t="s">
        <v>500</v>
      </c>
      <c r="M41" s="5109" t="s">
        <v>2083</v>
      </c>
      <c r="N41" s="4572"/>
      <c r="O41" s="4572"/>
      <c r="P41" s="4686" t="s">
        <v>461</v>
      </c>
      <c r="Q41" s="4594" t="s">
        <v>65</v>
      </c>
      <c r="R41" s="4686" t="str">
        <f>+IF(ISERROR(MATCH(X41,epa_id,0)),"",IF(X41="","",IF(VLOOKUP(MATCH(X41,epa_id,0),epa,'A1(epa)'!$S$17,FALSE)="","",VLOOKUP(MATCH(X41,epa_id,0),epa,'A1(epa)'!$S$17,FALSE))))</f>
        <v>10</v>
      </c>
      <c r="S41" s="4561">
        <f>+IF(ISERROR(MATCH(X41,epa_id,0)),"",IF(X41="","",IF(VLOOKUP(MATCH(X41,epa_id,0),epa,'A1(epa)'!$R$17,FALSE)="","",VLOOKUP(MATCH(X41,epa_id,0),epa,'A1(epa)'!$R$17,FALSE))))</f>
        <v>562</v>
      </c>
      <c r="T41" s="4563" t="s">
        <v>794</v>
      </c>
      <c r="U41" s="4564">
        <v>1</v>
      </c>
      <c r="V41" s="4564">
        <v>1</v>
      </c>
      <c r="W41" s="4564">
        <f t="shared" si="34"/>
        <v>9</v>
      </c>
      <c r="X41" s="4667" t="str">
        <f t="shared" si="5"/>
        <v>8300-09</v>
      </c>
      <c r="Y41" s="4596" t="s">
        <v>1510</v>
      </c>
      <c r="Z41" s="8595" t="s">
        <v>811</v>
      </c>
      <c r="AA41" s="4668" t="s">
        <v>462</v>
      </c>
      <c r="AB41" s="4668"/>
      <c r="AC41" s="4673" t="s">
        <v>979</v>
      </c>
      <c r="AD41" s="4676" t="s">
        <v>1545</v>
      </c>
      <c r="AE41" s="4674"/>
      <c r="AF41" s="4567"/>
      <c r="AG41" s="4565"/>
      <c r="AH41" s="4568"/>
      <c r="AI41" s="4784"/>
      <c r="AJ41" s="4785"/>
      <c r="AK41" s="4786"/>
      <c r="AL41" s="4787" t="s">
        <v>806</v>
      </c>
      <c r="AM41" s="4788" t="s">
        <v>1553</v>
      </c>
      <c r="AN41" s="4789"/>
      <c r="AO41" s="4789">
        <v>41790</v>
      </c>
      <c r="AP41" s="4789">
        <v>40658</v>
      </c>
      <c r="AQ41" s="4789"/>
      <c r="AR41" s="4789"/>
      <c r="AS41" s="4789"/>
      <c r="AT41" s="4785"/>
      <c r="AU41" s="4785"/>
      <c r="AV41" s="4569"/>
      <c r="AW41" s="4569"/>
      <c r="AX41" s="4569"/>
      <c r="AY41" s="4566"/>
      <c r="AZ41" s="4595"/>
      <c r="BA41" s="4597" t="s">
        <v>500</v>
      </c>
      <c r="BB41" s="4827">
        <f>+IF(AND(G41="",BA41=""),"",VLOOKUP(MATCH(BA41,tw,0),twn,'A4(twn)'!$D$12,FALSE))</f>
        <v>104</v>
      </c>
      <c r="BC41" s="4827" t="str">
        <f t="shared" si="17"/>
        <v xml:space="preserve"> -  / -  / 104 / - </v>
      </c>
      <c r="BD41" s="4572" t="s">
        <v>378</v>
      </c>
      <c r="BE41" s="4596" t="s">
        <v>240</v>
      </c>
      <c r="BF41" s="4830" t="str">
        <f t="shared" si="46"/>
        <v>NRG Energy, Inc</v>
      </c>
      <c r="BG41" s="4828" t="str">
        <f>+IF(OR(X41="",ISERROR(MATCH(X41,epa_id,0))),"",VLOOKUP(MATCH(X41,epa_id,0),epa,'A1(epa)'!$AH$17,FALSE))</f>
        <v>Middletown Power, LLC (Owner/Operator)</v>
      </c>
      <c r="BH41" s="4829"/>
      <c r="BI41" s="4829"/>
      <c r="BJ41" s="6134"/>
      <c r="BK41" s="4573"/>
      <c r="BL41" s="4574" t="s">
        <v>522</v>
      </c>
      <c r="BM41" s="6140" t="s">
        <v>1517</v>
      </c>
      <c r="BN41" s="4574" t="s">
        <v>611</v>
      </c>
      <c r="BO41" s="4573" t="s">
        <v>523</v>
      </c>
      <c r="BP41" s="4592" t="s">
        <v>524</v>
      </c>
      <c r="BQ41" s="4573"/>
      <c r="BR41" s="4573"/>
      <c r="BS41" s="4575" t="s">
        <v>525</v>
      </c>
      <c r="BT41" s="4573"/>
      <c r="BU41" s="4573"/>
      <c r="BV41" s="4576"/>
      <c r="BW41" s="4852" t="s">
        <v>790</v>
      </c>
      <c r="BX41" s="4573" t="s">
        <v>522</v>
      </c>
      <c r="BY41" s="4573"/>
      <c r="BZ41" s="4573"/>
      <c r="CA41" s="4573"/>
      <c r="CB41" s="4573"/>
      <c r="CC41" s="4577"/>
      <c r="CD41" s="4574"/>
      <c r="CE41" s="4573"/>
      <c r="CF41" s="4578" t="s">
        <v>110</v>
      </c>
      <c r="CG41" s="4578"/>
      <c r="CH41" s="4860" t="str">
        <f>+IF(ISERROR(MATCH(X41,epa_id,0)),"",IF(X41="","",IF(VLOOKUP(MATCH(X41,epa_id,0),epa,'A1(epa)'!$AE$17,FALSE)="","",VLOOKUP(MATCH(X41,epa_id,0),epa,'A1(epa)'!$AE$17,FALSE))))</f>
        <v>Electric Utility</v>
      </c>
      <c r="CI41" s="4672" t="s">
        <v>944</v>
      </c>
      <c r="CJ41" s="4672" t="str">
        <f>+IF(ISERROR(MATCH(X41,epa_id,0)),"",IF(X41="","",IF(VLOOKUP(MATCH(X41,epa_id,0),epa,'A1(epa)'!$AF$17,FALSE)="","",VLOOKUP(MATCH(X41,epa_id,0),epa,'A1(epa)'!$AF$17,FALSE))))</f>
        <v>4911</v>
      </c>
      <c r="CK41" s="4706" t="str">
        <f>+IF(ISERROR(MATCH(X41,epa_id,0)),"",IF(X41="","",IF(VLOOKUP(MATCH(X41,epa_id,0),epa,'A1(epa)'!$AG$17,FALSE)="","",VLOOKUP(MATCH(X41,epa_id,0),epa,'A1(epa)'!$AG$17,FALSE))))</f>
        <v>Electric Services</v>
      </c>
      <c r="CL41" s="4579" t="s">
        <v>115</v>
      </c>
      <c r="CM41" s="4580"/>
      <c r="CN41" s="4897"/>
      <c r="CO41" s="4788" t="s">
        <v>385</v>
      </c>
      <c r="CP41" s="4788" t="s">
        <v>304</v>
      </c>
      <c r="CQ41" s="4898" t="s">
        <v>305</v>
      </c>
      <c r="CR41" s="4899" t="s">
        <v>188</v>
      </c>
      <c r="CS41" s="4899"/>
      <c r="CT41" s="4901">
        <v>20</v>
      </c>
      <c r="CU41" s="4901">
        <f>+CU50</f>
        <v>953</v>
      </c>
      <c r="CV41" s="4902"/>
      <c r="CW41" s="4903" t="s">
        <v>191</v>
      </c>
      <c r="CX41" s="4784" t="s">
        <v>192</v>
      </c>
      <c r="CY41" s="4946" t="s">
        <v>80</v>
      </c>
      <c r="CZ41" s="4950">
        <v>22</v>
      </c>
      <c r="DA41" s="4951" t="s">
        <v>81</v>
      </c>
      <c r="DB41" s="4784" t="s">
        <v>550</v>
      </c>
      <c r="DC41" s="4898">
        <v>1966</v>
      </c>
      <c r="DD41" s="4949">
        <v>24320</v>
      </c>
      <c r="DE41" s="4790">
        <f t="shared" ca="1" si="32"/>
        <v>47.941305035554038</v>
      </c>
      <c r="DF41" s="5099"/>
      <c r="DG41" s="5039" t="s">
        <v>48</v>
      </c>
      <c r="DH41" s="4899" t="s">
        <v>451</v>
      </c>
      <c r="DI41" s="4899" t="str">
        <f>+DG41</f>
        <v>Ultra low sulfur kerosene  oil (ULSD)</v>
      </c>
      <c r="DJ41" s="4563"/>
      <c r="DK41" s="4563"/>
      <c r="DL41" s="4563"/>
      <c r="DM41" s="4563"/>
      <c r="DN41" s="4998"/>
      <c r="DO41" s="4563"/>
      <c r="DP41" s="4999"/>
      <c r="DQ41" s="4843"/>
      <c r="DR41" s="4563"/>
      <c r="DS41" s="4563"/>
      <c r="DT41" s="4563"/>
      <c r="DU41" s="4563"/>
      <c r="DV41" s="4998"/>
      <c r="DW41" s="4563"/>
      <c r="DX41" s="4999"/>
      <c r="DY41" s="4843"/>
      <c r="DZ41" s="4563"/>
      <c r="EA41" s="4563"/>
      <c r="EB41" s="4563"/>
      <c r="EC41" s="4563"/>
      <c r="ED41" s="4998"/>
      <c r="EE41" s="4563"/>
      <c r="EF41" s="5000"/>
      <c r="EG41" s="4982" t="s">
        <v>185</v>
      </c>
      <c r="EH41" s="6190">
        <v>256</v>
      </c>
      <c r="EI41" s="5037">
        <v>0.56999999999999995</v>
      </c>
      <c r="EJ41" s="5038"/>
      <c r="EK41" s="5038" t="s">
        <v>920</v>
      </c>
      <c r="EL41" s="5037">
        <v>0.67</v>
      </c>
      <c r="EM41" s="5037"/>
      <c r="EN41" s="5037"/>
      <c r="EO41" s="5037"/>
      <c r="EP41" s="5037"/>
      <c r="EQ41" s="5037">
        <v>0.28999999999999998</v>
      </c>
      <c r="ER41" s="5056"/>
      <c r="ES41" s="5056"/>
      <c r="ET41" s="6191">
        <v>0.15</v>
      </c>
      <c r="EU41" s="5056"/>
      <c r="EV41" s="5001"/>
      <c r="EW41" s="5071">
        <v>0.15</v>
      </c>
      <c r="EX41" s="5056"/>
      <c r="EY41" s="5056"/>
      <c r="EZ41" s="5072">
        <v>38888</v>
      </c>
      <c r="FA41" s="5072">
        <v>40714</v>
      </c>
      <c r="FB41" s="5073">
        <f t="shared" si="33"/>
        <v>4.9993155373032172</v>
      </c>
      <c r="FC41" s="5002"/>
      <c r="FD41" s="6198">
        <f>+IF(X41="","",IF(2010-VLOOKUP(MATCH(X41,eyr_id,0),eyr,'A1(epa)'!$U$17,FALSE)=0,IF(VLOOKUP(MATCH(X41,eyr_id,0),eyr,'A1(epa)'!$U$17,FALSE)=0,"",VLOOKUP(MATCH(X41,eyr_id,0),eyr,'A1(epa)'!$U$17,FALSE))))</f>
        <v>2010</v>
      </c>
      <c r="FE41" s="6199">
        <f>+IF(X41="","",IF(2010-VLOOKUP(MATCH(X41,eyr_id,0),eyr,'A1(epa)'!$U$17,FALSE)=0,IF(VLOOKUP(MATCH(X41,eyr_id,0),eyr,'A1(epa)'!$X$17,FALSE)=0,"",VLOOKUP(MATCH(X41,eyr_id,0),eyr,'A1(epa)'!$X$17,FALSE))))</f>
        <v>6</v>
      </c>
      <c r="FF41" s="6200">
        <f>+IF(X41="","",IF(2010-VLOOKUP(MATCH(X41,eyr_id,0),eyr,'A1(epa)'!$U$17,FALSE)=0,IF(VLOOKUP(MATCH(X41,eyr_id,0),eyr,'A1(epa)'!$W$17,FALSE)=0,"",VLOOKUP(MATCH(X41,eyr_id,0),eyr,'A1(epa)'!$W$17,FALSE))))</f>
        <v>95</v>
      </c>
      <c r="FG41" s="6201">
        <f>+IF(X41="","",IF(2010-VLOOKUP(MATCH(X41,eyr_id,0),eyr,'A1(epa)'!$U$17,FALSE)=0,IF(VLOOKUP(MATCH(X41,eyr_id,0),eyr,'A1(epa)'!$AC$17,FALSE)=0,"",VLOOKUP(MATCH(X41,eyr_id,0),eyr,'A1(epa)'!$AC$17,FALSE))))</f>
        <v>23750</v>
      </c>
      <c r="FH41" s="6202">
        <f>+IF(X41="","",IF(2010-VLOOKUP(MATCH(X41,eyr_id,0),eyr,'A1(epa)'!$U$17,FALSE)=0,IF(VLOOKUP(MATCH(X41,eyr_id,0),eyr,'A1(epa)'!$Y$17,FALSE)=0,"",VLOOKUP(MATCH(X41,eyr_id,0),eyr,'A1(epa)'!$Y$17,FALSE))))</f>
        <v>1275</v>
      </c>
      <c r="FI41" s="6203">
        <f>+IF(X41="","",IF(2010-VLOOKUP(MATCH(X41,eyr_id,0),eyr,'A1(epa)'!$U$17,FALSE)=0,IF(VLOOKUP(MATCH(X41,eyr_id,0),eyr,'A1(epa)'!$AB$17,FALSE)=0,"",VLOOKUP(MATCH(X41,eyr_id,0),eyr,'A1(epa)'!$AB$17,FALSE))))</f>
        <v>14.3</v>
      </c>
      <c r="FJ41" s="6198">
        <f>+IF(X41="","",IF(2009-VLOOKUP(MATCH(X41,eyr_id,0)+1,eyr,'A1(epa)'!$U$17,FALSE)=0,IF(VLOOKUP(MATCH(X41,eyr_id,0)+1,eyr,'A1(epa)'!$U$17,FALSE)=0,"",VLOOKUP(MATCH(X41,eyr_id,0)+1,eyr,'A1(epa)'!$U$17,FALSE))))</f>
        <v>2009</v>
      </c>
      <c r="FK41" s="6199">
        <f>+IF(X41="","",IF(2009-VLOOKUP(MATCH(X41,eyr_id,0)+1,eyr,'A1(epa)'!$U$17,FALSE)=0,IF(VLOOKUP(MATCH(X41,eyr_id,0)+1,eyr,'A1(epa)'!$X$17,FALSE)=0,"",VLOOKUP(MATCH(X41,eyr_id,0)+1,eyr,'A1(epa)'!$X$17,FALSE))))</f>
        <v>6</v>
      </c>
      <c r="FL41" s="6200">
        <f>+IF(X41="","",IF(2009-VLOOKUP(MATCH(X41,eyr_id,0)+1,eyr,'A1(epa)'!$U$17,FALSE)=0,IF(VLOOKUP(MATCH(X41,eyr_id,0)+1,eyr,'A1(epa)'!$W$17,FALSE)=0,"",VLOOKUP(MATCH(X41,eyr_id,0)+1,eyr,'A1(epa)'!$W$17,FALSE))))</f>
        <v>20</v>
      </c>
      <c r="FM41" s="6201">
        <f>+IF(X41="","",IF(2009-VLOOKUP(MATCH(X41,eyr_id,0)+1,eyr,'A1(epa)'!$U$17,FALSE)=0,IF(VLOOKUP(MATCH(X41,eyr_id,0)+1,eyr,'A1(epa)'!$AC$17,FALSE)=0,"",VLOOKUP(MATCH(X41,eyr_id,0)+1,eyr,'A1(epa)'!$AC$17,FALSE))))</f>
        <v>5013</v>
      </c>
      <c r="FN41" s="6202">
        <f>+IF(X41="","",IF(2009-VLOOKUP(MATCH(X41,eyr_id,0)+1,eyr,'A1(epa)'!$U$17,FALSE)=0,IF(VLOOKUP(MATCH(X41,eyr_id,0)+1,eyr,'A1(epa)'!$Y$17,FALSE)=0,"",VLOOKUP(MATCH(X41,eyr_id,0)+1,eyr,'A1(epa)'!$Y$17,FALSE))))</f>
        <v>243</v>
      </c>
      <c r="FO41" s="6203">
        <f>+IF(X41="","",IF(2009-VLOOKUP(MATCH(X41,eyr_id,0)+1,eyr,'A1(epa)'!$U$17,FALSE)=0,IF(VLOOKUP(MATCH(X41,eyr_id,0)+1,eyr,'A1(epa)'!$AB$17,FALSE)=0,"",VLOOKUP(MATCH(X41,eyr_id,0)+1,eyr,'A1(epa)'!$AB$17,FALSE))))</f>
        <v>3</v>
      </c>
      <c r="FP41" s="5039" t="s">
        <v>312</v>
      </c>
      <c r="FQ41" s="4992"/>
      <c r="FR41" s="5100" t="s">
        <v>979</v>
      </c>
      <c r="FS41" s="4992"/>
      <c r="FT41" s="4992"/>
      <c r="FU41" s="4992"/>
      <c r="FV41" s="5099" t="s">
        <v>570</v>
      </c>
      <c r="FW41" s="4806">
        <v>2010</v>
      </c>
      <c r="FX41" s="6264">
        <v>107.9</v>
      </c>
      <c r="FY41" s="6264">
        <v>80.599999999999994</v>
      </c>
      <c r="FZ41" s="6264">
        <v>27.3</v>
      </c>
      <c r="GA41" s="6264">
        <f t="shared" si="47"/>
        <v>107.89999999999999</v>
      </c>
      <c r="GB41" s="6355" t="str">
        <f t="shared" si="36"/>
        <v>more 13 hrs than EPA-CAIROS report</v>
      </c>
      <c r="GC41" s="6264"/>
      <c r="GD41" s="6265">
        <f>19.42*1000</f>
        <v>19420</v>
      </c>
      <c r="GE41" s="6320" t="str">
        <f t="shared" si="37"/>
        <v>less -18% MMBtu/hr than EPA-CAIROS report</v>
      </c>
      <c r="GF41" s="6265"/>
      <c r="GG41" s="6265" t="str">
        <f t="shared" si="9"/>
        <v/>
      </c>
      <c r="GH41" s="6265"/>
      <c r="GI41" s="6265"/>
      <c r="GJ41" s="6321">
        <v>1.2E-2</v>
      </c>
      <c r="GK41" s="4806">
        <v>2009</v>
      </c>
      <c r="GL41" s="6319">
        <v>92</v>
      </c>
      <c r="GM41" s="6319">
        <v>23.6</v>
      </c>
      <c r="GN41" s="6319">
        <v>68.400000000000006</v>
      </c>
      <c r="GO41" s="6319">
        <f t="shared" si="38"/>
        <v>92</v>
      </c>
      <c r="GP41" s="6330" t="str">
        <f t="shared" si="39"/>
        <v>more 72 hrs than EPA-CAIROS report</v>
      </c>
      <c r="GQ41" s="6319"/>
      <c r="GR41" s="6265">
        <f>22.54*1000</f>
        <v>22540</v>
      </c>
      <c r="GS41" s="6320" t="str">
        <f t="shared" si="40"/>
        <v>reported more 350% MMBtu/hr than EPA-CAIROS report</v>
      </c>
      <c r="GT41" s="6265"/>
      <c r="GU41" s="6320" t="str">
        <f t="shared" si="41"/>
        <v/>
      </c>
      <c r="GV41" s="6265"/>
      <c r="GW41" s="6265"/>
      <c r="GX41" s="6321">
        <v>0.01</v>
      </c>
      <c r="GY41" s="6263">
        <v>99.9</v>
      </c>
      <c r="GZ41" s="6264">
        <f t="shared" si="42"/>
        <v>99.95</v>
      </c>
      <c r="HA41" s="6266">
        <v>16.91</v>
      </c>
      <c r="HB41" s="6266">
        <v>12.05</v>
      </c>
      <c r="HC41" s="6266"/>
      <c r="HD41" s="6265">
        <f>+IF((GD41+GR41)/2=0,"",(GD41+GR41)/2)</f>
        <v>20980</v>
      </c>
      <c r="HE41" s="6265">
        <f>+HD41*U41</f>
        <v>20980</v>
      </c>
      <c r="HF41" s="6265">
        <f t="shared" si="43"/>
        <v>20980</v>
      </c>
      <c r="HG41" s="6265"/>
      <c r="HH41" s="6266">
        <f t="shared" si="13"/>
        <v>0.56999999999999995</v>
      </c>
      <c r="HI41" s="6266">
        <f t="shared" si="14"/>
        <v>0.67</v>
      </c>
      <c r="HJ41" s="6266">
        <v>0.67</v>
      </c>
      <c r="HK41" s="6266"/>
      <c r="HL41" s="6268">
        <v>6.2</v>
      </c>
      <c r="HM41" s="6268">
        <f t="shared" si="44"/>
        <v>6.2</v>
      </c>
      <c r="HN41" s="6269">
        <f t="shared" si="45"/>
        <v>7.0282999999999998</v>
      </c>
      <c r="HO41" s="5357"/>
    </row>
    <row r="42" spans="1:223" s="5349" customFormat="1" ht="25.5" customHeight="1">
      <c r="A42" s="5364" t="str">
        <f t="shared" si="35"/>
        <v>8300-10</v>
      </c>
      <c r="B42" s="9571"/>
      <c r="C42" s="5365" t="str">
        <f t="shared" si="30"/>
        <v>NH10</v>
      </c>
      <c r="D42" s="6109"/>
      <c r="E42" s="6113"/>
      <c r="F42" s="6109"/>
      <c r="G42" s="4636">
        <v>22</v>
      </c>
      <c r="H42" s="4559">
        <v>12</v>
      </c>
      <c r="I42" s="10157"/>
      <c r="J42" s="4744" t="s">
        <v>611</v>
      </c>
      <c r="K42" s="4741">
        <v>8300</v>
      </c>
      <c r="L42" s="4742" t="s">
        <v>351</v>
      </c>
      <c r="M42" s="5109" t="s">
        <v>2084</v>
      </c>
      <c r="N42" s="4572"/>
      <c r="O42" s="4572"/>
      <c r="P42" s="4686" t="s">
        <v>463</v>
      </c>
      <c r="Q42" s="4594" t="s">
        <v>68</v>
      </c>
      <c r="R42" s="4686" t="str">
        <f>+IF(ISERROR(MATCH(X42,epa_id,0)),"",IF(X42="","",IF(VLOOKUP(MATCH(X42,epa_id,0),epa,'A1(epa)'!$S$17,FALSE)="","",VLOOKUP(MATCH(X42,epa_id,0),epa,'A1(epa)'!$S$17,FALSE))))</f>
        <v>10</v>
      </c>
      <c r="S42" s="4561">
        <f>+IF(ISERROR(MATCH(X42,epa_id,0)),"",IF(X42="","",IF(VLOOKUP(MATCH(X42,epa_id,0),epa,'A1(epa)'!$R$17,FALSE)="","",VLOOKUP(MATCH(X42,epa_id,0),epa,'A1(epa)'!$R$17,FALSE))))</f>
        <v>548</v>
      </c>
      <c r="T42" s="4563" t="s">
        <v>794</v>
      </c>
      <c r="U42" s="4564">
        <v>1</v>
      </c>
      <c r="V42" s="4564">
        <v>1</v>
      </c>
      <c r="W42" s="4564">
        <f t="shared" si="34"/>
        <v>10</v>
      </c>
      <c r="X42" s="4667" t="str">
        <f t="shared" si="5"/>
        <v>8300-10</v>
      </c>
      <c r="Y42" s="4596" t="s">
        <v>1510</v>
      </c>
      <c r="Z42" s="8595" t="s">
        <v>811</v>
      </c>
      <c r="AA42" s="4668" t="s">
        <v>464</v>
      </c>
      <c r="AB42" s="4668"/>
      <c r="AC42" s="4673" t="s">
        <v>979</v>
      </c>
      <c r="AD42" s="4687" t="str">
        <f>+AA42</f>
        <v>R-137-0032</v>
      </c>
      <c r="AE42" s="4674"/>
      <c r="AF42" s="4567"/>
      <c r="AG42" s="4565"/>
      <c r="AH42" s="4568"/>
      <c r="AI42" s="4784"/>
      <c r="AJ42" s="4785"/>
      <c r="AK42" s="4786"/>
      <c r="AL42" s="4787" t="s">
        <v>806</v>
      </c>
      <c r="AM42" s="4788" t="s">
        <v>1553</v>
      </c>
      <c r="AN42" s="4789"/>
      <c r="AO42" s="4789">
        <v>41790</v>
      </c>
      <c r="AP42" s="4789">
        <v>40658</v>
      </c>
      <c r="AQ42" s="4789"/>
      <c r="AR42" s="4789"/>
      <c r="AS42" s="4789"/>
      <c r="AT42" s="4785"/>
      <c r="AU42" s="4785"/>
      <c r="AV42" s="4569"/>
      <c r="AW42" s="4569"/>
      <c r="AX42" s="4569"/>
      <c r="AY42" s="4566"/>
      <c r="AZ42" s="4595"/>
      <c r="BA42" s="4597" t="s">
        <v>715</v>
      </c>
      <c r="BB42" s="4827">
        <f>+IF(AND(G42="",BA42=""),"",VLOOKUP(MATCH(BA42,tw,0),twn,'A4(twn)'!$D$12,FALSE))</f>
        <v>137</v>
      </c>
      <c r="BC42" s="4827" t="str">
        <f t="shared" si="17"/>
        <v xml:space="preserve"> -  / -  / 137 / - </v>
      </c>
      <c r="BD42" s="4572" t="s">
        <v>351</v>
      </c>
      <c r="BE42" s="4596" t="s">
        <v>241</v>
      </c>
      <c r="BF42" s="4830" t="str">
        <f t="shared" si="46"/>
        <v>NRG Energy, Inc</v>
      </c>
      <c r="BG42" s="4828" t="str">
        <f>+IF(OR(X42="",ISERROR(MATCH(X42,epa_id,0))),"",VLOOKUP(MATCH(X42,epa_id,0),epa,'A1(epa)'!$AH$17,FALSE))</f>
        <v>Norwalk Power, LLC (Owner/Operator)</v>
      </c>
      <c r="BH42" s="4829"/>
      <c r="BI42" s="4829"/>
      <c r="BJ42" s="6134"/>
      <c r="BK42" s="4573"/>
      <c r="BL42" s="4574" t="s">
        <v>522</v>
      </c>
      <c r="BM42" s="6140" t="s">
        <v>1517</v>
      </c>
      <c r="BN42" s="4574" t="s">
        <v>611</v>
      </c>
      <c r="BO42" s="4573" t="s">
        <v>523</v>
      </c>
      <c r="BP42" s="4592" t="s">
        <v>524</v>
      </c>
      <c r="BQ42" s="4573"/>
      <c r="BR42" s="4573"/>
      <c r="BS42" s="4575" t="s">
        <v>525</v>
      </c>
      <c r="BT42" s="4573"/>
      <c r="BU42" s="4573"/>
      <c r="BV42" s="4576"/>
      <c r="BW42" s="4852" t="s">
        <v>790</v>
      </c>
      <c r="BX42" s="4573" t="s">
        <v>522</v>
      </c>
      <c r="BY42" s="4573"/>
      <c r="BZ42" s="4573"/>
      <c r="CA42" s="4573"/>
      <c r="CB42" s="4573"/>
      <c r="CC42" s="4577"/>
      <c r="CD42" s="4574"/>
      <c r="CE42" s="4573"/>
      <c r="CF42" s="4578" t="s">
        <v>110</v>
      </c>
      <c r="CG42" s="4578"/>
      <c r="CH42" s="4860" t="str">
        <f>+IF(ISERROR(MATCH(X42,epa_id,0)),"",IF(X42="","",IF(VLOOKUP(MATCH(X42,epa_id,0),epa,'A1(epa)'!$AE$17,FALSE)="","",VLOOKUP(MATCH(X42,epa_id,0),epa,'A1(epa)'!$AE$17,FALSE))))</f>
        <v>Electric Utility</v>
      </c>
      <c r="CI42" s="4672" t="s">
        <v>944</v>
      </c>
      <c r="CJ42" s="4672" t="str">
        <f>+IF(ISERROR(MATCH(X42,epa_id,0)),"",IF(X42="","",IF(VLOOKUP(MATCH(X42,epa_id,0),epa,'A1(epa)'!$AF$17,FALSE)="","",VLOOKUP(MATCH(X42,epa_id,0),epa,'A1(epa)'!$AF$17,FALSE))))</f>
        <v>4911</v>
      </c>
      <c r="CK42" s="4706" t="str">
        <f>+IF(ISERROR(MATCH(X42,epa_id,0)),"",IF(X42="","",IF(VLOOKUP(MATCH(X42,epa_id,0),epa,'A1(epa)'!$AG$17,FALSE)="","",VLOOKUP(MATCH(X42,epa_id,0),epa,'A1(epa)'!$AG$17,FALSE))))</f>
        <v>Electric Services</v>
      </c>
      <c r="CL42" s="4579" t="s">
        <v>115</v>
      </c>
      <c r="CM42" s="4580"/>
      <c r="CN42" s="4897"/>
      <c r="CO42" s="4788" t="s">
        <v>69</v>
      </c>
      <c r="CP42" s="4788" t="s">
        <v>70</v>
      </c>
      <c r="CQ42" s="4900"/>
      <c r="CR42" s="4899" t="s">
        <v>71</v>
      </c>
      <c r="CS42" s="4899"/>
      <c r="CT42" s="4901">
        <v>17</v>
      </c>
      <c r="CU42" s="4901">
        <f>+CU55</f>
        <v>353</v>
      </c>
      <c r="CV42" s="4902"/>
      <c r="CW42" s="4903" t="s">
        <v>69</v>
      </c>
      <c r="CX42" s="4784" t="s">
        <v>75</v>
      </c>
      <c r="CY42" s="4946" t="s">
        <v>80</v>
      </c>
      <c r="CZ42" s="4950" t="s">
        <v>76</v>
      </c>
      <c r="DA42" s="4951" t="s">
        <v>81</v>
      </c>
      <c r="DB42" s="4784" t="s">
        <v>72</v>
      </c>
      <c r="DC42" s="4898">
        <v>1966</v>
      </c>
      <c r="DD42" s="4949">
        <v>24381</v>
      </c>
      <c r="DE42" s="4790">
        <f t="shared" ca="1" si="32"/>
        <v>47.774296137538983</v>
      </c>
      <c r="DF42" s="5099"/>
      <c r="DG42" s="5039" t="s">
        <v>73</v>
      </c>
      <c r="DH42" s="4899" t="s">
        <v>451</v>
      </c>
      <c r="DI42" s="4899" t="str">
        <f>+DG42</f>
        <v>No.2 Oil</v>
      </c>
      <c r="DJ42" s="4563"/>
      <c r="DK42" s="4563"/>
      <c r="DL42" s="4563"/>
      <c r="DM42" s="4563"/>
      <c r="DN42" s="4998"/>
      <c r="DO42" s="4563"/>
      <c r="DP42" s="4999"/>
      <c r="DQ42" s="4843"/>
      <c r="DR42" s="4563"/>
      <c r="DS42" s="4563"/>
      <c r="DT42" s="4563"/>
      <c r="DU42" s="4563"/>
      <c r="DV42" s="4998"/>
      <c r="DW42" s="4563"/>
      <c r="DX42" s="4999"/>
      <c r="DY42" s="4843"/>
      <c r="DZ42" s="4563"/>
      <c r="EA42" s="4563"/>
      <c r="EB42" s="4563"/>
      <c r="EC42" s="4563"/>
      <c r="ED42" s="4998"/>
      <c r="EE42" s="4563"/>
      <c r="EF42" s="5000"/>
      <c r="EG42" s="4982" t="s">
        <v>185</v>
      </c>
      <c r="EH42" s="6190">
        <v>256</v>
      </c>
      <c r="EI42" s="5037">
        <v>0.51400000000000001</v>
      </c>
      <c r="EJ42" s="5038"/>
      <c r="EK42" s="5038" t="s">
        <v>920</v>
      </c>
      <c r="EL42" s="5037">
        <v>0.52</v>
      </c>
      <c r="EM42" s="5037"/>
      <c r="EN42" s="5037"/>
      <c r="EO42" s="5037"/>
      <c r="EP42" s="5037"/>
      <c r="EQ42" s="5037">
        <v>0.28999999999999998</v>
      </c>
      <c r="ER42" s="5056"/>
      <c r="ES42" s="5056"/>
      <c r="ET42" s="6191">
        <v>0.15</v>
      </c>
      <c r="EU42" s="5056"/>
      <c r="EV42" s="5001"/>
      <c r="EW42" s="5071">
        <v>0.15</v>
      </c>
      <c r="EX42" s="5056"/>
      <c r="EY42" s="5056"/>
      <c r="EZ42" s="5072">
        <v>40204</v>
      </c>
      <c r="FA42" s="5072">
        <v>42030</v>
      </c>
      <c r="FB42" s="5073">
        <f t="shared" si="33"/>
        <v>4.9993155373032172</v>
      </c>
      <c r="FC42" s="5002"/>
      <c r="FD42" s="6198">
        <f>+IF(X42="","",IF(2010-VLOOKUP(MATCH(X42,eyr_id,0),eyr,'A1(epa)'!$U$17,FALSE)=0,IF(VLOOKUP(MATCH(X42,eyr_id,0),eyr,'A1(epa)'!$U$17,FALSE)=0,"",VLOOKUP(MATCH(X42,eyr_id,0),eyr,'A1(epa)'!$U$17,FALSE))))</f>
        <v>2010</v>
      </c>
      <c r="FE42" s="6199">
        <f>+IF(X42="","",IF(2010-VLOOKUP(MATCH(X42,eyr_id,0),eyr,'A1(epa)'!$U$17,FALSE)=0,IF(VLOOKUP(MATCH(X42,eyr_id,0),eyr,'A1(epa)'!$X$17,FALSE)=0,"",VLOOKUP(MATCH(X42,eyr_id,0),eyr,'A1(epa)'!$X$17,FALSE))))</f>
        <v>6</v>
      </c>
      <c r="FF42" s="6200">
        <f>+IF(X42="","",IF(2010-VLOOKUP(MATCH(X42,eyr_id,0),eyr,'A1(epa)'!$U$17,FALSE)=0,IF(VLOOKUP(MATCH(X42,eyr_id,0),eyr,'A1(epa)'!$W$17,FALSE)=0,"",VLOOKUP(MATCH(X42,eyr_id,0),eyr,'A1(epa)'!$W$17,FALSE))))</f>
        <v>22</v>
      </c>
      <c r="FG42" s="6201">
        <f>+IF(X42="","",IF(2010-VLOOKUP(MATCH(X42,eyr_id,0),eyr,'A1(epa)'!$U$17,FALSE)=0,IF(VLOOKUP(MATCH(X42,eyr_id,0),eyr,'A1(epa)'!$AC$17,FALSE)=0,"",VLOOKUP(MATCH(X42,eyr_id,0),eyr,'A1(epa)'!$AC$17,FALSE))))</f>
        <v>13</v>
      </c>
      <c r="FH42" s="6202">
        <f>+IF(X42="","",IF(2010-VLOOKUP(MATCH(X42,eyr_id,0),eyr,'A1(epa)'!$U$17,FALSE)=0,IF(VLOOKUP(MATCH(X42,eyr_id,0),eyr,'A1(epa)'!$Y$17,FALSE)=0,"",VLOOKUP(MATCH(X42,eyr_id,0),eyr,'A1(epa)'!$Y$17,FALSE))))</f>
        <v>216</v>
      </c>
      <c r="FI42" s="6203" t="str">
        <f>+IF(X42="","",IF(2010-VLOOKUP(MATCH(X42,eyr_id,0),eyr,'A1(epa)'!$U$17,FALSE)=0,IF(VLOOKUP(MATCH(X42,eyr_id,0),eyr,'A1(epa)'!$AB$17,FALSE)=0,"",VLOOKUP(MATCH(X42,eyr_id,0),eyr,'A1(epa)'!$AB$17,FALSE))))</f>
        <v/>
      </c>
      <c r="FJ42" s="6198">
        <f>+IF(X42="","",IF(2009-VLOOKUP(MATCH(X42,eyr_id,0)+1,eyr,'A1(epa)'!$U$17,FALSE)=0,IF(VLOOKUP(MATCH(X42,eyr_id,0)+1,eyr,'A1(epa)'!$U$17,FALSE)=0,"",VLOOKUP(MATCH(X42,eyr_id,0)+1,eyr,'A1(epa)'!$U$17,FALSE))))</f>
        <v>2009</v>
      </c>
      <c r="FK42" s="6199">
        <f>+IF(X42="","",IF(2009-VLOOKUP(MATCH(X42,eyr_id,0)+1,eyr,'A1(epa)'!$U$17,FALSE)=0,IF(VLOOKUP(MATCH(X42,eyr_id,0)+1,eyr,'A1(epa)'!$X$17,FALSE)=0,"",VLOOKUP(MATCH(X42,eyr_id,0)+1,eyr,'A1(epa)'!$X$17,FALSE))))</f>
        <v>6</v>
      </c>
      <c r="FL42" s="6200">
        <f>+IF(X42="","",IF(2009-VLOOKUP(MATCH(X42,eyr_id,0)+1,eyr,'A1(epa)'!$U$17,FALSE)=0,IF(VLOOKUP(MATCH(X42,eyr_id,0)+1,eyr,'A1(epa)'!$W$17,FALSE)=0,"",VLOOKUP(MATCH(X42,eyr_id,0)+1,eyr,'A1(epa)'!$W$17,FALSE))))</f>
        <v>6</v>
      </c>
      <c r="FM42" s="6201">
        <f>+IF(X42="","",IF(2009-VLOOKUP(MATCH(X42,eyr_id,0)+1,eyr,'A1(epa)'!$U$17,FALSE)=0,IF(VLOOKUP(MATCH(X42,eyr_id,0)+1,eyr,'A1(epa)'!$AC$17,FALSE)=0,"",VLOOKUP(MATCH(X42,eyr_id,0)+1,eyr,'A1(epa)'!$AC$17,FALSE))))</f>
        <v>4</v>
      </c>
      <c r="FN42" s="6202">
        <f>+IF(X42="","",IF(2009-VLOOKUP(MATCH(X42,eyr_id,0)+1,eyr,'A1(epa)'!$U$17,FALSE)=0,IF(VLOOKUP(MATCH(X42,eyr_id,0)+1,eyr,'A1(epa)'!$Y$17,FALSE)=0,"",VLOOKUP(MATCH(X42,eyr_id,0)+1,eyr,'A1(epa)'!$Y$17,FALSE))))</f>
        <v>55</v>
      </c>
      <c r="FO42" s="6203" t="str">
        <f>+IF(X42="","",IF(2009-VLOOKUP(MATCH(X42,eyr_id,0)+1,eyr,'A1(epa)'!$U$17,FALSE)=0,IF(VLOOKUP(MATCH(X42,eyr_id,0)+1,eyr,'A1(epa)'!$AB$17,FALSE)=0,"",VLOOKUP(MATCH(X42,eyr_id,0)+1,eyr,'A1(epa)'!$AB$17,FALSE))))</f>
        <v/>
      </c>
      <c r="FP42" s="5039" t="s">
        <v>312</v>
      </c>
      <c r="FQ42" s="4992"/>
      <c r="FR42" s="5100" t="s">
        <v>979</v>
      </c>
      <c r="FS42" s="4992"/>
      <c r="FT42" s="4992"/>
      <c r="FU42" s="4992"/>
      <c r="FV42" s="5099" t="s">
        <v>570</v>
      </c>
      <c r="FW42" s="4806">
        <v>2010</v>
      </c>
      <c r="FX42" s="6264">
        <v>23.1</v>
      </c>
      <c r="FY42" s="6264">
        <v>17.5</v>
      </c>
      <c r="FZ42" s="6264">
        <v>5.5</v>
      </c>
      <c r="GA42" s="6264">
        <f t="shared" si="47"/>
        <v>23</v>
      </c>
      <c r="GB42" s="6355" t="str">
        <f t="shared" si="36"/>
        <v>more 1 hrs than EPA-CAIROS report</v>
      </c>
      <c r="GC42" s="6264"/>
      <c r="GD42" s="6265">
        <f>5.31*1000</f>
        <v>5310</v>
      </c>
      <c r="GE42" s="6320" t="str">
        <f t="shared" si="37"/>
        <v>reported more 40746% MMBtu/hr than EPA-CAIROS report</v>
      </c>
      <c r="GF42" s="6265"/>
      <c r="GG42" s="6265" t="str">
        <f t="shared" si="9"/>
        <v/>
      </c>
      <c r="GH42" s="6265"/>
      <c r="GI42" s="6265"/>
      <c r="GJ42" s="6321">
        <v>3.0000000000000001E-3</v>
      </c>
      <c r="GK42" s="4806">
        <v>2009</v>
      </c>
      <c r="GL42" s="6319">
        <v>5.9</v>
      </c>
      <c r="GM42" s="6319">
        <v>4.0999999999999996</v>
      </c>
      <c r="GN42" s="6319">
        <v>1.8</v>
      </c>
      <c r="GO42" s="6319">
        <f t="shared" si="38"/>
        <v>5.8999999999999995</v>
      </c>
      <c r="GP42" s="6330" t="str">
        <f t="shared" si="39"/>
        <v>same as EPA-CAIROS report</v>
      </c>
      <c r="GQ42" s="6319"/>
      <c r="GR42" s="6265">
        <f>1.65*1000</f>
        <v>1650</v>
      </c>
      <c r="GS42" s="6320" t="str">
        <f t="shared" si="40"/>
        <v>reported more 41150% MMBtu/hr than EPA-CAIROS report</v>
      </c>
      <c r="GT42" s="6265"/>
      <c r="GU42" s="6320" t="str">
        <f t="shared" si="41"/>
        <v/>
      </c>
      <c r="GV42" s="6265"/>
      <c r="GW42" s="6265"/>
      <c r="GX42" s="6321">
        <v>6.9999999999999999E-4</v>
      </c>
      <c r="GY42" s="6263">
        <f>+(FX42+GL42)/2</f>
        <v>14.5</v>
      </c>
      <c r="GZ42" s="6264">
        <f t="shared" si="42"/>
        <v>14.5</v>
      </c>
      <c r="HA42" s="6266">
        <v>16.91</v>
      </c>
      <c r="HB42" s="6266">
        <v>12.05</v>
      </c>
      <c r="HC42" s="6266"/>
      <c r="HD42" s="6265">
        <f t="shared" ref="HD42:HD47" si="48">+IF((GD42+GR42)/2=0,"",(GD42+GR42)/2)</f>
        <v>3480</v>
      </c>
      <c r="HE42" s="6265">
        <f>+HD42*U42</f>
        <v>3480</v>
      </c>
      <c r="HF42" s="6265">
        <f t="shared" si="43"/>
        <v>3480</v>
      </c>
      <c r="HG42" s="6265"/>
      <c r="HH42" s="6266">
        <f t="shared" si="13"/>
        <v>0.51400000000000001</v>
      </c>
      <c r="HI42" s="6266">
        <f t="shared" si="14"/>
        <v>0.52</v>
      </c>
      <c r="HJ42" s="6266">
        <v>0.52</v>
      </c>
      <c r="HK42" s="6266"/>
      <c r="HL42" s="6268">
        <v>1</v>
      </c>
      <c r="HM42" s="6268">
        <f t="shared" si="44"/>
        <v>1</v>
      </c>
      <c r="HN42" s="6269">
        <f t="shared" si="45"/>
        <v>0.90480000000000005</v>
      </c>
      <c r="HO42" s="5357"/>
    </row>
    <row r="43" spans="1:223" s="5349" customFormat="1" ht="25.5" customHeight="1">
      <c r="A43" s="5368" t="str">
        <f t="shared" si="35"/>
        <v>8300-11</v>
      </c>
      <c r="B43" s="9571"/>
      <c r="C43" s="5369" t="str">
        <f t="shared" si="30"/>
        <v>DV10</v>
      </c>
      <c r="D43" s="6109"/>
      <c r="E43" s="6113"/>
      <c r="F43" s="6109"/>
      <c r="G43" s="4636">
        <v>23</v>
      </c>
      <c r="H43" s="4559">
        <v>13</v>
      </c>
      <c r="I43" s="10157"/>
      <c r="J43" s="4744" t="s">
        <v>611</v>
      </c>
      <c r="K43" s="4741">
        <v>8300</v>
      </c>
      <c r="L43" s="4742" t="s">
        <v>345</v>
      </c>
      <c r="M43" s="5109" t="s">
        <v>2085</v>
      </c>
      <c r="N43" s="4572"/>
      <c r="O43" s="4572"/>
      <c r="P43" s="4686" t="s">
        <v>465</v>
      </c>
      <c r="Q43" s="4594" t="s">
        <v>64</v>
      </c>
      <c r="R43" s="4686" t="str">
        <f>+IF(ISERROR(MATCH(X43,epa_id,0)),"",IF(X43="","",IF(VLOOKUP(MATCH(X43,epa_id,0),epa,'A1(epa)'!$S$17,FALSE)="","",VLOOKUP(MATCH(X43,epa_id,0),epa,'A1(epa)'!$S$17,FALSE))))</f>
        <v>10</v>
      </c>
      <c r="S43" s="4561">
        <f>+IF(ISERROR(MATCH(X43,epa_id,0)),"",IF(X43="","",IF(VLOOKUP(MATCH(X43,epa_id,0),epa,'A1(epa)'!$R$17,FALSE)="","",VLOOKUP(MATCH(X43,epa_id,0),epa,'A1(epa)'!$R$17,FALSE))))</f>
        <v>544</v>
      </c>
      <c r="T43" s="4563" t="s">
        <v>794</v>
      </c>
      <c r="U43" s="4564">
        <v>1</v>
      </c>
      <c r="V43" s="4564">
        <v>1</v>
      </c>
      <c r="W43" s="4564">
        <f t="shared" si="34"/>
        <v>11</v>
      </c>
      <c r="X43" s="4667" t="str">
        <f t="shared" si="5"/>
        <v>8300-11</v>
      </c>
      <c r="Y43" s="4596" t="s">
        <v>1510</v>
      </c>
      <c r="Z43" s="8595" t="s">
        <v>811</v>
      </c>
      <c r="AA43" s="4668" t="s">
        <v>466</v>
      </c>
      <c r="AB43" s="4668"/>
      <c r="AC43" s="4673" t="s">
        <v>979</v>
      </c>
      <c r="AD43" s="4688" t="s">
        <v>1546</v>
      </c>
      <c r="AE43" s="4674"/>
      <c r="AF43" s="4567"/>
      <c r="AG43" s="4565"/>
      <c r="AH43" s="4568"/>
      <c r="AI43" s="4784"/>
      <c r="AJ43" s="4785"/>
      <c r="AK43" s="4786"/>
      <c r="AL43" s="4787" t="s">
        <v>806</v>
      </c>
      <c r="AM43" s="4788" t="s">
        <v>1553</v>
      </c>
      <c r="AN43" s="4789"/>
      <c r="AO43" s="4789">
        <v>41790</v>
      </c>
      <c r="AP43" s="4789">
        <v>40658</v>
      </c>
      <c r="AQ43" s="4789"/>
      <c r="AR43" s="4789"/>
      <c r="AS43" s="4789"/>
      <c r="AT43" s="4785"/>
      <c r="AU43" s="4785"/>
      <c r="AV43" s="4569"/>
      <c r="AW43" s="4569"/>
      <c r="AX43" s="4569"/>
      <c r="AY43" s="4566"/>
      <c r="AZ43" s="4571"/>
      <c r="BA43" s="4597" t="s">
        <v>504</v>
      </c>
      <c r="BB43" s="4827">
        <f>+IF(AND(G43="",BA43=""),"",VLOOKUP(MATCH(BA43,tw,0),twn,'A4(twn)'!$D$12,FALSE))</f>
        <v>105</v>
      </c>
      <c r="BC43" s="4827" t="str">
        <f t="shared" si="17"/>
        <v xml:space="preserve"> -  / -  / 105 / - </v>
      </c>
      <c r="BD43" s="4572" t="s">
        <v>109</v>
      </c>
      <c r="BE43" s="4596" t="s">
        <v>243</v>
      </c>
      <c r="BF43" s="4830" t="str">
        <f t="shared" si="46"/>
        <v>NRG Energy, Inc</v>
      </c>
      <c r="BG43" s="4828" t="str">
        <f>+IF(OR(X43="",ISERROR(MATCH(X43,epa_id,0))),"",VLOOKUP(MATCH(X43,epa_id,0),epa,'A1(epa)'!$AH$17,FALSE))</f>
        <v>Devon Power, LLC (Owner/Operator)</v>
      </c>
      <c r="BH43" s="4829"/>
      <c r="BI43" s="4829"/>
      <c r="BJ43" s="6134"/>
      <c r="BK43" s="4573"/>
      <c r="BL43" s="4574" t="s">
        <v>522</v>
      </c>
      <c r="BM43" s="6140" t="s">
        <v>1517</v>
      </c>
      <c r="BN43" s="4574" t="s">
        <v>611</v>
      </c>
      <c r="BO43" s="4573" t="s">
        <v>523</v>
      </c>
      <c r="BP43" s="4592" t="s">
        <v>524</v>
      </c>
      <c r="BQ43" s="4573"/>
      <c r="BR43" s="4573"/>
      <c r="BS43" s="4575" t="s">
        <v>525</v>
      </c>
      <c r="BT43" s="4573"/>
      <c r="BU43" s="4573"/>
      <c r="BV43" s="4576"/>
      <c r="BW43" s="4852" t="s">
        <v>790</v>
      </c>
      <c r="BX43" s="4573" t="s">
        <v>522</v>
      </c>
      <c r="BY43" s="4573"/>
      <c r="BZ43" s="4573"/>
      <c r="CA43" s="4573"/>
      <c r="CB43" s="4573"/>
      <c r="CC43" s="4577"/>
      <c r="CD43" s="4574"/>
      <c r="CE43" s="4573"/>
      <c r="CF43" s="4578" t="s">
        <v>110</v>
      </c>
      <c r="CG43" s="4578"/>
      <c r="CH43" s="4860" t="str">
        <f>+IF(ISERROR(MATCH(X43,epa_id,0)),"",IF(X43="","",IF(VLOOKUP(MATCH(X43,epa_id,0),epa,'A1(epa)'!$AE$17,FALSE)="","",VLOOKUP(MATCH(X43,epa_id,0),epa,'A1(epa)'!$AE$17,FALSE))))</f>
        <v>Electric Utility</v>
      </c>
      <c r="CI43" s="4672" t="s">
        <v>944</v>
      </c>
      <c r="CJ43" s="4672" t="str">
        <f>+IF(ISERROR(MATCH(X43,epa_id,0)),"",IF(X43="","",IF(VLOOKUP(MATCH(X43,epa_id,0),epa,'A1(epa)'!$AF$17,FALSE)="","",VLOOKUP(MATCH(X43,epa_id,0),epa,'A1(epa)'!$AF$17,FALSE))))</f>
        <v>4911</v>
      </c>
      <c r="CK43" s="4706" t="str">
        <f>+IF(ISERROR(MATCH(X43,epa_id,0)),"",IF(X43="","",IF(VLOOKUP(MATCH(X43,epa_id,0),epa,'A1(epa)'!$AG$17,FALSE)="","",VLOOKUP(MATCH(X43,epa_id,0),epa,'A1(epa)'!$AG$17,FALSE))))</f>
        <v>Electric Services</v>
      </c>
      <c r="CL43" s="4579" t="s">
        <v>115</v>
      </c>
      <c r="CM43" s="4580"/>
      <c r="CN43" s="4897"/>
      <c r="CO43" s="4788" t="s">
        <v>385</v>
      </c>
      <c r="CP43" s="4788" t="s">
        <v>304</v>
      </c>
      <c r="CQ43" s="4898" t="s">
        <v>305</v>
      </c>
      <c r="CR43" s="4899" t="s">
        <v>188</v>
      </c>
      <c r="CS43" s="4899"/>
      <c r="CT43" s="4901">
        <v>20</v>
      </c>
      <c r="CU43" s="10159">
        <f>+SUM(CT43:CT47)</f>
        <v>180</v>
      </c>
      <c r="CV43" s="4902"/>
      <c r="CW43" s="4903" t="s">
        <v>191</v>
      </c>
      <c r="CX43" s="4784" t="s">
        <v>192</v>
      </c>
      <c r="CY43" s="4946" t="s">
        <v>80</v>
      </c>
      <c r="CZ43" s="4950">
        <v>22</v>
      </c>
      <c r="DA43" s="4951" t="s">
        <v>81</v>
      </c>
      <c r="DB43" s="4784" t="s">
        <v>77</v>
      </c>
      <c r="DC43" s="4898">
        <v>1988</v>
      </c>
      <c r="DD43" s="4949">
        <v>32203</v>
      </c>
      <c r="DE43" s="4790">
        <f t="shared" ca="1" si="32"/>
        <v>26.358827280591683</v>
      </c>
      <c r="DF43" s="5099"/>
      <c r="DG43" s="5039" t="s">
        <v>48</v>
      </c>
      <c r="DH43" s="4899" t="s">
        <v>451</v>
      </c>
      <c r="DI43" s="4899" t="str">
        <f>+DG43</f>
        <v>Ultra low sulfur kerosene  oil (ULSD)</v>
      </c>
      <c r="DJ43" s="4563"/>
      <c r="DK43" s="4563"/>
      <c r="DL43" s="4563"/>
      <c r="DM43" s="4563"/>
      <c r="DN43" s="4998"/>
      <c r="DO43" s="4563"/>
      <c r="DP43" s="4999"/>
      <c r="DQ43" s="4843"/>
      <c r="DR43" s="4563"/>
      <c r="DS43" s="4563"/>
      <c r="DT43" s="4563"/>
      <c r="DU43" s="4563"/>
      <c r="DV43" s="4998"/>
      <c r="DW43" s="4563"/>
      <c r="DX43" s="4999"/>
      <c r="DY43" s="4843"/>
      <c r="DZ43" s="4563"/>
      <c r="EA43" s="4563"/>
      <c r="EB43" s="4563"/>
      <c r="EC43" s="4563"/>
      <c r="ED43" s="4998"/>
      <c r="EE43" s="4563"/>
      <c r="EF43" s="5000"/>
      <c r="EG43" s="4982" t="s">
        <v>185</v>
      </c>
      <c r="EH43" s="6190">
        <v>256</v>
      </c>
      <c r="EI43" s="5037">
        <v>0.67</v>
      </c>
      <c r="EJ43" s="5038"/>
      <c r="EK43" s="5038" t="s">
        <v>920</v>
      </c>
      <c r="EL43" s="5037">
        <v>0.74</v>
      </c>
      <c r="EM43" s="5037"/>
      <c r="EN43" s="5037"/>
      <c r="EO43" s="5037"/>
      <c r="EP43" s="5037"/>
      <c r="EQ43" s="5037">
        <v>0.28999999999999998</v>
      </c>
      <c r="ER43" s="5056"/>
      <c r="ES43" s="5056"/>
      <c r="ET43" s="6191">
        <v>0.15</v>
      </c>
      <c r="EU43" s="5056"/>
      <c r="EV43" s="5001"/>
      <c r="EW43" s="5071">
        <v>0.15</v>
      </c>
      <c r="EX43" s="5056"/>
      <c r="EY43" s="5056"/>
      <c r="EZ43" s="5072">
        <v>40602</v>
      </c>
      <c r="FA43" s="5072">
        <v>42460</v>
      </c>
      <c r="FB43" s="5073">
        <f t="shared" si="33"/>
        <v>5.0869267624914443</v>
      </c>
      <c r="FC43" s="5087" t="s">
        <v>78</v>
      </c>
      <c r="FD43" s="6198">
        <f>+IF(X43="","",IF(2010-VLOOKUP(MATCH(X43,eyr_id,0),eyr,'A1(epa)'!$U$17,FALSE)=0,IF(VLOOKUP(MATCH(X43,eyr_id,0),eyr,'A1(epa)'!$U$17,FALSE)=0,"",VLOOKUP(MATCH(X43,eyr_id,0),eyr,'A1(epa)'!$U$17,FALSE))))</f>
        <v>2010</v>
      </c>
      <c r="FE43" s="6199">
        <f>+IF(X43="","",IF(2010-VLOOKUP(MATCH(X43,eyr_id,0),eyr,'A1(epa)'!$U$17,FALSE)=0,IF(VLOOKUP(MATCH(X43,eyr_id,0),eyr,'A1(epa)'!$X$17,FALSE)=0,"",VLOOKUP(MATCH(X43,eyr_id,0),eyr,'A1(epa)'!$X$17,FALSE))))</f>
        <v>6</v>
      </c>
      <c r="FF43" s="6200">
        <f>+IF(X43="","",IF(2010-VLOOKUP(MATCH(X43,eyr_id,0),eyr,'A1(epa)'!$U$17,FALSE)=0,IF(VLOOKUP(MATCH(X43,eyr_id,0),eyr,'A1(epa)'!$W$17,FALSE)=0,"",VLOOKUP(MATCH(X43,eyr_id,0),eyr,'A1(epa)'!$W$17,FALSE))))</f>
        <v>24</v>
      </c>
      <c r="FG43" s="6201">
        <f>+IF(X43="","",IF(2010-VLOOKUP(MATCH(X43,eyr_id,0),eyr,'A1(epa)'!$U$17,FALSE)=0,IF(VLOOKUP(MATCH(X43,eyr_id,0),eyr,'A1(epa)'!$AC$17,FALSE)=0,"",VLOOKUP(MATCH(X43,eyr_id,0),eyr,'A1(epa)'!$AC$17,FALSE))))</f>
        <v>5575</v>
      </c>
      <c r="FH43" s="6202">
        <f>+IF(X43="","",IF(2010-VLOOKUP(MATCH(X43,eyr_id,0),eyr,'A1(epa)'!$U$17,FALSE)=0,IF(VLOOKUP(MATCH(X43,eyr_id,0),eyr,'A1(epa)'!$Y$17,FALSE)=0,"",VLOOKUP(MATCH(X43,eyr_id,0),eyr,'A1(epa)'!$Y$17,FALSE))))</f>
        <v>454</v>
      </c>
      <c r="FI43" s="6203">
        <f>+IF(X43="","",IF(2010-VLOOKUP(MATCH(X43,eyr_id,0),eyr,'A1(epa)'!$U$17,FALSE)=0,IF(VLOOKUP(MATCH(X43,eyr_id,0),eyr,'A1(epa)'!$AB$17,FALSE)=0,"",VLOOKUP(MATCH(X43,eyr_id,0),eyr,'A1(epa)'!$AB$17,FALSE))))</f>
        <v>3.3</v>
      </c>
      <c r="FJ43" s="6198">
        <f>+IF(X43="","",IF(2009-VLOOKUP(MATCH(X43,eyr_id,0)+1,eyr,'A1(epa)'!$U$17,FALSE)=0,IF(VLOOKUP(MATCH(X43,eyr_id,0)+1,eyr,'A1(epa)'!$U$17,FALSE)=0,"",VLOOKUP(MATCH(X43,eyr_id,0)+1,eyr,'A1(epa)'!$U$17,FALSE))))</f>
        <v>2009</v>
      </c>
      <c r="FK43" s="6199">
        <f>+IF(X43="","",IF(2009-VLOOKUP(MATCH(X43,eyr_id,0)+1,eyr,'A1(epa)'!$U$17,FALSE)=0,IF(VLOOKUP(MATCH(X43,eyr_id,0)+1,eyr,'A1(epa)'!$X$17,FALSE)=0,"",VLOOKUP(MATCH(X43,eyr_id,0)+1,eyr,'A1(epa)'!$X$17,FALSE))))</f>
        <v>6</v>
      </c>
      <c r="FL43" s="6200">
        <f>+IF(X43="","",IF(2009-VLOOKUP(MATCH(X43,eyr_id,0)+1,eyr,'A1(epa)'!$U$17,FALSE)=0,IF(VLOOKUP(MATCH(X43,eyr_id,0)+1,eyr,'A1(epa)'!$W$17,FALSE)=0,"",VLOOKUP(MATCH(X43,eyr_id,0)+1,eyr,'A1(epa)'!$W$17,FALSE))))</f>
        <v>4</v>
      </c>
      <c r="FM43" s="6201">
        <f>+IF(X43="","",IF(2009-VLOOKUP(MATCH(X43,eyr_id,0)+1,eyr,'A1(epa)'!$U$17,FALSE)=0,IF(VLOOKUP(MATCH(X43,eyr_id,0)+1,eyr,'A1(epa)'!$AC$17,FALSE)=0,"",VLOOKUP(MATCH(X43,eyr_id,0)+1,eyr,'A1(epa)'!$AC$17,FALSE))))</f>
        <v>869</v>
      </c>
      <c r="FN43" s="6202">
        <f>+IF(X43="","",IF(2009-VLOOKUP(MATCH(X43,eyr_id,0)+1,eyr,'A1(epa)'!$U$17,FALSE)=0,IF(VLOOKUP(MATCH(X43,eyr_id,0)+1,eyr,'A1(epa)'!$Y$17,FALSE)=0,"",VLOOKUP(MATCH(X43,eyr_id,0)+1,eyr,'A1(epa)'!$Y$17,FALSE))))</f>
        <v>65</v>
      </c>
      <c r="FO43" s="6203">
        <f>+IF(X43="","",IF(2009-VLOOKUP(MATCH(X43,eyr_id,0)+1,eyr,'A1(epa)'!$U$17,FALSE)=0,IF(VLOOKUP(MATCH(X43,eyr_id,0)+1,eyr,'A1(epa)'!$AB$17,FALSE)=0,"",VLOOKUP(MATCH(X43,eyr_id,0)+1,eyr,'A1(epa)'!$AB$17,FALSE))))</f>
        <v>0.5</v>
      </c>
      <c r="FP43" s="5039" t="s">
        <v>312</v>
      </c>
      <c r="FQ43" s="4992"/>
      <c r="FR43" s="5100" t="s">
        <v>979</v>
      </c>
      <c r="FS43" s="4992"/>
      <c r="FT43" s="4992"/>
      <c r="FU43" s="4992"/>
      <c r="FV43" s="5099" t="s">
        <v>570</v>
      </c>
      <c r="FW43" s="4806">
        <v>2010</v>
      </c>
      <c r="FX43" s="6264">
        <v>30.8</v>
      </c>
      <c r="FY43" s="6264">
        <v>24.2</v>
      </c>
      <c r="FZ43" s="6264">
        <v>6.6</v>
      </c>
      <c r="GA43" s="6264">
        <f t="shared" si="47"/>
        <v>30.799999999999997</v>
      </c>
      <c r="GB43" s="6355" t="str">
        <f t="shared" si="36"/>
        <v>more 7 hrs than EPA-CAIROS report</v>
      </c>
      <c r="GC43" s="6264"/>
      <c r="GD43" s="6265">
        <f>7.13*1000</f>
        <v>7130</v>
      </c>
      <c r="GE43" s="6320" t="str">
        <f t="shared" si="37"/>
        <v>reported more 28% MMBtu/hr than EPA-CAIROS report</v>
      </c>
      <c r="GF43" s="6265"/>
      <c r="GG43" s="6265" t="str">
        <f t="shared" si="9"/>
        <v/>
      </c>
      <c r="GH43" s="6265"/>
      <c r="GI43" s="6265"/>
      <c r="GJ43" s="6321">
        <v>3.5000000000000001E-3</v>
      </c>
      <c r="GK43" s="4806">
        <v>2009</v>
      </c>
      <c r="GL43" s="6319">
        <v>10.3</v>
      </c>
      <c r="GM43" s="6319">
        <v>3.4</v>
      </c>
      <c r="GN43" s="6319">
        <v>6.9</v>
      </c>
      <c r="GO43" s="6319">
        <f t="shared" si="38"/>
        <v>10.3</v>
      </c>
      <c r="GP43" s="6330" t="str">
        <f t="shared" si="39"/>
        <v>more 6 hrs than EPA-CAIROS report</v>
      </c>
      <c r="GQ43" s="6319"/>
      <c r="GR43" s="6265">
        <f>2.58*1000</f>
        <v>2580</v>
      </c>
      <c r="GS43" s="6320" t="str">
        <f t="shared" si="40"/>
        <v>reported more 197% MMBtu/hr than EPA-CAIROS report</v>
      </c>
      <c r="GT43" s="6265"/>
      <c r="GU43" s="6320" t="str">
        <f t="shared" si="41"/>
        <v/>
      </c>
      <c r="GV43" s="6265"/>
      <c r="GW43" s="6265"/>
      <c r="GX43" s="6321">
        <v>1E-3</v>
      </c>
      <c r="GY43" s="6263">
        <f>+(FX43+GL43)/2</f>
        <v>20.55</v>
      </c>
      <c r="GZ43" s="6264">
        <f t="shared" si="42"/>
        <v>20.55</v>
      </c>
      <c r="HA43" s="6266">
        <v>16.91</v>
      </c>
      <c r="HB43" s="6266">
        <v>12.05</v>
      </c>
      <c r="HC43" s="6266"/>
      <c r="HD43" s="6265">
        <f t="shared" si="48"/>
        <v>4855</v>
      </c>
      <c r="HE43" s="6265">
        <f>+HD43*U43</f>
        <v>4855</v>
      </c>
      <c r="HF43" s="6265">
        <f t="shared" si="43"/>
        <v>4855</v>
      </c>
      <c r="HG43" s="6265"/>
      <c r="HH43" s="6266">
        <f t="shared" si="13"/>
        <v>0.67</v>
      </c>
      <c r="HI43" s="6266">
        <f t="shared" si="14"/>
        <v>0.74</v>
      </c>
      <c r="HJ43" s="6266">
        <v>0.74</v>
      </c>
      <c r="HK43" s="6266"/>
      <c r="HL43" s="6268">
        <v>1.8</v>
      </c>
      <c r="HM43" s="6268">
        <f t="shared" si="44"/>
        <v>1.8</v>
      </c>
      <c r="HN43" s="6269">
        <f t="shared" si="45"/>
        <v>1.7963499999999999</v>
      </c>
      <c r="HO43" s="5357"/>
    </row>
    <row r="44" spans="1:223" s="5349" customFormat="1" ht="25.5" customHeight="1">
      <c r="A44" s="5364" t="str">
        <f t="shared" si="35"/>
        <v>8300-12</v>
      </c>
      <c r="B44" s="9571"/>
      <c r="C44" s="5365" t="str">
        <f t="shared" si="30"/>
        <v>DV11</v>
      </c>
      <c r="D44" s="6109"/>
      <c r="E44" s="6113"/>
      <c r="F44" s="6109"/>
      <c r="G44" s="4636">
        <v>24</v>
      </c>
      <c r="H44" s="10168">
        <v>14</v>
      </c>
      <c r="I44" s="10157"/>
      <c r="J44" s="4746" t="s">
        <v>611</v>
      </c>
      <c r="K44" s="4736">
        <v>8300</v>
      </c>
      <c r="L44" s="4737" t="s">
        <v>345</v>
      </c>
      <c r="M44" s="10196" t="s">
        <v>2086</v>
      </c>
      <c r="N44" s="4545"/>
      <c r="O44" s="4545"/>
      <c r="P44" s="4689" t="s">
        <v>242</v>
      </c>
      <c r="Q44" s="4598" t="s">
        <v>82</v>
      </c>
      <c r="R44" s="4689" t="str">
        <f>+IF(ISERROR(MATCH(X44,epa_id,0)),"",IF(X44="","",IF(VLOOKUP(MATCH(X44,epa_id,0),epa,'A1(epa)'!$S$17,FALSE)="","",VLOOKUP(MATCH(X44,epa_id,0),epa,'A1(epa)'!$S$17,FALSE))))</f>
        <v>11</v>
      </c>
      <c r="S44" s="4534">
        <f>+IF(ISERROR(MATCH(X44,epa_id,0)),"",IF(X44="","",IF(VLOOKUP(MATCH(X44,epa_id,0),epa,'A1(epa)'!$R$17,FALSE)="","",VLOOKUP(MATCH(X44,epa_id,0),epa,'A1(epa)'!$R$17,FALSE))))</f>
        <v>544</v>
      </c>
      <c r="T44" s="4537" t="s">
        <v>794</v>
      </c>
      <c r="U44" s="4538">
        <v>4</v>
      </c>
      <c r="V44" s="4538">
        <v>1</v>
      </c>
      <c r="W44" s="4538">
        <f t="shared" si="34"/>
        <v>12</v>
      </c>
      <c r="X44" s="4644" t="str">
        <f t="shared" si="5"/>
        <v>8300-12</v>
      </c>
      <c r="Y44" s="4646" t="s">
        <v>1510</v>
      </c>
      <c r="Z44" s="8595" t="s">
        <v>1513</v>
      </c>
      <c r="AA44" s="4538" t="s">
        <v>467</v>
      </c>
      <c r="AB44" s="4678"/>
      <c r="AC44" s="4649" t="s">
        <v>979</v>
      </c>
      <c r="AD44" s="4679" t="s">
        <v>1547</v>
      </c>
      <c r="AE44" s="4651"/>
      <c r="AF44" s="4539"/>
      <c r="AG44" s="4540"/>
      <c r="AH44" s="4541"/>
      <c r="AI44" s="4763"/>
      <c r="AJ44" s="4764"/>
      <c r="AK44" s="4765"/>
      <c r="AL44" s="4766" t="s">
        <v>806</v>
      </c>
      <c r="AM44" s="4791" t="s">
        <v>1555</v>
      </c>
      <c r="AN44" s="4767"/>
      <c r="AO44" s="4767">
        <v>41790</v>
      </c>
      <c r="AP44" s="4767">
        <v>40658</v>
      </c>
      <c r="AQ44" s="4767"/>
      <c r="AR44" s="4767"/>
      <c r="AS44" s="4767"/>
      <c r="AT44" s="4764"/>
      <c r="AU44" s="4764"/>
      <c r="AV44" s="4599"/>
      <c r="AW44" s="4599"/>
      <c r="AX44" s="4599"/>
      <c r="AY44" s="4600"/>
      <c r="AZ44" s="4605"/>
      <c r="BA44" s="4820" t="s">
        <v>504</v>
      </c>
      <c r="BB44" s="4821">
        <f>+IF(AND(G44="",BA44=""),"",VLOOKUP(MATCH(BA44,tw,0),twn,'A4(twn)'!$D$12,FALSE))</f>
        <v>105</v>
      </c>
      <c r="BC44" s="4821" t="str">
        <f t="shared" si="17"/>
        <v xml:space="preserve"> -  / -  / 105 / - </v>
      </c>
      <c r="BD44" s="4545" t="s">
        <v>109</v>
      </c>
      <c r="BE44" s="4646" t="s">
        <v>243</v>
      </c>
      <c r="BF44" s="4831" t="str">
        <f t="shared" si="46"/>
        <v>NRG Energy, Inc</v>
      </c>
      <c r="BG44" s="4645" t="str">
        <f>+IF(OR(X44="",ISERROR(MATCH(X44,epa_id,0))),"",VLOOKUP(MATCH(X44,epa_id,0),epa,'A1(epa)'!$AH$17,FALSE))</f>
        <v>Devon Power, LLC (Owner/Operator)</v>
      </c>
      <c r="BH44" s="4832"/>
      <c r="BI44" s="4832"/>
      <c r="BJ44" s="6131"/>
      <c r="BK44" s="4546"/>
      <c r="BL44" s="4602" t="s">
        <v>522</v>
      </c>
      <c r="BM44" s="6141" t="s">
        <v>1517</v>
      </c>
      <c r="BN44" s="4602" t="s">
        <v>611</v>
      </c>
      <c r="BO44" s="4546" t="s">
        <v>523</v>
      </c>
      <c r="BP44" s="4533" t="s">
        <v>524</v>
      </c>
      <c r="BQ44" s="4546"/>
      <c r="BR44" s="4546"/>
      <c r="BS44" s="4547" t="s">
        <v>525</v>
      </c>
      <c r="BT44" s="4546"/>
      <c r="BU44" s="4546"/>
      <c r="BV44" s="4548"/>
      <c r="BW44" s="4849" t="s">
        <v>790</v>
      </c>
      <c r="BX44" s="4546" t="s">
        <v>522</v>
      </c>
      <c r="BY44" s="4546"/>
      <c r="BZ44" s="4546"/>
      <c r="CA44" s="4546"/>
      <c r="CB44" s="4546"/>
      <c r="CC44" s="4603"/>
      <c r="CD44" s="4602"/>
      <c r="CE44" s="4546"/>
      <c r="CF44" s="4551" t="s">
        <v>110</v>
      </c>
      <c r="CG44" s="4551"/>
      <c r="CH44" s="4861" t="str">
        <f>+IF(ISERROR(MATCH(X44,epa_id,0)),"",IF(X44="","",IF(VLOOKUP(MATCH(X44,epa_id,0),epa,'A1(epa)'!$AE$17,FALSE)="","",VLOOKUP(MATCH(X44,epa_id,0),epa,'A1(epa)'!$AE$17,FALSE))))</f>
        <v>Electric Utility</v>
      </c>
      <c r="CI44" s="4857" t="s">
        <v>944</v>
      </c>
      <c r="CJ44" s="4647" t="str">
        <f>+IF(ISERROR(MATCH(X44,epa_id,0)),"",IF(X44="","",IF(VLOOKUP(MATCH(X44,epa_id,0),epa,'A1(epa)'!$AF$17,FALSE)="","",VLOOKUP(MATCH(X44,epa_id,0),epa,'A1(epa)'!$AF$17,FALSE))))</f>
        <v>4911</v>
      </c>
      <c r="CK44" s="4857" t="str">
        <f>+IF(ISERROR(MATCH(X44,epa_id,0)),"",IF(X44="","",IF(VLOOKUP(MATCH(X44,epa_id,0),epa,'A1(epa)'!$AG$17,FALSE)="","",VLOOKUP(MATCH(X44,epa_id,0),epa,'A1(epa)'!$AG$17,FALSE))))</f>
        <v>Electric Services</v>
      </c>
      <c r="CL44" s="4552" t="s">
        <v>116</v>
      </c>
      <c r="CM44" s="4553"/>
      <c r="CN44" s="4881"/>
      <c r="CO44" s="4791" t="s">
        <v>442</v>
      </c>
      <c r="CP44" s="4791" t="s">
        <v>86</v>
      </c>
      <c r="CQ44" s="4883"/>
      <c r="CR44" s="4884" t="s">
        <v>87</v>
      </c>
      <c r="CS44" s="4884"/>
      <c r="CT44" s="8588">
        <v>40</v>
      </c>
      <c r="CU44" s="10160"/>
      <c r="CV44" s="4885"/>
      <c r="CW44" s="4886" t="s">
        <v>79</v>
      </c>
      <c r="CX44" s="4956">
        <v>30</v>
      </c>
      <c r="CY44" s="4931" t="s">
        <v>80</v>
      </c>
      <c r="CZ44" s="4957">
        <v>40</v>
      </c>
      <c r="DA44" s="4958" t="s">
        <v>81</v>
      </c>
      <c r="DB44" s="4763" t="s">
        <v>57</v>
      </c>
      <c r="DC44" s="4882">
        <v>1996</v>
      </c>
      <c r="DD44" s="4953">
        <v>35217</v>
      </c>
      <c r="DE44" s="4935">
        <f t="shared" ca="1" si="32"/>
        <v>18.106945008175533</v>
      </c>
      <c r="DF44" s="4958"/>
      <c r="DG44" s="5040" t="s">
        <v>88</v>
      </c>
      <c r="DH44" s="4884" t="s">
        <v>474</v>
      </c>
      <c r="DI44" s="4884" t="s">
        <v>2522</v>
      </c>
      <c r="DJ44" s="4537"/>
      <c r="DK44" s="4537"/>
      <c r="DL44" s="4537"/>
      <c r="DM44" s="4537"/>
      <c r="DN44" s="5003"/>
      <c r="DO44" s="4537"/>
      <c r="DP44" s="5004" t="s">
        <v>91</v>
      </c>
      <c r="DQ44" s="5005" t="s">
        <v>90</v>
      </c>
      <c r="DR44" s="4537"/>
      <c r="DS44" s="4537"/>
      <c r="DT44" s="4537"/>
      <c r="DU44" s="4537"/>
      <c r="DV44" s="5003"/>
      <c r="DW44" s="4537"/>
      <c r="DX44" s="5004" t="s">
        <v>92</v>
      </c>
      <c r="DY44" s="5005"/>
      <c r="DZ44" s="4537"/>
      <c r="EA44" s="4537"/>
      <c r="EB44" s="4537"/>
      <c r="EC44" s="4537"/>
      <c r="ED44" s="5003"/>
      <c r="EE44" s="4537"/>
      <c r="EF44" s="5006"/>
      <c r="EG44" s="5040" t="s">
        <v>186</v>
      </c>
      <c r="EH44" s="6167">
        <v>394</v>
      </c>
      <c r="EI44" s="5032">
        <f>+EL44</f>
        <v>0.17100000000000001</v>
      </c>
      <c r="EJ44" s="5041"/>
      <c r="EK44" s="5041" t="s">
        <v>1194</v>
      </c>
      <c r="EL44" s="5032">
        <v>0.17100000000000001</v>
      </c>
      <c r="EM44" s="5032"/>
      <c r="EN44" s="5032"/>
      <c r="EO44" s="5032"/>
      <c r="EP44" s="5032"/>
      <c r="EQ44" s="5032"/>
      <c r="ER44" s="5031"/>
      <c r="ES44" s="5031"/>
      <c r="ET44" s="6160">
        <v>0.15</v>
      </c>
      <c r="EU44" s="5031"/>
      <c r="EV44" s="4557"/>
      <c r="EW44" s="5062">
        <v>0.15</v>
      </c>
      <c r="EX44" s="5031"/>
      <c r="EY44" s="5031"/>
      <c r="EZ44" s="4884"/>
      <c r="FA44" s="4884"/>
      <c r="FB44" s="5077"/>
      <c r="FC44" s="4872"/>
      <c r="FD44" s="6168">
        <f>+IF(X44="","",IF(2010-VLOOKUP(MATCH(X44,eyr_id,0),eyr,'A1(epa)'!$U$17,FALSE)=0,IF(VLOOKUP(MATCH(X44,eyr_id,0),eyr,'A1(epa)'!$U$17,FALSE)=0,"",VLOOKUP(MATCH(X44,eyr_id,0),eyr,'A1(epa)'!$U$17,FALSE))))</f>
        <v>2010</v>
      </c>
      <c r="FE44" s="6169">
        <f>+IF(X44="","",IF(2010-VLOOKUP(MATCH(X44,eyr_id,0),eyr,'A1(epa)'!$U$17,FALSE)=0,IF(VLOOKUP(MATCH(X44,eyr_id,0),eyr,'A1(epa)'!$X$17,FALSE)=0,"",VLOOKUP(MATCH(X44,eyr_id,0),eyr,'A1(epa)'!$X$17,FALSE))))</f>
        <v>12</v>
      </c>
      <c r="FF44" s="6170">
        <f>+IF(X44="","",IF(2010-VLOOKUP(MATCH(X44,eyr_id,0),eyr,'A1(epa)'!$U$17,FALSE)=0,IF(VLOOKUP(MATCH(X44,eyr_id,0),eyr,'A1(epa)'!$W$17,FALSE)=0,"",VLOOKUP(MATCH(X44,eyr_id,0),eyr,'A1(epa)'!$W$17,FALSE))))</f>
        <v>107</v>
      </c>
      <c r="FG44" s="6171">
        <f>+IF(X44="","",IF(2010-VLOOKUP(MATCH(X44,eyr_id,0),eyr,'A1(epa)'!$U$17,FALSE)=0,IF(VLOOKUP(MATCH(X44,eyr_id,0),eyr,'A1(epa)'!$AC$17,FALSE)=0,"",VLOOKUP(MATCH(X44,eyr_id,0),eyr,'A1(epa)'!$AC$17,FALSE))))</f>
        <v>34493</v>
      </c>
      <c r="FH44" s="6172">
        <f>+IF(X44="","",IF(2010-VLOOKUP(MATCH(X44,eyr_id,0),eyr,'A1(epa)'!$U$17,FALSE)=0,IF(VLOOKUP(MATCH(X44,eyr_id,0),eyr,'A1(epa)'!$Y$17,FALSE)=0,"",VLOOKUP(MATCH(X44,eyr_id,0),eyr,'A1(epa)'!$Y$17,FALSE))))</f>
        <v>3341</v>
      </c>
      <c r="FI44" s="6173">
        <f>+IF(X44="","",IF(2010-VLOOKUP(MATCH(X44,eyr_id,0),eyr,'A1(epa)'!$U$17,FALSE)=0,IF(VLOOKUP(MATCH(X44,eyr_id,0),eyr,'A1(epa)'!$AB$17,FALSE)=0,"",VLOOKUP(MATCH(X44,eyr_id,0),eyr,'A1(epa)'!$AB$17,FALSE))))</f>
        <v>2.6</v>
      </c>
      <c r="FJ44" s="6168">
        <f>+IF(X44="","",IF(2009-VLOOKUP(MATCH(X44,eyr_id,0)+1,eyr,'A1(epa)'!$U$17,FALSE)=0,IF(VLOOKUP(MATCH(X44,eyr_id,0)+1,eyr,'A1(epa)'!$U$17,FALSE)=0,"",VLOOKUP(MATCH(X44,eyr_id,0)+1,eyr,'A1(epa)'!$U$17,FALSE))))</f>
        <v>2009</v>
      </c>
      <c r="FK44" s="6169">
        <f>+IF(X44="","",IF(2009-VLOOKUP(MATCH(X44,eyr_id,0)+1,eyr,'A1(epa)'!$U$17,FALSE)=0,IF(VLOOKUP(MATCH(X44,eyr_id,0)+1,eyr,'A1(epa)'!$X$17,FALSE)=0,"",VLOOKUP(MATCH(X44,eyr_id,0)+1,eyr,'A1(epa)'!$X$17,FALSE))))</f>
        <v>12</v>
      </c>
      <c r="FL44" s="6170">
        <f>+IF(X44="","",IF(2009-VLOOKUP(MATCH(X44,eyr_id,0)+1,eyr,'A1(epa)'!$U$17,FALSE)=0,IF(VLOOKUP(MATCH(X44,eyr_id,0)+1,eyr,'A1(epa)'!$W$17,FALSE)=0,"",VLOOKUP(MATCH(X44,eyr_id,0)+1,eyr,'A1(epa)'!$W$17,FALSE))))</f>
        <v>70</v>
      </c>
      <c r="FM44" s="6171">
        <f>+IF(X44="","",IF(2009-VLOOKUP(MATCH(X44,eyr_id,0)+1,eyr,'A1(epa)'!$U$17,FALSE)=0,IF(VLOOKUP(MATCH(X44,eyr_id,0)+1,eyr,'A1(epa)'!$AC$17,FALSE)=0,"",VLOOKUP(MATCH(X44,eyr_id,0)+1,eyr,'A1(epa)'!$AC$17,FALSE))))</f>
        <v>24111</v>
      </c>
      <c r="FN44" s="6172">
        <f>+IF(X44="","",IF(2009-VLOOKUP(MATCH(X44,eyr_id,0)+1,eyr,'A1(epa)'!$U$17,FALSE)=0,IF(VLOOKUP(MATCH(X44,eyr_id,0)+1,eyr,'A1(epa)'!$Y$17,FALSE)=0,"",VLOOKUP(MATCH(X44,eyr_id,0)+1,eyr,'A1(epa)'!$Y$17,FALSE))))</f>
        <v>2387</v>
      </c>
      <c r="FO44" s="6173">
        <f>+IF(X44="","",IF(2009-VLOOKUP(MATCH(X44,eyr_id,0)+1,eyr,'A1(epa)'!$U$17,FALSE)=0,IF(VLOOKUP(MATCH(X44,eyr_id,0)+1,eyr,'A1(epa)'!$AB$17,FALSE)=0,"",VLOOKUP(MATCH(X44,eyr_id,0)+1,eyr,'A1(epa)'!$AB$17,FALSE))))</f>
        <v>2</v>
      </c>
      <c r="FP44" s="5102" t="s">
        <v>312</v>
      </c>
      <c r="FQ44" s="5089"/>
      <c r="FR44" s="5090" t="s">
        <v>93</v>
      </c>
      <c r="FS44" s="5089"/>
      <c r="FT44" s="5089"/>
      <c r="FU44" s="5089"/>
      <c r="FV44" s="4958" t="s">
        <v>94</v>
      </c>
      <c r="FW44" s="6325">
        <v>2010</v>
      </c>
      <c r="FX44" s="6244">
        <v>98.5</v>
      </c>
      <c r="FY44" s="6244">
        <v>77.2</v>
      </c>
      <c r="FZ44" s="6244">
        <v>21.3</v>
      </c>
      <c r="GA44" s="6244">
        <f t="shared" si="47"/>
        <v>98.5</v>
      </c>
      <c r="GB44" s="6352" t="str">
        <f t="shared" si="36"/>
        <v>less -9 hrs than EPA-CAIROS report</v>
      </c>
      <c r="GC44" s="6244"/>
      <c r="GD44" s="8610">
        <f>33.7*1000</f>
        <v>33700</v>
      </c>
      <c r="GE44" s="6358" t="str">
        <f t="shared" si="37"/>
        <v>same as EPA-CAIROS report, within ±10%</v>
      </c>
      <c r="GF44" s="8610"/>
      <c r="GG44" s="8610" t="str">
        <f t="shared" si="9"/>
        <v/>
      </c>
      <c r="GH44" s="8610"/>
      <c r="GI44" s="8610"/>
      <c r="GJ44" s="6310" t="s">
        <v>95</v>
      </c>
      <c r="GK44" s="6325">
        <v>2009</v>
      </c>
      <c r="GL44" s="6308">
        <v>62.9</v>
      </c>
      <c r="GM44" s="6308">
        <v>15.3</v>
      </c>
      <c r="GN44" s="6308">
        <v>47.6</v>
      </c>
      <c r="GO44" s="6308">
        <f t="shared" si="38"/>
        <v>62.900000000000006</v>
      </c>
      <c r="GP44" s="6331" t="str">
        <f t="shared" si="39"/>
        <v>less -7 hrs than EPA-CAIROS report</v>
      </c>
      <c r="GQ44" s="6308"/>
      <c r="GR44" s="8610">
        <f>23.9*1000</f>
        <v>23900</v>
      </c>
      <c r="GS44" s="6309" t="str">
        <f t="shared" si="40"/>
        <v>same as EPA-CAIROS report, within ±10%</v>
      </c>
      <c r="GT44" s="8610"/>
      <c r="GU44" s="6309" t="str">
        <f t="shared" si="41"/>
        <v/>
      </c>
      <c r="GV44" s="8610"/>
      <c r="GW44" s="8610"/>
      <c r="GX44" s="6310" t="s">
        <v>95</v>
      </c>
      <c r="GY44" s="6243">
        <v>80.7</v>
      </c>
      <c r="GZ44" s="6244">
        <f t="shared" si="42"/>
        <v>80.7</v>
      </c>
      <c r="HA44" s="6244">
        <v>16.91</v>
      </c>
      <c r="HB44" s="6244">
        <v>12.05</v>
      </c>
      <c r="HC44" s="6244"/>
      <c r="HD44" s="8610">
        <f t="shared" si="48"/>
        <v>28800</v>
      </c>
      <c r="HE44" s="10230">
        <f>+SUM(HD44:HD47)</f>
        <v>125150</v>
      </c>
      <c r="HF44" s="8610">
        <f t="shared" si="43"/>
        <v>31287.5</v>
      </c>
      <c r="HG44" s="8610"/>
      <c r="HH44" s="6247">
        <f t="shared" si="13"/>
        <v>0.17100000000000001</v>
      </c>
      <c r="HI44" s="6247">
        <f t="shared" si="14"/>
        <v>0.17100000000000001</v>
      </c>
      <c r="HJ44" s="6247">
        <f>+HI44</f>
        <v>0.17100000000000001</v>
      </c>
      <c r="HK44" s="6247"/>
      <c r="HL44" s="10224">
        <v>10.64</v>
      </c>
      <c r="HM44" s="6248">
        <f t="shared" si="44"/>
        <v>2.66</v>
      </c>
      <c r="HN44" s="6249">
        <f t="shared" si="45"/>
        <v>2.6750812500000003</v>
      </c>
      <c r="HO44" s="5357"/>
    </row>
    <row r="45" spans="1:223" s="5349" customFormat="1" ht="25.5" customHeight="1">
      <c r="A45" s="5364" t="str">
        <f t="shared" si="35"/>
        <v>8300-13</v>
      </c>
      <c r="B45" s="9571"/>
      <c r="C45" s="5365" t="str">
        <f t="shared" si="30"/>
        <v>DV12</v>
      </c>
      <c r="D45" s="6109"/>
      <c r="E45" s="6113"/>
      <c r="F45" s="6109"/>
      <c r="G45" s="4636">
        <v>25</v>
      </c>
      <c r="H45" s="10169"/>
      <c r="I45" s="10157"/>
      <c r="J45" s="6892" t="s">
        <v>611</v>
      </c>
      <c r="K45" s="4738">
        <v>8300</v>
      </c>
      <c r="L45" s="8601" t="s">
        <v>345</v>
      </c>
      <c r="M45" s="10197"/>
      <c r="N45" s="4506"/>
      <c r="O45" s="4506"/>
      <c r="P45" s="4680" t="s">
        <v>1514</v>
      </c>
      <c r="Q45" s="367" t="s">
        <v>83</v>
      </c>
      <c r="R45" s="4680" t="str">
        <f>+IF(ISERROR(MATCH(X45,epa_id,0)),"",IF(X45="","",IF(VLOOKUP(MATCH(X45,epa_id,0),epa,'A1(epa)'!$S$17,FALSE)="","",VLOOKUP(MATCH(X45,epa_id,0),epa,'A1(epa)'!$S$17,FALSE))))</f>
        <v>12</v>
      </c>
      <c r="S45" s="305">
        <f>+IF(ISERROR(MATCH(X45,epa_id,0)),"",IF(X45="","",IF(VLOOKUP(MATCH(X45,epa_id,0),epa,'A1(epa)'!$R$17,FALSE)="","",VLOOKUP(MATCH(X45,epa_id,0),epa,'A1(epa)'!$R$17,FALSE))))</f>
        <v>544</v>
      </c>
      <c r="T45" s="6070" t="s">
        <v>794</v>
      </c>
      <c r="U45" s="4502">
        <v>4</v>
      </c>
      <c r="V45" s="4502">
        <v>1</v>
      </c>
      <c r="W45" s="4502">
        <f t="shared" si="34"/>
        <v>13</v>
      </c>
      <c r="X45" s="4652" t="str">
        <f t="shared" si="5"/>
        <v>8300-13</v>
      </c>
      <c r="Y45" s="4654" t="s">
        <v>1510</v>
      </c>
      <c r="Z45" s="8596" t="s">
        <v>1513</v>
      </c>
      <c r="AA45" s="4502" t="s">
        <v>468</v>
      </c>
      <c r="AB45" s="4681"/>
      <c r="AC45" s="4656" t="s">
        <v>979</v>
      </c>
      <c r="AD45" s="4682" t="s">
        <v>1548</v>
      </c>
      <c r="AE45" s="4658"/>
      <c r="AF45" s="329"/>
      <c r="AG45" s="330"/>
      <c r="AH45" s="331"/>
      <c r="AI45" s="4770"/>
      <c r="AJ45" s="4771"/>
      <c r="AK45" s="4772"/>
      <c r="AL45" s="4773" t="s">
        <v>806</v>
      </c>
      <c r="AM45" s="4792" t="s">
        <v>1555</v>
      </c>
      <c r="AN45" s="4774"/>
      <c r="AO45" s="4774">
        <v>41790</v>
      </c>
      <c r="AP45" s="4774">
        <v>40658</v>
      </c>
      <c r="AQ45" s="4774"/>
      <c r="AR45" s="4774"/>
      <c r="AS45" s="4774"/>
      <c r="AT45" s="4771"/>
      <c r="AU45" s="4771"/>
      <c r="AV45" s="368"/>
      <c r="AW45" s="368"/>
      <c r="AX45" s="368"/>
      <c r="AY45" s="369"/>
      <c r="AZ45" s="379"/>
      <c r="BA45" s="4823" t="s">
        <v>504</v>
      </c>
      <c r="BB45" s="624">
        <f>+IF(AND(G45="",BA45=""),"",VLOOKUP(MATCH(BA45,tw,0),twn,'A4(twn)'!$D$12,FALSE))</f>
        <v>105</v>
      </c>
      <c r="BC45" s="624" t="str">
        <f t="shared" si="17"/>
        <v xml:space="preserve"> -  / -  / 105 / - </v>
      </c>
      <c r="BD45" s="4506" t="s">
        <v>109</v>
      </c>
      <c r="BE45" s="4654" t="s">
        <v>243</v>
      </c>
      <c r="BF45" s="4833" t="str">
        <f t="shared" si="46"/>
        <v>NRG Energy, Inc</v>
      </c>
      <c r="BG45" s="4653" t="str">
        <f>+IF(OR(X45="",ISERROR(MATCH(X45,epa_id,0))),"",VLOOKUP(MATCH(X45,epa_id,0),epa,'A1(epa)'!$AH$17,FALSE))</f>
        <v>Devon Power, LLC (Owner/Operator)</v>
      </c>
      <c r="BH45" s="4509"/>
      <c r="BI45" s="4509"/>
      <c r="BJ45" s="6132"/>
      <c r="BK45" s="335"/>
      <c r="BL45" s="371" t="s">
        <v>522</v>
      </c>
      <c r="BM45" s="6142" t="s">
        <v>1517</v>
      </c>
      <c r="BN45" s="371" t="s">
        <v>611</v>
      </c>
      <c r="BO45" s="335" t="s">
        <v>523</v>
      </c>
      <c r="BP45" s="327" t="s">
        <v>524</v>
      </c>
      <c r="BQ45" s="335"/>
      <c r="BR45" s="335"/>
      <c r="BS45" s="301" t="s">
        <v>525</v>
      </c>
      <c r="BT45" s="335"/>
      <c r="BU45" s="335"/>
      <c r="BV45" s="336"/>
      <c r="BW45" s="4850" t="s">
        <v>790</v>
      </c>
      <c r="BX45" s="335" t="s">
        <v>522</v>
      </c>
      <c r="BY45" s="335"/>
      <c r="BZ45" s="335"/>
      <c r="CA45" s="335"/>
      <c r="CB45" s="335"/>
      <c r="CC45" s="372"/>
      <c r="CD45" s="371"/>
      <c r="CE45" s="335"/>
      <c r="CF45" s="4374" t="s">
        <v>110</v>
      </c>
      <c r="CG45" s="4374"/>
      <c r="CH45" s="4862" t="str">
        <f>+IF(ISERROR(MATCH(X45,epa_id,0)),"",IF(X45="","",IF(VLOOKUP(MATCH(X45,epa_id,0),epa,'A1(epa)'!$AE$17,FALSE)="","",VLOOKUP(MATCH(X45,epa_id,0),epa,'A1(epa)'!$AE$17,FALSE))))</f>
        <v>Electric Utility</v>
      </c>
      <c r="CI45" s="8560" t="s">
        <v>944</v>
      </c>
      <c r="CJ45" s="4655" t="str">
        <f>+IF(ISERROR(MATCH(X45,epa_id,0)),"",IF(X45="","",IF(VLOOKUP(MATCH(X45,epa_id,0),epa,'A1(epa)'!$AF$17,FALSE)="","",VLOOKUP(MATCH(X45,epa_id,0),epa,'A1(epa)'!$AF$17,FALSE))))</f>
        <v>4911</v>
      </c>
      <c r="CK45" s="8560" t="str">
        <f>+IF(ISERROR(MATCH(X45,epa_id,0)),"",IF(X45="","",IF(VLOOKUP(MATCH(X45,epa_id,0),epa,'A1(epa)'!$AG$17,FALSE)="","",VLOOKUP(MATCH(X45,epa_id,0),epa,'A1(epa)'!$AG$17,FALSE))))</f>
        <v>Electric Services</v>
      </c>
      <c r="CL45" s="340" t="s">
        <v>116</v>
      </c>
      <c r="CM45" s="339"/>
      <c r="CN45" s="4887"/>
      <c r="CO45" s="4792" t="s">
        <v>442</v>
      </c>
      <c r="CP45" s="4792" t="s">
        <v>86</v>
      </c>
      <c r="CQ45" s="4889"/>
      <c r="CR45" s="4926" t="s">
        <v>87</v>
      </c>
      <c r="CS45" s="4926"/>
      <c r="CT45" s="8589">
        <v>40</v>
      </c>
      <c r="CU45" s="10160"/>
      <c r="CV45" s="4890"/>
      <c r="CW45" s="4891" t="s">
        <v>79</v>
      </c>
      <c r="CX45" s="4959">
        <v>30</v>
      </c>
      <c r="CY45" s="4960" t="s">
        <v>80</v>
      </c>
      <c r="CZ45" s="4961">
        <v>40</v>
      </c>
      <c r="DA45" s="4962" t="s">
        <v>81</v>
      </c>
      <c r="DB45" s="4770" t="s">
        <v>57</v>
      </c>
      <c r="DC45" s="4888">
        <v>1996</v>
      </c>
      <c r="DD45" s="4954">
        <v>35217</v>
      </c>
      <c r="DE45" s="4940">
        <f t="shared" ca="1" si="32"/>
        <v>18.106945008175533</v>
      </c>
      <c r="DF45" s="4962"/>
      <c r="DG45" s="5042" t="s">
        <v>88</v>
      </c>
      <c r="DH45" s="4926" t="s">
        <v>474</v>
      </c>
      <c r="DI45" s="4926" t="str">
        <f>+DI44</f>
        <v>ULSD oil</v>
      </c>
      <c r="DJ45" s="6070"/>
      <c r="DK45" s="6070"/>
      <c r="DL45" s="6070"/>
      <c r="DM45" s="6070"/>
      <c r="DN45" s="5007"/>
      <c r="DO45" s="6070"/>
      <c r="DP45" s="5008" t="s">
        <v>91</v>
      </c>
      <c r="DQ45" s="5009" t="s">
        <v>90</v>
      </c>
      <c r="DR45" s="6070"/>
      <c r="DS45" s="6070"/>
      <c r="DT45" s="6070"/>
      <c r="DU45" s="6070"/>
      <c r="DV45" s="5007"/>
      <c r="DW45" s="6070"/>
      <c r="DX45" s="5008" t="s">
        <v>92</v>
      </c>
      <c r="DY45" s="5009"/>
      <c r="DZ45" s="6070"/>
      <c r="EA45" s="6070"/>
      <c r="EB45" s="6070"/>
      <c r="EC45" s="6070"/>
      <c r="ED45" s="5007"/>
      <c r="EE45" s="6070"/>
      <c r="EF45" s="3478"/>
      <c r="EG45" s="5042" t="s">
        <v>186</v>
      </c>
      <c r="EH45" s="6175">
        <v>394</v>
      </c>
      <c r="EI45" s="5034">
        <f>+EL45</f>
        <v>0.17100000000000001</v>
      </c>
      <c r="EJ45" s="5043"/>
      <c r="EK45" s="5043" t="s">
        <v>1194</v>
      </c>
      <c r="EL45" s="5034">
        <v>0.17100000000000001</v>
      </c>
      <c r="EM45" s="5034"/>
      <c r="EN45" s="5034"/>
      <c r="EO45" s="5034"/>
      <c r="EP45" s="5034"/>
      <c r="EQ45" s="5034"/>
      <c r="ER45" s="5033"/>
      <c r="ES45" s="5033"/>
      <c r="ET45" s="6176">
        <v>0.15</v>
      </c>
      <c r="EU45" s="5033"/>
      <c r="EV45" s="345"/>
      <c r="EW45" s="5065">
        <v>0.15</v>
      </c>
      <c r="EX45" s="5033"/>
      <c r="EY45" s="5033"/>
      <c r="EZ45" s="4926"/>
      <c r="FA45" s="4926"/>
      <c r="FB45" s="5078"/>
      <c r="FC45" s="4873"/>
      <c r="FD45" s="6177">
        <f>+IF(X45="","",IF(2010-VLOOKUP(MATCH(X45,eyr_id,0),eyr,'A1(epa)'!$U$17,FALSE)=0,IF(VLOOKUP(MATCH(X45,eyr_id,0),eyr,'A1(epa)'!$U$17,FALSE)=0,"",VLOOKUP(MATCH(X45,eyr_id,0),eyr,'A1(epa)'!$U$17,FALSE))))</f>
        <v>2010</v>
      </c>
      <c r="FE45" s="6178">
        <f>+IF(X45="","",IF(2010-VLOOKUP(MATCH(X45,eyr_id,0),eyr,'A1(epa)'!$U$17,FALSE)=0,IF(VLOOKUP(MATCH(X45,eyr_id,0),eyr,'A1(epa)'!$X$17,FALSE)=0,"",VLOOKUP(MATCH(X45,eyr_id,0),eyr,'A1(epa)'!$X$17,FALSE))))</f>
        <v>12</v>
      </c>
      <c r="FF45" s="6179">
        <f>+IF(X45="","",IF(2010-VLOOKUP(MATCH(X45,eyr_id,0),eyr,'A1(epa)'!$U$17,FALSE)=0,IF(VLOOKUP(MATCH(X45,eyr_id,0),eyr,'A1(epa)'!$W$17,FALSE)=0,"",VLOOKUP(MATCH(X45,eyr_id,0),eyr,'A1(epa)'!$W$17,FALSE))))</f>
        <v>79</v>
      </c>
      <c r="FG45" s="6180">
        <f>+IF(X45="","",IF(2010-VLOOKUP(MATCH(X45,eyr_id,0),eyr,'A1(epa)'!$U$17,FALSE)=0,IF(VLOOKUP(MATCH(X45,eyr_id,0),eyr,'A1(epa)'!$AC$17,FALSE)=0,"",VLOOKUP(MATCH(X45,eyr_id,0),eyr,'A1(epa)'!$AC$17,FALSE))))</f>
        <v>25823</v>
      </c>
      <c r="FH45" s="6180">
        <f>+IF(X45="","",IF(2010-VLOOKUP(MATCH(X45,eyr_id,0),eyr,'A1(epa)'!$U$17,FALSE)=0,IF(VLOOKUP(MATCH(X45,eyr_id,0),eyr,'A1(epa)'!$Y$17,FALSE)=0,"",VLOOKUP(MATCH(X45,eyr_id,0),eyr,'A1(epa)'!$Y$17,FALSE))))</f>
        <v>2531</v>
      </c>
      <c r="FI45" s="6181">
        <f>+IF(X45="","",IF(2010-VLOOKUP(MATCH(X45,eyr_id,0),eyr,'A1(epa)'!$U$17,FALSE)=0,IF(VLOOKUP(MATCH(X45,eyr_id,0),eyr,'A1(epa)'!$AB$17,FALSE)=0,"",VLOOKUP(MATCH(X45,eyr_id,0),eyr,'A1(epa)'!$AB$17,FALSE))))</f>
        <v>1.7</v>
      </c>
      <c r="FJ45" s="6177">
        <f>+IF(X45="","",IF(2009-VLOOKUP(MATCH(X45,eyr_id,0)+1,eyr,'A1(epa)'!$U$17,FALSE)=0,IF(VLOOKUP(MATCH(X45,eyr_id,0)+1,eyr,'A1(epa)'!$U$17,FALSE)=0,"",VLOOKUP(MATCH(X45,eyr_id,0)+1,eyr,'A1(epa)'!$U$17,FALSE))))</f>
        <v>2009</v>
      </c>
      <c r="FK45" s="6178">
        <f>+IF(X45="","",IF(2009-VLOOKUP(MATCH(X45,eyr_id,0)+1,eyr,'A1(epa)'!$U$17,FALSE)=0,IF(VLOOKUP(MATCH(X45,eyr_id,0)+1,eyr,'A1(epa)'!$X$17,FALSE)=0,"",VLOOKUP(MATCH(X45,eyr_id,0)+1,eyr,'A1(epa)'!$X$17,FALSE))))</f>
        <v>12</v>
      </c>
      <c r="FL45" s="6179">
        <f>+IF(X45="","",IF(2009-VLOOKUP(MATCH(X45,eyr_id,0)+1,eyr,'A1(epa)'!$U$17,FALSE)=0,IF(VLOOKUP(MATCH(X45,eyr_id,0)+1,eyr,'A1(epa)'!$W$17,FALSE)=0,"",VLOOKUP(MATCH(X45,eyr_id,0)+1,eyr,'A1(epa)'!$W$17,FALSE))))</f>
        <v>66</v>
      </c>
      <c r="FM45" s="6180">
        <f>+IF(X45="","",IF(2009-VLOOKUP(MATCH(X45,eyr_id,0)+1,eyr,'A1(epa)'!$U$17,FALSE)=0,IF(VLOOKUP(MATCH(X45,eyr_id,0)+1,eyr,'A1(epa)'!$AC$17,FALSE)=0,"",VLOOKUP(MATCH(X45,eyr_id,0)+1,eyr,'A1(epa)'!$AC$17,FALSE))))</f>
        <v>22459</v>
      </c>
      <c r="FN45" s="6180">
        <f>+IF(X45="","",IF(2009-VLOOKUP(MATCH(X45,eyr_id,0)+1,eyr,'A1(epa)'!$U$17,FALSE)=0,IF(VLOOKUP(MATCH(X45,eyr_id,0)+1,eyr,'A1(epa)'!$Y$17,FALSE)=0,"",VLOOKUP(MATCH(X45,eyr_id,0)+1,eyr,'A1(epa)'!$Y$17,FALSE))))</f>
        <v>2202</v>
      </c>
      <c r="FO45" s="6181">
        <f>+IF(X45="","",IF(2009-VLOOKUP(MATCH(X45,eyr_id,0)+1,eyr,'A1(epa)'!$U$17,FALSE)=0,IF(VLOOKUP(MATCH(X45,eyr_id,0)+1,eyr,'A1(epa)'!$AB$17,FALSE)=0,"",VLOOKUP(MATCH(X45,eyr_id,0)+1,eyr,'A1(epa)'!$AB$17,FALSE))))</f>
        <v>1.5</v>
      </c>
      <c r="FP45" s="89" t="s">
        <v>312</v>
      </c>
      <c r="FQ45" s="5093"/>
      <c r="FR45" s="5094" t="s">
        <v>93</v>
      </c>
      <c r="FS45" s="5093"/>
      <c r="FT45" s="5093"/>
      <c r="FU45" s="5093"/>
      <c r="FV45" s="4962" t="s">
        <v>94</v>
      </c>
      <c r="FW45" s="89">
        <v>2010</v>
      </c>
      <c r="FX45" s="6251">
        <v>72.3</v>
      </c>
      <c r="FY45" s="6251">
        <v>53.2</v>
      </c>
      <c r="FZ45" s="6251">
        <v>19.2</v>
      </c>
      <c r="GA45" s="6251">
        <f t="shared" si="47"/>
        <v>72.400000000000006</v>
      </c>
      <c r="GB45" s="6353" t="str">
        <f t="shared" si="36"/>
        <v>less -7 hrs than EPA-CAIROS report</v>
      </c>
      <c r="GC45" s="6251"/>
      <c r="GD45" s="8611">
        <f>1000*26.6</f>
        <v>26600</v>
      </c>
      <c r="GE45" s="6312" t="str">
        <f t="shared" si="37"/>
        <v>same as EPA-CAIROS report, within ±10%</v>
      </c>
      <c r="GF45" s="8611"/>
      <c r="GG45" s="8611" t="str">
        <f t="shared" si="9"/>
        <v/>
      </c>
      <c r="GH45" s="8611"/>
      <c r="GI45" s="8611"/>
      <c r="GJ45" s="6313" t="s">
        <v>95</v>
      </c>
      <c r="GK45" s="89">
        <v>2009</v>
      </c>
      <c r="GL45" s="6311">
        <v>58.2</v>
      </c>
      <c r="GM45" s="6311">
        <v>11</v>
      </c>
      <c r="GN45" s="6311">
        <v>47.2</v>
      </c>
      <c r="GO45" s="6311">
        <f t="shared" si="38"/>
        <v>58.2</v>
      </c>
      <c r="GP45" s="6332" t="str">
        <f t="shared" si="39"/>
        <v>less -8 hrs than EPA-CAIROS report</v>
      </c>
      <c r="GQ45" s="6311"/>
      <c r="GR45" s="8611">
        <f>21.9*1000</f>
        <v>21900</v>
      </c>
      <c r="GS45" s="6312" t="str">
        <f t="shared" si="40"/>
        <v>same as EPA-CAIROS report, within ±10%</v>
      </c>
      <c r="GT45" s="8611"/>
      <c r="GU45" s="6312" t="str">
        <f t="shared" si="41"/>
        <v/>
      </c>
      <c r="GV45" s="8611"/>
      <c r="GW45" s="8611"/>
      <c r="GX45" s="6313" t="s">
        <v>95</v>
      </c>
      <c r="GY45" s="6250">
        <v>65.3</v>
      </c>
      <c r="GZ45" s="6251">
        <f t="shared" si="42"/>
        <v>65.25</v>
      </c>
      <c r="HA45" s="6251">
        <v>32.1</v>
      </c>
      <c r="HB45" s="6251">
        <v>33.200000000000003</v>
      </c>
      <c r="HC45" s="6251"/>
      <c r="HD45" s="8611">
        <f t="shared" si="48"/>
        <v>24250</v>
      </c>
      <c r="HE45" s="10231"/>
      <c r="HF45" s="8611">
        <f>+HF44</f>
        <v>31287.5</v>
      </c>
      <c r="HG45" s="8611"/>
      <c r="HH45" s="6254">
        <f t="shared" si="13"/>
        <v>0.17100000000000001</v>
      </c>
      <c r="HI45" s="6254">
        <f t="shared" si="14"/>
        <v>0.17100000000000001</v>
      </c>
      <c r="HJ45" s="6254">
        <f>+HI45</f>
        <v>0.17100000000000001</v>
      </c>
      <c r="HK45" s="6254"/>
      <c r="HL45" s="10225"/>
      <c r="HM45" s="6255">
        <f>+HM44</f>
        <v>2.66</v>
      </c>
      <c r="HN45" s="6256">
        <f t="shared" si="45"/>
        <v>2.6750812500000003</v>
      </c>
      <c r="HO45" s="5357"/>
    </row>
    <row r="46" spans="1:223" s="5349" customFormat="1" ht="25.5" customHeight="1">
      <c r="A46" s="5364" t="str">
        <f t="shared" si="35"/>
        <v>8300-14</v>
      </c>
      <c r="B46" s="9571"/>
      <c r="C46" s="5365" t="str">
        <f t="shared" si="30"/>
        <v>DV13</v>
      </c>
      <c r="D46" s="6109"/>
      <c r="E46" s="6113"/>
      <c r="F46" s="6109"/>
      <c r="G46" s="4636">
        <v>26</v>
      </c>
      <c r="H46" s="10169"/>
      <c r="I46" s="10157"/>
      <c r="J46" s="6892" t="s">
        <v>611</v>
      </c>
      <c r="K46" s="4738">
        <v>8300</v>
      </c>
      <c r="L46" s="8601" t="s">
        <v>345</v>
      </c>
      <c r="M46" s="10197"/>
      <c r="N46" s="4506"/>
      <c r="O46" s="4506"/>
      <c r="P46" s="4680" t="s">
        <v>1515</v>
      </c>
      <c r="Q46" s="367" t="s">
        <v>84</v>
      </c>
      <c r="R46" s="4680" t="str">
        <f>+IF(ISERROR(MATCH(X46,epa_id,0)),"",IF(X46="","",IF(VLOOKUP(MATCH(X46,epa_id,0),epa,'A1(epa)'!$S$17,FALSE)="","",VLOOKUP(MATCH(X46,epa_id,0),epa,'A1(epa)'!$S$17,FALSE))))</f>
        <v>13</v>
      </c>
      <c r="S46" s="305">
        <f>+IF(ISERROR(MATCH(X46,epa_id,0)),"",IF(X46="","",IF(VLOOKUP(MATCH(X46,epa_id,0),epa,'A1(epa)'!$R$17,FALSE)="","",VLOOKUP(MATCH(X46,epa_id,0),epa,'A1(epa)'!$R$17,FALSE))))</f>
        <v>544</v>
      </c>
      <c r="T46" s="6070" t="s">
        <v>794</v>
      </c>
      <c r="U46" s="4502">
        <v>4</v>
      </c>
      <c r="V46" s="4502">
        <v>1</v>
      </c>
      <c r="W46" s="4502">
        <f t="shared" si="34"/>
        <v>14</v>
      </c>
      <c r="X46" s="4652" t="str">
        <f t="shared" si="5"/>
        <v>8300-14</v>
      </c>
      <c r="Y46" s="4654" t="s">
        <v>1510</v>
      </c>
      <c r="Z46" s="8596" t="s">
        <v>1513</v>
      </c>
      <c r="AA46" s="4502" t="s">
        <v>469</v>
      </c>
      <c r="AB46" s="4681"/>
      <c r="AC46" s="4656" t="s">
        <v>979</v>
      </c>
      <c r="AD46" s="4682" t="s">
        <v>1549</v>
      </c>
      <c r="AE46" s="4658"/>
      <c r="AF46" s="329"/>
      <c r="AG46" s="330"/>
      <c r="AH46" s="331"/>
      <c r="AI46" s="4770"/>
      <c r="AJ46" s="4771"/>
      <c r="AK46" s="4772"/>
      <c r="AL46" s="4773" t="s">
        <v>806</v>
      </c>
      <c r="AM46" s="4792" t="s">
        <v>1555</v>
      </c>
      <c r="AN46" s="4774"/>
      <c r="AO46" s="4774">
        <v>41790</v>
      </c>
      <c r="AP46" s="4774">
        <v>40658</v>
      </c>
      <c r="AQ46" s="4774"/>
      <c r="AR46" s="4774"/>
      <c r="AS46" s="4774"/>
      <c r="AT46" s="4771"/>
      <c r="AU46" s="4771"/>
      <c r="AV46" s="368"/>
      <c r="AW46" s="368"/>
      <c r="AX46" s="368"/>
      <c r="AY46" s="369"/>
      <c r="AZ46" s="379"/>
      <c r="BA46" s="4823" t="s">
        <v>504</v>
      </c>
      <c r="BB46" s="624">
        <f>+IF(AND(G46="",BA46=""),"",VLOOKUP(MATCH(BA46,tw,0),twn,'A4(twn)'!$D$12,FALSE))</f>
        <v>105</v>
      </c>
      <c r="BC46" s="624" t="str">
        <f t="shared" si="17"/>
        <v xml:space="preserve"> -  / -  / 105 / - </v>
      </c>
      <c r="BD46" s="4506" t="s">
        <v>109</v>
      </c>
      <c r="BE46" s="4654" t="s">
        <v>243</v>
      </c>
      <c r="BF46" s="4833" t="str">
        <f t="shared" si="46"/>
        <v>NRG Energy, Inc</v>
      </c>
      <c r="BG46" s="4653" t="str">
        <f>+IF(OR(X46="",ISERROR(MATCH(X46,epa_id,0))),"",VLOOKUP(MATCH(X46,epa_id,0),epa,'A1(epa)'!$AH$17,FALSE))</f>
        <v>Devon Power, LLC (Owner/Operator)</v>
      </c>
      <c r="BH46" s="4509"/>
      <c r="BI46" s="4509"/>
      <c r="BJ46" s="6132"/>
      <c r="BK46" s="335"/>
      <c r="BL46" s="371" t="s">
        <v>522</v>
      </c>
      <c r="BM46" s="6142" t="s">
        <v>1517</v>
      </c>
      <c r="BN46" s="371" t="s">
        <v>611</v>
      </c>
      <c r="BO46" s="335" t="s">
        <v>523</v>
      </c>
      <c r="BP46" s="327" t="s">
        <v>524</v>
      </c>
      <c r="BQ46" s="335"/>
      <c r="BR46" s="335"/>
      <c r="BS46" s="301" t="s">
        <v>525</v>
      </c>
      <c r="BT46" s="335"/>
      <c r="BU46" s="335"/>
      <c r="BV46" s="336"/>
      <c r="BW46" s="4850" t="s">
        <v>790</v>
      </c>
      <c r="BX46" s="335" t="s">
        <v>522</v>
      </c>
      <c r="BY46" s="335"/>
      <c r="BZ46" s="335"/>
      <c r="CA46" s="335"/>
      <c r="CB46" s="335"/>
      <c r="CC46" s="372"/>
      <c r="CD46" s="371"/>
      <c r="CE46" s="335"/>
      <c r="CF46" s="4374" t="s">
        <v>110</v>
      </c>
      <c r="CG46" s="4374"/>
      <c r="CH46" s="4862" t="str">
        <f>+IF(ISERROR(MATCH(X46,epa_id,0)),"",IF(X46="","",IF(VLOOKUP(MATCH(X46,epa_id,0),epa,'A1(epa)'!$AE$17,FALSE)="","",VLOOKUP(MATCH(X46,epa_id,0),epa,'A1(epa)'!$AE$17,FALSE))))</f>
        <v>Electric Utility</v>
      </c>
      <c r="CI46" s="8560" t="s">
        <v>944</v>
      </c>
      <c r="CJ46" s="4655" t="str">
        <f>+IF(ISERROR(MATCH(X46,epa_id,0)),"",IF(X46="","",IF(VLOOKUP(MATCH(X46,epa_id,0),epa,'A1(epa)'!$AF$17,FALSE)="","",VLOOKUP(MATCH(X46,epa_id,0),epa,'A1(epa)'!$AF$17,FALSE))))</f>
        <v>4911</v>
      </c>
      <c r="CK46" s="8560" t="str">
        <f>+IF(ISERROR(MATCH(X46,epa_id,0)),"",IF(X46="","",IF(VLOOKUP(MATCH(X46,epa_id,0),epa,'A1(epa)'!$AG$17,FALSE)="","",VLOOKUP(MATCH(X46,epa_id,0),epa,'A1(epa)'!$AG$17,FALSE))))</f>
        <v>Electric Services</v>
      </c>
      <c r="CL46" s="340" t="s">
        <v>116</v>
      </c>
      <c r="CM46" s="339"/>
      <c r="CN46" s="4887"/>
      <c r="CO46" s="4792" t="s">
        <v>442</v>
      </c>
      <c r="CP46" s="4792" t="s">
        <v>86</v>
      </c>
      <c r="CQ46" s="4889"/>
      <c r="CR46" s="4926" t="s">
        <v>87</v>
      </c>
      <c r="CS46" s="4926"/>
      <c r="CT46" s="8589">
        <v>40</v>
      </c>
      <c r="CU46" s="10160"/>
      <c r="CV46" s="4890"/>
      <c r="CW46" s="4891" t="s">
        <v>79</v>
      </c>
      <c r="CX46" s="4959">
        <v>30</v>
      </c>
      <c r="CY46" s="4960" t="s">
        <v>80</v>
      </c>
      <c r="CZ46" s="4961">
        <v>40</v>
      </c>
      <c r="DA46" s="4962" t="s">
        <v>81</v>
      </c>
      <c r="DB46" s="4770" t="s">
        <v>57</v>
      </c>
      <c r="DC46" s="4888">
        <v>1996</v>
      </c>
      <c r="DD46" s="4954">
        <v>35217</v>
      </c>
      <c r="DE46" s="4940">
        <f t="shared" ca="1" si="32"/>
        <v>18.106945008175533</v>
      </c>
      <c r="DF46" s="4962"/>
      <c r="DG46" s="5042" t="s">
        <v>88</v>
      </c>
      <c r="DH46" s="4926" t="s">
        <v>474</v>
      </c>
      <c r="DI46" s="4926" t="str">
        <f>+DI45</f>
        <v>ULSD oil</v>
      </c>
      <c r="DJ46" s="6070"/>
      <c r="DK46" s="6070"/>
      <c r="DL46" s="6070"/>
      <c r="DM46" s="6070"/>
      <c r="DN46" s="5007"/>
      <c r="DO46" s="6070"/>
      <c r="DP46" s="5008" t="s">
        <v>91</v>
      </c>
      <c r="DQ46" s="5009" t="s">
        <v>90</v>
      </c>
      <c r="DR46" s="6070"/>
      <c r="DS46" s="6070"/>
      <c r="DT46" s="6070"/>
      <c r="DU46" s="6070"/>
      <c r="DV46" s="5007"/>
      <c r="DW46" s="6070"/>
      <c r="DX46" s="5008" t="s">
        <v>92</v>
      </c>
      <c r="DY46" s="5009"/>
      <c r="DZ46" s="6070"/>
      <c r="EA46" s="6070"/>
      <c r="EB46" s="6070"/>
      <c r="EC46" s="6070"/>
      <c r="ED46" s="5007"/>
      <c r="EE46" s="6070"/>
      <c r="EF46" s="3478"/>
      <c r="EG46" s="5042" t="s">
        <v>186</v>
      </c>
      <c r="EH46" s="6175">
        <v>394</v>
      </c>
      <c r="EI46" s="5034">
        <f>+EL46</f>
        <v>0.17100000000000001</v>
      </c>
      <c r="EJ46" s="5043"/>
      <c r="EK46" s="5043" t="s">
        <v>1194</v>
      </c>
      <c r="EL46" s="5034">
        <v>0.17100000000000001</v>
      </c>
      <c r="EM46" s="5034"/>
      <c r="EN46" s="5034"/>
      <c r="EO46" s="5034"/>
      <c r="EP46" s="5034"/>
      <c r="EQ46" s="5034"/>
      <c r="ER46" s="5033"/>
      <c r="ES46" s="5033"/>
      <c r="ET46" s="6176">
        <v>0.15</v>
      </c>
      <c r="EU46" s="5033"/>
      <c r="EV46" s="345"/>
      <c r="EW46" s="5065">
        <v>0.15</v>
      </c>
      <c r="EX46" s="5033"/>
      <c r="EY46" s="5033"/>
      <c r="EZ46" s="4926"/>
      <c r="FA46" s="4926"/>
      <c r="FB46" s="5078"/>
      <c r="FC46" s="4873"/>
      <c r="FD46" s="6177">
        <f>+IF(X46="","",IF(2010-VLOOKUP(MATCH(X46,eyr_id,0),eyr,'A1(epa)'!$U$17,FALSE)=0,IF(VLOOKUP(MATCH(X46,eyr_id,0),eyr,'A1(epa)'!$U$17,FALSE)=0,"",VLOOKUP(MATCH(X46,eyr_id,0),eyr,'A1(epa)'!$U$17,FALSE))))</f>
        <v>2010</v>
      </c>
      <c r="FE46" s="6178">
        <f>+IF(X46="","",IF(2010-VLOOKUP(MATCH(X46,eyr_id,0),eyr,'A1(epa)'!$U$17,FALSE)=0,IF(VLOOKUP(MATCH(X46,eyr_id,0),eyr,'A1(epa)'!$X$17,FALSE)=0,"",VLOOKUP(MATCH(X46,eyr_id,0),eyr,'A1(epa)'!$X$17,FALSE))))</f>
        <v>12</v>
      </c>
      <c r="FF46" s="6179">
        <f>+IF(X46="","",IF(2010-VLOOKUP(MATCH(X46,eyr_id,0),eyr,'A1(epa)'!$U$17,FALSE)=0,IF(VLOOKUP(MATCH(X46,eyr_id,0),eyr,'A1(epa)'!$W$17,FALSE)=0,"",VLOOKUP(MATCH(X46,eyr_id,0),eyr,'A1(epa)'!$W$17,FALSE))))</f>
        <v>114</v>
      </c>
      <c r="FG46" s="6180">
        <f>+IF(X46="","",IF(2010-VLOOKUP(MATCH(X46,eyr_id,0),eyr,'A1(epa)'!$U$17,FALSE)=0,IF(VLOOKUP(MATCH(X46,eyr_id,0),eyr,'A1(epa)'!$AC$17,FALSE)=0,"",VLOOKUP(MATCH(X46,eyr_id,0),eyr,'A1(epa)'!$AC$17,FALSE))))</f>
        <v>37637</v>
      </c>
      <c r="FH46" s="6180">
        <f>+IF(X46="","",IF(2010-VLOOKUP(MATCH(X46,eyr_id,0),eyr,'A1(epa)'!$U$17,FALSE)=0,IF(VLOOKUP(MATCH(X46,eyr_id,0),eyr,'A1(epa)'!$Y$17,FALSE)=0,"",VLOOKUP(MATCH(X46,eyr_id,0),eyr,'A1(epa)'!$Y$17,FALSE))))</f>
        <v>3634</v>
      </c>
      <c r="FI46" s="6181">
        <f>+IF(X46="","",IF(2010-VLOOKUP(MATCH(X46,eyr_id,0),eyr,'A1(epa)'!$U$17,FALSE)=0,IF(VLOOKUP(MATCH(X46,eyr_id,0),eyr,'A1(epa)'!$AB$17,FALSE)=0,"",VLOOKUP(MATCH(X46,eyr_id,0),eyr,'A1(epa)'!$AB$17,FALSE))))</f>
        <v>3</v>
      </c>
      <c r="FJ46" s="6177">
        <f>+IF(X46="","",IF(2009-VLOOKUP(MATCH(X46,eyr_id,0)+1,eyr,'A1(epa)'!$U$17,FALSE)=0,IF(VLOOKUP(MATCH(X46,eyr_id,0)+1,eyr,'A1(epa)'!$U$17,FALSE)=0,"",VLOOKUP(MATCH(X46,eyr_id,0)+1,eyr,'A1(epa)'!$U$17,FALSE))))</f>
        <v>2009</v>
      </c>
      <c r="FK46" s="6178">
        <f>+IF(X46="","",IF(2009-VLOOKUP(MATCH(X46,eyr_id,0)+1,eyr,'A1(epa)'!$U$17,FALSE)=0,IF(VLOOKUP(MATCH(X46,eyr_id,0)+1,eyr,'A1(epa)'!$X$17,FALSE)=0,"",VLOOKUP(MATCH(X46,eyr_id,0)+1,eyr,'A1(epa)'!$X$17,FALSE))))</f>
        <v>12</v>
      </c>
      <c r="FL46" s="6179">
        <f>+IF(X46="","",IF(2009-VLOOKUP(MATCH(X46,eyr_id,0)+1,eyr,'A1(epa)'!$U$17,FALSE)=0,IF(VLOOKUP(MATCH(X46,eyr_id,0)+1,eyr,'A1(epa)'!$W$17,FALSE)=0,"",VLOOKUP(MATCH(X46,eyr_id,0)+1,eyr,'A1(epa)'!$W$17,FALSE))))</f>
        <v>93</v>
      </c>
      <c r="FM46" s="6180">
        <f>+IF(X46="","",IF(2009-VLOOKUP(MATCH(X46,eyr_id,0)+1,eyr,'A1(epa)'!$U$17,FALSE)=0,IF(VLOOKUP(MATCH(X46,eyr_id,0)+1,eyr,'A1(epa)'!$AC$17,FALSE)=0,"",VLOOKUP(MATCH(X46,eyr_id,0)+1,eyr,'A1(epa)'!$AC$17,FALSE))))</f>
        <v>31591</v>
      </c>
      <c r="FN46" s="6180">
        <f>+IF(X46="","",IF(2009-VLOOKUP(MATCH(X46,eyr_id,0)+1,eyr,'A1(epa)'!$U$17,FALSE)=0,IF(VLOOKUP(MATCH(X46,eyr_id,0)+1,eyr,'A1(epa)'!$Y$17,FALSE)=0,"",VLOOKUP(MATCH(X46,eyr_id,0)+1,eyr,'A1(epa)'!$Y$17,FALSE))))</f>
        <v>3120</v>
      </c>
      <c r="FO46" s="6181">
        <f>+IF(X46="","",IF(2009-VLOOKUP(MATCH(X46,eyr_id,0)+1,eyr,'A1(epa)'!$U$17,FALSE)=0,IF(VLOOKUP(MATCH(X46,eyr_id,0)+1,eyr,'A1(epa)'!$AB$17,FALSE)=0,"",VLOOKUP(MATCH(X46,eyr_id,0)+1,eyr,'A1(epa)'!$AB$17,FALSE))))</f>
        <v>2.5</v>
      </c>
      <c r="FP46" s="89" t="s">
        <v>312</v>
      </c>
      <c r="FQ46" s="5093"/>
      <c r="FR46" s="5094" t="s">
        <v>93</v>
      </c>
      <c r="FS46" s="5093"/>
      <c r="FT46" s="5093"/>
      <c r="FU46" s="5093"/>
      <c r="FV46" s="4962" t="s">
        <v>94</v>
      </c>
      <c r="FW46" s="89">
        <v>2010</v>
      </c>
      <c r="FX46" s="6251">
        <v>105.1</v>
      </c>
      <c r="FY46" s="6251">
        <v>80</v>
      </c>
      <c r="FZ46" s="6251">
        <v>25.1</v>
      </c>
      <c r="GA46" s="6251">
        <f t="shared" si="47"/>
        <v>105.1</v>
      </c>
      <c r="GB46" s="6353" t="str">
        <f t="shared" si="36"/>
        <v>less -9 hrs than EPA-CAIROS report</v>
      </c>
      <c r="GC46" s="6251"/>
      <c r="GD46" s="8611">
        <f>38.4*1000</f>
        <v>38400</v>
      </c>
      <c r="GE46" s="6312" t="str">
        <f t="shared" si="37"/>
        <v>same as EPA-CAIROS report, within ±10%</v>
      </c>
      <c r="GF46" s="8611"/>
      <c r="GG46" s="8611" t="str">
        <f t="shared" si="9"/>
        <v/>
      </c>
      <c r="GH46" s="8611"/>
      <c r="GI46" s="8611"/>
      <c r="GJ46" s="6313" t="s">
        <v>95</v>
      </c>
      <c r="GK46" s="89">
        <v>2009</v>
      </c>
      <c r="GL46" s="6311">
        <v>83.9</v>
      </c>
      <c r="GM46" s="6311">
        <v>16.899999999999999</v>
      </c>
      <c r="GN46" s="6311">
        <v>66.900000000000006</v>
      </c>
      <c r="GO46" s="6311">
        <f t="shared" si="38"/>
        <v>83.800000000000011</v>
      </c>
      <c r="GP46" s="6332" t="str">
        <f t="shared" si="39"/>
        <v>less -9 hrs than EPA-CAIROS report</v>
      </c>
      <c r="GQ46" s="6311"/>
      <c r="GR46" s="8611">
        <f>32*1000</f>
        <v>32000</v>
      </c>
      <c r="GS46" s="6312" t="str">
        <f t="shared" si="40"/>
        <v>same as EPA-CAIROS report, within ±10%</v>
      </c>
      <c r="GT46" s="8611"/>
      <c r="GU46" s="6312" t="str">
        <f t="shared" si="41"/>
        <v/>
      </c>
      <c r="GV46" s="8611"/>
      <c r="GW46" s="8611"/>
      <c r="GX46" s="6313" t="s">
        <v>95</v>
      </c>
      <c r="GY46" s="6250">
        <v>94.5</v>
      </c>
      <c r="GZ46" s="6251">
        <f t="shared" si="42"/>
        <v>94.5</v>
      </c>
      <c r="HA46" s="6251">
        <v>48.4</v>
      </c>
      <c r="HB46" s="6251">
        <v>46</v>
      </c>
      <c r="HC46" s="6251"/>
      <c r="HD46" s="8611">
        <f t="shared" si="48"/>
        <v>35200</v>
      </c>
      <c r="HE46" s="10231"/>
      <c r="HF46" s="8611">
        <f>+HF45</f>
        <v>31287.5</v>
      </c>
      <c r="HG46" s="8611"/>
      <c r="HH46" s="6254">
        <f t="shared" si="13"/>
        <v>0.17100000000000001</v>
      </c>
      <c r="HI46" s="6254">
        <f t="shared" si="14"/>
        <v>0.17100000000000001</v>
      </c>
      <c r="HJ46" s="6254">
        <f>+HI46</f>
        <v>0.17100000000000001</v>
      </c>
      <c r="HK46" s="6254"/>
      <c r="HL46" s="10225"/>
      <c r="HM46" s="6255">
        <f>+HM45</f>
        <v>2.66</v>
      </c>
      <c r="HN46" s="6256">
        <f t="shared" si="45"/>
        <v>2.6750812500000003</v>
      </c>
      <c r="HO46" s="5357"/>
    </row>
    <row r="47" spans="1:223" s="5349" customFormat="1" ht="25.5" customHeight="1" thickBot="1">
      <c r="A47" s="5366" t="str">
        <f t="shared" si="35"/>
        <v>8300-15</v>
      </c>
      <c r="B47" s="9572"/>
      <c r="C47" s="5367" t="str">
        <f t="shared" si="30"/>
        <v>DV14</v>
      </c>
      <c r="D47" s="6109"/>
      <c r="E47" s="6113"/>
      <c r="F47" s="6109"/>
      <c r="G47" s="4636">
        <v>27</v>
      </c>
      <c r="H47" s="10167"/>
      <c r="I47" s="10158"/>
      <c r="J47" s="6892" t="s">
        <v>611</v>
      </c>
      <c r="K47" s="4738">
        <v>8300</v>
      </c>
      <c r="L47" s="8601" t="s">
        <v>345</v>
      </c>
      <c r="M47" s="10202"/>
      <c r="N47" s="4506"/>
      <c r="O47" s="4506"/>
      <c r="P47" s="4680" t="s">
        <v>1516</v>
      </c>
      <c r="Q47" s="367" t="s">
        <v>85</v>
      </c>
      <c r="R47" s="4680" t="str">
        <f>+IF(ISERROR(MATCH(X47,epa_id,0)),"",IF(X47="","",IF(VLOOKUP(MATCH(X47,epa_id,0),epa,'A1(epa)'!$S$17,FALSE)="","",VLOOKUP(MATCH(X47,epa_id,0),epa,'A1(epa)'!$S$17,FALSE))))</f>
        <v>14</v>
      </c>
      <c r="S47" s="305">
        <f>+IF(ISERROR(MATCH(X47,epa_id,0)),"",IF(X47="","",IF(VLOOKUP(MATCH(X47,epa_id,0),epa,'A1(epa)'!$R$17,FALSE)="","",VLOOKUP(MATCH(X47,epa_id,0),epa,'A1(epa)'!$R$17,FALSE))))</f>
        <v>544</v>
      </c>
      <c r="T47" s="6070" t="s">
        <v>794</v>
      </c>
      <c r="U47" s="4502">
        <v>4</v>
      </c>
      <c r="V47" s="4502">
        <v>1</v>
      </c>
      <c r="W47" s="4502">
        <f t="shared" si="34"/>
        <v>15</v>
      </c>
      <c r="X47" s="4652" t="str">
        <f t="shared" si="5"/>
        <v>8300-15</v>
      </c>
      <c r="Y47" s="4654" t="s">
        <v>1510</v>
      </c>
      <c r="Z47" s="8597" t="s">
        <v>1513</v>
      </c>
      <c r="AA47" s="4503" t="s">
        <v>470</v>
      </c>
      <c r="AB47" s="4681"/>
      <c r="AC47" s="4656" t="s">
        <v>979</v>
      </c>
      <c r="AD47" s="4690" t="s">
        <v>1550</v>
      </c>
      <c r="AE47" s="4658"/>
      <c r="AF47" s="329"/>
      <c r="AG47" s="330"/>
      <c r="AH47" s="331"/>
      <c r="AI47" s="4770"/>
      <c r="AJ47" s="4771"/>
      <c r="AK47" s="4772"/>
      <c r="AL47" s="4773" t="s">
        <v>806</v>
      </c>
      <c r="AM47" s="4792" t="s">
        <v>1555</v>
      </c>
      <c r="AN47" s="4774"/>
      <c r="AO47" s="4774">
        <v>41790</v>
      </c>
      <c r="AP47" s="4774">
        <v>40658</v>
      </c>
      <c r="AQ47" s="4774"/>
      <c r="AR47" s="4774"/>
      <c r="AS47" s="4774"/>
      <c r="AT47" s="4771"/>
      <c r="AU47" s="4771"/>
      <c r="AV47" s="368"/>
      <c r="AW47" s="368"/>
      <c r="AX47" s="368"/>
      <c r="AY47" s="369"/>
      <c r="AZ47" s="379"/>
      <c r="BA47" s="4823" t="s">
        <v>504</v>
      </c>
      <c r="BB47" s="624">
        <f>+IF(AND(G47="",BA47=""),"",VLOOKUP(MATCH(BA47,tw,0),twn,'A4(twn)'!$D$12,FALSE))</f>
        <v>105</v>
      </c>
      <c r="BC47" s="624" t="str">
        <f t="shared" si="17"/>
        <v xml:space="preserve"> -  / -  / 105 / - </v>
      </c>
      <c r="BD47" s="4506" t="s">
        <v>109</v>
      </c>
      <c r="BE47" s="4654" t="s">
        <v>243</v>
      </c>
      <c r="BF47" s="4833" t="str">
        <f t="shared" si="46"/>
        <v>NRG Energy, Inc</v>
      </c>
      <c r="BG47" s="4653" t="str">
        <f>+IF(OR(X47="",ISERROR(MATCH(X47,epa_id,0))),"",VLOOKUP(MATCH(X47,epa_id,0),epa,'A1(epa)'!$AH$17,FALSE))</f>
        <v>Devon Power, LLC (Owner/Operator)</v>
      </c>
      <c r="BH47" s="4509"/>
      <c r="BI47" s="4509"/>
      <c r="BJ47" s="6132"/>
      <c r="BK47" s="335"/>
      <c r="BL47" s="371" t="s">
        <v>522</v>
      </c>
      <c r="BM47" s="6142" t="s">
        <v>1517</v>
      </c>
      <c r="BN47" s="371" t="s">
        <v>611</v>
      </c>
      <c r="BO47" s="335" t="s">
        <v>523</v>
      </c>
      <c r="BP47" s="327" t="s">
        <v>524</v>
      </c>
      <c r="BQ47" s="335"/>
      <c r="BR47" s="335"/>
      <c r="BS47" s="301" t="s">
        <v>525</v>
      </c>
      <c r="BT47" s="335"/>
      <c r="BU47" s="335"/>
      <c r="BV47" s="336"/>
      <c r="BW47" s="4850" t="s">
        <v>790</v>
      </c>
      <c r="BX47" s="335" t="s">
        <v>522</v>
      </c>
      <c r="BY47" s="335"/>
      <c r="BZ47" s="335"/>
      <c r="CA47" s="335"/>
      <c r="CB47" s="335"/>
      <c r="CC47" s="372"/>
      <c r="CD47" s="371"/>
      <c r="CE47" s="335"/>
      <c r="CF47" s="4374" t="s">
        <v>110</v>
      </c>
      <c r="CG47" s="4374"/>
      <c r="CH47" s="4862" t="str">
        <f>+IF(ISERROR(MATCH(X47,epa_id,0)),"",IF(X47="","",IF(VLOOKUP(MATCH(X47,epa_id,0),epa,'A1(epa)'!$AE$17,FALSE)="","",VLOOKUP(MATCH(X47,epa_id,0),epa,'A1(epa)'!$AE$17,FALSE))))</f>
        <v>Electric Utility</v>
      </c>
      <c r="CI47" s="8560" t="s">
        <v>944</v>
      </c>
      <c r="CJ47" s="4655" t="str">
        <f>+IF(ISERROR(MATCH(X47,epa_id,0)),"",IF(X47="","",IF(VLOOKUP(MATCH(X47,epa_id,0),epa,'A1(epa)'!$AF$17,FALSE)="","",VLOOKUP(MATCH(X47,epa_id,0),epa,'A1(epa)'!$AF$17,FALSE))))</f>
        <v>4911</v>
      </c>
      <c r="CK47" s="8560" t="str">
        <f>+IF(ISERROR(MATCH(X47,epa_id,0)),"",IF(X47="","",IF(VLOOKUP(MATCH(X47,epa_id,0),epa,'A1(epa)'!$AG$17,FALSE)="","",VLOOKUP(MATCH(X47,epa_id,0),epa,'A1(epa)'!$AG$17,FALSE))))</f>
        <v>Electric Services</v>
      </c>
      <c r="CL47" s="340" t="s">
        <v>116</v>
      </c>
      <c r="CM47" s="339"/>
      <c r="CN47" s="4887"/>
      <c r="CO47" s="4792" t="s">
        <v>442</v>
      </c>
      <c r="CP47" s="4792" t="s">
        <v>86</v>
      </c>
      <c r="CQ47" s="4889"/>
      <c r="CR47" s="4926" t="s">
        <v>87</v>
      </c>
      <c r="CS47" s="4926"/>
      <c r="CT47" s="8589">
        <v>40</v>
      </c>
      <c r="CU47" s="10162"/>
      <c r="CV47" s="4890"/>
      <c r="CW47" s="4891" t="s">
        <v>79</v>
      </c>
      <c r="CX47" s="4959">
        <v>30</v>
      </c>
      <c r="CY47" s="4960" t="s">
        <v>80</v>
      </c>
      <c r="CZ47" s="4961">
        <v>40</v>
      </c>
      <c r="DA47" s="4962" t="s">
        <v>81</v>
      </c>
      <c r="DB47" s="4770" t="s">
        <v>57</v>
      </c>
      <c r="DC47" s="4888">
        <v>1996</v>
      </c>
      <c r="DD47" s="4954">
        <v>35217</v>
      </c>
      <c r="DE47" s="4940">
        <f t="shared" ca="1" si="32"/>
        <v>18.106945008175533</v>
      </c>
      <c r="DF47" s="4962"/>
      <c r="DG47" s="5042" t="s">
        <v>88</v>
      </c>
      <c r="DH47" s="4926" t="s">
        <v>474</v>
      </c>
      <c r="DI47" s="4926" t="str">
        <f>+DI46</f>
        <v>ULSD oil</v>
      </c>
      <c r="DJ47" s="6070"/>
      <c r="DK47" s="6070"/>
      <c r="DL47" s="6070"/>
      <c r="DM47" s="6070"/>
      <c r="DN47" s="5007"/>
      <c r="DO47" s="6070"/>
      <c r="DP47" s="5008" t="s">
        <v>91</v>
      </c>
      <c r="DQ47" s="5009" t="s">
        <v>90</v>
      </c>
      <c r="DR47" s="6070"/>
      <c r="DS47" s="6070"/>
      <c r="DT47" s="6070"/>
      <c r="DU47" s="6070"/>
      <c r="DV47" s="5007"/>
      <c r="DW47" s="6070"/>
      <c r="DX47" s="5008" t="s">
        <v>92</v>
      </c>
      <c r="DY47" s="5009"/>
      <c r="DZ47" s="6070"/>
      <c r="EA47" s="6070"/>
      <c r="EB47" s="6070"/>
      <c r="EC47" s="6070"/>
      <c r="ED47" s="5007"/>
      <c r="EE47" s="6070"/>
      <c r="EF47" s="3478"/>
      <c r="EG47" s="5042" t="s">
        <v>186</v>
      </c>
      <c r="EH47" s="6175">
        <v>394</v>
      </c>
      <c r="EI47" s="5034">
        <f>+EL47</f>
        <v>0.17100000000000001</v>
      </c>
      <c r="EJ47" s="5043"/>
      <c r="EK47" s="5043" t="s">
        <v>1194</v>
      </c>
      <c r="EL47" s="5034">
        <v>0.17100000000000001</v>
      </c>
      <c r="EM47" s="5034"/>
      <c r="EN47" s="5034"/>
      <c r="EO47" s="5034"/>
      <c r="EP47" s="5034"/>
      <c r="EQ47" s="5034"/>
      <c r="ER47" s="5033"/>
      <c r="ES47" s="5033"/>
      <c r="ET47" s="6176">
        <v>0.15</v>
      </c>
      <c r="EU47" s="5033"/>
      <c r="EV47" s="345"/>
      <c r="EW47" s="5065">
        <v>0.15</v>
      </c>
      <c r="EX47" s="5033"/>
      <c r="EY47" s="5033"/>
      <c r="EZ47" s="4926"/>
      <c r="FA47" s="4926"/>
      <c r="FB47" s="5078"/>
      <c r="FC47" s="4873"/>
      <c r="FD47" s="6177">
        <f>+IF(X47="","",IF(2010-VLOOKUP(MATCH(X47,eyr_id,0),eyr,'A1(epa)'!$U$17,FALSE)=0,IF(VLOOKUP(MATCH(X47,eyr_id,0),eyr,'A1(epa)'!$U$17,FALSE)=0,"",VLOOKUP(MATCH(X47,eyr_id,0),eyr,'A1(epa)'!$U$17,FALSE))))</f>
        <v>2010</v>
      </c>
      <c r="FE47" s="6178">
        <f>+IF(X47="","",IF(2010-VLOOKUP(MATCH(X47,eyr_id,0),eyr,'A1(epa)'!$U$17,FALSE)=0,IF(VLOOKUP(MATCH(X47,eyr_id,0),eyr,'A1(epa)'!$X$17,FALSE)=0,"",VLOOKUP(MATCH(X47,eyr_id,0),eyr,'A1(epa)'!$X$17,FALSE))))</f>
        <v>12</v>
      </c>
      <c r="FF47" s="6179">
        <f>+IF(X47="","",IF(2010-VLOOKUP(MATCH(X47,eyr_id,0),eyr,'A1(epa)'!$U$17,FALSE)=0,IF(VLOOKUP(MATCH(X47,eyr_id,0),eyr,'A1(epa)'!$W$17,FALSE)=0,"",VLOOKUP(MATCH(X47,eyr_id,0),eyr,'A1(epa)'!$W$17,FALSE))))</f>
        <v>131</v>
      </c>
      <c r="FG47" s="6180">
        <f>+IF(X47="","",IF(2010-VLOOKUP(MATCH(X47,eyr_id,0),eyr,'A1(epa)'!$U$17,FALSE)=0,IF(VLOOKUP(MATCH(X47,eyr_id,0),eyr,'A1(epa)'!$AC$17,FALSE)=0,"",VLOOKUP(MATCH(X47,eyr_id,0),eyr,'A1(epa)'!$AC$17,FALSE))))</f>
        <v>41882</v>
      </c>
      <c r="FH47" s="6180">
        <f>+IF(X47="","",IF(2010-VLOOKUP(MATCH(X47,eyr_id,0),eyr,'A1(epa)'!$U$17,FALSE)=0,IF(VLOOKUP(MATCH(X47,eyr_id,0),eyr,'A1(epa)'!$Y$17,FALSE)=0,"",VLOOKUP(MATCH(X47,eyr_id,0),eyr,'A1(epa)'!$Y$17,FALSE))))</f>
        <v>4136</v>
      </c>
      <c r="FI47" s="6181">
        <f>+IF(X47="","",IF(2010-VLOOKUP(MATCH(X47,eyr_id,0),eyr,'A1(epa)'!$U$17,FALSE)=0,IF(VLOOKUP(MATCH(X47,eyr_id,0),eyr,'A1(epa)'!$AB$17,FALSE)=0,"",VLOOKUP(MATCH(X47,eyr_id,0),eyr,'A1(epa)'!$AB$17,FALSE))))</f>
        <v>3.3</v>
      </c>
      <c r="FJ47" s="6177">
        <f>+IF(X47="","",IF(2009-VLOOKUP(MATCH(X47,eyr_id,0)+1,eyr,'A1(epa)'!$U$17,FALSE)=0,IF(VLOOKUP(MATCH(X47,eyr_id,0)+1,eyr,'A1(epa)'!$U$17,FALSE)=0,"",VLOOKUP(MATCH(X47,eyr_id,0)+1,eyr,'A1(epa)'!$U$17,FALSE))))</f>
        <v>2009</v>
      </c>
      <c r="FK47" s="6178">
        <f>+IF(X47="","",IF(2009-VLOOKUP(MATCH(X47,eyr_id,0)+1,eyr,'A1(epa)'!$U$17,FALSE)=0,IF(VLOOKUP(MATCH(X47,eyr_id,0)+1,eyr,'A1(epa)'!$X$17,FALSE)=0,"",VLOOKUP(MATCH(X47,eyr_id,0)+1,eyr,'A1(epa)'!$X$17,FALSE))))</f>
        <v>12</v>
      </c>
      <c r="FL47" s="6179">
        <f>+IF(X47="","",IF(2009-VLOOKUP(MATCH(X47,eyr_id,0)+1,eyr,'A1(epa)'!$U$17,FALSE)=0,IF(VLOOKUP(MATCH(X47,eyr_id,0)+1,eyr,'A1(epa)'!$W$17,FALSE)=0,"",VLOOKUP(MATCH(X47,eyr_id,0)+1,eyr,'A1(epa)'!$W$17,FALSE))))</f>
        <v>91</v>
      </c>
      <c r="FM47" s="6180">
        <f>+IF(X47="","",IF(2009-VLOOKUP(MATCH(X47,eyr_id,0)+1,eyr,'A1(epa)'!$U$17,FALSE)=0,IF(VLOOKUP(MATCH(X47,eyr_id,0)+1,eyr,'A1(epa)'!$AC$17,FALSE)=0,"",VLOOKUP(MATCH(X47,eyr_id,0)+1,eyr,'A1(epa)'!$AC$17,FALSE))))</f>
        <v>31304</v>
      </c>
      <c r="FN47" s="6180">
        <f>+IF(X47="","",IF(2009-VLOOKUP(MATCH(X47,eyr_id,0)+1,eyr,'A1(epa)'!$U$17,FALSE)=0,IF(VLOOKUP(MATCH(X47,eyr_id,0)+1,eyr,'A1(epa)'!$Y$17,FALSE)=0,"",VLOOKUP(MATCH(X47,eyr_id,0)+1,eyr,'A1(epa)'!$Y$17,FALSE))))</f>
        <v>3150</v>
      </c>
      <c r="FO47" s="6181">
        <f>+IF(X47="","",IF(2009-VLOOKUP(MATCH(X47,eyr_id,0)+1,eyr,'A1(epa)'!$U$17,FALSE)=0,IF(VLOOKUP(MATCH(X47,eyr_id,0)+1,eyr,'A1(epa)'!$AB$17,FALSE)=0,"",VLOOKUP(MATCH(X47,eyr_id,0)+1,eyr,'A1(epa)'!$AB$17,FALSE))))</f>
        <v>2.6</v>
      </c>
      <c r="FP47" s="89" t="s">
        <v>312</v>
      </c>
      <c r="FQ47" s="5093"/>
      <c r="FR47" s="5094" t="s">
        <v>93</v>
      </c>
      <c r="FS47" s="5093"/>
      <c r="FT47" s="5093"/>
      <c r="FU47" s="5093"/>
      <c r="FV47" s="4962" t="s">
        <v>94</v>
      </c>
      <c r="FW47" s="89">
        <v>2010</v>
      </c>
      <c r="FX47" s="6251">
        <v>120.4</v>
      </c>
      <c r="FY47" s="6251">
        <v>90.1</v>
      </c>
      <c r="FZ47" s="6251">
        <v>30.3</v>
      </c>
      <c r="GA47" s="6251">
        <f t="shared" si="47"/>
        <v>120.39999999999999</v>
      </c>
      <c r="GB47" s="6353" t="str">
        <f t="shared" si="36"/>
        <v>less -11 hrs than EPA-CAIROS report</v>
      </c>
      <c r="GC47" s="6251"/>
      <c r="GD47" s="8611">
        <f>42.4*1000</f>
        <v>42400</v>
      </c>
      <c r="GE47" s="6312" t="str">
        <f t="shared" si="37"/>
        <v>same as EPA-CAIROS report, within ±10%</v>
      </c>
      <c r="GF47" s="8611"/>
      <c r="GG47" s="8611" t="str">
        <f t="shared" si="9"/>
        <v/>
      </c>
      <c r="GH47" s="8611"/>
      <c r="GI47" s="8611"/>
      <c r="GJ47" s="6313" t="s">
        <v>95</v>
      </c>
      <c r="GK47" s="89">
        <v>2009</v>
      </c>
      <c r="GL47" s="6311">
        <v>82.5</v>
      </c>
      <c r="GM47" s="6311">
        <v>14.2</v>
      </c>
      <c r="GN47" s="6311">
        <v>68.3</v>
      </c>
      <c r="GO47" s="6311">
        <f t="shared" si="38"/>
        <v>82.5</v>
      </c>
      <c r="GP47" s="6332" t="str">
        <f t="shared" si="39"/>
        <v>less -9 hrs than EPA-CAIROS report</v>
      </c>
      <c r="GQ47" s="6311"/>
      <c r="GR47" s="8611">
        <f>31.4*1000</f>
        <v>31400</v>
      </c>
      <c r="GS47" s="6312" t="str">
        <f t="shared" si="40"/>
        <v>same as EPA-CAIROS report, within ±10%</v>
      </c>
      <c r="GT47" s="8611"/>
      <c r="GU47" s="6312" t="str">
        <f t="shared" si="41"/>
        <v/>
      </c>
      <c r="GV47" s="8611"/>
      <c r="GW47" s="8611"/>
      <c r="GX47" s="6313" t="s">
        <v>95</v>
      </c>
      <c r="GY47" s="6250">
        <v>101.4</v>
      </c>
      <c r="GZ47" s="6251">
        <f t="shared" si="42"/>
        <v>101.45</v>
      </c>
      <c r="HA47" s="6251">
        <v>52.2</v>
      </c>
      <c r="HB47" s="6251">
        <v>49.3</v>
      </c>
      <c r="HC47" s="6251"/>
      <c r="HD47" s="8612">
        <f t="shared" si="48"/>
        <v>36900</v>
      </c>
      <c r="HE47" s="10232"/>
      <c r="HF47" s="8612">
        <f>+HF46</f>
        <v>31287.5</v>
      </c>
      <c r="HG47" s="8611"/>
      <c r="HH47" s="6254">
        <f t="shared" si="13"/>
        <v>0.17100000000000001</v>
      </c>
      <c r="HI47" s="6254">
        <f t="shared" si="14"/>
        <v>0.17100000000000001</v>
      </c>
      <c r="HJ47" s="6254">
        <f>+HI47</f>
        <v>0.17100000000000001</v>
      </c>
      <c r="HK47" s="6254"/>
      <c r="HL47" s="10226"/>
      <c r="HM47" s="6255">
        <f>+HM46</f>
        <v>2.66</v>
      </c>
      <c r="HN47" s="6256">
        <f t="shared" si="45"/>
        <v>2.6750812500000003</v>
      </c>
      <c r="HO47" s="5357"/>
    </row>
    <row r="48" spans="1:223" s="5349" customFormat="1" ht="25.5" customHeight="1">
      <c r="A48" s="5362" t="str">
        <f t="shared" si="35"/>
        <v>8300-16</v>
      </c>
      <c r="B48" s="9570" t="str">
        <f>+J48</f>
        <v>NRG</v>
      </c>
      <c r="C48" s="5363" t="str">
        <f t="shared" si="30"/>
        <v>MV10</v>
      </c>
      <c r="D48" s="6109"/>
      <c r="E48" s="6113"/>
      <c r="F48" s="6109"/>
      <c r="G48" s="4636">
        <v>28</v>
      </c>
      <c r="H48" s="10166">
        <v>15</v>
      </c>
      <c r="I48" s="10174" t="s">
        <v>473</v>
      </c>
      <c r="J48" s="6891" t="s">
        <v>611</v>
      </c>
      <c r="K48" s="4750">
        <v>8300</v>
      </c>
      <c r="L48" s="8606" t="s">
        <v>478</v>
      </c>
      <c r="M48" s="10203" t="s">
        <v>2087</v>
      </c>
      <c r="N48" s="4505"/>
      <c r="O48" s="4505"/>
      <c r="P48" s="4638" t="s">
        <v>471</v>
      </c>
      <c r="Q48" s="280" t="s">
        <v>97</v>
      </c>
      <c r="R48" s="4638" t="str">
        <f>+IF(ISERROR(MATCH(X48,epa_id,0)),"",IF(X48="","",IF(VLOOKUP(MATCH(X48,epa_id,0),epa,'A1(epa)'!$S$17,FALSE)="","",VLOOKUP(MATCH(X48,epa_id,0),epa,'A1(epa)'!$S$17,FALSE))))</f>
        <v/>
      </c>
      <c r="S48" s="307" t="str">
        <f>+IF(ISERROR(MATCH(X48,epa_id,0)),"",IF(X48="","",IF(VLOOKUP(MATCH(X48,epa_id,0),epa,'A1(epa)'!$R$17,FALSE)="","",VLOOKUP(MATCH(X48,epa_id,0),epa,'A1(epa)'!$R$17,FALSE))))</f>
        <v/>
      </c>
      <c r="T48" s="6069" t="s">
        <v>99</v>
      </c>
      <c r="U48" s="4501">
        <v>2</v>
      </c>
      <c r="V48" s="4501">
        <v>1</v>
      </c>
      <c r="W48" s="4501">
        <f>1+W47</f>
        <v>16</v>
      </c>
      <c r="X48" s="4691" t="str">
        <f t="shared" si="5"/>
        <v>8300-16</v>
      </c>
      <c r="Y48" s="4639" t="s">
        <v>1511</v>
      </c>
      <c r="Z48" s="8593"/>
      <c r="AA48" s="4692"/>
      <c r="AB48" s="4692"/>
      <c r="AC48" s="4693" t="s">
        <v>979</v>
      </c>
      <c r="AD48" s="4694" t="s">
        <v>1551</v>
      </c>
      <c r="AE48" s="4695"/>
      <c r="AF48" s="380"/>
      <c r="AG48" s="381"/>
      <c r="AH48" s="382"/>
      <c r="AI48" s="4794"/>
      <c r="AJ48" s="4795"/>
      <c r="AK48" s="4796"/>
      <c r="AL48" s="4760" t="s">
        <v>806</v>
      </c>
      <c r="AM48" s="4797" t="s">
        <v>1556</v>
      </c>
      <c r="AN48" s="4798"/>
      <c r="AO48" s="4798">
        <v>41790</v>
      </c>
      <c r="AP48" s="4798">
        <v>40658</v>
      </c>
      <c r="AQ48" s="4798"/>
      <c r="AR48" s="4798"/>
      <c r="AS48" s="4798"/>
      <c r="AT48" s="4795"/>
      <c r="AU48" s="4795"/>
      <c r="AV48" s="383"/>
      <c r="AW48" s="383"/>
      <c r="AX48" s="383"/>
      <c r="AY48" s="384"/>
      <c r="AZ48" s="385"/>
      <c r="BA48" s="316" t="s">
        <v>478</v>
      </c>
      <c r="BB48" s="4817">
        <f>+IF(AND(G48="",BA48=""),"",VLOOKUP(MATCH(BA48,tw,0),twn,'A4(twn)'!$D$12,FALSE))</f>
        <v>107</v>
      </c>
      <c r="BC48" s="4817" t="str">
        <f t="shared" si="17"/>
        <v xml:space="preserve"> -  / -  / 107 / - </v>
      </c>
      <c r="BD48" s="4505" t="s">
        <v>379</v>
      </c>
      <c r="BE48" s="4639" t="s">
        <v>244</v>
      </c>
      <c r="BF48" s="4836" t="str">
        <f>+BF47</f>
        <v>NRG Energy, Inc</v>
      </c>
      <c r="BG48" s="4837" t="str">
        <f>+IF(OR(X48="",ISERROR(MATCH(X48,epa_id,0))),"",VLOOKUP(MATCH(X48,epa_id,0),epa,'A1(epa)'!$AH$17,FALSE))</f>
        <v/>
      </c>
      <c r="BH48" s="4838"/>
      <c r="BI48" s="4838"/>
      <c r="BJ48" s="6135"/>
      <c r="BK48" s="386"/>
      <c r="BL48" s="387" t="s">
        <v>522</v>
      </c>
      <c r="BM48" s="6144" t="s">
        <v>1517</v>
      </c>
      <c r="BN48" s="387" t="s">
        <v>611</v>
      </c>
      <c r="BO48" s="386" t="s">
        <v>523</v>
      </c>
      <c r="BP48" s="317" t="s">
        <v>524</v>
      </c>
      <c r="BQ48" s="386"/>
      <c r="BR48" s="386"/>
      <c r="BS48" s="303" t="s">
        <v>525</v>
      </c>
      <c r="BT48" s="386"/>
      <c r="BU48" s="386"/>
      <c r="BV48" s="388"/>
      <c r="BW48" s="4848" t="s">
        <v>790</v>
      </c>
      <c r="BX48" s="386" t="s">
        <v>522</v>
      </c>
      <c r="BY48" s="386"/>
      <c r="BZ48" s="386"/>
      <c r="CA48" s="386"/>
      <c r="CB48" s="386"/>
      <c r="CC48" s="389"/>
      <c r="CD48" s="387"/>
      <c r="CE48" s="386"/>
      <c r="CF48" s="4376" t="s">
        <v>110</v>
      </c>
      <c r="CG48" s="4376"/>
      <c r="CH48" s="4855" t="str">
        <f>+IF(ISERROR(MATCH(X48,epa_id,0)),"",IF(X48="","",IF(VLOOKUP(MATCH(X48,epa_id,0),epa,'A1(epa)'!$AE$17,FALSE)="","",VLOOKUP(MATCH(X48,epa_id,0),epa,'A1(epa)'!$AE$17,FALSE))))</f>
        <v/>
      </c>
      <c r="CI48" s="4864" t="s">
        <v>944</v>
      </c>
      <c r="CJ48" s="4864" t="str">
        <f>+IF(ISERROR(MATCH(X48,epa_id,0)),"",IF(X48="","",IF(VLOOKUP(MATCH(X48,epa_id,0),epa,'A1(epa)'!$AF$17,FALSE)="","",VLOOKUP(MATCH(X48,epa_id,0),epa,'A1(epa)'!$AF$17,FALSE))))</f>
        <v/>
      </c>
      <c r="CK48" s="8558" t="str">
        <f>+IF(ISERROR(MATCH(X48,epa_id,0)),"",IF(X48="","",IF(VLOOKUP(MATCH(X48,epa_id,0),epa,'A1(epa)'!$AG$17,FALSE)="","",VLOOKUP(MATCH(X48,epa_id,0),epa,'A1(epa)'!$AG$17,FALSE))))</f>
        <v/>
      </c>
      <c r="CL48" s="322" t="s">
        <v>112</v>
      </c>
      <c r="CM48" s="324"/>
      <c r="CN48" s="4905"/>
      <c r="CO48" s="4797" t="s">
        <v>101</v>
      </c>
      <c r="CP48" s="4797" t="s">
        <v>102</v>
      </c>
      <c r="CQ48" s="4906"/>
      <c r="CR48" s="4877" t="s">
        <v>100</v>
      </c>
      <c r="CS48" s="4877"/>
      <c r="CT48" s="8591">
        <v>2.75</v>
      </c>
      <c r="CU48" s="10163">
        <f>+SUM(CT53:CT54)+SUM(CT48:CT49)</f>
        <v>488.5</v>
      </c>
      <c r="CV48" s="4907"/>
      <c r="CW48" s="4880" t="s">
        <v>96</v>
      </c>
      <c r="CX48" s="4963">
        <v>2.7</v>
      </c>
      <c r="CY48" s="4964" t="s">
        <v>80</v>
      </c>
      <c r="CZ48" s="4965">
        <v>2.7</v>
      </c>
      <c r="DA48" s="4966" t="s">
        <v>81</v>
      </c>
      <c r="DB48" s="4794" t="s">
        <v>391</v>
      </c>
      <c r="DC48" s="4967">
        <v>1966</v>
      </c>
      <c r="DD48" s="4968">
        <v>24122</v>
      </c>
      <c r="DE48" s="4969">
        <f t="shared" ca="1" si="32"/>
        <v>48.483399491406196</v>
      </c>
      <c r="DF48" s="4927"/>
      <c r="DG48" s="5103" t="s">
        <v>103</v>
      </c>
      <c r="DH48" s="4877" t="s">
        <v>451</v>
      </c>
      <c r="DI48" s="4877" t="str">
        <f>+DG48</f>
        <v>0.05% sulfur distillate oil</v>
      </c>
      <c r="DJ48" s="6069"/>
      <c r="DK48" s="6069"/>
      <c r="DL48" s="6069"/>
      <c r="DM48" s="6069"/>
      <c r="DN48" s="5014"/>
      <c r="DO48" s="6069"/>
      <c r="DP48" s="5015"/>
      <c r="DQ48" s="4870"/>
      <c r="DR48" s="6069"/>
      <c r="DS48" s="6069"/>
      <c r="DT48" s="6069"/>
      <c r="DU48" s="6069"/>
      <c r="DV48" s="5014"/>
      <c r="DW48" s="6069"/>
      <c r="DX48" s="5015"/>
      <c r="DY48" s="4870"/>
      <c r="DZ48" s="6069"/>
      <c r="EA48" s="6069"/>
      <c r="EB48" s="6069"/>
      <c r="EC48" s="6069"/>
      <c r="ED48" s="5014"/>
      <c r="EE48" s="6069"/>
      <c r="EF48" s="5016"/>
      <c r="EG48" s="5046" t="s">
        <v>185</v>
      </c>
      <c r="EH48" s="6205">
        <v>29</v>
      </c>
      <c r="EI48" s="5047">
        <v>3.09</v>
      </c>
      <c r="EJ48" s="5048"/>
      <c r="EK48" s="5048" t="s">
        <v>920</v>
      </c>
      <c r="EL48" s="5047">
        <v>3.11</v>
      </c>
      <c r="EM48" s="5047"/>
      <c r="EN48" s="5047"/>
      <c r="EO48" s="5047"/>
      <c r="EP48" s="5047"/>
      <c r="EQ48" s="5047">
        <v>2.35</v>
      </c>
      <c r="ER48" s="5057"/>
      <c r="ES48" s="5057"/>
      <c r="ET48" s="6206">
        <v>0.15</v>
      </c>
      <c r="EU48" s="5057"/>
      <c r="EV48" s="5017"/>
      <c r="EW48" s="5060"/>
      <c r="EX48" s="5057"/>
      <c r="EY48" s="5057"/>
      <c r="EZ48" s="5079">
        <v>38800</v>
      </c>
      <c r="FA48" s="5079">
        <v>40626</v>
      </c>
      <c r="FB48" s="5080">
        <f>+(FA48-EZ48)/365.25</f>
        <v>4.9993155373032172</v>
      </c>
      <c r="FC48" s="4871" t="str">
        <f>+IF(ISERROR(MATCH(X48,eyr_id,0)),"",MATCH(X48,eyr_id,0))</f>
        <v/>
      </c>
      <c r="FD48" s="6207"/>
      <c r="FE48" s="6208"/>
      <c r="FF48" s="6209"/>
      <c r="FG48" s="6210"/>
      <c r="FH48" s="6210"/>
      <c r="FI48" s="6211"/>
      <c r="FJ48" s="6207"/>
      <c r="FK48" s="6208"/>
      <c r="FL48" s="6209"/>
      <c r="FM48" s="6210"/>
      <c r="FN48" s="6210"/>
      <c r="FO48" s="6211"/>
      <c r="FP48" s="5103" t="s">
        <v>312</v>
      </c>
      <c r="FQ48" s="4529"/>
      <c r="FR48" s="5114" t="s">
        <v>979</v>
      </c>
      <c r="FS48" s="4529"/>
      <c r="FT48" s="4529"/>
      <c r="FU48" s="4529"/>
      <c r="FV48" s="4927" t="s">
        <v>185</v>
      </c>
      <c r="FW48" s="633">
        <v>2010</v>
      </c>
      <c r="FX48" s="6239">
        <v>338.5</v>
      </c>
      <c r="FY48" s="6239">
        <v>98</v>
      </c>
      <c r="FZ48" s="6239">
        <v>22.3</v>
      </c>
      <c r="GA48" s="6239">
        <f t="shared" si="47"/>
        <v>120.3</v>
      </c>
      <c r="GB48" s="6351" t="str">
        <f t="shared" si="36"/>
        <v/>
      </c>
      <c r="GC48" s="6239"/>
      <c r="GD48" s="6304"/>
      <c r="GE48" s="6305"/>
      <c r="GF48" s="6304"/>
      <c r="GG48" s="6304"/>
      <c r="GH48" s="6304"/>
      <c r="GI48" s="6304"/>
      <c r="GJ48" s="6306">
        <v>1.6E-2</v>
      </c>
      <c r="GK48" s="633">
        <v>2009</v>
      </c>
      <c r="GL48" s="6303">
        <v>133.4</v>
      </c>
      <c r="GM48" s="6303">
        <v>19.600000000000001</v>
      </c>
      <c r="GN48" s="6303">
        <v>21.6</v>
      </c>
      <c r="GO48" s="6303">
        <f t="shared" si="38"/>
        <v>41.2</v>
      </c>
      <c r="GP48" s="6303"/>
      <c r="GQ48" s="6303"/>
      <c r="GR48" s="6304"/>
      <c r="GS48" s="6305" t="str">
        <f t="shared" si="40"/>
        <v/>
      </c>
      <c r="GT48" s="6304"/>
      <c r="GU48" s="6305" t="str">
        <f t="shared" si="41"/>
        <v/>
      </c>
      <c r="GV48" s="6304"/>
      <c r="GW48" s="6304"/>
      <c r="GX48" s="6306">
        <v>1.6E-2</v>
      </c>
      <c r="GY48" s="6238">
        <f>+(FX48+GL48)/2</f>
        <v>235.95</v>
      </c>
      <c r="GZ48" s="6239">
        <f t="shared" si="42"/>
        <v>235.95</v>
      </c>
      <c r="HA48" s="6239"/>
      <c r="HB48" s="6239"/>
      <c r="HC48" s="6239"/>
      <c r="HD48" s="6239"/>
      <c r="HE48" s="6239"/>
      <c r="HF48" s="6240" t="str">
        <f>+IF((GD48+GR48)/2=0,"",(GD48+GR48)/2)</f>
        <v/>
      </c>
      <c r="HG48" s="6240"/>
      <c r="HH48" s="6241">
        <f t="shared" si="13"/>
        <v>3.09</v>
      </c>
      <c r="HI48" s="6241">
        <f t="shared" si="14"/>
        <v>3.11</v>
      </c>
      <c r="HJ48" s="6241">
        <v>3.11</v>
      </c>
      <c r="HK48" s="6241"/>
      <c r="HL48" s="10222">
        <v>12</v>
      </c>
      <c r="HM48" s="8608">
        <f>+HL48/U48</f>
        <v>6</v>
      </c>
      <c r="HN48" s="6242"/>
      <c r="HO48" s="5357"/>
    </row>
    <row r="49" spans="1:223" s="5349" customFormat="1" ht="25.5" customHeight="1" thickBot="1">
      <c r="A49" s="5366" t="str">
        <f t="shared" si="35"/>
        <v>8300-17</v>
      </c>
      <c r="B49" s="9572"/>
      <c r="C49" s="5367" t="str">
        <f t="shared" si="30"/>
        <v>MV11</v>
      </c>
      <c r="D49" s="6109"/>
      <c r="E49" s="6113"/>
      <c r="F49" s="6109"/>
      <c r="G49" s="4636">
        <v>29</v>
      </c>
      <c r="H49" s="10167"/>
      <c r="I49" s="10158"/>
      <c r="J49" s="6893" t="s">
        <v>611</v>
      </c>
      <c r="K49" s="4751">
        <v>8300</v>
      </c>
      <c r="L49" s="8605" t="s">
        <v>478</v>
      </c>
      <c r="M49" s="10202"/>
      <c r="N49" s="4507"/>
      <c r="O49" s="4507"/>
      <c r="P49" s="4697" t="s">
        <v>472</v>
      </c>
      <c r="Q49" s="281" t="s">
        <v>98</v>
      </c>
      <c r="R49" s="4697" t="str">
        <f>+IF(ISERROR(MATCH(X49,epa_id,0)),"",IF(X49="","",IF(VLOOKUP(MATCH(X49,epa_id,0),epa,'A1(epa)'!$S$17,FALSE)="","",VLOOKUP(MATCH(X49,epa_id,0),epa,'A1(epa)'!$S$17,FALSE))))</f>
        <v/>
      </c>
      <c r="S49" s="308" t="str">
        <f>+IF(ISERROR(MATCH(X49,epa_id,0)),"",IF(X49="","",IF(VLOOKUP(MATCH(X49,epa_id,0),epa,'A1(epa)'!$R$17,FALSE)="","",VLOOKUP(MATCH(X49,epa_id,0),epa,'A1(epa)'!$R$17,FALSE))))</f>
        <v/>
      </c>
      <c r="T49" s="6072" t="s">
        <v>99</v>
      </c>
      <c r="U49" s="4503">
        <v>2</v>
      </c>
      <c r="V49" s="4503">
        <v>1</v>
      </c>
      <c r="W49" s="4503">
        <f t="shared" si="34"/>
        <v>17</v>
      </c>
      <c r="X49" s="4696" t="str">
        <f t="shared" si="5"/>
        <v>8300-17</v>
      </c>
      <c r="Y49" s="4698" t="s">
        <v>1511</v>
      </c>
      <c r="Z49" s="8594"/>
      <c r="AA49" s="4699"/>
      <c r="AB49" s="4699"/>
      <c r="AC49" s="4700" t="s">
        <v>979</v>
      </c>
      <c r="AD49" s="4690" t="s">
        <v>1552</v>
      </c>
      <c r="AE49" s="4701"/>
      <c r="AF49" s="390"/>
      <c r="AG49" s="391"/>
      <c r="AH49" s="392"/>
      <c r="AI49" s="4799"/>
      <c r="AJ49" s="4800"/>
      <c r="AK49" s="4801"/>
      <c r="AL49" s="4802" t="s">
        <v>806</v>
      </c>
      <c r="AM49" s="4803" t="s">
        <v>1556</v>
      </c>
      <c r="AN49" s="4804"/>
      <c r="AO49" s="4804">
        <v>41790</v>
      </c>
      <c r="AP49" s="4804">
        <v>40658</v>
      </c>
      <c r="AQ49" s="4804"/>
      <c r="AR49" s="4804"/>
      <c r="AS49" s="4804"/>
      <c r="AT49" s="4800"/>
      <c r="AU49" s="4800"/>
      <c r="AV49" s="393"/>
      <c r="AW49" s="393"/>
      <c r="AX49" s="393"/>
      <c r="AY49" s="394"/>
      <c r="AZ49" s="395"/>
      <c r="BA49" s="4839" t="s">
        <v>478</v>
      </c>
      <c r="BB49" s="4840">
        <f>+IF(AND(G49="",BA49=""),"",VLOOKUP(MATCH(BA49,tw,0),twn,'A4(twn)'!$D$12,FALSE))</f>
        <v>107</v>
      </c>
      <c r="BC49" s="4840" t="str">
        <f t="shared" si="17"/>
        <v xml:space="preserve"> -  / -  / 107 / - </v>
      </c>
      <c r="BD49" s="4507" t="s">
        <v>379</v>
      </c>
      <c r="BE49" s="4698" t="s">
        <v>244</v>
      </c>
      <c r="BF49" s="4841" t="str">
        <f t="shared" si="46"/>
        <v>NRG Energy, Inc</v>
      </c>
      <c r="BG49" s="4842" t="str">
        <f>+IF(OR(X49="",ISERROR(MATCH(X49,epa_id,0))),"",VLOOKUP(MATCH(X49,epa_id,0),epa,'A1(epa)'!$AH$17,FALSE))</f>
        <v/>
      </c>
      <c r="BH49" s="4510"/>
      <c r="BI49" s="4510"/>
      <c r="BJ49" s="6136"/>
      <c r="BK49" s="396"/>
      <c r="BL49" s="397" t="s">
        <v>522</v>
      </c>
      <c r="BM49" s="6145" t="s">
        <v>1517</v>
      </c>
      <c r="BN49" s="397" t="s">
        <v>611</v>
      </c>
      <c r="BO49" s="396" t="s">
        <v>523</v>
      </c>
      <c r="BP49" s="398" t="s">
        <v>524</v>
      </c>
      <c r="BQ49" s="396"/>
      <c r="BR49" s="396"/>
      <c r="BS49" s="304" t="s">
        <v>525</v>
      </c>
      <c r="BT49" s="396"/>
      <c r="BU49" s="396"/>
      <c r="BV49" s="399"/>
      <c r="BW49" s="4853" t="s">
        <v>790</v>
      </c>
      <c r="BX49" s="396" t="s">
        <v>522</v>
      </c>
      <c r="BY49" s="396"/>
      <c r="BZ49" s="396"/>
      <c r="CA49" s="396"/>
      <c r="CB49" s="396"/>
      <c r="CC49" s="400"/>
      <c r="CD49" s="397"/>
      <c r="CE49" s="396"/>
      <c r="CF49" s="4377" t="s">
        <v>110</v>
      </c>
      <c r="CG49" s="4377"/>
      <c r="CH49" s="4865" t="str">
        <f>+IF(ISERROR(MATCH(X49,epa_id,0)),"",IF(X49="","",IF(VLOOKUP(MATCH(X49,epa_id,0),epa,'A1(epa)'!$AE$17,FALSE)="","",VLOOKUP(MATCH(X49,epa_id,0),epa,'A1(epa)'!$AE$17,FALSE))))</f>
        <v/>
      </c>
      <c r="CI49" s="4866" t="s">
        <v>944</v>
      </c>
      <c r="CJ49" s="4866" t="str">
        <f>+IF(ISERROR(MATCH(X49,epa_id,0)),"",IF(X49="","",IF(VLOOKUP(MATCH(X49,epa_id,0),epa,'A1(epa)'!$AF$17,FALSE)="","",VLOOKUP(MATCH(X49,epa_id,0),epa,'A1(epa)'!$AF$17,FALSE))))</f>
        <v/>
      </c>
      <c r="CK49" s="8559" t="str">
        <f>+IF(ISERROR(MATCH(X49,epa_id,0)),"",IF(X49="","",IF(VLOOKUP(MATCH(X49,epa_id,0),epa,'A1(epa)'!$AG$17,FALSE)="","",VLOOKUP(MATCH(X49,epa_id,0),epa,'A1(epa)'!$AG$17,FALSE))))</f>
        <v/>
      </c>
      <c r="CL49" s="4372" t="s">
        <v>112</v>
      </c>
      <c r="CM49" s="4373"/>
      <c r="CN49" s="4908"/>
      <c r="CO49" s="4803" t="s">
        <v>101</v>
      </c>
      <c r="CP49" s="4803" t="s">
        <v>102</v>
      </c>
      <c r="CQ49" s="4909"/>
      <c r="CR49" s="4910" t="s">
        <v>100</v>
      </c>
      <c r="CS49" s="4910"/>
      <c r="CT49" s="8592">
        <v>2.75</v>
      </c>
      <c r="CU49" s="10164"/>
      <c r="CV49" s="4911"/>
      <c r="CW49" s="4912" t="s">
        <v>96</v>
      </c>
      <c r="CX49" s="4970">
        <v>2.7</v>
      </c>
      <c r="CY49" s="4971" t="s">
        <v>80</v>
      </c>
      <c r="CZ49" s="4972">
        <v>2.7</v>
      </c>
      <c r="DA49" s="4973" t="s">
        <v>81</v>
      </c>
      <c r="DB49" s="4799" t="s">
        <v>391</v>
      </c>
      <c r="DC49" s="4974">
        <v>1966</v>
      </c>
      <c r="DD49" s="4975">
        <v>24122</v>
      </c>
      <c r="DE49" s="4976">
        <f t="shared" ca="1" si="32"/>
        <v>48.483399491406196</v>
      </c>
      <c r="DF49" s="4973"/>
      <c r="DG49" s="5104" t="s">
        <v>103</v>
      </c>
      <c r="DH49" s="4910" t="s">
        <v>451</v>
      </c>
      <c r="DI49" s="4910" t="str">
        <f>+DI48</f>
        <v>0.05% sulfur distillate oil</v>
      </c>
      <c r="DJ49" s="6072"/>
      <c r="DK49" s="6072"/>
      <c r="DL49" s="6072"/>
      <c r="DM49" s="6072"/>
      <c r="DN49" s="5018"/>
      <c r="DO49" s="6072"/>
      <c r="DP49" s="5019"/>
      <c r="DQ49" s="5020"/>
      <c r="DR49" s="6072"/>
      <c r="DS49" s="6072"/>
      <c r="DT49" s="6072"/>
      <c r="DU49" s="6072"/>
      <c r="DV49" s="5018"/>
      <c r="DW49" s="6072"/>
      <c r="DX49" s="5019"/>
      <c r="DY49" s="5020"/>
      <c r="DZ49" s="6072"/>
      <c r="EA49" s="6072"/>
      <c r="EB49" s="6072"/>
      <c r="EC49" s="6072"/>
      <c r="ED49" s="5018"/>
      <c r="EE49" s="6072"/>
      <c r="EF49" s="5021"/>
      <c r="EG49" s="5049" t="s">
        <v>185</v>
      </c>
      <c r="EH49" s="6212">
        <v>29</v>
      </c>
      <c r="EI49" s="5050">
        <v>1.93</v>
      </c>
      <c r="EJ49" s="5051"/>
      <c r="EK49" s="5051" t="s">
        <v>920</v>
      </c>
      <c r="EL49" s="5050">
        <v>2.96</v>
      </c>
      <c r="EM49" s="5050"/>
      <c r="EN49" s="5050"/>
      <c r="EO49" s="5050"/>
      <c r="EP49" s="5050"/>
      <c r="EQ49" s="5050">
        <v>2.35</v>
      </c>
      <c r="ER49" s="5058"/>
      <c r="ES49" s="5058"/>
      <c r="ET49" s="6213">
        <v>0.15</v>
      </c>
      <c r="EU49" s="5058"/>
      <c r="EV49" s="5022"/>
      <c r="EW49" s="5081"/>
      <c r="EX49" s="5058"/>
      <c r="EY49" s="5058"/>
      <c r="EZ49" s="5082">
        <v>38952</v>
      </c>
      <c r="FA49" s="5082">
        <v>40778</v>
      </c>
      <c r="FB49" s="5083">
        <f>+(FA49-EZ49)/365.25</f>
        <v>4.9993155373032172</v>
      </c>
      <c r="FC49" s="5023"/>
      <c r="FD49" s="6214"/>
      <c r="FE49" s="6215"/>
      <c r="FF49" s="6216"/>
      <c r="FG49" s="6217"/>
      <c r="FH49" s="6217"/>
      <c r="FI49" s="6218"/>
      <c r="FJ49" s="6214"/>
      <c r="FK49" s="6215"/>
      <c r="FL49" s="6216"/>
      <c r="FM49" s="6217"/>
      <c r="FN49" s="6217"/>
      <c r="FO49" s="6218"/>
      <c r="FP49" s="5104" t="s">
        <v>312</v>
      </c>
      <c r="FQ49" s="4993"/>
      <c r="FR49" s="5115" t="s">
        <v>979</v>
      </c>
      <c r="FS49" s="4993"/>
      <c r="FT49" s="4993"/>
      <c r="FU49" s="4993"/>
      <c r="FV49" s="4973" t="s">
        <v>185</v>
      </c>
      <c r="FW49" s="6333">
        <v>2010</v>
      </c>
      <c r="FX49" s="6277">
        <v>163.6</v>
      </c>
      <c r="FY49" s="6277">
        <v>113.5</v>
      </c>
      <c r="FZ49" s="6277">
        <v>50.1</v>
      </c>
      <c r="GA49" s="6277">
        <f t="shared" si="47"/>
        <v>163.6</v>
      </c>
      <c r="GB49" s="6359" t="str">
        <f t="shared" si="36"/>
        <v/>
      </c>
      <c r="GC49" s="6277"/>
      <c r="GD49" s="8612"/>
      <c r="GE49" s="6335"/>
      <c r="GF49" s="8612"/>
      <c r="GG49" s="8612"/>
      <c r="GH49" s="8612"/>
      <c r="GI49" s="8612"/>
      <c r="GJ49" s="6336">
        <v>1.6E-2</v>
      </c>
      <c r="GK49" s="6333">
        <v>2009</v>
      </c>
      <c r="GL49" s="6334">
        <v>133.4</v>
      </c>
      <c r="GM49" s="6334">
        <v>20.399999999999999</v>
      </c>
      <c r="GN49" s="6334">
        <v>89.6</v>
      </c>
      <c r="GO49" s="6334">
        <f t="shared" si="38"/>
        <v>110</v>
      </c>
      <c r="GP49" s="6334"/>
      <c r="GQ49" s="6334"/>
      <c r="GR49" s="8612"/>
      <c r="GS49" s="6335" t="str">
        <f t="shared" si="40"/>
        <v/>
      </c>
      <c r="GT49" s="8612"/>
      <c r="GU49" s="6335" t="str">
        <f t="shared" si="41"/>
        <v/>
      </c>
      <c r="GV49" s="8612"/>
      <c r="GW49" s="8612"/>
      <c r="GX49" s="6336">
        <v>1.6E-2</v>
      </c>
      <c r="GY49" s="6276">
        <f>+(FX49+GL49)/2</f>
        <v>148.5</v>
      </c>
      <c r="GZ49" s="6277">
        <f t="shared" si="42"/>
        <v>148.5</v>
      </c>
      <c r="HA49" s="6277"/>
      <c r="HB49" s="6277"/>
      <c r="HC49" s="6277"/>
      <c r="HD49" s="6277"/>
      <c r="HE49" s="6277"/>
      <c r="HF49" s="6278" t="str">
        <f>+IF((GD49+GR49)/2=0,"",(GD49+GR49)/2)</f>
        <v/>
      </c>
      <c r="HG49" s="6278"/>
      <c r="HH49" s="6279">
        <f t="shared" si="13"/>
        <v>1.93</v>
      </c>
      <c r="HI49" s="6279">
        <f t="shared" si="14"/>
        <v>2.96</v>
      </c>
      <c r="HJ49" s="6279">
        <v>2.96</v>
      </c>
      <c r="HK49" s="6279"/>
      <c r="HL49" s="10223"/>
      <c r="HM49" s="8609">
        <f>+HL48/U49</f>
        <v>6</v>
      </c>
      <c r="HN49" s="6280"/>
      <c r="HO49" s="5357"/>
    </row>
    <row r="50" spans="1:223" s="6124" customFormat="1" ht="25.5" customHeight="1">
      <c r="A50" s="5362" t="str">
        <f t="shared" ref="A50:A56" si="49">+X50</f>
        <v>8306-01</v>
      </c>
      <c r="B50" s="9570" t="str">
        <f>+J50</f>
        <v>NRG</v>
      </c>
      <c r="C50" s="5363" t="str">
        <f t="shared" ref="C50:C56" si="50">+Q50</f>
        <v>MD2</v>
      </c>
      <c r="D50" s="6109"/>
      <c r="E50" s="6113"/>
      <c r="F50" s="6109"/>
      <c r="G50" s="4636">
        <v>30</v>
      </c>
      <c r="H50" s="5209">
        <v>16</v>
      </c>
      <c r="I50" s="10174" t="s">
        <v>473</v>
      </c>
      <c r="J50" s="4752" t="s">
        <v>611</v>
      </c>
      <c r="K50" s="5210">
        <v>8306</v>
      </c>
      <c r="L50" s="87" t="s">
        <v>500</v>
      </c>
      <c r="M50" s="87" t="s">
        <v>2088</v>
      </c>
      <c r="N50" s="5211" t="s">
        <v>378</v>
      </c>
      <c r="O50" s="5211"/>
      <c r="P50" s="5213" t="s">
        <v>364</v>
      </c>
      <c r="Q50" s="5214" t="s">
        <v>1195</v>
      </c>
      <c r="R50" s="5213" t="str">
        <f>+IF(ISERROR(MATCH(X50,epa_id,0)),"",IF(X50="","",IF(VLOOKUP(MATCH(X50,epa_id,0),epa,'A1(epa)'!$S$17,FALSE)="","",VLOOKUP(MATCH(X50,epa_id,0),epa,'A1(epa)'!$S$17,FALSE))))</f>
        <v>2</v>
      </c>
      <c r="S50" s="5212">
        <f>+IF(ISERROR(MATCH(X50,epa_id,0)),"",IF(X50="","",IF(VLOOKUP(MATCH(X50,epa_id,0),epa,'A1(epa)'!$R$17,FALSE)="","",VLOOKUP(MATCH(X50,epa_id,0),epa,'A1(epa)'!$R$17,FALSE))))</f>
        <v>562</v>
      </c>
      <c r="T50" s="5215" t="s">
        <v>544</v>
      </c>
      <c r="U50" s="5216">
        <v>1</v>
      </c>
      <c r="V50" s="5216">
        <v>1</v>
      </c>
      <c r="W50" s="5216">
        <v>1</v>
      </c>
      <c r="X50" s="5217" t="str">
        <f t="shared" si="5"/>
        <v>8306-01</v>
      </c>
      <c r="Y50" s="5218" t="s">
        <v>1512</v>
      </c>
      <c r="Z50" s="5209" t="s">
        <v>811</v>
      </c>
      <c r="AA50" s="5108" t="s">
        <v>371</v>
      </c>
      <c r="AB50" s="5216"/>
      <c r="AC50" s="5219"/>
      <c r="AD50" s="5220" t="str">
        <f>+AA50</f>
        <v>R-104-0098</v>
      </c>
      <c r="AE50" s="5221"/>
      <c r="AF50" s="5222"/>
      <c r="AG50" s="8566"/>
      <c r="AH50" s="5223"/>
      <c r="AI50" s="5224"/>
      <c r="AJ50" s="5225"/>
      <c r="AK50" s="5226"/>
      <c r="AL50" s="5227" t="s">
        <v>806</v>
      </c>
      <c r="AM50" s="5228" t="s">
        <v>1554</v>
      </c>
      <c r="AN50" s="5229"/>
      <c r="AO50" s="5229"/>
      <c r="AP50" s="5229"/>
      <c r="AQ50" s="5229"/>
      <c r="AR50" s="5229"/>
      <c r="AS50" s="5229"/>
      <c r="AT50" s="5225"/>
      <c r="AU50" s="5225"/>
      <c r="AV50" s="5230"/>
      <c r="AW50" s="5230"/>
      <c r="AX50" s="5230"/>
      <c r="AY50" s="5231"/>
      <c r="AZ50" s="5232"/>
      <c r="BA50" s="5233" t="s">
        <v>500</v>
      </c>
      <c r="BB50" s="602">
        <f>+IF(AND(G50="",BA50=""),"",VLOOKUP(MATCH(BA50,tw,0),twn,'A4(twn)'!$D$12,FALSE))</f>
        <v>104</v>
      </c>
      <c r="BC50" s="602" t="str">
        <f t="shared" si="17"/>
        <v xml:space="preserve"> -  / -  / 104 / - </v>
      </c>
      <c r="BD50" s="5211" t="s">
        <v>500</v>
      </c>
      <c r="BE50" s="5218"/>
      <c r="BF50" s="5234" t="s">
        <v>473</v>
      </c>
      <c r="BG50" s="5235" t="str">
        <f>+IF(OR(X50="",ISERROR(MATCH(X50,epa_id,0))),"",VLOOKUP(MATCH(X50,epa_id,0),epa,'A1(epa)'!$AH$17,FALSE))</f>
        <v>Middletown Power, LLC (Owner/Operator)</v>
      </c>
      <c r="BH50" s="5236"/>
      <c r="BI50" s="5236"/>
      <c r="BJ50" s="6137"/>
      <c r="BK50" s="5237"/>
      <c r="BL50" s="5238" t="s">
        <v>522</v>
      </c>
      <c r="BM50" s="6146" t="s">
        <v>1517</v>
      </c>
      <c r="BN50" s="5238" t="s">
        <v>611</v>
      </c>
      <c r="BO50" s="5240" t="s">
        <v>523</v>
      </c>
      <c r="BP50" s="5240" t="s">
        <v>524</v>
      </c>
      <c r="BQ50" s="5240"/>
      <c r="BR50" s="5240"/>
      <c r="BS50" s="5239" t="s">
        <v>525</v>
      </c>
      <c r="BT50" s="5237"/>
      <c r="BU50" s="5237"/>
      <c r="BV50" s="5241"/>
      <c r="BW50" s="5242" t="s">
        <v>790</v>
      </c>
      <c r="BX50" s="5237"/>
      <c r="BY50" s="5237"/>
      <c r="BZ50" s="5237"/>
      <c r="CA50" s="5237"/>
      <c r="CB50" s="5237"/>
      <c r="CC50" s="5243"/>
      <c r="CD50" s="5238"/>
      <c r="CE50" s="5237"/>
      <c r="CF50" s="5244"/>
      <c r="CG50" s="5244"/>
      <c r="CH50" s="5245" t="str">
        <f>+IF(ISERROR(MATCH(X50,epa_id,0)),"",IF(X50="","",IF(VLOOKUP(MATCH(X50,epa_id,0),epa,'A1(epa)'!$AE$17,FALSE)="","",VLOOKUP(MATCH(X50,epa_id,0),epa,'A1(epa)'!$AE$17,FALSE))))</f>
        <v>Electric Utility</v>
      </c>
      <c r="CI50" s="5246" t="s">
        <v>944</v>
      </c>
      <c r="CJ50" s="5246" t="str">
        <f>+IF(ISERROR(MATCH(X50,epa_id,0)),"",IF(X50="","",IF(VLOOKUP(MATCH(X50,epa_id,0),epa,'A1(epa)'!$AF$17,FALSE)="","",VLOOKUP(MATCH(X50,epa_id,0),epa,'A1(epa)'!$AF$17,FALSE))))</f>
        <v>4911</v>
      </c>
      <c r="CK50" s="5108" t="str">
        <f>+IF(ISERROR(MATCH(X50,epa_id,0)),"",IF(X50="","",IF(VLOOKUP(MATCH(X50,epa_id,0),epa,'A1(epa)'!$AG$17,FALSE)="","",VLOOKUP(MATCH(X50,epa_id,0),epa,'A1(epa)'!$AG$17,FALSE))))</f>
        <v>Electric Services</v>
      </c>
      <c r="CL50" s="5247"/>
      <c r="CM50" s="5248"/>
      <c r="CN50" s="5249"/>
      <c r="CO50" s="5250" t="s">
        <v>1113</v>
      </c>
      <c r="CP50" s="5250" t="s">
        <v>6</v>
      </c>
      <c r="CQ50" s="5251"/>
      <c r="CR50" s="5252" t="s">
        <v>1114</v>
      </c>
      <c r="CS50" s="5252"/>
      <c r="CT50" s="5253">
        <v>120</v>
      </c>
      <c r="CU50" s="10165">
        <f>+SUM(CT50:CT52)+CT41+177</f>
        <v>953</v>
      </c>
      <c r="CV50" s="5254">
        <v>1295</v>
      </c>
      <c r="CW50" s="5255" t="s">
        <v>1111</v>
      </c>
      <c r="CX50" s="5256">
        <v>117</v>
      </c>
      <c r="CY50" s="5257" t="s">
        <v>80</v>
      </c>
      <c r="CZ50" s="5258">
        <v>120</v>
      </c>
      <c r="DA50" s="5259" t="s">
        <v>81</v>
      </c>
      <c r="DB50" s="5224"/>
      <c r="DC50" s="5260"/>
      <c r="DD50" s="5260"/>
      <c r="DE50" s="5260"/>
      <c r="DF50" s="5276"/>
      <c r="DG50" s="5261" t="s">
        <v>1557</v>
      </c>
      <c r="DH50" s="5252" t="s">
        <v>1119</v>
      </c>
      <c r="DI50" s="5252" t="s">
        <v>1102</v>
      </c>
      <c r="DJ50" s="5215"/>
      <c r="DK50" s="5215"/>
      <c r="DL50" s="5215"/>
      <c r="DM50" s="5215"/>
      <c r="DN50" s="5262"/>
      <c r="DO50" s="5215"/>
      <c r="DP50" s="5263">
        <v>0.25</v>
      </c>
      <c r="DQ50" s="5264" t="s">
        <v>1124</v>
      </c>
      <c r="DR50" s="5215" t="s">
        <v>1103</v>
      </c>
      <c r="DS50" s="5215"/>
      <c r="DT50" s="5215"/>
      <c r="DU50" s="5215"/>
      <c r="DV50" s="5262"/>
      <c r="DW50" s="5215"/>
      <c r="DX50" s="5263">
        <v>0.2</v>
      </c>
      <c r="DY50" s="5264" t="s">
        <v>499</v>
      </c>
      <c r="DZ50" s="5215"/>
      <c r="EA50" s="5215"/>
      <c r="EB50" s="5215"/>
      <c r="EC50" s="5215"/>
      <c r="ED50" s="5262"/>
      <c r="EE50" s="5215" t="s">
        <v>0</v>
      </c>
      <c r="EF50" s="5265">
        <v>0.2</v>
      </c>
      <c r="EG50" s="5266"/>
      <c r="EH50" s="6219">
        <v>1295</v>
      </c>
      <c r="EI50" s="5267"/>
      <c r="EJ50" s="5268"/>
      <c r="EK50" s="5268"/>
      <c r="EL50" s="5267">
        <v>0.18</v>
      </c>
      <c r="EM50" s="5267"/>
      <c r="EN50" s="5267">
        <v>0.15</v>
      </c>
      <c r="EO50" s="5267"/>
      <c r="EP50" s="5267" t="s">
        <v>1197</v>
      </c>
      <c r="EQ50" s="5267">
        <v>0.25</v>
      </c>
      <c r="ER50" s="5269"/>
      <c r="ES50" s="5269" t="s">
        <v>1</v>
      </c>
      <c r="ET50" s="6220"/>
      <c r="EU50" s="5269"/>
      <c r="EV50" s="5270"/>
      <c r="EW50" s="5271">
        <v>0.15</v>
      </c>
      <c r="EX50" s="5269"/>
      <c r="EY50" s="5269" t="s">
        <v>1106</v>
      </c>
      <c r="EZ50" s="5252"/>
      <c r="FA50" s="5252"/>
      <c r="FB50" s="5272"/>
      <c r="FC50" s="5273"/>
      <c r="FD50" s="6221">
        <f>+IF(X50="","",IF(2010-VLOOKUP(MATCH(X50,eyr_id,0),eyr,'A1(epa)'!$U$17,FALSE)=0,IF(VLOOKUP(MATCH(X50,eyr_id,0),eyr,'A1(epa)'!$U$17,FALSE)=0,"",VLOOKUP(MATCH(X50,eyr_id,0),eyr,'A1(epa)'!$U$17,FALSE))))</f>
        <v>2010</v>
      </c>
      <c r="FE50" s="6222">
        <f>+IF(X50="","",IF(2010-VLOOKUP(MATCH(X50,eyr_id,0),eyr,'A1(epa)'!$U$17,FALSE)=0,IF(VLOOKUP(MATCH(X50,eyr_id,0),eyr,'A1(epa)'!$X$17,FALSE)=0,"",VLOOKUP(MATCH(X50,eyr_id,0),eyr,'A1(epa)'!$X$17,FALSE))))</f>
        <v>12</v>
      </c>
      <c r="FF50" s="6223">
        <f>+IF(X50="","",IF(2010-VLOOKUP(MATCH(X50,eyr_id,0),eyr,'A1(epa)'!$U$17,FALSE)=0,IF(VLOOKUP(MATCH(X50,eyr_id,0),eyr,'A1(epa)'!$W$17,FALSE)=0,"",VLOOKUP(MATCH(X50,eyr_id,0),eyr,'A1(epa)'!$W$17,FALSE))))</f>
        <v>2181</v>
      </c>
      <c r="FG50" s="6224">
        <f>+IF(X50="","",IF(2010-VLOOKUP(MATCH(X50,eyr_id,0),eyr,'A1(epa)'!$U$17,FALSE)=0,IF(VLOOKUP(MATCH(X50,eyr_id,0),eyr,'A1(epa)'!$AC$17,FALSE)=0,"",VLOOKUP(MATCH(X50,eyr_id,0),eyr,'A1(epa)'!$AC$17,FALSE))))</f>
        <v>1620374</v>
      </c>
      <c r="FH50" s="6224">
        <f>+IF(X50="","",IF(2010-VLOOKUP(MATCH(X50,eyr_id,0),eyr,'A1(epa)'!$U$17,FALSE)=0,IF(VLOOKUP(MATCH(X50,eyr_id,0),eyr,'A1(epa)'!$Y$17,FALSE)=0,"",VLOOKUP(MATCH(X50,eyr_id,0),eyr,'A1(epa)'!$Y$17,FALSE))))</f>
        <v>124995</v>
      </c>
      <c r="FI50" s="6225">
        <f>+IF(X50="","",IF(2010-VLOOKUP(MATCH(X50,eyr_id,0),eyr,'A1(epa)'!$U$17,FALSE)=0,IF(VLOOKUP(MATCH(X50,eyr_id,0),eyr,'A1(epa)'!$AB$17,FALSE)=0,"",VLOOKUP(MATCH(X50,eyr_id,0),eyr,'A1(epa)'!$AB$17,FALSE))))</f>
        <v>107.3</v>
      </c>
      <c r="FJ50" s="6221">
        <f>+IF(X50="","",IF(2009-VLOOKUP(MATCH(X50,eyr_id,0)+1,eyr,'A1(epa)'!$U$17,FALSE)=0,IF(VLOOKUP(MATCH(X50,eyr_id,0)+1,eyr,'A1(epa)'!$U$17,FALSE)=0,"",VLOOKUP(MATCH(X50,eyr_id,0)+1,eyr,'A1(epa)'!$U$17,FALSE))))</f>
        <v>2009</v>
      </c>
      <c r="FK50" s="6222">
        <f>+IF(X50="","",IF(2009-VLOOKUP(MATCH(X50,eyr_id,0)+1,eyr,'A1(epa)'!$U$17,FALSE)=0,IF(VLOOKUP(MATCH(X50,eyr_id,0)+1,eyr,'A1(epa)'!$X$17,FALSE)=0,"",VLOOKUP(MATCH(X50,eyr_id,0)+1,eyr,'A1(epa)'!$X$17,FALSE))))</f>
        <v>12</v>
      </c>
      <c r="FL50" s="6223">
        <f>+IF(X50="","",IF(2009-VLOOKUP(MATCH(X50,eyr_id,0)+1,eyr,'A1(epa)'!$U$17,FALSE)=0,IF(VLOOKUP(MATCH(X50,eyr_id,0)+1,eyr,'A1(epa)'!$W$17,FALSE)=0,"",VLOOKUP(MATCH(X50,eyr_id,0)+1,eyr,'A1(epa)'!$W$17,FALSE))))</f>
        <v>1196</v>
      </c>
      <c r="FM50" s="6224">
        <f>+IF(X50="","",IF(2009-VLOOKUP(MATCH(X50,eyr_id,0)+1,eyr,'A1(epa)'!$U$17,FALSE)=0,IF(VLOOKUP(MATCH(X50,eyr_id,0)+1,eyr,'A1(epa)'!$AC$17,FALSE)=0,"",VLOOKUP(MATCH(X50,eyr_id,0)+1,eyr,'A1(epa)'!$AC$17,FALSE))))</f>
        <v>878712</v>
      </c>
      <c r="FN50" s="6224">
        <f>+IF(X50="","",IF(2009-VLOOKUP(MATCH(X50,eyr_id,0)+1,eyr,'A1(epa)'!$U$17,FALSE)=0,IF(VLOOKUP(MATCH(X50,eyr_id,0)+1,eyr,'A1(epa)'!$Y$17,FALSE)=0,"",VLOOKUP(MATCH(X50,eyr_id,0)+1,eyr,'A1(epa)'!$Y$17,FALSE))))</f>
        <v>66397</v>
      </c>
      <c r="FO50" s="6225">
        <f>+IF(X50="","",IF(2009-VLOOKUP(MATCH(X50,eyr_id,0)+1,eyr,'A1(epa)'!$U$17,FALSE)=0,IF(VLOOKUP(MATCH(X50,eyr_id,0)+1,eyr,'A1(epa)'!$AB$17,FALSE)=0,"",VLOOKUP(MATCH(X50,eyr_id,0)+1,eyr,'A1(epa)'!$AB$17,FALSE))))</f>
        <v>66.7</v>
      </c>
      <c r="FP50" s="125"/>
      <c r="FQ50" s="5274"/>
      <c r="FR50" s="5275" t="s">
        <v>979</v>
      </c>
      <c r="FS50" s="5274"/>
      <c r="FT50" s="5274"/>
      <c r="FU50" s="5274"/>
      <c r="FV50" s="5276"/>
      <c r="FW50" s="125">
        <v>2010</v>
      </c>
      <c r="FX50" s="6282">
        <v>1766.7</v>
      </c>
      <c r="FY50" s="6282">
        <v>1492.8</v>
      </c>
      <c r="FZ50" s="6282">
        <v>273.89999999999998</v>
      </c>
      <c r="GA50" s="6282">
        <f t="shared" ref="GA50:GA56" si="51">+FZ50+FY50</f>
        <v>1766.6999999999998</v>
      </c>
      <c r="GB50" s="6360" t="str">
        <f t="shared" si="36"/>
        <v>less -414 hrs than EPA-CAIROS report</v>
      </c>
      <c r="GC50" s="6282"/>
      <c r="GD50" s="6283">
        <v>1322860</v>
      </c>
      <c r="GE50" s="6339" t="str">
        <f t="shared" ref="GE50:GE59" si="52">+IF(OR(GD50="",FG50=""),"",IF(AND(ROUND(GD50/FG50,2)&lt;1.1,ROUND(GD50/FG50,2)&gt;0.9),"same as EPA-CAIROS report, within ±10%",IF(GD50/FG50&lt;1,"less "&amp;ROUND((GD50-FG50)/FG50,2)*100&amp;"% MMBtu/hr than EPA-CAIROS report","reported more "&amp;ROUND((GD50-FG50)/FG50,2)*100&amp;"% MMBtu/hr than EPA-CAIROS report")))</f>
        <v>less -18% MMBtu/hr than EPA-CAIROS report</v>
      </c>
      <c r="GF50" s="6283">
        <v>128043</v>
      </c>
      <c r="GG50" s="6339" t="str">
        <f t="shared" ref="GG50:GG59" si="53">+IF(OR(GF50="",FH50=""),"",IF(AND(ROUND(GF50/FH50,2)&lt;1.025,ROUND(GF50/FH50,2)&gt;0.975),"same as EPA-CAIROS report, within ±5%",IF(GF50/FH50&lt;1,"less "&amp;ROUND((GF50-FH50)/FH50,2)*100&amp;"% MWhr","more "&amp;ROUND((GF50-FH50)/FH50,2)*100&amp;"% MWhr than EPA-CAIROS report")))</f>
        <v>same as EPA-CAIROS report, within ±5%</v>
      </c>
      <c r="GH50" s="6283"/>
      <c r="GI50" s="6283"/>
      <c r="GJ50" s="6340">
        <v>0.125</v>
      </c>
      <c r="GK50" s="125">
        <v>2009</v>
      </c>
      <c r="GL50" s="6337">
        <v>895.5</v>
      </c>
      <c r="GM50" s="6337">
        <v>525.9</v>
      </c>
      <c r="GN50" s="6337">
        <v>369.6</v>
      </c>
      <c r="GO50" s="6337">
        <f t="shared" ref="GO50:GO56" si="54">+GN50+GM50</f>
        <v>895.5</v>
      </c>
      <c r="GP50" s="6338" t="str">
        <f t="shared" ref="GP50:GP59" si="55">+IF(OR(GL50="",FL50=""),"",IF(AND(ROUND(GL50/FL50,2)&lt;(FL50+1)/FL50,ROUND(GL50/FL50,2)&gt;(FL50-1)/FL50),"same as EPA-CAIROS report",IF(GL50/FL50&lt;1,"less "&amp;ROUND(GL50-FL50,0)&amp;" hrs than EPA-CAIROS report","more "&amp;ROUND(GL50-FL50,0)&amp;" hrs than EPA-CAIROS report")))</f>
        <v>less -301 hrs than EPA-CAIROS report</v>
      </c>
      <c r="GQ50" s="6337"/>
      <c r="GR50" s="6283">
        <v>712620</v>
      </c>
      <c r="GS50" s="6339" t="str">
        <f t="shared" si="40"/>
        <v>less -19% MMBtu/hr than EPA-CAIROS report</v>
      </c>
      <c r="GT50" s="6283">
        <v>66427</v>
      </c>
      <c r="GU50" s="6339" t="str">
        <f t="shared" si="41"/>
        <v>same as EPA-CAIROS report, within ±5%</v>
      </c>
      <c r="GV50" s="6283"/>
      <c r="GW50" s="6283"/>
      <c r="GX50" s="6340">
        <v>6.5000000000000002E-2</v>
      </c>
      <c r="GY50" s="6281">
        <f t="shared" ref="GY50:GY56" si="56">0.5*(GL50+FX50)</f>
        <v>1331.1</v>
      </c>
      <c r="GZ50" s="6282">
        <f t="shared" si="42"/>
        <v>1331.1</v>
      </c>
      <c r="HA50" s="6282"/>
      <c r="HB50" s="6282"/>
      <c r="HC50" s="6282"/>
      <c r="HD50" s="6283">
        <f>+IF((GD50+GR50)/2=0,"",(GD50+GR50)/2)</f>
        <v>1017740</v>
      </c>
      <c r="HE50" s="6283">
        <f t="shared" ref="HE50:HE56" si="57">+HD50*U50</f>
        <v>1017740</v>
      </c>
      <c r="HF50" s="6283">
        <f t="shared" ref="HF50:HF56" si="58">+HE50/U50</f>
        <v>1017740</v>
      </c>
      <c r="HG50" s="6283"/>
      <c r="HH50" s="6284" t="str">
        <f t="shared" si="13"/>
        <v/>
      </c>
      <c r="HI50" s="6284">
        <f t="shared" si="14"/>
        <v>0.18</v>
      </c>
      <c r="HJ50" s="6284">
        <f t="shared" ref="HJ50:HJ56" si="59">+HI50</f>
        <v>0.18</v>
      </c>
      <c r="HK50" s="6284"/>
      <c r="HL50" s="6285">
        <v>91.6</v>
      </c>
      <c r="HM50" s="6285">
        <f t="shared" ref="HM50:HM56" si="60">+HL50/U50</f>
        <v>91.6</v>
      </c>
      <c r="HN50" s="6286">
        <f t="shared" ref="HN50:HN56" si="61">+IF(OR(HI50="",HF50=""),"",HI50*HF50/2000)</f>
        <v>91.596599999999995</v>
      </c>
      <c r="HO50" s="6062"/>
    </row>
    <row r="51" spans="1:223" s="6124" customFormat="1" ht="25.5" customHeight="1">
      <c r="A51" s="5364" t="str">
        <f t="shared" si="49"/>
        <v>8306-02</v>
      </c>
      <c r="B51" s="9571"/>
      <c r="C51" s="5365" t="str">
        <f t="shared" si="50"/>
        <v>MD3 </v>
      </c>
      <c r="D51" s="6109"/>
      <c r="E51" s="6113"/>
      <c r="F51" s="6109"/>
      <c r="G51" s="4636">
        <v>31</v>
      </c>
      <c r="H51" s="4559">
        <v>17</v>
      </c>
      <c r="I51" s="10157"/>
      <c r="J51" s="5277" t="s">
        <v>611</v>
      </c>
      <c r="K51" s="5278">
        <v>8306</v>
      </c>
      <c r="L51" s="5109" t="s">
        <v>500</v>
      </c>
      <c r="M51" s="5109" t="s">
        <v>2089</v>
      </c>
      <c r="N51" s="5279" t="s">
        <v>378</v>
      </c>
      <c r="O51" s="5280"/>
      <c r="P51" s="5113" t="s">
        <v>365</v>
      </c>
      <c r="Q51" s="5282" t="s">
        <v>1087</v>
      </c>
      <c r="R51" s="5113" t="str">
        <f>+IF(ISERROR(MATCH(X51,epa_id,0)),"",IF(X51="","",IF(VLOOKUP(MATCH(X51,epa_id,0),epa,'A1(epa)'!$S$17,FALSE)="","",VLOOKUP(MATCH(X51,epa_id,0),epa,'A1(epa)'!$S$17,FALSE))))</f>
        <v>3</v>
      </c>
      <c r="S51" s="5281">
        <f>+IF(ISERROR(MATCH(X51,epa_id,0)),"",IF(X51="","",IF(VLOOKUP(MATCH(X51,epa_id,0),epa,'A1(epa)'!$R$17,FALSE)="","",VLOOKUP(MATCH(X51,epa_id,0),epa,'A1(epa)'!$R$17,FALSE))))</f>
        <v>562</v>
      </c>
      <c r="T51" s="5280" t="s">
        <v>544</v>
      </c>
      <c r="U51" s="5283">
        <v>1</v>
      </c>
      <c r="V51" s="5283">
        <v>1</v>
      </c>
      <c r="W51" s="5283">
        <f t="shared" ref="W51:W56" si="62">1+W50</f>
        <v>2</v>
      </c>
      <c r="X51" s="5284" t="str">
        <f t="shared" si="5"/>
        <v>8306-02</v>
      </c>
      <c r="Y51" s="4705" t="s">
        <v>1512</v>
      </c>
      <c r="Z51" s="4559" t="s">
        <v>811</v>
      </c>
      <c r="AA51" s="5110" t="s">
        <v>372</v>
      </c>
      <c r="AB51" s="5283"/>
      <c r="AC51" s="4669"/>
      <c r="AD51" s="4688" t="str">
        <f>+AA51</f>
        <v>R-104-0100</v>
      </c>
      <c r="AE51" s="5285"/>
      <c r="AF51" s="4567"/>
      <c r="AG51" s="5286"/>
      <c r="AH51" s="4583"/>
      <c r="AI51" s="4784"/>
      <c r="AJ51" s="5287"/>
      <c r="AK51" s="4786"/>
      <c r="AL51" s="4787" t="s">
        <v>806</v>
      </c>
      <c r="AM51" s="5288" t="s">
        <v>1554</v>
      </c>
      <c r="AN51" s="5289"/>
      <c r="AO51" s="5289"/>
      <c r="AP51" s="5289"/>
      <c r="AQ51" s="5289"/>
      <c r="AR51" s="5289"/>
      <c r="AS51" s="5289"/>
      <c r="AT51" s="5287"/>
      <c r="AU51" s="5287"/>
      <c r="AV51" s="5290"/>
      <c r="AW51" s="5290"/>
      <c r="AX51" s="5290"/>
      <c r="AY51" s="4566"/>
      <c r="AZ51" s="4589"/>
      <c r="BA51" s="5291" t="s">
        <v>500</v>
      </c>
      <c r="BB51" s="5292">
        <f>+IF(AND(G51="",BA51=""),"",VLOOKUP(MATCH(BA51,tw,0),twn,'A4(twn)'!$D$12,FALSE))</f>
        <v>104</v>
      </c>
      <c r="BC51" s="5292" t="str">
        <f t="shared" si="17"/>
        <v xml:space="preserve"> -  / -  / 104 / - </v>
      </c>
      <c r="BD51" s="5113" t="s">
        <v>500</v>
      </c>
      <c r="BE51" s="4705"/>
      <c r="BF51" s="5293" t="s">
        <v>473</v>
      </c>
      <c r="BG51" s="5280" t="str">
        <f>+IF(OR(X51="",ISERROR(MATCH(X51,epa_id,0))),"",VLOOKUP(MATCH(X51,epa_id,0),epa,'A1(epa)'!$AH$17,FALSE))</f>
        <v>Middletown Power, LLC (Owner/Operator)</v>
      </c>
      <c r="BH51" s="5283"/>
      <c r="BI51" s="5283"/>
      <c r="BJ51" s="6138"/>
      <c r="BK51" s="5294"/>
      <c r="BL51" s="5295" t="s">
        <v>522</v>
      </c>
      <c r="BM51" s="6147" t="s">
        <v>1517</v>
      </c>
      <c r="BN51" s="5295" t="s">
        <v>611</v>
      </c>
      <c r="BO51" s="5297" t="s">
        <v>523</v>
      </c>
      <c r="BP51" s="5297" t="s">
        <v>524</v>
      </c>
      <c r="BQ51" s="5297"/>
      <c r="BR51" s="5297"/>
      <c r="BS51" s="5296" t="s">
        <v>525</v>
      </c>
      <c r="BT51" s="5294"/>
      <c r="BU51" s="5294"/>
      <c r="BV51" s="4607"/>
      <c r="BW51" s="5298" t="s">
        <v>790</v>
      </c>
      <c r="BX51" s="5294"/>
      <c r="BY51" s="5294"/>
      <c r="BZ51" s="5294"/>
      <c r="CA51" s="5294"/>
      <c r="CB51" s="5294"/>
      <c r="CC51" s="5299"/>
      <c r="CD51" s="5295"/>
      <c r="CE51" s="5294"/>
      <c r="CF51" s="5300"/>
      <c r="CG51" s="5300"/>
      <c r="CH51" s="4867" t="str">
        <f>+IF(ISERROR(MATCH(X51,epa_id,0)),"",IF(X51="","",IF(VLOOKUP(MATCH(X51,epa_id,0),epa,'A1(epa)'!$AE$17,FALSE)="","",VLOOKUP(MATCH(X51,epa_id,0),epa,'A1(epa)'!$AE$17,FALSE))))</f>
        <v>Electric Utility</v>
      </c>
      <c r="CI51" s="5301" t="s">
        <v>944</v>
      </c>
      <c r="CJ51" s="5301" t="str">
        <f>+IF(ISERROR(MATCH(X51,epa_id,0)),"",IF(X51="","",IF(VLOOKUP(MATCH(X51,epa_id,0),epa,'A1(epa)'!$AF$17,FALSE)="","",VLOOKUP(MATCH(X51,epa_id,0),epa,'A1(epa)'!$AF$17,FALSE))))</f>
        <v>4911</v>
      </c>
      <c r="CK51" s="5110" t="str">
        <f>+IF(ISERROR(MATCH(X51,epa_id,0)),"",IF(X51="","",IF(VLOOKUP(MATCH(X51,epa_id,0),epa,'A1(epa)'!$AG$17,FALSE)="","",VLOOKUP(MATCH(X51,epa_id,0),epa,'A1(epa)'!$AG$17,FALSE))))</f>
        <v>Electric Services</v>
      </c>
      <c r="CL51" s="5296"/>
      <c r="CM51" s="4580"/>
      <c r="CN51" s="5302"/>
      <c r="CO51" s="5303" t="s">
        <v>551</v>
      </c>
      <c r="CP51" s="5303" t="s">
        <v>7</v>
      </c>
      <c r="CQ51" s="5304"/>
      <c r="CR51" s="5305" t="s">
        <v>1115</v>
      </c>
      <c r="CS51" s="5305"/>
      <c r="CT51" s="5306">
        <v>236</v>
      </c>
      <c r="CU51" s="10160"/>
      <c r="CV51" s="5307">
        <v>2370</v>
      </c>
      <c r="CW51" s="4903" t="s">
        <v>1111</v>
      </c>
      <c r="CX51" s="4978">
        <v>236</v>
      </c>
      <c r="CY51" s="4979" t="s">
        <v>80</v>
      </c>
      <c r="CZ51" s="5308">
        <v>245</v>
      </c>
      <c r="DA51" s="5309" t="s">
        <v>81</v>
      </c>
      <c r="DB51" s="4980"/>
      <c r="DC51" s="5304"/>
      <c r="DD51" s="5304"/>
      <c r="DE51" s="5304"/>
      <c r="DF51" s="4948"/>
      <c r="DG51" s="4982" t="s">
        <v>1557</v>
      </c>
      <c r="DH51" s="5305" t="s">
        <v>1119</v>
      </c>
      <c r="DI51" s="5305" t="s">
        <v>1102</v>
      </c>
      <c r="DJ51" s="5280"/>
      <c r="DK51" s="5280"/>
      <c r="DL51" s="5280"/>
      <c r="DM51" s="5280"/>
      <c r="DN51" s="5310"/>
      <c r="DO51" s="5280"/>
      <c r="DP51" s="5024">
        <v>0.43</v>
      </c>
      <c r="DQ51" s="5291" t="s">
        <v>1124</v>
      </c>
      <c r="DR51" s="5280" t="s">
        <v>1103</v>
      </c>
      <c r="DS51" s="5280"/>
      <c r="DT51" s="5280"/>
      <c r="DU51" s="5280"/>
      <c r="DV51" s="5310"/>
      <c r="DW51" s="5280"/>
      <c r="DX51" s="5024">
        <v>0.43</v>
      </c>
      <c r="DY51" s="5291" t="s">
        <v>499</v>
      </c>
      <c r="DZ51" s="5280"/>
      <c r="EA51" s="5280"/>
      <c r="EB51" s="5280"/>
      <c r="EC51" s="5280"/>
      <c r="ED51" s="5310"/>
      <c r="EE51" s="5280" t="s">
        <v>0</v>
      </c>
      <c r="EF51" s="5311">
        <v>0.43</v>
      </c>
      <c r="EG51" s="4982"/>
      <c r="EH51" s="6226">
        <v>2370</v>
      </c>
      <c r="EI51" s="5312"/>
      <c r="EJ51" s="5313"/>
      <c r="EK51" s="5313"/>
      <c r="EL51" s="5312">
        <v>0.27</v>
      </c>
      <c r="EM51" s="5312"/>
      <c r="EN51" s="5312">
        <v>0.27</v>
      </c>
      <c r="EO51" s="5312"/>
      <c r="EP51" s="5312" t="s">
        <v>1197</v>
      </c>
      <c r="EQ51" s="5312">
        <v>0.43</v>
      </c>
      <c r="ER51" s="5314"/>
      <c r="ES51" s="5314" t="s">
        <v>995</v>
      </c>
      <c r="ET51" s="6227"/>
      <c r="EU51" s="5314"/>
      <c r="EV51" s="5315"/>
      <c r="EW51" s="5316">
        <v>0.15</v>
      </c>
      <c r="EX51" s="5314"/>
      <c r="EY51" s="5314" t="s">
        <v>1106</v>
      </c>
      <c r="EZ51" s="5305"/>
      <c r="FA51" s="5305"/>
      <c r="FB51" s="5317"/>
      <c r="FC51" s="4875"/>
      <c r="FD51" s="6198">
        <f>+IF(X51="","",IF(2010-VLOOKUP(MATCH(X51,eyr_id,0),eyr,'A1(epa)'!$U$17,FALSE)=0,IF(VLOOKUP(MATCH(X51,eyr_id,0),eyr,'A1(epa)'!$U$17,FALSE)=0,"",VLOOKUP(MATCH(X51,eyr_id,0),eyr,'A1(epa)'!$U$17,FALSE))))</f>
        <v>2010</v>
      </c>
      <c r="FE51" s="6228">
        <f>+IF(X51="","",IF(2010-VLOOKUP(MATCH(X51,eyr_id,0),eyr,'A1(epa)'!$U$17,FALSE)=0,IF(VLOOKUP(MATCH(X51,eyr_id,0),eyr,'A1(epa)'!$X$17,FALSE)=0,"",VLOOKUP(MATCH(X51,eyr_id,0),eyr,'A1(epa)'!$X$17,FALSE))))</f>
        <v>12</v>
      </c>
      <c r="FF51" s="6229">
        <f>+IF(X51="","",IF(2010-VLOOKUP(MATCH(X51,eyr_id,0),eyr,'A1(epa)'!$U$17,FALSE)=0,IF(VLOOKUP(MATCH(X51,eyr_id,0),eyr,'A1(epa)'!$W$17,FALSE)=0,"",VLOOKUP(MATCH(X51,eyr_id,0),eyr,'A1(epa)'!$W$17,FALSE))))</f>
        <v>1173</v>
      </c>
      <c r="FG51" s="6202">
        <f>+IF(X51="","",IF(2010-VLOOKUP(MATCH(X51,eyr_id,0),eyr,'A1(epa)'!$U$17,FALSE)=0,IF(VLOOKUP(MATCH(X51,eyr_id,0),eyr,'A1(epa)'!$AC$17,FALSE)=0,"",VLOOKUP(MATCH(X51,eyr_id,0),eyr,'A1(epa)'!$AC$17,FALSE))))</f>
        <v>1937944</v>
      </c>
      <c r="FH51" s="6202">
        <f>+IF(X51="","",IF(2010-VLOOKUP(MATCH(X51,eyr_id,0),eyr,'A1(epa)'!$U$17,FALSE)=0,IF(VLOOKUP(MATCH(X51,eyr_id,0),eyr,'A1(epa)'!$Y$17,FALSE)=0,"",VLOOKUP(MATCH(X51,eyr_id,0),eyr,'A1(epa)'!$Y$17,FALSE))))</f>
        <v>151235</v>
      </c>
      <c r="FI51" s="6203">
        <f>+IF(X51="","",IF(2010-VLOOKUP(MATCH(X51,eyr_id,0),eyr,'A1(epa)'!$U$17,FALSE)=0,IF(VLOOKUP(MATCH(X51,eyr_id,0),eyr,'A1(epa)'!$AB$17,FALSE)=0,"",VLOOKUP(MATCH(X51,eyr_id,0),eyr,'A1(epa)'!$AB$17,FALSE))))</f>
        <v>213.4</v>
      </c>
      <c r="FJ51" s="6198">
        <f>+IF(X51="","",IF(2009-VLOOKUP(MATCH(X51,eyr_id,0)+1,eyr,'A1(epa)'!$U$17,FALSE)=0,IF(VLOOKUP(MATCH(X51,eyr_id,0)+1,eyr,'A1(epa)'!$U$17,FALSE)=0,"",VLOOKUP(MATCH(X51,eyr_id,0)+1,eyr,'A1(epa)'!$U$17,FALSE))))</f>
        <v>2009</v>
      </c>
      <c r="FK51" s="6228">
        <f>+IF(X51="","",IF(2009-VLOOKUP(MATCH(X51,eyr_id,0)+1,eyr,'A1(epa)'!$U$17,FALSE)=0,IF(VLOOKUP(MATCH(X51,eyr_id,0)+1,eyr,'A1(epa)'!$X$17,FALSE)=0,"",VLOOKUP(MATCH(X51,eyr_id,0)+1,eyr,'A1(epa)'!$X$17,FALSE))))</f>
        <v>12</v>
      </c>
      <c r="FL51" s="6229">
        <f>+IF(X51="","",IF(2009-VLOOKUP(MATCH(X51,eyr_id,0)+1,eyr,'A1(epa)'!$U$17,FALSE)=0,IF(VLOOKUP(MATCH(X51,eyr_id,0)+1,eyr,'A1(epa)'!$W$17,FALSE)=0,"",VLOOKUP(MATCH(X51,eyr_id,0)+1,eyr,'A1(epa)'!$W$17,FALSE))))</f>
        <v>500</v>
      </c>
      <c r="FM51" s="6202">
        <f>+IF(X51="","",IF(2009-VLOOKUP(MATCH(X51,eyr_id,0)+1,eyr,'A1(epa)'!$U$17,FALSE)=0,IF(VLOOKUP(MATCH(X51,eyr_id,0)+1,eyr,'A1(epa)'!$AC$17,FALSE)=0,"",VLOOKUP(MATCH(X51,eyr_id,0)+1,eyr,'A1(epa)'!$AC$17,FALSE))))</f>
        <v>754650</v>
      </c>
      <c r="FN51" s="6202">
        <f>+IF(X51="","",IF(2009-VLOOKUP(MATCH(X51,eyr_id,0)+1,eyr,'A1(epa)'!$U$17,FALSE)=0,IF(VLOOKUP(MATCH(X51,eyr_id,0)+1,eyr,'A1(epa)'!$Y$17,FALSE)=0,"",VLOOKUP(MATCH(X51,eyr_id,0)+1,eyr,'A1(epa)'!$Y$17,FALSE))))</f>
        <v>67712</v>
      </c>
      <c r="FO51" s="6203">
        <f>+IF(X51="","",IF(2009-VLOOKUP(MATCH(X51,eyr_id,0)+1,eyr,'A1(epa)'!$U$17,FALSE)=0,IF(VLOOKUP(MATCH(X51,eyr_id,0)+1,eyr,'A1(epa)'!$AB$17,FALSE)=0,"",VLOOKUP(MATCH(X51,eyr_id,0)+1,eyr,'A1(epa)'!$AB$17,FALSE))))</f>
        <v>105.1</v>
      </c>
      <c r="FP51" s="4982"/>
      <c r="FQ51" s="5305"/>
      <c r="FR51" s="5318" t="s">
        <v>979</v>
      </c>
      <c r="FS51" s="5305"/>
      <c r="FT51" s="5305"/>
      <c r="FU51" s="5305"/>
      <c r="FV51" s="4948"/>
      <c r="FW51" s="4806">
        <v>2010</v>
      </c>
      <c r="FX51" s="6264">
        <v>1040.5999999999999</v>
      </c>
      <c r="FY51" s="6264">
        <v>968.7</v>
      </c>
      <c r="FZ51" s="6264">
        <v>71.900000000000006</v>
      </c>
      <c r="GA51" s="6264">
        <f t="shared" si="51"/>
        <v>1040.6000000000001</v>
      </c>
      <c r="GB51" s="6355" t="str">
        <f t="shared" si="36"/>
        <v>less -132 hrs than EPA-CAIROS report</v>
      </c>
      <c r="GC51" s="6264"/>
      <c r="GD51" s="6265">
        <v>1731940</v>
      </c>
      <c r="GE51" s="6320" t="str">
        <f t="shared" si="52"/>
        <v>less -11% MMBtu/hr than EPA-CAIROS report</v>
      </c>
      <c r="GF51" s="6265">
        <v>150420</v>
      </c>
      <c r="GG51" s="6320" t="str">
        <f t="shared" si="53"/>
        <v>same as EPA-CAIROS report, within ±5%</v>
      </c>
      <c r="GH51" s="6265"/>
      <c r="GI51" s="6265"/>
      <c r="GJ51" s="6321">
        <v>7.2999999999999995E-2</v>
      </c>
      <c r="GK51" s="6341">
        <v>2009</v>
      </c>
      <c r="GL51" s="6319">
        <v>421.5</v>
      </c>
      <c r="GM51" s="6319">
        <v>257.8</v>
      </c>
      <c r="GN51" s="6319">
        <v>163.69999999999999</v>
      </c>
      <c r="GO51" s="6319">
        <f t="shared" si="54"/>
        <v>421.5</v>
      </c>
      <c r="GP51" s="6330" t="str">
        <f t="shared" si="55"/>
        <v>less -79 hrs than EPA-CAIROS report</v>
      </c>
      <c r="GQ51" s="6319"/>
      <c r="GR51" s="6265">
        <v>734600</v>
      </c>
      <c r="GS51" s="6320" t="str">
        <f>+IF(OR(GR51="",FM51=""),"",IF(AND(ROUND(GR51/FM51,2)&lt;1.1,ROUND(GR51/FM51,2)&gt;0.9),"same as EPA-CAIROS report, within ±10%",IF(GR51/FM51&lt;1,"less "&amp;ROUND((GR51-FM51)/FM51,2)*100&amp;"% MMBtu/hr than EPA-CAIROS report","reported more "&amp;ROUND((GR51-FM51)/FM51,2)*100&amp;"% MMBtu/hr than EPA-CAIROS report")))</f>
        <v>same as EPA-CAIROS report, within ±10%</v>
      </c>
      <c r="GT51" s="6265">
        <v>66412</v>
      </c>
      <c r="GU51" s="6320" t="str">
        <f t="shared" si="41"/>
        <v>same as EPA-CAIROS report, within ±5%</v>
      </c>
      <c r="GV51" s="6265"/>
      <c r="GW51" s="6265"/>
      <c r="GX51" s="6321">
        <v>3.2000000000000001E-2</v>
      </c>
      <c r="GY51" s="6287">
        <f t="shared" si="56"/>
        <v>731.05</v>
      </c>
      <c r="GZ51" s="6264">
        <f t="shared" si="42"/>
        <v>731.05</v>
      </c>
      <c r="HA51" s="6264"/>
      <c r="HB51" s="6264"/>
      <c r="HC51" s="6264"/>
      <c r="HD51" s="6265">
        <f t="shared" ref="HD51:HD56" si="63">+IF((GD51+GR51)/2=0,"",(GD51+GR51)/2)</f>
        <v>1233270</v>
      </c>
      <c r="HE51" s="6265">
        <f t="shared" si="57"/>
        <v>1233270</v>
      </c>
      <c r="HF51" s="6265">
        <f t="shared" si="58"/>
        <v>1233270</v>
      </c>
      <c r="HG51" s="6265"/>
      <c r="HH51" s="6266" t="str">
        <f t="shared" si="13"/>
        <v/>
      </c>
      <c r="HI51" s="6266">
        <f t="shared" si="14"/>
        <v>0.27</v>
      </c>
      <c r="HJ51" s="6266">
        <f t="shared" si="59"/>
        <v>0.27</v>
      </c>
      <c r="HK51" s="6266"/>
      <c r="HL51" s="6288">
        <v>166.49</v>
      </c>
      <c r="HM51" s="6288">
        <f t="shared" si="60"/>
        <v>166.49</v>
      </c>
      <c r="HN51" s="6289">
        <f>+IF(OR(HI51="",HF51=""),"",HI51*HF51/2000)</f>
        <v>166.49145000000001</v>
      </c>
      <c r="HO51" s="6062"/>
    </row>
    <row r="52" spans="1:223" s="6124" customFormat="1" ht="25.5" customHeight="1">
      <c r="A52" s="5364" t="str">
        <f t="shared" si="49"/>
        <v>8306-03</v>
      </c>
      <c r="B52" s="9616"/>
      <c r="C52" s="5365" t="str">
        <f t="shared" si="50"/>
        <v>MD4 </v>
      </c>
      <c r="D52" s="6109"/>
      <c r="E52" s="6113"/>
      <c r="F52" s="6109"/>
      <c r="G52" s="4636">
        <v>32</v>
      </c>
      <c r="H52" s="4559">
        <v>18</v>
      </c>
      <c r="I52" s="10194"/>
      <c r="J52" s="5277" t="s">
        <v>611</v>
      </c>
      <c r="K52" s="5278">
        <v>8306</v>
      </c>
      <c r="L52" s="5109" t="s">
        <v>500</v>
      </c>
      <c r="M52" s="5109" t="s">
        <v>2090</v>
      </c>
      <c r="N52" s="5279" t="s">
        <v>378</v>
      </c>
      <c r="O52" s="5280"/>
      <c r="P52" s="5113" t="s">
        <v>366</v>
      </c>
      <c r="Q52" s="5282" t="s">
        <v>1088</v>
      </c>
      <c r="R52" s="5113" t="str">
        <f>+IF(ISERROR(MATCH(X52,epa_id,0)),"",IF(X52="","",IF(VLOOKUP(MATCH(X52,epa_id,0),epa,'A1(epa)'!$S$17,FALSE)="","",VLOOKUP(MATCH(X52,epa_id,0),epa,'A1(epa)'!$S$17,FALSE))))</f>
        <v>4</v>
      </c>
      <c r="S52" s="5319">
        <f>+IF(ISERROR(MATCH(X52,epa_id,0)),"",IF(X52="","",IF(VLOOKUP(MATCH(X52,epa_id,0),epa,'A1(epa)'!$R$17,FALSE)="","",VLOOKUP(MATCH(X52,epa_id,0),epa,'A1(epa)'!$R$17,FALSE))))</f>
        <v>562</v>
      </c>
      <c r="T52" s="5280" t="s">
        <v>544</v>
      </c>
      <c r="U52" s="5283">
        <v>1</v>
      </c>
      <c r="V52" s="5283">
        <v>1</v>
      </c>
      <c r="W52" s="5283">
        <f t="shared" si="62"/>
        <v>3</v>
      </c>
      <c r="X52" s="5284" t="str">
        <f t="shared" si="5"/>
        <v>8306-03</v>
      </c>
      <c r="Y52" s="4705" t="s">
        <v>1512</v>
      </c>
      <c r="Z52" s="4559" t="s">
        <v>811</v>
      </c>
      <c r="AA52" s="5110" t="s">
        <v>494</v>
      </c>
      <c r="AB52" s="5283"/>
      <c r="AC52" s="4669"/>
      <c r="AD52" s="4688" t="str">
        <f>+AI52</f>
        <v>P-104-0003</v>
      </c>
      <c r="AE52" s="5285"/>
      <c r="AF52" s="4567"/>
      <c r="AG52" s="5286"/>
      <c r="AH52" s="4583"/>
      <c r="AI52" s="4805" t="s">
        <v>373</v>
      </c>
      <c r="AJ52" s="5287"/>
      <c r="AK52" s="4786"/>
      <c r="AL52" s="4787" t="s">
        <v>806</v>
      </c>
      <c r="AM52" s="5288" t="s">
        <v>1554</v>
      </c>
      <c r="AN52" s="5289"/>
      <c r="AO52" s="5289"/>
      <c r="AP52" s="5289"/>
      <c r="AQ52" s="5289"/>
      <c r="AR52" s="5289"/>
      <c r="AS52" s="5289"/>
      <c r="AT52" s="5287"/>
      <c r="AU52" s="5287"/>
      <c r="AV52" s="5290"/>
      <c r="AW52" s="5290"/>
      <c r="AX52" s="5290"/>
      <c r="AY52" s="4566"/>
      <c r="AZ52" s="4589"/>
      <c r="BA52" s="5291" t="s">
        <v>500</v>
      </c>
      <c r="BB52" s="5292">
        <f>+IF(AND(G52="",BA52=""),"",VLOOKUP(MATCH(BA52,tw,0),twn,'A4(twn)'!$D$12,FALSE))</f>
        <v>104</v>
      </c>
      <c r="BC52" s="5292" t="str">
        <f t="shared" si="17"/>
        <v xml:space="preserve"> -  / -  / 104 / - </v>
      </c>
      <c r="BD52" s="5113" t="s">
        <v>500</v>
      </c>
      <c r="BE52" s="4705"/>
      <c r="BF52" s="5293" t="s">
        <v>473</v>
      </c>
      <c r="BG52" s="5280" t="str">
        <f>+IF(OR(X52="",ISERROR(MATCH(X52,epa_id,0))),"",VLOOKUP(MATCH(X52,epa_id,0),epa,'A1(epa)'!$AH$17,FALSE))</f>
        <v>Middletown Power, LLC (Owner) / NRG Energy, Inc (Operator</v>
      </c>
      <c r="BH52" s="5283"/>
      <c r="BI52" s="5283"/>
      <c r="BJ52" s="6138"/>
      <c r="BK52" s="5294"/>
      <c r="BL52" s="5295" t="s">
        <v>522</v>
      </c>
      <c r="BM52" s="6147" t="s">
        <v>1517</v>
      </c>
      <c r="BN52" s="5295" t="s">
        <v>611</v>
      </c>
      <c r="BO52" s="5297" t="s">
        <v>523</v>
      </c>
      <c r="BP52" s="5297" t="s">
        <v>524</v>
      </c>
      <c r="BQ52" s="5297"/>
      <c r="BR52" s="5297"/>
      <c r="BS52" s="5296" t="s">
        <v>525</v>
      </c>
      <c r="BT52" s="5294"/>
      <c r="BU52" s="5294"/>
      <c r="BV52" s="4607"/>
      <c r="BW52" s="5298" t="s">
        <v>790</v>
      </c>
      <c r="BX52" s="5294"/>
      <c r="BY52" s="5294"/>
      <c r="BZ52" s="5294"/>
      <c r="CA52" s="5294"/>
      <c r="CB52" s="5294"/>
      <c r="CC52" s="5299"/>
      <c r="CD52" s="5295"/>
      <c r="CE52" s="5294"/>
      <c r="CF52" s="5300"/>
      <c r="CG52" s="5300"/>
      <c r="CH52" s="4867" t="str">
        <f>+IF(ISERROR(MATCH(X52,epa_id,0)),"",IF(X52="","",IF(VLOOKUP(MATCH(X52,epa_id,0),epa,'A1(epa)'!$AE$17,FALSE)="","",VLOOKUP(MATCH(X52,epa_id,0),epa,'A1(epa)'!$AE$17,FALSE))))</f>
        <v>Electric Utility</v>
      </c>
      <c r="CI52" s="5301" t="s">
        <v>944</v>
      </c>
      <c r="CJ52" s="5301" t="str">
        <f>+IF(ISERROR(MATCH(X52,epa_id,0)),"",IF(X52="","",IF(VLOOKUP(MATCH(X52,epa_id,0),epa,'A1(epa)'!$AF$17,FALSE)="","",VLOOKUP(MATCH(X52,epa_id,0),epa,'A1(epa)'!$AF$17,FALSE))))</f>
        <v>4911</v>
      </c>
      <c r="CK52" s="5110" t="str">
        <f>+IF(ISERROR(MATCH(X52,epa_id,0)),"",IF(X52="","",IF(VLOOKUP(MATCH(X52,epa_id,0),epa,'A1(epa)'!$AG$17,FALSE)="","",VLOOKUP(MATCH(X52,epa_id,0),epa,'A1(epa)'!$AG$17,FALSE))))</f>
        <v>Electric Services</v>
      </c>
      <c r="CL52" s="5296"/>
      <c r="CM52" s="4580"/>
      <c r="CN52" s="5302"/>
      <c r="CO52" s="5320" t="s">
        <v>592</v>
      </c>
      <c r="CP52" s="5303" t="s">
        <v>8</v>
      </c>
      <c r="CQ52" s="5304"/>
      <c r="CR52" s="5305" t="s">
        <v>1116</v>
      </c>
      <c r="CS52" s="5305"/>
      <c r="CT52" s="5306">
        <v>400</v>
      </c>
      <c r="CU52" s="10161"/>
      <c r="CV52" s="5307">
        <v>4684</v>
      </c>
      <c r="CW52" s="4903" t="s">
        <v>1111</v>
      </c>
      <c r="CX52" s="4978">
        <v>400</v>
      </c>
      <c r="CY52" s="4979" t="s">
        <v>80</v>
      </c>
      <c r="CZ52" s="5308">
        <v>402</v>
      </c>
      <c r="DA52" s="5309" t="s">
        <v>81</v>
      </c>
      <c r="DB52" s="4980"/>
      <c r="DC52" s="5304"/>
      <c r="DD52" s="5304"/>
      <c r="DE52" s="5304"/>
      <c r="DF52" s="4948"/>
      <c r="DG52" s="4982" t="s">
        <v>1558</v>
      </c>
      <c r="DH52" s="5305" t="s">
        <v>1117</v>
      </c>
      <c r="DI52" s="5305" t="s">
        <v>1102</v>
      </c>
      <c r="DJ52" s="5280"/>
      <c r="DK52" s="5280"/>
      <c r="DL52" s="5280"/>
      <c r="DM52" s="5280"/>
      <c r="DN52" s="5310"/>
      <c r="DO52" s="5280"/>
      <c r="DP52" s="5024">
        <v>0.25</v>
      </c>
      <c r="DQ52" s="5291" t="s">
        <v>1124</v>
      </c>
      <c r="DR52" s="5280" t="s">
        <v>1103</v>
      </c>
      <c r="DS52" s="5280"/>
      <c r="DT52" s="5280"/>
      <c r="DU52" s="5280"/>
      <c r="DV52" s="5310"/>
      <c r="DW52" s="5280"/>
      <c r="DX52" s="5024">
        <v>0.2</v>
      </c>
      <c r="DY52" s="5291"/>
      <c r="DZ52" s="5280"/>
      <c r="EA52" s="5280"/>
      <c r="EB52" s="5280"/>
      <c r="EC52" s="5280"/>
      <c r="ED52" s="5310"/>
      <c r="EE52" s="5280" t="s">
        <v>0</v>
      </c>
      <c r="EF52" s="5321"/>
      <c r="EG52" s="4982"/>
      <c r="EH52" s="6226">
        <v>4684</v>
      </c>
      <c r="EI52" s="5312"/>
      <c r="EJ52" s="5313"/>
      <c r="EK52" s="5313"/>
      <c r="EL52" s="5312">
        <v>0.28000000000000003</v>
      </c>
      <c r="EM52" s="5312"/>
      <c r="EN52" s="5322" t="s">
        <v>1193</v>
      </c>
      <c r="EO52" s="5322"/>
      <c r="EP52" s="5312" t="s">
        <v>1197</v>
      </c>
      <c r="EQ52" s="5312">
        <v>0.25</v>
      </c>
      <c r="ER52" s="5314"/>
      <c r="ES52" s="5314" t="s">
        <v>1559</v>
      </c>
      <c r="ET52" s="6227"/>
      <c r="EU52" s="5314"/>
      <c r="EV52" s="5315"/>
      <c r="EW52" s="5316">
        <v>0.15</v>
      </c>
      <c r="EX52" s="5314"/>
      <c r="EY52" s="5314" t="s">
        <v>1106</v>
      </c>
      <c r="EZ52" s="5305"/>
      <c r="FA52" s="5305"/>
      <c r="FB52" s="5317"/>
      <c r="FC52" s="4875"/>
      <c r="FD52" s="6198">
        <f>+IF(X52="","",IF(2010-VLOOKUP(MATCH(X52,eyr_id,0),eyr,'A1(epa)'!$U$17,FALSE)=0,IF(VLOOKUP(MATCH(X52,eyr_id,0),eyr,'A1(epa)'!$U$17,FALSE)=0,"",VLOOKUP(MATCH(X52,eyr_id,0),eyr,'A1(epa)'!$U$17,FALSE))))</f>
        <v>2010</v>
      </c>
      <c r="FE52" s="6228">
        <f>+IF(X52="","",IF(2010-VLOOKUP(MATCH(X52,eyr_id,0),eyr,'A1(epa)'!$U$17,FALSE)=0,IF(VLOOKUP(MATCH(X52,eyr_id,0),eyr,'A1(epa)'!$X$17,FALSE)=0,"",VLOOKUP(MATCH(X52,eyr_id,0),eyr,'A1(epa)'!$X$17,FALSE))))</f>
        <v>12</v>
      </c>
      <c r="FF52" s="6229">
        <f>+IF(X52="","",IF(2010-VLOOKUP(MATCH(X52,eyr_id,0),eyr,'A1(epa)'!$U$17,FALSE)=0,IF(VLOOKUP(MATCH(X52,eyr_id,0),eyr,'A1(epa)'!$W$17,FALSE)=0,"",VLOOKUP(MATCH(X52,eyr_id,0),eyr,'A1(epa)'!$W$17,FALSE))))</f>
        <v>510</v>
      </c>
      <c r="FG52" s="6202">
        <f>+IF(X52="","",IF(2010-VLOOKUP(MATCH(X52,eyr_id,0),eyr,'A1(epa)'!$U$17,FALSE)=0,IF(VLOOKUP(MATCH(X52,eyr_id,0),eyr,'A1(epa)'!$AC$17,FALSE)=0,"",VLOOKUP(MATCH(X52,eyr_id,0),eyr,'A1(epa)'!$AC$17,FALSE))))</f>
        <v>955986</v>
      </c>
      <c r="FH52" s="6202">
        <f>+IF(X52="","",IF(2010-VLOOKUP(MATCH(X52,eyr_id,0),eyr,'A1(epa)'!$U$17,FALSE)=0,IF(VLOOKUP(MATCH(X52,eyr_id,0),eyr,'A1(epa)'!$Y$17,FALSE)=0,"",VLOOKUP(MATCH(X52,eyr_id,0),eyr,'A1(epa)'!$Y$17,FALSE))))</f>
        <v>59969</v>
      </c>
      <c r="FI52" s="6203">
        <f>+IF(X52="","",IF(2010-VLOOKUP(MATCH(X52,eyr_id,0),eyr,'A1(epa)'!$U$17,FALSE)=0,IF(VLOOKUP(MATCH(X52,eyr_id,0),eyr,'A1(epa)'!$AB$17,FALSE)=0,"",VLOOKUP(MATCH(X52,eyr_id,0),eyr,'A1(epa)'!$AB$17,FALSE))))</f>
        <v>90.5</v>
      </c>
      <c r="FJ52" s="6198">
        <f>+IF(X52="","",IF(2009-VLOOKUP(MATCH(X52,eyr_id,0)+1,eyr,'A1(epa)'!$U$17,FALSE)=0,IF(VLOOKUP(MATCH(X52,eyr_id,0)+1,eyr,'A1(epa)'!$U$17,FALSE)=0,"",VLOOKUP(MATCH(X52,eyr_id,0)+1,eyr,'A1(epa)'!$U$17,FALSE))))</f>
        <v>2009</v>
      </c>
      <c r="FK52" s="6228">
        <f>+IF(X52="","",IF(2009-VLOOKUP(MATCH(X52,eyr_id,0)+1,eyr,'A1(epa)'!$U$17,FALSE)=0,IF(VLOOKUP(MATCH(X52,eyr_id,0)+1,eyr,'A1(epa)'!$X$17,FALSE)=0,"",VLOOKUP(MATCH(X52,eyr_id,0)+1,eyr,'A1(epa)'!$X$17,FALSE))))</f>
        <v>12</v>
      </c>
      <c r="FL52" s="6229">
        <f>+IF(X52="","",IF(2009-VLOOKUP(MATCH(X52,eyr_id,0)+1,eyr,'A1(epa)'!$U$17,FALSE)=0,IF(VLOOKUP(MATCH(X52,eyr_id,0)+1,eyr,'A1(epa)'!$W$17,FALSE)=0,"",VLOOKUP(MATCH(X52,eyr_id,0)+1,eyr,'A1(epa)'!$W$17,FALSE))))</f>
        <v>143</v>
      </c>
      <c r="FM52" s="6202">
        <f>+IF(X52="","",IF(2009-VLOOKUP(MATCH(X52,eyr_id,0)+1,eyr,'A1(epa)'!$U$17,FALSE)=0,IF(VLOOKUP(MATCH(X52,eyr_id,0)+1,eyr,'A1(epa)'!$AC$17,FALSE)=0,"",VLOOKUP(MATCH(X52,eyr_id,0)+1,eyr,'A1(epa)'!$AC$17,FALSE))))</f>
        <v>374322</v>
      </c>
      <c r="FN52" s="6202">
        <f>+IF(X52="","",IF(2009-VLOOKUP(MATCH(X52,eyr_id,0)+1,eyr,'A1(epa)'!$U$17,FALSE)=0,IF(VLOOKUP(MATCH(X52,eyr_id,0)+1,eyr,'A1(epa)'!$Y$17,FALSE)=0,"",VLOOKUP(MATCH(X52,eyr_id,0)+1,eyr,'A1(epa)'!$Y$17,FALSE))))</f>
        <v>24512</v>
      </c>
      <c r="FO52" s="6203">
        <f>+IF(X52="","",IF(2009-VLOOKUP(MATCH(X52,eyr_id,0)+1,eyr,'A1(epa)'!$U$17,FALSE)=0,IF(VLOOKUP(MATCH(X52,eyr_id,0)+1,eyr,'A1(epa)'!$AB$17,FALSE)=0,"",VLOOKUP(MATCH(X52,eyr_id,0)+1,eyr,'A1(epa)'!$AB$17,FALSE))))</f>
        <v>40.4</v>
      </c>
      <c r="FP52" s="4982"/>
      <c r="FQ52" s="5305"/>
      <c r="FR52" s="5318" t="s">
        <v>979</v>
      </c>
      <c r="FS52" s="5305"/>
      <c r="FT52" s="5305"/>
      <c r="FU52" s="5305"/>
      <c r="FV52" s="4948"/>
      <c r="FW52" s="4806">
        <v>2010</v>
      </c>
      <c r="FX52" s="6264">
        <v>374.2</v>
      </c>
      <c r="FY52" s="6264">
        <v>353.5</v>
      </c>
      <c r="FZ52" s="6264">
        <v>22.3</v>
      </c>
      <c r="GA52" s="6264">
        <f t="shared" si="51"/>
        <v>375.8</v>
      </c>
      <c r="GB52" s="6355" t="str">
        <f t="shared" si="36"/>
        <v>less -136 hrs than EPA-CAIROS report</v>
      </c>
      <c r="GC52" s="6264"/>
      <c r="GD52" s="6265">
        <v>799820</v>
      </c>
      <c r="GE52" s="6320" t="str">
        <f t="shared" si="52"/>
        <v>less -16% MMBtu/hr than EPA-CAIROS report</v>
      </c>
      <c r="GF52" s="6265">
        <v>61084</v>
      </c>
      <c r="GG52" s="6320" t="str">
        <f t="shared" si="53"/>
        <v>same as EPA-CAIROS report, within ±5%</v>
      </c>
      <c r="GH52" s="6265"/>
      <c r="GI52" s="6265"/>
      <c r="GJ52" s="6321">
        <v>1.7000000000000001E-2</v>
      </c>
      <c r="GK52" s="6341">
        <v>2009</v>
      </c>
      <c r="GL52" s="6319">
        <v>113</v>
      </c>
      <c r="GM52" s="6319">
        <v>57</v>
      </c>
      <c r="GN52" s="6319">
        <v>55.9</v>
      </c>
      <c r="GO52" s="6319">
        <f t="shared" si="54"/>
        <v>112.9</v>
      </c>
      <c r="GP52" s="6330" t="str">
        <f t="shared" si="55"/>
        <v>less -30 hrs than EPA-CAIROS report</v>
      </c>
      <c r="GQ52" s="6319"/>
      <c r="GR52" s="6265">
        <v>315720</v>
      </c>
      <c r="GS52" s="6320" t="str">
        <f t="shared" si="40"/>
        <v>less -16% MMBtu/hr than EPA-CAIROS report</v>
      </c>
      <c r="GT52" s="6265">
        <v>24575</v>
      </c>
      <c r="GU52" s="6320" t="str">
        <f t="shared" si="41"/>
        <v>same as EPA-CAIROS report, within ±5%</v>
      </c>
      <c r="GV52" s="6265"/>
      <c r="GW52" s="6265"/>
      <c r="GX52" s="6321">
        <v>7.0000000000000001E-3</v>
      </c>
      <c r="GY52" s="6287">
        <f t="shared" si="56"/>
        <v>243.6</v>
      </c>
      <c r="GZ52" s="6264">
        <f t="shared" si="42"/>
        <v>243.6</v>
      </c>
      <c r="HA52" s="6264"/>
      <c r="HB52" s="6264"/>
      <c r="HC52" s="6264"/>
      <c r="HD52" s="6265">
        <f t="shared" si="63"/>
        <v>557770</v>
      </c>
      <c r="HE52" s="6265">
        <f t="shared" si="57"/>
        <v>557770</v>
      </c>
      <c r="HF52" s="6265">
        <f t="shared" si="58"/>
        <v>557770</v>
      </c>
      <c r="HG52" s="6265"/>
      <c r="HH52" s="6266" t="str">
        <f t="shared" si="13"/>
        <v/>
      </c>
      <c r="HI52" s="6266">
        <f t="shared" si="14"/>
        <v>0.28000000000000003</v>
      </c>
      <c r="HJ52" s="6266">
        <f t="shared" si="59"/>
        <v>0.28000000000000003</v>
      </c>
      <c r="HK52" s="6266"/>
      <c r="HL52" s="6288">
        <v>78.09</v>
      </c>
      <c r="HM52" s="6288">
        <f t="shared" si="60"/>
        <v>78.09</v>
      </c>
      <c r="HN52" s="6289">
        <f t="shared" si="61"/>
        <v>78.087800000000001</v>
      </c>
      <c r="HO52" s="6062"/>
    </row>
    <row r="53" spans="1:223" s="6124" customFormat="1" ht="25.5" customHeight="1">
      <c r="A53" s="5364" t="str">
        <f t="shared" si="49"/>
        <v>8306-04</v>
      </c>
      <c r="B53" s="9617" t="str">
        <f>+J53</f>
        <v>NRG</v>
      </c>
      <c r="C53" s="5365" t="str">
        <f t="shared" si="50"/>
        <v>MV5 </v>
      </c>
      <c r="D53" s="6109"/>
      <c r="E53" s="6113"/>
      <c r="F53" s="6109"/>
      <c r="G53" s="4636">
        <v>33</v>
      </c>
      <c r="H53" s="4559">
        <v>19</v>
      </c>
      <c r="I53" s="10195" t="str">
        <f>+I50</f>
        <v>NRG Energy, Inc</v>
      </c>
      <c r="J53" s="5277" t="s">
        <v>611</v>
      </c>
      <c r="K53" s="5278">
        <v>8306</v>
      </c>
      <c r="L53" s="5111" t="s">
        <v>478</v>
      </c>
      <c r="M53" s="5111" t="s">
        <v>2091</v>
      </c>
      <c r="N53" s="5113" t="s">
        <v>379</v>
      </c>
      <c r="O53" s="5280"/>
      <c r="P53" s="5113" t="s">
        <v>367</v>
      </c>
      <c r="Q53" s="5282" t="s">
        <v>1089</v>
      </c>
      <c r="R53" s="5113" t="str">
        <f>+IF(ISERROR(MATCH(X53,epa_id,0)),"",IF(X53="","",IF(VLOOKUP(MATCH(X53,epa_id,0),epa,'A1(epa)'!$S$17,FALSE)="","",VLOOKUP(MATCH(X53,epa_id,0),epa,'A1(epa)'!$S$17,FALSE))))</f>
        <v>5</v>
      </c>
      <c r="S53" s="5319">
        <f>+IF(ISERROR(MATCH(X53,epa_id,0)),"",IF(X53="","",IF(VLOOKUP(MATCH(X53,epa_id,0),epa,'A1(epa)'!$R$17,FALSE)="","",VLOOKUP(MATCH(X53,epa_id,0),epa,'A1(epa)'!$R$17,FALSE))))</f>
        <v>546</v>
      </c>
      <c r="T53" s="5280" t="s">
        <v>544</v>
      </c>
      <c r="U53" s="5283">
        <v>1</v>
      </c>
      <c r="V53" s="5283">
        <v>1</v>
      </c>
      <c r="W53" s="5283">
        <f t="shared" si="62"/>
        <v>4</v>
      </c>
      <c r="X53" s="5284" t="str">
        <f t="shared" si="5"/>
        <v>8306-04</v>
      </c>
      <c r="Y53" s="4705" t="s">
        <v>1512</v>
      </c>
      <c r="Z53" s="4559" t="s">
        <v>811</v>
      </c>
      <c r="AA53" s="5110" t="s">
        <v>374</v>
      </c>
      <c r="AB53" s="5283"/>
      <c r="AC53" s="4669"/>
      <c r="AD53" s="4688" t="str">
        <f>+AA53</f>
        <v>R-107-0017</v>
      </c>
      <c r="AE53" s="5285"/>
      <c r="AF53" s="4567"/>
      <c r="AG53" s="5286"/>
      <c r="AH53" s="4583"/>
      <c r="AI53" s="4784"/>
      <c r="AJ53" s="5287"/>
      <c r="AK53" s="4786"/>
      <c r="AL53" s="4787" t="s">
        <v>806</v>
      </c>
      <c r="AM53" s="5288" t="s">
        <v>1554</v>
      </c>
      <c r="AN53" s="5289"/>
      <c r="AO53" s="5289"/>
      <c r="AP53" s="5289"/>
      <c r="AQ53" s="5289"/>
      <c r="AR53" s="5289"/>
      <c r="AS53" s="5289"/>
      <c r="AT53" s="5287"/>
      <c r="AU53" s="5287"/>
      <c r="AV53" s="5290"/>
      <c r="AW53" s="5290"/>
      <c r="AX53" s="5290"/>
      <c r="AY53" s="4566"/>
      <c r="AZ53" s="4589"/>
      <c r="BA53" s="5291" t="s">
        <v>478</v>
      </c>
      <c r="BB53" s="5292">
        <f>+IF(AND(G53="",BA53=""),"",VLOOKUP(MATCH(BA53,tw,0),twn,'A4(twn)'!$D$12,FALSE))</f>
        <v>107</v>
      </c>
      <c r="BC53" s="5292" t="str">
        <f t="shared" si="17"/>
        <v xml:space="preserve"> -  / -  / 107 / - </v>
      </c>
      <c r="BD53" s="5113" t="s">
        <v>478</v>
      </c>
      <c r="BE53" s="4705"/>
      <c r="BF53" s="5293" t="s">
        <v>473</v>
      </c>
      <c r="BG53" s="5280" t="str">
        <f>+IF(OR(X53="",ISERROR(MATCH(X53,epa_id,0))),"",VLOOKUP(MATCH(X53,epa_id,0),epa,'A1(epa)'!$AH$17,FALSE))</f>
        <v>Montville Power, LLC (Owner/Operator)</v>
      </c>
      <c r="BH53" s="5283"/>
      <c r="BI53" s="5283"/>
      <c r="BJ53" s="6138"/>
      <c r="BK53" s="5294"/>
      <c r="BL53" s="5295" t="s">
        <v>522</v>
      </c>
      <c r="BM53" s="6147" t="s">
        <v>1517</v>
      </c>
      <c r="BN53" s="5295" t="s">
        <v>611</v>
      </c>
      <c r="BO53" s="5297" t="s">
        <v>523</v>
      </c>
      <c r="BP53" s="5297" t="s">
        <v>524</v>
      </c>
      <c r="BQ53" s="5297"/>
      <c r="BR53" s="5297"/>
      <c r="BS53" s="5296" t="s">
        <v>525</v>
      </c>
      <c r="BT53" s="5294"/>
      <c r="BU53" s="5294"/>
      <c r="BV53" s="4607"/>
      <c r="BW53" s="5298" t="s">
        <v>790</v>
      </c>
      <c r="BX53" s="5294"/>
      <c r="BY53" s="5294"/>
      <c r="BZ53" s="5294"/>
      <c r="CA53" s="5294"/>
      <c r="CB53" s="5294"/>
      <c r="CC53" s="5299"/>
      <c r="CD53" s="5295"/>
      <c r="CE53" s="5294"/>
      <c r="CF53" s="5300"/>
      <c r="CG53" s="5300"/>
      <c r="CH53" s="4867" t="str">
        <f>+IF(ISERROR(MATCH(X53,epa_id,0)),"",IF(X53="","",IF(VLOOKUP(MATCH(X53,epa_id,0),epa,'A1(epa)'!$AE$17,FALSE)="","",VLOOKUP(MATCH(X53,epa_id,0),epa,'A1(epa)'!$AE$17,FALSE))))</f>
        <v>Electric Utility</v>
      </c>
      <c r="CI53" s="5301" t="s">
        <v>944</v>
      </c>
      <c r="CJ53" s="5301" t="str">
        <f>+IF(ISERROR(MATCH(X53,epa_id,0)),"",IF(X53="","",IF(VLOOKUP(MATCH(X53,epa_id,0),epa,'A1(epa)'!$AF$17,FALSE)="","",VLOOKUP(MATCH(X53,epa_id,0),epa,'A1(epa)'!$AF$17,FALSE))))</f>
        <v>4911</v>
      </c>
      <c r="CK53" s="5110" t="str">
        <f>+IF(ISERROR(MATCH(X53,epa_id,0)),"",IF(X53="","",IF(VLOOKUP(MATCH(X53,epa_id,0),epa,'A1(epa)'!$AG$17,FALSE)="","",VLOOKUP(MATCH(X53,epa_id,0),epa,'A1(epa)'!$AG$17,FALSE))))</f>
        <v>Electric Services</v>
      </c>
      <c r="CL53" s="5296"/>
      <c r="CM53" s="4580"/>
      <c r="CN53" s="5302"/>
      <c r="CO53" s="5320" t="s">
        <v>592</v>
      </c>
      <c r="CP53" s="5303" t="s">
        <v>8</v>
      </c>
      <c r="CQ53" s="5304"/>
      <c r="CR53" s="5305" t="s">
        <v>1116</v>
      </c>
      <c r="CS53" s="5305"/>
      <c r="CT53" s="5306">
        <v>81</v>
      </c>
      <c r="CU53" s="10175">
        <f>+SUM(CT53:CT54)+SUM(CT48:CT49)</f>
        <v>488.5</v>
      </c>
      <c r="CV53" s="5307">
        <v>995</v>
      </c>
      <c r="CW53" s="4903" t="s">
        <v>1111</v>
      </c>
      <c r="CX53" s="4978">
        <v>81</v>
      </c>
      <c r="CY53" s="4979" t="s">
        <v>80</v>
      </c>
      <c r="CZ53" s="5308">
        <v>81.599999999999994</v>
      </c>
      <c r="DA53" s="5309" t="s">
        <v>81</v>
      </c>
      <c r="DB53" s="4980"/>
      <c r="DC53" s="5304"/>
      <c r="DD53" s="5304"/>
      <c r="DE53" s="5304"/>
      <c r="DF53" s="4948"/>
      <c r="DG53" s="4982" t="s">
        <v>1557</v>
      </c>
      <c r="DH53" s="5305" t="s">
        <v>1118</v>
      </c>
      <c r="DI53" s="5305" t="s">
        <v>1102</v>
      </c>
      <c r="DJ53" s="5280"/>
      <c r="DK53" s="5280"/>
      <c r="DL53" s="5280"/>
      <c r="DM53" s="5280"/>
      <c r="DN53" s="5310"/>
      <c r="DO53" s="5280"/>
      <c r="DP53" s="5024">
        <v>0.25</v>
      </c>
      <c r="DQ53" s="5291" t="s">
        <v>2</v>
      </c>
      <c r="DR53" s="5280"/>
      <c r="DS53" s="5280"/>
      <c r="DT53" s="5280"/>
      <c r="DU53" s="5280"/>
      <c r="DV53" s="5310"/>
      <c r="DW53" s="5280"/>
      <c r="DX53" s="5024">
        <v>0.2</v>
      </c>
      <c r="DY53" s="5291"/>
      <c r="DZ53" s="5280"/>
      <c r="EA53" s="5280"/>
      <c r="EB53" s="5280"/>
      <c r="EC53" s="5280"/>
      <c r="ED53" s="5310"/>
      <c r="EE53" s="5280" t="s">
        <v>0</v>
      </c>
      <c r="EF53" s="5321"/>
      <c r="EG53" s="4982"/>
      <c r="EH53" s="6226">
        <v>995</v>
      </c>
      <c r="EI53" s="5312"/>
      <c r="EJ53" s="5313"/>
      <c r="EK53" s="5313"/>
      <c r="EL53" s="5312">
        <v>0.23</v>
      </c>
      <c r="EM53" s="5312"/>
      <c r="EN53" s="5312">
        <v>0.15</v>
      </c>
      <c r="EO53" s="5312"/>
      <c r="EP53" s="5312" t="s">
        <v>1197</v>
      </c>
      <c r="EQ53" s="5312">
        <v>0.25</v>
      </c>
      <c r="ER53" s="5314"/>
      <c r="ES53" s="5314" t="s">
        <v>3</v>
      </c>
      <c r="ET53" s="6227"/>
      <c r="EU53" s="5314"/>
      <c r="EV53" s="5315"/>
      <c r="EW53" s="5316">
        <v>0.15</v>
      </c>
      <c r="EX53" s="5314"/>
      <c r="EY53" s="5314" t="s">
        <v>1106</v>
      </c>
      <c r="EZ53" s="5305"/>
      <c r="FA53" s="5305"/>
      <c r="FB53" s="5317"/>
      <c r="FC53" s="4875"/>
      <c r="FD53" s="6198">
        <f>+IF(X53="","",IF(2010-VLOOKUP(MATCH(X53,eyr_id,0),eyr,'A1(epa)'!$U$17,FALSE)=0,IF(VLOOKUP(MATCH(X53,eyr_id,0),eyr,'A1(epa)'!$U$17,FALSE)=0,"",VLOOKUP(MATCH(X53,eyr_id,0),eyr,'A1(epa)'!$U$17,FALSE))))</f>
        <v>2010</v>
      </c>
      <c r="FE53" s="6228">
        <f>+IF(X53="","",IF(2010-VLOOKUP(MATCH(X53,eyr_id,0),eyr,'A1(epa)'!$U$17,FALSE)=0,IF(VLOOKUP(MATCH(X53,eyr_id,0),eyr,'A1(epa)'!$X$17,FALSE)=0,"",VLOOKUP(MATCH(X53,eyr_id,0),eyr,'A1(epa)'!$X$17,FALSE))))</f>
        <v>12</v>
      </c>
      <c r="FF53" s="6229">
        <f>+IF(X53="","",IF(2010-VLOOKUP(MATCH(X53,eyr_id,0),eyr,'A1(epa)'!$U$17,FALSE)=0,IF(VLOOKUP(MATCH(X53,eyr_id,0),eyr,'A1(epa)'!$W$17,FALSE)=0,"",VLOOKUP(MATCH(X53,eyr_id,0),eyr,'A1(epa)'!$W$17,FALSE))))</f>
        <v>1052</v>
      </c>
      <c r="FG53" s="6202">
        <f>+IF(X53="","",IF(2010-VLOOKUP(MATCH(X53,eyr_id,0),eyr,'A1(epa)'!$U$17,FALSE)=0,IF(VLOOKUP(MATCH(X53,eyr_id,0),eyr,'A1(epa)'!$AC$17,FALSE)=0,"",VLOOKUP(MATCH(X53,eyr_id,0),eyr,'A1(epa)'!$AC$17,FALSE))))</f>
        <v>631690</v>
      </c>
      <c r="FH53" s="6202">
        <f>+IF(X53="","",IF(2010-VLOOKUP(MATCH(X53,eyr_id,0),eyr,'A1(epa)'!$U$17,FALSE)=0,IF(VLOOKUP(MATCH(X53,eyr_id,0),eyr,'A1(epa)'!$Y$17,FALSE)=0,"",VLOOKUP(MATCH(X53,eyr_id,0),eyr,'A1(epa)'!$Y$17,FALSE))))</f>
        <v>50747</v>
      </c>
      <c r="FI53" s="6203">
        <f>+IF(X53="","",IF(2010-VLOOKUP(MATCH(X53,eyr_id,0),eyr,'A1(epa)'!$U$17,FALSE)=0,IF(VLOOKUP(MATCH(X53,eyr_id,0),eyr,'A1(epa)'!$AB$17,FALSE)=0,"",VLOOKUP(MATCH(X53,eyr_id,0),eyr,'A1(epa)'!$AB$17,FALSE))))</f>
        <v>31.9</v>
      </c>
      <c r="FJ53" s="6198">
        <f>+IF(X53="","",IF(2009-VLOOKUP(MATCH(X53,eyr_id,0)+1,eyr,'A1(epa)'!$U$17,FALSE)=0,IF(VLOOKUP(MATCH(X53,eyr_id,0)+1,eyr,'A1(epa)'!$U$17,FALSE)=0,"",VLOOKUP(MATCH(X53,eyr_id,0)+1,eyr,'A1(epa)'!$U$17,FALSE))))</f>
        <v>2009</v>
      </c>
      <c r="FK53" s="6228">
        <f>+IF(X53="","",IF(2009-VLOOKUP(MATCH(X53,eyr_id,0)+1,eyr,'A1(epa)'!$U$17,FALSE)=0,IF(VLOOKUP(MATCH(X53,eyr_id,0)+1,eyr,'A1(epa)'!$X$17,FALSE)=0,"",VLOOKUP(MATCH(X53,eyr_id,0)+1,eyr,'A1(epa)'!$X$17,FALSE))))</f>
        <v>12</v>
      </c>
      <c r="FL53" s="6229">
        <f>+IF(X53="","",IF(2009-VLOOKUP(MATCH(X53,eyr_id,0)+1,eyr,'A1(epa)'!$U$17,FALSE)=0,IF(VLOOKUP(MATCH(X53,eyr_id,0)+1,eyr,'A1(epa)'!$W$17,FALSE)=0,"",VLOOKUP(MATCH(X53,eyr_id,0)+1,eyr,'A1(epa)'!$W$17,FALSE))))</f>
        <v>256</v>
      </c>
      <c r="FM53" s="6202">
        <f>+IF(X53="","",IF(2009-VLOOKUP(MATCH(X53,eyr_id,0)+1,eyr,'A1(epa)'!$U$17,FALSE)=0,IF(VLOOKUP(MATCH(X53,eyr_id,0)+1,eyr,'A1(epa)'!$AC$17,FALSE)=0,"",VLOOKUP(MATCH(X53,eyr_id,0)+1,eyr,'A1(epa)'!$AC$17,FALSE))))</f>
        <v>163032</v>
      </c>
      <c r="FN53" s="6202">
        <f>+IF(X53="","",IF(2009-VLOOKUP(MATCH(X53,eyr_id,0)+1,eyr,'A1(epa)'!$U$17,FALSE)=0,IF(VLOOKUP(MATCH(X53,eyr_id,0)+1,eyr,'A1(epa)'!$Y$17,FALSE)=0,"",VLOOKUP(MATCH(X53,eyr_id,0)+1,eyr,'A1(epa)'!$Y$17,FALSE))))</f>
        <v>13005</v>
      </c>
      <c r="FO53" s="6203">
        <f>+IF(X53="","",IF(2009-VLOOKUP(MATCH(X53,eyr_id,0)+1,eyr,'A1(epa)'!$U$17,FALSE)=0,IF(VLOOKUP(MATCH(X53,eyr_id,0)+1,eyr,'A1(epa)'!$AB$17,FALSE)=0,"",VLOOKUP(MATCH(X53,eyr_id,0)+1,eyr,'A1(epa)'!$AB$17,FALSE))))</f>
        <v>11.2</v>
      </c>
      <c r="FP53" s="4982"/>
      <c r="FQ53" s="5305"/>
      <c r="FR53" s="5318" t="s">
        <v>979</v>
      </c>
      <c r="FS53" s="5305"/>
      <c r="FT53" s="5305"/>
      <c r="FU53" s="5305"/>
      <c r="FV53" s="4948"/>
      <c r="FW53" s="4806">
        <v>2010</v>
      </c>
      <c r="FX53" s="6264">
        <v>936.9</v>
      </c>
      <c r="FY53" s="6264">
        <v>840.9</v>
      </c>
      <c r="FZ53" s="6264">
        <v>96</v>
      </c>
      <c r="GA53" s="6264">
        <f t="shared" si="51"/>
        <v>936.9</v>
      </c>
      <c r="GB53" s="6355" t="str">
        <f t="shared" si="36"/>
        <v>less -115 hrs than EPA-CAIROS report</v>
      </c>
      <c r="GC53" s="6264"/>
      <c r="GD53" s="6265">
        <v>554880</v>
      </c>
      <c r="GE53" s="6320" t="str">
        <f t="shared" si="52"/>
        <v>less -12% MMBtu/hr than EPA-CAIROS report</v>
      </c>
      <c r="GF53" s="6265">
        <v>49615</v>
      </c>
      <c r="GG53" s="6320" t="str">
        <f t="shared" si="53"/>
        <v>same as EPA-CAIROS report, within ±5%</v>
      </c>
      <c r="GH53" s="6265"/>
      <c r="GI53" s="6265"/>
      <c r="GJ53" s="6321">
        <v>7.0000000000000007E-2</v>
      </c>
      <c r="GK53" s="4806">
        <v>2009</v>
      </c>
      <c r="GL53" s="6319">
        <v>210.9</v>
      </c>
      <c r="GM53" s="6319">
        <v>97.4</v>
      </c>
      <c r="GN53" s="6319">
        <v>113.5</v>
      </c>
      <c r="GO53" s="6319">
        <f t="shared" si="54"/>
        <v>210.9</v>
      </c>
      <c r="GP53" s="6330" t="str">
        <f t="shared" si="55"/>
        <v>less -45 hrs than EPA-CAIROS report</v>
      </c>
      <c r="GQ53" s="6319"/>
      <c r="GR53" s="6265">
        <v>150580</v>
      </c>
      <c r="GS53" s="6320" t="str">
        <f t="shared" si="40"/>
        <v>same as EPA-CAIROS report, within ±10%</v>
      </c>
      <c r="GT53" s="6265">
        <v>12974</v>
      </c>
      <c r="GU53" s="6320" t="str">
        <f t="shared" si="41"/>
        <v>same as EPA-CAIROS report, within ±5%</v>
      </c>
      <c r="GV53" s="6265"/>
      <c r="GW53" s="6265"/>
      <c r="GX53" s="6321">
        <v>1.7999999999999999E-2</v>
      </c>
      <c r="GY53" s="6287">
        <f t="shared" si="56"/>
        <v>573.9</v>
      </c>
      <c r="GZ53" s="6264">
        <f t="shared" si="42"/>
        <v>573.9</v>
      </c>
      <c r="HA53" s="6264"/>
      <c r="HB53" s="6264"/>
      <c r="HC53" s="6264"/>
      <c r="HD53" s="6265">
        <f t="shared" si="63"/>
        <v>352730</v>
      </c>
      <c r="HE53" s="6265">
        <f t="shared" si="57"/>
        <v>352730</v>
      </c>
      <c r="HF53" s="6265">
        <f t="shared" si="58"/>
        <v>352730</v>
      </c>
      <c r="HG53" s="6265"/>
      <c r="HH53" s="6266" t="str">
        <f t="shared" si="13"/>
        <v/>
      </c>
      <c r="HI53" s="6266">
        <f t="shared" si="14"/>
        <v>0.23</v>
      </c>
      <c r="HJ53" s="6266">
        <f t="shared" si="59"/>
        <v>0.23</v>
      </c>
      <c r="HK53" s="6266"/>
      <c r="HL53" s="6288">
        <v>40.56</v>
      </c>
      <c r="HM53" s="6288">
        <f t="shared" si="60"/>
        <v>40.56</v>
      </c>
      <c r="HN53" s="6289">
        <f t="shared" si="61"/>
        <v>40.563950000000006</v>
      </c>
      <c r="HO53" s="6062"/>
    </row>
    <row r="54" spans="1:223" s="5349" customFormat="1" ht="25.5" customHeight="1">
      <c r="A54" s="5364" t="str">
        <f t="shared" si="49"/>
        <v>8306-05</v>
      </c>
      <c r="B54" s="9616"/>
      <c r="C54" s="5365" t="str">
        <f t="shared" si="50"/>
        <v>MV6 </v>
      </c>
      <c r="D54" s="6109"/>
      <c r="E54" s="6113"/>
      <c r="F54" s="6109"/>
      <c r="G54" s="4636">
        <v>34</v>
      </c>
      <c r="H54" s="4559">
        <v>20</v>
      </c>
      <c r="I54" s="10194"/>
      <c r="J54" s="5277" t="s">
        <v>611</v>
      </c>
      <c r="K54" s="5278">
        <v>8306</v>
      </c>
      <c r="L54" s="5111" t="s">
        <v>478</v>
      </c>
      <c r="M54" s="5111" t="s">
        <v>2092</v>
      </c>
      <c r="N54" s="5113" t="s">
        <v>379</v>
      </c>
      <c r="O54" s="5280"/>
      <c r="P54" s="5113" t="s">
        <v>368</v>
      </c>
      <c r="Q54" s="5282" t="s">
        <v>1090</v>
      </c>
      <c r="R54" s="5113" t="str">
        <f>+IF(ISERROR(MATCH(X54,epa_id,0)),"",IF(X54="","",IF(VLOOKUP(MATCH(X54,epa_id,0),epa,'A1(epa)'!$S$17,FALSE)="","",VLOOKUP(MATCH(X54,epa_id,0),epa,'A1(epa)'!$S$17,FALSE))))</f>
        <v>6</v>
      </c>
      <c r="S54" s="5319">
        <f>+IF(ISERROR(MATCH(X54,epa_id,0)),"",IF(X54="","",IF(VLOOKUP(MATCH(X54,epa_id,0),epa,'A1(epa)'!$R$17,FALSE)="","",VLOOKUP(MATCH(X54,epa_id,0),epa,'A1(epa)'!$R$17,FALSE))))</f>
        <v>546</v>
      </c>
      <c r="T54" s="5280" t="s">
        <v>544</v>
      </c>
      <c r="U54" s="5283">
        <v>1</v>
      </c>
      <c r="V54" s="5283">
        <v>1</v>
      </c>
      <c r="W54" s="5283">
        <f t="shared" si="62"/>
        <v>5</v>
      </c>
      <c r="X54" s="5284" t="str">
        <f t="shared" si="5"/>
        <v>8306-05</v>
      </c>
      <c r="Y54" s="4705" t="s">
        <v>1512</v>
      </c>
      <c r="Z54" s="4559" t="s">
        <v>811</v>
      </c>
      <c r="AA54" s="5110" t="s">
        <v>375</v>
      </c>
      <c r="AB54" s="5283"/>
      <c r="AC54" s="4669"/>
      <c r="AD54" s="4688" t="str">
        <f>+AA54</f>
        <v>R-107-0020</v>
      </c>
      <c r="AE54" s="5285"/>
      <c r="AF54" s="4567"/>
      <c r="AG54" s="5286"/>
      <c r="AH54" s="4583"/>
      <c r="AI54" s="4784"/>
      <c r="AJ54" s="5287"/>
      <c r="AK54" s="4786"/>
      <c r="AL54" s="4787" t="s">
        <v>806</v>
      </c>
      <c r="AM54" s="5288" t="s">
        <v>1554</v>
      </c>
      <c r="AN54" s="5289"/>
      <c r="AO54" s="5289"/>
      <c r="AP54" s="5289"/>
      <c r="AQ54" s="5289"/>
      <c r="AR54" s="5289"/>
      <c r="AS54" s="5289"/>
      <c r="AT54" s="5287"/>
      <c r="AU54" s="5287"/>
      <c r="AV54" s="5290"/>
      <c r="AW54" s="5290"/>
      <c r="AX54" s="5290"/>
      <c r="AY54" s="4566"/>
      <c r="AZ54" s="4589"/>
      <c r="BA54" s="5291" t="s">
        <v>478</v>
      </c>
      <c r="BB54" s="5292">
        <f>+IF(AND(G54="",BA54=""),"",VLOOKUP(MATCH(BA54,tw,0),twn,'A4(twn)'!$D$12,FALSE))</f>
        <v>107</v>
      </c>
      <c r="BC54" s="5292" t="str">
        <f t="shared" si="17"/>
        <v xml:space="preserve"> -  / -  / 107 / - </v>
      </c>
      <c r="BD54" s="5113" t="s">
        <v>478</v>
      </c>
      <c r="BE54" s="4705"/>
      <c r="BF54" s="5293" t="s">
        <v>473</v>
      </c>
      <c r="BG54" s="5280" t="str">
        <f>+IF(OR(X54="",ISERROR(MATCH(X54,epa_id,0))),"",VLOOKUP(MATCH(X54,epa_id,0),epa,'A1(epa)'!$AH$17,FALSE))</f>
        <v>Montville Power, LLC (Owner/Operator)</v>
      </c>
      <c r="BH54" s="5283"/>
      <c r="BI54" s="5283"/>
      <c r="BJ54" s="6138"/>
      <c r="BK54" s="5294"/>
      <c r="BL54" s="5295" t="s">
        <v>522</v>
      </c>
      <c r="BM54" s="6147" t="s">
        <v>1517</v>
      </c>
      <c r="BN54" s="5295" t="s">
        <v>611</v>
      </c>
      <c r="BO54" s="5297" t="s">
        <v>523</v>
      </c>
      <c r="BP54" s="5297" t="s">
        <v>524</v>
      </c>
      <c r="BQ54" s="5297"/>
      <c r="BR54" s="5297"/>
      <c r="BS54" s="5296" t="s">
        <v>525</v>
      </c>
      <c r="BT54" s="5294"/>
      <c r="BU54" s="5294"/>
      <c r="BV54" s="4607"/>
      <c r="BW54" s="5298" t="s">
        <v>790</v>
      </c>
      <c r="BX54" s="5294"/>
      <c r="BY54" s="5294"/>
      <c r="BZ54" s="5294"/>
      <c r="CA54" s="5294"/>
      <c r="CB54" s="5294"/>
      <c r="CC54" s="5299"/>
      <c r="CD54" s="5295"/>
      <c r="CE54" s="5294"/>
      <c r="CF54" s="5300"/>
      <c r="CG54" s="5300"/>
      <c r="CH54" s="4867" t="str">
        <f>+IF(ISERROR(MATCH(X54,epa_id,0)),"",IF(X54="","",IF(VLOOKUP(MATCH(X54,epa_id,0),epa,'A1(epa)'!$AE$17,FALSE)="","",VLOOKUP(MATCH(X54,epa_id,0),epa,'A1(epa)'!$AE$17,FALSE))))</f>
        <v>Electric Utility</v>
      </c>
      <c r="CI54" s="5301" t="s">
        <v>944</v>
      </c>
      <c r="CJ54" s="5301" t="str">
        <f>+IF(ISERROR(MATCH(X54,epa_id,0)),"",IF(X54="","",IF(VLOOKUP(MATCH(X54,epa_id,0),epa,'A1(epa)'!$AF$17,FALSE)="","",VLOOKUP(MATCH(X54,epa_id,0),epa,'A1(epa)'!$AF$17,FALSE))))</f>
        <v>4911</v>
      </c>
      <c r="CK54" s="5110" t="str">
        <f>+IF(ISERROR(MATCH(X54,epa_id,0)),"",IF(X54="","",IF(VLOOKUP(MATCH(X54,epa_id,0),epa,'A1(epa)'!$AG$17,FALSE)="","",VLOOKUP(MATCH(X54,epa_id,0),epa,'A1(epa)'!$AG$17,FALSE))))</f>
        <v>Electric Services</v>
      </c>
      <c r="CL54" s="5296"/>
      <c r="CM54" s="4580"/>
      <c r="CN54" s="5302"/>
      <c r="CO54" s="5320" t="s">
        <v>592</v>
      </c>
      <c r="CP54" s="5303" t="s">
        <v>8</v>
      </c>
      <c r="CQ54" s="5304"/>
      <c r="CR54" s="5305" t="s">
        <v>1112</v>
      </c>
      <c r="CS54" s="5305"/>
      <c r="CT54" s="5306">
        <v>402</v>
      </c>
      <c r="CU54" s="10161"/>
      <c r="CV54" s="5307">
        <v>4658</v>
      </c>
      <c r="CW54" s="4903" t="s">
        <v>1111</v>
      </c>
      <c r="CX54" s="4978">
        <v>407.4</v>
      </c>
      <c r="CY54" s="4979" t="s">
        <v>80</v>
      </c>
      <c r="CZ54" s="5308">
        <v>409.9</v>
      </c>
      <c r="DA54" s="5309" t="s">
        <v>81</v>
      </c>
      <c r="DB54" s="4980"/>
      <c r="DC54" s="5304"/>
      <c r="DD54" s="5304"/>
      <c r="DE54" s="5304"/>
      <c r="DF54" s="4948"/>
      <c r="DG54" s="4982" t="s">
        <v>1558</v>
      </c>
      <c r="DH54" s="5305" t="s">
        <v>1101</v>
      </c>
      <c r="DI54" s="5305" t="s">
        <v>1102</v>
      </c>
      <c r="DJ54" s="5280"/>
      <c r="DK54" s="5280"/>
      <c r="DL54" s="5280"/>
      <c r="DM54" s="5280"/>
      <c r="DN54" s="5310"/>
      <c r="DO54" s="5280"/>
      <c r="DP54" s="5024">
        <v>0.25</v>
      </c>
      <c r="DQ54" s="5291" t="s">
        <v>1124</v>
      </c>
      <c r="DR54" s="5280" t="s">
        <v>1103</v>
      </c>
      <c r="DS54" s="5280"/>
      <c r="DT54" s="5280"/>
      <c r="DU54" s="5280"/>
      <c r="DV54" s="5310"/>
      <c r="DW54" s="5280"/>
      <c r="DX54" s="5024">
        <v>0.2</v>
      </c>
      <c r="DY54" s="5291"/>
      <c r="DZ54" s="5280"/>
      <c r="EA54" s="5280"/>
      <c r="EB54" s="5280"/>
      <c r="EC54" s="5280"/>
      <c r="ED54" s="5310"/>
      <c r="EE54" s="5280" t="s">
        <v>0</v>
      </c>
      <c r="EF54" s="5321"/>
      <c r="EG54" s="4982"/>
      <c r="EH54" s="6226">
        <v>4658</v>
      </c>
      <c r="EI54" s="5312"/>
      <c r="EJ54" s="5313"/>
      <c r="EK54" s="5313"/>
      <c r="EL54" s="5312">
        <v>0.27</v>
      </c>
      <c r="EM54" s="5312"/>
      <c r="EN54" s="5322" t="s">
        <v>1193</v>
      </c>
      <c r="EO54" s="5322"/>
      <c r="EP54" s="5312" t="s">
        <v>1197</v>
      </c>
      <c r="EQ54" s="5312">
        <v>0.25</v>
      </c>
      <c r="ER54" s="5314"/>
      <c r="ES54" s="5314" t="s">
        <v>1559</v>
      </c>
      <c r="ET54" s="6227"/>
      <c r="EU54" s="5314"/>
      <c r="EV54" s="5315"/>
      <c r="EW54" s="5316">
        <v>0.15</v>
      </c>
      <c r="EX54" s="5314"/>
      <c r="EY54" s="5314" t="s">
        <v>1106</v>
      </c>
      <c r="EZ54" s="5305"/>
      <c r="FA54" s="5305"/>
      <c r="FB54" s="5317"/>
      <c r="FC54" s="4875"/>
      <c r="FD54" s="6198">
        <f>+IF(X54="","",IF(2010-VLOOKUP(MATCH(X54,eyr_id,0),eyr,'A1(epa)'!$U$17,FALSE)=0,IF(VLOOKUP(MATCH(X54,eyr_id,0),eyr,'A1(epa)'!$U$17,FALSE)=0,"",VLOOKUP(MATCH(X54,eyr_id,0),eyr,'A1(epa)'!$U$17,FALSE))))</f>
        <v>2010</v>
      </c>
      <c r="FE54" s="6228">
        <f>+IF(X54="","",IF(2010-VLOOKUP(MATCH(X54,eyr_id,0),eyr,'A1(epa)'!$U$17,FALSE)=0,IF(VLOOKUP(MATCH(X54,eyr_id,0),eyr,'A1(epa)'!$X$17,FALSE)=0,"",VLOOKUP(MATCH(X54,eyr_id,0),eyr,'A1(epa)'!$X$17,FALSE))))</f>
        <v>12</v>
      </c>
      <c r="FF54" s="6229">
        <f>+IF(X54="","",IF(2010-VLOOKUP(MATCH(X54,eyr_id,0),eyr,'A1(epa)'!$U$17,FALSE)=0,IF(VLOOKUP(MATCH(X54,eyr_id,0),eyr,'A1(epa)'!$W$17,FALSE)=0,"",VLOOKUP(MATCH(X54,eyr_id,0),eyr,'A1(epa)'!$W$17,FALSE))))</f>
        <v>426</v>
      </c>
      <c r="FG54" s="6202">
        <f>+IF(X54="","",IF(2010-VLOOKUP(MATCH(X54,eyr_id,0),eyr,'A1(epa)'!$U$17,FALSE)=0,IF(VLOOKUP(MATCH(X54,eyr_id,0),eyr,'A1(epa)'!$AC$17,FALSE)=0,"",VLOOKUP(MATCH(X54,eyr_id,0),eyr,'A1(epa)'!$AC$17,FALSE))))</f>
        <v>674427</v>
      </c>
      <c r="FH54" s="6202">
        <f>+IF(X54="","",IF(2010-VLOOKUP(MATCH(X54,eyr_id,0),eyr,'A1(epa)'!$U$17,FALSE)=0,IF(VLOOKUP(MATCH(X54,eyr_id,0),eyr,'A1(epa)'!$Y$17,FALSE)=0,"",VLOOKUP(MATCH(X54,eyr_id,0),eyr,'A1(epa)'!$Y$17,FALSE))))</f>
        <v>45724</v>
      </c>
      <c r="FI54" s="6203">
        <f>+IF(X54="","",IF(2010-VLOOKUP(MATCH(X54,eyr_id,0),eyr,'A1(epa)'!$U$17,FALSE)=0,IF(VLOOKUP(MATCH(X54,eyr_id,0),eyr,'A1(epa)'!$AB$17,FALSE)=0,"",VLOOKUP(MATCH(X54,eyr_id,0),eyr,'A1(epa)'!$AB$17,FALSE))))</f>
        <v>52.1</v>
      </c>
      <c r="FJ54" s="6198">
        <f>+IF(X54="","",IF(2009-VLOOKUP(MATCH(X54,eyr_id,0)+1,eyr,'A1(epa)'!$U$17,FALSE)=0,IF(VLOOKUP(MATCH(X54,eyr_id,0)+1,eyr,'A1(epa)'!$U$17,FALSE)=0,"",VLOOKUP(MATCH(X54,eyr_id,0)+1,eyr,'A1(epa)'!$U$17,FALSE))))</f>
        <v>2009</v>
      </c>
      <c r="FK54" s="6228">
        <f>+IF(X54="","",IF(2009-VLOOKUP(MATCH(X54,eyr_id,0)+1,eyr,'A1(epa)'!$U$17,FALSE)=0,IF(VLOOKUP(MATCH(X54,eyr_id,0)+1,eyr,'A1(epa)'!$X$17,FALSE)=0,"",VLOOKUP(MATCH(X54,eyr_id,0)+1,eyr,'A1(epa)'!$X$17,FALSE))))</f>
        <v>12</v>
      </c>
      <c r="FL54" s="6229">
        <f>+IF(X54="","",IF(2009-VLOOKUP(MATCH(X54,eyr_id,0)+1,eyr,'A1(epa)'!$U$17,FALSE)=0,IF(VLOOKUP(MATCH(X54,eyr_id,0)+1,eyr,'A1(epa)'!$W$17,FALSE)=0,"",VLOOKUP(MATCH(X54,eyr_id,0)+1,eyr,'A1(epa)'!$W$17,FALSE))))</f>
        <v>173</v>
      </c>
      <c r="FM54" s="6202">
        <f>+IF(X54="","",IF(2009-VLOOKUP(MATCH(X54,eyr_id,0)+1,eyr,'A1(epa)'!$U$17,FALSE)=0,IF(VLOOKUP(MATCH(X54,eyr_id,0)+1,eyr,'A1(epa)'!$AC$17,FALSE)=0,"",VLOOKUP(MATCH(X54,eyr_id,0)+1,eyr,'A1(epa)'!$AC$17,FALSE))))</f>
        <v>325660</v>
      </c>
      <c r="FN54" s="6202">
        <f>+IF(X54="","",IF(2009-VLOOKUP(MATCH(X54,eyr_id,0)+1,eyr,'A1(epa)'!$U$17,FALSE)=0,IF(VLOOKUP(MATCH(X54,eyr_id,0)+1,eyr,'A1(epa)'!$Y$17,FALSE)=0,"",VLOOKUP(MATCH(X54,eyr_id,0)+1,eyr,'A1(epa)'!$Y$17,FALSE))))</f>
        <v>21297</v>
      </c>
      <c r="FO54" s="6203">
        <f>+IF(X54="","",IF(2009-VLOOKUP(MATCH(X54,eyr_id,0)+1,eyr,'A1(epa)'!$U$17,FALSE)=0,IF(VLOOKUP(MATCH(X54,eyr_id,0)+1,eyr,'A1(epa)'!$AB$17,FALSE)=0,"",VLOOKUP(MATCH(X54,eyr_id,0)+1,eyr,'A1(epa)'!$AB$17,FALSE))))</f>
        <v>33.4</v>
      </c>
      <c r="FP54" s="4982"/>
      <c r="FQ54" s="5305"/>
      <c r="FR54" s="5318" t="s">
        <v>979</v>
      </c>
      <c r="FS54" s="5305"/>
      <c r="FT54" s="5305"/>
      <c r="FU54" s="5305"/>
      <c r="FV54" s="4948"/>
      <c r="FW54" s="4806">
        <v>2010</v>
      </c>
      <c r="FX54" s="6264">
        <v>338.5</v>
      </c>
      <c r="FY54" s="6264">
        <v>316.2</v>
      </c>
      <c r="FZ54" s="6264">
        <v>22.3</v>
      </c>
      <c r="GA54" s="6264">
        <f t="shared" si="51"/>
        <v>338.5</v>
      </c>
      <c r="GB54" s="6355" t="str">
        <f t="shared" si="36"/>
        <v>less -88 hrs than EPA-CAIROS report</v>
      </c>
      <c r="GC54" s="6264"/>
      <c r="GD54" s="6265">
        <v>630340</v>
      </c>
      <c r="GE54" s="6320" t="str">
        <f t="shared" si="52"/>
        <v>same as EPA-CAIROS report, within ±10%</v>
      </c>
      <c r="GF54" s="6342">
        <v>45753</v>
      </c>
      <c r="GG54" s="6361" t="str">
        <f t="shared" si="53"/>
        <v>same as EPA-CAIROS report, within ±5%</v>
      </c>
      <c r="GH54" s="6342"/>
      <c r="GI54" s="6342"/>
      <c r="GJ54" s="6321">
        <v>1.2999999999999999E-2</v>
      </c>
      <c r="GK54" s="6341">
        <v>2009</v>
      </c>
      <c r="GL54" s="6319">
        <v>123.8</v>
      </c>
      <c r="GM54" s="6319">
        <v>102</v>
      </c>
      <c r="GN54" s="6319">
        <v>21.9</v>
      </c>
      <c r="GO54" s="6319">
        <f t="shared" si="54"/>
        <v>123.9</v>
      </c>
      <c r="GP54" s="6330" t="str">
        <f t="shared" si="55"/>
        <v>less -49 hrs than EPA-CAIROS report</v>
      </c>
      <c r="GQ54" s="6319"/>
      <c r="GR54" s="6265">
        <v>265730</v>
      </c>
      <c r="GS54" s="6320" t="str">
        <f t="shared" si="40"/>
        <v>less -18% MMBtu/hr than EPA-CAIROS report</v>
      </c>
      <c r="GT54" s="6342">
        <v>20976</v>
      </c>
      <c r="GU54" s="6320" t="str">
        <f t="shared" si="41"/>
        <v>same as EPA-CAIROS report, within ±5%</v>
      </c>
      <c r="GV54" s="6265"/>
      <c r="GW54" s="6265"/>
      <c r="GX54" s="6321">
        <v>6.0000000000000001E-3</v>
      </c>
      <c r="GY54" s="6287">
        <f t="shared" si="56"/>
        <v>231.15</v>
      </c>
      <c r="GZ54" s="6264">
        <f t="shared" si="42"/>
        <v>231.15</v>
      </c>
      <c r="HA54" s="6264"/>
      <c r="HB54" s="6264"/>
      <c r="HC54" s="6264"/>
      <c r="HD54" s="6265">
        <f t="shared" si="63"/>
        <v>448035</v>
      </c>
      <c r="HE54" s="6265">
        <f t="shared" si="57"/>
        <v>448035</v>
      </c>
      <c r="HF54" s="6265">
        <f t="shared" si="58"/>
        <v>448035</v>
      </c>
      <c r="HG54" s="6265"/>
      <c r="HH54" s="6266" t="str">
        <f t="shared" si="13"/>
        <v/>
      </c>
      <c r="HI54" s="6266">
        <f t="shared" si="14"/>
        <v>0.27</v>
      </c>
      <c r="HJ54" s="6266">
        <f t="shared" si="59"/>
        <v>0.27</v>
      </c>
      <c r="HK54" s="6266"/>
      <c r="HL54" s="6288">
        <v>60.48</v>
      </c>
      <c r="HM54" s="6288">
        <f t="shared" si="60"/>
        <v>60.48</v>
      </c>
      <c r="HN54" s="6289">
        <f t="shared" si="61"/>
        <v>60.484725000000005</v>
      </c>
      <c r="HO54" s="5357"/>
    </row>
    <row r="55" spans="1:223" s="5349" customFormat="1" ht="25.5" customHeight="1">
      <c r="A55" s="5364" t="str">
        <f t="shared" si="49"/>
        <v>8306-06</v>
      </c>
      <c r="B55" s="9617" t="str">
        <f>+J55</f>
        <v>NRG</v>
      </c>
      <c r="C55" s="5365" t="str">
        <f t="shared" si="50"/>
        <v>NH1 </v>
      </c>
      <c r="D55" s="6109"/>
      <c r="E55" s="6113"/>
      <c r="F55" s="6109"/>
      <c r="G55" s="4636">
        <v>35</v>
      </c>
      <c r="H55" s="4559">
        <v>21</v>
      </c>
      <c r="I55" s="10195" t="str">
        <f>+I53</f>
        <v>NRG Energy, Inc</v>
      </c>
      <c r="J55" s="5277" t="s">
        <v>611</v>
      </c>
      <c r="K55" s="5278">
        <v>8306</v>
      </c>
      <c r="L55" s="5111" t="s">
        <v>351</v>
      </c>
      <c r="M55" s="5111" t="s">
        <v>2101</v>
      </c>
      <c r="N55" s="5113" t="s">
        <v>351</v>
      </c>
      <c r="O55" s="5280"/>
      <c r="P55" s="5113" t="s">
        <v>369</v>
      </c>
      <c r="Q55" s="5282" t="s">
        <v>1091</v>
      </c>
      <c r="R55" s="5113" t="str">
        <f>+IF(ISERROR(MATCH(X55,epa_id,0)),"",IF(X55="","",IF(VLOOKUP(MATCH(X55,epa_id,0),epa,'A1(epa)'!$S$17,FALSE)="","",VLOOKUP(MATCH(X55,epa_id,0),epa,'A1(epa)'!$S$17,FALSE))))</f>
        <v>1</v>
      </c>
      <c r="S55" s="5319">
        <f>+IF(ISERROR(MATCH(X55,epa_id,0)),"",IF(X55="","",IF(VLOOKUP(MATCH(X55,epa_id,0),epa,'A1(epa)'!$R$17,FALSE)="","",VLOOKUP(MATCH(X55,epa_id,0),epa,'A1(epa)'!$R$17,FALSE))))</f>
        <v>548</v>
      </c>
      <c r="T55" s="5280" t="s">
        <v>544</v>
      </c>
      <c r="U55" s="5283">
        <v>1</v>
      </c>
      <c r="V55" s="5283">
        <v>1</v>
      </c>
      <c r="W55" s="5283">
        <f t="shared" si="62"/>
        <v>6</v>
      </c>
      <c r="X55" s="5284" t="str">
        <f t="shared" si="5"/>
        <v>8306-06</v>
      </c>
      <c r="Y55" s="4705" t="s">
        <v>1512</v>
      </c>
      <c r="Z55" s="4559" t="s">
        <v>811</v>
      </c>
      <c r="AA55" s="5110" t="s">
        <v>376</v>
      </c>
      <c r="AB55" s="5283"/>
      <c r="AC55" s="4669"/>
      <c r="AD55" s="4688" t="str">
        <f>+AA55</f>
        <v>R-137-0028</v>
      </c>
      <c r="AE55" s="5285"/>
      <c r="AF55" s="4567"/>
      <c r="AG55" s="5286"/>
      <c r="AH55" s="4583"/>
      <c r="AI55" s="4784"/>
      <c r="AJ55" s="5287"/>
      <c r="AK55" s="4786"/>
      <c r="AL55" s="4787" t="s">
        <v>806</v>
      </c>
      <c r="AM55" s="5288" t="s">
        <v>1554</v>
      </c>
      <c r="AN55" s="5289"/>
      <c r="AO55" s="5289"/>
      <c r="AP55" s="5289"/>
      <c r="AQ55" s="5289"/>
      <c r="AR55" s="5289"/>
      <c r="AS55" s="5289"/>
      <c r="AT55" s="5287"/>
      <c r="AU55" s="5287"/>
      <c r="AV55" s="5290"/>
      <c r="AW55" s="5290"/>
      <c r="AX55" s="5290"/>
      <c r="AY55" s="4566"/>
      <c r="AZ55" s="4589"/>
      <c r="BA55" s="5291" t="s">
        <v>715</v>
      </c>
      <c r="BB55" s="5292">
        <f>+IF(AND(G55="",BA55=""),"",VLOOKUP(MATCH(BA55,tw,0),twn,'A4(twn)'!$D$12,FALSE))</f>
        <v>137</v>
      </c>
      <c r="BC55" s="5292" t="str">
        <f t="shared" si="17"/>
        <v xml:space="preserve"> -  / -  / 137 / - </v>
      </c>
      <c r="BD55" s="5113" t="s">
        <v>339</v>
      </c>
      <c r="BE55" s="4705"/>
      <c r="BF55" s="5293" t="s">
        <v>473</v>
      </c>
      <c r="BG55" s="5280" t="str">
        <f>+IF(OR(X55="",ISERROR(MATCH(X55,epa_id,0))),"",VLOOKUP(MATCH(X55,epa_id,0),epa,'A1(epa)'!$AH$17,FALSE))</f>
        <v>Norwalk Power, LLC (Owner/Operator)</v>
      </c>
      <c r="BH55" s="5283"/>
      <c r="BI55" s="5283"/>
      <c r="BJ55" s="6138"/>
      <c r="BK55" s="5294"/>
      <c r="BL55" s="5295" t="s">
        <v>522</v>
      </c>
      <c r="BM55" s="6147" t="s">
        <v>1517</v>
      </c>
      <c r="BN55" s="5295" t="s">
        <v>611</v>
      </c>
      <c r="BO55" s="5297" t="s">
        <v>523</v>
      </c>
      <c r="BP55" s="5297" t="s">
        <v>524</v>
      </c>
      <c r="BQ55" s="5297"/>
      <c r="BR55" s="5297"/>
      <c r="BS55" s="5296" t="s">
        <v>525</v>
      </c>
      <c r="BT55" s="5294"/>
      <c r="BU55" s="5294"/>
      <c r="BV55" s="4607"/>
      <c r="BW55" s="5298" t="s">
        <v>790</v>
      </c>
      <c r="BX55" s="5294"/>
      <c r="BY55" s="5294"/>
      <c r="BZ55" s="5294"/>
      <c r="CA55" s="5294"/>
      <c r="CB55" s="5294"/>
      <c r="CC55" s="5299"/>
      <c r="CD55" s="5295"/>
      <c r="CE55" s="5294"/>
      <c r="CF55" s="5300"/>
      <c r="CG55" s="5300"/>
      <c r="CH55" s="4867" t="str">
        <f>+IF(ISERROR(MATCH(X55,epa_id,0)),"",IF(X55="","",IF(VLOOKUP(MATCH(X55,epa_id,0),epa,'A1(epa)'!$AE$17,FALSE)="","",VLOOKUP(MATCH(X55,epa_id,0),epa,'A1(epa)'!$AE$17,FALSE))))</f>
        <v>Electric Utility</v>
      </c>
      <c r="CI55" s="5301" t="s">
        <v>944</v>
      </c>
      <c r="CJ55" s="5301" t="str">
        <f>+IF(ISERROR(MATCH(X55,epa_id,0)),"",IF(X55="","",IF(VLOOKUP(MATCH(X55,epa_id,0),epa,'A1(epa)'!$AF$17,FALSE)="","",VLOOKUP(MATCH(X55,epa_id,0),epa,'A1(epa)'!$AF$17,FALSE))))</f>
        <v>4911</v>
      </c>
      <c r="CK55" s="5110" t="str">
        <f>+IF(ISERROR(MATCH(X55,epa_id,0)),"",IF(X55="","",IF(VLOOKUP(MATCH(X55,epa_id,0),epa,'A1(epa)'!$AG$17,FALSE)="","",VLOOKUP(MATCH(X55,epa_id,0),epa,'A1(epa)'!$AG$17,FALSE))))</f>
        <v>Electric Services</v>
      </c>
      <c r="CL55" s="5296"/>
      <c r="CM55" s="4580"/>
      <c r="CN55" s="5302"/>
      <c r="CO55" s="5320" t="s">
        <v>592</v>
      </c>
      <c r="CP55" s="5303" t="s">
        <v>8</v>
      </c>
      <c r="CQ55" s="5304"/>
      <c r="CR55" s="5305" t="s">
        <v>1116</v>
      </c>
      <c r="CS55" s="5305"/>
      <c r="CT55" s="5306">
        <v>164</v>
      </c>
      <c r="CU55" s="10175">
        <f>+SUM(CT55:CT56)+CT42</f>
        <v>353</v>
      </c>
      <c r="CV55" s="5307">
        <v>1776</v>
      </c>
      <c r="CW55" s="4903" t="s">
        <v>1111</v>
      </c>
      <c r="CX55" s="4978">
        <v>162</v>
      </c>
      <c r="CY55" s="4979" t="s">
        <v>80</v>
      </c>
      <c r="CZ55" s="5308">
        <v>164</v>
      </c>
      <c r="DA55" s="5309" t="s">
        <v>81</v>
      </c>
      <c r="DB55" s="4980"/>
      <c r="DC55" s="5304"/>
      <c r="DD55" s="5304"/>
      <c r="DE55" s="5304"/>
      <c r="DF55" s="4948"/>
      <c r="DG55" s="4982" t="s">
        <v>1558</v>
      </c>
      <c r="DH55" s="5305" t="s">
        <v>1120</v>
      </c>
      <c r="DI55" s="5305" t="s">
        <v>1102</v>
      </c>
      <c r="DJ55" s="5280"/>
      <c r="DK55" s="5280"/>
      <c r="DL55" s="5280"/>
      <c r="DM55" s="5280"/>
      <c r="DN55" s="5310"/>
      <c r="DO55" s="5280"/>
      <c r="DP55" s="5024">
        <v>0.25</v>
      </c>
      <c r="DQ55" s="5291" t="s">
        <v>1124</v>
      </c>
      <c r="DR55" s="5280" t="s">
        <v>1103</v>
      </c>
      <c r="DS55" s="5280"/>
      <c r="DT55" s="5280"/>
      <c r="DU55" s="5280"/>
      <c r="DV55" s="5310"/>
      <c r="DW55" s="5280"/>
      <c r="DX55" s="5024">
        <v>0.2</v>
      </c>
      <c r="DY55" s="5291"/>
      <c r="DZ55" s="5280"/>
      <c r="EA55" s="5280"/>
      <c r="EB55" s="5280"/>
      <c r="EC55" s="5280"/>
      <c r="ED55" s="5310"/>
      <c r="EE55" s="5280"/>
      <c r="EF55" s="5321"/>
      <c r="EG55" s="4982"/>
      <c r="EH55" s="6226">
        <v>1776</v>
      </c>
      <c r="EI55" s="5312"/>
      <c r="EJ55" s="5313"/>
      <c r="EK55" s="5313"/>
      <c r="EL55" s="5312">
        <v>0.21</v>
      </c>
      <c r="EM55" s="5312"/>
      <c r="EN55" s="5322" t="s">
        <v>1193</v>
      </c>
      <c r="EO55" s="5322"/>
      <c r="EP55" s="5312" t="s">
        <v>1197</v>
      </c>
      <c r="EQ55" s="5312">
        <v>0.25</v>
      </c>
      <c r="ER55" s="5314"/>
      <c r="ES55" s="5314" t="s">
        <v>3</v>
      </c>
      <c r="ET55" s="6227"/>
      <c r="EU55" s="5314"/>
      <c r="EV55" s="5315"/>
      <c r="EW55" s="5316">
        <v>0.15</v>
      </c>
      <c r="EX55" s="5314"/>
      <c r="EY55" s="5314" t="s">
        <v>1106</v>
      </c>
      <c r="EZ55" s="5305"/>
      <c r="FA55" s="5305"/>
      <c r="FB55" s="5317"/>
      <c r="FC55" s="4875"/>
      <c r="FD55" s="6198">
        <f>+IF(X55="","",IF(2010-VLOOKUP(MATCH(X55,eyr_id,0),eyr,'A1(epa)'!$U$17,FALSE)=0,IF(VLOOKUP(MATCH(X55,eyr_id,0),eyr,'A1(epa)'!$U$17,FALSE)=0,"",VLOOKUP(MATCH(X55,eyr_id,0),eyr,'A1(epa)'!$U$17,FALSE))))</f>
        <v>2010</v>
      </c>
      <c r="FE55" s="6228">
        <f>+IF(X55="","",IF(2010-VLOOKUP(MATCH(X55,eyr_id,0),eyr,'A1(epa)'!$U$17,FALSE)=0,IF(VLOOKUP(MATCH(X55,eyr_id,0),eyr,'A1(epa)'!$X$17,FALSE)=0,"",VLOOKUP(MATCH(X55,eyr_id,0),eyr,'A1(epa)'!$X$17,FALSE))))</f>
        <v>12</v>
      </c>
      <c r="FF55" s="6229">
        <f>+IF(X55="","",IF(2010-VLOOKUP(MATCH(X55,eyr_id,0),eyr,'A1(epa)'!$U$17,FALSE)=0,IF(VLOOKUP(MATCH(X55,eyr_id,0),eyr,'A1(epa)'!$W$17,FALSE)=0,"",VLOOKUP(MATCH(X55,eyr_id,0),eyr,'A1(epa)'!$W$17,FALSE))))</f>
        <v>885</v>
      </c>
      <c r="FG55" s="6202">
        <f>+IF(X55="","",IF(2010-VLOOKUP(MATCH(X55,eyr_id,0),eyr,'A1(epa)'!$U$17,FALSE)=0,IF(VLOOKUP(MATCH(X55,eyr_id,0),eyr,'A1(epa)'!$AC$17,FALSE)=0,"",VLOOKUP(MATCH(X55,eyr_id,0),eyr,'A1(epa)'!$AC$17,FALSE))))</f>
        <v>447264</v>
      </c>
      <c r="FH55" s="6202">
        <f>+IF(X55="","",IF(2010-VLOOKUP(MATCH(X55,eyr_id,0),eyr,'A1(epa)'!$U$17,FALSE)=0,IF(VLOOKUP(MATCH(X55,eyr_id,0),eyr,'A1(epa)'!$Y$17,FALSE)=0,"",VLOOKUP(MATCH(X55,eyr_id,0),eyr,'A1(epa)'!$Y$17,FALSE))))</f>
        <v>38314</v>
      </c>
      <c r="FI55" s="6203">
        <f>+IF(X55="","",IF(2010-VLOOKUP(MATCH(X55,eyr_id,0),eyr,'A1(epa)'!$U$17,FALSE)=0,IF(VLOOKUP(MATCH(X55,eyr_id,0),eyr,'A1(epa)'!$AB$17,FALSE)=0,"",VLOOKUP(MATCH(X55,eyr_id,0),eyr,'A1(epa)'!$AB$17,FALSE))))</f>
        <v>36.4</v>
      </c>
      <c r="FJ55" s="6198">
        <f>+IF(X55="","",IF(2009-VLOOKUP(MATCH(X55,eyr_id,0)+1,eyr,'A1(epa)'!$U$17,FALSE)=0,IF(VLOOKUP(MATCH(X55,eyr_id,0)+1,eyr,'A1(epa)'!$U$17,FALSE)=0,"",VLOOKUP(MATCH(X55,eyr_id,0)+1,eyr,'A1(epa)'!$U$17,FALSE))))</f>
        <v>2009</v>
      </c>
      <c r="FK55" s="6228">
        <f>+IF(X55="","",IF(2009-VLOOKUP(MATCH(X55,eyr_id,0)+1,eyr,'A1(epa)'!$U$17,FALSE)=0,IF(VLOOKUP(MATCH(X55,eyr_id,0)+1,eyr,'A1(epa)'!$X$17,FALSE)=0,"",VLOOKUP(MATCH(X55,eyr_id,0)+1,eyr,'A1(epa)'!$X$17,FALSE))))</f>
        <v>12</v>
      </c>
      <c r="FL55" s="6229">
        <f>+IF(X55="","",IF(2009-VLOOKUP(MATCH(X55,eyr_id,0)+1,eyr,'A1(epa)'!$U$17,FALSE)=0,IF(VLOOKUP(MATCH(X55,eyr_id,0)+1,eyr,'A1(epa)'!$W$17,FALSE)=0,"",VLOOKUP(MATCH(X55,eyr_id,0)+1,eyr,'A1(epa)'!$W$17,FALSE))))</f>
        <v>304</v>
      </c>
      <c r="FM55" s="6202">
        <f>+IF(X55="","",IF(2009-VLOOKUP(MATCH(X55,eyr_id,0)+1,eyr,'A1(epa)'!$U$17,FALSE)=0,IF(VLOOKUP(MATCH(X55,eyr_id,0)+1,eyr,'A1(epa)'!$AC$17,FALSE)=0,"",VLOOKUP(MATCH(X55,eyr_id,0)+1,eyr,'A1(epa)'!$AC$17,FALSE))))</f>
        <v>201785</v>
      </c>
      <c r="FN55" s="6202">
        <f>+IF(X55="","",IF(2009-VLOOKUP(MATCH(X55,eyr_id,0)+1,eyr,'A1(epa)'!$U$17,FALSE)=0,IF(VLOOKUP(MATCH(X55,eyr_id,0)+1,eyr,'A1(epa)'!$Y$17,FALSE)=0,"",VLOOKUP(MATCH(X55,eyr_id,0)+1,eyr,'A1(epa)'!$Y$17,FALSE))))</f>
        <v>16636</v>
      </c>
      <c r="FO55" s="6203">
        <f>+IF(X55="","",IF(2009-VLOOKUP(MATCH(X55,eyr_id,0)+1,eyr,'A1(epa)'!$U$17,FALSE)=0,IF(VLOOKUP(MATCH(X55,eyr_id,0)+1,eyr,'A1(epa)'!$AB$17,FALSE)=0,"",VLOOKUP(MATCH(X55,eyr_id,0)+1,eyr,'A1(epa)'!$AB$17,FALSE))))</f>
        <v>17.399999999999999</v>
      </c>
      <c r="FP55" s="4982"/>
      <c r="FQ55" s="5305"/>
      <c r="FR55" s="5318" t="s">
        <v>979</v>
      </c>
      <c r="FS55" s="5305"/>
      <c r="FT55" s="5305"/>
      <c r="FU55" s="5305"/>
      <c r="FV55" s="4948"/>
      <c r="FW55" s="4806">
        <v>2010</v>
      </c>
      <c r="FX55" s="6264">
        <v>643.79999999999995</v>
      </c>
      <c r="FY55" s="6264">
        <v>550.4</v>
      </c>
      <c r="FZ55" s="6264">
        <v>93.4</v>
      </c>
      <c r="GA55" s="6264">
        <f t="shared" si="51"/>
        <v>643.79999999999995</v>
      </c>
      <c r="GB55" s="6355" t="str">
        <f t="shared" si="36"/>
        <v>less -241 hrs than EPA-CAIROS report</v>
      </c>
      <c r="GC55" s="6264"/>
      <c r="GD55" s="6265">
        <v>425640</v>
      </c>
      <c r="GE55" s="6320" t="str">
        <f t="shared" si="52"/>
        <v>same as EPA-CAIROS report, within ±10%</v>
      </c>
      <c r="GF55" s="6265">
        <v>38486</v>
      </c>
      <c r="GG55" s="6320" t="str">
        <f t="shared" si="53"/>
        <v>same as EPA-CAIROS report, within ±5%</v>
      </c>
      <c r="GH55" s="6265"/>
      <c r="GI55" s="6265"/>
      <c r="GJ55" s="6321">
        <v>2.7E-2</v>
      </c>
      <c r="GK55" s="4806">
        <v>2009</v>
      </c>
      <c r="GL55" s="6319">
        <v>193.1</v>
      </c>
      <c r="GM55" s="6319">
        <v>131</v>
      </c>
      <c r="GN55" s="6319">
        <v>62.1</v>
      </c>
      <c r="GO55" s="6319">
        <f t="shared" si="54"/>
        <v>193.1</v>
      </c>
      <c r="GP55" s="6330" t="str">
        <f t="shared" si="55"/>
        <v>less -111 hrs than EPA-CAIROS report</v>
      </c>
      <c r="GQ55" s="6319"/>
      <c r="GR55" s="6265">
        <v>173890</v>
      </c>
      <c r="GS55" s="6320" t="str">
        <f t="shared" si="40"/>
        <v>less -14% MMBtu/hr than EPA-CAIROS report</v>
      </c>
      <c r="GT55" s="6265">
        <v>16727</v>
      </c>
      <c r="GU55" s="6320" t="str">
        <f t="shared" si="41"/>
        <v>same as EPA-CAIROS report, within ±5%</v>
      </c>
      <c r="GV55" s="6265"/>
      <c r="GW55" s="6265"/>
      <c r="GX55" s="6321">
        <v>1.2E-2</v>
      </c>
      <c r="GY55" s="6287">
        <f t="shared" si="56"/>
        <v>418.45</v>
      </c>
      <c r="GZ55" s="6264">
        <f t="shared" si="42"/>
        <v>418.45</v>
      </c>
      <c r="HA55" s="6264"/>
      <c r="HB55" s="6264"/>
      <c r="HC55" s="6264"/>
      <c r="HD55" s="6265">
        <f t="shared" si="63"/>
        <v>299765</v>
      </c>
      <c r="HE55" s="6265">
        <f t="shared" si="57"/>
        <v>299765</v>
      </c>
      <c r="HF55" s="6265">
        <f t="shared" si="58"/>
        <v>299765</v>
      </c>
      <c r="HG55" s="6265"/>
      <c r="HH55" s="6266" t="str">
        <f t="shared" si="13"/>
        <v/>
      </c>
      <c r="HI55" s="6266">
        <f t="shared" si="14"/>
        <v>0.21</v>
      </c>
      <c r="HJ55" s="6266">
        <f t="shared" si="59"/>
        <v>0.21</v>
      </c>
      <c r="HK55" s="6266"/>
      <c r="HL55" s="6270">
        <v>31.48</v>
      </c>
      <c r="HM55" s="6270">
        <f t="shared" si="60"/>
        <v>31.48</v>
      </c>
      <c r="HN55" s="6290">
        <f t="shared" si="61"/>
        <v>31.475324999999998</v>
      </c>
      <c r="HO55" s="5357"/>
    </row>
    <row r="56" spans="1:223" s="5349" customFormat="1" ht="25.5" customHeight="1" thickBot="1">
      <c r="A56" s="5370" t="str">
        <f t="shared" si="49"/>
        <v>8306-07</v>
      </c>
      <c r="B56" s="9571"/>
      <c r="C56" s="5371" t="str">
        <f t="shared" si="50"/>
        <v>NH2 </v>
      </c>
      <c r="D56" s="6109"/>
      <c r="E56" s="6113"/>
      <c r="F56" s="6109"/>
      <c r="G56" s="4636">
        <v>36</v>
      </c>
      <c r="H56" s="4615">
        <v>22</v>
      </c>
      <c r="I56" s="10158"/>
      <c r="J56" s="5323" t="s">
        <v>611</v>
      </c>
      <c r="K56" s="4756">
        <v>8306</v>
      </c>
      <c r="L56" s="4757" t="s">
        <v>351</v>
      </c>
      <c r="M56" s="4757" t="s">
        <v>2093</v>
      </c>
      <c r="N56" s="4626" t="s">
        <v>351</v>
      </c>
      <c r="O56" s="4618"/>
      <c r="P56" s="4626" t="s">
        <v>370</v>
      </c>
      <c r="Q56" s="5325" t="s">
        <v>1092</v>
      </c>
      <c r="R56" s="4626" t="str">
        <f>+IF(ISERROR(MATCH(X56,epa_id,0)),"",IF(X56="","",IF(VLOOKUP(MATCH(X56,epa_id,0),epa,'A1(epa)'!$S$17,FALSE)="","",VLOOKUP(MATCH(X56,epa_id,0),epa,'A1(epa)'!$S$17,FALSE))))</f>
        <v>2</v>
      </c>
      <c r="S56" s="5324">
        <f>+IF(ISERROR(MATCH(X56,epa_id,0)),"",IF(X56="","",IF(VLOOKUP(MATCH(X56,epa_id,0),epa,'A1(epa)'!$R$17,FALSE)="","",VLOOKUP(MATCH(X56,epa_id,0),epa,'A1(epa)'!$R$17,FALSE))))</f>
        <v>548</v>
      </c>
      <c r="T56" s="4618" t="s">
        <v>544</v>
      </c>
      <c r="U56" s="4619">
        <v>1</v>
      </c>
      <c r="V56" s="4619">
        <v>1</v>
      </c>
      <c r="W56" s="4619">
        <f t="shared" si="62"/>
        <v>7</v>
      </c>
      <c r="X56" s="4709" t="str">
        <f t="shared" si="5"/>
        <v>8306-07</v>
      </c>
      <c r="Y56" s="4710" t="s">
        <v>1512</v>
      </c>
      <c r="Z56" s="4615" t="s">
        <v>811</v>
      </c>
      <c r="AA56" s="4869" t="s">
        <v>377</v>
      </c>
      <c r="AB56" s="4619"/>
      <c r="AC56" s="4712"/>
      <c r="AD56" s="5326" t="str">
        <f>+AA56</f>
        <v>R-137-0030</v>
      </c>
      <c r="AE56" s="4714"/>
      <c r="AF56" s="4620"/>
      <c r="AG56" s="4628"/>
      <c r="AH56" s="5327"/>
      <c r="AI56" s="4987"/>
      <c r="AJ56" s="4810"/>
      <c r="AK56" s="4811"/>
      <c r="AL56" s="5328" t="s">
        <v>806</v>
      </c>
      <c r="AM56" s="5329" t="s">
        <v>1554</v>
      </c>
      <c r="AN56" s="4814"/>
      <c r="AO56" s="4814"/>
      <c r="AP56" s="4814"/>
      <c r="AQ56" s="4814"/>
      <c r="AR56" s="4814"/>
      <c r="AS56" s="4814"/>
      <c r="AT56" s="4810"/>
      <c r="AU56" s="4810"/>
      <c r="AV56" s="5330"/>
      <c r="AW56" s="5330"/>
      <c r="AX56" s="5330"/>
      <c r="AY56" s="5331"/>
      <c r="AZ56" s="4622"/>
      <c r="BA56" s="4845" t="s">
        <v>715</v>
      </c>
      <c r="BB56" s="4846">
        <f>+IF(AND(G56="",BA56=""),"",VLOOKUP(MATCH(BA56,tw,0),twn,'A4(twn)'!$D$12,FALSE))</f>
        <v>137</v>
      </c>
      <c r="BC56" s="4846" t="str">
        <f t="shared" si="17"/>
        <v xml:space="preserve"> -  / -  / 137 / - </v>
      </c>
      <c r="BD56" s="4626" t="s">
        <v>339</v>
      </c>
      <c r="BE56" s="4710"/>
      <c r="BF56" s="4847" t="s">
        <v>473</v>
      </c>
      <c r="BG56" s="4618" t="str">
        <f>+IF(OR(X56="",ISERROR(MATCH(X56,epa_id,0))),"",VLOOKUP(MATCH(X56,epa_id,0),epa,'A1(epa)'!$AH$17,FALSE))</f>
        <v>Norwalk Power, LLC (Owner/Operator)</v>
      </c>
      <c r="BH56" s="4619"/>
      <c r="BI56" s="4619"/>
      <c r="BJ56" s="6139"/>
      <c r="BK56" s="4627"/>
      <c r="BL56" s="4623" t="s">
        <v>522</v>
      </c>
      <c r="BM56" s="6148" t="s">
        <v>1517</v>
      </c>
      <c r="BN56" s="4623" t="s">
        <v>611</v>
      </c>
      <c r="BO56" s="4633" t="s">
        <v>523</v>
      </c>
      <c r="BP56" s="4633" t="s">
        <v>524</v>
      </c>
      <c r="BQ56" s="4633"/>
      <c r="BR56" s="4633"/>
      <c r="BS56" s="4629" t="s">
        <v>525</v>
      </c>
      <c r="BT56" s="4627"/>
      <c r="BU56" s="4627"/>
      <c r="BV56" s="4630"/>
      <c r="BW56" s="5332" t="s">
        <v>790</v>
      </c>
      <c r="BX56" s="4627"/>
      <c r="BY56" s="4627"/>
      <c r="BZ56" s="4627"/>
      <c r="CA56" s="4627"/>
      <c r="CB56" s="4627"/>
      <c r="CC56" s="5333"/>
      <c r="CD56" s="4623"/>
      <c r="CE56" s="4627"/>
      <c r="CF56" s="4632"/>
      <c r="CG56" s="4632"/>
      <c r="CH56" s="4868" t="str">
        <f>+IF(ISERROR(MATCH(X56,epa_id,0)),"",IF(X56="","",IF(VLOOKUP(MATCH(X56,epa_id,0),epa,'A1(epa)'!$AE$17,FALSE)="","",VLOOKUP(MATCH(X56,epa_id,0),epa,'A1(epa)'!$AE$17,FALSE))))</f>
        <v>Electric Utility</v>
      </c>
      <c r="CI56" s="4711" t="s">
        <v>944</v>
      </c>
      <c r="CJ56" s="4711" t="str">
        <f>+IF(ISERROR(MATCH(X56,epa_id,0)),"",IF(X56="","",IF(VLOOKUP(MATCH(X56,epa_id,0),epa,'A1(epa)'!$AF$17,FALSE)="","",VLOOKUP(MATCH(X56,epa_id,0),epa,'A1(epa)'!$AF$17,FALSE))))</f>
        <v>4911</v>
      </c>
      <c r="CK56" s="4869" t="str">
        <f>+IF(ISERROR(MATCH(X56,epa_id,0)),"",IF(X56="","",IF(VLOOKUP(MATCH(X56,epa_id,0),epa,'A1(epa)'!$AG$17,FALSE)="","",VLOOKUP(MATCH(X56,epa_id,0),epa,'A1(epa)'!$AG$17,FALSE))))</f>
        <v>Electric Services</v>
      </c>
      <c r="CL56" s="4629"/>
      <c r="CM56" s="5334"/>
      <c r="CN56" s="4917"/>
      <c r="CO56" s="4918" t="s">
        <v>592</v>
      </c>
      <c r="CP56" s="4813" t="s">
        <v>8</v>
      </c>
      <c r="CQ56" s="4919"/>
      <c r="CR56" s="4920" t="s">
        <v>1116</v>
      </c>
      <c r="CS56" s="4920"/>
      <c r="CT56" s="5335">
        <v>172</v>
      </c>
      <c r="CU56" s="10162"/>
      <c r="CV56" s="5336">
        <v>1776</v>
      </c>
      <c r="CW56" s="5337" t="s">
        <v>1111</v>
      </c>
      <c r="CX56" s="5338">
        <v>168</v>
      </c>
      <c r="CY56" s="5339" t="s">
        <v>80</v>
      </c>
      <c r="CZ56" s="5340">
        <v>172</v>
      </c>
      <c r="DA56" s="5341" t="s">
        <v>81</v>
      </c>
      <c r="DB56" s="4984"/>
      <c r="DC56" s="4919"/>
      <c r="DD56" s="4919"/>
      <c r="DE56" s="4919"/>
      <c r="DF56" s="5106"/>
      <c r="DG56" s="5052" t="s">
        <v>1558</v>
      </c>
      <c r="DH56" s="4920" t="s">
        <v>1101</v>
      </c>
      <c r="DI56" s="4920" t="s">
        <v>1102</v>
      </c>
      <c r="DJ56" s="4618"/>
      <c r="DK56" s="4618"/>
      <c r="DL56" s="4618"/>
      <c r="DM56" s="4618"/>
      <c r="DN56" s="5025"/>
      <c r="DO56" s="4618"/>
      <c r="DP56" s="5342">
        <v>0.25</v>
      </c>
      <c r="DQ56" s="4845" t="s">
        <v>1124</v>
      </c>
      <c r="DR56" s="4618" t="s">
        <v>1103</v>
      </c>
      <c r="DS56" s="4618"/>
      <c r="DT56" s="4618"/>
      <c r="DU56" s="4618"/>
      <c r="DV56" s="5025"/>
      <c r="DW56" s="4618"/>
      <c r="DX56" s="5342">
        <v>0.2</v>
      </c>
      <c r="DY56" s="4845"/>
      <c r="DZ56" s="4618"/>
      <c r="EA56" s="4618"/>
      <c r="EB56" s="4618"/>
      <c r="EC56" s="4618"/>
      <c r="ED56" s="5025"/>
      <c r="EE56" s="4618"/>
      <c r="EF56" s="5343"/>
      <c r="EG56" s="5052"/>
      <c r="EH56" s="6230">
        <v>1776</v>
      </c>
      <c r="EI56" s="5053"/>
      <c r="EJ56" s="5054"/>
      <c r="EK56" s="5054"/>
      <c r="EL56" s="5053">
        <v>0.21</v>
      </c>
      <c r="EM56" s="5053"/>
      <c r="EN56" s="5344" t="s">
        <v>1193</v>
      </c>
      <c r="EO56" s="5344"/>
      <c r="EP56" s="5053" t="s">
        <v>1197</v>
      </c>
      <c r="EQ56" s="5053">
        <v>0.25</v>
      </c>
      <c r="ER56" s="5059"/>
      <c r="ES56" s="5059" t="s">
        <v>1</v>
      </c>
      <c r="ET56" s="6231"/>
      <c r="EU56" s="5059"/>
      <c r="EV56" s="5345"/>
      <c r="EW56" s="5085">
        <v>0.15</v>
      </c>
      <c r="EX56" s="5059"/>
      <c r="EY56" s="5059" t="s">
        <v>1106</v>
      </c>
      <c r="EZ56" s="4920"/>
      <c r="FA56" s="4920"/>
      <c r="FB56" s="5086"/>
      <c r="FC56" s="5029"/>
      <c r="FD56" s="6232">
        <f>+IF(X56="","",IF(2010-VLOOKUP(MATCH(X56,eyr_id,0),eyr,'A1(epa)'!$U$17,FALSE)=0,IF(VLOOKUP(MATCH(X56,eyr_id,0),eyr,'A1(epa)'!$U$17,FALSE)=0,"",VLOOKUP(MATCH(X56,eyr_id,0),eyr,'A1(epa)'!$U$17,FALSE))))</f>
        <v>2010</v>
      </c>
      <c r="FE56" s="6233">
        <f>+IF(X56="","",IF(2010-VLOOKUP(MATCH(X56,eyr_id,0),eyr,'A1(epa)'!$U$17,FALSE)=0,IF(VLOOKUP(MATCH(X56,eyr_id,0),eyr,'A1(epa)'!$X$17,FALSE)=0,"",VLOOKUP(MATCH(X56,eyr_id,0),eyr,'A1(epa)'!$X$17,FALSE))))</f>
        <v>12</v>
      </c>
      <c r="FF56" s="6234">
        <f>+IF(X56="","",IF(2010-VLOOKUP(MATCH(X56,eyr_id,0),eyr,'A1(epa)'!$U$17,FALSE)=0,IF(VLOOKUP(MATCH(X56,eyr_id,0),eyr,'A1(epa)'!$W$17,FALSE)=0,"",VLOOKUP(MATCH(X56,eyr_id,0),eyr,'A1(epa)'!$W$17,FALSE))))</f>
        <v>928</v>
      </c>
      <c r="FG56" s="6235">
        <f>+IF(X56="","",IF(2010-VLOOKUP(MATCH(X56,eyr_id,0),eyr,'A1(epa)'!$U$17,FALSE)=0,IF(VLOOKUP(MATCH(X56,eyr_id,0),eyr,'A1(epa)'!$AC$17,FALSE)=0,"",VLOOKUP(MATCH(X56,eyr_id,0),eyr,'A1(epa)'!$AC$17,FALSE))))</f>
        <v>533193</v>
      </c>
      <c r="FH56" s="6235">
        <f>+IF(X56="","",IF(2010-VLOOKUP(MATCH(X56,eyr_id,0),eyr,'A1(epa)'!$U$17,FALSE)=0,IF(VLOOKUP(MATCH(X56,eyr_id,0),eyr,'A1(epa)'!$Y$17,FALSE)=0,"",VLOOKUP(MATCH(X56,eyr_id,0),eyr,'A1(epa)'!$Y$17,FALSE))))</f>
        <v>45429</v>
      </c>
      <c r="FI56" s="6236">
        <f>+IF(X56="","",IF(2010-VLOOKUP(MATCH(X56,eyr_id,0),eyr,'A1(epa)'!$U$17,FALSE)=0,IF(VLOOKUP(MATCH(X56,eyr_id,0),eyr,'A1(epa)'!$AB$17,FALSE)=0,"",VLOOKUP(MATCH(X56,eyr_id,0),eyr,'A1(epa)'!$AB$17,FALSE))))</f>
        <v>43.9</v>
      </c>
      <c r="FJ56" s="6232">
        <f>+IF(X56="","",IF(2009-VLOOKUP(MATCH(X56,eyr_id,0)+1,eyr,'A1(epa)'!$U$17,FALSE)=0,IF(VLOOKUP(MATCH(X56,eyr_id,0)+1,eyr,'A1(epa)'!$U$17,FALSE)=0,"",VLOOKUP(MATCH(X56,eyr_id,0)+1,eyr,'A1(epa)'!$U$17,FALSE))))</f>
        <v>2009</v>
      </c>
      <c r="FK56" s="6233">
        <f>+IF(X56="","",IF(2009-VLOOKUP(MATCH(X56,eyr_id,0)+1,eyr,'A1(epa)'!$U$17,FALSE)=0,IF(VLOOKUP(MATCH(X56,eyr_id,0)+1,eyr,'A1(epa)'!$X$17,FALSE)=0,"",VLOOKUP(MATCH(X56,eyr_id,0)+1,eyr,'A1(epa)'!$X$17,FALSE))))</f>
        <v>12</v>
      </c>
      <c r="FL56" s="6234">
        <f>+IF(X56="","",IF(2009-VLOOKUP(MATCH(X56,eyr_id,0)+1,eyr,'A1(epa)'!$U$17,FALSE)=0,IF(VLOOKUP(MATCH(X56,eyr_id,0)+1,eyr,'A1(epa)'!$W$17,FALSE)=0,"",VLOOKUP(MATCH(X56,eyr_id,0)+1,eyr,'A1(epa)'!$W$17,FALSE))))</f>
        <v>458</v>
      </c>
      <c r="FM56" s="6235">
        <f>+IF(X56="","",IF(2009-VLOOKUP(MATCH(X56,eyr_id,0)+1,eyr,'A1(epa)'!$U$17,FALSE)=0,IF(VLOOKUP(MATCH(X56,eyr_id,0)+1,eyr,'A1(epa)'!$AC$17,FALSE)=0,"",VLOOKUP(MATCH(X56,eyr_id,0)+1,eyr,'A1(epa)'!$AC$17,FALSE))))</f>
        <v>292868</v>
      </c>
      <c r="FN56" s="6235">
        <f>+IF(X56="","",IF(2009-VLOOKUP(MATCH(X56,eyr_id,0)+1,eyr,'A1(epa)'!$U$17,FALSE)=0,IF(VLOOKUP(MATCH(X56,eyr_id,0)+1,eyr,'A1(epa)'!$Y$17,FALSE)=0,"",VLOOKUP(MATCH(X56,eyr_id,0)+1,eyr,'A1(epa)'!$Y$17,FALSE))))</f>
        <v>23327</v>
      </c>
      <c r="FO56" s="6236">
        <f>+IF(X56="","",IF(2009-VLOOKUP(MATCH(X56,eyr_id,0)+1,eyr,'A1(epa)'!$U$17,FALSE)=0,IF(VLOOKUP(MATCH(X56,eyr_id,0)+1,eyr,'A1(epa)'!$AB$17,FALSE)=0,"",VLOOKUP(MATCH(X56,eyr_id,0)+1,eyr,'A1(epa)'!$AB$17,FALSE))))</f>
        <v>22.7</v>
      </c>
      <c r="FP56" s="5052"/>
      <c r="FQ56" s="4920"/>
      <c r="FR56" s="5105" t="s">
        <v>979</v>
      </c>
      <c r="FS56" s="4920"/>
      <c r="FT56" s="4920"/>
      <c r="FU56" s="4920"/>
      <c r="FV56" s="5106"/>
      <c r="FW56" s="4812">
        <v>2010</v>
      </c>
      <c r="FX56" s="6292">
        <v>730.6</v>
      </c>
      <c r="FY56" s="6292">
        <v>571.1</v>
      </c>
      <c r="FZ56" s="6292">
        <v>159.5</v>
      </c>
      <c r="GA56" s="6292">
        <f t="shared" si="51"/>
        <v>730.6</v>
      </c>
      <c r="GB56" s="6362" t="str">
        <f t="shared" si="36"/>
        <v>less -197 hrs than EPA-CAIROS report</v>
      </c>
      <c r="GC56" s="6292"/>
      <c r="GD56" s="6293">
        <v>495170</v>
      </c>
      <c r="GE56" s="6346" t="str">
        <f t="shared" si="52"/>
        <v>same as EPA-CAIROS report, within ±10%</v>
      </c>
      <c r="GF56" s="6293">
        <v>45082</v>
      </c>
      <c r="GG56" s="6346" t="str">
        <f t="shared" si="53"/>
        <v>same as EPA-CAIROS report, within ±5%</v>
      </c>
      <c r="GH56" s="6293"/>
      <c r="GI56" s="6293"/>
      <c r="GJ56" s="6347">
        <v>3.1E-2</v>
      </c>
      <c r="GK56" s="6343">
        <v>2009</v>
      </c>
      <c r="GL56" s="6344">
        <v>400.1</v>
      </c>
      <c r="GM56" s="6344">
        <v>166.6</v>
      </c>
      <c r="GN56" s="6344">
        <v>233.5</v>
      </c>
      <c r="GO56" s="6344">
        <f t="shared" si="54"/>
        <v>400.1</v>
      </c>
      <c r="GP56" s="6345" t="str">
        <f t="shared" si="55"/>
        <v>less -58 hrs than EPA-CAIROS report</v>
      </c>
      <c r="GQ56" s="6344"/>
      <c r="GR56" s="6293">
        <v>245080</v>
      </c>
      <c r="GS56" s="6346" t="str">
        <f t="shared" si="40"/>
        <v>less -16% MMBtu/hr than EPA-CAIROS report</v>
      </c>
      <c r="GT56" s="6293">
        <v>23164</v>
      </c>
      <c r="GU56" s="6346" t="str">
        <f t="shared" si="41"/>
        <v>same as EPA-CAIROS report, within ±5%</v>
      </c>
      <c r="GV56" s="6293"/>
      <c r="GW56" s="6293"/>
      <c r="GX56" s="6347">
        <v>1.6E-2</v>
      </c>
      <c r="GY56" s="6291">
        <f t="shared" si="56"/>
        <v>565.35</v>
      </c>
      <c r="GZ56" s="6292">
        <f t="shared" si="42"/>
        <v>565.35</v>
      </c>
      <c r="HA56" s="6292"/>
      <c r="HB56" s="6292"/>
      <c r="HC56" s="6292"/>
      <c r="HD56" s="6293">
        <f t="shared" si="63"/>
        <v>370125</v>
      </c>
      <c r="HE56" s="6293">
        <f t="shared" si="57"/>
        <v>370125</v>
      </c>
      <c r="HF56" s="6293">
        <f t="shared" si="58"/>
        <v>370125</v>
      </c>
      <c r="HG56" s="6293"/>
      <c r="HH56" s="6294" t="str">
        <f t="shared" si="13"/>
        <v/>
      </c>
      <c r="HI56" s="6294">
        <f t="shared" si="14"/>
        <v>0.21</v>
      </c>
      <c r="HJ56" s="6294">
        <f t="shared" si="59"/>
        <v>0.21</v>
      </c>
      <c r="HK56" s="6294"/>
      <c r="HL56" s="6295">
        <v>38.86</v>
      </c>
      <c r="HM56" s="6295">
        <f t="shared" si="60"/>
        <v>38.86</v>
      </c>
      <c r="HN56" s="6296">
        <f t="shared" si="61"/>
        <v>38.863124999999997</v>
      </c>
      <c r="HO56" s="5357"/>
    </row>
    <row r="57" spans="1:223" s="5349" customFormat="1" ht="25.5" customHeight="1">
      <c r="A57" s="5362" t="str">
        <f>+X57</f>
        <v>8305-01</v>
      </c>
      <c r="B57" s="5372" t="str">
        <f>+J57</f>
        <v>PSEG</v>
      </c>
      <c r="C57" s="5363" t="str">
        <f>+Q57</f>
        <v>NHB1</v>
      </c>
      <c r="D57" s="6109"/>
      <c r="E57" s="6113"/>
      <c r="F57" s="6109"/>
      <c r="G57" s="4636">
        <v>37</v>
      </c>
      <c r="H57" s="8597">
        <v>23</v>
      </c>
      <c r="I57" s="10171" t="s">
        <v>1486</v>
      </c>
      <c r="J57" s="5150" t="s">
        <v>610</v>
      </c>
      <c r="K57" s="4739">
        <v>8305</v>
      </c>
      <c r="L57" s="85" t="s">
        <v>350</v>
      </c>
      <c r="M57" s="85" t="s">
        <v>2094</v>
      </c>
      <c r="N57" s="8562"/>
      <c r="O57" s="8562"/>
      <c r="P57" s="8562" t="s">
        <v>542</v>
      </c>
      <c r="Q57" s="5188" t="s">
        <v>1244</v>
      </c>
      <c r="R57" s="8562" t="str">
        <f>+IF(ISERROR(MATCH(X57,epa_id,0)),"",IF(X57="","",IF(VLOOKUP(MATCH(X57,epa_id,0),epa,'A1(epa)'!$S$17,FALSE)="","",VLOOKUP(MATCH(X57,epa_id,0),epa,'A1(epa)'!$S$17,FALSE))))</f>
        <v>NHB1</v>
      </c>
      <c r="S57" s="306">
        <f>+IF(ISERROR(MATCH(X57,epa_id,0)),"",IF(X57="","",IF(VLOOKUP(MATCH(X57,epa_id,0),epa,'A1(epa)'!$R$17,FALSE)="","",VLOOKUP(MATCH(X57,epa_id,0),epa,'A1(epa)'!$R$17,FALSE))))</f>
        <v>6156</v>
      </c>
      <c r="T57" s="6071" t="s">
        <v>544</v>
      </c>
      <c r="U57" s="350">
        <v>1</v>
      </c>
      <c r="V57" s="350">
        <v>1</v>
      </c>
      <c r="W57" s="350">
        <v>1</v>
      </c>
      <c r="X57" s="4660" t="str">
        <f t="shared" si="5"/>
        <v>8305-01</v>
      </c>
      <c r="Y57" s="8570" t="s">
        <v>1512</v>
      </c>
      <c r="Z57" s="8597"/>
      <c r="AA57" s="4663" t="s">
        <v>582</v>
      </c>
      <c r="AB57" s="4663"/>
      <c r="AC57" s="4703">
        <v>41981</v>
      </c>
      <c r="AD57" s="5189"/>
      <c r="AE57" s="4704"/>
      <c r="AF57" s="351" t="s">
        <v>583</v>
      </c>
      <c r="AG57" s="5149"/>
      <c r="AH57" s="5151"/>
      <c r="AI57" s="5190" t="s">
        <v>541</v>
      </c>
      <c r="AJ57" s="4778">
        <v>40155</v>
      </c>
      <c r="AK57" s="4779"/>
      <c r="AL57" s="158"/>
      <c r="AM57" s="4793"/>
      <c r="AN57" s="4781">
        <v>40298</v>
      </c>
      <c r="AO57" s="4781"/>
      <c r="AP57" s="4781">
        <v>40568</v>
      </c>
      <c r="AQ57" s="4781">
        <v>40570</v>
      </c>
      <c r="AR57" s="4781"/>
      <c r="AS57" s="4781"/>
      <c r="AT57" s="4945">
        <v>8243</v>
      </c>
      <c r="AU57" s="4783"/>
      <c r="AV57" s="352"/>
      <c r="AW57" s="352"/>
      <c r="AX57" s="352">
        <v>8243</v>
      </c>
      <c r="AY57" s="5191"/>
      <c r="AZ57" s="5192"/>
      <c r="BA57" s="5012" t="s">
        <v>423</v>
      </c>
      <c r="BB57" s="613">
        <f>+IF(AND(G57="",BA57=""),"",VLOOKUP(MATCH(BA57,tw,0),twn,'A4(twn)'!$D$12,FALSE))</f>
        <v>117</v>
      </c>
      <c r="BC57" s="613" t="str">
        <f t="shared" si="17"/>
        <v xml:space="preserve"> -  / -  / 117 / - </v>
      </c>
      <c r="BD57" s="8562" t="s">
        <v>543</v>
      </c>
      <c r="BE57" s="8570" t="s">
        <v>546</v>
      </c>
      <c r="BF57" s="5193" t="s">
        <v>428</v>
      </c>
      <c r="BG57" s="6071" t="str">
        <f>+IF(OR(X57="",ISERROR(MATCH(X57,epa_id,0))),"",VLOOKUP(MATCH(X57,epa_id,0),epa,'A1(epa)'!$AH$17,FALSE))</f>
        <v>PSEG (Owner/Operator)</v>
      </c>
      <c r="BH57" s="350"/>
      <c r="BI57" s="350"/>
      <c r="BJ57" s="6133"/>
      <c r="BK57" s="5194"/>
      <c r="BL57" s="5195" t="s">
        <v>427</v>
      </c>
      <c r="BM57" s="5195"/>
      <c r="BN57" s="5195" t="s">
        <v>610</v>
      </c>
      <c r="BO57" s="5194" t="s">
        <v>526</v>
      </c>
      <c r="BP57" s="361" t="s">
        <v>527</v>
      </c>
      <c r="BQ57" s="5194" t="s">
        <v>429</v>
      </c>
      <c r="BR57" s="5194"/>
      <c r="BS57" s="5194"/>
      <c r="BT57" s="5194" t="s">
        <v>430</v>
      </c>
      <c r="BU57" s="5194"/>
      <c r="BV57" s="5126"/>
      <c r="BW57" s="4851" t="s">
        <v>790</v>
      </c>
      <c r="BX57" s="5194" t="s">
        <v>427</v>
      </c>
      <c r="BY57" s="5195"/>
      <c r="BZ57" s="5195"/>
      <c r="CA57" s="5194"/>
      <c r="CB57" s="5194"/>
      <c r="CC57" s="358">
        <v>40568</v>
      </c>
      <c r="CD57" s="5195"/>
      <c r="CE57" s="5194"/>
      <c r="CF57" s="5196"/>
      <c r="CG57" s="5196"/>
      <c r="CH57" s="5197" t="str">
        <f>+IF(ISERROR(MATCH(X57,epa_id,0)),"",IF(X57="","",IF(VLOOKUP(MATCH(X57,epa_id,0),epa,'A1(epa)'!$AE$17,FALSE)="","",VLOOKUP(MATCH(X57,epa_id,0),epa,'A1(epa)'!$AE$17,FALSE))))</f>
        <v>Electric Utility</v>
      </c>
      <c r="CI57" s="5198" t="s">
        <v>944</v>
      </c>
      <c r="CJ57" s="5198" t="str">
        <f>+IF(ISERROR(MATCH(X57,epa_id,0)),"",IF(X57="","",IF(VLOOKUP(MATCH(X57,epa_id,0),epa,'A1(epa)'!$AF$17,FALSE)="","",VLOOKUP(MATCH(X57,epa_id,0),epa,'A1(epa)'!$AF$17,FALSE))))</f>
        <v>4911</v>
      </c>
      <c r="CK57" s="8562" t="str">
        <f>+IF(ISERROR(MATCH(X57,epa_id,0)),"",IF(X57="","",IF(VLOOKUP(MATCH(X57,epa_id,0),epa,'A1(epa)'!$AG$17,FALSE)="","",VLOOKUP(MATCH(X57,epa_id,0),epa,'A1(epa)'!$AG$17,FALSE))))</f>
        <v>Electric Services</v>
      </c>
      <c r="CL57" s="5199" t="s">
        <v>584</v>
      </c>
      <c r="CM57" s="5200" t="s">
        <v>585</v>
      </c>
      <c r="CN57" s="4892"/>
      <c r="CO57" s="4793" t="s">
        <v>1646</v>
      </c>
      <c r="CP57" s="4793"/>
      <c r="CQ57" s="4894"/>
      <c r="CR57" s="4913"/>
      <c r="CS57" s="4913"/>
      <c r="CT57" s="5201" t="s">
        <v>1191</v>
      </c>
      <c r="CU57" s="5202"/>
      <c r="CV57" s="5203"/>
      <c r="CW57" s="5204"/>
      <c r="CX57" s="5205"/>
      <c r="CY57" s="5206"/>
      <c r="CZ57" s="4892"/>
      <c r="DA57" s="5098"/>
      <c r="DB57" s="5205"/>
      <c r="DC57" s="4893">
        <v>1975</v>
      </c>
      <c r="DD57" s="4955">
        <v>27395</v>
      </c>
      <c r="DE57" s="4945">
        <f ca="1">+(NOW()-DD57)/365.25</f>
        <v>39.522413865122829</v>
      </c>
      <c r="DF57" s="5101"/>
      <c r="DG57" s="158"/>
      <c r="DH57" s="4913" t="s">
        <v>569</v>
      </c>
      <c r="DI57" s="4913" t="s">
        <v>1102</v>
      </c>
      <c r="DJ57" s="6071"/>
      <c r="DK57" s="6071"/>
      <c r="DL57" s="6071"/>
      <c r="DM57" s="6071"/>
      <c r="DN57" s="5010"/>
      <c r="DO57" s="6071"/>
      <c r="DP57" s="5011"/>
      <c r="DQ57" s="8573"/>
      <c r="DR57" s="6071"/>
      <c r="DS57" s="6071"/>
      <c r="DT57" s="6071"/>
      <c r="DU57" s="6071"/>
      <c r="DV57" s="5010"/>
      <c r="DW57" s="6071"/>
      <c r="DX57" s="5011"/>
      <c r="DY57" s="5012"/>
      <c r="DZ57" s="6071"/>
      <c r="EA57" s="6071"/>
      <c r="EB57" s="6071"/>
      <c r="EC57" s="6071"/>
      <c r="ED57" s="5010"/>
      <c r="EE57" s="6071"/>
      <c r="EF57" s="5013"/>
      <c r="EG57" s="5044" t="str">
        <f>+EG31</f>
        <v>Stack Test</v>
      </c>
      <c r="EH57" s="6237">
        <v>143.4</v>
      </c>
      <c r="EI57" s="5207">
        <v>0.4</v>
      </c>
      <c r="EJ57" s="5045"/>
      <c r="EK57" s="5045" t="s">
        <v>920</v>
      </c>
      <c r="EL57" s="5036">
        <v>0.4</v>
      </c>
      <c r="EM57" s="5036"/>
      <c r="EN57" s="5036"/>
      <c r="EO57" s="5036"/>
      <c r="EP57" s="5036"/>
      <c r="EQ57" s="5036">
        <v>0.25</v>
      </c>
      <c r="ER57" s="5035"/>
      <c r="ES57" s="5035"/>
      <c r="ET57" s="6184"/>
      <c r="EU57" s="5035"/>
      <c r="EV57" s="365"/>
      <c r="EW57" s="5068"/>
      <c r="EX57" s="5035"/>
      <c r="EY57" s="5035"/>
      <c r="EZ57" s="5069">
        <v>40212</v>
      </c>
      <c r="FA57" s="5069">
        <v>42038</v>
      </c>
      <c r="FB57" s="5070">
        <f>+(FA57-EZ57)/365.25</f>
        <v>4.9993155373032172</v>
      </c>
      <c r="FC57" s="4874"/>
      <c r="FD57" s="6185">
        <f>+IF(X57="","",IF(2010-VLOOKUP(MATCH(X57,eyr_id,0),eyr,'A1(epa)'!$U$17,FALSE)=0,IF(VLOOKUP(MATCH(X57,eyr_id,0),eyr,'A1(epa)'!$U$17,FALSE)=0,"",VLOOKUP(MATCH(X57,eyr_id,0),eyr,'A1(epa)'!$U$17,FALSE))))</f>
        <v>2010</v>
      </c>
      <c r="FE57" s="6186">
        <f>+IF(X57="","",IF(2010-VLOOKUP(MATCH(X57,eyr_id,0),eyr,'A1(epa)'!$U$17,FALSE)=0,IF(VLOOKUP(MATCH(X57,eyr_id,0),eyr,'A1(epa)'!$X$17,FALSE)=0,"",VLOOKUP(MATCH(X57,eyr_id,0),eyr,'A1(epa)'!$X$17,FALSE))))</f>
        <v>12</v>
      </c>
      <c r="FF57" s="6187">
        <f>+IF(X57="","",IF(2010-VLOOKUP(MATCH(X57,eyr_id,0),eyr,'A1(epa)'!$U$17,FALSE)=0,IF(VLOOKUP(MATCH(X57,eyr_id,0),eyr,'A1(epa)'!$W$17,FALSE)=0,"",VLOOKUP(MATCH(X57,eyr_id,0),eyr,'A1(epa)'!$W$17,FALSE))))</f>
        <v>1077</v>
      </c>
      <c r="FG57" s="6188">
        <f>+IF(X57="","",IF(2010-VLOOKUP(MATCH(X57,eyr_id,0),eyr,'A1(epa)'!$U$17,FALSE)=0,IF(VLOOKUP(MATCH(X57,eyr_id,0),eyr,'A1(epa)'!$AC$17,FALSE)=0,"",VLOOKUP(MATCH(X57,eyr_id,0),eyr,'A1(epa)'!$AC$17,FALSE))))</f>
        <v>1842328</v>
      </c>
      <c r="FH57" s="6188">
        <f>+IF(X57="","",IF(2010-VLOOKUP(MATCH(X57,eyr_id,0),eyr,'A1(epa)'!$U$17,FALSE)=0,IF(VLOOKUP(MATCH(X57,eyr_id,0),eyr,'A1(epa)'!$Y$17,FALSE)=0,"",VLOOKUP(MATCH(X57,eyr_id,0),eyr,'A1(epa)'!$Y$17,FALSE))))</f>
        <v>168256</v>
      </c>
      <c r="FI57" s="6189">
        <f>+IF(X57="","",IF(2010-VLOOKUP(MATCH(X57,eyr_id,0),eyr,'A1(epa)'!$U$17,FALSE)=0,IF(VLOOKUP(MATCH(X57,eyr_id,0),eyr,'A1(epa)'!$AB$17,FALSE)=0,"",VLOOKUP(MATCH(X57,eyr_id,0),eyr,'A1(epa)'!$AB$17,FALSE))))</f>
        <v>127.5</v>
      </c>
      <c r="FJ57" s="6185">
        <f>+IF(X57="","",IF(2009-VLOOKUP(MATCH(X57,eyr_id,0)+1,eyr,'A1(epa)'!$U$17,FALSE)=0,IF(VLOOKUP(MATCH(X57,eyr_id,0)+1,eyr,'A1(epa)'!$U$17,FALSE)=0,"",VLOOKUP(MATCH(X57,eyr_id,0)+1,eyr,'A1(epa)'!$U$17,FALSE))))</f>
        <v>2009</v>
      </c>
      <c r="FK57" s="6186">
        <f>+IF(X57="","",IF(2009-VLOOKUP(MATCH(X57,eyr_id,0)+1,eyr,'A1(epa)'!$U$17,FALSE)=0,IF(VLOOKUP(MATCH(X57,eyr_id,0)+1,eyr,'A1(epa)'!$X$17,FALSE)=0,"",VLOOKUP(MATCH(X57,eyr_id,0)+1,eyr,'A1(epa)'!$X$17,FALSE))))</f>
        <v>12</v>
      </c>
      <c r="FL57" s="6187">
        <f>+IF(X57="","",IF(2009-VLOOKUP(MATCH(X57,eyr_id,0)+1,eyr,'A1(epa)'!$U$17,FALSE)=0,IF(VLOOKUP(MATCH(X57,eyr_id,0)+1,eyr,'A1(epa)'!$W$17,FALSE)=0,"",VLOOKUP(MATCH(X57,eyr_id,0)+1,eyr,'A1(epa)'!$W$17,FALSE))))</f>
        <v>703</v>
      </c>
      <c r="FM57" s="6188">
        <f>+IF(X57="","",IF(2009-VLOOKUP(MATCH(X57,eyr_id,0)+1,eyr,'A1(epa)'!$U$17,FALSE)=0,IF(VLOOKUP(MATCH(X57,eyr_id,0)+1,eyr,'A1(epa)'!$AC$17,FALSE)=0,"",VLOOKUP(MATCH(X57,eyr_id,0)+1,eyr,'A1(epa)'!$AC$17,FALSE))))</f>
        <v>1640110</v>
      </c>
      <c r="FN57" s="6188">
        <f>+IF(X57="","",IF(2009-VLOOKUP(MATCH(X57,eyr_id,0)+1,eyr,'A1(epa)'!$U$17,FALSE)=0,IF(VLOOKUP(MATCH(X57,eyr_id,0)+1,eyr,'A1(epa)'!$Y$17,FALSE)=0,"",VLOOKUP(MATCH(X57,eyr_id,0)+1,eyr,'A1(epa)'!$Y$17,FALSE))))</f>
        <v>152988</v>
      </c>
      <c r="FO57" s="6189">
        <f>+IF(X57="","",IF(2009-VLOOKUP(MATCH(X57,eyr_id,0)+1,eyr,'A1(epa)'!$U$17,FALSE)=0,IF(VLOOKUP(MATCH(X57,eyr_id,0)+1,eyr,'A1(epa)'!$AB$17,FALSE)=0,"",VLOOKUP(MATCH(X57,eyr_id,0)+1,eyr,'A1(epa)'!$AB$17,FALSE))))</f>
        <v>115.4</v>
      </c>
      <c r="FP57" s="4977" t="s">
        <v>547</v>
      </c>
      <c r="FQ57" s="5096"/>
      <c r="FR57" s="5097" t="s">
        <v>979</v>
      </c>
      <c r="FS57" s="5096"/>
      <c r="FT57" s="5096"/>
      <c r="FU57" s="5096"/>
      <c r="FV57" s="4943" t="s">
        <v>572</v>
      </c>
      <c r="FW57" s="6257"/>
      <c r="FX57" s="6258"/>
      <c r="FY57" s="6258"/>
      <c r="FZ57" s="6258"/>
      <c r="GA57" s="6258"/>
      <c r="GB57" s="6258" t="str">
        <f t="shared" si="36"/>
        <v/>
      </c>
      <c r="GC57" s="6258"/>
      <c r="GD57" s="6315"/>
      <c r="GE57" s="6316" t="str">
        <f t="shared" si="52"/>
        <v/>
      </c>
      <c r="GF57" s="6315"/>
      <c r="GG57" s="6315" t="str">
        <f t="shared" si="53"/>
        <v/>
      </c>
      <c r="GH57" s="6315"/>
      <c r="GI57" s="6315"/>
      <c r="GJ57" s="6317"/>
      <c r="GK57" s="6348"/>
      <c r="GL57" s="6314"/>
      <c r="GM57" s="6314"/>
      <c r="GN57" s="6314"/>
      <c r="GO57" s="6314"/>
      <c r="GP57" s="6349" t="str">
        <f t="shared" si="55"/>
        <v/>
      </c>
      <c r="GQ57" s="6314"/>
      <c r="GR57" s="6315"/>
      <c r="GS57" s="6316" t="str">
        <f t="shared" si="40"/>
        <v/>
      </c>
      <c r="GT57" s="6315"/>
      <c r="GU57" s="6316" t="str">
        <f t="shared" si="41"/>
        <v/>
      </c>
      <c r="GV57" s="6315"/>
      <c r="GW57" s="6315"/>
      <c r="GX57" s="6317"/>
      <c r="GY57" s="6257"/>
      <c r="GZ57" s="6258"/>
      <c r="HA57" s="6258"/>
      <c r="HB57" s="6258"/>
      <c r="HC57" s="6258"/>
      <c r="HD57" s="6258"/>
      <c r="HE57" s="6258"/>
      <c r="HF57" s="5208" t="str">
        <f>+IF((GD57+GR57)/2=0,"",(GD57+GR57)/2)</f>
        <v/>
      </c>
      <c r="HG57" s="5208"/>
      <c r="HH57" s="6260">
        <f t="shared" si="13"/>
        <v>0.4</v>
      </c>
      <c r="HI57" s="6260">
        <f t="shared" si="14"/>
        <v>0.4</v>
      </c>
      <c r="HJ57" s="6260">
        <f>+HI57</f>
        <v>0.4</v>
      </c>
      <c r="HK57" s="6297"/>
      <c r="HL57" s="6261"/>
      <c r="HM57" s="6261"/>
      <c r="HN57" s="6262"/>
      <c r="HO57" s="5357"/>
    </row>
    <row r="58" spans="1:223" s="5349" customFormat="1" ht="25.5" customHeight="1">
      <c r="A58" s="5368" t="str">
        <f>+X58</f>
        <v>8305-02</v>
      </c>
      <c r="B58" s="9571"/>
      <c r="C58" s="5369" t="str">
        <f>+Q58</f>
        <v>BHB2</v>
      </c>
      <c r="D58" s="6109"/>
      <c r="E58" s="6113"/>
      <c r="F58" s="6109"/>
      <c r="G58" s="4636">
        <v>38</v>
      </c>
      <c r="H58" s="4559">
        <v>24</v>
      </c>
      <c r="I58" s="10171"/>
      <c r="J58" s="4754" t="s">
        <v>610</v>
      </c>
      <c r="K58" s="4741">
        <v>8305</v>
      </c>
      <c r="L58" s="4753" t="s">
        <v>330</v>
      </c>
      <c r="M58" s="5111" t="s">
        <v>2095</v>
      </c>
      <c r="N58" s="4606"/>
      <c r="O58" s="4606"/>
      <c r="P58" s="4606" t="s">
        <v>548</v>
      </c>
      <c r="Q58" s="4609" t="s">
        <v>1219</v>
      </c>
      <c r="R58" s="4606" t="str">
        <f>+IF(ISERROR(MATCH(X58,epa_id,0)),"",IF(X58="","",IF(VLOOKUP(MATCH(X58,epa_id,0),epa,'A1(epa)'!$S$17,FALSE)="","",VLOOKUP(MATCH(X58,epa_id,0),epa,'A1(epa)'!$S$17,FALSE))))</f>
        <v>BHB2</v>
      </c>
      <c r="S58" s="4561">
        <f>+IF(ISERROR(MATCH(X58,epa_id,0)),"",IF(X58="","",IF(VLOOKUP(MATCH(X58,epa_id,0),epa,'A1(epa)'!$R$17,FALSE)="","",VLOOKUP(MATCH(X58,epa_id,0),epa,'A1(epa)'!$R$17,FALSE))))</f>
        <v>568</v>
      </c>
      <c r="T58" s="4563" t="s">
        <v>544</v>
      </c>
      <c r="U58" s="4564">
        <v>1</v>
      </c>
      <c r="V58" s="4564">
        <v>1</v>
      </c>
      <c r="W58" s="4564">
        <v>2</v>
      </c>
      <c r="X58" s="4667" t="str">
        <f t="shared" si="5"/>
        <v>8305-02</v>
      </c>
      <c r="Y58" s="4705" t="s">
        <v>1512</v>
      </c>
      <c r="Z58" s="4559" t="s">
        <v>811</v>
      </c>
      <c r="AA58" s="4708" t="s">
        <v>586</v>
      </c>
      <c r="AB58" s="4708"/>
      <c r="AC58" s="4669">
        <v>40941</v>
      </c>
      <c r="AD58" s="4707"/>
      <c r="AE58" s="4671"/>
      <c r="AF58" s="4589" t="s">
        <v>587</v>
      </c>
      <c r="AG58" s="4612"/>
      <c r="AH58" s="4613"/>
      <c r="AI58" s="4806" t="s">
        <v>421</v>
      </c>
      <c r="AJ58" s="4785">
        <v>40072</v>
      </c>
      <c r="AK58" s="4786"/>
      <c r="AL58" s="4806"/>
      <c r="AM58" s="4788"/>
      <c r="AN58" s="4789"/>
      <c r="AO58" s="4789"/>
      <c r="AP58" s="4789"/>
      <c r="AQ58" s="4789"/>
      <c r="AR58" s="4789"/>
      <c r="AS58" s="4789"/>
      <c r="AT58" s="4808" t="s">
        <v>588</v>
      </c>
      <c r="AU58" s="4807"/>
      <c r="AV58" s="4610"/>
      <c r="AW58" s="4610"/>
      <c r="AX58" s="4610" t="s">
        <v>588</v>
      </c>
      <c r="AY58" s="4614"/>
      <c r="AZ58" s="4589"/>
      <c r="BA58" s="4843" t="s">
        <v>424</v>
      </c>
      <c r="BB58" s="4827">
        <f>+IF(AND(G58="",BA58=""),"",VLOOKUP(MATCH(BA58,tw,0),twn,'A4(twn)'!$D$12,FALSE))</f>
        <v>15</v>
      </c>
      <c r="BC58" s="4827" t="str">
        <f t="shared" si="17"/>
        <v xml:space="preserve"> -  / -  / 015 / - </v>
      </c>
      <c r="BD58" s="4606" t="s">
        <v>425</v>
      </c>
      <c r="BE58" s="4705" t="s">
        <v>426</v>
      </c>
      <c r="BF58" s="4844" t="s">
        <v>428</v>
      </c>
      <c r="BG58" s="4563" t="str">
        <f>+IF(OR(X58="",ISERROR(MATCH(X58,epa_id,0))),"",VLOOKUP(MATCH(X58,epa_id,0),epa,'A1(epa)'!$AH$17,FALSE))</f>
        <v>PSEG Power Connecticut, LLC (Owner/Operator)</v>
      </c>
      <c r="BH58" s="4564"/>
      <c r="BI58" s="4564"/>
      <c r="BJ58" s="6134"/>
      <c r="BK58" s="4581"/>
      <c r="BL58" s="4570" t="s">
        <v>427</v>
      </c>
      <c r="BM58" s="4570"/>
      <c r="BN58" s="4570" t="s">
        <v>610</v>
      </c>
      <c r="BO58" s="4581"/>
      <c r="BP58" s="4579"/>
      <c r="BQ58" s="4581"/>
      <c r="BR58" s="4581"/>
      <c r="BS58" s="4581"/>
      <c r="BT58" s="4581"/>
      <c r="BU58" s="4581"/>
      <c r="BV58" s="4607"/>
      <c r="BW58" s="4852" t="s">
        <v>790</v>
      </c>
      <c r="BX58" s="4581"/>
      <c r="BY58" s="4570"/>
      <c r="BZ58" s="4570"/>
      <c r="CA58" s="4581"/>
      <c r="CB58" s="4581"/>
      <c r="CC58" s="4611"/>
      <c r="CD58" s="4570"/>
      <c r="CE58" s="4581"/>
      <c r="CF58" s="4608"/>
      <c r="CG58" s="4608"/>
      <c r="CH58" s="4867" t="str">
        <f>+IF(ISERROR(MATCH(X58,epa_id,0)),"",IF(X58="","",IF(VLOOKUP(MATCH(X58,epa_id,0),epa,'A1(epa)'!$AE$17,FALSE)="","",VLOOKUP(MATCH(X58,epa_id,0),epa,'A1(epa)'!$AE$17,FALSE))))</f>
        <v>Electric Utility</v>
      </c>
      <c r="CI58" s="4708" t="s">
        <v>944</v>
      </c>
      <c r="CJ58" s="4708" t="str">
        <f>+IF(ISERROR(MATCH(X58,epa_id,0)),"",IF(X58="","",IF(VLOOKUP(MATCH(X58,epa_id,0),epa,'A1(epa)'!$AF$17,FALSE)="","",VLOOKUP(MATCH(X58,epa_id,0),epa,'A1(epa)'!$AF$17,FALSE))))</f>
        <v>4911</v>
      </c>
      <c r="CK58" s="4606" t="str">
        <f>+IF(ISERROR(MATCH(X58,epa_id,0)),"",IF(X58="","",IF(VLOOKUP(MATCH(X58,epa_id,0),epa,'A1(epa)'!$AG$17,FALSE)="","",VLOOKUP(MATCH(X58,epa_id,0),epa,'A1(epa)'!$AG$17,FALSE))))</f>
        <v>Electric Services</v>
      </c>
      <c r="CL58" s="4994" t="s">
        <v>591</v>
      </c>
      <c r="CM58" s="4995" t="s">
        <v>590</v>
      </c>
      <c r="CN58" s="4897"/>
      <c r="CO58" s="4788" t="s">
        <v>551</v>
      </c>
      <c r="CP58" s="4788"/>
      <c r="CQ58" s="4900"/>
      <c r="CR58" s="4899" t="s">
        <v>573</v>
      </c>
      <c r="CS58" s="4899"/>
      <c r="CT58" s="4914">
        <v>170</v>
      </c>
      <c r="CU58" s="10176">
        <f>+CT58+CT59+CT32</f>
        <v>602</v>
      </c>
      <c r="CV58" s="4915"/>
      <c r="CW58" s="4916"/>
      <c r="CX58" s="4980"/>
      <c r="CY58" s="4981"/>
      <c r="CZ58" s="4897"/>
      <c r="DA58" s="4983"/>
      <c r="DB58" s="4784" t="s">
        <v>550</v>
      </c>
      <c r="DC58" s="4898">
        <v>1961</v>
      </c>
      <c r="DD58" s="4949">
        <v>22282</v>
      </c>
      <c r="DE58" s="4790">
        <f ca="1">+(NOW()-DD58)/365.25</f>
        <v>53.521044939729265</v>
      </c>
      <c r="DF58" s="5099"/>
      <c r="DG58" s="4806"/>
      <c r="DH58" s="4899" t="s">
        <v>589</v>
      </c>
      <c r="DI58" s="4899" t="s">
        <v>1102</v>
      </c>
      <c r="DJ58" s="4563"/>
      <c r="DK58" s="4563"/>
      <c r="DL58" s="4563"/>
      <c r="DM58" s="4563"/>
      <c r="DN58" s="4998"/>
      <c r="DO58" s="4563"/>
      <c r="DP58" s="4999"/>
      <c r="DQ58" s="4843" t="s">
        <v>1124</v>
      </c>
      <c r="DR58" s="4563"/>
      <c r="DS58" s="4563"/>
      <c r="DT58" s="4563"/>
      <c r="DU58" s="4563"/>
      <c r="DV58" s="4998"/>
      <c r="DW58" s="4563"/>
      <c r="DX58" s="4999"/>
      <c r="DY58" s="4843"/>
      <c r="DZ58" s="4563"/>
      <c r="EA58" s="4563"/>
      <c r="EB58" s="4563"/>
      <c r="EC58" s="4563"/>
      <c r="ED58" s="4998"/>
      <c r="EE58" s="4563"/>
      <c r="EF58" s="5000"/>
      <c r="EG58" s="4982"/>
      <c r="EH58" s="6190">
        <v>1785</v>
      </c>
      <c r="EI58" s="5037"/>
      <c r="EJ58" s="5038"/>
      <c r="EK58" s="5038"/>
      <c r="EL58" s="5037"/>
      <c r="EM58" s="5037"/>
      <c r="EN58" s="5037"/>
      <c r="EO58" s="5037"/>
      <c r="EP58" s="5037"/>
      <c r="EQ58" s="5037">
        <v>0.15</v>
      </c>
      <c r="ER58" s="5056"/>
      <c r="ES58" s="5056"/>
      <c r="ET58" s="6191"/>
      <c r="EU58" s="5056"/>
      <c r="EV58" s="5001"/>
      <c r="EW58" s="5071"/>
      <c r="EX58" s="5056"/>
      <c r="EY58" s="5056"/>
      <c r="EZ58" s="4899"/>
      <c r="FA58" s="4899"/>
      <c r="FB58" s="5084"/>
      <c r="FC58" s="4875"/>
      <c r="FD58" s="6198">
        <f>+IF(X58="","",IF(2010-VLOOKUP(MATCH(X58,eyr_id,0),eyr,'A1(epa)'!$U$17,FALSE)=0,IF(VLOOKUP(MATCH(X58,eyr_id,0),eyr,'A1(epa)'!$U$17,FALSE)=0,"",VLOOKUP(MATCH(X58,eyr_id,0),eyr,'A1(epa)'!$U$17,FALSE))))</f>
        <v>2010</v>
      </c>
      <c r="FE58" s="6199">
        <f>+IF(X58="","",IF(2010-VLOOKUP(MATCH(X58,eyr_id,0),eyr,'A1(epa)'!$U$17,FALSE)=0,IF(VLOOKUP(MATCH(X58,eyr_id,0),eyr,'A1(epa)'!$X$17,FALSE)=0,"",VLOOKUP(MATCH(X58,eyr_id,0),eyr,'A1(epa)'!$X$17,FALSE))))</f>
        <v>12</v>
      </c>
      <c r="FF58" s="6200">
        <f>+IF(X58="","",IF(2010-VLOOKUP(MATCH(X58,eyr_id,0),eyr,'A1(epa)'!$U$17,FALSE)=0,IF(VLOOKUP(MATCH(X58,eyr_id,0),eyr,'A1(epa)'!$W$17,FALSE)=0,"",VLOOKUP(MATCH(X58,eyr_id,0),eyr,'A1(epa)'!$W$17,FALSE))))</f>
        <v>157</v>
      </c>
      <c r="FG58" s="6201">
        <f>+IF(X58="","",IF(2010-VLOOKUP(MATCH(X58,eyr_id,0),eyr,'A1(epa)'!$U$17,FALSE)=0,IF(VLOOKUP(MATCH(X58,eyr_id,0),eyr,'A1(epa)'!$AC$17,FALSE)=0,"",VLOOKUP(MATCH(X58,eyr_id,0),eyr,'A1(epa)'!$AC$17,FALSE))))</f>
        <v>105337</v>
      </c>
      <c r="FH58" s="6202">
        <f>+IF(X58="","",IF(2010-VLOOKUP(MATCH(X58,eyr_id,0),eyr,'A1(epa)'!$U$17,FALSE)=0,IF(VLOOKUP(MATCH(X58,eyr_id,0),eyr,'A1(epa)'!$Y$17,FALSE)=0,"",VLOOKUP(MATCH(X58,eyr_id,0),eyr,'A1(epa)'!$Y$17,FALSE))))</f>
        <v>8430</v>
      </c>
      <c r="FI58" s="6203">
        <f>+IF(X58="","",IF(2010-VLOOKUP(MATCH(X58,eyr_id,0),eyr,'A1(epa)'!$U$17,FALSE)=0,IF(VLOOKUP(MATCH(X58,eyr_id,0),eyr,'A1(epa)'!$AB$17,FALSE)=0,"",VLOOKUP(MATCH(X58,eyr_id,0),eyr,'A1(epa)'!$AB$17,FALSE))))</f>
        <v>14.8</v>
      </c>
      <c r="FJ58" s="6198">
        <f>+IF(X58="","",IF(2009-VLOOKUP(MATCH(X58,eyr_id,0)+1,eyr,'A1(epa)'!$U$17,FALSE)=0,IF(VLOOKUP(MATCH(X58,eyr_id,0)+1,eyr,'A1(epa)'!$U$17,FALSE)=0,"",VLOOKUP(MATCH(X58,eyr_id,0)+1,eyr,'A1(epa)'!$U$17,FALSE))))</f>
        <v>2009</v>
      </c>
      <c r="FK58" s="6199">
        <f>+IF(X58="","",IF(2009-VLOOKUP(MATCH(X58,eyr_id,0)+1,eyr,'A1(epa)'!$U$17,FALSE)=0,IF(VLOOKUP(MATCH(X58,eyr_id,0)+1,eyr,'A1(epa)'!$X$17,FALSE)=0,"",VLOOKUP(MATCH(X58,eyr_id,0)+1,eyr,'A1(epa)'!$X$17,FALSE))))</f>
        <v>12</v>
      </c>
      <c r="FL58" s="6200">
        <f>+IF(X58="","",IF(2009-VLOOKUP(MATCH(X58,eyr_id,0)+1,eyr,'A1(epa)'!$U$17,FALSE)=0,IF(VLOOKUP(MATCH(X58,eyr_id,0)+1,eyr,'A1(epa)'!$W$17,FALSE)=0,"",VLOOKUP(MATCH(X58,eyr_id,0)+1,eyr,'A1(epa)'!$W$17,FALSE))))</f>
        <v>161</v>
      </c>
      <c r="FM58" s="6201">
        <f>+IF(X58="","",IF(2009-VLOOKUP(MATCH(X58,eyr_id,0)+1,eyr,'A1(epa)'!$U$17,FALSE)=0,IF(VLOOKUP(MATCH(X58,eyr_id,0)+1,eyr,'A1(epa)'!$AC$17,FALSE)=0,"",VLOOKUP(MATCH(X58,eyr_id,0)+1,eyr,'A1(epa)'!$AC$17,FALSE))))</f>
        <v>66280</v>
      </c>
      <c r="FN58" s="6202">
        <f>+IF(X58="","",IF(2009-VLOOKUP(MATCH(X58,eyr_id,0)+1,eyr,'A1(epa)'!$U$17,FALSE)=0,IF(VLOOKUP(MATCH(X58,eyr_id,0)+1,eyr,'A1(epa)'!$Y$17,FALSE)=0,"",VLOOKUP(MATCH(X58,eyr_id,0)+1,eyr,'A1(epa)'!$Y$17,FALSE))))</f>
        <v>4917</v>
      </c>
      <c r="FO58" s="6203">
        <f>+IF(X58="","",IF(2009-VLOOKUP(MATCH(X58,eyr_id,0)+1,eyr,'A1(epa)'!$U$17,FALSE)=0,IF(VLOOKUP(MATCH(X58,eyr_id,0)+1,eyr,'A1(epa)'!$AB$17,FALSE)=0,"",VLOOKUP(MATCH(X58,eyr_id,0)+1,eyr,'A1(epa)'!$AB$17,FALSE))))</f>
        <v>8.6</v>
      </c>
      <c r="FP58" s="5039"/>
      <c r="FQ58" s="5100" t="s">
        <v>571</v>
      </c>
      <c r="FR58" s="5100" t="s">
        <v>979</v>
      </c>
      <c r="FS58" s="5100"/>
      <c r="FT58" s="5100"/>
      <c r="FU58" s="5100"/>
      <c r="FV58" s="4948" t="s">
        <v>575</v>
      </c>
      <c r="FW58" s="4982"/>
      <c r="FX58" s="6264"/>
      <c r="FY58" s="6264"/>
      <c r="FZ58" s="6264"/>
      <c r="GA58" s="6264"/>
      <c r="GB58" s="6264" t="str">
        <f t="shared" si="36"/>
        <v/>
      </c>
      <c r="GC58" s="6264"/>
      <c r="GD58" s="6265"/>
      <c r="GE58" s="6320" t="str">
        <f t="shared" si="52"/>
        <v/>
      </c>
      <c r="GF58" s="6265"/>
      <c r="GG58" s="6265" t="str">
        <f t="shared" si="53"/>
        <v/>
      </c>
      <c r="GH58" s="6265"/>
      <c r="GI58" s="6265"/>
      <c r="GJ58" s="6321"/>
      <c r="GK58" s="6318"/>
      <c r="GL58" s="6319"/>
      <c r="GM58" s="6319"/>
      <c r="GN58" s="6319"/>
      <c r="GO58" s="6319"/>
      <c r="GP58" s="6330" t="str">
        <f t="shared" si="55"/>
        <v/>
      </c>
      <c r="GQ58" s="6319"/>
      <c r="GR58" s="6265"/>
      <c r="GS58" s="6320" t="str">
        <f t="shared" si="40"/>
        <v/>
      </c>
      <c r="GT58" s="6265"/>
      <c r="GU58" s="6320" t="str">
        <f t="shared" si="41"/>
        <v/>
      </c>
      <c r="GV58" s="6265"/>
      <c r="GW58" s="6265"/>
      <c r="GX58" s="6321"/>
      <c r="GY58" s="6287"/>
      <c r="GZ58" s="6264"/>
      <c r="HA58" s="6264"/>
      <c r="HB58" s="6264"/>
      <c r="HC58" s="6264"/>
      <c r="HD58" s="6264"/>
      <c r="HE58" s="6264"/>
      <c r="HF58" s="6271" t="str">
        <f>+IF((GD58+GR58)/2=0,"",(GD58+GR58)/2)</f>
        <v/>
      </c>
      <c r="HG58" s="6271"/>
      <c r="HH58" s="6266" t="str">
        <f t="shared" si="13"/>
        <v/>
      </c>
      <c r="HI58" s="6266" t="str">
        <f t="shared" si="14"/>
        <v/>
      </c>
      <c r="HJ58" s="6298"/>
      <c r="HK58" s="6298"/>
      <c r="HL58" s="6268"/>
      <c r="HM58" s="6268"/>
      <c r="HN58" s="6299"/>
      <c r="HO58" s="5357"/>
    </row>
    <row r="59" spans="1:223" s="5349" customFormat="1" ht="25.5" customHeight="1" thickBot="1">
      <c r="A59" s="5366" t="str">
        <f>+X59</f>
        <v>8305-03</v>
      </c>
      <c r="B59" s="9572"/>
      <c r="C59" s="5367" t="str">
        <f>+Q59</f>
        <v>BHB3</v>
      </c>
      <c r="D59" s="6109"/>
      <c r="E59" s="6113"/>
      <c r="F59" s="6109"/>
      <c r="G59" s="4637">
        <v>39</v>
      </c>
      <c r="H59" s="4615">
        <v>25</v>
      </c>
      <c r="I59" s="10193"/>
      <c r="J59" s="4755" t="s">
        <v>610</v>
      </c>
      <c r="K59" s="4756">
        <v>8305</v>
      </c>
      <c r="L59" s="4757" t="s">
        <v>330</v>
      </c>
      <c r="M59" s="4757" t="s">
        <v>2096</v>
      </c>
      <c r="N59" s="4626"/>
      <c r="O59" s="4626"/>
      <c r="P59" s="4626" t="s">
        <v>549</v>
      </c>
      <c r="Q59" s="4617" t="s">
        <v>1220</v>
      </c>
      <c r="R59" s="4626" t="str">
        <f>+IF(ISERROR(MATCH(X59,epa_id,0)),"",IF(X59="","",IF(VLOOKUP(MATCH(X59,epa_id,0),epa,'A1(epa)'!$S$17,FALSE)="","",VLOOKUP(MATCH(X59,epa_id,0),epa,'A1(epa)'!$S$17,FALSE))))</f>
        <v>BHB3</v>
      </c>
      <c r="S59" s="4616">
        <f>+IF(ISERROR(MATCH(X59,epa_id,0)),"",IF(X59="","",IF(VLOOKUP(MATCH(X59,epa_id,0),epa,'A1(epa)'!$R$17,FALSE)="","",VLOOKUP(MATCH(X59,epa_id,0),epa,'A1(epa)'!$R$17,FALSE))))</f>
        <v>568</v>
      </c>
      <c r="T59" s="4618" t="s">
        <v>544</v>
      </c>
      <c r="U59" s="4619">
        <v>1</v>
      </c>
      <c r="V59" s="4619">
        <v>1</v>
      </c>
      <c r="W59" s="4619">
        <v>3</v>
      </c>
      <c r="X59" s="4709" t="str">
        <f t="shared" si="5"/>
        <v>8305-03</v>
      </c>
      <c r="Y59" s="4710" t="s">
        <v>1512</v>
      </c>
      <c r="Z59" s="4615"/>
      <c r="AA59" s="4711" t="s">
        <v>593</v>
      </c>
      <c r="AB59" s="4711"/>
      <c r="AC59" s="4712">
        <v>40941</v>
      </c>
      <c r="AD59" s="4713"/>
      <c r="AE59" s="4714"/>
      <c r="AF59" s="4620" t="s">
        <v>587</v>
      </c>
      <c r="AG59" s="4621"/>
      <c r="AH59" s="401"/>
      <c r="AI59" s="4809" t="s">
        <v>421</v>
      </c>
      <c r="AJ59" s="4810">
        <v>40072</v>
      </c>
      <c r="AK59" s="4811"/>
      <c r="AL59" s="4812"/>
      <c r="AM59" s="4813"/>
      <c r="AN59" s="4814"/>
      <c r="AO59" s="4814"/>
      <c r="AP59" s="4814"/>
      <c r="AQ59" s="4814"/>
      <c r="AR59" s="4814"/>
      <c r="AS59" s="4814"/>
      <c r="AT59" s="4815">
        <v>8244</v>
      </c>
      <c r="AU59" s="4816"/>
      <c r="AV59" s="4624"/>
      <c r="AW59" s="4624"/>
      <c r="AX59" s="4624">
        <v>8244</v>
      </c>
      <c r="AY59" s="4625"/>
      <c r="AZ59" s="4622"/>
      <c r="BA59" s="4845" t="s">
        <v>424</v>
      </c>
      <c r="BB59" s="4846">
        <f>+IF(AND(G59="",BA59=""),"",VLOOKUP(MATCH(BA59,tw,0),twn,'A4(twn)'!$D$12,FALSE))</f>
        <v>15</v>
      </c>
      <c r="BC59" s="4846" t="str">
        <f t="shared" si="17"/>
        <v xml:space="preserve"> -  / -  / 015 / - </v>
      </c>
      <c r="BD59" s="4626" t="s">
        <v>425</v>
      </c>
      <c r="BE59" s="4710" t="s">
        <v>426</v>
      </c>
      <c r="BF59" s="4847" t="s">
        <v>428</v>
      </c>
      <c r="BG59" s="4618" t="str">
        <f>+IF(OR(X59="",ISERROR(MATCH(X59,epa_id,0))),"",VLOOKUP(MATCH(X59,epa_id,0),epa,'A1(epa)'!$AH$17,FALSE))</f>
        <v>PSEG Power Connecticut, LLC (Owner/Operator)</v>
      </c>
      <c r="BH59" s="4619"/>
      <c r="BI59" s="4619"/>
      <c r="BJ59" s="6139"/>
      <c r="BK59" s="4627"/>
      <c r="BL59" s="4623" t="s">
        <v>427</v>
      </c>
      <c r="BM59" s="4623"/>
      <c r="BN59" s="4623" t="s">
        <v>610</v>
      </c>
      <c r="BO59" s="4627"/>
      <c r="BP59" s="4629"/>
      <c r="BQ59" s="4627"/>
      <c r="BR59" s="4627"/>
      <c r="BS59" s="4627"/>
      <c r="BT59" s="4627"/>
      <c r="BU59" s="4627"/>
      <c r="BV59" s="4630"/>
      <c r="BW59" s="4854" t="s">
        <v>790</v>
      </c>
      <c r="BX59" s="4627"/>
      <c r="BY59" s="4623"/>
      <c r="BZ59" s="4623"/>
      <c r="CA59" s="4627"/>
      <c r="CB59" s="4627"/>
      <c r="CC59" s="4631"/>
      <c r="CD59" s="4623"/>
      <c r="CE59" s="4627"/>
      <c r="CF59" s="4632"/>
      <c r="CG59" s="4632"/>
      <c r="CH59" s="4868" t="str">
        <f>+IF(ISERROR(MATCH(X59,epa_id,0)),"",IF(X59="","",IF(VLOOKUP(MATCH(X59,epa_id,0),epa,'A1(epa)'!$AE$17,FALSE)="","",VLOOKUP(MATCH(X59,epa_id,0),epa,'A1(epa)'!$AE$17,FALSE))))</f>
        <v>Electric Utility</v>
      </c>
      <c r="CI59" s="4711" t="s">
        <v>944</v>
      </c>
      <c r="CJ59" s="4711" t="str">
        <f>+IF(ISERROR(MATCH(X59,epa_id,0)),"",IF(X59="","",IF(VLOOKUP(MATCH(X59,epa_id,0),epa,'A1(epa)'!$AF$17,FALSE)="","",VLOOKUP(MATCH(X59,epa_id,0),epa,'A1(epa)'!$AF$17,FALSE))))</f>
        <v>4911</v>
      </c>
      <c r="CK59" s="4869" t="str">
        <f>+IF(ISERROR(MATCH(X59,epa_id,0)),"",IF(X59="","",IF(VLOOKUP(MATCH(X59,epa_id,0),epa,'A1(epa)'!$AG$17,FALSE)="","",VLOOKUP(MATCH(X59,epa_id,0),epa,'A1(epa)'!$AG$17,FALSE))))</f>
        <v>Electric Services</v>
      </c>
      <c r="CL59" s="4633" t="s">
        <v>579</v>
      </c>
      <c r="CM59" s="4634" t="s">
        <v>578</v>
      </c>
      <c r="CN59" s="4917"/>
      <c r="CO59" s="4918" t="s">
        <v>592</v>
      </c>
      <c r="CP59" s="4813"/>
      <c r="CQ59" s="4919"/>
      <c r="CR59" s="4920" t="s">
        <v>576</v>
      </c>
      <c r="CS59" s="4920"/>
      <c r="CT59" s="4921">
        <v>410</v>
      </c>
      <c r="CU59" s="10177"/>
      <c r="CV59" s="4922"/>
      <c r="CW59" s="4923"/>
      <c r="CX59" s="4984"/>
      <c r="CY59" s="4985"/>
      <c r="CZ59" s="4917"/>
      <c r="DA59" s="4986"/>
      <c r="DB59" s="4987" t="s">
        <v>550</v>
      </c>
      <c r="DC59" s="4988">
        <v>1968</v>
      </c>
      <c r="DD59" s="4989">
        <v>25051</v>
      </c>
      <c r="DE59" s="4815">
        <f ca="1">+(NOW()-DD59)/365.25</f>
        <v>45.939936110160474</v>
      </c>
      <c r="DF59" s="6158"/>
      <c r="DG59" s="4812"/>
      <c r="DH59" s="4920" t="s">
        <v>552</v>
      </c>
      <c r="DI59" s="4920" t="s">
        <v>1302</v>
      </c>
      <c r="DJ59" s="4618"/>
      <c r="DK59" s="4618"/>
      <c r="DL59" s="4618"/>
      <c r="DM59" s="4618"/>
      <c r="DN59" s="5025"/>
      <c r="DO59" s="4618"/>
      <c r="DP59" s="5026"/>
      <c r="DQ59" s="4845" t="s">
        <v>1102</v>
      </c>
      <c r="DR59" s="4618"/>
      <c r="DS59" s="4618"/>
      <c r="DT59" s="4618"/>
      <c r="DU59" s="4618"/>
      <c r="DV59" s="5025"/>
      <c r="DW59" s="4618"/>
      <c r="DX59" s="5026"/>
      <c r="DY59" s="4868" t="s">
        <v>1124</v>
      </c>
      <c r="DZ59" s="4618"/>
      <c r="EA59" s="4618"/>
      <c r="EB59" s="4618"/>
      <c r="EC59" s="4618"/>
      <c r="ED59" s="5025"/>
      <c r="EE59" s="4618"/>
      <c r="EF59" s="5027"/>
      <c r="EG59" s="5052"/>
      <c r="EH59" s="6230">
        <v>4100</v>
      </c>
      <c r="EI59" s="5053"/>
      <c r="EJ59" s="5054"/>
      <c r="EK59" s="5054"/>
      <c r="EL59" s="5053"/>
      <c r="EM59" s="5053"/>
      <c r="EN59" s="5053"/>
      <c r="EO59" s="5053"/>
      <c r="EP59" s="5053"/>
      <c r="EQ59" s="5053">
        <v>0.38</v>
      </c>
      <c r="ER59" s="5059"/>
      <c r="ES59" s="5059"/>
      <c r="ET59" s="6231"/>
      <c r="EU59" s="5059"/>
      <c r="EV59" s="5028"/>
      <c r="EW59" s="5085"/>
      <c r="EX59" s="5059"/>
      <c r="EY59" s="5059"/>
      <c r="EZ59" s="4920"/>
      <c r="FA59" s="4920"/>
      <c r="FB59" s="5086"/>
      <c r="FC59" s="5029"/>
      <c r="FD59" s="6232">
        <f>+IF(X59="","",IF(2010-VLOOKUP(MATCH(X59,eyr_id,0),eyr,'A1(epa)'!$U$17,FALSE)=0,IF(VLOOKUP(MATCH(X59,eyr_id,0),eyr,'A1(epa)'!$U$17,FALSE)=0,"",VLOOKUP(MATCH(X59,eyr_id,0),eyr,'A1(epa)'!$U$17,FALSE))))</f>
        <v>2010</v>
      </c>
      <c r="FE59" s="6233">
        <f>+IF(X59="","",IF(2010-VLOOKUP(MATCH(X59,eyr_id,0),eyr,'A1(epa)'!$U$17,FALSE)=0,IF(VLOOKUP(MATCH(X59,eyr_id,0),eyr,'A1(epa)'!$X$17,FALSE)=0,"",VLOOKUP(MATCH(X59,eyr_id,0),eyr,'A1(epa)'!$X$17,FALSE))))</f>
        <v>12</v>
      </c>
      <c r="FF59" s="6234">
        <f>+IF(X59="","",IF(2010-VLOOKUP(MATCH(X59,eyr_id,0),eyr,'A1(epa)'!$U$17,FALSE)=0,IF(VLOOKUP(MATCH(X59,eyr_id,0),eyr,'A1(epa)'!$W$17,FALSE)=0,"",VLOOKUP(MATCH(X59,eyr_id,0),eyr,'A1(epa)'!$W$17,FALSE))))</f>
        <v>4583</v>
      </c>
      <c r="FG59" s="6235">
        <f>+IF(X59="","",IF(2010-VLOOKUP(MATCH(X59,eyr_id,0),eyr,'A1(epa)'!$U$17,FALSE)=0,IF(VLOOKUP(MATCH(X59,eyr_id,0),eyr,'A1(epa)'!$AC$17,FALSE)=0,"",VLOOKUP(MATCH(X59,eyr_id,0),eyr,'A1(epa)'!$AC$17,FALSE))))</f>
        <v>13168116</v>
      </c>
      <c r="FH59" s="6235">
        <f>+IF(X59="","",IF(2010-VLOOKUP(MATCH(X59,eyr_id,0),eyr,'A1(epa)'!$U$17,FALSE)=0,IF(VLOOKUP(MATCH(X59,eyr_id,0),eyr,'A1(epa)'!$Y$17,FALSE)=0,"",VLOOKUP(MATCH(X59,eyr_id,0),eyr,'A1(epa)'!$Y$17,FALSE))))</f>
        <v>1302618</v>
      </c>
      <c r="FI59" s="6236">
        <f>+IF(X59="","",IF(2010-VLOOKUP(MATCH(X59,eyr_id,0),eyr,'A1(epa)'!$U$17,FALSE)=0,IF(VLOOKUP(MATCH(X59,eyr_id,0),eyr,'A1(epa)'!$AB$17,FALSE)=0,"",VLOOKUP(MATCH(X59,eyr_id,0),eyr,'A1(epa)'!$AB$17,FALSE))))</f>
        <v>934.1</v>
      </c>
      <c r="FJ59" s="6232">
        <f>+IF(X59="","",IF(2009-VLOOKUP(MATCH(X59,eyr_id,0)+1,eyr,'A1(epa)'!$U$17,FALSE)=0,IF(VLOOKUP(MATCH(X59,eyr_id,0)+1,eyr,'A1(epa)'!$U$17,FALSE)=0,"",VLOOKUP(MATCH(X59,eyr_id,0)+1,eyr,'A1(epa)'!$U$17,FALSE))))</f>
        <v>2009</v>
      </c>
      <c r="FK59" s="6233">
        <f>+IF(X59="","",IF(2009-VLOOKUP(MATCH(X59,eyr_id,0)+1,eyr,'A1(epa)'!$U$17,FALSE)=0,IF(VLOOKUP(MATCH(X59,eyr_id,0)+1,eyr,'A1(epa)'!$X$17,FALSE)=0,"",VLOOKUP(MATCH(X59,eyr_id,0)+1,eyr,'A1(epa)'!$X$17,FALSE))))</f>
        <v>12</v>
      </c>
      <c r="FL59" s="6234">
        <f>+IF(X59="","",IF(2009-VLOOKUP(MATCH(X59,eyr_id,0)+1,eyr,'A1(epa)'!$U$17,FALSE)=0,IF(VLOOKUP(MATCH(X59,eyr_id,0)+1,eyr,'A1(epa)'!$W$17,FALSE)=0,"",VLOOKUP(MATCH(X59,eyr_id,0)+1,eyr,'A1(epa)'!$W$17,FALSE))))</f>
        <v>3767</v>
      </c>
      <c r="FM59" s="6235">
        <f>+IF(X59="","",IF(2009-VLOOKUP(MATCH(X59,eyr_id,0)+1,eyr,'A1(epa)'!$U$17,FALSE)=0,IF(VLOOKUP(MATCH(X59,eyr_id,0)+1,eyr,'A1(epa)'!$AC$17,FALSE)=0,"",VLOOKUP(MATCH(X59,eyr_id,0)+1,eyr,'A1(epa)'!$AC$17,FALSE))))</f>
        <v>11147747</v>
      </c>
      <c r="FN59" s="6235">
        <f>+IF(X59="","",IF(2009-VLOOKUP(MATCH(X59,eyr_id,0)+1,eyr,'A1(epa)'!$U$17,FALSE)=0,IF(VLOOKUP(MATCH(X59,eyr_id,0)+1,eyr,'A1(epa)'!$Y$17,FALSE)=0,"",VLOOKUP(MATCH(X59,eyr_id,0)+1,eyr,'A1(epa)'!$Y$17,FALSE))))</f>
        <v>1070682</v>
      </c>
      <c r="FO59" s="6236">
        <f>+IF(X59="","",IF(2009-VLOOKUP(MATCH(X59,eyr_id,0)+1,eyr,'A1(epa)'!$U$17,FALSE)=0,IF(VLOOKUP(MATCH(X59,eyr_id,0)+1,eyr,'A1(epa)'!$AB$17,FALSE)=0,"",VLOOKUP(MATCH(X59,eyr_id,0)+1,eyr,'A1(epa)'!$AB$17,FALSE))))</f>
        <v>838.2</v>
      </c>
      <c r="FP59" s="5052"/>
      <c r="FQ59" s="5105" t="s">
        <v>594</v>
      </c>
      <c r="FR59" s="5105" t="s">
        <v>979</v>
      </c>
      <c r="FS59" s="5105"/>
      <c r="FT59" s="5105"/>
      <c r="FU59" s="5105"/>
      <c r="FV59" s="5106" t="s">
        <v>575</v>
      </c>
      <c r="FW59" s="5052"/>
      <c r="FX59" s="6292"/>
      <c r="FY59" s="6292"/>
      <c r="FZ59" s="6292"/>
      <c r="GA59" s="6292"/>
      <c r="GB59" s="6292" t="str">
        <f t="shared" si="36"/>
        <v/>
      </c>
      <c r="GC59" s="6292"/>
      <c r="GD59" s="6293"/>
      <c r="GE59" s="6346" t="str">
        <f t="shared" si="52"/>
        <v/>
      </c>
      <c r="GF59" s="6293"/>
      <c r="GG59" s="6293" t="str">
        <f t="shared" si="53"/>
        <v/>
      </c>
      <c r="GH59" s="6293"/>
      <c r="GI59" s="6293"/>
      <c r="GJ59" s="6347"/>
      <c r="GK59" s="6350"/>
      <c r="GL59" s="6344"/>
      <c r="GM59" s="6344"/>
      <c r="GN59" s="6344"/>
      <c r="GO59" s="6344"/>
      <c r="GP59" s="6345" t="str">
        <f t="shared" si="55"/>
        <v/>
      </c>
      <c r="GQ59" s="6344"/>
      <c r="GR59" s="6293"/>
      <c r="GS59" s="6346" t="str">
        <f t="shared" si="40"/>
        <v/>
      </c>
      <c r="GT59" s="6293"/>
      <c r="GU59" s="6346" t="str">
        <f t="shared" si="41"/>
        <v/>
      </c>
      <c r="GV59" s="6293"/>
      <c r="GW59" s="6293"/>
      <c r="GX59" s="6347"/>
      <c r="GY59" s="6291"/>
      <c r="GZ59" s="6292"/>
      <c r="HA59" s="6292"/>
      <c r="HB59" s="6292"/>
      <c r="HC59" s="6292"/>
      <c r="HD59" s="6292"/>
      <c r="HE59" s="6292"/>
      <c r="HF59" s="5107" t="str">
        <f>+IF((GD59+GR59)/2=0,"",(GD59+GR59)/2)</f>
        <v/>
      </c>
      <c r="HG59" s="5107"/>
      <c r="HH59" s="6294" t="str">
        <f t="shared" si="13"/>
        <v/>
      </c>
      <c r="HI59" s="6294" t="str">
        <f t="shared" si="14"/>
        <v/>
      </c>
      <c r="HJ59" s="6300"/>
      <c r="HK59" s="6300"/>
      <c r="HL59" s="6301"/>
      <c r="HM59" s="6301"/>
      <c r="HN59" s="6302"/>
      <c r="HO59" s="5357"/>
    </row>
    <row r="60" spans="1:223" ht="12.75" customHeight="1">
      <c r="A60" s="5133"/>
      <c r="B60" s="5133"/>
      <c r="C60" s="5133"/>
      <c r="D60" s="5133"/>
      <c r="F60" s="5133"/>
      <c r="G60" s="5133"/>
      <c r="H60" s="5133"/>
      <c r="I60" s="5133"/>
      <c r="J60" s="5133"/>
      <c r="K60" s="5133"/>
      <c r="L60" s="6118"/>
      <c r="M60" s="5133"/>
      <c r="N60" s="5133"/>
      <c r="O60" s="5133"/>
      <c r="P60" s="5133"/>
      <c r="Q60" s="5133"/>
      <c r="R60" s="5133"/>
      <c r="S60" s="5133"/>
      <c r="T60" s="5133"/>
      <c r="U60" s="5133"/>
      <c r="V60" s="5133"/>
      <c r="W60" s="5133"/>
      <c r="X60" s="5133"/>
      <c r="Y60" s="5133"/>
      <c r="Z60" s="5133"/>
      <c r="AA60" s="5133"/>
      <c r="AB60" s="5133"/>
      <c r="AC60" s="5133"/>
      <c r="AD60" s="5133"/>
      <c r="AE60" s="5133"/>
      <c r="AF60" s="5133"/>
      <c r="AG60" s="5133"/>
      <c r="AH60" s="5133"/>
      <c r="AI60" s="5133"/>
      <c r="AJ60" s="5133"/>
      <c r="AK60" s="5133"/>
      <c r="AL60" s="5133"/>
      <c r="AM60" s="5133"/>
      <c r="AN60" s="5133"/>
      <c r="AO60" s="5133"/>
      <c r="AP60" s="5133"/>
      <c r="AQ60" s="5133"/>
      <c r="AR60" s="5133"/>
      <c r="AS60" s="5133"/>
      <c r="AT60" s="5133"/>
      <c r="AU60" s="5133"/>
      <c r="AV60" s="5133"/>
      <c r="AW60" s="5133"/>
      <c r="AX60" s="5133"/>
      <c r="AY60" s="5133"/>
      <c r="AZ60" s="5133"/>
      <c r="BA60" s="5133"/>
      <c r="BB60" s="5133"/>
      <c r="BC60" s="5133"/>
      <c r="BD60" s="5133"/>
      <c r="BE60" s="5133"/>
      <c r="BF60" s="5133"/>
      <c r="BG60" s="5133"/>
      <c r="BH60" s="5133"/>
      <c r="BI60" s="5133"/>
      <c r="BJ60" s="5133"/>
      <c r="BK60" s="5133"/>
      <c r="BL60" s="5133"/>
      <c r="BM60" s="5133"/>
      <c r="BN60" s="5133"/>
      <c r="BO60" s="5133"/>
      <c r="BP60" s="5133"/>
      <c r="BQ60" s="5133"/>
      <c r="BR60" s="5133"/>
      <c r="BS60" s="5133"/>
      <c r="BT60" s="5133"/>
      <c r="BU60" s="5133"/>
      <c r="BV60" s="5133"/>
      <c r="BW60" s="5133"/>
      <c r="BX60" s="5133"/>
      <c r="BY60" s="5133"/>
      <c r="BZ60" s="5133"/>
      <c r="CA60" s="5133"/>
      <c r="CB60" s="5133"/>
      <c r="CC60" s="5133"/>
      <c r="CD60" s="5133"/>
      <c r="CE60" s="5133"/>
      <c r="CF60" s="5133"/>
      <c r="CG60" s="5133"/>
      <c r="CH60" s="5133"/>
      <c r="CI60" s="5133"/>
      <c r="CJ60" s="5133"/>
      <c r="CK60" s="5133"/>
      <c r="CL60" s="5133"/>
      <c r="CM60" s="5133"/>
      <c r="CN60" s="5133"/>
      <c r="CO60" s="5133"/>
      <c r="CP60" s="5133"/>
      <c r="CQ60" s="5133"/>
      <c r="CR60" s="5133"/>
      <c r="CS60" s="5133"/>
      <c r="CT60" s="5133"/>
      <c r="CU60" s="5133"/>
      <c r="CV60" s="5133"/>
      <c r="CW60" s="5133"/>
      <c r="CX60" s="5133"/>
      <c r="CY60" s="5133"/>
      <c r="CZ60" s="5133"/>
      <c r="DA60" s="5133"/>
      <c r="DB60" s="5133"/>
      <c r="DC60" s="5133"/>
      <c r="DD60" s="5133"/>
      <c r="DE60" s="5133"/>
      <c r="DF60" s="6159"/>
      <c r="DG60" s="5133"/>
      <c r="DH60" s="5133"/>
      <c r="DI60" s="5133"/>
      <c r="DJ60" s="5133"/>
      <c r="DK60" s="5133"/>
      <c r="DL60" s="5133"/>
      <c r="DM60" s="5133"/>
      <c r="DN60" s="5133"/>
      <c r="DO60" s="5133"/>
      <c r="DP60" s="5133"/>
      <c r="DQ60" s="5133"/>
      <c r="DR60" s="5133"/>
      <c r="DS60" s="5133"/>
      <c r="DT60" s="5133"/>
      <c r="DU60" s="5133"/>
      <c r="DV60" s="5133"/>
      <c r="DW60" s="5133"/>
      <c r="DX60" s="5133"/>
      <c r="DY60" s="5133"/>
      <c r="DZ60" s="5133"/>
      <c r="EA60" s="5133"/>
      <c r="EB60" s="5133"/>
      <c r="EC60" s="5133"/>
      <c r="ED60" s="5133"/>
      <c r="EE60" s="5133"/>
      <c r="EF60" s="5133"/>
      <c r="EG60" s="6119"/>
      <c r="EH60" s="6119"/>
      <c r="EI60" s="6119"/>
      <c r="EJ60" s="6119"/>
      <c r="EK60" s="6119"/>
      <c r="EL60" s="6119"/>
      <c r="EM60" s="6119"/>
      <c r="EN60" s="6119"/>
      <c r="EO60" s="6119"/>
      <c r="EP60" s="6119"/>
      <c r="EQ60" s="5133"/>
      <c r="ER60" s="5133"/>
      <c r="ES60" s="5133"/>
      <c r="ET60" s="5133"/>
      <c r="EU60" s="5133"/>
      <c r="EV60" s="5133"/>
      <c r="EW60" s="6119"/>
      <c r="EX60" s="6119"/>
      <c r="EY60" s="6119"/>
      <c r="EZ60" s="6119"/>
      <c r="FA60" s="6119"/>
      <c r="FB60" s="6119"/>
      <c r="FC60" s="5133"/>
      <c r="FD60" s="5133"/>
      <c r="FE60" s="5133"/>
      <c r="FF60" s="5133"/>
      <c r="FG60" s="5133"/>
      <c r="FH60" s="5133"/>
      <c r="FI60" s="5133"/>
      <c r="FJ60" s="5133"/>
      <c r="FK60" s="5133"/>
      <c r="FL60" s="5133"/>
      <c r="FM60" s="5133"/>
      <c r="FN60" s="5133"/>
      <c r="FO60" s="5133"/>
      <c r="FP60" s="6119"/>
      <c r="FQ60" s="6119"/>
      <c r="FR60" s="6119"/>
      <c r="FS60" s="6119"/>
      <c r="FT60" s="6119"/>
      <c r="FU60" s="6119"/>
      <c r="FV60" s="6119"/>
      <c r="FW60" s="5133"/>
      <c r="FX60" s="5133"/>
      <c r="FY60" s="5133"/>
      <c r="FZ60" s="5133"/>
      <c r="GA60" s="5133"/>
      <c r="GB60" s="5133"/>
      <c r="GC60" s="5133"/>
      <c r="GD60" s="5133"/>
      <c r="GE60" s="5133"/>
      <c r="GF60" s="5133"/>
      <c r="GG60" s="5133"/>
      <c r="GH60" s="5133"/>
      <c r="GI60" s="5133"/>
      <c r="GJ60" s="5133"/>
      <c r="GK60" s="5133"/>
      <c r="GL60" s="5133"/>
      <c r="GM60" s="5133"/>
      <c r="GN60" s="5133"/>
      <c r="GO60" s="5133"/>
      <c r="GP60" s="5133"/>
      <c r="GQ60" s="5133"/>
      <c r="GR60" s="5133"/>
      <c r="GS60" s="5133"/>
      <c r="GT60" s="5133"/>
      <c r="GU60" s="5133"/>
      <c r="GV60" s="5133"/>
      <c r="GW60" s="5133"/>
      <c r="GX60" s="5133"/>
      <c r="GY60" s="5133"/>
      <c r="GZ60" s="5133"/>
      <c r="HA60" s="5133"/>
      <c r="HB60" s="5133"/>
      <c r="HC60" s="5133"/>
      <c r="HD60" s="5133"/>
      <c r="HE60" s="5133"/>
      <c r="HF60" s="5133"/>
      <c r="HG60" s="5133"/>
      <c r="HH60" s="5133"/>
      <c r="HI60" s="5133"/>
      <c r="HJ60" s="5133"/>
      <c r="HK60" s="5133"/>
      <c r="HL60" s="5133"/>
      <c r="HM60" s="5133"/>
      <c r="HN60" s="5133"/>
      <c r="HO60" s="5133"/>
    </row>
    <row r="61" spans="1:223" ht="51" customHeight="1">
      <c r="F61" s="5133"/>
      <c r="G61" s="5133"/>
      <c r="H61" s="5133"/>
      <c r="I61" s="5133"/>
      <c r="J61" s="5133"/>
      <c r="K61" s="5133"/>
      <c r="L61" s="6120" t="s">
        <v>2140</v>
      </c>
      <c r="M61" s="5133"/>
      <c r="N61" s="5133"/>
      <c r="O61" s="5133"/>
      <c r="P61" s="5133"/>
      <c r="Q61" s="5133"/>
      <c r="R61" s="5133"/>
      <c r="S61" s="5133"/>
      <c r="T61" s="5133"/>
      <c r="U61" s="5133"/>
      <c r="V61" s="5133"/>
      <c r="W61" s="5133"/>
      <c r="X61" s="5133"/>
      <c r="Y61" s="5133"/>
      <c r="Z61" s="5133"/>
      <c r="AA61" s="5133"/>
      <c r="AB61" s="5133"/>
      <c r="AC61" s="5133"/>
      <c r="AD61" s="5133"/>
      <c r="AE61" s="5133"/>
      <c r="AF61" s="5133"/>
      <c r="AG61" s="5133"/>
      <c r="AH61" s="5133"/>
      <c r="AI61" s="5133"/>
      <c r="AJ61" s="5133"/>
      <c r="AK61" s="5133"/>
      <c r="AL61" s="5133"/>
      <c r="AM61" s="5133"/>
      <c r="AN61" s="5133"/>
      <c r="AO61" s="5133"/>
      <c r="AP61" s="5133"/>
      <c r="AQ61" s="5133"/>
      <c r="AR61" s="5133"/>
      <c r="AS61" s="5133"/>
      <c r="AT61" s="5133"/>
      <c r="AU61" s="5133"/>
      <c r="AV61" s="5133"/>
      <c r="AW61" s="5133"/>
      <c r="AX61" s="5133"/>
      <c r="AY61" s="5133"/>
      <c r="AZ61" s="5133"/>
      <c r="BA61" s="5133"/>
      <c r="BB61" s="5133"/>
      <c r="BC61" s="5133"/>
      <c r="BD61" s="5133"/>
      <c r="BE61" s="5133"/>
      <c r="BF61" s="5133"/>
      <c r="BG61" s="5133"/>
      <c r="BH61" s="5133"/>
      <c r="BI61" s="5133"/>
      <c r="BJ61" s="5133"/>
      <c r="BK61" s="5133"/>
      <c r="BL61" s="5133"/>
      <c r="BM61" s="5133"/>
      <c r="BN61" s="5133"/>
      <c r="BO61" s="5133"/>
      <c r="BP61" s="5133"/>
      <c r="BQ61" s="5133"/>
      <c r="BR61" s="5133"/>
      <c r="BS61" s="5133"/>
      <c r="BT61" s="5133"/>
      <c r="BU61" s="5133"/>
      <c r="BV61" s="5133"/>
      <c r="BW61" s="5133"/>
      <c r="BX61" s="5133"/>
      <c r="BY61" s="5133"/>
      <c r="BZ61" s="5133"/>
      <c r="CA61" s="5133"/>
      <c r="CB61" s="5133"/>
      <c r="CC61" s="5133"/>
      <c r="CD61" s="5133"/>
      <c r="CE61" s="5133"/>
      <c r="CF61" s="5133"/>
      <c r="CG61" s="5133"/>
      <c r="CH61" s="5133"/>
      <c r="CI61" s="5133"/>
      <c r="CJ61" s="5133"/>
      <c r="CK61" s="5133"/>
      <c r="CL61" s="5133"/>
      <c r="CM61" s="5133"/>
      <c r="CN61" s="5133"/>
      <c r="CO61" s="5133"/>
      <c r="CP61" s="5133"/>
      <c r="CQ61" s="5133"/>
      <c r="CR61" s="5133"/>
      <c r="CS61" s="5133"/>
      <c r="CT61" s="5133"/>
      <c r="CU61" s="5133"/>
      <c r="CV61" s="5133"/>
      <c r="CW61" s="5133"/>
      <c r="CX61" s="5133"/>
      <c r="CY61" s="5133"/>
      <c r="CZ61" s="5133"/>
      <c r="DA61" s="5133"/>
      <c r="DB61" s="5133"/>
      <c r="DC61" s="5133"/>
      <c r="DD61" s="5133"/>
      <c r="DE61" s="5133"/>
      <c r="DF61" s="6159"/>
      <c r="DG61" s="5133"/>
      <c r="DH61" s="5133"/>
      <c r="DI61" s="5133"/>
      <c r="DJ61" s="5133"/>
      <c r="DK61" s="5133"/>
      <c r="DL61" s="5133"/>
      <c r="DM61" s="5133"/>
      <c r="DN61" s="5133"/>
      <c r="DO61" s="5133"/>
      <c r="DP61" s="5133"/>
      <c r="DQ61" s="5133"/>
      <c r="DR61" s="5133"/>
      <c r="DS61" s="5133"/>
      <c r="DT61" s="5133"/>
      <c r="DU61" s="5133"/>
      <c r="DV61" s="5133"/>
      <c r="DW61" s="5133"/>
      <c r="DX61" s="5133"/>
      <c r="DY61" s="5133"/>
      <c r="DZ61" s="5133"/>
      <c r="EA61" s="5133"/>
      <c r="EB61" s="5133"/>
      <c r="EC61" s="5133"/>
      <c r="ED61" s="5133"/>
      <c r="EE61" s="5133"/>
      <c r="EF61" s="5133"/>
      <c r="EG61" s="6119"/>
      <c r="EH61" s="6119"/>
      <c r="EI61" s="6119"/>
      <c r="EJ61" s="6119"/>
      <c r="EK61" s="6119"/>
      <c r="EL61" s="6119"/>
      <c r="EM61" s="6119"/>
      <c r="EN61" s="6119"/>
      <c r="EO61" s="6119"/>
      <c r="EP61" s="6119"/>
      <c r="EQ61" s="5133"/>
      <c r="ER61" s="5133"/>
      <c r="ES61" s="5133"/>
      <c r="ET61" s="5133"/>
      <c r="EU61" s="5133"/>
      <c r="EV61" s="5133"/>
      <c r="EW61" s="6119"/>
      <c r="EX61" s="6119"/>
      <c r="EY61" s="6119"/>
      <c r="EZ61" s="6119"/>
      <c r="FA61" s="6119"/>
      <c r="FB61" s="6119"/>
      <c r="FC61" s="5133"/>
      <c r="FD61" s="5133"/>
      <c r="FE61" s="5133"/>
      <c r="FF61" s="5133"/>
      <c r="FG61" s="5133"/>
      <c r="FH61" s="5133"/>
      <c r="FI61" s="5133"/>
      <c r="FJ61" s="5133"/>
      <c r="FK61" s="5133"/>
      <c r="FL61" s="5133"/>
      <c r="FM61" s="5133"/>
      <c r="FN61" s="5133"/>
      <c r="FO61" s="5133"/>
      <c r="FP61" s="6119"/>
      <c r="FQ61" s="6119"/>
      <c r="FR61" s="6119"/>
      <c r="FS61" s="6119"/>
      <c r="FT61" s="6119"/>
      <c r="FU61" s="6119"/>
      <c r="FV61" s="6119"/>
      <c r="FW61" s="5133"/>
      <c r="FX61" s="5133"/>
      <c r="FY61" s="5133"/>
      <c r="FZ61" s="5133"/>
      <c r="GA61" s="5133"/>
      <c r="GB61" s="5133"/>
      <c r="GC61" s="5133"/>
      <c r="GD61" s="5133"/>
      <c r="GE61" s="5133"/>
      <c r="GF61" s="5133"/>
      <c r="GG61" s="5133"/>
      <c r="GH61" s="5133"/>
      <c r="GI61" s="5133"/>
      <c r="GJ61" s="5133"/>
      <c r="GK61" s="5133"/>
      <c r="GL61" s="5133"/>
      <c r="GM61" s="5133"/>
      <c r="GN61" s="5133"/>
      <c r="GO61" s="5133"/>
      <c r="GP61" s="5133"/>
      <c r="GQ61" s="5133"/>
      <c r="GR61" s="5133"/>
      <c r="GS61" s="5133"/>
      <c r="GT61" s="5133"/>
      <c r="GU61" s="5133"/>
      <c r="GV61" s="5133"/>
      <c r="GW61" s="5133"/>
      <c r="GX61" s="5133"/>
      <c r="GY61" s="5133"/>
      <c r="GZ61" s="5133"/>
      <c r="HA61" s="5133"/>
      <c r="HB61" s="5133"/>
      <c r="HC61" s="5133"/>
      <c r="HD61" s="5133"/>
      <c r="HE61" s="5133"/>
      <c r="HF61" s="5133"/>
      <c r="HG61" s="5133"/>
      <c r="HH61" s="5133"/>
      <c r="HI61" s="5133"/>
      <c r="HJ61" s="5133"/>
      <c r="HK61" s="5133"/>
      <c r="HL61" s="5133"/>
      <c r="HM61" s="5133"/>
      <c r="HN61" s="5133"/>
      <c r="HO61" s="5133"/>
    </row>
    <row r="62" spans="1:223">
      <c r="F62" s="5133"/>
      <c r="G62" s="5133"/>
      <c r="H62" s="5133"/>
      <c r="I62" s="5133"/>
      <c r="J62" s="5133"/>
      <c r="K62" s="5133"/>
      <c r="L62" s="5133"/>
      <c r="M62" s="5133"/>
      <c r="N62" s="5133"/>
      <c r="O62" s="5133"/>
      <c r="P62" s="5133"/>
      <c r="Q62" s="5133"/>
      <c r="R62" s="5133"/>
      <c r="S62" s="5133"/>
      <c r="T62" s="5133"/>
      <c r="U62" s="5133"/>
      <c r="V62" s="5133"/>
      <c r="W62" s="5133"/>
      <c r="X62" s="5133"/>
      <c r="Y62" s="5133"/>
      <c r="Z62" s="5133"/>
      <c r="AA62" s="5133"/>
      <c r="AB62" s="5133"/>
      <c r="AC62" s="5133"/>
      <c r="AD62" s="5133"/>
      <c r="AE62" s="5133"/>
      <c r="AF62" s="5133"/>
      <c r="AG62" s="5133"/>
      <c r="AH62" s="5133"/>
      <c r="AI62" s="5133"/>
      <c r="AJ62" s="5133"/>
      <c r="AK62" s="5133"/>
      <c r="AL62" s="5133"/>
      <c r="AM62" s="5133"/>
      <c r="AN62" s="5133"/>
      <c r="AO62" s="5133"/>
      <c r="AP62" s="5133"/>
      <c r="AQ62" s="5133"/>
      <c r="AR62" s="5133"/>
      <c r="AS62" s="5133"/>
      <c r="AT62" s="5133"/>
      <c r="AU62" s="5133"/>
      <c r="AV62" s="5133"/>
      <c r="AW62" s="5133"/>
      <c r="AX62" s="5133"/>
      <c r="AY62" s="5133"/>
      <c r="AZ62" s="5133"/>
      <c r="BA62" s="5133"/>
      <c r="BB62" s="5133"/>
      <c r="BC62" s="5133"/>
      <c r="BD62" s="5133"/>
      <c r="BE62" s="5133"/>
      <c r="BF62" s="5133"/>
      <c r="BG62" s="5133"/>
      <c r="BH62" s="5133"/>
      <c r="BI62" s="5133"/>
      <c r="BJ62" s="5133"/>
      <c r="BK62" s="5133"/>
      <c r="BL62" s="5133"/>
      <c r="BM62" s="5133"/>
      <c r="BN62" s="5133"/>
      <c r="BO62" s="5133"/>
      <c r="BP62" s="5133"/>
      <c r="BQ62" s="5133"/>
      <c r="BR62" s="5133"/>
      <c r="BS62" s="5133"/>
      <c r="BT62" s="5133"/>
      <c r="BU62" s="5133"/>
      <c r="BV62" s="5133"/>
      <c r="BW62" s="5133"/>
      <c r="BX62" s="5133"/>
      <c r="BY62" s="5133"/>
      <c r="BZ62" s="5133"/>
      <c r="CA62" s="5133"/>
      <c r="CB62" s="5133"/>
      <c r="CC62" s="5133"/>
      <c r="CD62" s="5133"/>
      <c r="CE62" s="5133"/>
      <c r="CF62" s="5133"/>
      <c r="CG62" s="5133"/>
      <c r="CH62" s="5133"/>
      <c r="CI62" s="5133"/>
      <c r="CJ62" s="5133"/>
      <c r="CK62" s="5133"/>
      <c r="CL62" s="5133"/>
      <c r="CM62" s="5133"/>
      <c r="CN62" s="5133"/>
      <c r="CO62" s="5133"/>
      <c r="CP62" s="5133"/>
      <c r="CQ62" s="5133"/>
      <c r="CR62" s="5133"/>
      <c r="CS62" s="5133"/>
      <c r="CT62" s="5133"/>
      <c r="CU62" s="5133"/>
      <c r="CV62" s="5133"/>
      <c r="CW62" s="5133"/>
      <c r="CX62" s="5133"/>
      <c r="CY62" s="5133"/>
      <c r="CZ62" s="5133"/>
      <c r="DA62" s="5133"/>
      <c r="DB62" s="5133"/>
      <c r="DC62" s="5133"/>
      <c r="DD62" s="5133"/>
      <c r="DE62" s="5133"/>
      <c r="DF62" s="5133"/>
      <c r="DG62" s="5133"/>
      <c r="DH62" s="5133"/>
      <c r="DI62" s="5133"/>
      <c r="DJ62" s="5133"/>
      <c r="DK62" s="5133"/>
      <c r="DL62" s="5133"/>
      <c r="DM62" s="5133"/>
      <c r="DN62" s="5133"/>
      <c r="DO62" s="5133"/>
      <c r="DP62" s="5133"/>
      <c r="DQ62" s="5133"/>
      <c r="DR62" s="5133"/>
      <c r="DS62" s="5133"/>
      <c r="DT62" s="5133"/>
      <c r="DU62" s="5133"/>
      <c r="DV62" s="5133"/>
      <c r="DW62" s="5133"/>
      <c r="DX62" s="5133"/>
      <c r="DY62" s="5133"/>
      <c r="DZ62" s="5133"/>
      <c r="EA62" s="5133"/>
      <c r="EB62" s="5133"/>
      <c r="EC62" s="5133"/>
      <c r="ED62" s="5133"/>
      <c r="EE62" s="5133"/>
      <c r="EF62" s="5133"/>
      <c r="EG62" s="6119"/>
      <c r="EH62" s="6119"/>
      <c r="EI62" s="6119"/>
      <c r="EJ62" s="6119"/>
      <c r="EK62" s="6119"/>
      <c r="EL62" s="6119"/>
      <c r="EM62" s="6119"/>
      <c r="EN62" s="6119"/>
      <c r="EO62" s="6119"/>
      <c r="EP62" s="6119"/>
      <c r="EQ62" s="5133"/>
      <c r="ER62" s="5133"/>
      <c r="ES62" s="5133"/>
      <c r="ET62" s="5133"/>
      <c r="EU62" s="5133"/>
      <c r="EV62" s="5133"/>
      <c r="EW62" s="6119"/>
      <c r="EX62" s="6119"/>
      <c r="EY62" s="6119"/>
      <c r="EZ62" s="6119"/>
      <c r="FA62" s="6119"/>
      <c r="FB62" s="6119"/>
      <c r="FC62" s="5133"/>
      <c r="FD62" s="5133"/>
      <c r="FE62" s="5133"/>
      <c r="FF62" s="5133"/>
      <c r="FG62" s="5133"/>
      <c r="FH62" s="5133"/>
      <c r="FI62" s="5133"/>
      <c r="FJ62" s="5133"/>
      <c r="FK62" s="5133"/>
      <c r="FL62" s="5133"/>
      <c r="FM62" s="5133"/>
      <c r="FN62" s="5133"/>
      <c r="FO62" s="5133"/>
      <c r="FP62" s="6119"/>
      <c r="FQ62" s="6119"/>
      <c r="FR62" s="6119"/>
      <c r="FS62" s="6119"/>
      <c r="FT62" s="6119"/>
      <c r="FU62" s="6119"/>
      <c r="FV62" s="6119"/>
      <c r="FW62" s="5133"/>
      <c r="FX62" s="5133"/>
      <c r="FY62" s="5133"/>
      <c r="FZ62" s="5133"/>
      <c r="GA62" s="5133"/>
      <c r="GB62" s="5133"/>
      <c r="GC62" s="5133"/>
      <c r="GD62" s="5133"/>
      <c r="GE62" s="5133"/>
      <c r="GF62" s="5133"/>
      <c r="GG62" s="5133"/>
      <c r="GH62" s="5133"/>
      <c r="GI62" s="5133"/>
      <c r="GJ62" s="5133"/>
      <c r="GK62" s="5133"/>
      <c r="GL62" s="5133"/>
      <c r="GM62" s="5133"/>
      <c r="GN62" s="5133"/>
      <c r="GO62" s="5133"/>
      <c r="GP62" s="5133"/>
      <c r="GQ62" s="5133"/>
      <c r="GR62" s="5133"/>
      <c r="GS62" s="5133"/>
      <c r="GT62" s="5133"/>
      <c r="GU62" s="5133"/>
      <c r="GV62" s="5133"/>
      <c r="GW62" s="5133"/>
      <c r="GX62" s="5133"/>
      <c r="GY62" s="5133"/>
      <c r="GZ62" s="5133"/>
      <c r="HA62" s="5133"/>
      <c r="HB62" s="5133"/>
      <c r="HC62" s="5133"/>
      <c r="HD62" s="5133"/>
      <c r="HE62" s="5133"/>
      <c r="HF62" s="5133"/>
      <c r="HG62" s="5133"/>
      <c r="HH62" s="5133"/>
      <c r="HI62" s="5133"/>
      <c r="HJ62" s="5133"/>
      <c r="HK62" s="5133"/>
      <c r="HL62" s="5133"/>
      <c r="HM62" s="5133"/>
      <c r="HN62" s="5133"/>
      <c r="HO62" s="5133"/>
    </row>
    <row r="63" spans="1:223" ht="219.95" customHeight="1">
      <c r="EG63" s="6121"/>
      <c r="EH63" s="6121"/>
      <c r="EI63" s="6121"/>
      <c r="EJ63" s="6121"/>
      <c r="EK63" s="6121"/>
      <c r="EL63" s="6121"/>
      <c r="EM63" s="6121"/>
      <c r="EN63" s="6121"/>
      <c r="EO63" s="6121"/>
      <c r="EP63" s="6121"/>
      <c r="EW63" s="6121"/>
      <c r="EX63" s="6121"/>
      <c r="EY63" s="6121"/>
      <c r="EZ63" s="6121"/>
      <c r="FA63" s="6121"/>
      <c r="FB63" s="6121"/>
      <c r="FP63" s="6121"/>
      <c r="FQ63" s="6121"/>
      <c r="FR63" s="6121"/>
      <c r="FS63" s="6121"/>
      <c r="FT63" s="6121"/>
      <c r="FU63" s="6121"/>
      <c r="FV63" s="6121"/>
    </row>
    <row r="64" spans="1:223" ht="219.95" customHeight="1">
      <c r="EG64" s="6121"/>
      <c r="EH64" s="6121"/>
      <c r="EI64" s="6121"/>
      <c r="EJ64" s="6121"/>
      <c r="EK64" s="6121"/>
      <c r="EL64" s="6121"/>
      <c r="EM64" s="6121"/>
      <c r="EN64" s="6121"/>
      <c r="EO64" s="6121"/>
      <c r="EP64" s="6121"/>
      <c r="EW64" s="6121"/>
      <c r="EX64" s="6121"/>
      <c r="EY64" s="6121"/>
      <c r="EZ64" s="6121"/>
      <c r="FA64" s="6121"/>
      <c r="FB64" s="6121"/>
      <c r="FP64" s="6121"/>
      <c r="FQ64" s="6121"/>
      <c r="FR64" s="6121"/>
      <c r="FS64" s="6121"/>
      <c r="FT64" s="6121"/>
      <c r="FU64" s="6121"/>
      <c r="FV64" s="6121"/>
    </row>
    <row r="65" spans="137:178" ht="219.95" customHeight="1">
      <c r="EG65" s="6121"/>
      <c r="EH65" s="6121"/>
      <c r="EI65" s="6121"/>
      <c r="EJ65" s="6121"/>
      <c r="EK65" s="6121"/>
      <c r="EL65" s="6121"/>
      <c r="EM65" s="6121"/>
      <c r="EN65" s="6121"/>
      <c r="EO65" s="6121"/>
      <c r="EP65" s="6121"/>
      <c r="EW65" s="6121"/>
      <c r="EX65" s="6121"/>
      <c r="EY65" s="6121"/>
      <c r="EZ65" s="6121"/>
      <c r="FA65" s="6121"/>
      <c r="FB65" s="6121"/>
      <c r="FP65" s="6121"/>
      <c r="FQ65" s="6121"/>
      <c r="FR65" s="6121"/>
      <c r="FS65" s="6121"/>
      <c r="FT65" s="6121"/>
      <c r="FU65" s="6121"/>
      <c r="FV65" s="6121"/>
    </row>
    <row r="66" spans="137:178"/>
  </sheetData>
  <sheetProtection password="C665" sheet="1" objects="1" scenarios="1"/>
  <mergeCells count="218">
    <mergeCell ref="B58:B59"/>
    <mergeCell ref="N18:N19"/>
    <mergeCell ref="O18:O19"/>
    <mergeCell ref="S18:S19"/>
    <mergeCell ref="V18:V19"/>
    <mergeCell ref="EM17:EM18"/>
    <mergeCell ref="EO17:EO18"/>
    <mergeCell ref="ET17:ET18"/>
    <mergeCell ref="DY17:DY19"/>
    <mergeCell ref="CX17:DA17"/>
    <mergeCell ref="DB17:DF17"/>
    <mergeCell ref="CS17:CS19"/>
    <mergeCell ref="CR17:CR19"/>
    <mergeCell ref="CQ17:CQ19"/>
    <mergeCell ref="CP17:CP19"/>
    <mergeCell ref="CO17:CO19"/>
    <mergeCell ref="CN17:CN19"/>
    <mergeCell ref="CW17:CW19"/>
    <mergeCell ref="CV17:CV18"/>
    <mergeCell ref="CU17:CU18"/>
    <mergeCell ref="CT17:CT18"/>
    <mergeCell ref="DD18:DD19"/>
    <mergeCell ref="DF18:DF19"/>
    <mergeCell ref="BR17:BR19"/>
    <mergeCell ref="GK17:GX17"/>
    <mergeCell ref="FP16:HN16"/>
    <mergeCell ref="ER17:ER18"/>
    <mergeCell ref="EQ17:EQ18"/>
    <mergeCell ref="EP17:EP18"/>
    <mergeCell ref="DY16:EF16"/>
    <mergeCell ref="EF17:EF19"/>
    <mergeCell ref="EE17:EE19"/>
    <mergeCell ref="ED17:ED19"/>
    <mergeCell ref="EC17:EC19"/>
    <mergeCell ref="EB17:EB19"/>
    <mergeCell ref="EA17:EA19"/>
    <mergeCell ref="DZ17:DZ19"/>
    <mergeCell ref="FD16:FO16"/>
    <mergeCell ref="FD17:FI17"/>
    <mergeCell ref="FJ17:FO17"/>
    <mergeCell ref="FK18:FK19"/>
    <mergeCell ref="FJ18:FJ19"/>
    <mergeCell ref="FE18:FE19"/>
    <mergeCell ref="FD18:FD19"/>
    <mergeCell ref="HL48:HL49"/>
    <mergeCell ref="HL44:HL47"/>
    <mergeCell ref="GY17:HN17"/>
    <mergeCell ref="HE44:HE47"/>
    <mergeCell ref="FC16:FC19"/>
    <mergeCell ref="ES17:ES19"/>
    <mergeCell ref="FB17:FB18"/>
    <mergeCell ref="FA17:FA18"/>
    <mergeCell ref="EZ17:EZ18"/>
    <mergeCell ref="EY17:EY18"/>
    <mergeCell ref="EX17:EX18"/>
    <mergeCell ref="EW17:EW18"/>
    <mergeCell ref="EG16:FB16"/>
    <mergeCell ref="EK17:EK18"/>
    <mergeCell ref="EJ17:EJ18"/>
    <mergeCell ref="EU17:EU18"/>
    <mergeCell ref="EV17:EV19"/>
    <mergeCell ref="EN17:EN18"/>
    <mergeCell ref="EI17:EI18"/>
    <mergeCell ref="EH17:EH18"/>
    <mergeCell ref="EG17:EG19"/>
    <mergeCell ref="EL17:EL18"/>
    <mergeCell ref="FP17:FV17"/>
    <mergeCell ref="FW17:GJ17"/>
    <mergeCell ref="DQ16:DX16"/>
    <mergeCell ref="DX17:DX19"/>
    <mergeCell ref="DW17:DW19"/>
    <mergeCell ref="DV17:DV19"/>
    <mergeCell ref="DU17:DU19"/>
    <mergeCell ref="DT17:DT19"/>
    <mergeCell ref="DS17:DS19"/>
    <mergeCell ref="DR17:DR19"/>
    <mergeCell ref="DQ17:DQ19"/>
    <mergeCell ref="DG16:DP16"/>
    <mergeCell ref="DP17:DP19"/>
    <mergeCell ref="DO17:DO19"/>
    <mergeCell ref="DN17:DN19"/>
    <mergeCell ref="DM17:DM19"/>
    <mergeCell ref="DL17:DL19"/>
    <mergeCell ref="DK17:DK19"/>
    <mergeCell ref="DJ17:DJ19"/>
    <mergeCell ref="DI17:DI19"/>
    <mergeCell ref="DH17:DH19"/>
    <mergeCell ref="DG17:DG19"/>
    <mergeCell ref="AR18:AR19"/>
    <mergeCell ref="AQ18:AQ19"/>
    <mergeCell ref="AJ18:AJ19"/>
    <mergeCell ref="CH16:CM16"/>
    <mergeCell ref="CM17:CM19"/>
    <mergeCell ref="CL17:CL19"/>
    <mergeCell ref="CK17:CK19"/>
    <mergeCell ref="CJ17:CJ19"/>
    <mergeCell ref="CI17:CI19"/>
    <mergeCell ref="CH17:CH19"/>
    <mergeCell ref="BH17:BH19"/>
    <mergeCell ref="BL17:BL19"/>
    <mergeCell ref="BK17:BK19"/>
    <mergeCell ref="BJ17:BJ18"/>
    <mergeCell ref="BI17:BI19"/>
    <mergeCell ref="CB17:CB19"/>
    <mergeCell ref="CA17:CA19"/>
    <mergeCell ref="BZ17:BZ19"/>
    <mergeCell ref="BY17:BY19"/>
    <mergeCell ref="BF16:BV16"/>
    <mergeCell ref="BV17:BV19"/>
    <mergeCell ref="BU17:BU19"/>
    <mergeCell ref="BT17:BT19"/>
    <mergeCell ref="BS17:BS19"/>
    <mergeCell ref="BM17:BM19"/>
    <mergeCell ref="BG17:BG19"/>
    <mergeCell ref="AY18:AY19"/>
    <mergeCell ref="AX18:AX19"/>
    <mergeCell ref="AW18:AW19"/>
    <mergeCell ref="AV18:AV19"/>
    <mergeCell ref="AU18:AU19"/>
    <mergeCell ref="AT18:AT19"/>
    <mergeCell ref="AS18:AS19"/>
    <mergeCell ref="G16:G19"/>
    <mergeCell ref="H18:H19"/>
    <mergeCell ref="I18:I19"/>
    <mergeCell ref="J18:J19"/>
    <mergeCell ref="L18:L19"/>
    <mergeCell ref="H16:Y17"/>
    <mergeCell ref="AC18:AC19"/>
    <mergeCell ref="Z18:Z19"/>
    <mergeCell ref="Y18:Y19"/>
    <mergeCell ref="M18:M19"/>
    <mergeCell ref="H22:H29"/>
    <mergeCell ref="DA18:DA19"/>
    <mergeCell ref="CY18:CY19"/>
    <mergeCell ref="AZ16:BE16"/>
    <mergeCell ref="AZ17:AZ19"/>
    <mergeCell ref="BE17:BE19"/>
    <mergeCell ref="BD17:BD19"/>
    <mergeCell ref="BC17:BC19"/>
    <mergeCell ref="BB17:BB19"/>
    <mergeCell ref="BA17:BA19"/>
    <mergeCell ref="AI18:AI19"/>
    <mergeCell ref="R18:R19"/>
    <mergeCell ref="AH18:AH19"/>
    <mergeCell ref="BF17:BF19"/>
    <mergeCell ref="BW16:CG16"/>
    <mergeCell ref="BW17:BW19"/>
    <mergeCell ref="BX17:BX19"/>
    <mergeCell ref="CG17:CG19"/>
    <mergeCell ref="CF17:CF19"/>
    <mergeCell ref="CE17:CE19"/>
    <mergeCell ref="CD17:CD19"/>
    <mergeCell ref="CC17:CC19"/>
    <mergeCell ref="AL17:AY17"/>
    <mergeCell ref="CN16:DF16"/>
    <mergeCell ref="I57:I59"/>
    <mergeCell ref="X18:X19"/>
    <mergeCell ref="U18:U19"/>
    <mergeCell ref="W18:W19"/>
    <mergeCell ref="K18:K19"/>
    <mergeCell ref="T18:T19"/>
    <mergeCell ref="Q18:Q19"/>
    <mergeCell ref="I50:I52"/>
    <mergeCell ref="I53:I54"/>
    <mergeCell ref="I55:I56"/>
    <mergeCell ref="M22:M29"/>
    <mergeCell ref="M34:M36"/>
    <mergeCell ref="M37:M38"/>
    <mergeCell ref="M44:M47"/>
    <mergeCell ref="M48:M49"/>
    <mergeCell ref="CU58:CU59"/>
    <mergeCell ref="AD18:AD19"/>
    <mergeCell ref="AE18:AE19"/>
    <mergeCell ref="Z17:AE17"/>
    <mergeCell ref="J22:J29"/>
    <mergeCell ref="DB18:DC18"/>
    <mergeCell ref="Z16:AY16"/>
    <mergeCell ref="P18:P19"/>
    <mergeCell ref="AF17:AH17"/>
    <mergeCell ref="AI17:AK17"/>
    <mergeCell ref="AK18:AK19"/>
    <mergeCell ref="AB18:AB19"/>
    <mergeCell ref="AA18:AA19"/>
    <mergeCell ref="AP18:AP19"/>
    <mergeCell ref="AO18:AO19"/>
    <mergeCell ref="AN18:AN19"/>
    <mergeCell ref="AM18:AM19"/>
    <mergeCell ref="AL18:AL19"/>
    <mergeCell ref="AG18:AG19"/>
    <mergeCell ref="AF18:AF19"/>
    <mergeCell ref="BQ17:BQ19"/>
    <mergeCell ref="BP17:BP19"/>
    <mergeCell ref="BO17:BO19"/>
    <mergeCell ref="BN17:BN19"/>
    <mergeCell ref="B22:B29"/>
    <mergeCell ref="B33:B47"/>
    <mergeCell ref="I33:I47"/>
    <mergeCell ref="B48:B49"/>
    <mergeCell ref="B50:B52"/>
    <mergeCell ref="B53:B54"/>
    <mergeCell ref="B55:B56"/>
    <mergeCell ref="CU22:CU29"/>
    <mergeCell ref="CT22:CT23"/>
    <mergeCell ref="CT24:CT25"/>
    <mergeCell ref="CT26:CT27"/>
    <mergeCell ref="CT28:CT29"/>
    <mergeCell ref="CU34:CU38"/>
    <mergeCell ref="CU43:CU47"/>
    <mergeCell ref="CU48:CU49"/>
    <mergeCell ref="CU50:CU52"/>
    <mergeCell ref="H48:H49"/>
    <mergeCell ref="H44:H47"/>
    <mergeCell ref="I22:I29"/>
    <mergeCell ref="H34:H36"/>
    <mergeCell ref="H37:H38"/>
    <mergeCell ref="I48:I49"/>
    <mergeCell ref="CU53:CU54"/>
    <mergeCell ref="CU55:CU56"/>
  </mergeCells>
  <phoneticPr fontId="8" type="noConversion"/>
  <dataValidations disablePrompts="1" count="5">
    <dataValidation type="list" allowBlank="1" showInputMessage="1" showErrorMessage="1" sqref="DB30:DB31">
      <formula1>"Jan,Feb,Mar,Apr,May,Jun,Jul,Aug,Sep,Oct,Nov,Dec"</formula1>
    </dataValidation>
    <dataValidation type="list" allowBlank="1" showInputMessage="1" showErrorMessage="1" sqref="BW21:BW59">
      <formula1>"Yes, No"</formula1>
    </dataValidation>
    <dataValidation type="list" allowBlank="1" showInputMessage="1" showErrorMessage="1" sqref="Z50:Z56 Z58 Z21:Z47">
      <formula1>"NSR Permit, Order, Registration, Regulation"</formula1>
    </dataValidation>
    <dataValidation type="list" allowBlank="1" showInputMessage="1" showErrorMessage="1" sqref="T21:T47 T50:T59">
      <formula1>"Utility Boiler,Combustion Turbine,Other Turbine,Desel Engine"</formula1>
    </dataValidation>
    <dataValidation type="list" allowBlank="1" showInputMessage="1" showErrorMessage="1" sqref="T48:T49">
      <formula1>"Utility Boiler,Combustion Turbine,Other Turbine, Diesel Engine"</formula1>
    </dataValidation>
  </dataValidations>
  <hyperlinks>
    <hyperlink ref="F10" location="'Table of Contents'!A1" display="x"/>
  </hyperlinks>
  <printOptions gridLines="1"/>
  <pageMargins left="0.7" right="0.2" top="0.75" bottom="0.5" header="0.3" footer="0.3"/>
  <pageSetup scale="60" orientation="portrait" r:id="rId1"/>
  <ignoredErrors>
    <ignoredError sqref="CU43:CU47 CU51:CU52 CU54 CU49 CU22" formulaRange="1"/>
    <ignoredError sqref="CU32:CU33 CU35:CU38 HM49" formula="1"/>
    <ignoredError sqref="CU34" formula="1" formulaRange="1"/>
  </ignoredErrors>
</worksheet>
</file>

<file path=xl/worksheets/sheet14.xml><?xml version="1.0" encoding="utf-8"?>
<worksheet xmlns="http://schemas.openxmlformats.org/spreadsheetml/2006/main" xmlns:r="http://schemas.openxmlformats.org/officeDocument/2006/relationships">
  <sheetPr>
    <tabColor rgb="FFFFFFC1"/>
    <pageSetUpPr fitToPage="1"/>
  </sheetPr>
  <dimension ref="A1:LJ176"/>
  <sheetViews>
    <sheetView zoomScale="70" zoomScaleNormal="70" workbookViewId="0">
      <pane xSplit="10" ySplit="33" topLeftCell="K34" activePane="bottomRight" state="frozen"/>
      <selection activeCell="G6" sqref="G6"/>
      <selection pane="topRight" activeCell="G6" sqref="G6"/>
      <selection pane="bottomLeft" activeCell="G6" sqref="G6"/>
      <selection pane="bottomRight" activeCell="O39" sqref="O39"/>
    </sheetView>
  </sheetViews>
  <sheetFormatPr defaultColWidth="0" defaultRowHeight="12.75" zeroHeight="1"/>
  <cols>
    <col min="1" max="1" width="8.85546875" style="5135" customWidth="1"/>
    <col min="2" max="2" width="10.42578125" style="5135" customWidth="1"/>
    <col min="3" max="3" width="7.42578125" style="5135" customWidth="1"/>
    <col min="4" max="4" width="11.5703125" style="5135" customWidth="1"/>
    <col min="5" max="5" width="14.85546875" style="5135" hidden="1" customWidth="1"/>
    <col min="6" max="6" width="10" style="5135" hidden="1" customWidth="1"/>
    <col min="7" max="9" width="2.7109375" style="5135" customWidth="1"/>
    <col min="10" max="12" width="5.7109375" style="5135" customWidth="1"/>
    <col min="13" max="13" width="30" style="5135" customWidth="1"/>
    <col min="14" max="14" width="8.28515625" style="5135" customWidth="1"/>
    <col min="15" max="15" width="11.5703125" style="5135" customWidth="1"/>
    <col min="16" max="16" width="17.85546875" style="5135" customWidth="1"/>
    <col min="17" max="18" width="10.42578125" style="6402" customWidth="1"/>
    <col min="19" max="19" width="14.140625" style="6402" customWidth="1"/>
    <col min="20" max="20" width="11" style="5135" customWidth="1"/>
    <col min="21" max="21" width="10.85546875" style="5135" customWidth="1"/>
    <col min="22" max="22" width="17.28515625" style="5135" customWidth="1"/>
    <col min="23" max="23" width="15.7109375" style="5135" customWidth="1"/>
    <col min="24" max="24" width="16" style="5135" customWidth="1"/>
    <col min="25" max="25" width="14.5703125" style="5135" customWidth="1"/>
    <col min="26" max="26" width="11.140625" style="5135" customWidth="1"/>
    <col min="27" max="27" width="9.28515625" style="5135" customWidth="1"/>
    <col min="28" max="28" width="26.28515625" style="5135" customWidth="1"/>
    <col min="29" max="29" width="17.7109375" style="5135" customWidth="1"/>
    <col min="30" max="30" width="9.7109375" style="5135" customWidth="1"/>
    <col min="31" max="31" width="15.42578125" style="5135" customWidth="1"/>
    <col min="32" max="33" width="13.42578125" style="5135" customWidth="1"/>
    <col min="34" max="34" width="18.7109375" style="5135" customWidth="1"/>
    <col min="35" max="39" width="13.28515625" style="5135" customWidth="1"/>
    <col min="40" max="40" width="18.7109375" style="5135" customWidth="1"/>
    <col min="41" max="46" width="13.28515625" style="5135" customWidth="1"/>
    <col min="47" max="47" width="18.7109375" style="5135" customWidth="1"/>
    <col min="48" max="52" width="13.28515625" style="5135" customWidth="1"/>
    <col min="53" max="53" width="11.42578125" style="5135" customWidth="1"/>
    <col min="54" max="54" width="16.42578125" style="5135" customWidth="1"/>
    <col min="55" max="55" width="10.42578125" style="5135" customWidth="1"/>
    <col min="56" max="56" width="41.5703125" style="5135" customWidth="1"/>
    <col min="57" max="57" width="13.140625" style="5135" customWidth="1"/>
    <col min="58" max="58" width="15.85546875" style="5135" customWidth="1"/>
    <col min="59" max="59" width="34.7109375" style="5135" customWidth="1"/>
    <col min="60" max="60" width="18.7109375" style="5135" customWidth="1"/>
    <col min="61" max="61" width="24.42578125" style="5135" customWidth="1"/>
    <col min="62" max="62" width="12.7109375" style="5135" customWidth="1"/>
    <col min="63" max="63" width="12.28515625" style="5135" customWidth="1"/>
    <col min="64" max="64" width="10.7109375" style="5135" customWidth="1"/>
    <col min="65" max="67" width="12.7109375" style="5135" customWidth="1"/>
    <col min="68" max="69" width="16.7109375" style="5135" customWidth="1"/>
    <col min="70" max="70" width="10.7109375" style="5135" customWidth="1"/>
    <col min="71" max="71" width="18.7109375" style="5135" customWidth="1"/>
    <col min="72" max="72" width="34.28515625" style="5135" customWidth="1"/>
    <col min="73" max="73" width="12.7109375" style="5135" customWidth="1"/>
    <col min="74" max="75" width="10.7109375" style="5135" customWidth="1"/>
    <col min="76" max="80" width="12.7109375" style="5135" customWidth="1"/>
    <col min="81" max="82" width="16.7109375" style="5135" customWidth="1"/>
    <col min="83" max="83" width="10.7109375" style="5135" customWidth="1"/>
    <col min="84" max="84" width="24.85546875" style="5135" customWidth="1"/>
    <col min="85" max="85" width="34.28515625" style="5135" customWidth="1"/>
    <col min="86" max="86" width="12.7109375" style="5135" customWidth="1"/>
    <col min="87" max="87" width="14.5703125" style="5135" customWidth="1"/>
    <col min="88" max="88" width="10.7109375" style="5135" customWidth="1"/>
    <col min="89" max="94" width="12.7109375" style="5135" customWidth="1"/>
    <col min="95" max="95" width="30.42578125" style="5135" customWidth="1"/>
    <col min="96" max="96" width="20.42578125" style="5135" customWidth="1"/>
    <col min="97" max="97" width="17.5703125" style="5135" customWidth="1"/>
    <col min="98" max="98" width="15.7109375" style="5135" customWidth="1"/>
    <col min="99" max="99" width="19.5703125" style="5135" customWidth="1"/>
    <col min="100" max="100" width="15.7109375" style="5135" customWidth="1"/>
    <col min="101" max="101" width="18.140625" style="6401" customWidth="1"/>
    <col min="102" max="102" width="18.28515625" style="6401" customWidth="1"/>
    <col min="103" max="104" width="15.7109375" style="6401" customWidth="1"/>
    <col min="105" max="106" width="19.85546875" style="6401" customWidth="1"/>
    <col min="107" max="110" width="15.7109375" style="5135" customWidth="1"/>
    <col min="111" max="112" width="14" style="5135" customWidth="1"/>
    <col min="113" max="113" width="21.85546875" style="5135" customWidth="1"/>
    <col min="114" max="114" width="15.7109375" style="5135" customWidth="1"/>
    <col min="115" max="115" width="16.28515625" style="5135" customWidth="1"/>
    <col min="116" max="116" width="19.5703125" style="5135" customWidth="1"/>
    <col min="117" max="117" width="15.7109375" style="5135" customWidth="1"/>
    <col min="118" max="118" width="18.140625" style="5135" customWidth="1"/>
    <col min="119" max="119" width="18.28515625" style="5135" customWidth="1"/>
    <col min="120" max="121" width="15.7109375" style="5135" customWidth="1"/>
    <col min="122" max="123" width="19.85546875" style="5135" customWidth="1"/>
    <col min="124" max="127" width="15.7109375" style="5135" customWidth="1"/>
    <col min="128" max="129" width="14" style="5135" customWidth="1"/>
    <col min="130" max="130" width="29.140625" style="5135" customWidth="1"/>
    <col min="131" max="132" width="15.7109375" style="5135" customWidth="1"/>
    <col min="133" max="133" width="12.28515625" style="5135" customWidth="1"/>
    <col min="134" max="149" width="15.7109375" style="5135" customWidth="1"/>
    <col min="150" max="150" width="17.7109375" style="5135" customWidth="1"/>
    <col min="151" max="154" width="15.7109375" style="5135" customWidth="1"/>
    <col min="155" max="155" width="21.5703125" style="5135" customWidth="1"/>
    <col min="156" max="156" width="24" style="5135" customWidth="1"/>
    <col min="157" max="157" width="24.140625" style="5135" customWidth="1"/>
    <col min="158" max="158" width="17.7109375" style="5135" customWidth="1"/>
    <col min="159" max="159" width="17" style="6401" customWidth="1"/>
    <col min="160" max="160" width="22.28515625" style="6401" customWidth="1"/>
    <col min="161" max="161" width="9.28515625" style="6401" customWidth="1"/>
    <col min="162" max="162" width="17" style="6401" customWidth="1"/>
    <col min="163" max="163" width="13" style="6401" customWidth="1"/>
    <col min="164" max="164" width="25.28515625" style="6401" customWidth="1"/>
    <col min="165" max="165" width="13" style="6401" customWidth="1"/>
    <col min="166" max="166" width="17" style="6401" customWidth="1"/>
    <col min="167" max="167" width="13.5703125" style="6401" customWidth="1"/>
    <col min="168" max="168" width="19.42578125" style="6401" customWidth="1"/>
    <col min="169" max="169" width="14.28515625" style="6401" customWidth="1"/>
    <col min="170" max="170" width="19.28515625" style="6401" customWidth="1"/>
    <col min="171" max="171" width="14.28515625" style="6401" customWidth="1"/>
    <col min="172" max="172" width="19.28515625" style="6401" customWidth="1"/>
    <col min="173" max="173" width="14.28515625" style="6401" customWidth="1"/>
    <col min="174" max="174" width="21.28515625" style="6401" customWidth="1"/>
    <col min="175" max="175" width="15.7109375" style="6401" customWidth="1"/>
    <col min="176" max="176" width="8.7109375" style="6401" customWidth="1"/>
    <col min="177" max="177" width="10.5703125" style="6401" customWidth="1"/>
    <col min="178" max="179" width="15.7109375" style="6401" customWidth="1"/>
    <col min="180" max="180" width="13.140625" style="6401" customWidth="1"/>
    <col min="181" max="181" width="15.7109375" style="6401" customWidth="1"/>
    <col min="182" max="182" width="13.5703125" style="6401" customWidth="1"/>
    <col min="183" max="183" width="13.42578125" style="6401" customWidth="1"/>
    <col min="184" max="184" width="15.7109375" style="6401" customWidth="1"/>
    <col min="185" max="186" width="15" style="6401" customWidth="1"/>
    <col min="187" max="187" width="19.28515625" style="6401" customWidth="1"/>
    <col min="188" max="188" width="18" style="6401" customWidth="1"/>
    <col min="189" max="189" width="16.28515625" style="6401" customWidth="1"/>
    <col min="190" max="190" width="14.7109375" style="6401" customWidth="1"/>
    <col min="191" max="191" width="18.42578125" style="6401" customWidth="1"/>
    <col min="192" max="192" width="18.7109375" style="6401" customWidth="1"/>
    <col min="193" max="193" width="19.85546875" style="6401" customWidth="1"/>
    <col min="194" max="194" width="22.42578125" style="6401" customWidth="1"/>
    <col min="195" max="195" width="14.7109375" style="6401" customWidth="1"/>
    <col min="196" max="196" width="14.5703125" style="6401" customWidth="1"/>
    <col min="197" max="197" width="22.140625" style="6401" customWidth="1"/>
    <col min="198" max="198" width="19.7109375" style="6401" customWidth="1"/>
    <col min="199" max="199" width="19" style="6401" customWidth="1"/>
    <col min="200" max="201" width="14.5703125" style="6401" customWidth="1"/>
    <col min="202" max="202" width="21.42578125" style="6401" customWidth="1"/>
    <col min="203" max="203" width="21.28515625" style="6401" customWidth="1"/>
    <col min="204" max="204" width="22.42578125" style="6401" customWidth="1"/>
    <col min="205" max="205" width="22.28515625" style="6401" customWidth="1"/>
    <col min="206" max="206" width="22.42578125" style="6401" customWidth="1"/>
    <col min="207" max="208" width="14.5703125" style="6401" customWidth="1"/>
    <col min="209" max="209" width="23.42578125" style="6401" customWidth="1"/>
    <col min="210" max="210" width="14.5703125" style="6401" customWidth="1"/>
    <col min="211" max="211" width="29.7109375" style="6401" customWidth="1"/>
    <col min="212" max="212" width="15.85546875" style="6401" customWidth="1"/>
    <col min="213" max="215" width="15.7109375" style="6401" customWidth="1"/>
    <col min="216" max="216" width="7" style="6401" customWidth="1"/>
    <col min="217" max="217" width="21.28515625" style="6401" customWidth="1"/>
    <col min="218" max="218" width="16.7109375" style="6401" customWidth="1"/>
    <col min="219" max="219" width="16.140625" style="6401" customWidth="1"/>
    <col min="220" max="220" width="14.7109375" style="6401" customWidth="1"/>
    <col min="221" max="221" width="20.5703125" style="6401" customWidth="1"/>
    <col min="222" max="222" width="15.7109375" style="6401" customWidth="1"/>
    <col min="223" max="223" width="20" style="6401" customWidth="1"/>
    <col min="224" max="226" width="15.7109375" style="6401" customWidth="1"/>
    <col min="227" max="227" width="20.140625" style="6401" customWidth="1"/>
    <col min="228" max="231" width="18" style="6401" customWidth="1"/>
    <col min="232" max="232" width="21.28515625" style="6401" customWidth="1"/>
    <col min="233" max="234" width="18" style="6401" customWidth="1"/>
    <col min="235" max="235" width="18.7109375" style="6401" customWidth="1"/>
    <col min="236" max="236" width="20.140625" style="6401" customWidth="1"/>
    <col min="237" max="237" width="18.42578125" style="6401" customWidth="1"/>
    <col min="238" max="238" width="14.7109375" style="6401" customWidth="1"/>
    <col min="239" max="239" width="14.5703125" style="6401" customWidth="1"/>
    <col min="240" max="241" width="18.42578125" style="6401" customWidth="1"/>
    <col min="242" max="243" width="18.5703125" style="6401" customWidth="1"/>
    <col min="244" max="244" width="18.42578125" style="6401" customWidth="1"/>
    <col min="245" max="245" width="10.42578125" style="6401" customWidth="1"/>
    <col min="246" max="246" width="14.5703125" style="6401" customWidth="1"/>
    <col min="247" max="247" width="19.28515625" style="6401" customWidth="1"/>
    <col min="248" max="250" width="18.42578125" style="6401" customWidth="1"/>
    <col min="251" max="251" width="17" style="6401" customWidth="1"/>
    <col min="252" max="252" width="18.42578125" style="6401" customWidth="1"/>
    <col min="253" max="253" width="18.28515625" style="6401" customWidth="1"/>
    <col min="254" max="254" width="18.7109375" style="6401" customWidth="1"/>
    <col min="255" max="255" width="18.42578125" style="6401" customWidth="1"/>
    <col min="256" max="256" width="8.7109375" style="6401" customWidth="1"/>
    <col min="257" max="258" width="18.42578125" style="6401" customWidth="1"/>
    <col min="259" max="259" width="22.85546875" style="6401" customWidth="1"/>
    <col min="260" max="260" width="15.140625" style="6401" customWidth="1"/>
    <col min="261" max="261" width="26.42578125" style="6401" customWidth="1"/>
    <col min="262" max="262" width="38" style="6401" customWidth="1"/>
    <col min="263" max="263" width="17.42578125" style="6401" customWidth="1"/>
    <col min="264" max="265" width="22.85546875" style="6401" customWidth="1"/>
    <col min="266" max="272" width="13.42578125" style="6401" customWidth="1"/>
    <col min="273" max="273" width="15.5703125" style="6401" customWidth="1"/>
    <col min="274" max="275" width="16" style="6401" customWidth="1"/>
    <col min="276" max="278" width="13.42578125" style="6401" customWidth="1"/>
    <col min="279" max="279" width="17.140625" style="6401" customWidth="1"/>
    <col min="280" max="280" width="10" style="6401" customWidth="1"/>
    <col min="281" max="281" width="10.140625" style="6401" customWidth="1"/>
    <col min="282" max="288" width="12.28515625" style="6401" customWidth="1"/>
    <col min="289" max="289" width="14.5703125" style="6401" customWidth="1"/>
    <col min="290" max="291" width="14.28515625" style="6401" customWidth="1"/>
    <col min="292" max="292" width="18.7109375" style="6401" customWidth="1"/>
    <col min="293" max="293" width="16.7109375" style="6401" customWidth="1"/>
    <col min="294" max="294" width="17.140625" style="6401" customWidth="1"/>
    <col min="295" max="295" width="14.28515625" style="6401" customWidth="1"/>
    <col min="296" max="296" width="12.28515625" style="6401" customWidth="1"/>
    <col min="297" max="297" width="15.28515625" style="6401" customWidth="1"/>
    <col min="298" max="300" width="15.5703125" style="6401" customWidth="1"/>
    <col min="301" max="301" width="12.28515625" style="6401" customWidth="1"/>
    <col min="302" max="303" width="14.7109375" style="6401" customWidth="1"/>
    <col min="304" max="305" width="14.5703125" style="6401" customWidth="1"/>
    <col min="306" max="306" width="13.7109375" style="6401" customWidth="1"/>
    <col min="307" max="307" width="15.140625" style="6401" customWidth="1"/>
    <col min="308" max="308" width="9.7109375" style="6401" customWidth="1"/>
    <col min="309" max="309" width="18.42578125" style="6401" customWidth="1"/>
    <col min="310" max="310" width="14.5703125" style="6401" customWidth="1"/>
    <col min="311" max="314" width="17.42578125" style="6401" customWidth="1"/>
    <col min="315" max="315" width="3.7109375" style="6401" customWidth="1"/>
    <col min="316" max="322" width="40.7109375" style="5135" customWidth="1"/>
    <col min="323" max="16384" width="9.140625" style="5135" hidden="1"/>
  </cols>
  <sheetData>
    <row r="1" spans="1:322" s="717" customFormat="1">
      <c r="A1" s="5132"/>
      <c r="B1" s="5132"/>
      <c r="C1" s="5132"/>
      <c r="D1" s="5132"/>
      <c r="E1" s="5132"/>
      <c r="F1" s="5132"/>
      <c r="G1" s="5132"/>
      <c r="H1" s="5132"/>
      <c r="I1" s="5133"/>
      <c r="J1" s="5133"/>
      <c r="K1" s="5133"/>
      <c r="L1" s="5133"/>
      <c r="M1" s="5133"/>
      <c r="N1" s="5133"/>
      <c r="O1" s="5133"/>
      <c r="P1" s="5133"/>
      <c r="Q1" s="5353"/>
      <c r="R1" s="5353"/>
      <c r="S1" s="5353"/>
      <c r="T1" s="5133"/>
      <c r="U1" s="5133"/>
      <c r="V1" s="5133"/>
      <c r="W1" s="5133"/>
      <c r="X1" s="5133"/>
      <c r="Y1" s="5133"/>
      <c r="Z1" s="5133"/>
      <c r="AA1" s="5133"/>
      <c r="AB1" s="5133"/>
      <c r="AC1" s="5133"/>
      <c r="AD1" s="5133"/>
      <c r="AE1" s="5133"/>
      <c r="AF1" s="5133"/>
      <c r="AG1" s="5133"/>
      <c r="AH1" s="5133"/>
      <c r="AI1" s="5133"/>
      <c r="AJ1" s="5133"/>
      <c r="AK1" s="5133"/>
      <c r="AL1" s="5133"/>
      <c r="AM1" s="5133"/>
      <c r="AN1" s="5133"/>
      <c r="AO1" s="5133"/>
      <c r="AP1" s="5133"/>
      <c r="AQ1" s="5133"/>
      <c r="AR1" s="5133"/>
      <c r="AS1" s="5133"/>
      <c r="AT1" s="5133"/>
      <c r="AU1" s="5133"/>
      <c r="AV1" s="5133"/>
      <c r="AW1" s="5133"/>
      <c r="AX1" s="5133"/>
      <c r="AY1" s="5133"/>
      <c r="AZ1" s="5133"/>
      <c r="BA1" s="5133"/>
      <c r="BB1" s="5133"/>
      <c r="BC1" s="5133"/>
      <c r="BD1" s="5133"/>
      <c r="BE1" s="5133"/>
      <c r="BF1" s="5133"/>
      <c r="BG1" s="5133"/>
      <c r="BH1" s="5133"/>
      <c r="BI1" s="5133"/>
      <c r="BJ1" s="5133"/>
      <c r="BK1" s="5133"/>
      <c r="BL1" s="5133"/>
      <c r="BM1" s="5133"/>
      <c r="BN1" s="5133"/>
      <c r="BO1" s="5133"/>
      <c r="BP1" s="5133"/>
      <c r="BQ1" s="5133"/>
      <c r="BR1" s="5133"/>
      <c r="BS1" s="5133"/>
      <c r="BT1" s="5133"/>
      <c r="BU1" s="5133"/>
      <c r="BV1" s="5133"/>
      <c r="BW1" s="5133"/>
      <c r="BX1" s="5133"/>
      <c r="BY1" s="5133"/>
      <c r="BZ1" s="5133"/>
      <c r="CA1" s="5133"/>
      <c r="CB1" s="5133"/>
      <c r="CC1" s="5133"/>
      <c r="CD1" s="5133"/>
      <c r="CE1" s="5133"/>
      <c r="CF1" s="5133"/>
      <c r="CG1" s="5133"/>
      <c r="CH1" s="5133"/>
      <c r="CI1" s="5133"/>
      <c r="CJ1" s="5133"/>
      <c r="CK1" s="5133"/>
      <c r="CL1" s="5133"/>
      <c r="CM1" s="5133"/>
      <c r="CN1" s="5133"/>
      <c r="CO1" s="5133"/>
      <c r="CP1" s="5133"/>
      <c r="CQ1" s="5133"/>
      <c r="CR1" s="5133"/>
      <c r="CS1" s="5133"/>
      <c r="CT1" s="5133"/>
      <c r="CU1" s="5133"/>
      <c r="CV1" s="5133"/>
      <c r="CW1" s="6119"/>
      <c r="CX1" s="6119"/>
      <c r="CY1" s="6119"/>
      <c r="CZ1" s="6119"/>
      <c r="DA1" s="6119"/>
      <c r="DB1" s="6119"/>
      <c r="DC1" s="5133"/>
      <c r="DD1" s="5133"/>
      <c r="DE1" s="5133"/>
      <c r="DF1" s="5133"/>
      <c r="DG1" s="5133"/>
      <c r="DH1" s="5133"/>
      <c r="DI1" s="5133"/>
      <c r="DJ1" s="5133"/>
      <c r="DK1" s="5133"/>
      <c r="DL1" s="5133"/>
      <c r="DM1" s="5133"/>
      <c r="DN1" s="5133"/>
      <c r="DO1" s="5133"/>
      <c r="DP1" s="5133"/>
      <c r="DQ1" s="5133"/>
      <c r="DR1" s="5133"/>
      <c r="DS1" s="5133"/>
      <c r="DT1" s="5133"/>
      <c r="DU1" s="5133"/>
      <c r="DV1" s="5133"/>
      <c r="DW1" s="5133"/>
      <c r="DX1" s="5133"/>
      <c r="DY1" s="5133"/>
      <c r="DZ1" s="5133"/>
      <c r="EA1" s="5133"/>
      <c r="EB1" s="5133"/>
      <c r="EC1" s="5133"/>
      <c r="ED1" s="5133"/>
      <c r="EE1" s="5133"/>
      <c r="EF1" s="5133"/>
      <c r="EG1" s="5133"/>
      <c r="EH1" s="5133"/>
      <c r="EI1" s="5133"/>
      <c r="EJ1" s="5133"/>
      <c r="EK1" s="5133"/>
      <c r="EL1" s="5133"/>
      <c r="EM1" s="5133"/>
      <c r="EN1" s="5133"/>
      <c r="EO1" s="5133"/>
      <c r="EP1" s="5133"/>
      <c r="EQ1" s="5133"/>
      <c r="ER1" s="5133"/>
      <c r="ES1" s="5133"/>
      <c r="ET1" s="5133"/>
      <c r="EU1" s="5133"/>
      <c r="EV1" s="5133"/>
      <c r="EW1" s="5133"/>
      <c r="EX1" s="5133"/>
      <c r="EY1" s="5133"/>
      <c r="EZ1" s="5133"/>
      <c r="FA1" s="5133"/>
      <c r="FB1" s="5133"/>
      <c r="FC1" s="6119"/>
      <c r="FD1" s="6119"/>
      <c r="FE1" s="6119"/>
      <c r="FF1" s="6119"/>
      <c r="FG1" s="6119"/>
      <c r="FH1" s="6119"/>
      <c r="FI1" s="6119"/>
      <c r="FJ1" s="6119"/>
      <c r="FK1" s="6119"/>
      <c r="FL1" s="6119"/>
      <c r="FM1" s="6119"/>
      <c r="FN1" s="6119"/>
      <c r="FO1" s="6119"/>
      <c r="FP1" s="6119"/>
      <c r="FQ1" s="6119"/>
      <c r="FR1" s="6119"/>
      <c r="FS1" s="6119"/>
      <c r="FT1" s="6119"/>
      <c r="FU1" s="6119"/>
      <c r="FV1" s="6119"/>
      <c r="FW1" s="6119"/>
      <c r="FX1" s="6119"/>
      <c r="FY1" s="6119"/>
      <c r="FZ1" s="6119"/>
      <c r="GA1" s="6119"/>
      <c r="GB1" s="6119"/>
      <c r="GC1" s="6119"/>
      <c r="GD1" s="6119"/>
      <c r="GE1" s="6119"/>
      <c r="GF1" s="6119"/>
      <c r="GG1" s="6119"/>
      <c r="GH1" s="6119"/>
      <c r="GI1" s="6119"/>
      <c r="GJ1" s="6119"/>
      <c r="GK1" s="6119"/>
      <c r="GL1" s="6119"/>
      <c r="GM1" s="6119"/>
      <c r="GN1" s="6119"/>
      <c r="GO1" s="6119"/>
      <c r="GP1" s="6119"/>
      <c r="GQ1" s="6119"/>
      <c r="GR1" s="6119"/>
      <c r="GS1" s="6119"/>
      <c r="GT1" s="6119"/>
      <c r="GU1" s="6119"/>
      <c r="GV1" s="6119"/>
      <c r="GW1" s="6119"/>
      <c r="GX1" s="6119"/>
      <c r="GY1" s="6119"/>
      <c r="GZ1" s="6119"/>
      <c r="HA1" s="6119"/>
      <c r="HB1" s="6119"/>
      <c r="HC1" s="6119"/>
      <c r="HD1" s="6119"/>
      <c r="HE1" s="6119"/>
      <c r="HF1" s="6119"/>
      <c r="HG1" s="6119"/>
      <c r="HH1" s="6119"/>
      <c r="HI1" s="6119"/>
      <c r="HJ1" s="6119"/>
      <c r="HK1" s="6119"/>
      <c r="HL1" s="6119"/>
      <c r="HM1" s="6119"/>
      <c r="HN1" s="6119"/>
      <c r="HO1" s="6119"/>
      <c r="HP1" s="6119"/>
      <c r="HQ1" s="6119"/>
      <c r="HR1" s="6119"/>
      <c r="HS1" s="6119"/>
      <c r="HT1" s="6119"/>
      <c r="HU1" s="6119"/>
      <c r="HV1" s="6119"/>
      <c r="HW1" s="6119"/>
      <c r="HX1" s="6119"/>
      <c r="HY1" s="6119"/>
      <c r="HZ1" s="6119"/>
      <c r="IA1" s="6119"/>
      <c r="IB1" s="6119"/>
      <c r="IC1" s="6119"/>
      <c r="ID1" s="6119"/>
      <c r="IE1" s="6119"/>
      <c r="IF1" s="6119"/>
      <c r="IG1" s="6119"/>
      <c r="IH1" s="6119"/>
      <c r="II1" s="6119"/>
      <c r="IJ1" s="6119"/>
      <c r="IK1" s="6119"/>
      <c r="IL1" s="6119"/>
      <c r="IM1" s="6119"/>
      <c r="IN1" s="6119"/>
      <c r="IO1" s="6119"/>
      <c r="IP1" s="6119"/>
      <c r="IQ1" s="6119"/>
      <c r="IR1" s="6119"/>
      <c r="IS1" s="6119"/>
      <c r="IT1" s="6119"/>
      <c r="IU1" s="6119"/>
      <c r="IV1" s="6119"/>
      <c r="IW1" s="6119"/>
      <c r="IX1" s="6119"/>
      <c r="IY1" s="6119"/>
      <c r="IZ1" s="6119"/>
      <c r="JA1" s="6119"/>
      <c r="JB1" s="6119"/>
      <c r="JC1" s="6119"/>
      <c r="JD1" s="6119"/>
      <c r="JE1" s="6119"/>
      <c r="JF1" s="6119"/>
      <c r="JG1" s="6119"/>
      <c r="JH1" s="6119"/>
      <c r="JI1" s="6119"/>
      <c r="JJ1" s="6119"/>
      <c r="JK1" s="6119"/>
      <c r="JL1" s="6119"/>
      <c r="JM1" s="6119"/>
      <c r="JN1" s="6119"/>
      <c r="JO1" s="6119"/>
      <c r="JP1" s="6119"/>
      <c r="JQ1" s="6119"/>
      <c r="JR1" s="6119"/>
      <c r="JS1" s="6119"/>
      <c r="JT1" s="6119"/>
      <c r="JU1" s="6119"/>
      <c r="JV1" s="6119"/>
      <c r="JW1" s="6119"/>
      <c r="JX1" s="6119"/>
      <c r="JY1" s="6119"/>
      <c r="JZ1" s="6119"/>
      <c r="KA1" s="6119"/>
      <c r="KB1" s="6119"/>
      <c r="KC1" s="6119"/>
      <c r="KD1" s="6119"/>
      <c r="KE1" s="6119"/>
      <c r="KF1" s="6119"/>
      <c r="KG1" s="6119"/>
      <c r="KH1" s="6119"/>
      <c r="KI1" s="6119"/>
      <c r="KJ1" s="6119"/>
      <c r="KK1" s="6119"/>
      <c r="KL1" s="6119"/>
      <c r="KM1" s="6119"/>
      <c r="KN1" s="6119"/>
      <c r="KO1" s="6119"/>
      <c r="KP1" s="6119"/>
      <c r="KQ1" s="6119"/>
      <c r="KR1" s="6119"/>
      <c r="KS1" s="6119"/>
      <c r="KT1" s="6119"/>
      <c r="KU1" s="6119"/>
      <c r="KV1" s="6119"/>
      <c r="KW1" s="6119"/>
      <c r="KX1" s="6119"/>
      <c r="KY1" s="6119"/>
      <c r="KZ1" s="6119"/>
      <c r="LA1" s="6119"/>
      <c r="LB1" s="6119"/>
      <c r="LC1" s="6119"/>
      <c r="LD1" s="5132"/>
      <c r="LE1" s="5132"/>
      <c r="LF1" s="5132"/>
      <c r="LG1" s="5132"/>
      <c r="LH1" s="5132"/>
      <c r="LI1" s="5132"/>
      <c r="LJ1" s="5132"/>
    </row>
    <row r="2" spans="1:322" s="717" customFormat="1" ht="13.5" thickBot="1">
      <c r="A2" s="5132"/>
      <c r="B2" s="5132"/>
      <c r="C2" s="5132"/>
      <c r="D2" s="5132"/>
      <c r="E2" s="5132"/>
      <c r="F2" s="5132"/>
      <c r="G2" s="5132"/>
      <c r="H2" s="5132"/>
      <c r="I2" s="5133"/>
      <c r="J2" s="5133"/>
      <c r="K2" s="6736" t="s">
        <v>2023</v>
      </c>
      <c r="L2" s="6737"/>
      <c r="M2" s="6737"/>
      <c r="N2" s="6737"/>
      <c r="O2" s="6738"/>
      <c r="P2" s="6738"/>
      <c r="Q2" s="6951"/>
      <c r="R2" s="6951"/>
      <c r="S2" s="6951"/>
      <c r="T2" s="6738"/>
      <c r="U2" s="6738"/>
      <c r="V2" s="6739"/>
      <c r="W2" s="5133"/>
      <c r="X2" s="5133"/>
      <c r="Y2" s="5133"/>
      <c r="Z2" s="5133"/>
      <c r="AA2" s="5133"/>
      <c r="AB2" s="5133"/>
      <c r="AC2" s="5133"/>
      <c r="AD2" s="5133"/>
      <c r="AE2" s="5133"/>
      <c r="AF2" s="5133"/>
      <c r="AG2" s="5133"/>
      <c r="AH2" s="5133"/>
      <c r="AI2" s="5133"/>
      <c r="AJ2" s="5133"/>
      <c r="AK2" s="5133"/>
      <c r="AL2" s="5133"/>
      <c r="AM2" s="5133"/>
      <c r="AN2" s="5133"/>
      <c r="AO2" s="5133"/>
      <c r="AP2" s="5133"/>
      <c r="AQ2" s="5133"/>
      <c r="AR2" s="5133"/>
      <c r="AS2" s="5133"/>
      <c r="AT2" s="5133"/>
      <c r="AU2" s="5133"/>
      <c r="AV2" s="5133"/>
      <c r="AW2" s="5133"/>
      <c r="AX2" s="5133"/>
      <c r="AY2" s="5133"/>
      <c r="AZ2" s="5133"/>
      <c r="BA2" s="5133"/>
      <c r="BB2" s="5133"/>
      <c r="BC2" s="5133"/>
      <c r="BD2" s="5133"/>
      <c r="BE2" s="5133"/>
      <c r="BF2" s="5133"/>
      <c r="BG2" s="5133"/>
      <c r="BH2" s="5133"/>
      <c r="BI2" s="5133"/>
      <c r="BJ2" s="5133"/>
      <c r="BK2" s="5133"/>
      <c r="BL2" s="5133"/>
      <c r="BM2" s="5133"/>
      <c r="BN2" s="5133"/>
      <c r="BO2" s="5133"/>
      <c r="BP2" s="5133"/>
      <c r="BQ2" s="5133"/>
      <c r="BR2" s="5133"/>
      <c r="BS2" s="5133"/>
      <c r="BT2" s="5133"/>
      <c r="BU2" s="5133"/>
      <c r="BV2" s="5133"/>
      <c r="BW2" s="5133"/>
      <c r="BX2" s="5133"/>
      <c r="BY2" s="5133"/>
      <c r="BZ2" s="5133"/>
      <c r="CA2" s="5133"/>
      <c r="CB2" s="5133"/>
      <c r="CC2" s="5133"/>
      <c r="CD2" s="5133"/>
      <c r="CE2" s="5133"/>
      <c r="CF2" s="5133"/>
      <c r="CG2" s="5133"/>
      <c r="CH2" s="5133"/>
      <c r="CI2" s="5133"/>
      <c r="CJ2" s="5133"/>
      <c r="CK2" s="5133"/>
      <c r="CL2" s="5133"/>
      <c r="CM2" s="5133"/>
      <c r="CN2" s="5133"/>
      <c r="CO2" s="5133"/>
      <c r="CP2" s="5133"/>
      <c r="CQ2" s="5133"/>
      <c r="CR2" s="5133"/>
      <c r="CS2" s="5133"/>
      <c r="CT2" s="5133"/>
      <c r="CU2" s="5133"/>
      <c r="CV2" s="5133"/>
      <c r="CW2" s="6119"/>
      <c r="CX2" s="6119"/>
      <c r="CY2" s="6119"/>
      <c r="CZ2" s="6119"/>
      <c r="DA2" s="6119"/>
      <c r="DB2" s="6119"/>
      <c r="DC2" s="5133"/>
      <c r="DD2" s="5133"/>
      <c r="DE2" s="5133"/>
      <c r="DF2" s="5133"/>
      <c r="DG2" s="5133"/>
      <c r="DH2" s="5133"/>
      <c r="DI2" s="5133"/>
      <c r="DJ2" s="5133"/>
      <c r="DK2" s="5133"/>
      <c r="DL2" s="5133"/>
      <c r="DM2" s="5133"/>
      <c r="DN2" s="5133"/>
      <c r="DO2" s="5133"/>
      <c r="DP2" s="5133"/>
      <c r="DQ2" s="5133"/>
      <c r="DR2" s="5133"/>
      <c r="DS2" s="5133"/>
      <c r="DT2" s="5133"/>
      <c r="DU2" s="5133"/>
      <c r="DV2" s="5133"/>
      <c r="DW2" s="5133"/>
      <c r="DX2" s="5133"/>
      <c r="DY2" s="5133"/>
      <c r="DZ2" s="5133"/>
      <c r="EA2" s="5133"/>
      <c r="EB2" s="5133"/>
      <c r="EC2" s="5133"/>
      <c r="ED2" s="5133"/>
      <c r="EE2" s="5133"/>
      <c r="EF2" s="5133"/>
      <c r="EG2" s="5133"/>
      <c r="EH2" s="5133"/>
      <c r="EI2" s="5133"/>
      <c r="EJ2" s="5133"/>
      <c r="EK2" s="5133"/>
      <c r="EL2" s="5133"/>
      <c r="EM2" s="5133"/>
      <c r="EN2" s="5133"/>
      <c r="EO2" s="5133"/>
      <c r="EP2" s="5133"/>
      <c r="EQ2" s="5133"/>
      <c r="ER2" s="5133"/>
      <c r="ES2" s="5133"/>
      <c r="ET2" s="5133"/>
      <c r="EU2" s="5133"/>
      <c r="EV2" s="5133"/>
      <c r="EW2" s="5133"/>
      <c r="EX2" s="5133"/>
      <c r="EY2" s="5133"/>
      <c r="EZ2" s="5133"/>
      <c r="FA2" s="5133"/>
      <c r="FB2" s="5133"/>
      <c r="FC2" s="6119"/>
      <c r="FD2" s="6119"/>
      <c r="FE2" s="6119"/>
      <c r="FF2" s="6119"/>
      <c r="FG2" s="6119"/>
      <c r="FH2" s="6119"/>
      <c r="FI2" s="6119"/>
      <c r="FJ2" s="6119"/>
      <c r="FK2" s="6119"/>
      <c r="FL2" s="6119"/>
      <c r="FM2" s="6119"/>
      <c r="FN2" s="6119"/>
      <c r="FO2" s="6119"/>
      <c r="FP2" s="6119"/>
      <c r="FQ2" s="6119"/>
      <c r="FR2" s="6119"/>
      <c r="FS2" s="6119"/>
      <c r="FT2" s="6119"/>
      <c r="FU2" s="6119"/>
      <c r="FV2" s="6119"/>
      <c r="FW2" s="6119"/>
      <c r="FX2" s="6119"/>
      <c r="FY2" s="6119"/>
      <c r="FZ2" s="6119"/>
      <c r="GA2" s="6119"/>
      <c r="GB2" s="6119"/>
      <c r="GC2" s="6119"/>
      <c r="GD2" s="6119"/>
      <c r="GE2" s="6119"/>
      <c r="GF2" s="6119"/>
      <c r="GG2" s="6119"/>
      <c r="GH2" s="6119"/>
      <c r="GI2" s="6119"/>
      <c r="GJ2" s="6119"/>
      <c r="GK2" s="6119"/>
      <c r="GL2" s="6119"/>
      <c r="GM2" s="6119"/>
      <c r="GN2" s="6119"/>
      <c r="GO2" s="6119"/>
      <c r="GP2" s="6119"/>
      <c r="GQ2" s="6119"/>
      <c r="GR2" s="6119"/>
      <c r="GS2" s="6119"/>
      <c r="GT2" s="6119"/>
      <c r="GU2" s="6119"/>
      <c r="GV2" s="6119"/>
      <c r="GW2" s="6119"/>
      <c r="GX2" s="6119"/>
      <c r="GY2" s="6119"/>
      <c r="GZ2" s="6119"/>
      <c r="HA2" s="6119"/>
      <c r="HB2" s="6119"/>
      <c r="HC2" s="6119"/>
      <c r="HD2" s="6119"/>
      <c r="HE2" s="6119"/>
      <c r="HF2" s="6119"/>
      <c r="HG2" s="6119"/>
      <c r="HH2" s="6119"/>
      <c r="HI2" s="6119"/>
      <c r="HJ2" s="6119"/>
      <c r="HK2" s="6119"/>
      <c r="HL2" s="6119"/>
      <c r="HM2" s="6119"/>
      <c r="HN2" s="6119"/>
      <c r="HO2" s="6119"/>
      <c r="HP2" s="6119"/>
      <c r="HQ2" s="6119"/>
      <c r="HR2" s="6119"/>
      <c r="HS2" s="6119"/>
      <c r="HT2" s="6119"/>
      <c r="HU2" s="6119"/>
      <c r="HV2" s="6119"/>
      <c r="HW2" s="6119"/>
      <c r="HX2" s="6119"/>
      <c r="HY2" s="6119"/>
      <c r="HZ2" s="6119"/>
      <c r="IA2" s="6119"/>
      <c r="IB2" s="6119"/>
      <c r="IC2" s="6119"/>
      <c r="ID2" s="6119"/>
      <c r="IE2" s="6119"/>
      <c r="IF2" s="6119"/>
      <c r="IG2" s="6119"/>
      <c r="IH2" s="6119"/>
      <c r="II2" s="6119"/>
      <c r="IJ2" s="6119"/>
      <c r="IK2" s="6119"/>
      <c r="IL2" s="6119"/>
      <c r="IM2" s="6119"/>
      <c r="IN2" s="6119"/>
      <c r="IO2" s="6119"/>
      <c r="IP2" s="6119"/>
      <c r="IQ2" s="6119"/>
      <c r="IR2" s="6119"/>
      <c r="IS2" s="6119"/>
      <c r="IT2" s="6119"/>
      <c r="IU2" s="6119"/>
      <c r="IV2" s="6119"/>
      <c r="IW2" s="6119"/>
      <c r="IX2" s="6119"/>
      <c r="IY2" s="6119"/>
      <c r="IZ2" s="6119"/>
      <c r="JA2" s="6119"/>
      <c r="JB2" s="6119"/>
      <c r="JC2" s="6119"/>
      <c r="JD2" s="6119"/>
      <c r="JE2" s="6119"/>
      <c r="JF2" s="6119"/>
      <c r="JG2" s="6119"/>
      <c r="JH2" s="6119"/>
      <c r="JI2" s="6119"/>
      <c r="JJ2" s="6119"/>
      <c r="JK2" s="6119"/>
      <c r="JL2" s="6119"/>
      <c r="JM2" s="6119"/>
      <c r="JN2" s="6119"/>
      <c r="JO2" s="6119"/>
      <c r="JP2" s="6119"/>
      <c r="JQ2" s="6119"/>
      <c r="JR2" s="6119"/>
      <c r="JS2" s="6119"/>
      <c r="JT2" s="6119"/>
      <c r="JU2" s="6119"/>
      <c r="JV2" s="6119"/>
      <c r="JW2" s="6119"/>
      <c r="JX2" s="6119"/>
      <c r="JY2" s="6119"/>
      <c r="JZ2" s="6119"/>
      <c r="KA2" s="6119"/>
      <c r="KB2" s="6119"/>
      <c r="KC2" s="6119"/>
      <c r="KD2" s="6119"/>
      <c r="KE2" s="6119"/>
      <c r="KF2" s="6115" t="s">
        <v>2646</v>
      </c>
      <c r="KG2" s="8354">
        <f>+'10(tac)'!V100</f>
        <v>6.1739999999999995</v>
      </c>
      <c r="KH2" s="6119"/>
      <c r="KI2" s="6119"/>
      <c r="KJ2" s="6119"/>
      <c r="KK2" s="6119"/>
      <c r="KL2" s="6119"/>
      <c r="KM2" s="6119"/>
      <c r="KN2" s="6119"/>
      <c r="KO2" s="6119"/>
      <c r="KP2" s="6119"/>
      <c r="KQ2" s="6119"/>
      <c r="KR2" s="6119"/>
      <c r="KS2" s="6119"/>
      <c r="KT2" s="6119"/>
      <c r="KU2" s="6119"/>
      <c r="KV2" s="6119"/>
      <c r="KW2" s="6119"/>
      <c r="KX2" s="6119"/>
      <c r="KY2" s="6119"/>
      <c r="KZ2" s="6119"/>
      <c r="LA2" s="6119"/>
      <c r="LB2" s="6119"/>
      <c r="LC2" s="6119"/>
      <c r="LD2" s="5132"/>
      <c r="LE2" s="5132"/>
      <c r="LF2" s="5132"/>
      <c r="LG2" s="5132"/>
      <c r="LH2" s="5132"/>
      <c r="LI2" s="5132"/>
      <c r="LJ2" s="5132"/>
    </row>
    <row r="3" spans="1:322" s="717" customFormat="1" ht="13.5" thickBot="1">
      <c r="A3" s="5132"/>
      <c r="B3" s="5132"/>
      <c r="C3" s="5132"/>
      <c r="D3" s="5132"/>
      <c r="E3" s="5132"/>
      <c r="F3" s="5132"/>
      <c r="G3" s="5132"/>
      <c r="H3" s="5132"/>
      <c r="I3" s="5133"/>
      <c r="J3" s="5133"/>
      <c r="K3" s="6740" t="s">
        <v>2021</v>
      </c>
      <c r="L3" s="7103" t="s">
        <v>2856</v>
      </c>
      <c r="M3" s="5121"/>
      <c r="N3" s="5121"/>
      <c r="O3" s="7405"/>
      <c r="P3" s="7405"/>
      <c r="Q3" s="6065"/>
      <c r="R3" s="6065"/>
      <c r="S3" s="6065"/>
      <c r="T3" s="7405"/>
      <c r="U3" s="7405"/>
      <c r="V3" s="6741"/>
      <c r="W3" s="5133"/>
      <c r="X3" s="5133"/>
      <c r="Y3" s="5133"/>
      <c r="Z3" s="5133"/>
      <c r="AA3" s="5133"/>
      <c r="AB3" s="5133"/>
      <c r="AC3" s="5133"/>
      <c r="AD3" s="5133"/>
      <c r="AE3" s="5133"/>
      <c r="AF3" s="5133"/>
      <c r="AG3" s="5133"/>
      <c r="AH3" s="5133"/>
      <c r="AI3" s="5133"/>
      <c r="AJ3" s="5133"/>
      <c r="AK3" s="5133"/>
      <c r="AL3" s="5133"/>
      <c r="AM3" s="5133"/>
      <c r="AN3" s="5133"/>
      <c r="AO3" s="5133"/>
      <c r="AP3" s="5133"/>
      <c r="AQ3" s="5133"/>
      <c r="AR3" s="5133"/>
      <c r="AS3" s="5133"/>
      <c r="AT3" s="5133"/>
      <c r="AU3" s="5133"/>
      <c r="AV3" s="5133"/>
      <c r="AW3" s="5133"/>
      <c r="AX3" s="5133"/>
      <c r="AY3" s="5133"/>
      <c r="AZ3" s="5133"/>
      <c r="BA3" s="5133"/>
      <c r="BB3" s="5133"/>
      <c r="BC3" s="5133"/>
      <c r="BD3" s="5133"/>
      <c r="BE3" s="5133"/>
      <c r="BF3" s="5133"/>
      <c r="BG3" s="5133"/>
      <c r="BH3" s="5133"/>
      <c r="BI3" s="5133"/>
      <c r="BJ3" s="5133"/>
      <c r="BK3" s="5133"/>
      <c r="BL3" s="5133"/>
      <c r="BM3" s="5133"/>
      <c r="BN3" s="5133"/>
      <c r="BO3" s="5133"/>
      <c r="BP3" s="5133"/>
      <c r="BQ3" s="5133"/>
      <c r="BR3" s="5133"/>
      <c r="BS3" s="5133"/>
      <c r="BT3" s="5133"/>
      <c r="BU3" s="5133"/>
      <c r="BV3" s="5133"/>
      <c r="BW3" s="5133"/>
      <c r="BX3" s="5133"/>
      <c r="BY3" s="5133"/>
      <c r="BZ3" s="5133"/>
      <c r="CA3" s="5133"/>
      <c r="CB3" s="5133"/>
      <c r="CC3" s="5133"/>
      <c r="CD3" s="5133"/>
      <c r="CE3" s="5133"/>
      <c r="CF3" s="5133"/>
      <c r="CG3" s="5133"/>
      <c r="CH3" s="5133"/>
      <c r="CI3" s="5133"/>
      <c r="CJ3" s="5133"/>
      <c r="CK3" s="5133"/>
      <c r="CL3" s="5133"/>
      <c r="CM3" s="5133"/>
      <c r="CN3" s="5133"/>
      <c r="CO3" s="5133"/>
      <c r="CP3" s="5133"/>
      <c r="CQ3" s="5133"/>
      <c r="CR3" s="5133"/>
      <c r="CS3" s="5133"/>
      <c r="CT3" s="5133"/>
      <c r="CU3" s="5133"/>
      <c r="CV3" s="5133"/>
      <c r="CW3" s="6119"/>
      <c r="CX3" s="6119"/>
      <c r="CY3" s="6119"/>
      <c r="CZ3" s="6119"/>
      <c r="DA3" s="6119"/>
      <c r="DB3" s="6119"/>
      <c r="DC3" s="5133"/>
      <c r="DD3" s="5133"/>
      <c r="DE3" s="5133"/>
      <c r="DF3" s="5133"/>
      <c r="DG3" s="5133"/>
      <c r="DH3" s="5133"/>
      <c r="DI3" s="5133"/>
      <c r="DJ3" s="5133"/>
      <c r="DK3" s="5133"/>
      <c r="DL3" s="5133"/>
      <c r="DM3" s="5133"/>
      <c r="DN3" s="5133"/>
      <c r="DO3" s="5133"/>
      <c r="DP3" s="5133"/>
      <c r="DQ3" s="5133"/>
      <c r="DR3" s="5133"/>
      <c r="DS3" s="5133"/>
      <c r="DT3" s="5133"/>
      <c r="DU3" s="5133"/>
      <c r="DV3" s="5133"/>
      <c r="DW3" s="5133"/>
      <c r="DX3" s="5133"/>
      <c r="DY3" s="5133"/>
      <c r="DZ3" s="5133"/>
      <c r="EA3" s="5133"/>
      <c r="EB3" s="5133"/>
      <c r="EC3" s="5133"/>
      <c r="ED3" s="5133"/>
      <c r="EE3" s="5133"/>
      <c r="EF3" s="5133"/>
      <c r="EG3" s="5133"/>
      <c r="EH3" s="5133"/>
      <c r="EI3" s="5133"/>
      <c r="EJ3" s="5133"/>
      <c r="EK3" s="5133"/>
      <c r="EL3" s="5133"/>
      <c r="EM3" s="5133"/>
      <c r="EN3" s="5133"/>
      <c r="EO3" s="5133"/>
      <c r="EP3" s="5133"/>
      <c r="EQ3" s="5133"/>
      <c r="ER3" s="5133"/>
      <c r="ES3" s="5133"/>
      <c r="ET3" s="5133"/>
      <c r="EU3" s="5133"/>
      <c r="EV3" s="5133"/>
      <c r="EW3" s="5133"/>
      <c r="EX3" s="5133"/>
      <c r="EY3" s="5133"/>
      <c r="EZ3" s="5133"/>
      <c r="FA3" s="5133"/>
      <c r="FB3" s="5133"/>
      <c r="FC3" s="6119"/>
      <c r="FD3" s="6119"/>
      <c r="FE3" s="6119"/>
      <c r="FF3" s="6119"/>
      <c r="FG3" s="6119"/>
      <c r="FH3" s="6119"/>
      <c r="FI3" s="6119"/>
      <c r="FJ3" s="6119"/>
      <c r="FK3" s="6119"/>
      <c r="FL3" s="6119"/>
      <c r="FM3" s="6119"/>
      <c r="FN3" s="6119"/>
      <c r="FO3" s="6119"/>
      <c r="FP3" s="6119"/>
      <c r="FQ3" s="6119"/>
      <c r="FR3" s="6119"/>
      <c r="FS3" s="6119"/>
      <c r="FT3" s="6119"/>
      <c r="FU3" s="6119"/>
      <c r="FV3" s="6119"/>
      <c r="FW3" s="6119"/>
      <c r="FX3" s="6119"/>
      <c r="FY3" s="6119"/>
      <c r="FZ3" s="6119"/>
      <c r="GA3" s="6119"/>
      <c r="GB3" s="6119"/>
      <c r="GC3" s="6119"/>
      <c r="GD3" s="6119"/>
      <c r="GE3" s="6119"/>
      <c r="GF3" s="6119"/>
      <c r="GG3" s="6119"/>
      <c r="GH3" s="6119"/>
      <c r="GI3" s="6119"/>
      <c r="GJ3" s="6119"/>
      <c r="GK3" s="6119"/>
      <c r="GL3" s="6119"/>
      <c r="GM3" s="6119"/>
      <c r="GN3" s="6119"/>
      <c r="GO3" s="6119"/>
      <c r="GP3" s="6119"/>
      <c r="GQ3" s="6119"/>
      <c r="GR3" s="6119"/>
      <c r="GS3" s="6119"/>
      <c r="GT3" s="6119"/>
      <c r="GU3" s="6119"/>
      <c r="GV3" s="6119"/>
      <c r="GW3" s="6119"/>
      <c r="GX3" s="6119"/>
      <c r="GY3" s="6119"/>
      <c r="GZ3" s="6119"/>
      <c r="HA3" s="6119"/>
      <c r="HB3" s="6119"/>
      <c r="HC3" s="6119"/>
      <c r="HD3" s="6119"/>
      <c r="HE3" s="6119"/>
      <c r="HF3" s="6119"/>
      <c r="HG3" s="6119"/>
      <c r="HH3" s="6119"/>
      <c r="HI3" s="6119"/>
      <c r="HJ3" s="6119"/>
      <c r="HK3" s="6119"/>
      <c r="HL3" s="6119"/>
      <c r="HM3" s="6119"/>
      <c r="HN3" s="6119"/>
      <c r="HO3" s="6119"/>
      <c r="HP3" s="6119"/>
      <c r="HQ3" s="6119"/>
      <c r="HR3" s="6119"/>
      <c r="HS3" s="6119"/>
      <c r="HT3" s="6119"/>
      <c r="HU3" s="6119"/>
      <c r="HV3" s="6119"/>
      <c r="HW3" s="6119"/>
      <c r="HX3" s="6119"/>
      <c r="HY3" s="6119"/>
      <c r="HZ3" s="6119"/>
      <c r="IA3" s="6119"/>
      <c r="IB3" s="6119"/>
      <c r="IC3" s="6119"/>
      <c r="ID3" s="6119"/>
      <c r="IE3" s="6119"/>
      <c r="IF3" s="6119"/>
      <c r="IG3" s="6119"/>
      <c r="IH3" s="6119"/>
      <c r="II3" s="6119"/>
      <c r="IJ3" s="6119"/>
      <c r="IK3" s="6119"/>
      <c r="IL3" s="6119"/>
      <c r="IM3" s="6119"/>
      <c r="IN3" s="6119"/>
      <c r="IO3" s="6119"/>
      <c r="IP3" s="6119"/>
      <c r="IQ3" s="6119"/>
      <c r="IR3" s="6119"/>
      <c r="IS3" s="6119"/>
      <c r="IT3" s="6119"/>
      <c r="IU3" s="7405"/>
      <c r="IV3" s="6920"/>
      <c r="IW3" s="7401">
        <f>+'2(gnl)'!AA12</f>
        <v>20</v>
      </c>
      <c r="IX3" s="6119"/>
      <c r="IY3" s="6119"/>
      <c r="IZ3" s="6119"/>
      <c r="JA3" s="6119"/>
      <c r="JB3" s="6119"/>
      <c r="JC3" s="6119"/>
      <c r="JD3" s="6119"/>
      <c r="JE3" s="6119"/>
      <c r="JF3" s="6119"/>
      <c r="JG3" s="6119"/>
      <c r="JH3" s="6119"/>
      <c r="JI3" s="6119"/>
      <c r="JJ3" s="6119"/>
      <c r="JK3" s="6119"/>
      <c r="JL3" s="6119"/>
      <c r="JM3" s="6119"/>
      <c r="JN3" s="6119"/>
      <c r="JO3" s="6119"/>
      <c r="JP3" s="6119"/>
      <c r="JQ3" s="6119"/>
      <c r="JR3" s="6119"/>
      <c r="JS3" s="6119"/>
      <c r="JT3" s="6119"/>
      <c r="JU3" s="6119"/>
      <c r="JV3" s="6119"/>
      <c r="JW3" s="6119"/>
      <c r="JX3" s="6119"/>
      <c r="JY3" s="6119"/>
      <c r="JZ3" s="6119"/>
      <c r="KA3" s="6119"/>
      <c r="KB3" s="6119"/>
      <c r="KC3" s="6119"/>
      <c r="KD3" s="6119"/>
      <c r="KE3" s="6119"/>
      <c r="KF3" s="5133"/>
      <c r="KG3" s="5133"/>
      <c r="KH3" s="6119"/>
      <c r="KI3" s="6119"/>
      <c r="KJ3" s="6119"/>
      <c r="KK3" s="6119"/>
      <c r="KL3" s="6119"/>
      <c r="KM3" s="6119"/>
      <c r="KN3" s="6119"/>
      <c r="KO3" s="6119"/>
      <c r="KP3" s="6119"/>
      <c r="KQ3" s="6119"/>
      <c r="KR3" s="6119"/>
      <c r="KS3" s="6119"/>
      <c r="KT3" s="6119"/>
      <c r="KU3" s="7405"/>
      <c r="KV3" s="6920"/>
      <c r="KW3" s="7401">
        <f>+'2(gnl)'!AF12</f>
        <v>25</v>
      </c>
      <c r="KX3" s="6119"/>
      <c r="KY3" s="6119"/>
      <c r="KZ3" s="6119"/>
      <c r="LA3" s="6119"/>
      <c r="LB3" s="6119"/>
      <c r="LC3" s="6119"/>
      <c r="LD3" s="5132"/>
      <c r="LE3" s="5132"/>
      <c r="LF3" s="5132"/>
      <c r="LG3" s="5132"/>
      <c r="LH3" s="5132"/>
      <c r="LI3" s="5132"/>
      <c r="LJ3" s="5132"/>
    </row>
    <row r="4" spans="1:322" s="717" customFormat="1">
      <c r="A4" s="5132"/>
      <c r="B4" s="5132"/>
      <c r="C4" s="5132"/>
      <c r="D4" s="5132"/>
      <c r="E4" s="5132"/>
      <c r="F4" s="5132"/>
      <c r="G4" s="5132"/>
      <c r="H4" s="5132"/>
      <c r="I4" s="5133"/>
      <c r="J4" s="5133"/>
      <c r="K4" s="6740" t="s">
        <v>2021</v>
      </c>
      <c r="L4" s="5121" t="s">
        <v>2850</v>
      </c>
      <c r="M4" s="5121"/>
      <c r="N4" s="5121"/>
      <c r="O4" s="7405"/>
      <c r="P4" s="7405"/>
      <c r="Q4" s="6065"/>
      <c r="R4" s="6065"/>
      <c r="S4" s="6065"/>
      <c r="T4" s="7405"/>
      <c r="U4" s="7405"/>
      <c r="V4" s="6741"/>
      <c r="W4" s="5133"/>
      <c r="X4" s="5133"/>
      <c r="Y4" s="5133"/>
      <c r="Z4" s="5133"/>
      <c r="AA4" s="5133"/>
      <c r="AB4" s="5133"/>
      <c r="AC4" s="5133"/>
      <c r="AD4" s="5133"/>
      <c r="AE4" s="5133"/>
      <c r="AF4" s="5133"/>
      <c r="AG4" s="5133"/>
      <c r="AH4" s="5133"/>
      <c r="AI4" s="5133"/>
      <c r="AJ4" s="5133"/>
      <c r="AK4" s="5133"/>
      <c r="AL4" s="5133"/>
      <c r="AM4" s="5133"/>
      <c r="AN4" s="5133"/>
      <c r="AO4" s="5133"/>
      <c r="AP4" s="5133"/>
      <c r="AQ4" s="5133"/>
      <c r="AR4" s="5133"/>
      <c r="AS4" s="5133"/>
      <c r="AT4" s="5133"/>
      <c r="AU4" s="5133"/>
      <c r="AV4" s="5133"/>
      <c r="AW4" s="5133"/>
      <c r="AX4" s="5133"/>
      <c r="AY4" s="5133"/>
      <c r="AZ4" s="5133"/>
      <c r="BA4" s="5133"/>
      <c r="BB4" s="5133"/>
      <c r="BC4" s="5133"/>
      <c r="BD4" s="5133"/>
      <c r="BE4" s="5133"/>
      <c r="BF4" s="5133"/>
      <c r="BG4" s="5133"/>
      <c r="BH4" s="5133"/>
      <c r="BI4" s="5133"/>
      <c r="BJ4" s="5133"/>
      <c r="BK4" s="5133"/>
      <c r="BL4" s="5133"/>
      <c r="BM4" s="5133"/>
      <c r="BN4" s="5133"/>
      <c r="BO4" s="5133"/>
      <c r="BP4" s="5133"/>
      <c r="BQ4" s="5133"/>
      <c r="BR4" s="5133"/>
      <c r="BS4" s="5133"/>
      <c r="BT4" s="5133"/>
      <c r="BU4" s="5133"/>
      <c r="BV4" s="5133"/>
      <c r="BW4" s="5133"/>
      <c r="BX4" s="5133"/>
      <c r="BY4" s="5133"/>
      <c r="BZ4" s="5133"/>
      <c r="CA4" s="5133"/>
      <c r="CB4" s="5133"/>
      <c r="CC4" s="5133"/>
      <c r="CD4" s="5133"/>
      <c r="CE4" s="5133"/>
      <c r="CF4" s="5133"/>
      <c r="CG4" s="5133"/>
      <c r="CH4" s="5133"/>
      <c r="CI4" s="5133"/>
      <c r="CJ4" s="5133"/>
      <c r="CK4" s="5133"/>
      <c r="CL4" s="5133"/>
      <c r="CM4" s="5133"/>
      <c r="CN4" s="5133"/>
      <c r="CO4" s="5133"/>
      <c r="CP4" s="5133"/>
      <c r="CQ4" s="5133"/>
      <c r="CR4" s="5133"/>
      <c r="CS4" s="5133"/>
      <c r="CT4" s="5133"/>
      <c r="CU4" s="5133"/>
      <c r="CV4" s="5133"/>
      <c r="CW4" s="6119"/>
      <c r="CX4" s="6119"/>
      <c r="CY4" s="6119"/>
      <c r="CZ4" s="6119"/>
      <c r="DA4" s="6119"/>
      <c r="DB4" s="6119"/>
      <c r="DC4" s="5133"/>
      <c r="DD4" s="5133"/>
      <c r="DE4" s="5133"/>
      <c r="DF4" s="5133"/>
      <c r="DG4" s="5133"/>
      <c r="DH4" s="5133"/>
      <c r="DI4" s="5133"/>
      <c r="DJ4" s="5133"/>
      <c r="DK4" s="5133"/>
      <c r="DL4" s="5133"/>
      <c r="DM4" s="5133"/>
      <c r="DN4" s="5133"/>
      <c r="DO4" s="5133"/>
      <c r="DP4" s="5133"/>
      <c r="DQ4" s="5133"/>
      <c r="DR4" s="5133"/>
      <c r="DS4" s="5133"/>
      <c r="DT4" s="5133"/>
      <c r="DU4" s="5133"/>
      <c r="DV4" s="5133"/>
      <c r="DW4" s="5133"/>
      <c r="DX4" s="5133"/>
      <c r="DY4" s="5133"/>
      <c r="DZ4" s="5133"/>
      <c r="EA4" s="5133"/>
      <c r="EB4" s="5133"/>
      <c r="EC4" s="5133"/>
      <c r="ED4" s="5133"/>
      <c r="EE4" s="5133"/>
      <c r="EF4" s="5133"/>
      <c r="EG4" s="5133"/>
      <c r="EH4" s="5133"/>
      <c r="EI4" s="5133"/>
      <c r="EJ4" s="5133"/>
      <c r="EK4" s="5133"/>
      <c r="EL4" s="5133"/>
      <c r="EM4" s="5133"/>
      <c r="EN4" s="5133"/>
      <c r="EO4" s="5133"/>
      <c r="EP4" s="5133"/>
      <c r="EQ4" s="5133"/>
      <c r="ER4" s="5133"/>
      <c r="ES4" s="5133"/>
      <c r="ET4" s="5133"/>
      <c r="EU4" s="5133"/>
      <c r="EV4" s="5133"/>
      <c r="EW4" s="5133"/>
      <c r="EX4" s="5133"/>
      <c r="EY4" s="5133"/>
      <c r="EZ4" s="5133"/>
      <c r="FA4" s="5133"/>
      <c r="FB4" s="5133"/>
      <c r="FC4" s="6119"/>
      <c r="FD4" s="6119"/>
      <c r="FE4" s="6119"/>
      <c r="FF4" s="6119"/>
      <c r="FG4" s="6119"/>
      <c r="FH4" s="6119"/>
      <c r="FI4" s="6119"/>
      <c r="FJ4" s="6119"/>
      <c r="FK4" s="6119"/>
      <c r="FL4" s="6119"/>
      <c r="FM4" s="6119"/>
      <c r="FN4" s="6119"/>
      <c r="FO4" s="6119"/>
      <c r="FP4" s="6119"/>
      <c r="FQ4" s="6119"/>
      <c r="FR4" s="6119"/>
      <c r="FS4" s="6119"/>
      <c r="FT4" s="6119"/>
      <c r="FU4" s="6119"/>
      <c r="FV4" s="6119"/>
      <c r="FW4" s="6119"/>
      <c r="FX4" s="6119"/>
      <c r="FY4" s="6119"/>
      <c r="FZ4" s="6119"/>
      <c r="GA4" s="6119"/>
      <c r="GB4" s="6119"/>
      <c r="GC4" s="6119"/>
      <c r="GD4" s="6119"/>
      <c r="GE4" s="6119"/>
      <c r="GF4" s="6119"/>
      <c r="GG4" s="6119"/>
      <c r="GH4" s="6119"/>
      <c r="GI4" s="6119"/>
      <c r="GJ4" s="6119"/>
      <c r="GK4" s="6119"/>
      <c r="GL4" s="6119"/>
      <c r="GM4" s="6119"/>
      <c r="GN4" s="6119"/>
      <c r="GO4" s="6119"/>
      <c r="GP4" s="6119"/>
      <c r="GQ4" s="6119"/>
      <c r="GR4" s="6119"/>
      <c r="GS4" s="6119"/>
      <c r="GT4" s="6119"/>
      <c r="GU4" s="6119"/>
      <c r="GV4" s="6119"/>
      <c r="GW4" s="6119"/>
      <c r="GX4" s="6119"/>
      <c r="GY4" s="6119"/>
      <c r="GZ4" s="6119"/>
      <c r="HA4" s="6119"/>
      <c r="HB4" s="6119"/>
      <c r="HC4" s="6119"/>
      <c r="HD4" s="6119"/>
      <c r="HE4" s="6119"/>
      <c r="HF4" s="6119"/>
      <c r="HG4" s="6119"/>
      <c r="HH4" s="6119"/>
      <c r="HI4" s="6119"/>
      <c r="HJ4" s="6119"/>
      <c r="HK4" s="6119"/>
      <c r="HL4" s="6119"/>
      <c r="HM4" s="6119"/>
      <c r="HN4" s="6119"/>
      <c r="HO4" s="2971" t="s">
        <v>1853</v>
      </c>
      <c r="HP4" s="2971" t="s">
        <v>1854</v>
      </c>
      <c r="HQ4" s="10851" t="s">
        <v>1869</v>
      </c>
      <c r="HR4" s="10852"/>
      <c r="HS4" s="5133"/>
      <c r="HT4" s="3515" t="s">
        <v>1855</v>
      </c>
      <c r="HU4" s="3515" t="s">
        <v>1856</v>
      </c>
      <c r="HV4" s="3515" t="s">
        <v>1870</v>
      </c>
      <c r="HW4" s="3515" t="s">
        <v>1871</v>
      </c>
      <c r="HX4" s="6119"/>
      <c r="HY4" s="6119"/>
      <c r="HZ4" s="6119"/>
      <c r="IA4" s="6119"/>
      <c r="IB4" s="6119"/>
      <c r="IC4" s="6119"/>
      <c r="ID4" s="6119"/>
      <c r="IE4" s="6119"/>
      <c r="IF4" s="6119"/>
      <c r="IG4" s="6119"/>
      <c r="IH4" s="6119"/>
      <c r="II4" s="6119"/>
      <c r="IJ4" s="6119"/>
      <c r="IK4" s="6119"/>
      <c r="IL4" s="6119"/>
      <c r="IM4" s="6119"/>
      <c r="IN4" s="6119"/>
      <c r="IO4" s="6119"/>
      <c r="IP4" s="6119"/>
      <c r="IQ4" s="6119"/>
      <c r="IR4" s="6119"/>
      <c r="IS4" s="6119"/>
      <c r="IT4" s="6119"/>
      <c r="IU4" s="7405"/>
      <c r="IV4" s="7247" t="s">
        <v>1157</v>
      </c>
      <c r="IW4" s="6908">
        <f>+'2(gnl)'!AA13</f>
        <v>7.0000000000000007E-2</v>
      </c>
      <c r="IX4" s="6119"/>
      <c r="IY4" s="6119"/>
      <c r="IZ4" s="6119"/>
      <c r="JA4" s="6119"/>
      <c r="JB4" s="6119"/>
      <c r="JC4" s="6119"/>
      <c r="JD4" s="6119"/>
      <c r="JE4" s="6119"/>
      <c r="JF4" s="6119"/>
      <c r="JG4" s="6119"/>
      <c r="JH4" s="6119"/>
      <c r="JI4" s="6119"/>
      <c r="JJ4" s="6119"/>
      <c r="JK4" s="6119"/>
      <c r="JL4" s="6119"/>
      <c r="JM4" s="6119"/>
      <c r="JN4" s="6119"/>
      <c r="JO4" s="6119"/>
      <c r="JP4" s="6119"/>
      <c r="JQ4" s="6119"/>
      <c r="JR4" s="6119"/>
      <c r="JS4" s="6119"/>
      <c r="JT4" s="6119"/>
      <c r="JU4" s="6119"/>
      <c r="JV4" s="6119"/>
      <c r="JW4" s="6119"/>
      <c r="JX4" s="6119"/>
      <c r="JY4" s="6119"/>
      <c r="JZ4" s="6119"/>
      <c r="KA4" s="6119"/>
      <c r="KB4" s="6119"/>
      <c r="KC4" s="6119"/>
      <c r="KD4" s="6119"/>
      <c r="KE4" s="6119"/>
      <c r="KF4" s="6115" t="s">
        <v>2688</v>
      </c>
      <c r="KG4" s="8322">
        <f>+JN27</f>
        <v>1.73</v>
      </c>
      <c r="KH4" s="6119"/>
      <c r="KI4" s="6119"/>
      <c r="KJ4" s="6119"/>
      <c r="KK4" s="6119"/>
      <c r="KL4" s="6119"/>
      <c r="KM4" s="6119"/>
      <c r="KN4" s="6119"/>
      <c r="KO4" s="6119"/>
      <c r="KP4" s="6119"/>
      <c r="KQ4" s="6119"/>
      <c r="KR4" s="6119"/>
      <c r="KS4" s="6119"/>
      <c r="KT4" s="6119"/>
      <c r="KU4" s="7405"/>
      <c r="KV4" s="7247" t="s">
        <v>1157</v>
      </c>
      <c r="KW4" s="6908">
        <f>+'2(gnl)'!AF13</f>
        <v>7.0000000000000007E-2</v>
      </c>
      <c r="KX4" s="6119"/>
      <c r="KY4" s="6119"/>
      <c r="KZ4" s="6119"/>
      <c r="LA4" s="6119"/>
      <c r="LB4" s="6119"/>
      <c r="LC4" s="6119"/>
      <c r="LD4" s="5132"/>
      <c r="LE4" s="5132"/>
      <c r="LF4" s="5132"/>
      <c r="LG4" s="5132"/>
      <c r="LH4" s="5132"/>
      <c r="LI4" s="5132"/>
      <c r="LJ4" s="5132"/>
    </row>
    <row r="5" spans="1:322" s="717" customFormat="1" ht="13.5" thickBot="1">
      <c r="A5" s="5132"/>
      <c r="B5" s="5132"/>
      <c r="C5" s="5132"/>
      <c r="D5" s="5132"/>
      <c r="E5" s="5132"/>
      <c r="F5" s="5132"/>
      <c r="G5" s="5132"/>
      <c r="H5" s="5132"/>
      <c r="I5" s="5133"/>
      <c r="J5" s="5133"/>
      <c r="K5" s="6740" t="s">
        <v>2021</v>
      </c>
      <c r="L5" s="7103" t="s">
        <v>2851</v>
      </c>
      <c r="M5" s="5121"/>
      <c r="N5" s="5121"/>
      <c r="O5" s="7405"/>
      <c r="P5" s="7405"/>
      <c r="Q5" s="6065"/>
      <c r="R5" s="6065"/>
      <c r="S5" s="6065"/>
      <c r="T5" s="7405"/>
      <c r="U5" s="7405"/>
      <c r="V5" s="6741"/>
      <c r="W5" s="5133"/>
      <c r="X5" s="5133"/>
      <c r="Y5" s="5133"/>
      <c r="Z5" s="5133"/>
      <c r="AA5" s="5133"/>
      <c r="AB5" s="5133"/>
      <c r="AC5" s="5133"/>
      <c r="AD5" s="5133"/>
      <c r="AE5" s="5133"/>
      <c r="AF5" s="5133"/>
      <c r="AG5" s="5133"/>
      <c r="AH5" s="5133"/>
      <c r="AI5" s="5133"/>
      <c r="AJ5" s="5133"/>
      <c r="AK5" s="5133"/>
      <c r="AL5" s="5133"/>
      <c r="AM5" s="5133"/>
      <c r="AN5" s="5133"/>
      <c r="AO5" s="5133"/>
      <c r="AP5" s="5133"/>
      <c r="AQ5" s="5133"/>
      <c r="AR5" s="5133"/>
      <c r="AS5" s="5133"/>
      <c r="AT5" s="5133"/>
      <c r="AU5" s="5133"/>
      <c r="AV5" s="5133"/>
      <c r="AW5" s="5133"/>
      <c r="AX5" s="5133"/>
      <c r="AY5" s="5133"/>
      <c r="AZ5" s="5133"/>
      <c r="BA5" s="5133"/>
      <c r="BB5" s="5133"/>
      <c r="BC5" s="5133"/>
      <c r="BD5" s="5133"/>
      <c r="BE5" s="5133"/>
      <c r="BF5" s="5133"/>
      <c r="BG5" s="5133"/>
      <c r="BH5" s="5133"/>
      <c r="BI5" s="5133"/>
      <c r="BJ5" s="5133"/>
      <c r="BK5" s="5133"/>
      <c r="BL5" s="5133"/>
      <c r="BM5" s="5133"/>
      <c r="BN5" s="5133"/>
      <c r="BO5" s="5133"/>
      <c r="BP5" s="5133"/>
      <c r="BQ5" s="5133"/>
      <c r="BR5" s="5133"/>
      <c r="BS5" s="5133"/>
      <c r="BT5" s="5133"/>
      <c r="BU5" s="5133"/>
      <c r="BV5" s="5133"/>
      <c r="BW5" s="5133"/>
      <c r="BX5" s="5133"/>
      <c r="BY5" s="5133"/>
      <c r="BZ5" s="5133"/>
      <c r="CA5" s="5133"/>
      <c r="CB5" s="5133"/>
      <c r="CC5" s="5133"/>
      <c r="CD5" s="5133"/>
      <c r="CE5" s="5133"/>
      <c r="CF5" s="5133"/>
      <c r="CG5" s="5133"/>
      <c r="CH5" s="5133"/>
      <c r="CI5" s="5133"/>
      <c r="CJ5" s="5133"/>
      <c r="CK5" s="5133"/>
      <c r="CL5" s="5133"/>
      <c r="CM5" s="5133"/>
      <c r="CN5" s="5133"/>
      <c r="CO5" s="5133"/>
      <c r="CP5" s="5133"/>
      <c r="CQ5" s="5133"/>
      <c r="CR5" s="5133"/>
      <c r="CS5" s="5133"/>
      <c r="CT5" s="5133"/>
      <c r="CU5" s="5133"/>
      <c r="CV5" s="5133"/>
      <c r="CW5" s="6119"/>
      <c r="CX5" s="6119"/>
      <c r="CY5" s="6119"/>
      <c r="CZ5" s="6119"/>
      <c r="DA5" s="6119"/>
      <c r="DB5" s="6119"/>
      <c r="DC5" s="5133"/>
      <c r="DD5" s="5133"/>
      <c r="DE5" s="5133"/>
      <c r="DF5" s="5133"/>
      <c r="DG5" s="5133"/>
      <c r="DH5" s="5133"/>
      <c r="DI5" s="5133"/>
      <c r="DJ5" s="5133"/>
      <c r="DK5" s="5133"/>
      <c r="DL5" s="5133"/>
      <c r="DM5" s="5133"/>
      <c r="DN5" s="5133"/>
      <c r="DO5" s="5133"/>
      <c r="DP5" s="5133"/>
      <c r="DQ5" s="5133"/>
      <c r="DR5" s="5133"/>
      <c r="DS5" s="5133"/>
      <c r="DT5" s="5133"/>
      <c r="DU5" s="5133"/>
      <c r="DV5" s="5133"/>
      <c r="DW5" s="5133"/>
      <c r="DX5" s="5133"/>
      <c r="DY5" s="5133"/>
      <c r="DZ5" s="5133"/>
      <c r="EA5" s="5133"/>
      <c r="EB5" s="5133"/>
      <c r="EC5" s="5133"/>
      <c r="ED5" s="5133"/>
      <c r="EE5" s="5133"/>
      <c r="EF5" s="5133"/>
      <c r="EG5" s="5133"/>
      <c r="EH5" s="5133"/>
      <c r="EI5" s="5133"/>
      <c r="EJ5" s="5133"/>
      <c r="EK5" s="5133"/>
      <c r="EL5" s="5133"/>
      <c r="EM5" s="5133"/>
      <c r="EN5" s="5133"/>
      <c r="EO5" s="5133"/>
      <c r="EP5" s="5133"/>
      <c r="EQ5" s="5133"/>
      <c r="ER5" s="5133"/>
      <c r="ES5" s="5133"/>
      <c r="ET5" s="5133"/>
      <c r="EU5" s="5133"/>
      <c r="EV5" s="5133"/>
      <c r="EW5" s="5133"/>
      <c r="EX5" s="5133"/>
      <c r="EY5" s="5133"/>
      <c r="EZ5" s="5133"/>
      <c r="FA5" s="5133"/>
      <c r="FB5" s="5133"/>
      <c r="FC5" s="6119"/>
      <c r="FD5" s="6119"/>
      <c r="FE5" s="6119"/>
      <c r="FF5" s="6119"/>
      <c r="FG5" s="6119"/>
      <c r="FH5" s="6119"/>
      <c r="FI5" s="6119"/>
      <c r="FJ5" s="6119"/>
      <c r="FK5" s="6119"/>
      <c r="FL5" s="6119"/>
      <c r="FM5" s="6119"/>
      <c r="FN5" s="6119"/>
      <c r="FO5" s="6119"/>
      <c r="FP5" s="6119"/>
      <c r="FQ5" s="6119"/>
      <c r="FR5" s="6119"/>
      <c r="FS5" s="6119"/>
      <c r="FT5" s="6119"/>
      <c r="FU5" s="6119"/>
      <c r="FV5" s="6119"/>
      <c r="FW5" s="6119"/>
      <c r="FX5" s="6119"/>
      <c r="FY5" s="6119"/>
      <c r="FZ5" s="6119"/>
      <c r="GA5" s="6119"/>
      <c r="GB5" s="6119"/>
      <c r="GC5" s="6119"/>
      <c r="GD5" s="6119"/>
      <c r="GE5" s="6119"/>
      <c r="GF5" s="6119"/>
      <c r="GG5" s="6119"/>
      <c r="GH5" s="6119"/>
      <c r="GI5" s="6119"/>
      <c r="GJ5" s="6119"/>
      <c r="GK5" s="6119"/>
      <c r="GL5" s="6119"/>
      <c r="GM5" s="6119"/>
      <c r="GN5" s="6119"/>
      <c r="GO5" s="6119"/>
      <c r="GP5" s="6119"/>
      <c r="GQ5" s="6119"/>
      <c r="GR5" s="6119"/>
      <c r="GS5" s="6119"/>
      <c r="GT5" s="6119"/>
      <c r="GU5" s="6119"/>
      <c r="GV5" s="6119"/>
      <c r="GW5" s="6119"/>
      <c r="GX5" s="6119"/>
      <c r="GY5" s="6119"/>
      <c r="GZ5" s="6119"/>
      <c r="HA5" s="6119"/>
      <c r="HB5" s="6119"/>
      <c r="HC5" s="6119"/>
      <c r="HD5" s="6119"/>
      <c r="HE5" s="6119"/>
      <c r="HF5" s="6119"/>
      <c r="HG5" s="6119"/>
      <c r="HH5" s="6392"/>
      <c r="HI5" s="6392"/>
      <c r="HJ5" s="6392"/>
      <c r="HK5" s="5133"/>
      <c r="HL5" s="4493" t="s">
        <v>1569</v>
      </c>
      <c r="HM5" s="6119"/>
      <c r="HN5" s="5133"/>
      <c r="HO5" s="2972">
        <v>1</v>
      </c>
      <c r="HP5" s="2972">
        <f>1+HO5</f>
        <v>2</v>
      </c>
      <c r="HQ5" s="2972">
        <v>3</v>
      </c>
      <c r="HR5" s="2972">
        <v>4</v>
      </c>
      <c r="HS5" s="5133"/>
      <c r="HT5" s="3516">
        <f>1+HR5</f>
        <v>5</v>
      </c>
      <c r="HU5" s="3516">
        <f>1+HT5</f>
        <v>6</v>
      </c>
      <c r="HV5" s="3516">
        <v>7</v>
      </c>
      <c r="HW5" s="3516">
        <v>8</v>
      </c>
      <c r="HX5" s="6119"/>
      <c r="HY5" s="6119"/>
      <c r="HZ5" s="6119"/>
      <c r="IA5" s="6119"/>
      <c r="IB5" s="6119"/>
      <c r="IC5" s="6119"/>
      <c r="ID5" s="6119"/>
      <c r="IE5" s="6119"/>
      <c r="IF5" s="6119"/>
      <c r="IG5" s="6119"/>
      <c r="IH5" s="6119"/>
      <c r="II5" s="6119"/>
      <c r="IJ5" s="6119"/>
      <c r="IK5" s="6119"/>
      <c r="IL5" s="6119"/>
      <c r="IM5" s="6119"/>
      <c r="IN5" s="6119"/>
      <c r="IO5" s="6119"/>
      <c r="IP5" s="6119"/>
      <c r="IQ5" s="6119"/>
      <c r="IR5" s="6119"/>
      <c r="IS5" s="6119"/>
      <c r="IT5" s="6119"/>
      <c r="IU5" s="7246"/>
      <c r="IV5" s="7248"/>
      <c r="IW5" s="6909">
        <f>+(IW4*(1+IW4)^IW3)/((1+IW4)^IW3-1)</f>
        <v>9.4392925743255696E-2</v>
      </c>
      <c r="IX5" s="6119"/>
      <c r="IY5" s="6119"/>
      <c r="IZ5" s="6119"/>
      <c r="JA5" s="6119"/>
      <c r="JB5" s="6119"/>
      <c r="JC5" s="6119"/>
      <c r="JD5" s="6119"/>
      <c r="JE5" s="6119"/>
      <c r="JF5" s="6119"/>
      <c r="JG5" s="6119"/>
      <c r="JH5" s="6119"/>
      <c r="JI5" s="6119"/>
      <c r="JJ5" s="6119"/>
      <c r="JK5" s="6119"/>
      <c r="JL5" s="6119"/>
      <c r="JM5" s="6119"/>
      <c r="JN5" s="6119"/>
      <c r="JO5" s="6119"/>
      <c r="JP5" s="6119"/>
      <c r="JQ5" s="6119"/>
      <c r="JR5" s="6119"/>
      <c r="JS5" s="6119"/>
      <c r="JT5" s="6119"/>
      <c r="JU5" s="6119"/>
      <c r="JV5" s="6119"/>
      <c r="JW5" s="6119"/>
      <c r="JX5" s="6119"/>
      <c r="JY5" s="6119"/>
      <c r="JZ5" s="6119"/>
      <c r="KA5" s="6119"/>
      <c r="KB5" s="6119"/>
      <c r="KC5" s="5974" t="s">
        <v>2685</v>
      </c>
      <c r="KD5" s="8352">
        <f>+'10(tac)'!V92</f>
        <v>50</v>
      </c>
      <c r="KE5" s="8446"/>
      <c r="KF5" s="6115" t="s">
        <v>2689</v>
      </c>
      <c r="KG5" s="8322">
        <v>1.57</v>
      </c>
      <c r="KH5" s="6119"/>
      <c r="KI5" s="6119"/>
      <c r="KJ5" s="6119"/>
      <c r="KK5" s="6119"/>
      <c r="KL5" s="6119"/>
      <c r="KM5" s="6119"/>
      <c r="KN5" s="6119"/>
      <c r="KO5" s="6119"/>
      <c r="KP5" s="6119"/>
      <c r="KQ5" s="6119"/>
      <c r="KR5" s="6119"/>
      <c r="KS5" s="6119"/>
      <c r="KT5" s="6119"/>
      <c r="KU5" s="7246"/>
      <c r="KV5" s="7248"/>
      <c r="KW5" s="6909">
        <f>+(KW4*(1+KW4)^KW3)/((1+KW4)^KW3-1)</f>
        <v>8.5810517220665614E-2</v>
      </c>
      <c r="KX5" s="6119"/>
      <c r="KY5" s="6119"/>
      <c r="KZ5" s="6119"/>
      <c r="LA5" s="6119"/>
      <c r="LB5" s="6119"/>
      <c r="LC5" s="6119"/>
      <c r="LD5" s="5132"/>
      <c r="LE5" s="5132"/>
      <c r="LF5" s="5132"/>
      <c r="LG5" s="5132"/>
      <c r="LH5" s="5132"/>
      <c r="LI5" s="5132"/>
      <c r="LJ5" s="5132"/>
    </row>
    <row r="6" spans="1:322" s="717" customFormat="1" ht="13.5" thickBot="1">
      <c r="A6" s="5132"/>
      <c r="B6" s="5132"/>
      <c r="C6" s="5132"/>
      <c r="D6" s="5132"/>
      <c r="E6" s="5132"/>
      <c r="F6" s="5132"/>
      <c r="G6" s="5132"/>
      <c r="H6" s="5132"/>
      <c r="I6" s="5133"/>
      <c r="J6" s="5133"/>
      <c r="K6" s="6740" t="s">
        <v>2021</v>
      </c>
      <c r="L6" s="7103" t="s">
        <v>2853</v>
      </c>
      <c r="M6" s="5121"/>
      <c r="N6" s="5121"/>
      <c r="O6" s="7405"/>
      <c r="P6" s="7405"/>
      <c r="Q6" s="6065"/>
      <c r="R6" s="6065"/>
      <c r="S6" s="6065"/>
      <c r="T6" s="7405"/>
      <c r="U6" s="7405"/>
      <c r="V6" s="6741"/>
      <c r="W6" s="5133"/>
      <c r="X6" s="5133"/>
      <c r="Y6" s="5133"/>
      <c r="Z6" s="5133"/>
      <c r="AA6" s="5133"/>
      <c r="AB6" s="5133"/>
      <c r="AC6" s="5133"/>
      <c r="AD6" s="5133"/>
      <c r="AE6" s="5133"/>
      <c r="AF6" s="5133"/>
      <c r="AG6" s="5133"/>
      <c r="AH6" s="5133"/>
      <c r="AI6" s="5133"/>
      <c r="AJ6" s="5133"/>
      <c r="AK6" s="5133"/>
      <c r="AL6" s="5133"/>
      <c r="AM6" s="5133"/>
      <c r="AN6" s="5133"/>
      <c r="AO6" s="5133"/>
      <c r="AP6" s="5133"/>
      <c r="AQ6" s="5133"/>
      <c r="AR6" s="5133"/>
      <c r="AS6" s="5133"/>
      <c r="AT6" s="5133"/>
      <c r="AU6" s="5133"/>
      <c r="AV6" s="5133"/>
      <c r="AW6" s="5133"/>
      <c r="AX6" s="5133"/>
      <c r="AY6" s="5133"/>
      <c r="AZ6" s="5133"/>
      <c r="BA6" s="5133"/>
      <c r="BB6" s="5133"/>
      <c r="BC6" s="5133"/>
      <c r="BD6" s="5133"/>
      <c r="BE6" s="5133"/>
      <c r="BF6" s="5133"/>
      <c r="BG6" s="5133"/>
      <c r="BH6" s="5133"/>
      <c r="BI6" s="5133"/>
      <c r="BJ6" s="5133"/>
      <c r="BK6" s="5133"/>
      <c r="BL6" s="5133"/>
      <c r="BM6" s="5133"/>
      <c r="BN6" s="5133"/>
      <c r="BO6" s="5133"/>
      <c r="BP6" s="5133"/>
      <c r="BQ6" s="5133"/>
      <c r="BR6" s="5133"/>
      <c r="BS6" s="5133"/>
      <c r="BT6" s="5133"/>
      <c r="BU6" s="5133"/>
      <c r="BV6" s="5133"/>
      <c r="BW6" s="5133"/>
      <c r="BX6" s="5133"/>
      <c r="BY6" s="5133"/>
      <c r="BZ6" s="5133"/>
      <c r="CA6" s="5133"/>
      <c r="CB6" s="5133"/>
      <c r="CC6" s="5133"/>
      <c r="CD6" s="5133"/>
      <c r="CE6" s="5133"/>
      <c r="CF6" s="5133"/>
      <c r="CG6" s="5133"/>
      <c r="CH6" s="5133"/>
      <c r="CI6" s="5133"/>
      <c r="CJ6" s="5133"/>
      <c r="CK6" s="5133"/>
      <c r="CL6" s="5133"/>
      <c r="CM6" s="5133"/>
      <c r="CN6" s="5133"/>
      <c r="CO6" s="5133"/>
      <c r="CP6" s="5133"/>
      <c r="CQ6" s="5133"/>
      <c r="CR6" s="5133"/>
      <c r="CS6" s="5133"/>
      <c r="CT6" s="5133"/>
      <c r="CU6" s="5133"/>
      <c r="CV6" s="5133"/>
      <c r="CW6" s="6119"/>
      <c r="CX6" s="6119"/>
      <c r="CY6" s="6119"/>
      <c r="CZ6" s="6119"/>
      <c r="DA6" s="6119"/>
      <c r="DB6" s="6119"/>
      <c r="DC6" s="5133"/>
      <c r="DD6" s="5133"/>
      <c r="DE6" s="5133"/>
      <c r="DF6" s="5133"/>
      <c r="DG6" s="5133"/>
      <c r="DH6" s="5133"/>
      <c r="DI6" s="5133"/>
      <c r="DJ6" s="5133"/>
      <c r="DK6" s="5133"/>
      <c r="DL6" s="5133"/>
      <c r="DM6" s="5133"/>
      <c r="DN6" s="5133"/>
      <c r="DO6" s="5133"/>
      <c r="DP6" s="5133"/>
      <c r="DQ6" s="5133"/>
      <c r="DR6" s="5133"/>
      <c r="DS6" s="5133"/>
      <c r="DT6" s="5133"/>
      <c r="DU6" s="5133"/>
      <c r="DV6" s="5133"/>
      <c r="DW6" s="5133"/>
      <c r="DX6" s="5133"/>
      <c r="DY6" s="5133"/>
      <c r="DZ6" s="5133"/>
      <c r="EA6" s="5133"/>
      <c r="EB6" s="5133"/>
      <c r="EC6" s="5133"/>
      <c r="ED6" s="5133"/>
      <c r="EE6" s="5133"/>
      <c r="EF6" s="5133"/>
      <c r="EG6" s="5133"/>
      <c r="EH6" s="5133"/>
      <c r="EI6" s="5133"/>
      <c r="EJ6" s="5133"/>
      <c r="EK6" s="5133"/>
      <c r="EL6" s="5133"/>
      <c r="EM6" s="5133"/>
      <c r="EN6" s="5133"/>
      <c r="EO6" s="5133"/>
      <c r="EP6" s="5133"/>
      <c r="EQ6" s="5133"/>
      <c r="ER6" s="5133"/>
      <c r="ES6" s="5133"/>
      <c r="ET6" s="5133"/>
      <c r="EU6" s="5133"/>
      <c r="EV6" s="5133"/>
      <c r="EW6" s="5133"/>
      <c r="EX6" s="5133"/>
      <c r="EY6" s="5133"/>
      <c r="EZ6" s="5133"/>
      <c r="FA6" s="5133"/>
      <c r="FB6" s="5133"/>
      <c r="FC6" s="6119"/>
      <c r="FD6" s="6119"/>
      <c r="FE6" s="6119"/>
      <c r="FF6" s="6119"/>
      <c r="FG6" s="6119"/>
      <c r="FH6" s="6119"/>
      <c r="FI6" s="6119"/>
      <c r="FJ6" s="6119"/>
      <c r="FK6" s="6119"/>
      <c r="FL6" s="6119"/>
      <c r="FM6" s="6119"/>
      <c r="FN6" s="6119"/>
      <c r="FO6" s="6119"/>
      <c r="FP6" s="6119"/>
      <c r="FQ6" s="6119"/>
      <c r="FR6" s="6119"/>
      <c r="FS6" s="6119"/>
      <c r="FT6" s="6119"/>
      <c r="FU6" s="6119"/>
      <c r="FV6" s="6119"/>
      <c r="FW6" s="6119"/>
      <c r="FX6" s="6119"/>
      <c r="FY6" s="6119"/>
      <c r="FZ6" s="6119"/>
      <c r="GA6" s="6119"/>
      <c r="GB6" s="6119"/>
      <c r="GC6" s="6119"/>
      <c r="GD6" s="6119"/>
      <c r="GE6" s="6119"/>
      <c r="GF6" s="6119"/>
      <c r="GG6" s="6119"/>
      <c r="GH6" s="6119"/>
      <c r="GI6" s="6119"/>
      <c r="GJ6" s="6119"/>
      <c r="GK6" s="6119"/>
      <c r="GL6" s="6119"/>
      <c r="GM6" s="6119"/>
      <c r="GN6" s="6119"/>
      <c r="GO6" s="6119"/>
      <c r="GP6" s="6119"/>
      <c r="GQ6" s="6119"/>
      <c r="GR6" s="6119"/>
      <c r="GS6" s="6119"/>
      <c r="GT6" s="6119"/>
      <c r="GU6" s="6119"/>
      <c r="GV6" s="6119"/>
      <c r="GW6" s="6119"/>
      <c r="GX6" s="6119"/>
      <c r="GY6" s="6119"/>
      <c r="GZ6" s="6119"/>
      <c r="HA6" s="6119"/>
      <c r="HB6" s="6119"/>
      <c r="HC6" s="6119"/>
      <c r="HD6" s="6119"/>
      <c r="HE6" s="6119"/>
      <c r="HF6" s="6119"/>
      <c r="HG6" s="6119"/>
      <c r="HH6" s="6119"/>
      <c r="HI6" s="6119"/>
      <c r="HJ6" s="6119"/>
      <c r="HK6" s="6384" t="s">
        <v>1864</v>
      </c>
      <c r="HL6" s="4490">
        <v>0.06</v>
      </c>
      <c r="HM6" s="6119"/>
      <c r="HN6" s="6467" t="s">
        <v>1864</v>
      </c>
      <c r="HO6" s="3002">
        <v>0.45</v>
      </c>
      <c r="HP6" s="3002">
        <v>0.33</v>
      </c>
      <c r="HQ6" s="3002"/>
      <c r="HR6" s="3002">
        <v>0.2</v>
      </c>
      <c r="HS6" s="5133"/>
      <c r="HT6" s="2970"/>
      <c r="HU6" s="2970"/>
      <c r="HV6" s="2970"/>
      <c r="HW6" s="2970"/>
      <c r="HX6" s="6119"/>
      <c r="HY6" s="6119"/>
      <c r="HZ6" s="6119"/>
      <c r="IA6" s="6119"/>
      <c r="IB6" s="6119"/>
      <c r="IC6" s="6119"/>
      <c r="ID6" s="6119"/>
      <c r="IE6" s="6119"/>
      <c r="IF6" s="6119"/>
      <c r="IG6" s="6119"/>
      <c r="IH6" s="6119"/>
      <c r="II6" s="6119"/>
      <c r="IJ6" s="6119"/>
      <c r="IK6" s="6119"/>
      <c r="IL6" s="6119"/>
      <c r="IM6" s="6119"/>
      <c r="IN6" s="6119"/>
      <c r="IO6" s="6119"/>
      <c r="IP6" s="6119"/>
      <c r="IQ6" s="6119"/>
      <c r="IR6" s="6119"/>
      <c r="IS6" s="6119"/>
      <c r="IT6" s="6119"/>
      <c r="IU6" s="5133"/>
      <c r="IV6" s="7249"/>
      <c r="IW6" s="7401">
        <f>+'2(gnl)'!AA17</f>
        <v>40</v>
      </c>
      <c r="IX6" s="6119"/>
      <c r="IY6" s="6119"/>
      <c r="IZ6" s="6119"/>
      <c r="JA6" s="6119"/>
      <c r="JB6" s="6119"/>
      <c r="JC6" s="6119"/>
      <c r="JD6" s="6119"/>
      <c r="JE6" s="6119"/>
      <c r="JF6" s="6119"/>
      <c r="JG6" s="6119"/>
      <c r="JH6" s="6119"/>
      <c r="JI6" s="6119"/>
      <c r="JJ6" s="6119"/>
      <c r="JK6" s="6119"/>
      <c r="JL6" s="6119"/>
      <c r="JM6" s="6119"/>
      <c r="JN6" s="6119"/>
      <c r="JO6" s="6119"/>
      <c r="JP6" s="6119"/>
      <c r="JQ6" s="6119"/>
      <c r="JR6" s="6119"/>
      <c r="JS6" s="6119"/>
      <c r="JT6" s="6119"/>
      <c r="JU6" s="6119"/>
      <c r="JV6" s="6119"/>
      <c r="JW6" s="6119"/>
      <c r="JX6" s="6119"/>
      <c r="JY6" s="6119"/>
      <c r="JZ6" s="6119"/>
      <c r="KA6" s="6119"/>
      <c r="KB6" s="6119"/>
      <c r="KC6" s="8351" t="s">
        <v>2686</v>
      </c>
      <c r="KD6" s="8353">
        <f>+'10(tac)'!V93</f>
        <v>388.16</v>
      </c>
      <c r="KF6" s="5974" t="s">
        <v>2648</v>
      </c>
      <c r="KG6" s="8322">
        <f>+'10(tac)'!V101</f>
        <v>1.3</v>
      </c>
      <c r="KH6" s="6119"/>
      <c r="KI6" s="6119"/>
      <c r="KJ6" s="5353"/>
      <c r="KK6" s="6065" t="s">
        <v>2651</v>
      </c>
      <c r="KL6" s="8777" t="s">
        <v>2306</v>
      </c>
      <c r="KM6" s="6119"/>
      <c r="KN6" s="6119"/>
      <c r="KO6" s="6119"/>
      <c r="KP6" s="6119"/>
      <c r="KQ6" s="6119"/>
      <c r="KR6" s="6119"/>
      <c r="KS6" s="6119"/>
      <c r="KT6" s="6119"/>
      <c r="KU6" s="5133"/>
      <c r="KV6" s="7249"/>
      <c r="KW6" s="7401">
        <f>+'2(gnl)'!AF17</f>
        <v>40</v>
      </c>
      <c r="KX6" s="6119"/>
      <c r="KY6" s="6119"/>
      <c r="KZ6" s="6119"/>
      <c r="LA6" s="6119"/>
      <c r="LB6" s="6119"/>
      <c r="LC6" s="6119"/>
      <c r="LD6" s="5132"/>
      <c r="LE6" s="5132"/>
      <c r="LF6" s="5132"/>
      <c r="LG6" s="5132"/>
      <c r="LH6" s="5132"/>
      <c r="LI6" s="5132"/>
      <c r="LJ6" s="5132"/>
    </row>
    <row r="7" spans="1:322" s="717" customFormat="1">
      <c r="A7" s="5132"/>
      <c r="B7" s="5132"/>
      <c r="C7" s="5132"/>
      <c r="D7" s="5132"/>
      <c r="E7" s="5132"/>
      <c r="F7" s="5132"/>
      <c r="G7" s="5132"/>
      <c r="H7" s="5132"/>
      <c r="I7" s="5133"/>
      <c r="J7" s="5133"/>
      <c r="K7" s="6740" t="s">
        <v>2021</v>
      </c>
      <c r="L7" s="7103" t="s">
        <v>2854</v>
      </c>
      <c r="M7" s="7405"/>
      <c r="N7" s="7405"/>
      <c r="O7" s="7405"/>
      <c r="P7" s="7405"/>
      <c r="Q7" s="6065"/>
      <c r="R7" s="6065"/>
      <c r="S7" s="6065"/>
      <c r="T7" s="7405"/>
      <c r="U7" s="7405"/>
      <c r="V7" s="6741"/>
      <c r="W7" s="5133"/>
      <c r="X7" s="5133"/>
      <c r="Y7" s="5133"/>
      <c r="Z7" s="5133"/>
      <c r="AA7" s="5133"/>
      <c r="AB7" s="5133"/>
      <c r="AC7" s="5133"/>
      <c r="AD7" s="5133"/>
      <c r="AE7" s="5133"/>
      <c r="AF7" s="5133"/>
      <c r="AG7" s="5133"/>
      <c r="AH7" s="5133"/>
      <c r="AI7" s="5133"/>
      <c r="AJ7" s="5133"/>
      <c r="AK7" s="5133"/>
      <c r="AL7" s="5133"/>
      <c r="AM7" s="5133"/>
      <c r="AN7" s="5133"/>
      <c r="AO7" s="5133"/>
      <c r="AP7" s="5133"/>
      <c r="AQ7" s="5133"/>
      <c r="AR7" s="5133"/>
      <c r="AS7" s="5133"/>
      <c r="AT7" s="5133"/>
      <c r="AU7" s="5133"/>
      <c r="AV7" s="5133"/>
      <c r="AW7" s="5133"/>
      <c r="AX7" s="5133"/>
      <c r="AY7" s="5133"/>
      <c r="AZ7" s="5133"/>
      <c r="BA7" s="5133"/>
      <c r="BB7" s="5133"/>
      <c r="BC7" s="5133"/>
      <c r="BD7" s="5133"/>
      <c r="BE7" s="5133"/>
      <c r="BF7" s="5133"/>
      <c r="BG7" s="5133"/>
      <c r="BH7" s="5133"/>
      <c r="BI7" s="5133"/>
      <c r="BJ7" s="5133"/>
      <c r="BK7" s="5133"/>
      <c r="BL7" s="5133"/>
      <c r="BM7" s="5133"/>
      <c r="BN7" s="5133"/>
      <c r="BO7" s="5133"/>
      <c r="BP7" s="5133"/>
      <c r="BQ7" s="5133"/>
      <c r="BR7" s="5133"/>
      <c r="BS7" s="5133"/>
      <c r="BT7" s="5133"/>
      <c r="BU7" s="5133"/>
      <c r="BV7" s="5133"/>
      <c r="BW7" s="5133"/>
      <c r="BX7" s="5133"/>
      <c r="BY7" s="5133"/>
      <c r="BZ7" s="5133"/>
      <c r="CA7" s="5133"/>
      <c r="CB7" s="5133"/>
      <c r="CC7" s="5133"/>
      <c r="CD7" s="5133"/>
      <c r="CE7" s="5133"/>
      <c r="CF7" s="5133"/>
      <c r="CG7" s="5133"/>
      <c r="CH7" s="5133"/>
      <c r="CI7" s="5133"/>
      <c r="CJ7" s="5133"/>
      <c r="CK7" s="5133"/>
      <c r="CL7" s="5133"/>
      <c r="CM7" s="5133"/>
      <c r="CN7" s="5133"/>
      <c r="CO7" s="5133"/>
      <c r="CP7" s="5133"/>
      <c r="CQ7" s="5133"/>
      <c r="CR7" s="5133"/>
      <c r="CS7" s="5133"/>
      <c r="CT7" s="5133"/>
      <c r="CU7" s="5133"/>
      <c r="CV7" s="5133"/>
      <c r="CW7" s="6119"/>
      <c r="CX7" s="6119"/>
      <c r="CY7" s="6119"/>
      <c r="CZ7" s="6119"/>
      <c r="DA7" s="6119"/>
      <c r="DB7" s="6119"/>
      <c r="DC7" s="5133"/>
      <c r="DD7" s="5133"/>
      <c r="DE7" s="5133"/>
      <c r="DF7" s="5133"/>
      <c r="DG7" s="5133"/>
      <c r="DH7" s="5133"/>
      <c r="DI7" s="5133"/>
      <c r="DJ7" s="5133"/>
      <c r="DK7" s="5133"/>
      <c r="DL7" s="5133"/>
      <c r="DM7" s="5133"/>
      <c r="DN7" s="5133"/>
      <c r="DO7" s="5133"/>
      <c r="DP7" s="5133"/>
      <c r="DQ7" s="5133"/>
      <c r="DR7" s="5133"/>
      <c r="DS7" s="5133"/>
      <c r="DT7" s="5133"/>
      <c r="DU7" s="5133"/>
      <c r="DV7" s="5133"/>
      <c r="DW7" s="5133"/>
      <c r="DX7" s="5133"/>
      <c r="DY7" s="5133"/>
      <c r="DZ7" s="5133"/>
      <c r="EA7" s="5133"/>
      <c r="EB7" s="5133"/>
      <c r="EC7" s="5133"/>
      <c r="ED7" s="5133"/>
      <c r="EE7" s="5133"/>
      <c r="EF7" s="5133"/>
      <c r="EG7" s="5133"/>
      <c r="EH7" s="5133"/>
      <c r="EI7" s="5133"/>
      <c r="EJ7" s="5133"/>
      <c r="EK7" s="5133"/>
      <c r="EL7" s="5133"/>
      <c r="EM7" s="5133"/>
      <c r="EN7" s="5133"/>
      <c r="EO7" s="5133"/>
      <c r="EP7" s="5133"/>
      <c r="EQ7" s="5133"/>
      <c r="ER7" s="5133"/>
      <c r="ES7" s="5133"/>
      <c r="ET7" s="5133"/>
      <c r="EU7" s="5133"/>
      <c r="EV7" s="5133"/>
      <c r="EW7" s="5133"/>
      <c r="EX7" s="5133"/>
      <c r="EY7" s="5133"/>
      <c r="EZ7" s="5133"/>
      <c r="FA7" s="5133"/>
      <c r="FB7" s="5133"/>
      <c r="FC7" s="6119"/>
      <c r="FD7" s="6119"/>
      <c r="FE7" s="6119"/>
      <c r="FF7" s="6119"/>
      <c r="FG7" s="6119"/>
      <c r="FH7" s="6119"/>
      <c r="FI7" s="6119"/>
      <c r="FJ7" s="6119"/>
      <c r="FK7" s="6119"/>
      <c r="FL7" s="6119"/>
      <c r="FM7" s="6119"/>
      <c r="FN7" s="6119"/>
      <c r="FO7" s="6119"/>
      <c r="FP7" s="6119"/>
      <c r="FQ7" s="6119"/>
      <c r="FR7" s="6119"/>
      <c r="FS7" s="6119"/>
      <c r="FT7" s="6119"/>
      <c r="FU7" s="6119"/>
      <c r="FV7" s="6119"/>
      <c r="FW7" s="6119"/>
      <c r="FX7" s="6119"/>
      <c r="FY7" s="6119"/>
      <c r="FZ7" s="6119"/>
      <c r="GA7" s="6119"/>
      <c r="GB7" s="6119"/>
      <c r="GC7" s="6119"/>
      <c r="GD7" s="6119"/>
      <c r="GE7" s="6119"/>
      <c r="GF7" s="6119"/>
      <c r="GG7" s="6119"/>
      <c r="GH7" s="6119"/>
      <c r="GI7" s="6119"/>
      <c r="GJ7" s="6119"/>
      <c r="GK7" s="6119"/>
      <c r="GL7" s="6119"/>
      <c r="GM7" s="6119"/>
      <c r="GN7" s="6119"/>
      <c r="GO7" s="6119"/>
      <c r="GP7" s="6119"/>
      <c r="GQ7" s="6119"/>
      <c r="GR7" s="6119"/>
      <c r="GS7" s="6119"/>
      <c r="GT7" s="6119"/>
      <c r="GU7" s="6119"/>
      <c r="GV7" s="6119"/>
      <c r="GW7" s="6119"/>
      <c r="GX7" s="6119"/>
      <c r="GY7" s="6119"/>
      <c r="GZ7" s="6119"/>
      <c r="HA7" s="6119"/>
      <c r="HB7" s="6119"/>
      <c r="HC7" s="6119"/>
      <c r="HD7" s="6119"/>
      <c r="HE7" s="6119"/>
      <c r="HF7" s="6119"/>
      <c r="HG7" s="6119"/>
      <c r="HH7" s="4493">
        <v>1</v>
      </c>
      <c r="HI7" s="4493">
        <f>1+HH7</f>
        <v>2</v>
      </c>
      <c r="HJ7" s="4493">
        <f>+HI7+1</f>
        <v>3</v>
      </c>
      <c r="HK7" s="6467" t="s">
        <v>1865</v>
      </c>
      <c r="HL7" s="4490">
        <v>0.06</v>
      </c>
      <c r="HM7" s="6119"/>
      <c r="HN7" s="6467" t="s">
        <v>1865</v>
      </c>
      <c r="HO7" s="3003">
        <v>0.45</v>
      </c>
      <c r="HP7" s="3003">
        <v>0.2</v>
      </c>
      <c r="HQ7" s="3003"/>
      <c r="HR7" s="3003">
        <v>0.15</v>
      </c>
      <c r="HS7" s="5133"/>
      <c r="HT7" s="2969">
        <v>0.02</v>
      </c>
      <c r="HU7" s="2969">
        <v>0</v>
      </c>
      <c r="HV7" s="2970"/>
      <c r="HW7" s="2970"/>
      <c r="HX7" s="6119"/>
      <c r="HY7" s="6119"/>
      <c r="HZ7" s="6119"/>
      <c r="IA7" s="6119"/>
      <c r="IB7" s="6119"/>
      <c r="IC7" s="6119"/>
      <c r="ID7" s="6119"/>
      <c r="IE7" s="6119"/>
      <c r="IF7" s="6119"/>
      <c r="IG7" s="6119"/>
      <c r="IH7" s="6119"/>
      <c r="II7" s="6119"/>
      <c r="IJ7" s="6119"/>
      <c r="IK7" s="6119"/>
      <c r="IL7" s="6393" t="s">
        <v>2772</v>
      </c>
      <c r="IM7" s="6393" t="s">
        <v>2773</v>
      </c>
      <c r="IN7" s="6119"/>
      <c r="IO7" s="6119"/>
      <c r="IP7" s="6119"/>
      <c r="IQ7" s="6119"/>
      <c r="IR7" s="6119"/>
      <c r="IS7" s="6119"/>
      <c r="IT7" s="6119"/>
      <c r="IU7" s="5133"/>
      <c r="IV7" s="7249" t="s">
        <v>1932</v>
      </c>
      <c r="IW7" s="6908">
        <f>+'2(gnl)'!AA18</f>
        <v>7.0000000000000007E-2</v>
      </c>
      <c r="IX7" s="6119"/>
      <c r="IY7" s="6119"/>
      <c r="IZ7" s="6119"/>
      <c r="JA7" s="6119"/>
      <c r="JB7" s="6119"/>
      <c r="JC7" s="6119"/>
      <c r="JD7" s="6119"/>
      <c r="JE7" s="6119"/>
      <c r="JF7" s="6119"/>
      <c r="JG7" s="6119"/>
      <c r="JH7" s="6119"/>
      <c r="JI7" s="6119"/>
      <c r="JJ7" s="6119"/>
      <c r="JK7" s="6119"/>
      <c r="JL7" s="6119"/>
      <c r="JM7" s="6119"/>
      <c r="JN7" s="6119"/>
      <c r="JO7" s="6119"/>
      <c r="JP7" s="6119"/>
      <c r="JQ7" s="6119"/>
      <c r="JR7" s="6119"/>
      <c r="JS7" s="6119"/>
      <c r="JT7" s="6119"/>
      <c r="JU7" s="6119"/>
      <c r="JV7" s="6119"/>
      <c r="JW7" s="6119"/>
      <c r="JX7" s="6119"/>
      <c r="JY7" s="6119"/>
      <c r="JZ7" s="6119"/>
      <c r="KA7" s="8544" t="s">
        <v>2606</v>
      </c>
      <c r="KB7" s="5133" t="s">
        <v>2617</v>
      </c>
      <c r="KC7" s="6115" t="s">
        <v>2687</v>
      </c>
      <c r="KD7" s="8547">
        <f>+'10(tac)'!V147</f>
        <v>200</v>
      </c>
      <c r="KE7" s="8448" t="s">
        <v>2700</v>
      </c>
      <c r="KF7" s="8449" t="s">
        <v>2302</v>
      </c>
      <c r="KG7" s="717" t="s">
        <v>2863</v>
      </c>
      <c r="KH7" s="6119"/>
      <c r="KI7" s="6119"/>
      <c r="KJ7" s="8355" t="s">
        <v>2691</v>
      </c>
      <c r="KK7" s="8787">
        <f>+'10(tac)'!V106</f>
        <v>60.64</v>
      </c>
      <c r="KL7" s="8788">
        <f>1.5/100</f>
        <v>1.4999999999999999E-2</v>
      </c>
      <c r="KM7" s="6065"/>
      <c r="KN7" s="6065" t="s">
        <v>2648</v>
      </c>
      <c r="KO7" s="6119"/>
      <c r="KP7" s="6119"/>
      <c r="KQ7" s="6119"/>
      <c r="KR7" s="6119"/>
      <c r="KS7" s="6119"/>
      <c r="KT7" s="6119"/>
      <c r="KU7" s="5133"/>
      <c r="KV7" s="7249" t="s">
        <v>1932</v>
      </c>
      <c r="KW7" s="6908">
        <f>+'2(gnl)'!AF18</f>
        <v>7.0000000000000007E-2</v>
      </c>
      <c r="KX7" s="6119"/>
      <c r="KY7" s="6119"/>
      <c r="KZ7" s="6119"/>
      <c r="LA7" s="6119"/>
      <c r="LB7" s="6119"/>
      <c r="LC7" s="6119"/>
      <c r="LD7" s="5132"/>
      <c r="LE7" s="5132"/>
      <c r="LF7" s="5132"/>
      <c r="LG7" s="5132"/>
      <c r="LH7" s="5132"/>
      <c r="LI7" s="5132"/>
      <c r="LJ7" s="5132"/>
    </row>
    <row r="8" spans="1:322" s="717" customFormat="1" ht="13.5" thickBot="1">
      <c r="A8" s="5132"/>
      <c r="B8" s="5132"/>
      <c r="C8" s="5132"/>
      <c r="D8" s="5132"/>
      <c r="E8" s="5132"/>
      <c r="F8" s="5132"/>
      <c r="G8" s="5132"/>
      <c r="H8" s="5132"/>
      <c r="I8" s="5133"/>
      <c r="J8" s="5133"/>
      <c r="K8" s="8063" t="s">
        <v>2021</v>
      </c>
      <c r="L8" s="6742" t="s">
        <v>2855</v>
      </c>
      <c r="M8" s="6742"/>
      <c r="N8" s="6742"/>
      <c r="O8" s="6742"/>
      <c r="P8" s="6742"/>
      <c r="Q8" s="6742"/>
      <c r="R8" s="6742"/>
      <c r="S8" s="6742"/>
      <c r="T8" s="6742"/>
      <c r="U8" s="6742"/>
      <c r="V8" s="6743"/>
      <c r="W8" s="5133"/>
      <c r="X8" s="5133"/>
      <c r="Y8" s="5133"/>
      <c r="Z8" s="5133"/>
      <c r="AA8" s="5133"/>
      <c r="AB8" s="5133"/>
      <c r="AC8" s="5133"/>
      <c r="AD8" s="5133"/>
      <c r="AE8" s="5133"/>
      <c r="AF8" s="5133"/>
      <c r="AG8" s="5133"/>
      <c r="AH8" s="5133"/>
      <c r="AI8" s="5133"/>
      <c r="AJ8" s="5133"/>
      <c r="AK8" s="5133"/>
      <c r="AL8" s="5133"/>
      <c r="AM8" s="5133"/>
      <c r="AN8" s="5133"/>
      <c r="AO8" s="5133"/>
      <c r="AP8" s="5133"/>
      <c r="AQ8" s="5133"/>
      <c r="AR8" s="5133"/>
      <c r="AS8" s="5133"/>
      <c r="AT8" s="5133"/>
      <c r="AU8" s="5133"/>
      <c r="AV8" s="5133"/>
      <c r="AW8" s="5133"/>
      <c r="AX8" s="5133"/>
      <c r="AY8" s="5133"/>
      <c r="AZ8" s="5133"/>
      <c r="BA8" s="5133"/>
      <c r="BB8" s="5133"/>
      <c r="BC8" s="5133"/>
      <c r="BD8" s="5133"/>
      <c r="BE8" s="5133"/>
      <c r="BF8" s="5133"/>
      <c r="BG8" s="5133"/>
      <c r="BH8" s="5133"/>
      <c r="BI8" s="5133"/>
      <c r="BJ8" s="5133"/>
      <c r="BK8" s="5133"/>
      <c r="BL8" s="5133"/>
      <c r="BM8" s="5133"/>
      <c r="BN8" s="5133"/>
      <c r="BO8" s="5133"/>
      <c r="BP8" s="5133"/>
      <c r="BQ8" s="5133"/>
      <c r="BR8" s="5133"/>
      <c r="BS8" s="5133"/>
      <c r="BT8" s="5133"/>
      <c r="BU8" s="5133"/>
      <c r="BV8" s="5133"/>
      <c r="BW8" s="5133"/>
      <c r="BX8" s="5133"/>
      <c r="BY8" s="5133"/>
      <c r="BZ8" s="5133"/>
      <c r="CA8" s="5133"/>
      <c r="CB8" s="5133"/>
      <c r="CC8" s="5133"/>
      <c r="CD8" s="5133"/>
      <c r="CE8" s="5133"/>
      <c r="CF8" s="5133"/>
      <c r="CG8" s="5133"/>
      <c r="CH8" s="5133"/>
      <c r="CI8" s="5133"/>
      <c r="CJ8" s="5133"/>
      <c r="CK8" s="5133"/>
      <c r="CL8" s="5133"/>
      <c r="CM8" s="5133"/>
      <c r="CN8" s="5133"/>
      <c r="CO8" s="5133"/>
      <c r="CP8" s="5133"/>
      <c r="CQ8" s="5133"/>
      <c r="CR8" s="5133"/>
      <c r="CS8" s="5133"/>
      <c r="CT8" s="5133"/>
      <c r="CU8" s="5133"/>
      <c r="CV8" s="5133"/>
      <c r="CW8" s="6119"/>
      <c r="CX8" s="6119"/>
      <c r="CY8" s="6119"/>
      <c r="CZ8" s="6119"/>
      <c r="DA8" s="6119"/>
      <c r="DB8" s="6119"/>
      <c r="DC8" s="5133"/>
      <c r="DD8" s="5133"/>
      <c r="DE8" s="5133"/>
      <c r="DF8" s="5133"/>
      <c r="DG8" s="5133"/>
      <c r="DH8" s="5133"/>
      <c r="DI8" s="5133"/>
      <c r="DJ8" s="5133"/>
      <c r="DK8" s="5133"/>
      <c r="DL8" s="5133"/>
      <c r="DM8" s="5133"/>
      <c r="DN8" s="5133"/>
      <c r="DO8" s="5133"/>
      <c r="DP8" s="5133"/>
      <c r="DQ8" s="5133"/>
      <c r="DR8" s="5133"/>
      <c r="DS8" s="5133"/>
      <c r="DT8" s="5133"/>
      <c r="DU8" s="5133"/>
      <c r="DV8" s="5133"/>
      <c r="DW8" s="5133"/>
      <c r="DX8" s="5133"/>
      <c r="DY8" s="5133"/>
      <c r="DZ8" s="5133"/>
      <c r="EA8" s="5133"/>
      <c r="EB8" s="5133"/>
      <c r="EC8" s="5133"/>
      <c r="ED8" s="5133"/>
      <c r="EE8" s="5133"/>
      <c r="EF8" s="5133"/>
      <c r="EG8" s="5133"/>
      <c r="EH8" s="5133"/>
      <c r="EI8" s="5133"/>
      <c r="EJ8" s="5133"/>
      <c r="EK8" s="5133"/>
      <c r="EL8" s="5133"/>
      <c r="EM8" s="5133"/>
      <c r="EN8" s="5133"/>
      <c r="EO8" s="5133"/>
      <c r="EP8" s="5133"/>
      <c r="EQ8" s="5133"/>
      <c r="ER8" s="5133"/>
      <c r="ES8" s="5133"/>
      <c r="ET8" s="5133"/>
      <c r="EU8" s="5133"/>
      <c r="EV8" s="5133"/>
      <c r="EW8" s="5133"/>
      <c r="EX8" s="5133"/>
      <c r="EY8" s="5133"/>
      <c r="EZ8" s="5133"/>
      <c r="FA8" s="5133"/>
      <c r="FB8" s="5133"/>
      <c r="FC8" s="6119"/>
      <c r="FD8" s="6119"/>
      <c r="FE8" s="6119"/>
      <c r="FF8" s="6119"/>
      <c r="FG8" s="6119"/>
      <c r="FH8" s="6119"/>
      <c r="FI8" s="6119"/>
      <c r="FJ8" s="6119"/>
      <c r="FK8" s="6119"/>
      <c r="FL8" s="6119"/>
      <c r="FM8" s="6119"/>
      <c r="FN8" s="6119"/>
      <c r="FO8" s="6119"/>
      <c r="FP8" s="6119"/>
      <c r="FQ8" s="6119"/>
      <c r="FR8" s="6119"/>
      <c r="FS8" s="6119"/>
      <c r="FT8" s="6119"/>
      <c r="FU8" s="6119"/>
      <c r="FV8" s="6119"/>
      <c r="FW8" s="6119"/>
      <c r="FX8" s="6119"/>
      <c r="FY8" s="6119"/>
      <c r="FZ8" s="6119"/>
      <c r="GA8" s="6119"/>
      <c r="GB8" s="6119"/>
      <c r="GC8" s="6119"/>
      <c r="GD8" s="6119"/>
      <c r="GE8" s="6119"/>
      <c r="GF8" s="6119"/>
      <c r="GG8" s="6119"/>
      <c r="GH8" s="6119"/>
      <c r="GI8" s="6119"/>
      <c r="GJ8" s="6119"/>
      <c r="GK8" s="6119"/>
      <c r="GL8" s="6119"/>
      <c r="GM8" s="6119"/>
      <c r="GN8" s="6119"/>
      <c r="GO8" s="6119"/>
      <c r="GP8" s="6119"/>
      <c r="GQ8" s="6119"/>
      <c r="GR8" s="6119"/>
      <c r="GS8" s="6119"/>
      <c r="GT8" s="6119"/>
      <c r="GU8" s="6119"/>
      <c r="GV8" s="6119"/>
      <c r="GW8" s="6119"/>
      <c r="GX8" s="6119"/>
      <c r="GY8" s="6119"/>
      <c r="GZ8" s="6119"/>
      <c r="HA8" s="6119"/>
      <c r="HB8" s="6119"/>
      <c r="HC8" s="6119"/>
      <c r="HD8" s="6119"/>
      <c r="HE8" s="6119"/>
      <c r="HF8" s="6119"/>
      <c r="HG8" s="6119"/>
      <c r="HH8" s="4493">
        <v>1</v>
      </c>
      <c r="HI8" s="4491" t="s">
        <v>93</v>
      </c>
      <c r="HJ8" s="4492">
        <v>0.05</v>
      </c>
      <c r="HK8" s="6467" t="s">
        <v>1866</v>
      </c>
      <c r="HL8" s="4490">
        <v>0</v>
      </c>
      <c r="HM8" s="6119"/>
      <c r="HN8" s="6467" t="s">
        <v>1866</v>
      </c>
      <c r="HO8" s="3003">
        <v>0</v>
      </c>
      <c r="HP8" s="3003">
        <v>0</v>
      </c>
      <c r="HQ8" s="3003">
        <v>0.08</v>
      </c>
      <c r="HR8" s="3003">
        <v>0.1</v>
      </c>
      <c r="HS8" s="5133"/>
      <c r="HT8" s="2969"/>
      <c r="HU8" s="2969"/>
      <c r="HV8" s="2969">
        <v>0.05</v>
      </c>
      <c r="HW8" s="2969">
        <v>0.05</v>
      </c>
      <c r="HX8" s="6119"/>
      <c r="HY8" s="6119"/>
      <c r="HZ8" s="6119"/>
      <c r="IA8" s="6119"/>
      <c r="IB8" s="6119"/>
      <c r="IC8" s="6119"/>
      <c r="ID8" s="6119"/>
      <c r="IE8" s="6119"/>
      <c r="IF8" s="6119"/>
      <c r="IG8" s="6119"/>
      <c r="IH8" s="6119"/>
      <c r="II8" s="6119"/>
      <c r="IJ8" s="6119"/>
      <c r="IK8" s="6119"/>
      <c r="IL8" s="8766">
        <f>30/100</f>
        <v>0.3</v>
      </c>
      <c r="IM8" s="8766">
        <v>0.04</v>
      </c>
      <c r="IN8" s="6119"/>
      <c r="IO8" s="6119"/>
      <c r="IP8" s="6119"/>
      <c r="IQ8" s="6119"/>
      <c r="IR8" s="6119"/>
      <c r="IS8" s="6119"/>
      <c r="IT8" s="6119"/>
      <c r="IU8" s="5133"/>
      <c r="IV8" s="5133"/>
      <c r="IW8" s="6909">
        <f>+(IW7*(1+IW7)^IW6)/((1+IW7)^IW6-1)</f>
        <v>7.5009138873610326E-2</v>
      </c>
      <c r="IX8" s="6119"/>
      <c r="IY8" s="6119"/>
      <c r="IZ8" s="6119"/>
      <c r="JA8" s="6119"/>
      <c r="JB8" s="6119"/>
      <c r="JC8" s="6119"/>
      <c r="JD8" s="6119"/>
      <c r="JE8" s="6119"/>
      <c r="JF8" s="6119"/>
      <c r="JG8" s="6119"/>
      <c r="JH8" s="6119"/>
      <c r="JI8" s="6119"/>
      <c r="JJ8" s="6119"/>
      <c r="JK8" s="6119"/>
      <c r="JL8" s="6119"/>
      <c r="JM8" s="6119"/>
      <c r="JN8" s="6119"/>
      <c r="JO8" s="6119"/>
      <c r="JP8" s="6119"/>
      <c r="JQ8" s="6119"/>
      <c r="JR8" s="6119"/>
      <c r="JS8" s="6119"/>
      <c r="JT8" s="6119"/>
      <c r="JU8" s="6119"/>
      <c r="JV8" s="6119"/>
      <c r="JW8" s="6119"/>
      <c r="JX8" s="6119"/>
      <c r="JY8" s="8767">
        <f>+KW4</f>
        <v>7.0000000000000007E-2</v>
      </c>
      <c r="JZ8" s="5133"/>
      <c r="KA8" s="8768">
        <f>+'10(tac)'!$V$86</f>
        <v>18330</v>
      </c>
      <c r="KB8" s="8769">
        <f>+'10(tac)'!$V$89</f>
        <v>0.7</v>
      </c>
      <c r="KD8" s="8770">
        <f>+'10(tac)'!$V$149</f>
        <v>212.22</v>
      </c>
      <c r="KE8" s="8771">
        <f>+'10(tac)'!$V$165</f>
        <v>360</v>
      </c>
      <c r="KF8" s="8772">
        <f>+'10(tac)'!V167</f>
        <v>6</v>
      </c>
      <c r="KG8" s="8773">
        <f>+'10(tac)'!$V$163</f>
        <v>15</v>
      </c>
      <c r="KH8" s="8774"/>
      <c r="KI8" s="8775"/>
      <c r="KJ8" s="7105"/>
      <c r="KK8" s="8776" t="s">
        <v>2864</v>
      </c>
      <c r="KL8" s="8789">
        <v>4000</v>
      </c>
      <c r="KM8" s="8548"/>
      <c r="KN8" s="8478">
        <v>290</v>
      </c>
      <c r="KO8" s="6119"/>
      <c r="KP8" s="6119"/>
      <c r="KQ8" s="6119"/>
      <c r="KR8" s="6119"/>
      <c r="KS8" s="6119"/>
      <c r="KT8" s="6119"/>
      <c r="KU8" s="5133"/>
      <c r="KV8" s="5133"/>
      <c r="KW8" s="6909">
        <f>+(KW7*(1+KW7)^KW6)/((1+KW7)^KW6-1)</f>
        <v>7.5009138873610326E-2</v>
      </c>
      <c r="KX8" s="6119"/>
      <c r="KY8" s="6119"/>
      <c r="KZ8" s="6119"/>
      <c r="LA8" s="6119"/>
      <c r="LB8" s="6119"/>
      <c r="LC8" s="6119"/>
      <c r="LD8" s="5132"/>
      <c r="LE8" s="5132"/>
      <c r="LF8" s="5132"/>
      <c r="LG8" s="5132"/>
      <c r="LH8" s="5132"/>
      <c r="LI8" s="5132"/>
      <c r="LJ8" s="5132"/>
    </row>
    <row r="9" spans="1:322" s="717" customFormat="1">
      <c r="A9" s="5132"/>
      <c r="B9" s="5132"/>
      <c r="C9" s="5132"/>
      <c r="D9" s="5132"/>
      <c r="E9" s="5132"/>
      <c r="F9" s="5132"/>
      <c r="G9" s="5132"/>
      <c r="H9" s="5132"/>
      <c r="I9" s="7086" t="s">
        <v>2430</v>
      </c>
      <c r="J9" s="5133"/>
      <c r="K9" s="5133"/>
      <c r="L9" s="5133"/>
      <c r="M9" s="5133"/>
      <c r="N9" s="5133"/>
      <c r="O9" s="5133"/>
      <c r="P9" s="5133"/>
      <c r="Q9" s="5353"/>
      <c r="R9" s="5353"/>
      <c r="S9" s="5353"/>
      <c r="T9" s="5133"/>
      <c r="U9" s="5133"/>
      <c r="V9" s="5133"/>
      <c r="W9" s="5133"/>
      <c r="X9" s="5133"/>
      <c r="Y9" s="5133"/>
      <c r="Z9" s="5133"/>
      <c r="AA9" s="5133"/>
      <c r="AB9" s="5133"/>
      <c r="AC9" s="5133"/>
      <c r="AD9" s="5133"/>
      <c r="AE9" s="5133"/>
      <c r="AF9" s="5133"/>
      <c r="AG9" s="5133"/>
      <c r="AH9" s="5133"/>
      <c r="AI9" s="5133"/>
      <c r="AJ9" s="5133"/>
      <c r="AK9" s="5133"/>
      <c r="AL9" s="5133"/>
      <c r="AM9" s="5133"/>
      <c r="AN9" s="5133"/>
      <c r="AO9" s="5133"/>
      <c r="AP9" s="5133"/>
      <c r="AQ9" s="5133"/>
      <c r="AR9" s="5133"/>
      <c r="AS9" s="5133"/>
      <c r="AT9" s="5133"/>
      <c r="AU9" s="5133"/>
      <c r="AV9" s="5133"/>
      <c r="AW9" s="5133"/>
      <c r="AX9" s="5133"/>
      <c r="AY9" s="5133"/>
      <c r="AZ9" s="5133"/>
      <c r="BA9" s="5133"/>
      <c r="BB9" s="5133"/>
      <c r="BC9" s="5133"/>
      <c r="BD9" s="5133"/>
      <c r="BE9" s="5133"/>
      <c r="BF9" s="5133"/>
      <c r="BG9" s="5133"/>
      <c r="BH9" s="5133"/>
      <c r="BI9" s="5133"/>
      <c r="BJ9" s="5133"/>
      <c r="BK9" s="5133"/>
      <c r="BL9" s="5133"/>
      <c r="BM9" s="5133"/>
      <c r="BN9" s="5133"/>
      <c r="BO9" s="5133"/>
      <c r="BP9" s="5133"/>
      <c r="BQ9" s="5133"/>
      <c r="BR9" s="5133"/>
      <c r="BS9" s="5133"/>
      <c r="BT9" s="5133"/>
      <c r="BU9" s="5133"/>
      <c r="BV9" s="5133"/>
      <c r="BW9" s="5133"/>
      <c r="BX9" s="5133"/>
      <c r="BY9" s="5133"/>
      <c r="BZ9" s="5133"/>
      <c r="CA9" s="5133"/>
      <c r="CB9" s="5133"/>
      <c r="CC9" s="5133"/>
      <c r="CD9" s="5133"/>
      <c r="CE9" s="5133"/>
      <c r="CF9" s="5133"/>
      <c r="CG9" s="5133"/>
      <c r="CH9" s="5133"/>
      <c r="CI9" s="5133"/>
      <c r="CJ9" s="5133"/>
      <c r="CK9" s="5133"/>
      <c r="CL9" s="5133"/>
      <c r="CM9" s="5133"/>
      <c r="CN9" s="5133"/>
      <c r="CO9" s="5133"/>
      <c r="CP9" s="5133"/>
      <c r="CQ9" s="5133"/>
      <c r="CR9" s="5133"/>
      <c r="CS9" s="5133"/>
      <c r="CT9" s="5133"/>
      <c r="CU9" s="5133"/>
      <c r="CV9" s="5133"/>
      <c r="CW9" s="6119"/>
      <c r="CX9" s="6119"/>
      <c r="CY9" s="6119"/>
      <c r="CZ9" s="6119"/>
      <c r="DA9" s="6119"/>
      <c r="DB9" s="6119"/>
      <c r="DC9" s="5133"/>
      <c r="DD9" s="5133"/>
      <c r="DE9" s="5133"/>
      <c r="DF9" s="5133"/>
      <c r="DG9" s="5133"/>
      <c r="DH9" s="5133"/>
      <c r="DI9" s="5133"/>
      <c r="DJ9" s="5133"/>
      <c r="DK9" s="5133"/>
      <c r="DL9" s="5133"/>
      <c r="DM9" s="5133"/>
      <c r="DN9" s="5133"/>
      <c r="DO9" s="5133"/>
      <c r="DP9" s="5133"/>
      <c r="DQ9" s="5133"/>
      <c r="DR9" s="5133"/>
      <c r="DS9" s="5133"/>
      <c r="DT9" s="5133"/>
      <c r="DU9" s="5133"/>
      <c r="DV9" s="5133"/>
      <c r="DW9" s="5133"/>
      <c r="DX9" s="5133"/>
      <c r="DY9" s="5133"/>
      <c r="DZ9" s="5133"/>
      <c r="EA9" s="5133"/>
      <c r="EB9" s="5133"/>
      <c r="EC9" s="5133"/>
      <c r="ED9" s="5133"/>
      <c r="EE9" s="5133"/>
      <c r="EF9" s="5133"/>
      <c r="EG9" s="5133"/>
      <c r="EH9" s="5133"/>
      <c r="EI9" s="5133"/>
      <c r="EJ9" s="5133"/>
      <c r="EK9" s="5133"/>
      <c r="EL9" s="5133"/>
      <c r="EM9" s="5133"/>
      <c r="EN9" s="5133"/>
      <c r="EO9" s="5133"/>
      <c r="EP9" s="5133"/>
      <c r="EQ9" s="5133"/>
      <c r="ER9" s="5133"/>
      <c r="ES9" s="5133"/>
      <c r="ET9" s="5133"/>
      <c r="EU9" s="5133"/>
      <c r="EV9" s="5133"/>
      <c r="EW9" s="5133"/>
      <c r="EX9" s="5133"/>
      <c r="EY9" s="5133"/>
      <c r="EZ9" s="5133"/>
      <c r="FA9" s="5133"/>
      <c r="FB9" s="5133"/>
      <c r="FC9" s="6119"/>
      <c r="FD9" s="6119"/>
      <c r="FE9" s="6119"/>
      <c r="FF9" s="6119"/>
      <c r="FG9" s="6119"/>
      <c r="FH9" s="6119"/>
      <c r="FI9" s="6119"/>
      <c r="FJ9" s="6119"/>
      <c r="FK9" s="6119"/>
      <c r="FL9" s="6119"/>
      <c r="FM9" s="6119"/>
      <c r="FN9" s="6119"/>
      <c r="FO9" s="6119"/>
      <c r="FP9" s="6119"/>
      <c r="FQ9" s="6119"/>
      <c r="FR9" s="6119"/>
      <c r="FS9" s="6119"/>
      <c r="FT9" s="6119"/>
      <c r="FU9" s="6119"/>
      <c r="FV9" s="6119"/>
      <c r="FW9" s="6119"/>
      <c r="FX9" s="6119"/>
      <c r="FY9" s="6119"/>
      <c r="FZ9" s="6119"/>
      <c r="GA9" s="6119"/>
      <c r="GB9" s="6119"/>
      <c r="GC9" s="6119"/>
      <c r="GD9" s="6119"/>
      <c r="GE9" s="6119"/>
      <c r="GF9" s="6119"/>
      <c r="GG9" s="6119"/>
      <c r="GH9" s="6119"/>
      <c r="GI9" s="6119"/>
      <c r="GJ9" s="6119"/>
      <c r="GK9" s="6119"/>
      <c r="GL9" s="6119"/>
      <c r="GM9" s="6119"/>
      <c r="GN9" s="6119"/>
      <c r="GO9" s="6119"/>
      <c r="GP9" s="6119"/>
      <c r="GQ9" s="6119"/>
      <c r="GR9" s="6119"/>
      <c r="GS9" s="6119"/>
      <c r="GT9" s="6119"/>
      <c r="GU9" s="6119"/>
      <c r="GV9" s="6119"/>
      <c r="GW9" s="6119"/>
      <c r="GX9" s="6119"/>
      <c r="GY9" s="6119"/>
      <c r="GZ9" s="6119"/>
      <c r="HA9" s="6119"/>
      <c r="HB9" s="6119"/>
      <c r="HC9" s="6119"/>
      <c r="HD9" s="6119"/>
      <c r="HE9" s="6119"/>
      <c r="HF9" s="6119"/>
      <c r="HG9" s="6119"/>
      <c r="HH9" s="6119"/>
      <c r="HI9" s="6119"/>
      <c r="HJ9" s="6119"/>
      <c r="HK9" s="6119"/>
      <c r="HL9" s="6119"/>
      <c r="HM9" s="6119"/>
      <c r="HN9" s="6119"/>
      <c r="HO9" s="6119"/>
      <c r="HP9" s="6119"/>
      <c r="HQ9" s="6119"/>
      <c r="HR9" s="6119"/>
      <c r="HS9" s="6119"/>
      <c r="HT9" s="6119"/>
      <c r="HU9" s="6119"/>
      <c r="HV9" s="6119"/>
      <c r="HW9" s="6119"/>
      <c r="HX9" s="6119"/>
      <c r="HY9" s="6119"/>
      <c r="HZ9" s="6119"/>
      <c r="IA9" s="6119"/>
      <c r="IB9" s="6119"/>
      <c r="IC9" s="6119"/>
      <c r="ID9" s="6119"/>
      <c r="IE9" s="6119"/>
      <c r="IF9" s="6119"/>
      <c r="IG9" s="6119"/>
      <c r="IH9" s="6119"/>
      <c r="II9" s="6119"/>
      <c r="IJ9" s="6119"/>
      <c r="IK9" s="6119"/>
      <c r="IL9" s="6119"/>
      <c r="IM9" s="6119"/>
      <c r="IN9" s="6119"/>
      <c r="IO9" s="6119"/>
      <c r="IP9" s="6119"/>
      <c r="IQ9" s="6119"/>
      <c r="IR9" s="6119"/>
      <c r="IS9" s="6119"/>
      <c r="IT9" s="6119"/>
      <c r="IU9" s="6119"/>
      <c r="IV9" s="6119"/>
      <c r="IW9" s="6119"/>
      <c r="IX9" s="6119"/>
      <c r="IY9" s="6119"/>
      <c r="IZ9" s="6119"/>
      <c r="JA9" s="6119"/>
      <c r="JB9" s="6119"/>
      <c r="JC9" s="6119"/>
      <c r="JD9" s="6119"/>
      <c r="JE9" s="6119"/>
      <c r="JF9" s="6119"/>
      <c r="JG9" s="6119"/>
      <c r="JH9" s="6119"/>
      <c r="JI9" s="6119"/>
      <c r="JJ9" s="6119"/>
      <c r="JK9" s="6119"/>
      <c r="JL9" s="6119"/>
      <c r="JM9" s="6119"/>
      <c r="JN9" s="6119"/>
      <c r="JO9" s="6119"/>
      <c r="JP9" s="6119"/>
      <c r="JQ9" s="6119"/>
      <c r="JR9" s="6119"/>
      <c r="JS9" s="6119"/>
      <c r="JT9" s="6119"/>
      <c r="JU9" s="6119"/>
      <c r="JV9" s="6119"/>
      <c r="JW9" s="6119"/>
      <c r="JX9" s="6119"/>
      <c r="JY9" s="6119"/>
      <c r="JZ9" s="6119"/>
      <c r="KA9" s="6119"/>
      <c r="KB9" s="6119"/>
      <c r="KC9" s="6119"/>
      <c r="KD9" s="6119"/>
      <c r="KE9" s="6119"/>
      <c r="KF9" s="6119"/>
      <c r="KG9" s="6119"/>
      <c r="KH9" s="6119"/>
      <c r="KI9" s="6119"/>
      <c r="KJ9" s="6119"/>
      <c r="KK9" s="6119"/>
      <c r="KL9" s="6119"/>
      <c r="KM9" s="6119"/>
      <c r="KN9" s="6119"/>
      <c r="KO9" s="6119"/>
      <c r="KP9" s="6119"/>
      <c r="KQ9" s="6119"/>
      <c r="KR9" s="6119"/>
      <c r="KS9" s="6119"/>
      <c r="KT9" s="6119"/>
      <c r="KU9" s="6119"/>
      <c r="KV9" s="6119"/>
      <c r="KW9" s="6119"/>
      <c r="KX9" s="6119"/>
      <c r="KY9" s="6119"/>
      <c r="KZ9" s="6119"/>
      <c r="LA9" s="6119"/>
      <c r="LB9" s="6119"/>
      <c r="LC9" s="6119"/>
      <c r="LD9" s="5132"/>
      <c r="LE9" s="5132"/>
      <c r="LF9" s="5132"/>
      <c r="LG9" s="5132"/>
      <c r="LH9" s="5132"/>
      <c r="LI9" s="5132"/>
      <c r="LJ9" s="5132"/>
    </row>
    <row r="10" spans="1:322" ht="12.75" hidden="1" customHeight="1">
      <c r="AV10" s="6900"/>
      <c r="BC10" s="6901"/>
      <c r="BD10" s="6902"/>
      <c r="BE10" s="6902"/>
      <c r="BF10" s="6902"/>
      <c r="CT10" s="6903"/>
      <c r="CU10" s="6903"/>
      <c r="CV10" s="6903"/>
      <c r="CW10" s="6904"/>
      <c r="CX10" s="6904"/>
      <c r="CY10" s="6904"/>
      <c r="CZ10" s="6904"/>
      <c r="DA10" s="6904"/>
      <c r="DB10" s="6904"/>
      <c r="DC10" s="6903"/>
      <c r="DD10" s="6903"/>
      <c r="DE10" s="6903"/>
      <c r="DF10" s="6903"/>
      <c r="DG10" s="6401"/>
      <c r="DH10" s="6401"/>
      <c r="DI10" s="6401"/>
      <c r="FB10" s="6905"/>
      <c r="GF10" s="5135"/>
      <c r="GG10" s="5135"/>
      <c r="GH10" s="5135"/>
      <c r="GI10" s="5135"/>
      <c r="GJ10" s="5135"/>
      <c r="GK10" s="5135"/>
      <c r="GL10" s="5135"/>
      <c r="GP10" s="6906"/>
      <c r="GQ10" s="6906"/>
      <c r="HS10" s="5135"/>
      <c r="ID10" s="5135"/>
    </row>
    <row r="11" spans="1:322" s="13" customFormat="1" ht="12.75" hidden="1" customHeight="1">
      <c r="A11" s="5132"/>
      <c r="B11" s="5132"/>
      <c r="C11" s="5132"/>
      <c r="D11" s="5132"/>
      <c r="E11" s="5132"/>
      <c r="F11" s="5132"/>
      <c r="G11" s="5132"/>
      <c r="H11" s="5132"/>
      <c r="I11" s="5133"/>
      <c r="J11" s="5133"/>
      <c r="K11" s="5133"/>
      <c r="L11" s="5133"/>
      <c r="M11" s="5133"/>
      <c r="N11" s="5133"/>
      <c r="O11" s="5133"/>
      <c r="P11" s="5133"/>
      <c r="Q11" s="5353"/>
      <c r="R11" s="5353"/>
      <c r="S11" s="5353"/>
      <c r="T11" s="5133"/>
      <c r="U11" s="5133"/>
      <c r="V11" s="5133"/>
      <c r="W11" s="5133"/>
      <c r="X11" s="5133"/>
      <c r="Y11" s="5133"/>
      <c r="Z11" s="5133"/>
      <c r="AA11" s="5133"/>
      <c r="AB11" s="5133"/>
      <c r="AC11" s="5133"/>
      <c r="AD11" s="5133"/>
      <c r="AE11" s="5133"/>
      <c r="AF11" s="5133"/>
      <c r="AG11" s="5133"/>
      <c r="AH11" s="5133"/>
      <c r="AI11" s="5133"/>
      <c r="AJ11" s="5133"/>
      <c r="AK11" s="5133"/>
      <c r="AL11" s="5133"/>
      <c r="AM11" s="5133"/>
      <c r="AN11" s="5133"/>
      <c r="AO11" s="5133"/>
      <c r="AP11" s="5133"/>
      <c r="AQ11" s="5133"/>
      <c r="AR11" s="5133"/>
      <c r="AS11" s="5133"/>
      <c r="AT11" s="5133"/>
      <c r="AU11" s="5133"/>
      <c r="AV11" s="6467"/>
      <c r="AW11" s="5133"/>
      <c r="AX11" s="5133"/>
      <c r="AY11" s="5133"/>
      <c r="AZ11" s="5133"/>
      <c r="BA11" s="5133"/>
      <c r="BB11" s="5133"/>
      <c r="BC11" s="6911"/>
      <c r="BD11" s="6912"/>
      <c r="BE11" s="6912"/>
      <c r="BF11" s="6912"/>
      <c r="BG11" s="5133"/>
      <c r="BH11" s="5133"/>
      <c r="BI11" s="5133"/>
      <c r="BJ11" s="5133"/>
      <c r="BK11" s="5133"/>
      <c r="BL11" s="5133"/>
      <c r="BM11" s="5133"/>
      <c r="BN11" s="5133"/>
      <c r="BO11" s="5133"/>
      <c r="BP11" s="5133"/>
      <c r="BQ11" s="5133"/>
      <c r="BR11" s="5133"/>
      <c r="BS11" s="5133"/>
      <c r="BT11" s="5133"/>
      <c r="BU11" s="5133"/>
      <c r="BV11" s="5133"/>
      <c r="BW11" s="7405"/>
      <c r="BX11" s="7405"/>
      <c r="BY11" s="7405"/>
      <c r="BZ11" s="7405"/>
      <c r="CA11" s="7405"/>
      <c r="CB11" s="7405"/>
      <c r="CC11" s="7405"/>
      <c r="CD11" s="7405"/>
      <c r="CE11" s="7405"/>
      <c r="CF11" s="7405"/>
      <c r="CG11" s="5133"/>
      <c r="CH11" s="5133"/>
      <c r="CI11" s="5133"/>
      <c r="CJ11" s="5133"/>
      <c r="CK11" s="5133"/>
      <c r="CL11" s="5133"/>
      <c r="CM11" s="5133"/>
      <c r="CN11" s="5133"/>
      <c r="CO11" s="5133"/>
      <c r="CP11" s="5133"/>
      <c r="CQ11" s="5133"/>
      <c r="CR11" s="5133"/>
      <c r="CS11" s="5133"/>
      <c r="CT11" s="6923"/>
      <c r="CU11" s="6923"/>
      <c r="CV11" s="6923"/>
      <c r="CW11" s="6924"/>
      <c r="CX11" s="6924"/>
      <c r="CY11" s="6924"/>
      <c r="CZ11" s="6924"/>
      <c r="DA11" s="6924"/>
      <c r="DB11" s="6924"/>
      <c r="DC11" s="6923"/>
      <c r="DD11" s="6923"/>
      <c r="DE11" s="6923"/>
      <c r="DF11" s="6923"/>
      <c r="DG11" s="6119"/>
      <c r="DH11" s="6119"/>
      <c r="DI11" s="6119"/>
      <c r="DJ11" s="7405"/>
      <c r="DK11" s="5133"/>
      <c r="DL11" s="5133"/>
      <c r="DM11" s="5133"/>
      <c r="DN11" s="5133"/>
      <c r="DO11" s="5133"/>
      <c r="DP11" s="5133"/>
      <c r="DQ11" s="5133"/>
      <c r="DR11" s="5133"/>
      <c r="DS11" s="5133"/>
      <c r="DT11" s="5133"/>
      <c r="DU11" s="5133"/>
      <c r="DV11" s="5133"/>
      <c r="DW11" s="5133"/>
      <c r="DX11" s="5133"/>
      <c r="DY11" s="5133"/>
      <c r="DZ11" s="5133"/>
      <c r="EA11" s="5133"/>
      <c r="EB11" s="5133"/>
      <c r="EC11" s="5133"/>
      <c r="ED11" s="5133"/>
      <c r="EE11" s="5133"/>
      <c r="EF11" s="5133"/>
      <c r="EG11" s="5133"/>
      <c r="EH11" s="5133"/>
      <c r="EI11" s="5133"/>
      <c r="EJ11" s="5133"/>
      <c r="EK11" s="5133"/>
      <c r="EL11" s="5133"/>
      <c r="EM11" s="5133"/>
      <c r="EN11" s="5133"/>
      <c r="EO11" s="5133"/>
      <c r="EP11" s="5133"/>
      <c r="EQ11" s="5133"/>
      <c r="ER11" s="5133"/>
      <c r="ES11" s="5133"/>
      <c r="ET11" s="5133"/>
      <c r="EU11" s="6788"/>
      <c r="EV11" s="5133"/>
      <c r="EW11" s="5133"/>
      <c r="EX11" s="5133"/>
      <c r="EY11" s="5133"/>
      <c r="EZ11" s="5133"/>
      <c r="FA11" s="5133"/>
      <c r="FB11" s="6934"/>
      <c r="FC11" s="6119"/>
      <c r="FD11" s="6119"/>
      <c r="FE11" s="6119"/>
      <c r="FF11" s="6119"/>
      <c r="FG11" s="6119"/>
      <c r="FH11" s="6119"/>
      <c r="FI11" s="6119"/>
      <c r="FJ11" s="6119"/>
      <c r="FK11" s="6119"/>
      <c r="FL11" s="6119"/>
      <c r="FM11" s="6119"/>
      <c r="FN11" s="6119"/>
      <c r="FO11" s="6119"/>
      <c r="FP11" s="6119"/>
      <c r="FQ11" s="6119"/>
      <c r="FR11" s="6119"/>
      <c r="FS11" s="6119"/>
      <c r="FT11" s="6119"/>
      <c r="FU11" s="6119"/>
      <c r="FV11" s="6119"/>
      <c r="FW11" s="6382"/>
      <c r="FX11" s="6119"/>
      <c r="FY11" s="6119"/>
      <c r="FZ11" s="6119"/>
      <c r="GA11" s="6119"/>
      <c r="GB11" s="6119"/>
      <c r="GC11" s="6119"/>
      <c r="GD11" s="6119"/>
      <c r="GE11" s="6119"/>
      <c r="GF11" s="5133"/>
      <c r="GG11" s="5133"/>
      <c r="GH11" s="5133"/>
      <c r="GI11" s="5133"/>
      <c r="GJ11" s="5133"/>
      <c r="GK11" s="5133"/>
      <c r="GL11" s="5133"/>
      <c r="GM11" s="6392"/>
      <c r="GN11" s="6392"/>
      <c r="GO11" s="6392"/>
      <c r="GP11" s="5949"/>
      <c r="GQ11" s="5949"/>
      <c r="GR11" s="6392"/>
      <c r="GS11" s="6392"/>
      <c r="GT11" s="6392"/>
      <c r="GU11" s="6392"/>
      <c r="GV11" s="6392"/>
      <c r="GW11" s="6392"/>
      <c r="GX11" s="6392"/>
      <c r="GY11" s="6392"/>
      <c r="GZ11" s="6392"/>
      <c r="HA11" s="6392"/>
      <c r="HB11" s="6392"/>
      <c r="HC11" s="6392"/>
      <c r="HD11" s="6392"/>
      <c r="HE11" s="6392"/>
      <c r="HF11" s="6392"/>
      <c r="HG11" s="6392"/>
      <c r="HH11" s="6392"/>
      <c r="HI11" s="6392"/>
      <c r="HJ11" s="6392"/>
      <c r="HK11" s="6392"/>
      <c r="HL11" s="6392"/>
      <c r="HM11" s="6392"/>
      <c r="HN11" s="6392" t="str">
        <f>+IF(ISERROR(HM106/IF(T106="",IF(T105="",IF(T104="",1,T104),T105),T106)),"",HM106/IF(T106="",IF(T105="",IF(T104="",1,T104),T105),T106))</f>
        <v/>
      </c>
      <c r="HO11" s="6392"/>
      <c r="HP11" s="6392"/>
      <c r="HQ11" s="6392"/>
      <c r="HR11" s="6392"/>
      <c r="HS11" s="5133"/>
      <c r="HT11" s="6392"/>
      <c r="HU11" s="6392"/>
      <c r="HV11" s="6392"/>
      <c r="HW11" s="6392"/>
      <c r="HX11" s="6392"/>
      <c r="HY11" s="6392"/>
      <c r="HZ11" s="6392"/>
      <c r="IA11" s="6392"/>
      <c r="IB11" s="6392"/>
      <c r="IC11" s="6392"/>
      <c r="ID11" s="5133"/>
      <c r="IE11" s="6392"/>
      <c r="IF11" s="6392"/>
      <c r="IG11" s="6392"/>
      <c r="IH11" s="6392"/>
      <c r="II11" s="6392"/>
      <c r="IJ11" s="6392"/>
      <c r="IK11" s="6392"/>
      <c r="IL11" s="6392"/>
      <c r="IM11" s="6392"/>
      <c r="IN11" s="6392"/>
      <c r="IO11" s="6392"/>
      <c r="IP11" s="6392"/>
      <c r="IQ11" s="6392"/>
      <c r="IR11" s="6392"/>
      <c r="IS11" s="6392"/>
      <c r="IT11" s="6392"/>
      <c r="IU11" s="6392"/>
      <c r="IV11" s="6392"/>
      <c r="IW11" s="6119"/>
      <c r="IX11" s="6392"/>
      <c r="IY11" s="6392"/>
      <c r="IZ11" s="6392"/>
      <c r="JA11" s="6392"/>
      <c r="JB11" s="6392"/>
      <c r="JC11" s="6392"/>
      <c r="JD11" s="6392"/>
      <c r="JE11" s="6392"/>
      <c r="JF11" s="6392"/>
      <c r="JG11" s="6392"/>
      <c r="JH11" s="6392"/>
      <c r="JI11" s="6392"/>
      <c r="JJ11" s="6392"/>
      <c r="JK11" s="6392"/>
      <c r="JL11" s="6392"/>
      <c r="JM11" s="6392"/>
      <c r="JN11" s="6392"/>
      <c r="JO11" s="6392"/>
      <c r="JP11" s="6392"/>
      <c r="JQ11" s="6392"/>
      <c r="JR11" s="6392"/>
      <c r="JS11" s="6392"/>
      <c r="JT11" s="6392"/>
      <c r="JU11" s="6392"/>
      <c r="JV11" s="6392"/>
      <c r="JW11" s="6392"/>
      <c r="JX11" s="6392"/>
      <c r="JY11" s="6392"/>
      <c r="JZ11" s="6392"/>
      <c r="KA11" s="6392"/>
      <c r="KB11" s="6392"/>
      <c r="KC11" s="6392"/>
      <c r="KD11" s="6392"/>
      <c r="KE11" s="6392"/>
      <c r="KF11" s="6392"/>
      <c r="KG11" s="6392"/>
      <c r="KH11" s="6392"/>
      <c r="KI11" s="6392"/>
      <c r="KJ11" s="6392"/>
      <c r="KK11" s="6392"/>
      <c r="KL11" s="6392"/>
      <c r="KM11" s="6392"/>
      <c r="KN11" s="6392"/>
      <c r="KO11" s="6392"/>
      <c r="KP11" s="6392"/>
      <c r="KQ11" s="6392"/>
      <c r="KR11" s="6392"/>
      <c r="KS11" s="6392"/>
      <c r="KT11" s="6392"/>
      <c r="KU11" s="6392"/>
      <c r="KV11" s="6392"/>
      <c r="KW11" s="6392"/>
      <c r="KX11" s="6392"/>
      <c r="KY11" s="6392"/>
      <c r="KZ11" s="6392"/>
      <c r="LA11" s="6392"/>
      <c r="LB11" s="6392"/>
      <c r="LC11" s="6392"/>
      <c r="LD11" s="5132"/>
      <c r="LE11" s="5132"/>
      <c r="LF11" s="5132"/>
      <c r="LG11" s="5132"/>
      <c r="LH11" s="5132"/>
      <c r="LI11" s="5132"/>
      <c r="LJ11" s="5132"/>
    </row>
    <row r="12" spans="1:322" s="717" customFormat="1" ht="12.75" hidden="1" customHeight="1">
      <c r="A12" s="5132"/>
      <c r="B12" s="5132"/>
      <c r="C12" s="5132"/>
      <c r="D12" s="5132"/>
      <c r="E12" s="5132"/>
      <c r="F12" s="5132"/>
      <c r="G12" s="5132"/>
      <c r="H12" s="5132"/>
      <c r="I12" s="5133"/>
      <c r="J12" s="5133"/>
      <c r="K12" s="5133"/>
      <c r="L12" s="5133"/>
      <c r="M12" s="5133"/>
      <c r="N12" s="5133"/>
      <c r="O12" s="5133"/>
      <c r="P12" s="5133"/>
      <c r="Q12" s="5353"/>
      <c r="R12" s="5353"/>
      <c r="S12" s="5353"/>
      <c r="T12" s="5133"/>
      <c r="U12" s="5133"/>
      <c r="V12" s="5133"/>
      <c r="W12" s="5133"/>
      <c r="X12" s="5133"/>
      <c r="Y12" s="5133"/>
      <c r="Z12" s="5133"/>
      <c r="AA12" s="5133"/>
      <c r="AB12" s="5133"/>
      <c r="AC12" s="5133"/>
      <c r="AD12" s="5133"/>
      <c r="AE12" s="5133"/>
      <c r="AF12" s="5133"/>
      <c r="AG12" s="5133"/>
      <c r="AH12" s="5133"/>
      <c r="AI12" s="5133"/>
      <c r="AJ12" s="5133"/>
      <c r="AK12" s="5133"/>
      <c r="AL12" s="5133"/>
      <c r="AM12" s="5133"/>
      <c r="AN12" s="5133"/>
      <c r="AO12" s="5133"/>
      <c r="AP12" s="5133"/>
      <c r="AQ12" s="5133"/>
      <c r="AR12" s="5133"/>
      <c r="AS12" s="5133"/>
      <c r="AT12" s="5133"/>
      <c r="AU12" s="5133"/>
      <c r="AV12" s="6467"/>
      <c r="AW12" s="5133"/>
      <c r="AX12" s="5133"/>
      <c r="AY12" s="5133"/>
      <c r="AZ12" s="5133"/>
      <c r="BA12" s="5133"/>
      <c r="BB12" s="5133"/>
      <c r="BC12" s="6911"/>
      <c r="BD12" s="6912"/>
      <c r="BE12" s="6912"/>
      <c r="BF12" s="6912"/>
      <c r="BG12" s="5133"/>
      <c r="BH12" s="5133"/>
      <c r="BI12" s="5133"/>
      <c r="BJ12" s="5133"/>
      <c r="BK12" s="5133"/>
      <c r="BL12" s="5133"/>
      <c r="BM12" s="5133"/>
      <c r="BN12" s="5133"/>
      <c r="BO12" s="5133"/>
      <c r="BP12" s="5133"/>
      <c r="BQ12" s="5133"/>
      <c r="BR12" s="5133"/>
      <c r="BS12" s="5133"/>
      <c r="BT12" s="5133"/>
      <c r="BU12" s="5133"/>
      <c r="BV12" s="5133"/>
      <c r="BW12" s="7405"/>
      <c r="BX12" s="7405"/>
      <c r="BY12" s="7405"/>
      <c r="BZ12" s="7405"/>
      <c r="CA12" s="7405"/>
      <c r="CB12" s="7405"/>
      <c r="CC12" s="7405"/>
      <c r="CD12" s="7405"/>
      <c r="CE12" s="7405"/>
      <c r="CF12" s="7405"/>
      <c r="CG12" s="5133"/>
      <c r="CH12" s="5133"/>
      <c r="CI12" s="5133"/>
      <c r="CJ12" s="5133"/>
      <c r="CK12" s="5133"/>
      <c r="CL12" s="5133"/>
      <c r="CM12" s="5133"/>
      <c r="CN12" s="5133"/>
      <c r="CO12" s="5133"/>
      <c r="CP12" s="5133"/>
      <c r="CQ12" s="7405"/>
      <c r="CR12" s="7405"/>
      <c r="CS12" s="7405"/>
      <c r="CT12" s="6923"/>
      <c r="CU12" s="6923"/>
      <c r="CV12" s="6923"/>
      <c r="CW12" s="6924"/>
      <c r="CX12" s="6924"/>
      <c r="CY12" s="6924"/>
      <c r="CZ12" s="6924"/>
      <c r="DA12" s="6924"/>
      <c r="DB12" s="6924"/>
      <c r="DC12" s="6923"/>
      <c r="DD12" s="6923"/>
      <c r="DE12" s="6923"/>
      <c r="DF12" s="6923"/>
      <c r="DG12" s="6119"/>
      <c r="DH12" s="6119"/>
      <c r="DI12" s="6119"/>
      <c r="DJ12" s="7405"/>
      <c r="DK12" s="5133"/>
      <c r="DL12" s="5133"/>
      <c r="DM12" s="5133"/>
      <c r="DN12" s="5133"/>
      <c r="DO12" s="5133"/>
      <c r="DP12" s="5133"/>
      <c r="DQ12" s="5133"/>
      <c r="DR12" s="5133"/>
      <c r="DS12" s="5133"/>
      <c r="DT12" s="5133"/>
      <c r="DU12" s="5133"/>
      <c r="DV12" s="5133"/>
      <c r="DW12" s="5133"/>
      <c r="DX12" s="5133"/>
      <c r="DY12" s="5133"/>
      <c r="DZ12" s="5133"/>
      <c r="EA12" s="5133"/>
      <c r="EB12" s="5133"/>
      <c r="EC12" s="5133"/>
      <c r="ED12" s="5133"/>
      <c r="EE12" s="5133"/>
      <c r="EF12" s="5133"/>
      <c r="EG12" s="5133"/>
      <c r="EH12" s="5133"/>
      <c r="EI12" s="5133"/>
      <c r="EJ12" s="5133"/>
      <c r="EK12" s="5133"/>
      <c r="EL12" s="5133"/>
      <c r="EM12" s="5133"/>
      <c r="EN12" s="5133"/>
      <c r="EO12" s="5133"/>
      <c r="EP12" s="5133"/>
      <c r="EQ12" s="5133"/>
      <c r="ER12" s="5133"/>
      <c r="ES12" s="5133"/>
      <c r="ET12" s="5133"/>
      <c r="EU12" s="6788"/>
      <c r="EV12" s="5133"/>
      <c r="EW12" s="5133"/>
      <c r="EX12" s="5133"/>
      <c r="EY12" s="5133"/>
      <c r="EZ12" s="5133"/>
      <c r="FA12" s="5133"/>
      <c r="FB12" s="6934"/>
      <c r="FC12" s="6119"/>
      <c r="FD12" s="5133"/>
      <c r="FE12" s="5133"/>
      <c r="FF12" s="5133"/>
      <c r="FG12" s="5133"/>
      <c r="FH12" s="5133"/>
      <c r="FI12" s="5133"/>
      <c r="FJ12" s="5133"/>
      <c r="FK12" s="5133"/>
      <c r="FL12" s="5133"/>
      <c r="FM12" s="5133"/>
      <c r="FN12" s="5133"/>
      <c r="FO12" s="5133"/>
      <c r="FP12" s="5133"/>
      <c r="FQ12" s="5133"/>
      <c r="FR12" s="5133"/>
      <c r="FS12" s="6119"/>
      <c r="FT12" s="6119"/>
      <c r="FU12" s="6119"/>
      <c r="FV12" s="6119"/>
      <c r="FW12" s="6382"/>
      <c r="FX12" s="6119"/>
      <c r="FY12" s="6119"/>
      <c r="FZ12" s="6119"/>
      <c r="GA12" s="6119"/>
      <c r="GB12" s="6119"/>
      <c r="GC12" s="6119"/>
      <c r="GD12" s="6119"/>
      <c r="GE12" s="6119"/>
      <c r="GF12" s="5133"/>
      <c r="GG12" s="5133"/>
      <c r="GH12" s="5133"/>
      <c r="GI12" s="5133"/>
      <c r="GJ12" s="5133"/>
      <c r="GK12" s="5133"/>
      <c r="GL12" s="5133"/>
      <c r="GM12" s="6392"/>
      <c r="GN12" s="6392"/>
      <c r="GO12" s="6392"/>
      <c r="GP12" s="5949"/>
      <c r="GQ12" s="5949"/>
      <c r="GR12" s="6392"/>
      <c r="GS12" s="6392"/>
      <c r="GT12" s="6392"/>
      <c r="GU12" s="6392"/>
      <c r="GV12" s="6392"/>
      <c r="GW12" s="6392"/>
      <c r="GX12" s="6392"/>
      <c r="GY12" s="6392"/>
      <c r="GZ12" s="6392"/>
      <c r="HA12" s="6392"/>
      <c r="HB12" s="6392"/>
      <c r="HC12" s="6392"/>
      <c r="HD12" s="6392"/>
      <c r="HE12" s="6392"/>
      <c r="HF12" s="6392"/>
      <c r="HG12" s="6392"/>
      <c r="HH12" s="6392"/>
      <c r="HI12" s="6392"/>
      <c r="HJ12" s="6392"/>
      <c r="HK12" s="6392"/>
      <c r="HL12" s="6392"/>
      <c r="HM12" s="6392"/>
      <c r="HN12" s="6392"/>
      <c r="HO12" s="6392"/>
      <c r="HP12" s="6392"/>
      <c r="HQ12" s="6392"/>
      <c r="HR12" s="6392"/>
      <c r="HS12" s="5133"/>
      <c r="HT12" s="6392"/>
      <c r="HU12" s="6392"/>
      <c r="HV12" s="6392"/>
      <c r="HW12" s="6392"/>
      <c r="HX12" s="6392"/>
      <c r="HY12" s="6392"/>
      <c r="HZ12" s="6392"/>
      <c r="IA12" s="6392"/>
      <c r="IB12" s="6392"/>
      <c r="IC12" s="6392"/>
      <c r="ID12" s="5133"/>
      <c r="IE12" s="6392"/>
      <c r="IF12" s="6392"/>
      <c r="IG12" s="6392"/>
      <c r="IH12" s="6392"/>
      <c r="II12" s="6392"/>
      <c r="IJ12" s="6392"/>
      <c r="IK12" s="6392"/>
      <c r="IL12" s="6392"/>
      <c r="IM12" s="6392"/>
      <c r="IN12" s="6392"/>
      <c r="IO12" s="6392"/>
      <c r="IP12" s="6392"/>
      <c r="IQ12" s="6392"/>
      <c r="IR12" s="6392"/>
      <c r="IS12" s="6392"/>
      <c r="IT12" s="6392"/>
      <c r="IU12" s="6392"/>
      <c r="IV12" s="6392"/>
      <c r="IW12" s="6392"/>
      <c r="IX12" s="6392"/>
      <c r="IY12" s="6392"/>
      <c r="IZ12" s="6392"/>
      <c r="JA12" s="6392"/>
      <c r="JB12" s="6392"/>
      <c r="JC12" s="6392"/>
      <c r="JD12" s="6392"/>
      <c r="JE12" s="6392"/>
      <c r="JF12" s="6392"/>
      <c r="JG12" s="6392"/>
      <c r="JH12" s="6392"/>
      <c r="JI12" s="6392"/>
      <c r="JJ12" s="6392"/>
      <c r="JK12" s="6392"/>
      <c r="JL12" s="6392"/>
      <c r="JM12" s="6392"/>
      <c r="JN12" s="6392"/>
      <c r="JO12" s="6392"/>
      <c r="JP12" s="6392"/>
      <c r="JQ12" s="6392"/>
      <c r="JR12" s="6392"/>
      <c r="JS12" s="6392"/>
      <c r="JT12" s="6392"/>
      <c r="JU12" s="6392"/>
      <c r="JV12" s="6392"/>
      <c r="JW12" s="6392"/>
      <c r="JX12" s="6392"/>
      <c r="JY12" s="6392"/>
      <c r="JZ12" s="6392"/>
      <c r="KA12" s="6392"/>
      <c r="KB12" s="6392"/>
      <c r="KC12" s="6392"/>
      <c r="KD12" s="6392"/>
      <c r="KE12" s="6392"/>
      <c r="KF12" s="6392"/>
      <c r="KG12" s="6392"/>
      <c r="KH12" s="6392"/>
      <c r="KI12" s="6392"/>
      <c r="KJ12" s="6392"/>
      <c r="KK12" s="6392"/>
      <c r="KL12" s="6392"/>
      <c r="KM12" s="6392"/>
      <c r="KN12" s="6392"/>
      <c r="KO12" s="6392"/>
      <c r="KP12" s="6392"/>
      <c r="KQ12" s="6392"/>
      <c r="KR12" s="6392"/>
      <c r="KS12" s="6392"/>
      <c r="KT12" s="6392"/>
      <c r="KU12" s="6392"/>
      <c r="KV12" s="6392"/>
      <c r="KW12" s="6392"/>
      <c r="KX12" s="6392"/>
      <c r="KY12" s="6392"/>
      <c r="KZ12" s="6392"/>
      <c r="LA12" s="6392"/>
      <c r="LB12" s="6065"/>
      <c r="LC12" s="6392"/>
      <c r="LD12" s="5132"/>
      <c r="LE12" s="5132"/>
      <c r="LF12" s="5132"/>
      <c r="LG12" s="5132"/>
      <c r="LH12" s="5132"/>
      <c r="LI12" s="5132"/>
      <c r="LJ12" s="5132"/>
    </row>
    <row r="13" spans="1:322" s="717" customFormat="1" ht="12.75" hidden="1" customHeight="1">
      <c r="A13" s="5132"/>
      <c r="B13" s="5132"/>
      <c r="C13" s="5132"/>
      <c r="D13" s="5132"/>
      <c r="E13" s="5132"/>
      <c r="F13" s="5132"/>
      <c r="G13" s="5132"/>
      <c r="H13" s="5132"/>
      <c r="I13" s="5133"/>
      <c r="J13" s="5133"/>
      <c r="K13" s="5133"/>
      <c r="L13" s="5133"/>
      <c r="M13" s="5133"/>
      <c r="N13" s="5133"/>
      <c r="O13" s="5133"/>
      <c r="P13" s="5133"/>
      <c r="Q13" s="5353"/>
      <c r="R13" s="5353"/>
      <c r="S13" s="5353"/>
      <c r="T13" s="5133"/>
      <c r="U13" s="5133"/>
      <c r="V13" s="5133"/>
      <c r="W13" s="5133"/>
      <c r="X13" s="5133"/>
      <c r="Y13" s="5133"/>
      <c r="Z13" s="5133"/>
      <c r="AA13" s="5133"/>
      <c r="AB13" s="5133"/>
      <c r="AC13" s="5133"/>
      <c r="AD13" s="5133"/>
      <c r="AE13" s="5133"/>
      <c r="AF13" s="5133"/>
      <c r="AG13" s="5133"/>
      <c r="AH13" s="5133"/>
      <c r="AI13" s="5133"/>
      <c r="AJ13" s="5133"/>
      <c r="AK13" s="5133"/>
      <c r="AL13" s="5133"/>
      <c r="AM13" s="5133"/>
      <c r="AN13" s="5133"/>
      <c r="AO13" s="5133"/>
      <c r="AP13" s="5133"/>
      <c r="AQ13" s="5375"/>
      <c r="AR13" s="5133"/>
      <c r="AS13" s="5133"/>
      <c r="AT13" s="5133"/>
      <c r="AU13" s="5133"/>
      <c r="AV13" s="6467"/>
      <c r="AW13" s="5133"/>
      <c r="AX13" s="5133"/>
      <c r="AY13" s="5133"/>
      <c r="AZ13" s="5133"/>
      <c r="BA13" s="5133"/>
      <c r="BB13" s="5133"/>
      <c r="BC13" s="6911"/>
      <c r="BD13" s="6912"/>
      <c r="BE13" s="6912"/>
      <c r="BF13" s="6912"/>
      <c r="BG13" s="5133"/>
      <c r="BH13" s="5133"/>
      <c r="BI13" s="5133"/>
      <c r="BJ13" s="5133"/>
      <c r="BK13" s="5133"/>
      <c r="BL13" s="5133"/>
      <c r="BM13" s="5133"/>
      <c r="BN13" s="5133"/>
      <c r="BO13" s="5133"/>
      <c r="BP13" s="5133"/>
      <c r="BQ13" s="5133"/>
      <c r="BR13" s="5133"/>
      <c r="BS13" s="5133"/>
      <c r="BT13" s="5133"/>
      <c r="BU13" s="5133"/>
      <c r="BV13" s="5133"/>
      <c r="BW13" s="7405"/>
      <c r="BX13" s="7405"/>
      <c r="BY13" s="7405"/>
      <c r="BZ13" s="7405"/>
      <c r="CA13" s="7405"/>
      <c r="CB13" s="7405"/>
      <c r="CC13" s="7405"/>
      <c r="CD13" s="7405"/>
      <c r="CE13" s="7405"/>
      <c r="CF13" s="7405"/>
      <c r="CG13" s="5133"/>
      <c r="CH13" s="5133"/>
      <c r="CI13" s="5133"/>
      <c r="CJ13" s="5133"/>
      <c r="CK13" s="5133"/>
      <c r="CL13" s="5133"/>
      <c r="CM13" s="5133"/>
      <c r="CN13" s="5133"/>
      <c r="CO13" s="5133"/>
      <c r="CP13" s="5133"/>
      <c r="CQ13" s="7405"/>
      <c r="CR13" s="7405"/>
      <c r="CS13" s="7405"/>
      <c r="CT13" s="5133"/>
      <c r="CU13" s="5133"/>
      <c r="CV13" s="5133"/>
      <c r="CW13" s="6119"/>
      <c r="CX13" s="6119"/>
      <c r="CY13" s="6119"/>
      <c r="CZ13" s="6119"/>
      <c r="DA13" s="6119"/>
      <c r="DB13" s="6119"/>
      <c r="DC13" s="5133"/>
      <c r="DD13" s="5133"/>
      <c r="DE13" s="5133"/>
      <c r="DF13" s="5133"/>
      <c r="DG13" s="6923"/>
      <c r="DH13" s="6923"/>
      <c r="DI13" s="6923"/>
      <c r="DJ13" s="7405"/>
      <c r="DK13" s="5133"/>
      <c r="DL13" s="5133"/>
      <c r="DM13" s="5133"/>
      <c r="DN13" s="5133"/>
      <c r="DO13" s="5133"/>
      <c r="DP13" s="5133"/>
      <c r="DQ13" s="5133"/>
      <c r="DR13" s="5133"/>
      <c r="DS13" s="5133"/>
      <c r="DT13" s="5133"/>
      <c r="DU13" s="5133"/>
      <c r="DV13" s="5133"/>
      <c r="DW13" s="5133"/>
      <c r="DX13" s="5133"/>
      <c r="DY13" s="5133"/>
      <c r="DZ13" s="5133"/>
      <c r="EA13" s="5133"/>
      <c r="EB13" s="5133"/>
      <c r="EC13" s="5133"/>
      <c r="ED13" s="5133"/>
      <c r="EE13" s="5133"/>
      <c r="EF13" s="5133"/>
      <c r="EG13" s="5133"/>
      <c r="EH13" s="5133"/>
      <c r="EI13" s="5133"/>
      <c r="EJ13" s="5133"/>
      <c r="EK13" s="5133"/>
      <c r="EL13" s="5133"/>
      <c r="EM13" s="5133"/>
      <c r="EN13" s="5133"/>
      <c r="EO13" s="5133"/>
      <c r="EP13" s="5133"/>
      <c r="EQ13" s="5133"/>
      <c r="ER13" s="5133"/>
      <c r="ES13" s="5133"/>
      <c r="ET13" s="5133"/>
      <c r="EU13" s="6788"/>
      <c r="EV13" s="5133"/>
      <c r="EW13" s="5133"/>
      <c r="EX13" s="5133"/>
      <c r="EY13" s="5133"/>
      <c r="EZ13" s="5133"/>
      <c r="FA13" s="5133"/>
      <c r="FB13" s="6934"/>
      <c r="FC13" s="6119"/>
      <c r="FD13" s="5133"/>
      <c r="FE13" s="5133"/>
      <c r="FF13" s="5133"/>
      <c r="FG13" s="5133"/>
      <c r="FH13" s="5133"/>
      <c r="FI13" s="5133"/>
      <c r="FJ13" s="5133"/>
      <c r="FK13" s="5133"/>
      <c r="FL13" s="5133"/>
      <c r="FM13" s="5133"/>
      <c r="FN13" s="5133"/>
      <c r="FO13" s="5133"/>
      <c r="FP13" s="5133"/>
      <c r="FQ13" s="5133"/>
      <c r="FR13" s="5133"/>
      <c r="FS13" s="6119"/>
      <c r="FT13" s="6119"/>
      <c r="FU13" s="6119"/>
      <c r="FV13" s="6119"/>
      <c r="FW13" s="6382"/>
      <c r="FX13" s="6119"/>
      <c r="FY13" s="6119"/>
      <c r="FZ13" s="6119"/>
      <c r="GA13" s="6119"/>
      <c r="GB13" s="6119"/>
      <c r="GC13" s="6119"/>
      <c r="GD13" s="6119"/>
      <c r="GE13" s="6119"/>
      <c r="GF13" s="5133"/>
      <c r="GG13" s="5133"/>
      <c r="GH13" s="5133"/>
      <c r="GI13" s="5133"/>
      <c r="GJ13" s="5133"/>
      <c r="GK13" s="5133"/>
      <c r="GL13" s="5133"/>
      <c r="GM13" s="6392"/>
      <c r="GN13" s="6392"/>
      <c r="GO13" s="6392"/>
      <c r="GP13" s="5949"/>
      <c r="GQ13" s="5949"/>
      <c r="GR13" s="6392"/>
      <c r="GS13" s="6392"/>
      <c r="GT13" s="6392"/>
      <c r="GU13" s="6392"/>
      <c r="GV13" s="6392"/>
      <c r="GW13" s="6392"/>
      <c r="GX13" s="6392"/>
      <c r="GY13" s="6392"/>
      <c r="GZ13" s="6392"/>
      <c r="HA13" s="6392"/>
      <c r="HB13" s="6392"/>
      <c r="HC13" s="6392"/>
      <c r="HD13" s="6392"/>
      <c r="HE13" s="6392"/>
      <c r="HF13" s="6392"/>
      <c r="HG13" s="6392"/>
      <c r="HH13" s="6392"/>
      <c r="HI13" s="6392"/>
      <c r="HJ13" s="6392"/>
      <c r="HK13" s="6392"/>
      <c r="HL13" s="6392"/>
      <c r="HM13" s="6392"/>
      <c r="HN13" s="6392"/>
      <c r="HO13" s="6392"/>
      <c r="HP13" s="6392"/>
      <c r="HQ13" s="6392"/>
      <c r="HR13" s="6392"/>
      <c r="HS13" s="5133"/>
      <c r="HT13" s="6392"/>
      <c r="HU13" s="6392"/>
      <c r="HV13" s="6392"/>
      <c r="HW13" s="6392"/>
      <c r="HX13" s="6392"/>
      <c r="HY13" s="6392"/>
      <c r="HZ13" s="6392"/>
      <c r="IA13" s="6392"/>
      <c r="IB13" s="6392"/>
      <c r="IC13" s="6392"/>
      <c r="ID13" s="5133"/>
      <c r="IE13" s="6392"/>
      <c r="IF13" s="6392"/>
      <c r="IG13" s="6392"/>
      <c r="IH13" s="6392"/>
      <c r="II13" s="6392"/>
      <c r="IJ13" s="6392"/>
      <c r="IK13" s="6392"/>
      <c r="IL13" s="6392"/>
      <c r="IM13" s="6392"/>
      <c r="IN13" s="6392"/>
      <c r="IO13" s="6392"/>
      <c r="IP13" s="6392"/>
      <c r="IQ13" s="6392"/>
      <c r="IR13" s="6392"/>
      <c r="IS13" s="6392"/>
      <c r="IT13" s="6392"/>
      <c r="IU13" s="6392"/>
      <c r="IV13" s="6392"/>
      <c r="IW13" s="6392"/>
      <c r="IX13" s="6392"/>
      <c r="IY13" s="6392"/>
      <c r="IZ13" s="6392"/>
      <c r="JA13" s="6392"/>
      <c r="JB13" s="6392"/>
      <c r="JC13" s="6392"/>
      <c r="JD13" s="6392"/>
      <c r="JE13" s="6392"/>
      <c r="JF13" s="6392"/>
      <c r="JG13" s="6392"/>
      <c r="JH13" s="6392"/>
      <c r="JI13" s="6392"/>
      <c r="JJ13" s="6392"/>
      <c r="JK13" s="6392"/>
      <c r="JL13" s="6392"/>
      <c r="JM13" s="6392"/>
      <c r="JN13" s="6392"/>
      <c r="JO13" s="6392"/>
      <c r="JP13" s="6392"/>
      <c r="JQ13" s="6392"/>
      <c r="JR13" s="6392"/>
      <c r="JS13" s="6392"/>
      <c r="JT13" s="6392"/>
      <c r="JU13" s="6392"/>
      <c r="JV13" s="6392"/>
      <c r="JW13" s="6392"/>
      <c r="JX13" s="6392"/>
      <c r="JY13" s="6392"/>
      <c r="JZ13" s="6392"/>
      <c r="KA13" s="6392"/>
      <c r="KB13" s="6392"/>
      <c r="KC13" s="6392"/>
      <c r="KD13" s="6392"/>
      <c r="KE13" s="6392"/>
      <c r="KF13" s="6392"/>
      <c r="KG13" s="6392"/>
      <c r="KH13" s="6392"/>
      <c r="KI13" s="6392"/>
      <c r="KJ13" s="6392"/>
      <c r="KK13" s="6392"/>
      <c r="KL13" s="6392"/>
      <c r="KM13" s="6392"/>
      <c r="KN13" s="6392"/>
      <c r="KO13" s="6392"/>
      <c r="KP13" s="6392"/>
      <c r="KQ13" s="6392"/>
      <c r="KR13" s="6392"/>
      <c r="KS13" s="6392"/>
      <c r="KT13" s="6392"/>
      <c r="KU13" s="6392"/>
      <c r="KV13" s="6392"/>
      <c r="KW13" s="6392"/>
      <c r="KX13" s="6392"/>
      <c r="KY13" s="6392"/>
      <c r="KZ13" s="6392"/>
      <c r="LA13" s="6392"/>
      <c r="LB13" s="6392"/>
      <c r="LC13" s="6392"/>
      <c r="LD13" s="5132"/>
      <c r="LE13" s="5132"/>
      <c r="LF13" s="5132"/>
      <c r="LG13" s="5132"/>
      <c r="LH13" s="5132"/>
      <c r="LI13" s="5132"/>
      <c r="LJ13" s="5132"/>
    </row>
    <row r="14" spans="1:322" s="717" customFormat="1" ht="12.75" hidden="1" customHeight="1" thickBot="1">
      <c r="A14" s="5132"/>
      <c r="B14" s="5132"/>
      <c r="C14" s="5132"/>
      <c r="D14" s="5132"/>
      <c r="E14" s="5132"/>
      <c r="F14" s="5132"/>
      <c r="G14" s="5132"/>
      <c r="H14" s="5132"/>
      <c r="I14" s="5133"/>
      <c r="J14" s="5133"/>
      <c r="K14" s="5133"/>
      <c r="L14" s="5133"/>
      <c r="M14" s="5133"/>
      <c r="N14" s="5133"/>
      <c r="O14" s="5133"/>
      <c r="P14" s="5133"/>
      <c r="Q14" s="5353"/>
      <c r="R14" s="5353"/>
      <c r="S14" s="5353"/>
      <c r="T14" s="5133"/>
      <c r="U14" s="5133"/>
      <c r="V14" s="5133"/>
      <c r="W14" s="5133"/>
      <c r="X14" s="5133"/>
      <c r="Y14" s="5133"/>
      <c r="Z14" s="5133"/>
      <c r="AA14" s="5133"/>
      <c r="AB14" s="5133"/>
      <c r="AC14" s="5133"/>
      <c r="AD14" s="5133"/>
      <c r="AE14" s="5133"/>
      <c r="AF14" s="5133"/>
      <c r="AG14" s="5133"/>
      <c r="AH14" s="5133"/>
      <c r="AI14" s="5133"/>
      <c r="AJ14" s="5133"/>
      <c r="AK14" s="5133"/>
      <c r="AL14" s="5133"/>
      <c r="AM14" s="5133"/>
      <c r="AN14" s="5133"/>
      <c r="AO14" s="5133"/>
      <c r="AP14" s="5133"/>
      <c r="AQ14" s="5133"/>
      <c r="AR14" s="5133"/>
      <c r="AS14" s="5133"/>
      <c r="AT14" s="5133"/>
      <c r="AU14" s="5133"/>
      <c r="AV14" s="6467"/>
      <c r="AW14" s="5133"/>
      <c r="AX14" s="5133"/>
      <c r="AY14" s="5133"/>
      <c r="AZ14" s="5133"/>
      <c r="BA14" s="5133"/>
      <c r="BB14" s="5133"/>
      <c r="BC14" s="6911"/>
      <c r="BD14" s="6912"/>
      <c r="BE14" s="6912"/>
      <c r="BF14" s="6912"/>
      <c r="BG14" s="5133"/>
      <c r="BH14" s="5133"/>
      <c r="BI14" s="5133"/>
      <c r="BJ14" s="5133"/>
      <c r="BK14" s="5133"/>
      <c r="BL14" s="5133"/>
      <c r="BM14" s="5133"/>
      <c r="BN14" s="5133"/>
      <c r="BO14" s="5133"/>
      <c r="BP14" s="5133"/>
      <c r="BQ14" s="5133"/>
      <c r="BR14" s="5133"/>
      <c r="BS14" s="5133"/>
      <c r="BT14" s="5133"/>
      <c r="BU14" s="5133"/>
      <c r="BV14" s="5133"/>
      <c r="BW14" s="7405"/>
      <c r="BX14" s="7405"/>
      <c r="BY14" s="7405"/>
      <c r="BZ14" s="7405"/>
      <c r="CA14" s="7405"/>
      <c r="CB14" s="7405"/>
      <c r="CC14" s="7405"/>
      <c r="CD14" s="7405"/>
      <c r="CE14" s="7405"/>
      <c r="CF14" s="7405"/>
      <c r="CG14" s="5133"/>
      <c r="CH14" s="5133"/>
      <c r="CI14" s="5133"/>
      <c r="CJ14" s="5133"/>
      <c r="CK14" s="5133"/>
      <c r="CL14" s="5133"/>
      <c r="CM14" s="5133"/>
      <c r="CN14" s="5133"/>
      <c r="CO14" s="5133"/>
      <c r="CP14" s="7405"/>
      <c r="CQ14" s="7405"/>
      <c r="CR14" s="7405"/>
      <c r="CS14" s="7405"/>
      <c r="CT14" s="5133"/>
      <c r="CU14" s="5133"/>
      <c r="CV14" s="6788"/>
      <c r="CW14" s="6119"/>
      <c r="CX14" s="6119"/>
      <c r="CY14" s="6119"/>
      <c r="CZ14" s="6119"/>
      <c r="DA14" s="6119"/>
      <c r="DB14" s="6119"/>
      <c r="DC14" s="5133"/>
      <c r="DD14" s="5133"/>
      <c r="DE14" s="5133"/>
      <c r="DF14" s="5133"/>
      <c r="DG14" s="6923"/>
      <c r="DH14" s="6923"/>
      <c r="DI14" s="6923"/>
      <c r="DJ14" s="7405"/>
      <c r="DK14" s="5133"/>
      <c r="DL14" s="5133"/>
      <c r="DM14" s="6788"/>
      <c r="DN14" s="5133"/>
      <c r="DO14" s="5133"/>
      <c r="DP14" s="5133"/>
      <c r="DQ14" s="5133"/>
      <c r="DR14" s="5133"/>
      <c r="DS14" s="5133"/>
      <c r="DT14" s="5133"/>
      <c r="DU14" s="5133"/>
      <c r="DV14" s="5133"/>
      <c r="DW14" s="5133"/>
      <c r="DX14" s="5133"/>
      <c r="DY14" s="5133"/>
      <c r="DZ14" s="5133"/>
      <c r="EA14" s="5133"/>
      <c r="EB14" s="5133"/>
      <c r="EC14" s="5133"/>
      <c r="ED14" s="6788"/>
      <c r="EE14" s="6788"/>
      <c r="EF14" s="6788"/>
      <c r="EG14" s="6788"/>
      <c r="EH14" s="5133"/>
      <c r="EI14" s="5133"/>
      <c r="EJ14" s="5133"/>
      <c r="EK14" s="5133"/>
      <c r="EL14" s="5133"/>
      <c r="EM14" s="5133"/>
      <c r="EN14" s="5133"/>
      <c r="EO14" s="5133"/>
      <c r="EP14" s="5133"/>
      <c r="EQ14" s="5133"/>
      <c r="ER14" s="5133"/>
      <c r="ES14" s="5133"/>
      <c r="ET14" s="5133"/>
      <c r="EU14" s="5133"/>
      <c r="EV14" s="5133"/>
      <c r="EW14" s="5133"/>
      <c r="EX14" s="5133"/>
      <c r="EY14" s="5133"/>
      <c r="EZ14" s="5133"/>
      <c r="FA14" s="5133"/>
      <c r="FB14" s="6934"/>
      <c r="FC14" s="6119"/>
      <c r="FD14" s="5133"/>
      <c r="FE14" s="5133"/>
      <c r="FF14" s="5133"/>
      <c r="FG14" s="5133"/>
      <c r="FH14" s="5133"/>
      <c r="FI14" s="5133"/>
      <c r="FJ14" s="5133"/>
      <c r="FK14" s="5133"/>
      <c r="FL14" s="5133"/>
      <c r="FM14" s="5133"/>
      <c r="FN14" s="5133"/>
      <c r="FO14" s="5133"/>
      <c r="FP14" s="5133"/>
      <c r="FQ14" s="5133"/>
      <c r="FR14" s="5133"/>
      <c r="FS14" s="6119"/>
      <c r="FT14" s="6119"/>
      <c r="FU14" s="6119"/>
      <c r="FV14" s="6119"/>
      <c r="FW14" s="6382"/>
      <c r="FX14" s="6119"/>
      <c r="FY14" s="6119"/>
      <c r="FZ14" s="6119"/>
      <c r="GA14" s="6119"/>
      <c r="GB14" s="6119"/>
      <c r="GC14" s="6119"/>
      <c r="GD14" s="6119"/>
      <c r="GE14" s="6119"/>
      <c r="GF14" s="6941"/>
      <c r="GG14" s="6119"/>
      <c r="GH14" s="6392"/>
      <c r="GI14" s="6392"/>
      <c r="GJ14" s="6392"/>
      <c r="GK14" s="6392"/>
      <c r="GL14" s="6392"/>
      <c r="GM14" s="6392"/>
      <c r="GN14" s="6392"/>
      <c r="GO14" s="6392"/>
      <c r="GP14" s="5949"/>
      <c r="GQ14" s="5949"/>
      <c r="GR14" s="6392"/>
      <c r="GS14" s="6392"/>
      <c r="GT14" s="6392"/>
      <c r="GU14" s="6392"/>
      <c r="GV14" s="6392"/>
      <c r="GW14" s="6392"/>
      <c r="GX14" s="6392"/>
      <c r="GY14" s="6392"/>
      <c r="GZ14" s="6392"/>
      <c r="HA14" s="6392"/>
      <c r="HB14" s="6392"/>
      <c r="HC14" s="6392"/>
      <c r="HD14" s="6392"/>
      <c r="HE14" s="6392"/>
      <c r="HF14" s="6392"/>
      <c r="HG14" s="6392"/>
      <c r="HH14" s="6392"/>
      <c r="HI14" s="6392"/>
      <c r="HJ14" s="6392"/>
      <c r="HK14" s="6392"/>
      <c r="HL14" s="6392"/>
      <c r="HM14" s="6392"/>
      <c r="HN14" s="6392"/>
      <c r="HO14" s="5133"/>
      <c r="HP14" s="5133"/>
      <c r="HQ14" s="5133"/>
      <c r="HR14" s="5133"/>
      <c r="HS14" s="5133"/>
      <c r="HT14" s="5133"/>
      <c r="HU14" s="5133"/>
      <c r="HV14" s="5133"/>
      <c r="HW14" s="5133"/>
      <c r="HX14" s="6392"/>
      <c r="HY14" s="6392"/>
      <c r="HZ14" s="6392"/>
      <c r="IA14" s="6392"/>
      <c r="IB14" s="6392"/>
      <c r="IC14" s="6392"/>
      <c r="ID14" s="5133"/>
      <c r="IE14" s="6392"/>
      <c r="IF14" s="6392"/>
      <c r="IG14" s="6392"/>
      <c r="IH14" s="6392"/>
      <c r="II14" s="6392"/>
      <c r="IJ14" s="6392"/>
      <c r="IK14" s="6392"/>
      <c r="IL14" s="6392"/>
      <c r="IM14" s="6392"/>
      <c r="IN14" s="6392"/>
      <c r="IO14" s="6392"/>
      <c r="IP14" s="6392"/>
      <c r="IQ14" s="6392"/>
      <c r="IR14" s="6392"/>
      <c r="IS14" s="6392"/>
      <c r="IT14" s="5133"/>
      <c r="IU14" s="5133"/>
      <c r="IV14" s="5133"/>
      <c r="IW14" s="449" t="s">
        <v>1591</v>
      </c>
      <c r="IX14" s="6392"/>
      <c r="IY14" s="6392"/>
      <c r="IZ14" s="6392"/>
      <c r="JA14" s="6392"/>
      <c r="JB14" s="6392"/>
      <c r="JC14" s="6392"/>
      <c r="JD14" s="6392"/>
      <c r="JE14" s="8543" t="s">
        <v>1591</v>
      </c>
      <c r="JF14" s="6392"/>
      <c r="JG14" s="6392"/>
      <c r="JH14" s="6392"/>
      <c r="JI14" s="6392"/>
      <c r="JJ14" s="6392"/>
      <c r="JK14" s="6392"/>
      <c r="JL14" s="6392"/>
      <c r="JM14" s="6392"/>
      <c r="JN14" s="6392"/>
      <c r="JO14" s="6392"/>
      <c r="JP14" s="6392"/>
      <c r="JQ14" s="6392"/>
      <c r="JR14" s="6392"/>
      <c r="JS14" s="6392"/>
      <c r="JT14" s="6392"/>
      <c r="JU14" s="6392"/>
      <c r="JV14" s="6392"/>
      <c r="JW14" s="6392"/>
      <c r="JX14" s="6392"/>
      <c r="JY14" s="6392"/>
      <c r="JZ14" s="6392"/>
      <c r="KA14" s="6392"/>
      <c r="KB14" s="6392"/>
      <c r="KC14" s="6392"/>
      <c r="KD14" s="6392"/>
      <c r="KE14" s="6392"/>
      <c r="KF14" s="6392"/>
      <c r="KG14" s="6392"/>
      <c r="KH14" s="6392"/>
      <c r="KI14" s="6392"/>
      <c r="KJ14" s="6392"/>
      <c r="KK14" s="6392"/>
      <c r="KL14" s="6392"/>
      <c r="KM14" s="6392"/>
      <c r="KN14" s="6392"/>
      <c r="KO14" s="6392"/>
      <c r="KP14" s="6392"/>
      <c r="KQ14" s="6392"/>
      <c r="KR14" s="6392"/>
      <c r="KS14" s="6392"/>
      <c r="KT14" s="6392"/>
      <c r="KU14" s="6392"/>
      <c r="KV14" s="6392"/>
      <c r="KW14" s="6392"/>
      <c r="KX14" s="6392"/>
      <c r="KY14" s="6392"/>
      <c r="KZ14" s="6392"/>
      <c r="LA14" s="6392"/>
      <c r="LB14" s="6392"/>
      <c r="LC14" s="6392"/>
      <c r="LD14" s="5132"/>
      <c r="LE14" s="5132"/>
      <c r="LF14" s="5132"/>
      <c r="LG14" s="5132"/>
      <c r="LH14" s="5132"/>
      <c r="LI14" s="5132"/>
      <c r="LJ14" s="5132"/>
    </row>
    <row r="15" spans="1:322" s="717" customFormat="1" ht="12.75" hidden="1" customHeight="1">
      <c r="A15" s="5132"/>
      <c r="B15" s="5132"/>
      <c r="C15" s="5132"/>
      <c r="D15" s="5132"/>
      <c r="E15" s="5132"/>
      <c r="F15" s="5132"/>
      <c r="G15" s="5132"/>
      <c r="H15" s="5132"/>
      <c r="I15" s="5133"/>
      <c r="J15" s="5133"/>
      <c r="K15" s="5133"/>
      <c r="L15" s="5133"/>
      <c r="M15" s="5133"/>
      <c r="N15" s="5133"/>
      <c r="O15" s="5133"/>
      <c r="P15" s="5133"/>
      <c r="Q15" s="5353"/>
      <c r="R15" s="5353"/>
      <c r="S15" s="5353"/>
      <c r="T15" s="5133"/>
      <c r="U15" s="5133"/>
      <c r="V15" s="5133"/>
      <c r="W15" s="5133"/>
      <c r="X15" s="5133"/>
      <c r="Y15" s="5133"/>
      <c r="Z15" s="5133"/>
      <c r="AA15" s="5133"/>
      <c r="AB15" s="5133"/>
      <c r="AC15" s="5133"/>
      <c r="AD15" s="5133"/>
      <c r="AE15" s="5133"/>
      <c r="AF15" s="5133"/>
      <c r="AG15" s="5133"/>
      <c r="AH15" s="5133"/>
      <c r="AI15" s="5133"/>
      <c r="AJ15" s="5133"/>
      <c r="AK15" s="5133"/>
      <c r="AL15" s="5133"/>
      <c r="AM15" s="5133"/>
      <c r="AN15" s="5133"/>
      <c r="AO15" s="5133"/>
      <c r="AP15" s="5133"/>
      <c r="AQ15" s="5133"/>
      <c r="AR15" s="5133"/>
      <c r="AS15" s="5133"/>
      <c r="AT15" s="7405"/>
      <c r="AU15" s="7405"/>
      <c r="AV15" s="6467"/>
      <c r="AW15" s="7405"/>
      <c r="AX15" s="7405"/>
      <c r="AY15" s="7405"/>
      <c r="AZ15" s="7405"/>
      <c r="BA15" s="7405"/>
      <c r="BB15" s="5133"/>
      <c r="BC15" s="6911"/>
      <c r="BD15" s="6912"/>
      <c r="BE15" s="6912"/>
      <c r="BF15" s="6912"/>
      <c r="BG15" s="5133"/>
      <c r="BH15" s="5133"/>
      <c r="BI15" s="5133"/>
      <c r="BJ15" s="5133"/>
      <c r="BK15" s="5133"/>
      <c r="BL15" s="5133"/>
      <c r="BM15" s="5133"/>
      <c r="BN15" s="5133"/>
      <c r="BO15" s="5133"/>
      <c r="BP15" s="5133"/>
      <c r="BQ15" s="5133"/>
      <c r="BR15" s="5133"/>
      <c r="BS15" s="5133"/>
      <c r="BT15" s="5133"/>
      <c r="BU15" s="5133"/>
      <c r="BV15" s="5133"/>
      <c r="BW15" s="5133"/>
      <c r="BX15" s="6913"/>
      <c r="BY15" s="6918" t="s">
        <v>1640</v>
      </c>
      <c r="BZ15" s="6918"/>
      <c r="CA15" s="6918"/>
      <c r="CB15" s="6918"/>
      <c r="CC15" s="6918"/>
      <c r="CD15" s="6918"/>
      <c r="CE15" s="6919"/>
      <c r="CF15" s="5133"/>
      <c r="CG15" s="5133"/>
      <c r="CH15" s="5133"/>
      <c r="CI15" s="5133"/>
      <c r="CJ15" s="6913"/>
      <c r="CK15" s="6918" t="s">
        <v>1640</v>
      </c>
      <c r="CL15" s="6918"/>
      <c r="CM15" s="6918"/>
      <c r="CN15" s="6918"/>
      <c r="CO15" s="6919"/>
      <c r="CP15" s="7405"/>
      <c r="CQ15" s="7405"/>
      <c r="CR15" s="7405"/>
      <c r="CS15" s="7405"/>
      <c r="CT15" s="5133"/>
      <c r="CU15" s="5133"/>
      <c r="CV15" s="6788"/>
      <c r="CW15" s="6119"/>
      <c r="CX15" s="6119"/>
      <c r="CY15" s="6119"/>
      <c r="CZ15" s="6119"/>
      <c r="DA15" s="6119"/>
      <c r="DB15" s="6119"/>
      <c r="DC15" s="5133"/>
      <c r="DD15" s="5133"/>
      <c r="DE15" s="5133"/>
      <c r="DF15" s="5133"/>
      <c r="DG15" s="5133"/>
      <c r="DH15" s="5133"/>
      <c r="DI15" s="5133"/>
      <c r="DJ15" s="7405"/>
      <c r="DK15" s="5133"/>
      <c r="DL15" s="5133"/>
      <c r="DM15" s="5133"/>
      <c r="DN15" s="5133"/>
      <c r="DO15" s="5133"/>
      <c r="DP15" s="5133"/>
      <c r="DQ15" s="5133"/>
      <c r="DR15" s="5133"/>
      <c r="DS15" s="5133"/>
      <c r="DT15" s="5133"/>
      <c r="DU15" s="5133"/>
      <c r="DV15" s="5133"/>
      <c r="DW15" s="5133"/>
      <c r="DX15" s="5133"/>
      <c r="DY15" s="5133"/>
      <c r="DZ15" s="5133"/>
      <c r="EA15" s="5133"/>
      <c r="EB15" s="5133"/>
      <c r="EC15" s="5133"/>
      <c r="ED15" s="5133"/>
      <c r="EE15" s="5133"/>
      <c r="EF15" s="5133"/>
      <c r="EG15" s="5133"/>
      <c r="EH15" s="5133"/>
      <c r="EI15" s="5133"/>
      <c r="EJ15" s="5133"/>
      <c r="EK15" s="5133"/>
      <c r="EL15" s="5133"/>
      <c r="EM15" s="5133"/>
      <c r="EN15" s="5133"/>
      <c r="EO15" s="5133"/>
      <c r="EP15" s="5133"/>
      <c r="EQ15" s="5133"/>
      <c r="ER15" s="5133"/>
      <c r="ES15" s="5133"/>
      <c r="ET15" s="5133"/>
      <c r="EU15" s="5133"/>
      <c r="EV15" s="5133"/>
      <c r="EW15" s="5133"/>
      <c r="EX15" s="5133"/>
      <c r="EY15" s="5133"/>
      <c r="EZ15" s="5133"/>
      <c r="FA15" s="5133"/>
      <c r="FB15" s="6934"/>
      <c r="FC15" s="6119"/>
      <c r="FD15" s="6119"/>
      <c r="FE15" s="6119"/>
      <c r="FF15" s="6119"/>
      <c r="FG15" s="6119"/>
      <c r="FH15" s="6119"/>
      <c r="FI15" s="6119"/>
      <c r="FJ15" s="6119"/>
      <c r="FK15" s="6119"/>
      <c r="FL15" s="6119"/>
      <c r="FM15" s="6119"/>
      <c r="FN15" s="6119"/>
      <c r="FO15" s="6119"/>
      <c r="FP15" s="6119"/>
      <c r="FQ15" s="6119"/>
      <c r="FR15" s="6119"/>
      <c r="FS15" s="6119"/>
      <c r="FT15" s="6119"/>
      <c r="FU15" s="6119"/>
      <c r="FV15" s="6119"/>
      <c r="FW15" s="6382"/>
      <c r="FX15" s="6119"/>
      <c r="FY15" s="6119"/>
      <c r="FZ15" s="6119"/>
      <c r="GA15" s="6119"/>
      <c r="GB15" s="6119"/>
      <c r="GC15" s="6119"/>
      <c r="GD15" s="6119"/>
      <c r="GE15" s="6119"/>
      <c r="GF15" s="6941"/>
      <c r="GG15" s="6119"/>
      <c r="GH15" s="6392"/>
      <c r="GI15" s="6392"/>
      <c r="GJ15" s="6392"/>
      <c r="GK15" s="6392"/>
      <c r="GL15" s="6392"/>
      <c r="GM15" s="6392"/>
      <c r="GN15" s="6392"/>
      <c r="GO15" s="6392"/>
      <c r="GP15" s="5949"/>
      <c r="GQ15" s="5949"/>
      <c r="GR15" s="6392"/>
      <c r="GS15" s="6392"/>
      <c r="GT15" s="6392"/>
      <c r="GU15" s="6392"/>
      <c r="GV15" s="6392"/>
      <c r="GW15" s="6392"/>
      <c r="GX15" s="6392"/>
      <c r="GY15" s="6392"/>
      <c r="GZ15" s="6392"/>
      <c r="HA15" s="6392"/>
      <c r="HB15" s="6392"/>
      <c r="HC15" s="6392"/>
      <c r="HD15" s="6392"/>
      <c r="HE15" s="6392"/>
      <c r="HF15" s="6392"/>
      <c r="HG15" s="6392"/>
      <c r="HH15" s="5133"/>
      <c r="HI15" s="5133"/>
      <c r="HJ15" s="5133"/>
      <c r="HK15" s="5133"/>
      <c r="HL15" s="5133"/>
      <c r="HM15" s="6392"/>
      <c r="HN15" s="6119"/>
      <c r="HO15" s="5133"/>
      <c r="HP15" s="5133"/>
      <c r="HQ15" s="5133"/>
      <c r="HR15" s="5133"/>
      <c r="HS15" s="5133"/>
      <c r="HT15" s="5133"/>
      <c r="HU15" s="5133"/>
      <c r="HV15" s="5133"/>
      <c r="HW15" s="5133"/>
      <c r="HX15" s="6392"/>
      <c r="HY15" s="6392"/>
      <c r="HZ15" s="6392"/>
      <c r="IA15" s="6392"/>
      <c r="IB15" s="6392"/>
      <c r="IC15" s="6392"/>
      <c r="ID15" s="5133"/>
      <c r="IE15" s="6392"/>
      <c r="IF15" s="6392"/>
      <c r="IG15" s="6392"/>
      <c r="IH15" s="6392"/>
      <c r="II15" s="6392"/>
      <c r="IJ15" s="6392"/>
      <c r="IK15" s="6392"/>
      <c r="IL15" s="6392"/>
      <c r="IM15" s="6392"/>
      <c r="IN15" s="6392"/>
      <c r="IO15" s="6392"/>
      <c r="IP15" s="6392"/>
      <c r="IQ15" s="6392"/>
      <c r="IR15" s="6392"/>
      <c r="IS15" s="6392"/>
      <c r="IT15" s="5133"/>
      <c r="IU15" s="5133"/>
      <c r="IV15" s="5133"/>
      <c r="IW15" s="5133"/>
      <c r="IX15" s="6392"/>
      <c r="IY15" s="6392"/>
      <c r="IZ15" s="6392"/>
      <c r="JA15" s="6392"/>
      <c r="JB15" s="6392"/>
      <c r="JC15" s="6392"/>
      <c r="JD15" s="6392"/>
      <c r="JE15" s="6392"/>
      <c r="JF15" s="6392"/>
      <c r="JG15" s="6392"/>
      <c r="JH15" s="6392"/>
      <c r="JI15" s="6392"/>
      <c r="JJ15" s="6392"/>
      <c r="JK15" s="6392"/>
      <c r="JL15" s="6392"/>
      <c r="JM15" s="6392"/>
      <c r="JN15" s="6392"/>
      <c r="JO15" s="6392"/>
      <c r="JP15" s="6392"/>
      <c r="JQ15" s="6392"/>
      <c r="JR15" s="6392"/>
      <c r="JS15" s="6392"/>
      <c r="JT15" s="6392"/>
      <c r="JU15" s="6392"/>
      <c r="JV15" s="5133"/>
      <c r="JW15" s="5133"/>
      <c r="JX15" s="5133"/>
      <c r="JY15" s="5133"/>
      <c r="JZ15" s="5133"/>
      <c r="KA15" s="6392"/>
      <c r="KB15" s="6392"/>
      <c r="KC15" s="6392"/>
      <c r="KD15" s="6392"/>
      <c r="KE15" s="6392"/>
      <c r="KF15" s="6392"/>
      <c r="KG15" s="6392"/>
      <c r="KH15" s="6392"/>
      <c r="KI15" s="6392"/>
      <c r="KJ15" s="6392"/>
      <c r="KK15" s="6392"/>
      <c r="KL15" s="6392"/>
      <c r="KM15" s="6392"/>
      <c r="KN15" s="6392"/>
      <c r="KO15" s="6392"/>
      <c r="KP15" s="6392"/>
      <c r="KQ15" s="6392"/>
      <c r="KR15" s="6392"/>
      <c r="KS15" s="6392"/>
      <c r="KT15" s="6392"/>
      <c r="KU15" s="6392"/>
      <c r="KV15" s="6392"/>
      <c r="KW15" s="6392"/>
      <c r="KX15" s="6392"/>
      <c r="KY15" s="6392"/>
      <c r="KZ15" s="6392"/>
      <c r="LA15" s="6392"/>
      <c r="LB15" s="6392"/>
      <c r="LC15" s="6392"/>
      <c r="LD15" s="5132"/>
      <c r="LE15" s="5132"/>
      <c r="LF15" s="5132"/>
      <c r="LG15" s="5132"/>
      <c r="LH15" s="5132"/>
      <c r="LI15" s="5132"/>
      <c r="LJ15" s="5132"/>
    </row>
    <row r="16" spans="1:322" s="13" customFormat="1" ht="13.5" hidden="1" customHeight="1">
      <c r="A16" s="5132"/>
      <c r="B16" s="5132"/>
      <c r="C16" s="5132"/>
      <c r="D16" s="5132"/>
      <c r="E16" s="5132"/>
      <c r="F16" s="5132"/>
      <c r="G16" s="5132"/>
      <c r="H16" s="5132"/>
      <c r="I16" s="5133"/>
      <c r="J16" s="5133"/>
      <c r="K16" s="6390"/>
      <c r="L16" s="5133"/>
      <c r="M16" s="5133"/>
      <c r="N16" s="5133"/>
      <c r="O16" s="5133"/>
      <c r="P16" s="5133"/>
      <c r="Q16" s="5353"/>
      <c r="R16" s="5353"/>
      <c r="S16" s="5353"/>
      <c r="T16" s="5133"/>
      <c r="U16" s="5133"/>
      <c r="V16" s="5133"/>
      <c r="W16" s="5133"/>
      <c r="X16" s="5133"/>
      <c r="Y16" s="5133"/>
      <c r="Z16" s="5133"/>
      <c r="AA16" s="5133"/>
      <c r="AB16" s="5133"/>
      <c r="AC16" s="5133"/>
      <c r="AD16" s="5133"/>
      <c r="AE16" s="5133"/>
      <c r="AF16" s="5133"/>
      <c r="AG16" s="5133"/>
      <c r="AH16" s="5133"/>
      <c r="AI16" s="5133"/>
      <c r="AJ16" s="5133"/>
      <c r="AK16" s="5133"/>
      <c r="AL16" s="5133"/>
      <c r="AM16" s="5133"/>
      <c r="AN16" s="5133"/>
      <c r="AO16" s="5133"/>
      <c r="AP16" s="5133"/>
      <c r="AQ16" s="5133"/>
      <c r="AR16" s="5133"/>
      <c r="AS16" s="5133"/>
      <c r="AT16" s="5133"/>
      <c r="AU16" s="5947"/>
      <c r="AV16" s="6467"/>
      <c r="AW16" s="7405"/>
      <c r="AX16" s="7405"/>
      <c r="AY16" s="7405"/>
      <c r="AZ16" s="7405"/>
      <c r="BA16" s="7405"/>
      <c r="BB16" s="5133"/>
      <c r="BC16" s="5133"/>
      <c r="BD16" s="5133"/>
      <c r="BE16" s="5133"/>
      <c r="BF16" s="5133"/>
      <c r="BG16" s="5353"/>
      <c r="BH16" s="5133"/>
      <c r="BI16" s="5133"/>
      <c r="BJ16" s="5133"/>
      <c r="BK16" s="5133"/>
      <c r="BL16" s="5133"/>
      <c r="BM16" s="5133"/>
      <c r="BN16" s="5133"/>
      <c r="BO16" s="5133"/>
      <c r="BP16" s="5133"/>
      <c r="BQ16" s="5133"/>
      <c r="BR16" s="5133"/>
      <c r="BS16" s="5133"/>
      <c r="BT16" s="5353"/>
      <c r="BU16" s="5353"/>
      <c r="BV16" s="5353"/>
      <c r="BW16" s="5353"/>
      <c r="BX16" s="6914"/>
      <c r="BY16" s="6065" t="s">
        <v>1616</v>
      </c>
      <c r="BZ16" s="6065"/>
      <c r="CA16" s="6065"/>
      <c r="CB16" s="6065" t="s">
        <v>1637</v>
      </c>
      <c r="CC16" s="6065" t="s">
        <v>1637</v>
      </c>
      <c r="CD16" s="6065" t="s">
        <v>1638</v>
      </c>
      <c r="CE16" s="6920"/>
      <c r="CF16" s="5133"/>
      <c r="CG16" s="5133"/>
      <c r="CH16" s="5133"/>
      <c r="CI16" s="5133"/>
      <c r="CJ16" s="6914"/>
      <c r="CK16" s="6065" t="s">
        <v>1641</v>
      </c>
      <c r="CL16" s="6065" t="s">
        <v>1642</v>
      </c>
      <c r="CM16" s="6065" t="s">
        <v>1642</v>
      </c>
      <c r="CN16" s="6065" t="s">
        <v>1643</v>
      </c>
      <c r="CO16" s="6920"/>
      <c r="CP16" s="7405"/>
      <c r="CQ16" s="6065"/>
      <c r="CR16" s="6065"/>
      <c r="CS16" s="6065"/>
      <c r="CT16" s="5353"/>
      <c r="CU16" s="5353"/>
      <c r="CV16" s="6925"/>
      <c r="CW16" s="6393"/>
      <c r="CX16" s="6393"/>
      <c r="CY16" s="6393"/>
      <c r="CZ16" s="6393"/>
      <c r="DA16" s="6393"/>
      <c r="DB16" s="6393"/>
      <c r="DC16" s="5353"/>
      <c r="DD16" s="5353"/>
      <c r="DE16" s="5353"/>
      <c r="DF16" s="5353"/>
      <c r="DG16" s="5353"/>
      <c r="DH16" s="5353"/>
      <c r="DI16" s="5353"/>
      <c r="DJ16" s="6065"/>
      <c r="DK16" s="5353"/>
      <c r="DL16" s="5353"/>
      <c r="DM16" s="5353"/>
      <c r="DN16" s="5353"/>
      <c r="DO16" s="5353"/>
      <c r="DP16" s="5133"/>
      <c r="DQ16" s="5133"/>
      <c r="DR16" s="5133"/>
      <c r="DS16" s="5133"/>
      <c r="DT16" s="5133"/>
      <c r="DU16" s="5133"/>
      <c r="DV16" s="5133"/>
      <c r="DW16" s="5133"/>
      <c r="DX16" s="5133"/>
      <c r="DY16" s="5133"/>
      <c r="DZ16" s="6788"/>
      <c r="EA16" s="5133"/>
      <c r="EB16" s="5353"/>
      <c r="EC16" s="5353"/>
      <c r="ED16" s="6925"/>
      <c r="EE16" s="6925"/>
      <c r="EF16" s="6925"/>
      <c r="EG16" s="6925"/>
      <c r="EH16" s="5353"/>
      <c r="EI16" s="5353"/>
      <c r="EJ16" s="5353"/>
      <c r="EK16" s="5353"/>
      <c r="EL16" s="5353"/>
      <c r="EM16" s="5353"/>
      <c r="EN16" s="5353"/>
      <c r="EO16" s="5353"/>
      <c r="EP16" s="5353"/>
      <c r="EQ16" s="5353"/>
      <c r="ER16" s="5353"/>
      <c r="ES16" s="5353"/>
      <c r="ET16" s="5353"/>
      <c r="EU16" s="5353"/>
      <c r="EV16" s="5353"/>
      <c r="EW16" s="5353"/>
      <c r="EX16" s="5353"/>
      <c r="EY16" s="5353"/>
      <c r="EZ16" s="5353"/>
      <c r="FA16" s="5353"/>
      <c r="FB16" s="6935"/>
      <c r="FC16" s="6393"/>
      <c r="FD16" s="6393"/>
      <c r="FE16" s="6393"/>
      <c r="FF16" s="6393"/>
      <c r="FG16" s="6393"/>
      <c r="FH16" s="6393"/>
      <c r="FI16" s="6393"/>
      <c r="FJ16" s="6393"/>
      <c r="FK16" s="6393"/>
      <c r="FL16" s="6393"/>
      <c r="FM16" s="6393"/>
      <c r="FN16" s="6393"/>
      <c r="FO16" s="6393"/>
      <c r="FP16" s="6393"/>
      <c r="FQ16" s="6393"/>
      <c r="FR16" s="6393"/>
      <c r="FS16" s="6393"/>
      <c r="FT16" s="6393"/>
      <c r="FU16" s="6393"/>
      <c r="FV16" s="6393"/>
      <c r="FW16" s="6938"/>
      <c r="FX16" s="6393"/>
      <c r="FY16" s="6393"/>
      <c r="FZ16" s="6393"/>
      <c r="GA16" s="6393"/>
      <c r="GB16" s="6393"/>
      <c r="GC16" s="6393"/>
      <c r="GD16" s="6393"/>
      <c r="GE16" s="6937"/>
      <c r="GF16" s="6393"/>
      <c r="GG16" s="6393"/>
      <c r="GH16" s="6393" t="str">
        <f>+IF(ISERROR(GF106/IF(T106="",IF(T105="",T104,T105),T106)),"",GF106/IF(T106="",IF(T105="",T104,T105),T106))</f>
        <v/>
      </c>
      <c r="GI16" s="6393"/>
      <c r="GJ16" s="6393"/>
      <c r="GK16" s="6393"/>
      <c r="GL16" s="6393"/>
      <c r="GM16" s="6393"/>
      <c r="GN16" s="6393"/>
      <c r="GO16" s="6393"/>
      <c r="GP16" s="5949"/>
      <c r="GQ16" s="5949"/>
      <c r="GR16" s="6393"/>
      <c r="GS16" s="6393"/>
      <c r="GT16" s="6393"/>
      <c r="GU16" s="6393"/>
      <c r="GV16" s="6393"/>
      <c r="GW16" s="6393"/>
      <c r="GX16" s="6393"/>
      <c r="GY16" s="6393"/>
      <c r="GZ16" s="6393"/>
      <c r="HA16" s="6393"/>
      <c r="HB16" s="6393"/>
      <c r="HC16" s="6393"/>
      <c r="HD16" s="6393"/>
      <c r="HE16" s="6393"/>
      <c r="HF16" s="6942"/>
      <c r="HG16" s="6393"/>
      <c r="HH16" s="6119"/>
      <c r="HI16" s="6119"/>
      <c r="HJ16" s="6119"/>
      <c r="HK16" s="6119"/>
      <c r="HL16" s="6119"/>
      <c r="HM16" s="6119"/>
      <c r="HN16" s="5133"/>
      <c r="HO16" s="5133"/>
      <c r="HP16" s="5133"/>
      <c r="HQ16" s="5133"/>
      <c r="HR16" s="5133"/>
      <c r="HS16" s="5133"/>
      <c r="HT16" s="5133"/>
      <c r="HU16" s="5133"/>
      <c r="HV16" s="5133"/>
      <c r="HW16" s="5133"/>
      <c r="HX16" s="6119"/>
      <c r="HY16" s="6119"/>
      <c r="HZ16" s="6119"/>
      <c r="IA16" s="449" t="s">
        <v>1591</v>
      </c>
      <c r="IB16" s="6393"/>
      <c r="IC16" s="449" t="s">
        <v>1591</v>
      </c>
      <c r="ID16" s="5133"/>
      <c r="IE16" s="6393"/>
      <c r="IF16" s="6393"/>
      <c r="IG16" s="6393"/>
      <c r="IH16" s="6393"/>
      <c r="II16" s="6393"/>
      <c r="IJ16" s="6393"/>
      <c r="IK16" s="6393"/>
      <c r="IL16" s="6393"/>
      <c r="IM16" s="6393"/>
      <c r="IN16" s="6393"/>
      <c r="IO16" s="6393"/>
      <c r="IP16" s="6393"/>
      <c r="IQ16" s="6393"/>
      <c r="IR16" s="6393"/>
      <c r="IS16" s="6393"/>
      <c r="IT16" s="6392"/>
      <c r="IU16" s="5133"/>
      <c r="IV16" s="5133"/>
      <c r="IW16" s="5133"/>
      <c r="IX16" s="6393"/>
      <c r="IY16" s="6393"/>
      <c r="IZ16" s="6393"/>
      <c r="JA16" s="6393"/>
      <c r="JB16" s="6393"/>
      <c r="JC16" s="6393"/>
      <c r="JD16" s="6393"/>
      <c r="JE16" s="6392"/>
      <c r="JF16" s="6939"/>
      <c r="JG16" s="6939"/>
      <c r="JH16" s="6939"/>
      <c r="JI16" s="6939"/>
      <c r="JJ16" s="6939"/>
      <c r="JK16" s="6939"/>
      <c r="JL16" s="6939"/>
      <c r="JM16" s="6393"/>
      <c r="JN16" s="6393"/>
      <c r="JO16" s="6119"/>
      <c r="JP16" s="6119"/>
      <c r="JQ16" s="6119"/>
      <c r="JR16" s="6119"/>
      <c r="JS16" s="6119"/>
      <c r="JT16" s="6119"/>
      <c r="JU16" s="6119"/>
      <c r="JV16" s="5133"/>
      <c r="JW16" s="5133"/>
      <c r="JX16" s="5133"/>
      <c r="JY16" s="5133"/>
      <c r="JZ16" s="5133"/>
      <c r="KA16" s="6119"/>
      <c r="KB16" s="6119"/>
      <c r="KC16" s="6119"/>
      <c r="KD16" s="6119"/>
      <c r="KE16" s="6119"/>
      <c r="KF16" s="6119"/>
      <c r="KG16" s="6119"/>
      <c r="KH16" s="6119"/>
      <c r="KI16" s="6119"/>
      <c r="KJ16" s="6119"/>
      <c r="KK16" s="6119"/>
      <c r="KL16" s="6119"/>
      <c r="KM16" s="6119"/>
      <c r="KN16" s="6119"/>
      <c r="KO16" s="6119"/>
      <c r="KP16" s="6119"/>
      <c r="KQ16" s="6393"/>
      <c r="KR16" s="6393"/>
      <c r="KS16" s="6393"/>
      <c r="KT16" s="6393"/>
      <c r="KU16" s="5133"/>
      <c r="KV16" s="5133"/>
      <c r="KW16" s="5133"/>
      <c r="KX16" s="6393"/>
      <c r="KY16" s="6393"/>
      <c r="KZ16" s="6393"/>
      <c r="LA16" s="6393"/>
      <c r="LB16" s="6393"/>
      <c r="LC16" s="6393"/>
      <c r="LD16" s="5132"/>
      <c r="LE16" s="5132"/>
      <c r="LF16" s="5132"/>
      <c r="LG16" s="5132"/>
      <c r="LH16" s="5132"/>
      <c r="LI16" s="5132"/>
      <c r="LJ16" s="5132"/>
    </row>
    <row r="17" spans="1:322" s="717" customFormat="1" ht="12.75" hidden="1" customHeight="1">
      <c r="A17" s="5132"/>
      <c r="B17" s="5132"/>
      <c r="C17" s="5132"/>
      <c r="D17" s="5132"/>
      <c r="E17" s="5132"/>
      <c r="F17" s="5132"/>
      <c r="G17" s="5132"/>
      <c r="H17" s="5132"/>
      <c r="I17" s="5133"/>
      <c r="J17" s="6390"/>
      <c r="K17" s="6390"/>
      <c r="L17" s="5133"/>
      <c r="M17" s="5133"/>
      <c r="N17" s="5133"/>
      <c r="O17" s="5133"/>
      <c r="P17" s="5133"/>
      <c r="Q17" s="5353"/>
      <c r="R17" s="5353"/>
      <c r="S17" s="5353"/>
      <c r="T17" s="5133"/>
      <c r="U17" s="5133"/>
      <c r="V17" s="5133"/>
      <c r="W17" s="5133"/>
      <c r="X17" s="5133"/>
      <c r="Y17" s="5133"/>
      <c r="Z17" s="5133"/>
      <c r="AA17" s="5133"/>
      <c r="AB17" s="5133"/>
      <c r="AC17" s="5133"/>
      <c r="AD17" s="5133"/>
      <c r="AE17" s="5133"/>
      <c r="AF17" s="5133"/>
      <c r="AG17" s="5133"/>
      <c r="AH17" s="5133"/>
      <c r="AI17" s="5133"/>
      <c r="AJ17" s="5133"/>
      <c r="AK17" s="5133"/>
      <c r="AL17" s="5133"/>
      <c r="AM17" s="5133"/>
      <c r="AN17" s="5133"/>
      <c r="AO17" s="5353"/>
      <c r="AP17" s="5353"/>
      <c r="AQ17" s="5353"/>
      <c r="AR17" s="5353"/>
      <c r="AS17" s="5353"/>
      <c r="AT17" s="6065"/>
      <c r="AU17" s="5947"/>
      <c r="AV17" s="6467"/>
      <c r="AW17" s="7405"/>
      <c r="AX17" s="7405"/>
      <c r="AY17" s="7405"/>
      <c r="AZ17" s="7405"/>
      <c r="BA17" s="7405"/>
      <c r="BB17" s="5133"/>
      <c r="BC17" s="5133"/>
      <c r="BD17" s="5133"/>
      <c r="BE17" s="5133"/>
      <c r="BF17" s="5133"/>
      <c r="BG17" s="5353"/>
      <c r="BH17" s="5133"/>
      <c r="BI17" s="5133"/>
      <c r="BJ17" s="5133"/>
      <c r="BK17" s="5133"/>
      <c r="BL17" s="5133"/>
      <c r="BM17" s="5133"/>
      <c r="BN17" s="5133"/>
      <c r="BO17" s="5133"/>
      <c r="BP17" s="5133"/>
      <c r="BQ17" s="5133"/>
      <c r="BR17" s="5133"/>
      <c r="BS17" s="5133"/>
      <c r="BT17" s="5353"/>
      <c r="BU17" s="5353"/>
      <c r="BV17" s="5353"/>
      <c r="BW17" s="5353"/>
      <c r="BX17" s="6914"/>
      <c r="BY17" s="10784" t="s">
        <v>1636</v>
      </c>
      <c r="BZ17" s="8658"/>
      <c r="CA17" s="8658"/>
      <c r="CB17" s="10784" t="s">
        <v>1639</v>
      </c>
      <c r="CC17" s="10784" t="s">
        <v>1639</v>
      </c>
      <c r="CD17" s="10784" t="s">
        <v>1369</v>
      </c>
      <c r="CE17" s="6920"/>
      <c r="CF17" s="5133"/>
      <c r="CG17" s="5133"/>
      <c r="CH17" s="5133"/>
      <c r="CI17" s="5133"/>
      <c r="CJ17" s="6914"/>
      <c r="CK17" s="10783" t="s">
        <v>1636</v>
      </c>
      <c r="CL17" s="10783" t="s">
        <v>1639</v>
      </c>
      <c r="CM17" s="10783" t="s">
        <v>1639</v>
      </c>
      <c r="CN17" s="10783" t="s">
        <v>1369</v>
      </c>
      <c r="CO17" s="6920"/>
      <c r="CP17" s="6065"/>
      <c r="CQ17" s="6065"/>
      <c r="CR17" s="6065"/>
      <c r="CS17" s="6065"/>
      <c r="CT17" s="5353"/>
      <c r="CU17" s="5353"/>
      <c r="CV17" s="5353"/>
      <c r="CW17" s="6393"/>
      <c r="CX17" s="6393"/>
      <c r="CY17" s="6393"/>
      <c r="CZ17" s="6393"/>
      <c r="DA17" s="6393"/>
      <c r="DB17" s="6393"/>
      <c r="DC17" s="5353"/>
      <c r="DD17" s="5353"/>
      <c r="DE17" s="5353"/>
      <c r="DF17" s="5353"/>
      <c r="DG17" s="5353"/>
      <c r="DH17" s="5353"/>
      <c r="DI17" s="5353"/>
      <c r="DJ17" s="6065"/>
      <c r="DK17" s="5353"/>
      <c r="DL17" s="5353"/>
      <c r="DM17" s="6925"/>
      <c r="DN17" s="5353"/>
      <c r="DO17" s="5353"/>
      <c r="DP17" s="5133"/>
      <c r="DQ17" s="5133"/>
      <c r="DR17" s="5133"/>
      <c r="DS17" s="5133"/>
      <c r="DT17" s="5133"/>
      <c r="DU17" s="5133"/>
      <c r="DV17" s="5133"/>
      <c r="DW17" s="5133"/>
      <c r="DX17" s="5133"/>
      <c r="DY17" s="5133"/>
      <c r="DZ17" s="5133"/>
      <c r="EA17" s="5133"/>
      <c r="EB17" s="5353"/>
      <c r="EC17" s="5353"/>
      <c r="ED17" s="5353"/>
      <c r="EE17" s="5353"/>
      <c r="EF17" s="5353"/>
      <c r="EG17" s="5353"/>
      <c r="EH17" s="5353"/>
      <c r="EI17" s="5353"/>
      <c r="EJ17" s="5353"/>
      <c r="EK17" s="5353"/>
      <c r="EL17" s="5353"/>
      <c r="EM17" s="5353"/>
      <c r="EN17" s="5353"/>
      <c r="EO17" s="5353"/>
      <c r="EP17" s="5353"/>
      <c r="EQ17" s="5353"/>
      <c r="ER17" s="5353"/>
      <c r="ES17" s="5353"/>
      <c r="ET17" s="5353"/>
      <c r="EU17" s="5353"/>
      <c r="EV17" s="5353"/>
      <c r="EW17" s="5353"/>
      <c r="EX17" s="5353"/>
      <c r="EY17" s="5353"/>
      <c r="EZ17" s="5353"/>
      <c r="FA17" s="5353"/>
      <c r="FB17" s="6936"/>
      <c r="FC17" s="6393"/>
      <c r="FD17" s="6393"/>
      <c r="FE17" s="6393"/>
      <c r="FF17" s="6393"/>
      <c r="FG17" s="6393"/>
      <c r="FH17" s="6393"/>
      <c r="FI17" s="6393"/>
      <c r="FJ17" s="6393"/>
      <c r="FK17" s="6393"/>
      <c r="FL17" s="6393"/>
      <c r="FM17" s="6393"/>
      <c r="FN17" s="6393"/>
      <c r="FO17" s="6393"/>
      <c r="FP17" s="6393"/>
      <c r="FQ17" s="6393"/>
      <c r="FR17" s="6393"/>
      <c r="FS17" s="6393"/>
      <c r="FT17" s="6393"/>
      <c r="FU17" s="5133"/>
      <c r="FV17" s="6937"/>
      <c r="FW17" s="6939"/>
      <c r="FX17" s="6393"/>
      <c r="FY17" s="6393"/>
      <c r="FZ17" s="6393"/>
      <c r="GA17" s="6393"/>
      <c r="GB17" s="6393"/>
      <c r="GC17" s="6393"/>
      <c r="GD17" s="6393"/>
      <c r="GE17" s="6937"/>
      <c r="GF17" s="6393"/>
      <c r="GG17" s="6393"/>
      <c r="GH17" s="6393"/>
      <c r="GI17" s="6393"/>
      <c r="GJ17" s="6393"/>
      <c r="GK17" s="6393"/>
      <c r="GL17" s="6393"/>
      <c r="GM17" s="6393"/>
      <c r="GN17" s="6393"/>
      <c r="GO17" s="6393"/>
      <c r="GP17" s="5949"/>
      <c r="GQ17" s="5949"/>
      <c r="GR17" s="6393"/>
      <c r="GS17" s="6393"/>
      <c r="GT17" s="6393"/>
      <c r="GU17" s="6393"/>
      <c r="GV17" s="6393"/>
      <c r="GW17" s="6393"/>
      <c r="GX17" s="6393"/>
      <c r="GY17" s="6393"/>
      <c r="GZ17" s="6393"/>
      <c r="HA17" s="6393"/>
      <c r="HB17" s="6393"/>
      <c r="HC17" s="6393"/>
      <c r="HD17" s="6942"/>
      <c r="HE17" s="6393"/>
      <c r="HF17" s="6393"/>
      <c r="HG17" s="6393"/>
      <c r="HH17" s="5133"/>
      <c r="HI17" s="5133"/>
      <c r="HJ17" s="5133"/>
      <c r="HK17" s="5133"/>
      <c r="HL17" s="5133"/>
      <c r="HM17" s="6943"/>
      <c r="HN17" s="5133"/>
      <c r="HO17" s="5133"/>
      <c r="HP17" s="5133"/>
      <c r="HQ17" s="5133"/>
      <c r="HR17" s="5133"/>
      <c r="HS17" s="5133"/>
      <c r="HT17" s="5133"/>
      <c r="HU17" s="5133"/>
      <c r="HV17" s="5133"/>
      <c r="HW17" s="5133"/>
      <c r="HX17" s="5133"/>
      <c r="HY17" s="6119"/>
      <c r="HZ17" s="6119"/>
      <c r="IA17" s="6937"/>
      <c r="IB17" s="6393"/>
      <c r="IC17" s="6393"/>
      <c r="ID17" s="5133"/>
      <c r="IE17" s="6393"/>
      <c r="IF17" s="6393"/>
      <c r="IG17" s="6393"/>
      <c r="IH17" s="6393"/>
      <c r="II17" s="6393"/>
      <c r="IJ17" s="6393"/>
      <c r="IK17" s="6393"/>
      <c r="IL17" s="6393"/>
      <c r="IM17" s="6393"/>
      <c r="IN17" s="6393"/>
      <c r="IO17" s="6393"/>
      <c r="IP17" s="6393"/>
      <c r="IQ17" s="6393"/>
      <c r="IR17" s="6393"/>
      <c r="IS17" s="6393"/>
      <c r="IT17" s="5133"/>
      <c r="IU17" s="5133"/>
      <c r="IV17" s="5133"/>
      <c r="IW17" s="5133"/>
      <c r="IX17" s="6393"/>
      <c r="IY17" s="6393"/>
      <c r="IZ17" s="6393"/>
      <c r="JA17" s="6393"/>
      <c r="JB17" s="6393"/>
      <c r="JC17" s="6393"/>
      <c r="JD17" s="6393"/>
      <c r="JE17" s="6392"/>
      <c r="JF17" s="6393"/>
      <c r="JG17" s="6393"/>
      <c r="JH17" s="6393"/>
      <c r="JI17" s="6393"/>
      <c r="JJ17" s="6393"/>
      <c r="JK17" s="6393"/>
      <c r="JL17" s="6393"/>
      <c r="JM17" s="6393"/>
      <c r="JN17" s="6393"/>
      <c r="JO17" s="5133"/>
      <c r="JP17" s="5133"/>
      <c r="JQ17" s="5133"/>
      <c r="JR17" s="5133"/>
      <c r="JS17" s="5133"/>
      <c r="JT17" s="5133"/>
      <c r="JU17" s="5133"/>
      <c r="JV17" s="5133"/>
      <c r="JW17" s="5133"/>
      <c r="JX17" s="5133"/>
      <c r="JY17" s="5133"/>
      <c r="JZ17" s="5133"/>
      <c r="KA17" s="5133"/>
      <c r="KB17" s="5133"/>
      <c r="KC17" s="5133"/>
      <c r="KD17" s="6115"/>
      <c r="KE17" s="6115"/>
      <c r="KF17" s="5133"/>
      <c r="KG17" s="5133"/>
      <c r="KH17" s="8545"/>
      <c r="KI17" s="8545"/>
      <c r="KJ17" s="5133"/>
      <c r="KK17" s="5133"/>
      <c r="KL17" s="6789"/>
      <c r="KM17" s="5133"/>
      <c r="KN17" s="5133"/>
      <c r="KO17" s="5133"/>
      <c r="KP17" s="5133"/>
      <c r="KQ17" s="6393"/>
      <c r="KR17" s="6393"/>
      <c r="KS17" s="6393"/>
      <c r="KT17" s="6393"/>
      <c r="KU17" s="5133"/>
      <c r="KV17" s="5133"/>
      <c r="KW17" s="5133"/>
      <c r="KX17" s="6393"/>
      <c r="KY17" s="6393"/>
      <c r="KZ17" s="6393"/>
      <c r="LA17" s="6393"/>
      <c r="LB17" s="6393"/>
      <c r="LC17" s="6393"/>
      <c r="LD17" s="5132"/>
      <c r="LE17" s="5132"/>
      <c r="LF17" s="5132"/>
      <c r="LG17" s="5132"/>
      <c r="LH17" s="5132"/>
      <c r="LI17" s="5132"/>
      <c r="LJ17" s="5132"/>
    </row>
    <row r="18" spans="1:322" s="717" customFormat="1" ht="13.5" hidden="1" customHeight="1">
      <c r="A18" s="5132"/>
      <c r="B18" s="5132"/>
      <c r="C18" s="5132"/>
      <c r="D18" s="5132"/>
      <c r="E18" s="5132"/>
      <c r="F18" s="5132"/>
      <c r="G18" s="5132"/>
      <c r="H18" s="5132"/>
      <c r="I18" s="5133"/>
      <c r="J18" s="6390"/>
      <c r="K18" s="6390"/>
      <c r="L18" s="5133"/>
      <c r="M18" s="5133"/>
      <c r="N18" s="5133"/>
      <c r="O18" s="5133"/>
      <c r="P18" s="5133"/>
      <c r="Q18" s="5353"/>
      <c r="R18" s="5353"/>
      <c r="S18" s="5353"/>
      <c r="T18" s="5133"/>
      <c r="U18" s="5133"/>
      <c r="V18" s="5133"/>
      <c r="W18" s="5133"/>
      <c r="X18" s="5133"/>
      <c r="Y18" s="5133"/>
      <c r="Z18" s="5133"/>
      <c r="AA18" s="5133"/>
      <c r="AB18" s="5133"/>
      <c r="AC18" s="5133"/>
      <c r="AD18" s="5133"/>
      <c r="AE18" s="5133"/>
      <c r="AF18" s="5133"/>
      <c r="AG18" s="5133"/>
      <c r="AH18" s="5133"/>
      <c r="AI18" s="5133"/>
      <c r="AJ18" s="5133"/>
      <c r="AK18" s="5133"/>
      <c r="AL18" s="5133"/>
      <c r="AM18" s="5133"/>
      <c r="AN18" s="5133"/>
      <c r="AO18" s="5133"/>
      <c r="AP18" s="5133"/>
      <c r="AQ18" s="5133"/>
      <c r="AR18" s="5133"/>
      <c r="AS18" s="5133"/>
      <c r="AT18" s="5133"/>
      <c r="AU18" s="5947"/>
      <c r="AV18" s="7405"/>
      <c r="AW18" s="7405"/>
      <c r="AX18" s="7405"/>
      <c r="AY18" s="5133"/>
      <c r="AZ18" s="7405"/>
      <c r="BA18" s="7405"/>
      <c r="BB18" s="5133"/>
      <c r="BC18" s="5133"/>
      <c r="BD18" s="5133"/>
      <c r="BE18" s="5133"/>
      <c r="BF18" s="5133"/>
      <c r="BG18" s="5353"/>
      <c r="BH18" s="5133"/>
      <c r="BI18" s="5133"/>
      <c r="BJ18" s="5133"/>
      <c r="BK18" s="5133"/>
      <c r="BL18" s="5133"/>
      <c r="BM18" s="5133"/>
      <c r="BN18" s="5133"/>
      <c r="BO18" s="5133"/>
      <c r="BP18" s="5133"/>
      <c r="BQ18" s="5133"/>
      <c r="BR18" s="5133"/>
      <c r="BS18" s="5133"/>
      <c r="BT18" s="5353"/>
      <c r="BU18" s="5353"/>
      <c r="BV18" s="5353"/>
      <c r="BW18" s="5353"/>
      <c r="BX18" s="6915"/>
      <c r="BY18" s="10784"/>
      <c r="BZ18" s="8658"/>
      <c r="CA18" s="8658"/>
      <c r="CB18" s="10784"/>
      <c r="CC18" s="10784"/>
      <c r="CD18" s="10784"/>
      <c r="CE18" s="6921"/>
      <c r="CF18" s="5133"/>
      <c r="CG18" s="5133"/>
      <c r="CH18" s="5133"/>
      <c r="CI18" s="5133"/>
      <c r="CJ18" s="6914"/>
      <c r="CK18" s="10783"/>
      <c r="CL18" s="10783"/>
      <c r="CM18" s="10783"/>
      <c r="CN18" s="10783"/>
      <c r="CO18" s="6920"/>
      <c r="CP18" s="6065"/>
      <c r="CQ18" s="6065"/>
      <c r="CR18" s="6065"/>
      <c r="CS18" s="6065"/>
      <c r="CT18" s="5133"/>
      <c r="CU18" s="5353"/>
      <c r="CV18" s="5353"/>
      <c r="CW18" s="5353"/>
      <c r="CX18" s="6393"/>
      <c r="CY18" s="6393"/>
      <c r="CZ18" s="6393"/>
      <c r="DA18" s="6393"/>
      <c r="DB18" s="6393"/>
      <c r="DC18" s="6393"/>
      <c r="DD18" s="5353"/>
      <c r="DE18" s="5353"/>
      <c r="DF18" s="5353"/>
      <c r="DG18" s="5353"/>
      <c r="DH18" s="5353"/>
      <c r="DI18" s="5353"/>
      <c r="DJ18" s="6065"/>
      <c r="DK18" s="5353"/>
      <c r="DL18" s="5353"/>
      <c r="DM18" s="5353"/>
      <c r="DN18" s="5353"/>
      <c r="DO18" s="5353"/>
      <c r="DP18" s="5133"/>
      <c r="DQ18" s="5133"/>
      <c r="DR18" s="5133"/>
      <c r="DS18" s="5133"/>
      <c r="DT18" s="5133"/>
      <c r="DU18" s="5133"/>
      <c r="DV18" s="5133"/>
      <c r="DW18" s="5133"/>
      <c r="DX18" s="6932"/>
      <c r="DY18" s="6932"/>
      <c r="DZ18" s="6932"/>
      <c r="EA18" s="5355"/>
      <c r="EB18" s="5353"/>
      <c r="EC18" s="5353"/>
      <c r="ED18" s="5353"/>
      <c r="EE18" s="5353"/>
      <c r="EF18" s="5353"/>
      <c r="EG18" s="5353"/>
      <c r="EH18" s="5353"/>
      <c r="EI18" s="5353"/>
      <c r="EJ18" s="5353"/>
      <c r="EK18" s="5353"/>
      <c r="EL18" s="5353"/>
      <c r="EM18" s="5353"/>
      <c r="EN18" s="5353"/>
      <c r="EO18" s="5353"/>
      <c r="EP18" s="5353"/>
      <c r="EQ18" s="5353"/>
      <c r="ER18" s="5353"/>
      <c r="ES18" s="5353"/>
      <c r="ET18" s="5353"/>
      <c r="EU18" s="5353"/>
      <c r="EV18" s="5353"/>
      <c r="EW18" s="5353"/>
      <c r="EX18" s="5353"/>
      <c r="EY18" s="5353"/>
      <c r="EZ18" s="5353"/>
      <c r="FA18" s="5353"/>
      <c r="FB18" s="6936"/>
      <c r="FC18" s="6393"/>
      <c r="FD18" s="6393"/>
      <c r="FE18" s="6393"/>
      <c r="FF18" s="6393"/>
      <c r="FG18" s="6393"/>
      <c r="FH18" s="6393"/>
      <c r="FI18" s="6393"/>
      <c r="FJ18" s="6393"/>
      <c r="FK18" s="6393"/>
      <c r="FL18" s="6393"/>
      <c r="FM18" s="6393"/>
      <c r="FN18" s="6393"/>
      <c r="FO18" s="6393"/>
      <c r="FP18" s="6393"/>
      <c r="FQ18" s="6393"/>
      <c r="FR18" s="6393"/>
      <c r="FS18" s="6393"/>
      <c r="FT18" s="6393"/>
      <c r="FU18" s="6393"/>
      <c r="FV18" s="6393"/>
      <c r="FW18" s="6939"/>
      <c r="FX18" s="6393"/>
      <c r="FY18" s="6393"/>
      <c r="FZ18" s="6393"/>
      <c r="GA18" s="6393"/>
      <c r="GB18" s="6393"/>
      <c r="GC18" s="6393"/>
      <c r="GD18" s="6393"/>
      <c r="GE18" s="6393"/>
      <c r="GF18" s="6393"/>
      <c r="GG18" s="6393"/>
      <c r="GH18" s="6393"/>
      <c r="GI18" s="6393"/>
      <c r="GJ18" s="6393"/>
      <c r="GK18" s="6393"/>
      <c r="GL18" s="6393"/>
      <c r="GM18" s="5133"/>
      <c r="GN18" s="5133"/>
      <c r="GO18" s="5133"/>
      <c r="GP18" s="5949"/>
      <c r="GQ18" s="5949"/>
      <c r="GR18" s="5133"/>
      <c r="GS18" s="5133"/>
      <c r="GT18" s="5133"/>
      <c r="GU18" s="6393"/>
      <c r="GV18" s="6393"/>
      <c r="GW18" s="6393"/>
      <c r="GX18" s="6393"/>
      <c r="GY18" s="6393"/>
      <c r="GZ18" s="6937"/>
      <c r="HA18" s="6937"/>
      <c r="HB18" s="6393"/>
      <c r="HC18" s="6393"/>
      <c r="HD18" s="6393"/>
      <c r="HE18" s="5133"/>
      <c r="HF18" s="5133"/>
      <c r="HG18" s="6393"/>
      <c r="HH18" s="5133"/>
      <c r="HI18" s="5133"/>
      <c r="HJ18" s="5133"/>
      <c r="HK18" s="5133"/>
      <c r="HL18" s="5133"/>
      <c r="HM18" s="6943"/>
      <c r="HN18" s="5133"/>
      <c r="HO18" s="5133"/>
      <c r="HP18" s="5133"/>
      <c r="HQ18" s="5133"/>
      <c r="HR18" s="5133"/>
      <c r="HS18" s="5133"/>
      <c r="HT18" s="5133"/>
      <c r="HU18" s="5133"/>
      <c r="HV18" s="5133"/>
      <c r="HW18" s="5133"/>
      <c r="HX18" s="6119"/>
      <c r="HY18" s="6939"/>
      <c r="HZ18" s="6939"/>
      <c r="IA18" s="6942"/>
      <c r="IB18" s="6393"/>
      <c r="IC18" s="6393"/>
      <c r="ID18" s="5133"/>
      <c r="IE18" s="6393"/>
      <c r="IF18" s="6393"/>
      <c r="IG18" s="6393"/>
      <c r="IH18" s="6393"/>
      <c r="II18" s="6393"/>
      <c r="IJ18" s="6393"/>
      <c r="IK18" s="6393"/>
      <c r="IL18" s="5133"/>
      <c r="IM18" s="5133"/>
      <c r="IN18" s="5133"/>
      <c r="IO18" s="5133"/>
      <c r="IP18" s="5133"/>
      <c r="IQ18" s="5133"/>
      <c r="IR18" s="5133"/>
      <c r="IS18" s="5133"/>
      <c r="IT18" s="6393"/>
      <c r="IU18" s="5133"/>
      <c r="IV18" s="5133"/>
      <c r="IW18" s="5133"/>
      <c r="IX18" s="6393"/>
      <c r="IY18" s="6393"/>
      <c r="IZ18" s="6393"/>
      <c r="JA18" s="6393"/>
      <c r="JB18" s="6393"/>
      <c r="JC18" s="6393"/>
      <c r="JD18" s="6393"/>
      <c r="JE18" s="5133"/>
      <c r="JF18" s="6393"/>
      <c r="JG18" s="6393"/>
      <c r="JH18" s="6393"/>
      <c r="JI18" s="6393"/>
      <c r="JJ18" s="6393"/>
      <c r="JK18" s="6393"/>
      <c r="JL18" s="6393"/>
      <c r="JM18" s="6393"/>
      <c r="JN18" s="6393"/>
      <c r="JO18" s="5133"/>
      <c r="JP18" s="5133"/>
      <c r="JQ18" s="5133"/>
      <c r="JR18" s="5133"/>
      <c r="JS18" s="5133"/>
      <c r="JT18" s="5133"/>
      <c r="JU18" s="5133"/>
      <c r="JV18" s="5133"/>
      <c r="JW18" s="5133"/>
      <c r="JX18" s="5133"/>
      <c r="JY18" s="5133"/>
      <c r="JZ18" s="5133"/>
      <c r="KA18" s="5133"/>
      <c r="KB18" s="5133"/>
      <c r="KC18" s="5133"/>
      <c r="KD18" s="5133"/>
      <c r="KE18" s="5133"/>
      <c r="KF18" s="5133"/>
      <c r="KG18" s="5133"/>
      <c r="KH18" s="5133"/>
      <c r="KI18" s="5133"/>
      <c r="KJ18" s="5133"/>
      <c r="KK18" s="5133"/>
      <c r="KL18" s="5133"/>
      <c r="KM18" s="5133"/>
      <c r="KN18" s="5133"/>
      <c r="KO18" s="5133"/>
      <c r="KP18" s="5133"/>
      <c r="KQ18" s="6393"/>
      <c r="KR18" s="6393"/>
      <c r="KS18" s="6393"/>
      <c r="KT18" s="6393"/>
      <c r="KU18" s="5133"/>
      <c r="KV18" s="5133"/>
      <c r="KW18" s="5133"/>
      <c r="KX18" s="6393"/>
      <c r="KY18" s="6393"/>
      <c r="KZ18" s="6393"/>
      <c r="LA18" s="6393"/>
      <c r="LB18" s="6393"/>
      <c r="LC18" s="6393"/>
      <c r="LD18" s="5132"/>
      <c r="LE18" s="5132"/>
      <c r="LF18" s="5132"/>
      <c r="LG18" s="5132"/>
      <c r="LH18" s="5132"/>
      <c r="LI18" s="5132"/>
      <c r="LJ18" s="5132"/>
    </row>
    <row r="19" spans="1:322" s="438" customFormat="1" ht="13.5" hidden="1" customHeight="1">
      <c r="A19" s="5132"/>
      <c r="B19" s="5132"/>
      <c r="C19" s="5132"/>
      <c r="D19" s="5132"/>
      <c r="E19" s="5132"/>
      <c r="F19" s="5132"/>
      <c r="G19" s="5132"/>
      <c r="H19" s="5132"/>
      <c r="I19" s="5133"/>
      <c r="J19" s="6390"/>
      <c r="K19" s="6390"/>
      <c r="L19" s="5133"/>
      <c r="M19" s="5133"/>
      <c r="N19" s="5133"/>
      <c r="O19" s="5133"/>
      <c r="P19" s="5133"/>
      <c r="Q19" s="5353"/>
      <c r="R19" s="5353"/>
      <c r="S19" s="5353"/>
      <c r="T19" s="5133"/>
      <c r="U19" s="5133"/>
      <c r="V19" s="5133"/>
      <c r="W19" s="5133"/>
      <c r="X19" s="5133"/>
      <c r="Y19" s="5133"/>
      <c r="Z19" s="5133"/>
      <c r="AA19" s="5133"/>
      <c r="AB19" s="5133"/>
      <c r="AC19" s="5133"/>
      <c r="AD19" s="5133"/>
      <c r="AE19" s="5133"/>
      <c r="AF19" s="5133"/>
      <c r="AG19" s="5133"/>
      <c r="AH19" s="5133"/>
      <c r="AI19" s="5133"/>
      <c r="AJ19" s="5133"/>
      <c r="AK19" s="5133"/>
      <c r="AL19" s="5133"/>
      <c r="AM19" s="5133"/>
      <c r="AN19" s="5133"/>
      <c r="AO19" s="5133"/>
      <c r="AP19" s="5133"/>
      <c r="AQ19" s="5133"/>
      <c r="AR19" s="5133"/>
      <c r="AS19" s="5133"/>
      <c r="AT19" s="5133"/>
      <c r="AU19" s="5133"/>
      <c r="AV19" s="5133"/>
      <c r="AW19" s="5133"/>
      <c r="AX19" s="5133"/>
      <c r="AY19" s="5133"/>
      <c r="AZ19" s="5133"/>
      <c r="BA19" s="5133"/>
      <c r="BB19" s="5133"/>
      <c r="BC19" s="5133"/>
      <c r="BD19" s="5133"/>
      <c r="BE19" s="5133"/>
      <c r="BF19" s="5133"/>
      <c r="BG19" s="5353"/>
      <c r="BH19" s="5133"/>
      <c r="BI19" s="5133"/>
      <c r="BJ19" s="5133"/>
      <c r="BK19" s="5133"/>
      <c r="BL19" s="5133"/>
      <c r="BM19" s="5133"/>
      <c r="BN19" s="5133"/>
      <c r="BO19" s="5133"/>
      <c r="BP19" s="5133"/>
      <c r="BQ19" s="5133"/>
      <c r="BR19" s="5133"/>
      <c r="BS19" s="5133"/>
      <c r="BT19" s="5353"/>
      <c r="BU19" s="6916"/>
      <c r="BV19" s="5353"/>
      <c r="BW19" s="5353"/>
      <c r="BX19" s="6915" t="s">
        <v>1617</v>
      </c>
      <c r="BY19" s="6898" t="str">
        <f>+IF($BC19="","",IF(AND(ISERROR($AQ22),LEFT($BB19,7)=LEFT($BB18,7)),IF($BC18="","",IF(AND(ISERROR($AQ18),LEFT($BB18,7)=LEFT($BB17,7)),$AQ17,IF(AND($AQ18=0,LEFT($BB18,7)=LEFT($BB17,7)),$AQ17,$AQ18))),IF(AND($AQ22=0,LEFT($BB19,7)=LEFT($BB18,7)),IF($BC18="","",IF(AND(ISERROR($AQ18),LEFT($BB18,7)=LEFT($BB17,7)),IF($BC17="","",IF(AND(ISERROR($AQ17),LEFT($BB17,7)=LEFT($BB16,7)),AQ16,IF(AND($AQ17=0,LEFT($BB17,7)=LEFT($BB16,7)),$AQ16,$AQ17))),IF(AND($AQ18=0,LEFT($BB18,7)=LEFT($BB17,7)),IF($BC17="","",IF(AND(ISERROR($AQ17),LEFT($BB17,7)=LEFT($BB16,7)),IF($BC16="","",IF(AND(ISERROR($AQ16),LEFT($BB16,7)=LEFT($BB15,7)),$AQ15,IF(AND($AQ16=0,LEFT($BB16,7)=LEFT($BB15,7)),$AQ15,$AQ16))),IF(AND($AQ17=0,LEFT($BB17,7)=LEFT($BB16,7)),IF($BC16="","",IF(AND(ISERROR($AQ16),LEFT($BB16,7)=LEFT($BB15,7)),IF($BC15="","",IF(AND(ISERROR($AQ15),LEFT($BB15,7)=LEFT($BB14,7)),$AQ14,IF(AND($AQ15=0,LEFT($BB15,7)=LEFT($BB14,7)),$AQ14,$AQ15))),IF(AND($AQ16=0,LEFT($BB16,7)=LEFT($BB15,7)),IF($BC15="","",IF(AND(ISERROR($AQ15),LEFT($BB15,7)=LEFT($BB14,7)),IF($BC14="","",IF(AND(ISERROR($AQ14),LEFT($BB14,7)=LEFT($BB13,7)),$AQ13,IF(AND($AQ14=0,LEFT($BB14,7)=LEFT($BB13,7)),$AQ13,$AQ14))),IF(AND($AQ15=0,LEFT($BB15,7)=LEFT($BB14,7)),IF($BC14="","",IF(AND(ISERROR($AQ14),LEFT($BB14,7)=LEFT($BB13,7)),IF($BC13="","",IF(AND(ISERROR($AQ13),LEFT($BB13,7)=LEFT($BB12,7)),$AQ12,IF(AND($AQ13=0,LEFT($BB13,7)=LEFT($BB12,7)),$AQ12,$AQ13))),IF(AND($AQ14=0,LEFT($BB14,7)=LEFT($BB13,7)),IF($BC13="","",IF(AND(ISERROR($AQ13),LEFT($BB13,7)=LEFT($BB12,7)),$AQ12,IF(AND($AQ13=0,LEFT($BB13,7)=LEFT($BB12,7)),$AQ12,$AQ13))),$AQ14))),$AQ15))),$AQ16))),$AQ17))),$AQ18))),$AQ22)))</f>
        <v/>
      </c>
      <c r="BZ19" s="6898"/>
      <c r="CA19" s="6898"/>
      <c r="CB19" s="6898" t="str">
        <f>+IF($BC19="","",IF(AND(ISERROR($AT22),LEFT($BB19,7)=LEFT($BB18,7)),IF($BC18="","",IF(AND(ISERROR($AT18),LEFT($BB18,7)=LEFT($BB17,7)),$AT17,IF(AND($AT18=0,LEFT($BB18,7)=LEFT($BB17,7)),$AT17,$AT18))),IF(AND($AT22=0,LEFT($BB19,7)=LEFT($BB18,7)),IF($BC18="","",IF(AND(ISERROR($AT18),LEFT($BB18,7)=LEFT($BB17,7)),IF($BC17="","",IF(AND(ISERROR($AT17),LEFT($BB17,7)=LEFT($BB16,7)),AT16,IF(AND($AT17=0,LEFT($BB17,7)=LEFT($BB16,7)),$AT16,$AT17))),IF(AND($AT18=0,LEFT($BB18,7)=LEFT($BB17,7)),IF($BC17="","",IF(AND(ISERROR($AT17),LEFT($BB17,7)=LEFT($BB16,7)),IF($BC16="","",IF(AND(ISERROR($AT16),LEFT($BB16,7)=LEFT($BB15,7)),$AT15,IF(AND($AT16=0,LEFT($BB16,7)=LEFT($BB15,7)),$AT15,$AT16))),IF(AND($AT17=0,LEFT($BB17,7)=LEFT($BB16,7)),IF($BC16="","",IF(AND(ISERROR($AT16),LEFT($BB16,7)=LEFT($BB15,7)),IF($BC15="","",IF(AND(ISERROR($AT15),LEFT($BB15,7)=LEFT($BB14,7)),$AT14,IF(AND($AT15=0,LEFT($BB15,7)=LEFT($BB14,7)),$AT14,$AT15))),IF(AND($AT16=0,LEFT($BB16,7)=LEFT($BB15,7)),IF($BC15="","",IF(AND(ISERROR($AT15),LEFT($BB15,7)=LEFT($BB14,7)),IF($BC14="","",IF(AND(ISERROR($AT14),LEFT($BB14,7)=LEFT($BB13,7)),$AT13,IF(AND($AT14=0,LEFT($BB14,7)=LEFT($BB13,7)),$AT13,$AT14))),IF(AND($AT15=0,LEFT($BB15,7)=LEFT($BB14,7)),IF($BC14="","",IF(AND(ISERROR($AT14),LEFT($BB14,7)=LEFT($BB13,7)),IF($BC13="","",IF(AND(ISERROR($AT13),LEFT($BB13,7)=LEFT($BB12,7)),$AT12,IF(AND($AT13=0,LEFT($BB13,7)=LEFT($BB12,7)),$AT12,$AT13))),IF(AND($AT14=0,LEFT($BB14,7)=LEFT($BB13,7)),IF($BC13="","",IF(AND(ISERROR($AT13),LEFT($BB13,7)=LEFT($BB12,7)),$AT12,IF(AND($AT13=0,LEFT($BB13,7)=LEFT($BB12,7)),$AT12,$AT13))),$AT14))),$AT15))),$AT16))),$AT17))),$AT18))),$AT22)))</f>
        <v/>
      </c>
      <c r="CC19" s="6898" t="str">
        <f>+IF($BC19="","",IF(AND(ISERROR($AT22),LEFT($BB19,7)=LEFT($BB18,7)),IF($BC18="","",IF(AND(ISERROR($AT18),LEFT($BB18,7)=LEFT($BB17,7)),$AT17,IF(AND($AT18=0,LEFT($BB18,7)=LEFT($BB17,7)),$AT17,$AT18))),IF(AND($AT22=0,LEFT($BB19,7)=LEFT($BB18,7)),IF($BC18="","",IF(AND(ISERROR($AT18),LEFT($BB18,7)=LEFT($BB17,7)),IF($BC17="","",IF(AND(ISERROR($AT17),LEFT($BB17,7)=LEFT($BB16,7)),AT16,IF(AND($AT17=0,LEFT($BB17,7)=LEFT($BB16,7)),$AT16,$AT17))),IF(AND($AT18=0,LEFT($BB18,7)=LEFT($BB17,7)),IF($BC17="","",IF(AND(ISERROR($AT17),LEFT($BB17,7)=LEFT($BB16,7)),IF($BC16="","",IF(AND(ISERROR($AT16),LEFT($BB16,7)=LEFT($BB15,7)),$AT15,IF(AND($AT16=0,LEFT($BB16,7)=LEFT($BB15,7)),$AT15,$AT16))),IF(AND($AT17=0,LEFT($BB17,7)=LEFT($BB16,7)),IF($BC16="","",IF(AND(ISERROR($AT16),LEFT($BB16,7)=LEFT($BB15,7)),IF($BC15="","",IF(AND(ISERROR($AT15),LEFT($BB15,7)=LEFT($BB14,7)),$AT14,IF(AND($AT15=0,LEFT($BB15,7)=LEFT($BB14,7)),$AT14,$AT15))),IF(AND($AT16=0,LEFT($BB16,7)=LEFT($BB15,7)),IF($BC15="","",IF(AND(ISERROR($AT15),LEFT($BB15,7)=LEFT($BB14,7)),IF($BC14="","",IF(AND(ISERROR($AT14),LEFT($BB14,7)=LEFT($BB13,7)),$AT13,IF(AND($AT14=0,LEFT($BB14,7)=LEFT($BB13,7)),$AT13,$AT14))),IF(AND($AT15=0,LEFT($BB15,7)=LEFT($BB14,7)),IF($BC14="","",IF(AND(ISERROR($AT14),LEFT($BB14,7)=LEFT($BB13,7)),IF($BC13="","",IF(AND(ISERROR($AT13),LEFT($BB13,7)=LEFT($BB12,7)),$AT12,IF(AND($AT13=0,LEFT($BB13,7)=LEFT($BB12,7)),$AT12,$AT13))),IF(AND($AT14=0,LEFT($BB14,7)=LEFT($BB13,7)),IF($BC13="","",IF(AND(ISERROR($AT13),LEFT($BB13,7)=LEFT($BB12,7)),$AT12,IF(AND($AT13=0,LEFT($BB13,7)=LEFT($BB12,7)),$AT12,$AT13))),$AT14))),$AT15))),$AT16))),$AT17))),$AT18))),$AT22)))</f>
        <v/>
      </c>
      <c r="CD19" s="6898" t="str">
        <f>+IF($BC19="","",IF(AND(ISERROR($AR22),LEFT($BB19,7)=LEFT($BB18,7)),IF($BC18="","",IF(AND(ISERROR($AR18),LEFT($BB18,7)=LEFT($BB17,7)),AR17,IF(AND($AR18=0,LEFT($BB18,7)=LEFT($BB17,7)),$AR17,$AR18))),IF(AND($AR22=0,LEFT($BB19,7)=LEFT($BB18,7)),IF($BC18="","",IF(AND(ISERROR($AR18),LEFT($BB18,7)=LEFT($BB17,7)),IF($BC17="","",IF(AND(ISERROR($AR17),LEFT($BB17,7)=LEFT($BB16,7)),$AR16,IF(AND($AR17=0,LEFT($BB17,7)=LEFT($BB16,7)),$AR16,$AR17))),IF(AND($AR18=0,LEFT($BB18,7)=LEFT($BB17,7)),IF($BC17="","",IF(AND(ISERROR($AR17),LEFT($BB17,7)=LEFT($BB16,7)),IF($BC16="","",IF(AND(ISERROR($AR16),LEFT($BB16,7)=LEFT($BB15,7)),$AR15,IF(AND($AR16=0,LEFT($BB16,7)=LEFT($BB15,7)),$AR15,$AR16))),IF(AND($AR17=0,LEFT($BB17,7)=LEFT($BB16,7)),IF($BC16="","",IF(AND(ISERROR($AR16),LEFT($BB16,7)=LEFT($BB15,7)),IF($BC15="","",IF(AND(ISERROR($AR15),LEFT($BB15,7)=LEFT($BB14,7)),$AR14,IF(AND($AR15=0,LEFT($BB15,7)=LEFT($BB14,7)),$AR14,$AR15))),IF(AND($AR16=0,LEFT($BB16,7)=LEFT($BB15,7)),IF($BC15="","",IF(AND(ISERROR($AR15),LEFT($BB15,7)=LEFT($BB14,7)),IF($BC14="","",IF(AND(ISERROR($AR14),LEFT($BB14,7)=LEFT($BB13,7)),$AR13,IF(AND($AR14=0,LEFT($BB14,7)=LEFT($BB13,7)),$AR13,$AR14))),IF(AND($AR15=0,LEFT($BB15,7)=LEFT($BB14,7)),IF($BC14="","",IF(AND(ISERROR($AR14),LEFT($BB14,7)=LEFT($BB13,7)),IF($BC13="","",IF(AND(ISERROR($AR13),LEFT($BB13,7)=LEFT($BB12,7)),$AR12,IF(AND($AR13=0,LEFT($BB13,7)=LEFT($BB12,7)),$AR12,$AR13))),IF(AND($AR14=0,LEFT($BB14,7)=LEFT($BB13,7)),IF($BC13="","",IF(AND(ISERROR($AR13),LEFT($BB13,7)=LEFT($BB12,7)),$AR12,IF(AND($AR13=0,LEFT($BB13,7)=LEFT($BB12,7)),$AR12,$AR13))),$AR14))),$AR15))),$AR16))),$AR17))),$AR18))),$AR22)))</f>
        <v/>
      </c>
      <c r="CE19" s="6921"/>
      <c r="CF19" s="5133"/>
      <c r="CG19" s="6464"/>
      <c r="CH19" s="6464"/>
      <c r="CI19" s="5375"/>
      <c r="CJ19" s="6915" t="s">
        <v>1617</v>
      </c>
      <c r="CK19" s="1351" t="str">
        <f>+IF($BC19="","",IF(AND(ISERROR($AW19),LEFT($BB19,7)=LEFT($BB18,7)),IF($BC18="","",IF(AND(ISERROR($AW18),LEFT($BB18,7)=LEFT($BB17,7)),$AW17,IF(AND($AW18=0,LEFT($BB18,7)=LEFT($BB17,7)),$AW17,$AW18))),IF(AND($AW19=0,LEFT($BB19,7)=LEFT($BB18,7)),IF($BC18="","",IF(AND(ISERROR($AW18),LEFT($BB18,7)=LEFT($BB17,7)),IF($BC17="","",IF(AND(ISERROR($AW17),LEFT($BB17,7)=LEFT($BB16,7)),AW16,IF(AND($AW17=0,LEFT($BB17,7)=LEFT($BB16,7)),$AW16,$AW17))),IF(AND($AW18=0,LEFT($BB18,7)=LEFT($BB17,7)),IF($BC17="","",IF(AND(ISERROR($AW17),LEFT($BB17,7)=LEFT($BB16,7)),IF($BC16="","",IF(AND(ISERROR($AW16),LEFT($BB16,7)=LEFT($BB15,7)),$AW15,IF(AND($AW16=0,LEFT($BB16,7)=LEFT($BB15,7)),$AW15,$AW16))),IF(AND($AW17=0,LEFT($BB17,7)=LEFT($BB16,7)),IF($BC16="","",IF(AND(ISERROR($AW16),LEFT($BB16,7)=LEFT($BB15,7)),IF($BC15="","",IF(AND(ISERROR($AW15),LEFT($BB15,7)=LEFT($BB14,7)),$AW14,IF(AND($AW15=0,LEFT($BB15,7)=LEFT($BB14,7)),$AW14,$AW15))),IF(AND($AW16=0,LEFT($BB16,7)=LEFT($BB15,7)),IF($BC15="","",IF(AND(ISERROR($AW15),LEFT($BB15,7)=LEFT($BB14,7)),IF($BC14="","",IF(AND(ISERROR($AW14),LEFT($BB14,7)=LEFT($BB13,7)),$AW13,IF(AND($AW14=0,LEFT($BB14,7)=LEFT($BB13,7)),$AW13,$AW14))),IF(AND($AW15=0,LEFT($BB15,7)=LEFT($BB14,7)),IF($BC14="","",IF(AND(ISERROR($AW14),LEFT($BB14,7)=LEFT($BB13,7)),IF($BC13="","",IF(AND(ISERROR($AW13),LEFT($BB13,7)=LEFT($BB12,7)),$AW12,IF(AND($AW13=0,LEFT($BB13,7)=LEFT($BB12,7)),$AW12,$AW13))),IF(AND($AW14=0,LEFT($BB14,7)=LEFT($BB13,7)),IF($BC13="","",IF(AND(ISERROR($AW13),LEFT($BB13,7)=LEFT($BB12,7)),$AW12,IF(AND($AW13=0,LEFT($BB13,7)=LEFT($BB12,7)),$AW12,$AW13))),$AW14))),$AW15))),$AW16))),$AW17))),$AW18))),$AW19)))</f>
        <v/>
      </c>
      <c r="CL19" s="1351" t="str">
        <f>+IF($BC19="","",IF(AND(ISERROR($AZ19),LEFT($BB19,7)=LEFT($BB18,7)),IF($BC18="","",IF(AND(ISERROR($AZ18),LEFT($BB18,7)=LEFT($BB17,7)),$AZ17,IF(AND($AZ18=0,LEFT($BB18,7)=LEFT($BB17,7)),$AZ17,$AZ18))),IF(AND($AZ19=0,LEFT($BB19,7)=LEFT($BB18,7)),IF($BC18="","",IF(AND(ISERROR($AZ18),LEFT($BB18,7)=LEFT($BB17,7)),IF($BC17="","",IF(AND(ISERROR($AZ17),LEFT($BB17,7)=LEFT($BB16,7)),AZ16,IF(AND($AZ17=0,LEFT($BB17,7)=LEFT($BB16,7)),$AZ16,$AZ17))),IF(AND($AZ18=0,LEFT($BB18,7)=LEFT($BB17,7)),IF($BC17="","",IF(AND(ISERROR($AZ17),LEFT($BB17,7)=LEFT($BB16,7)),IF($BC16="","",IF(AND(ISERROR($AZ16),LEFT($BB16,7)=LEFT($BB15,7)),$AZ15,IF(AND($AZ16=0,LEFT($BB16,7)=LEFT($BB15,7)),$AZ15,$AZ16))),IF(AND($AZ17=0,LEFT($BB17,7)=LEFT($BB16,7)),IF($BC16="","",IF(AND(ISERROR($AZ16),LEFT($BB16,7)=LEFT($BB15,7)),IF($BC15="","",IF(AND(ISERROR($AZ15),LEFT($BB15,7)=LEFT($BB14,7)),$AZ14,IF(AND($AZ15=0,LEFT($BB15,7)=LEFT($BB14,7)),$AZ14,$AZ15))),IF(AND($AZ16=0,LEFT($BB16,7)=LEFT($BB15,7)),IF($BC15="","",IF(AND(ISERROR($AZ15),LEFT($BB15,7)=LEFT($BB14,7)),IF($BC14="","",IF(AND(ISERROR($AZ14),LEFT($BB14,7)=LEFT($BB13,7)),$AZ13,IF(AND($AZ14=0,LEFT($BB14,7)=LEFT($BB13,7)),$AZ13,$AZ14))),IF(AND($AZ15=0,LEFT($BB15,7)=LEFT($BB14,7)),IF($BC14="","",IF(AND(ISERROR($AZ14),LEFT($BB14,7)=LEFT($BB13,7)),IF($BC13="","",IF(AND(ISERROR($AZ13),LEFT($BB13,7)=LEFT($BB12,7)),$AZ12,IF(AND($AZ13=0,LEFT($BB13,7)=LEFT($BB12,7)),$AZ12,$AZ13))),IF(AND($AZ14=0,LEFT($BB14,7)=LEFT($BB13,7)),IF($BC13="","",IF(AND(ISERROR($AZ13),LEFT($BB13,7)=LEFT($BB12,7)),$AZ12,IF(AND($AZ13=0,LEFT($BB13,7)=LEFT($BB12,7)),$AZ12,$AZ13))),$AZ14))),$AZ15))),$AZ16))),$AZ17))),$AZ18))),$AZ19)))</f>
        <v/>
      </c>
      <c r="CM19" s="1351" t="str">
        <f>+IF($BC19="","",IF(AND(ISERROR($AZ19),LEFT($BB19,7)=LEFT($BB18,7)),IF($BC18="","",IF(AND(ISERROR($AZ18),LEFT($BB18,7)=LEFT($BB17,7)),$AZ17,IF(AND($AZ18=0,LEFT($BB18,7)=LEFT($BB17,7)),$AZ17,$AZ18))),IF(AND($AZ19=0,LEFT($BB19,7)=LEFT($BB18,7)),IF($BC18="","",IF(AND(ISERROR($AZ18),LEFT($BB18,7)=LEFT($BB17,7)),IF($BC17="","",IF(AND(ISERROR($AZ17),LEFT($BB17,7)=LEFT($BB16,7)),AZ16,IF(AND($AZ17=0,LEFT($BB17,7)=LEFT($BB16,7)),$AZ16,$AZ17))),IF(AND($AZ18=0,LEFT($BB18,7)=LEFT($BB17,7)),IF($BC17="","",IF(AND(ISERROR($AZ17),LEFT($BB17,7)=LEFT($BB16,7)),IF($BC16="","",IF(AND(ISERROR($AZ16),LEFT($BB16,7)=LEFT($BB15,7)),$AZ15,IF(AND($AZ16=0,LEFT($BB16,7)=LEFT($BB15,7)),$AZ15,$AZ16))),IF(AND($AZ17=0,LEFT($BB17,7)=LEFT($BB16,7)),IF($BC16="","",IF(AND(ISERROR($AZ16),LEFT($BB16,7)=LEFT($BB15,7)),IF($BC15="","",IF(AND(ISERROR($AZ15),LEFT($BB15,7)=LEFT($BB14,7)),$AZ14,IF(AND($AZ15=0,LEFT($BB15,7)=LEFT($BB14,7)),$AZ14,$AZ15))),IF(AND($AZ16=0,LEFT($BB16,7)=LEFT($BB15,7)),IF($BC15="","",IF(AND(ISERROR($AZ15),LEFT($BB15,7)=LEFT($BB14,7)),IF($BC14="","",IF(AND(ISERROR($AZ14),LEFT($BB14,7)=LEFT($BB13,7)),$AZ13,IF(AND($AZ14=0,LEFT($BB14,7)=LEFT($BB13,7)),$AZ13,$AZ14))),IF(AND($AZ15=0,LEFT($BB15,7)=LEFT($BB14,7)),IF($BC14="","",IF(AND(ISERROR($AZ14),LEFT($BB14,7)=LEFT($BB13,7)),IF($BC13="","",IF(AND(ISERROR($AZ13),LEFT($BB13,7)=LEFT($BB12,7)),$AZ12,IF(AND($AZ13=0,LEFT($BB13,7)=LEFT($BB12,7)),$AZ12,$AZ13))),IF(AND($AZ14=0,LEFT($BB14,7)=LEFT($BB13,7)),IF($BC13="","",IF(AND(ISERROR($AZ13),LEFT($BB13,7)=LEFT($BB12,7)),$AZ12,IF(AND($AZ13=0,LEFT($BB13,7)=LEFT($BB12,7)),$AZ12,$AZ13))),$AZ14))),$AZ15))),$AZ16))),$AZ17))),$AZ18))),$AZ19)))</f>
        <v/>
      </c>
      <c r="CN19" s="1351" t="str">
        <f>+IF($BC19="","",IF(AND(ISERROR($AX19),LEFT($BB19,7)=LEFT($BB18,7)),IF($BC18="","",IF(AND(ISERROR($AX18),LEFT($BB18,7)=LEFT($BB17,7)),AX17,IF(AND($AX18=0,LEFT($BB18,7)=LEFT($BB17,7)),$AX17,$AX18))),IF(AND($AX19=0,LEFT($BB19,7)=LEFT($BB18,7)),IF($BC18="","",IF(AND(ISERROR($AX18),LEFT($BB18,7)=LEFT($BB17,7)),IF($BC17="","",IF(AND(ISERROR($AX17),LEFT($BB17,7)=LEFT($BB16,7)),$AX16,IF(AND($AX17=0,LEFT($BB17,7)=LEFT($BB16,7)),$AX16,$AX17))),IF(AND($AX18=0,LEFT($BB18,7)=LEFT($BB17,7)),IF($BC17="","",IF(AND(ISERROR($AX17),LEFT($BB17,7)=LEFT($BB16,7)),IF($BC16="","",IF(AND(ISERROR($AX16),LEFT($BB16,7)=LEFT($BB15,7)),$AX15,IF(AND($AX16=0,LEFT($BB16,7)=LEFT($BB15,7)),$AX15,$AX16))),IF(AND($AX17=0,LEFT($BB17,7)=LEFT($BB16,7)),IF($BC16="","",IF(AND(ISERROR($AX16),LEFT($BB16,7)=LEFT($BB15,7)),IF($BC15="","",IF(AND(ISERROR($AX15),LEFT($BB15,7)=LEFT($BB14,7)),$AX14,IF(AND($AX15=0,LEFT($BB15,7)=LEFT($BB14,7)),$AX14,$AX15))),IF(AND($AX16=0,LEFT($BB16,7)=LEFT($BB15,7)),IF($BC15="","",IF(AND(ISERROR($AX15),LEFT($BB15,7)=LEFT($BB14,7)),IF($BC14="","",IF(AND(ISERROR($AX14),LEFT($BB14,7)=LEFT($BB13,7)),$AX13,IF(AND($AX14=0,LEFT($BB14,7)=LEFT($BB13,7)),$AX13,$AX14))),IF(AND($AX15=0,LEFT($BB15,7)=LEFT($BB14,7)),IF($BC14="","",IF(AND(ISERROR($AX14),LEFT($BB14,7)=LEFT($BB13,7)),IF($BC13="","",IF(AND(ISERROR($AX13),LEFT($BB13,7)=LEFT($BB12,7)),$AX12,IF(AND($AX13=0,LEFT($BB13,7)=LEFT($BB12,7)),$AX12,$AX13))),IF(AND($AX14=0,LEFT($BB14,7)=LEFT($BB13,7)),IF($BC13="","",IF(AND(ISERROR($AX13),LEFT($BB13,7)=LEFT($BB12,7)),$AX12,IF(AND($AX13=0,LEFT($BB13,7)=LEFT($BB12,7)),$AX12,$AX13))),$AX14))),$AX15))),$AX16))),$AX17))),$AX18))),$AX19)))</f>
        <v/>
      </c>
      <c r="CO19" s="6921"/>
      <c r="CP19" s="6065"/>
      <c r="CQ19" s="6065"/>
      <c r="CR19" s="6065"/>
      <c r="CS19" s="6065"/>
      <c r="CT19" s="5353"/>
      <c r="CU19" s="5353"/>
      <c r="CV19" s="5353"/>
      <c r="CW19" s="6119"/>
      <c r="CX19" s="6119"/>
      <c r="CY19" s="6393"/>
      <c r="CZ19" s="6393"/>
      <c r="DA19" s="6393"/>
      <c r="DB19" s="6393"/>
      <c r="DC19" s="5353"/>
      <c r="DD19" s="5353"/>
      <c r="DE19" s="5353"/>
      <c r="DF19" s="5353"/>
      <c r="DG19" s="5353"/>
      <c r="DH19" s="5353"/>
      <c r="DI19" s="5353"/>
      <c r="DJ19" s="6065"/>
      <c r="DK19" s="5353"/>
      <c r="DL19" s="5133"/>
      <c r="DM19" s="5133"/>
      <c r="DN19" s="5133"/>
      <c r="DO19" s="5353"/>
      <c r="DP19" s="5133"/>
      <c r="DQ19" s="5133"/>
      <c r="DR19" s="5133"/>
      <c r="DS19" s="5133"/>
      <c r="DT19" s="5133"/>
      <c r="DU19" s="5133"/>
      <c r="DV19" s="5133"/>
      <c r="DW19" s="5133"/>
      <c r="DX19" s="5133"/>
      <c r="DY19" s="5133"/>
      <c r="DZ19" s="5133"/>
      <c r="EA19" s="5133"/>
      <c r="EB19" s="5353"/>
      <c r="EC19" s="5353"/>
      <c r="ED19" s="5353"/>
      <c r="EE19" s="5353"/>
      <c r="EF19" s="5353"/>
      <c r="EG19" s="5353"/>
      <c r="EH19" s="5133"/>
      <c r="EI19" s="5133"/>
      <c r="EJ19" s="5133"/>
      <c r="EK19" s="5133"/>
      <c r="EL19" s="5133"/>
      <c r="EM19" s="5133"/>
      <c r="EN19" s="5133"/>
      <c r="EO19" s="5133"/>
      <c r="EP19" s="5133"/>
      <c r="EQ19" s="5133"/>
      <c r="ER19" s="5133"/>
      <c r="ES19" s="5133"/>
      <c r="ET19" s="5133"/>
      <c r="EU19" s="5133"/>
      <c r="EV19" s="5133"/>
      <c r="EW19" s="5133"/>
      <c r="EX19" s="5133"/>
      <c r="EY19" s="5133"/>
      <c r="EZ19" s="5133"/>
      <c r="FA19" s="5133"/>
      <c r="FB19" s="6934"/>
      <c r="FC19" s="5353"/>
      <c r="FD19" s="6393"/>
      <c r="FE19" s="6393"/>
      <c r="FF19" s="6393"/>
      <c r="FG19" s="6393"/>
      <c r="FH19" s="6393"/>
      <c r="FI19" s="6393"/>
      <c r="FJ19" s="6393"/>
      <c r="FK19" s="6393"/>
      <c r="FL19" s="6393"/>
      <c r="FM19" s="6393"/>
      <c r="FN19" s="6393"/>
      <c r="FO19" s="6393"/>
      <c r="FP19" s="6393"/>
      <c r="FQ19" s="6393"/>
      <c r="FR19" s="6393"/>
      <c r="FS19" s="6937"/>
      <c r="FT19" s="6393"/>
      <c r="FU19" s="6393"/>
      <c r="FV19" s="5133"/>
      <c r="FW19" s="5133"/>
      <c r="FX19" s="5133"/>
      <c r="FY19" s="5133"/>
      <c r="FZ19" s="5133"/>
      <c r="GA19" s="6393"/>
      <c r="GB19" s="6393"/>
      <c r="GC19" s="6393"/>
      <c r="GD19" s="6393"/>
      <c r="GE19" s="6393"/>
      <c r="GF19" s="5133"/>
      <c r="GG19" s="6393"/>
      <c r="GH19" s="6393"/>
      <c r="GI19" s="6393"/>
      <c r="GJ19" s="6393"/>
      <c r="GK19" s="6393"/>
      <c r="GL19" s="6393"/>
      <c r="GM19" s="5133"/>
      <c r="GN19" s="5133"/>
      <c r="GO19" s="5133"/>
      <c r="GP19" s="5949"/>
      <c r="GQ19" s="5949"/>
      <c r="GR19" s="5133"/>
      <c r="GS19" s="5133"/>
      <c r="GT19" s="5133"/>
      <c r="GU19" s="6393"/>
      <c r="GV19" s="6393"/>
      <c r="GW19" s="6393"/>
      <c r="GX19" s="6393"/>
      <c r="GY19" s="6393"/>
      <c r="GZ19" s="6393"/>
      <c r="HA19" s="6393"/>
      <c r="HB19" s="6393"/>
      <c r="HC19" s="646" t="s">
        <v>1589</v>
      </c>
      <c r="HD19" s="6393"/>
      <c r="HE19" s="5133"/>
      <c r="HF19" s="646" t="s">
        <v>1589</v>
      </c>
      <c r="HG19" s="6393"/>
      <c r="HH19" s="5133"/>
      <c r="HI19" s="5133"/>
      <c r="HJ19" s="5133"/>
      <c r="HK19" s="5133"/>
      <c r="HL19" s="5133"/>
      <c r="HM19" s="6943"/>
      <c r="HN19" s="5133"/>
      <c r="HO19" s="5133"/>
      <c r="HP19" s="5133"/>
      <c r="HQ19" s="5133"/>
      <c r="HR19" s="5133"/>
      <c r="HS19" s="5133"/>
      <c r="HT19" s="5133"/>
      <c r="HU19" s="5133"/>
      <c r="HV19" s="5133"/>
      <c r="HW19" s="5133"/>
      <c r="HX19" s="6119"/>
      <c r="HY19" s="6939"/>
      <c r="HZ19" s="6939"/>
      <c r="IA19" s="6393"/>
      <c r="IB19" s="6937"/>
      <c r="IC19" s="6393"/>
      <c r="ID19" s="5133"/>
      <c r="IE19" s="6393"/>
      <c r="IF19" s="6393"/>
      <c r="IG19" s="6937"/>
      <c r="IH19" s="6393"/>
      <c r="II19" s="6393"/>
      <c r="IJ19" s="6393"/>
      <c r="IK19" s="6393"/>
      <c r="IL19" s="5133"/>
      <c r="IM19" s="5133"/>
      <c r="IN19" s="5133"/>
      <c r="IO19" s="5133"/>
      <c r="IP19" s="5133"/>
      <c r="IQ19" s="5133"/>
      <c r="IR19" s="5133"/>
      <c r="IS19" s="5133"/>
      <c r="IT19" s="5133"/>
      <c r="IU19" s="5133"/>
      <c r="IV19" s="5133"/>
      <c r="IW19" s="5133"/>
      <c r="IX19" s="6393"/>
      <c r="IY19" s="5133"/>
      <c r="IZ19" s="6393"/>
      <c r="JA19" s="6393"/>
      <c r="JB19" s="5133"/>
      <c r="JC19" s="5133"/>
      <c r="JD19" s="6393"/>
      <c r="JE19" s="5133"/>
      <c r="JF19" s="6393"/>
      <c r="JG19" s="6393"/>
      <c r="JH19" s="6393"/>
      <c r="JI19" s="6393"/>
      <c r="JJ19" s="6985"/>
      <c r="JK19" s="6393"/>
      <c r="JL19" s="6393"/>
      <c r="JM19" s="5133"/>
      <c r="JN19" s="6393"/>
      <c r="JO19" s="5133"/>
      <c r="JP19" s="5133"/>
      <c r="JQ19" s="5133"/>
      <c r="JR19" s="5133"/>
      <c r="JS19" s="5133"/>
      <c r="JT19" s="5133"/>
      <c r="JU19" s="5133"/>
      <c r="JV19" s="5133"/>
      <c r="JW19" s="5133"/>
      <c r="JX19" s="5133"/>
      <c r="JY19" s="5133"/>
      <c r="JZ19" s="5133"/>
      <c r="KA19" s="5133"/>
      <c r="KB19" s="5133"/>
      <c r="KC19" s="5133"/>
      <c r="KD19" s="6115"/>
      <c r="KE19" s="6115"/>
      <c r="KF19" s="5133"/>
      <c r="KG19" s="5133"/>
      <c r="KH19" s="8546"/>
      <c r="KI19" s="8546"/>
      <c r="KJ19" s="5133"/>
      <c r="KK19" s="5133"/>
      <c r="KL19" s="5133"/>
      <c r="KM19" s="5133"/>
      <c r="KN19" s="5133"/>
      <c r="KO19" s="5133"/>
      <c r="KP19" s="5133"/>
      <c r="KQ19" s="6393"/>
      <c r="KR19" s="6393"/>
      <c r="KS19" s="6393"/>
      <c r="KT19" s="6393"/>
      <c r="KU19" s="5133"/>
      <c r="KV19" s="5133"/>
      <c r="KW19" s="5133"/>
      <c r="KX19" s="6393"/>
      <c r="KY19" s="6393"/>
      <c r="KZ19" s="6393"/>
      <c r="LA19" s="6393"/>
      <c r="LB19" s="6393"/>
      <c r="LC19" s="6393"/>
      <c r="LD19" s="5132"/>
      <c r="LE19" s="5132"/>
      <c r="LF19" s="5132"/>
      <c r="LG19" s="5132"/>
      <c r="LH19" s="5132"/>
      <c r="LI19" s="5132"/>
      <c r="LJ19" s="5132"/>
    </row>
    <row r="20" spans="1:322" s="13" customFormat="1" hidden="1">
      <c r="A20" s="5132"/>
      <c r="B20" s="5132"/>
      <c r="C20" s="5132"/>
      <c r="D20" s="5132"/>
      <c r="E20" s="5132"/>
      <c r="F20" s="5132"/>
      <c r="G20" s="5132"/>
      <c r="H20" s="5132"/>
      <c r="I20" s="5133"/>
      <c r="J20" s="5133"/>
      <c r="K20" s="5133"/>
      <c r="L20" s="5133"/>
      <c r="M20" s="5133"/>
      <c r="N20" s="5133"/>
      <c r="O20" s="5133"/>
      <c r="P20" s="5133"/>
      <c r="Q20" s="5133"/>
      <c r="R20" s="5133"/>
      <c r="S20" s="5133"/>
      <c r="T20" s="5133"/>
      <c r="U20" s="5133"/>
      <c r="V20" s="5133"/>
      <c r="W20" s="5133"/>
      <c r="X20" s="5133"/>
      <c r="Y20" s="5133"/>
      <c r="Z20" s="5133"/>
      <c r="AA20" s="5133"/>
      <c r="AB20" s="5133"/>
      <c r="AC20" s="5133"/>
      <c r="AD20" s="5133"/>
      <c r="AE20" s="5133"/>
      <c r="AF20" s="5133"/>
      <c r="AG20" s="5133"/>
      <c r="AH20" s="5133"/>
      <c r="AI20" s="5133"/>
      <c r="AJ20" s="5133"/>
      <c r="AK20" s="5133"/>
      <c r="AL20" s="5133"/>
      <c r="AM20" s="5133"/>
      <c r="AN20" s="5133"/>
      <c r="AO20" s="5133"/>
      <c r="AP20" s="5133"/>
      <c r="AQ20" s="5133"/>
      <c r="AR20" s="5133"/>
      <c r="AS20" s="5133"/>
      <c r="AT20" s="5133"/>
      <c r="AU20" s="5133"/>
      <c r="AV20" s="5133"/>
      <c r="AW20" s="5133"/>
      <c r="AX20" s="5133"/>
      <c r="AY20" s="5133"/>
      <c r="AZ20" s="5133"/>
      <c r="BA20" s="5133"/>
      <c r="BB20" s="5133"/>
      <c r="BC20" s="5133"/>
      <c r="BD20" s="5133"/>
      <c r="BE20" s="5133"/>
      <c r="BF20" s="5133"/>
      <c r="BG20" s="5133"/>
      <c r="BH20" s="5133"/>
      <c r="BI20" s="5133"/>
      <c r="BJ20" s="5133"/>
      <c r="BK20" s="5133"/>
      <c r="BL20" s="5133"/>
      <c r="BM20" s="5133"/>
      <c r="BN20" s="5133"/>
      <c r="BO20" s="5133"/>
      <c r="BP20" s="5133"/>
      <c r="BQ20" s="5133"/>
      <c r="BR20" s="5133"/>
      <c r="BS20" s="5133"/>
      <c r="BT20" s="5133"/>
      <c r="BU20" s="5133"/>
      <c r="BV20" s="5133"/>
      <c r="BW20" s="5133"/>
      <c r="BX20" s="6915" t="s">
        <v>1618</v>
      </c>
      <c r="BY20" s="6898" t="str">
        <f>+IF($BC20="","",IF(AND(ISERROR($AQ20),LEFT($BB20,7)=LEFT($BB19,7)),IF($BC19="","",IF(AND(ISERROR($AQ22),LEFT($BB19,7)=LEFT($BB18,7)),$AQ18,IF(AND($AQ22=0,LEFT($BB19,7)=LEFT($BB18,7)),$AQ18,$AQ22))),IF(AND($AQ20=0,LEFT($BB20,7)=LEFT($BB19,7)),IF($BC19="","",IF(AND(ISERROR($AQ22),LEFT($BB19,7)=LEFT($BB18,7)),IF($BC18="","",IF(AND(ISERROR($AQ18),LEFT($BB18,7)=LEFT($BB17,7)),$AQ17,IF(AND($AQ18=0,LEFT($BB18,7)=LEFT($BB17,7)),$AQ17,$AQ18))),IF(AND($AQ22=0,LEFT($BB19,7)=LEFT($BB18,7)),IF($BC18="","",IF(AND(ISERROR($AQ18),LEFT($BB18,7)=LEFT($BB17,7)),IF($BC17="","",IF(AND(ISERROR($AQ17),LEFT($BB17,7)=LEFT($BB16,7)),$AQ16,IF(AND($AQ17=0,LEFT($BB17,7)=LEFT($BB16,7)),$AQ16,$AQ17))),IF(AND($AQ18=0,LEFT($BB18,7)=LEFT($BB17,7)),IF($BC17="","",IF(AND(ISERROR($AQ17),LEFT($BB17,7)=LEFT($BB16,7)),IF($BC16="","",IF(AND(ISERROR($AQ16),LEFT($BB16,7)=LEFT($BB15,7)),$AQ15,IF(AND($AQ16=0,LEFT($BB16,7)=LEFT($BB15,7)),$AQ15,$AQ16))),IF(AND($AQ17=0,LEFT($BB17,7)=LEFT($BB16,7)),IF($BC16="","",IF(AND(ISERROR($AQ16),LEFT($BB16,7)=LEFT($BB15,7)),IF($BC15="","",IF(AND(ISERROR($AQ15),LEFT($BB15,7)=LEFT($BB14,7)),$AQ14,IF(AND($AQ15=0,LEFT($BB15,7)=LEFT($BB14,7)),$AQ14,$AQ15))),IF(AND($AQ16=0,LEFT($BB16,7)=LEFT($BB15,7)),IF($BC15="","",IF(AND(ISERROR($AQ15),LEFT($BB15,7)=LEFT($BB14,7)),IF($BC14="","",IF(AND(ISERROR($AQ14),LEFT($BB14,7)=LEFT($BB13,7)),$AQ13,IF(AND($AQ14=0,LEFT($BB14,7)=LEFT($BB13,7)),$AQ13,$AQ14))),IF(AND($AQ15=0,LEFT($BB15,7)=LEFT($BB14,7)),IF($BC14="","",IF(AND(ISERROR($AQ14),LEFT($BB14,7)=LEFT($BB13,7)),IF($BC13="","",IF(AND(ISERROR($AQ13),LEFT($BB13,7)=LEFT($BB12,7)),$AQ12,IF(AND($AQ13=0,LEFT($BB13,7)=LEFT($BB12,7)),$AQ12,$AQ13))),IF(AND($AQ14=0,LEFT($BB14,7)=LEFT($BB13,7)),IF($BC13="","",IF(AND(ISERROR($AQ13),LEFT($BB13,7)=LEFT($BB12,7)),IF($BC12="","",IF(AND(ISERROR($AQ12),LEFT($BB12,7)=LEFT($BB11,7)),$AQ11,IF(AND($AQ12=0,LEFT($BB12,7)=LEFT($BB11,7)),$AQ11,$AQ12))),IF(AND($AQ13=0,LEFT($BB13,7)=LEFT($BB12,7)),IF($BC12="","",IF(AND(ISERROR($AQ12),LEFT($BB12,7)=LEFT($BB11,7)),$AQ11,IF(AND($AQ12=0,LEFT($BB12,7)=LEFT($BB11,7)),$AQ11,$AQ12))),$AQ13))),$AQ14))),$AQ15))),$AQ16))),$AQ17))),$AQ18))),$AQ22))),$AQ20)))</f>
        <v/>
      </c>
      <c r="BZ20" s="6898"/>
      <c r="CA20" s="6898"/>
      <c r="CB20" s="6898" t="str">
        <f>+IF($BC20="","",IF(AND(ISERROR($AT20),LEFT($BB20,7)=LEFT($BB19,7)),IF($BC19="","",IF(AND(ISERROR($AT22),LEFT($BB19,7)=LEFT($BB18,7)),$AT18,IF(AND($AT22=0,LEFT($BB19,7)=LEFT($BB18,7)),$AT18,$AT22))),IF(AND($AT20=0,LEFT($BB20,7)=LEFT($BB19,7)),IF($BC19="","",IF(AND(ISERROR($AT22),LEFT($BB19,7)=LEFT($BB18,7)),IF($BC18="","",IF(AND(ISERROR($AT18),LEFT($BB18,7)=LEFT($BB17,7)),$AT17,IF(AND($AT18=0,LEFT($BB18,7)=LEFT($BB17,7)),$AT17,$AT18))),IF(AND($AT22=0,LEFT($BB19,7)=LEFT($BB18,7)),IF($BC18="","",IF(AND(ISERROR($AT18),LEFT($BB18,7)=LEFT($BB17,7)),IF($BC17="","",IF(AND(ISERROR($AT17),LEFT($BB17,7)=LEFT($BB16,7)),$AT16,IF(AND($AT17=0,LEFT($BB17,7)=LEFT($BB16,7)),$AT16,$AT17))),IF(AND($AT18=0,LEFT($BB18,7)=LEFT($BB17,7)),IF($BC17="","",IF(AND(ISERROR($AT17),LEFT($BB17,7)=LEFT($BB16,7)),IF($BC16="","",IF(AND(ISERROR($AT16),LEFT($BB16,7)=LEFT($BB15,7)),$AT15,IF(AND($AT16=0,LEFT($BB16,7)=LEFT($BB15,7)),$AT15,$AT16))),IF(AND($AT17=0,LEFT($BB17,7)=LEFT($BB16,7)),IF($BC16="","",IF(AND(ISERROR($AT16),LEFT($BB16,7)=LEFT($BB15,7)),IF($BC15="","",IF(AND(ISERROR($AT15),LEFT($BB15,7)=LEFT($BB14,7)),$AT14,IF(AND($AT15=0,LEFT($BB15,7)=LEFT($BB14,7)),$AT14,$AT15))),IF(AND($AT16=0,LEFT($BB16,7)=LEFT($BB15,7)),IF($BC15="","",IF(AND(ISERROR($AT15),LEFT($BB15,7)=LEFT($BB14,7)),IF($BC14="","",IF(AND(ISERROR($AT14),LEFT($BB14,7)=LEFT($BB13,7)),$AT13,IF(AND($AT14=0,LEFT($BB14,7)=LEFT($BB13,7)),$AT13,$AT14))),IF(AND($AT15=0,LEFT($BB15,7)=LEFT($BB14,7)),IF($BC14="","",IF(AND(ISERROR($AT14),LEFT($BB14,7)=LEFT($BB13,7)),IF($BC13="","",IF(AND(ISERROR($AT13),LEFT($BB13,7)=LEFT($BB12,7)),$AT12,IF(AND($AT13=0,LEFT($BB13,7)=LEFT($BB12,7)),$AT12,$AT13))),IF(AND($AT14=0,LEFT($BB14,7)=LEFT($BB13,7)),IF($BC13="","",IF(AND(ISERROR($AT13),LEFT($BB13,7)=LEFT($BB12,7)),IF($BC12="","",IF(AND(ISERROR($AT12),LEFT($BB12,7)=LEFT($BB11,7)),$AT11,IF(AND($AT12=0,LEFT($BB12,7)=LEFT($BB11,7)),$AT11,$AT12))),IF(AND($AT13=0,LEFT($BB13,7)=LEFT($BB12,7)),IF($BC12="","",IF(AND(ISERROR($AT12),LEFT($BB12,7)=LEFT($BB11,7)),$AT11,IF(AND($AT12=0,LEFT($BB12,7)=LEFT($BB11,7)),$AT11,$AT12))),$AT13))),$AT14))),$AT15))),$AT16))),$AT17))),$AT18))),$AT22))),$AT20)))</f>
        <v/>
      </c>
      <c r="CC20" s="6898" t="str">
        <f>+IF($BC20="","",IF(AND(ISERROR($AT20),LEFT($BB20,7)=LEFT($BB19,7)),IF($BC19="","",IF(AND(ISERROR($AT22),LEFT($BB19,7)=LEFT($BB18,7)),$AT18,IF(AND($AT22=0,LEFT($BB19,7)=LEFT($BB18,7)),$AT18,$AT22))),IF(AND($AT20=0,LEFT($BB20,7)=LEFT($BB19,7)),IF($BC19="","",IF(AND(ISERROR($AT22),LEFT($BB19,7)=LEFT($BB18,7)),IF($BC18="","",IF(AND(ISERROR($AT18),LEFT($BB18,7)=LEFT($BB17,7)),$AT17,IF(AND($AT18=0,LEFT($BB18,7)=LEFT($BB17,7)),$AT17,$AT18))),IF(AND($AT22=0,LEFT($BB19,7)=LEFT($BB18,7)),IF($BC18="","",IF(AND(ISERROR($AT18),LEFT($BB18,7)=LEFT($BB17,7)),IF($BC17="","",IF(AND(ISERROR($AT17),LEFT($BB17,7)=LEFT($BB16,7)),$AT16,IF(AND($AT17=0,LEFT($BB17,7)=LEFT($BB16,7)),$AT16,$AT17))),IF(AND($AT18=0,LEFT($BB18,7)=LEFT($BB17,7)),IF($BC17="","",IF(AND(ISERROR($AT17),LEFT($BB17,7)=LEFT($BB16,7)),IF($BC16="","",IF(AND(ISERROR($AT16),LEFT($BB16,7)=LEFT($BB15,7)),$AT15,IF(AND($AT16=0,LEFT($BB16,7)=LEFT($BB15,7)),$AT15,$AT16))),IF(AND($AT17=0,LEFT($BB17,7)=LEFT($BB16,7)),IF($BC16="","",IF(AND(ISERROR($AT16),LEFT($BB16,7)=LEFT($BB15,7)),IF($BC15="","",IF(AND(ISERROR($AT15),LEFT($BB15,7)=LEFT($BB14,7)),$AT14,IF(AND($AT15=0,LEFT($BB15,7)=LEFT($BB14,7)),$AT14,$AT15))),IF(AND($AT16=0,LEFT($BB16,7)=LEFT($BB15,7)),IF($BC15="","",IF(AND(ISERROR($AT15),LEFT($BB15,7)=LEFT($BB14,7)),IF($BC14="","",IF(AND(ISERROR($AT14),LEFT($BB14,7)=LEFT($BB13,7)),$AT13,IF(AND($AT14=0,LEFT($BB14,7)=LEFT($BB13,7)),$AT13,$AT14))),IF(AND($AT15=0,LEFT($BB15,7)=LEFT($BB14,7)),IF($BC14="","",IF(AND(ISERROR($AT14),LEFT($BB14,7)=LEFT($BB13,7)),IF($BC13="","",IF(AND(ISERROR($AT13),LEFT($BB13,7)=LEFT($BB12,7)),$AT12,IF(AND($AT13=0,LEFT($BB13,7)=LEFT($BB12,7)),$AT12,$AT13))),IF(AND($AT14=0,LEFT($BB14,7)=LEFT($BB13,7)),IF($BC13="","",IF(AND(ISERROR($AT13),LEFT($BB13,7)=LEFT($BB12,7)),IF($BC12="","",IF(AND(ISERROR($AT12),LEFT($BB12,7)=LEFT($BB11,7)),$AT11,IF(AND($AT12=0,LEFT($BB12,7)=LEFT($BB11,7)),$AT11,$AT12))),IF(AND($AT13=0,LEFT($BB13,7)=LEFT($BB12,7)),IF($BC12="","",IF(AND(ISERROR($AT12),LEFT($BB12,7)=LEFT($BB11,7)),$AT11,IF(AND($AT12=0,LEFT($BB12,7)=LEFT($BB11,7)),$AT11,$AT12))),$AT13))),$AT14))),$AT15))),$AT16))),$AT17))),$AT18))),$AT22))),$AT20)))</f>
        <v/>
      </c>
      <c r="CD20" s="6898" t="str">
        <f>+IF($BC20="","",IF(AND(ISERROR($AR20),LEFT($BB20,7)=LEFT($BB19,7)),IF($BC19="","",IF(AND(ISERROR($AR22),LEFT($BB19,7)=LEFT($BB18,7)),$AR18,IF(AND($AR22=0,LEFT($BB19,7)=LEFT($BB18,7)),$AR18,$AR22))),IF(AND($AR20=0,LEFT($BB20,7)=LEFT($BB19,7)),IF($BC19="","",IF(AND(ISERROR($AR22),LEFT($BB19,7)=LEFT($BB18,7)),IF($BC18="","",IF(AND(ISERROR($AR18),LEFT($BB18,7)=LEFT($BB17,7)),$AR17,IF(AND($AR18=0,LEFT($BB18,7)=LEFT($BB17,7)),$AR17,$AR18))),IF(AND($AR22=0,LEFT($BB19,7)=LEFT($BB18,7)),IF($BC18="","",IF(AND(ISERROR($AR18),LEFT($BB18,7)=LEFT($BB17,7)),IF($BC17="","",IF(AND(ISERROR($AR17),LEFT($BB17,7)=LEFT($BB16,7)),$AR16,IF(AND($AR17=0,LEFT($BB17,7)=LEFT($BB16,7)),$AR16,$AR17))),IF(AND($AR18=0,LEFT($BB18,7)=LEFT($BB17,7)),IF($BC17="","",IF(AND(ISERROR($AR17),LEFT($BB17,7)=LEFT($BB16,7)),IF($BC16="","",IF(AND(ISERROR($AR16),LEFT($BB16,7)=LEFT($BB15,7)),$AR15,IF(AND($AR16=0,LEFT($BB16,7)=LEFT($BB15,7)),$AR15,$AR16))),IF(AND($AR17=0,LEFT($BB17,7)=LEFT($BB16,7)),IF($BC16="","",IF(AND(ISERROR($AR16),LEFT($BB16,7)=LEFT($BB15,7)),IF($BC15="","",IF(AND(ISERROR($AR15),LEFT($BB15,7)=LEFT($BB14,7)),$AR14,IF(AND($AR15=0,LEFT($BB15,7)=LEFT($BB14,7)),$AR14,$AR15))),IF(AND($AR16=0,LEFT($BB16,7)=LEFT($BB15,7)),IF($BC15="","",IF(AND(ISERROR($AR15),LEFT($BB15,7)=LEFT($BB14,7)),IF($BC14="","",IF(AND(ISERROR($AR14),LEFT($BB14,7)=LEFT($BB13,7)),$AR13,IF(AND($AR14=0,LEFT($BB14,7)=LEFT($BB13,7)),$AR13,$AR14))),IF(AND($AR15=0,LEFT($BB15,7)=LEFT($BB14,7)),IF($BC14="","",IF(AND(ISERROR($AR14),LEFT($BB14,7)=LEFT($BB13,7)),IF($BC13="","",IF(AND(ISERROR($AR13),LEFT($BB13,7)=LEFT($BB12,7)),$AR12,IF(AND($AR13=0,LEFT($BB13,7)=LEFT($BB12,7)),$AR12,$AR13))),IF(AND($AR14=0,LEFT($BB14,7)=LEFT($BB13,7)),IF($BC13="","",IF(AND(ISERROR($AR13),LEFT($BB13,7)=LEFT($BB12,7)),IF($BC12="","",IF(AND(ISERROR($AR12),LEFT($BB12,7)=LEFT($BB11,7)),$AR11,IF(AND($AR12=0,LEFT($BB12,7)=LEFT($BB11,7)),$AR11,$AR12))),IF(AND($AR13=0,LEFT($BB13,7)=LEFT($BB12,7)),IF($BC12="","",IF(AND(ISERROR($AR12),LEFT($BB12,7)=LEFT($BB11,7)),$AR11,IF(AND($AR12=0,LEFT($BB12,7)=LEFT($BB11,7)),$AR11,$AR12))),$AR13))),$AR14))),$AR15))),$AR16))),$AR17))),$AR18))),$AR22))),$AR20)))</f>
        <v/>
      </c>
      <c r="CE20" s="6921"/>
      <c r="CF20" s="5133"/>
      <c r="CG20" s="5133"/>
      <c r="CH20" s="5133"/>
      <c r="CI20" s="6115" t="s">
        <v>1752</v>
      </c>
      <c r="CJ20" s="6915" t="s">
        <v>1618</v>
      </c>
      <c r="CK20" s="1351" t="str">
        <f>+IF($BC20="","",IF(AND(ISERROR($AW20),LEFT($BB20,7)=LEFT($BB19,7)),IF($BC19="","",IF(AND(ISERROR($AW19),LEFT($BB19,7)=LEFT($BB18,7)),$AW18,IF(AND($AW19=0,LEFT($BB19,7)=LEFT($BB18,7)),$AW18,$AW19))),IF(AND($AW20=0,LEFT($BB20,7)=LEFT($BB19,7)),IF($BC19="","",IF(AND(ISERROR($AW19),LEFT($BB19,7)=LEFT($BB18,7)),IF($BC18="","",IF(AND(ISERROR($AW18),LEFT($BB18,7)=LEFT($BB17,7)),$AW17,IF(AND($AW18=0,LEFT($BB18,7)=LEFT($BB17,7)),$AW17,$AW18))),IF(AND($AW19=0,LEFT($BB19,7)=LEFT($BB18,7)),IF($BC18="","",IF(AND(ISERROR($AW18),LEFT($BB18,7)=LEFT($BB17,7)),IF($BC17="","",IF(AND(ISERROR($AW17),LEFT($BB17,7)=LEFT($BB16,7)),$AW16,IF(AND($AW17=0,LEFT($BB17,7)=LEFT($BB16,7)),$AW16,$AW17))),IF(AND($AW18=0,LEFT($BB18,7)=LEFT($BB17,7)),IF($BC17="","",IF(AND(ISERROR($AW17),LEFT($BB17,7)=LEFT($BB16,7)),IF($BC16="","",IF(AND(ISERROR($AW16),LEFT($BB16,7)=LEFT($BB15,7)),$AW15,IF(AND($AW16=0,LEFT($BB16,7)=LEFT($BB15,7)),$AW15,$AW16))),IF(AND($AW17=0,LEFT($BB17,7)=LEFT($BB16,7)),IF($BC16="","",IF(AND(ISERROR($AW16),LEFT($BB16,7)=LEFT($BB15,7)),IF($BC15="","",IF(AND(ISERROR($AW15),LEFT($BB15,7)=LEFT($BB14,7)),$AW14,IF(AND($AW15=0,LEFT($BB15,7)=LEFT($BB14,7)),$AW14,$AW15))),IF(AND($AW16=0,LEFT($BB16,7)=LEFT($BB15,7)),IF($BC15="","",IF(AND(ISERROR($AW15),LEFT($BB15,7)=LEFT($BB14,7)),IF($BC14="","",IF(AND(ISERROR($AW14),LEFT($BB14,7)=LEFT($BB13,7)),$AW13,IF(AND($AW14=0,LEFT($BB14,7)=LEFT($BB13,7)),$AW13,$AW14))),IF(AND($AW15=0,LEFT($BB15,7)=LEFT($BB14,7)),IF($BC14="","",IF(AND(ISERROR($AW14),LEFT($BB14,7)=LEFT($BB13,7)),IF($BC13="","",IF(AND(ISERROR($AW13),LEFT($BB13,7)=LEFT($BB12,7)),$AW12,IF(AND($AW13=0,LEFT($BB13,7)=LEFT($BB12,7)),$AW12,$AW13))),IF(AND($AW14=0,LEFT($BB14,7)=LEFT($BB13,7)),IF($BC13="","",IF(AND(ISERROR($AW13),LEFT($BB13,7)=LEFT($BB12,7)),IF($BC12="","",IF(AND(ISERROR($AW12),LEFT($BB12,7)=LEFT($BB11,7)),$AW11,IF(AND($AW12=0,LEFT($BB12,7)=LEFT($BB11,7)),$AW11,$AW12))),IF(AND($AW13=0,LEFT($BB13,7)=LEFT($BB12,7)),IF($BC12="","",IF(AND(ISERROR($AW12),LEFT($BB12,7)=LEFT($BB11,7)),$AW11,IF(AND($AW12=0,LEFT($BB12,7)=LEFT($BB11,7)),$AW11,$AW12))),$AW13))),$AW14))),$AW15))),$AW16))),$AW17))),$AW18))),$AW19))),$AW20)))</f>
        <v/>
      </c>
      <c r="CL20" s="1351" t="str">
        <f>+IF($BC20="","",IF(AND(ISERROR($AZ20),LEFT($BB20,7)=LEFT($BB19,7)),IF($BC19="","",IF(AND(ISERROR($AZ19),LEFT($BB19,7)=LEFT($BB18,7)),$AZ18,IF(AND($AZ19=0,LEFT($BB19,7)=LEFT($BB18,7)),$AZ18,$AZ19))),IF(AND($AZ20=0,LEFT($BB20,7)=LEFT($BB19,7)),IF($BC19="","",IF(AND(ISERROR($AZ19),LEFT($BB19,7)=LEFT($BB18,7)),IF($BC18="","",IF(AND(ISERROR($AZ18),LEFT($BB18,7)=LEFT($BB17,7)),$AZ17,IF(AND($AZ18=0,LEFT($BB18,7)=LEFT($BB17,7)),$AZ17,$AZ18))),IF(AND($AZ19=0,LEFT($BB19,7)=LEFT($BB18,7)),IF($BC18="","",IF(AND(ISERROR($AZ18),LEFT($BB18,7)=LEFT($BB17,7)),IF($BC17="","",IF(AND(ISERROR($AZ17),LEFT($BB17,7)=LEFT($BB16,7)),$AZ16,IF(AND($AZ17=0,LEFT($BB17,7)=LEFT($BB16,7)),$AZ16,$AZ17))),IF(AND($AZ18=0,LEFT($BB18,7)=LEFT($BB17,7)),IF($BC17="","",IF(AND(ISERROR($AZ17),LEFT($BB17,7)=LEFT($BB16,7)),IF($BC16="","",IF(AND(ISERROR($AZ16),LEFT($BB16,7)=LEFT($BB15,7)),$AZ15,IF(AND($AZ16=0,LEFT($BB16,7)=LEFT($BB15,7)),$AZ15,$AZ16))),IF(AND($AZ17=0,LEFT($BB17,7)=LEFT($BB16,7)),IF($BC16="","",IF(AND(ISERROR($AZ16),LEFT($BB16,7)=LEFT($BB15,7)),IF($BC15="","",IF(AND(ISERROR($AZ15),LEFT($BB15,7)=LEFT($BB14,7)),$AZ14,IF(AND($AZ15=0,LEFT($BB15,7)=LEFT($BB14,7)),$AZ14,$AZ15))),IF(AND($AZ16=0,LEFT($BB16,7)=LEFT($BB15,7)),IF($BC15="","",IF(AND(ISERROR($AZ15),LEFT($BB15,7)=LEFT($BB14,7)),IF($BC14="","",IF(AND(ISERROR($AZ14),LEFT($BB14,7)=LEFT($BB13,7)),$AZ13,IF(AND($AZ14=0,LEFT($BB14,7)=LEFT($BB13,7)),$AZ13,$AZ14))),IF(AND($AZ15=0,LEFT($BB15,7)=LEFT($BB14,7)),IF($BC14="","",IF(AND(ISERROR($AZ14),LEFT($BB14,7)=LEFT($BB13,7)),IF($BC13="","",IF(AND(ISERROR($AZ13),LEFT($BB13,7)=LEFT($BB12,7)),$AZ12,IF(AND($AZ13=0,LEFT($BB13,7)=LEFT($BB12,7)),$AZ12,$AZ13))),IF(AND($AZ14=0,LEFT($BB14,7)=LEFT($BB13,7)),IF($BC13="","",IF(AND(ISERROR($AZ13),LEFT($BB13,7)=LEFT($BB12,7)),IF($BC12="","",IF(AND(ISERROR($AZ12),LEFT($BB12,7)=LEFT($BB11,7)),$AZ11,IF(AND($AZ12=0,LEFT($BB12,7)=LEFT($BB11,7)),$AZ11,$AZ12))),IF(AND($AZ13=0,LEFT($BB13,7)=LEFT($BB12,7)),IF($BC12="","",IF(AND(ISERROR($AZ12),LEFT($BB12,7)=LEFT($BB11,7)),$AZ11,IF(AND($AZ12=0,LEFT($BB12,7)=LEFT($BB11,7)),$AZ11,$AZ12))),$AZ13))),$AZ14))),$AZ15))),$AZ16))),$AZ17))),$AZ18))),$AZ19))),$AZ20)))</f>
        <v/>
      </c>
      <c r="CM20" s="1351" t="str">
        <f>+IF($BC20="","",IF(AND(ISERROR($AZ20),LEFT($BB20,7)=LEFT($BB19,7)),IF($BC19="","",IF(AND(ISERROR($AZ19),LEFT($BB19,7)=LEFT($BB18,7)),$AZ18,IF(AND($AZ19=0,LEFT($BB19,7)=LEFT($BB18,7)),$AZ18,$AZ19))),IF(AND($AZ20=0,LEFT($BB20,7)=LEFT($BB19,7)),IF($BC19="","",IF(AND(ISERROR($AZ19),LEFT($BB19,7)=LEFT($BB18,7)),IF($BC18="","",IF(AND(ISERROR($AZ18),LEFT($BB18,7)=LEFT($BB17,7)),$AZ17,IF(AND($AZ18=0,LEFT($BB18,7)=LEFT($BB17,7)),$AZ17,$AZ18))),IF(AND($AZ19=0,LEFT($BB19,7)=LEFT($BB18,7)),IF($BC18="","",IF(AND(ISERROR($AZ18),LEFT($BB18,7)=LEFT($BB17,7)),IF($BC17="","",IF(AND(ISERROR($AZ17),LEFT($BB17,7)=LEFT($BB16,7)),$AZ16,IF(AND($AZ17=0,LEFT($BB17,7)=LEFT($BB16,7)),$AZ16,$AZ17))),IF(AND($AZ18=0,LEFT($BB18,7)=LEFT($BB17,7)),IF($BC17="","",IF(AND(ISERROR($AZ17),LEFT($BB17,7)=LEFT($BB16,7)),IF($BC16="","",IF(AND(ISERROR($AZ16),LEFT($BB16,7)=LEFT($BB15,7)),$AZ15,IF(AND($AZ16=0,LEFT($BB16,7)=LEFT($BB15,7)),$AZ15,$AZ16))),IF(AND($AZ17=0,LEFT($BB17,7)=LEFT($BB16,7)),IF($BC16="","",IF(AND(ISERROR($AZ16),LEFT($BB16,7)=LEFT($BB15,7)),IF($BC15="","",IF(AND(ISERROR($AZ15),LEFT($BB15,7)=LEFT($BB14,7)),$AZ14,IF(AND($AZ15=0,LEFT($BB15,7)=LEFT($BB14,7)),$AZ14,$AZ15))),IF(AND($AZ16=0,LEFT($BB16,7)=LEFT($BB15,7)),IF($BC15="","",IF(AND(ISERROR($AZ15),LEFT($BB15,7)=LEFT($BB14,7)),IF($BC14="","",IF(AND(ISERROR($AZ14),LEFT($BB14,7)=LEFT($BB13,7)),$AZ13,IF(AND($AZ14=0,LEFT($BB14,7)=LEFT($BB13,7)),$AZ13,$AZ14))),IF(AND($AZ15=0,LEFT($BB15,7)=LEFT($BB14,7)),IF($BC14="","",IF(AND(ISERROR($AZ14),LEFT($BB14,7)=LEFT($BB13,7)),IF($BC13="","",IF(AND(ISERROR($AZ13),LEFT($BB13,7)=LEFT($BB12,7)),$AZ12,IF(AND($AZ13=0,LEFT($BB13,7)=LEFT($BB12,7)),$AZ12,$AZ13))),IF(AND($AZ14=0,LEFT($BB14,7)=LEFT($BB13,7)),IF($BC13="","",IF(AND(ISERROR($AZ13),LEFT($BB13,7)=LEFT($BB12,7)),IF($BC12="","",IF(AND(ISERROR($AZ12),LEFT($BB12,7)=LEFT($BB11,7)),$AZ11,IF(AND($AZ12=0,LEFT($BB12,7)=LEFT($BB11,7)),$AZ11,$AZ12))),IF(AND($AZ13=0,LEFT($BB13,7)=LEFT($BB12,7)),IF($BC12="","",IF(AND(ISERROR($AZ12),LEFT($BB12,7)=LEFT($BB11,7)),$AZ11,IF(AND($AZ12=0,LEFT($BB12,7)=LEFT($BB11,7)),$AZ11,$AZ12))),$AZ13))),$AZ14))),$AZ15))),$AZ16))),$AZ17))),$AZ18))),$AZ19))),$AZ20)))</f>
        <v/>
      </c>
      <c r="CN20" s="1351" t="str">
        <f>+IF($BC20="","",IF(AND(ISERROR($AX20),LEFT($BB20,7)=LEFT($BB19,7)),IF($BC19="","",IF(AND(ISERROR($AX19),LEFT($BB19,7)=LEFT($BB18,7)),$AX18,IF(AND($AX19=0,LEFT($BB19,7)=LEFT($BB18,7)),$AX18,$AX19))),IF(AND($AX20=0,LEFT($BB20,7)=LEFT($BB19,7)),IF($BC19="","",IF(AND(ISERROR($AX19),LEFT($BB19,7)=LEFT($BB18,7)),IF($BC18="","",IF(AND(ISERROR($AX18),LEFT($BB18,7)=LEFT($BB17,7)),$AX17,IF(AND($AX18=0,LEFT($BB18,7)=LEFT($BB17,7)),$AX17,$AX18))),IF(AND($AX19=0,LEFT($BB19,7)=LEFT($BB18,7)),IF($BC18="","",IF(AND(ISERROR($AX18),LEFT($BB18,7)=LEFT($BB17,7)),IF($BC17="","",IF(AND(ISERROR($AX17),LEFT($BB17,7)=LEFT($BB16,7)),$AX16,IF(AND($AX17=0,LEFT($BB17,7)=LEFT($BB16,7)),$AX16,$AX17))),IF(AND($AX18=0,LEFT($BB18,7)=LEFT($BB17,7)),IF($BC17="","",IF(AND(ISERROR($AX17),LEFT($BB17,7)=LEFT($BB16,7)),IF($BC16="","",IF(AND(ISERROR($AX16),LEFT($BB16,7)=LEFT($BB15,7)),$AX15,IF(AND($AX16=0,LEFT($BB16,7)=LEFT($BB15,7)),$AX15,$AX16))),IF(AND($AX17=0,LEFT($BB17,7)=LEFT($BB16,7)),IF($BC16="","",IF(AND(ISERROR($AX16),LEFT($BB16,7)=LEFT($BB15,7)),IF($BC15="","",IF(AND(ISERROR($AX15),LEFT($BB15,7)=LEFT($BB14,7)),$AX14,IF(AND($AX15=0,LEFT($BB15,7)=LEFT($BB14,7)),$AX14,$AX15))),IF(AND($AX16=0,LEFT($BB16,7)=LEFT($BB15,7)),IF($BC15="","",IF(AND(ISERROR($AX15),LEFT($BB15,7)=LEFT($BB14,7)),IF($BC14="","",IF(AND(ISERROR($AX14),LEFT($BB14,7)=LEFT($BB13,7)),$AX13,IF(AND($AX14=0,LEFT($BB14,7)=LEFT($BB13,7)),$AX13,$AX14))),IF(AND($AX15=0,LEFT($BB15,7)=LEFT($BB14,7)),IF($BC14="","",IF(AND(ISERROR($AX14),LEFT($BB14,7)=LEFT($BB13,7)),IF($BC13="","",IF(AND(ISERROR($AX13),LEFT($BB13,7)=LEFT($BB12,7)),$AX12,IF(AND($AX13=0,LEFT($BB13,7)=LEFT($BB12,7)),$AX12,$AX13))),IF(AND($AX14=0,LEFT($BB14,7)=LEFT($BB13,7)),IF($BC13="","",IF(AND(ISERROR($AX13),LEFT($BB13,7)=LEFT($BB12,7)),IF($BC12="","",IF(AND(ISERROR($AX12),LEFT($BB12,7)=LEFT($BB11,7)),$AX11,IF(AND($AX12=0,LEFT($BB12,7)=LEFT($BB11,7)),$AX11,$AX12))),IF(AND($AX13=0,LEFT($BB13,7)=LEFT($BB12,7)),IF($BC12="","",IF(AND(ISERROR($AX12),LEFT($BB12,7)=LEFT($BB11,7)),$AX11,IF(AND($AX12=0,LEFT($BB12,7)=LEFT($BB11,7)),$AX11,$AX12))),$AX13))),$AX14))),$AX15))),$AX16))),$AX17))),$AX18))),$AX19))),$AX20)))</f>
        <v/>
      </c>
      <c r="CO20" s="6921"/>
      <c r="CP20" s="5133"/>
      <c r="CQ20" s="5355"/>
      <c r="CR20" s="5355"/>
      <c r="CS20" s="5355"/>
      <c r="CT20" s="5355"/>
      <c r="CU20" s="5133"/>
      <c r="CV20" s="5133"/>
      <c r="CW20" s="5133"/>
      <c r="CX20" s="6929"/>
      <c r="CY20" s="6929"/>
      <c r="CZ20" s="6929"/>
      <c r="DA20" s="6929"/>
      <c r="DB20" s="6929"/>
      <c r="DC20" s="5355"/>
      <c r="DD20" s="5355"/>
      <c r="DE20" s="5355"/>
      <c r="DF20" s="5355"/>
      <c r="DG20" s="6931"/>
      <c r="DH20" s="5133"/>
      <c r="DI20" s="5133"/>
      <c r="DJ20" s="5133"/>
      <c r="DK20" s="5355"/>
      <c r="DL20" s="5133"/>
      <c r="DM20" s="5133"/>
      <c r="DN20" s="5133"/>
      <c r="DO20" s="5355"/>
      <c r="DP20" s="5133"/>
      <c r="DQ20" s="5133"/>
      <c r="DR20" s="5133"/>
      <c r="DS20" s="5133"/>
      <c r="DT20" s="5133"/>
      <c r="DU20" s="5133"/>
      <c r="DV20" s="5133"/>
      <c r="DW20" s="5133"/>
      <c r="DX20" s="6933"/>
      <c r="DY20" s="5133"/>
      <c r="DZ20" s="5133"/>
      <c r="EA20" s="5133"/>
      <c r="EB20" s="5133"/>
      <c r="EC20" s="5133"/>
      <c r="ED20" s="5133"/>
      <c r="EE20" s="5133"/>
      <c r="EF20" s="5133"/>
      <c r="EG20" s="5133"/>
      <c r="EH20" s="5133"/>
      <c r="EI20" s="5133"/>
      <c r="EJ20" s="5133"/>
      <c r="EK20" s="5133"/>
      <c r="EL20" s="5133"/>
      <c r="EM20" s="5133"/>
      <c r="EN20" s="5133"/>
      <c r="EO20" s="5133"/>
      <c r="EP20" s="5133"/>
      <c r="EQ20" s="5133"/>
      <c r="ER20" s="5133"/>
      <c r="ES20" s="5133"/>
      <c r="ET20" s="5133"/>
      <c r="EU20" s="5133"/>
      <c r="EV20" s="5133"/>
      <c r="EW20" s="5133"/>
      <c r="EX20" s="5133"/>
      <c r="EY20" s="5133"/>
      <c r="EZ20" s="5133"/>
      <c r="FA20" s="5133"/>
      <c r="FB20" s="6934"/>
      <c r="FC20" s="6929" t="str">
        <f>+IF(OR(ED20="",IF(R20="",R19,R20)=""),"",ED20/IF(R20="",R19,R20))</f>
        <v/>
      </c>
      <c r="FD20" s="6929" t="str">
        <f>+IF(OR(BB20="",IF(R20="",R19,R20)="",(CU20+DL20)=0),"",(CU20+DL20)/IF(R20="",R19,R20))</f>
        <v/>
      </c>
      <c r="FE20" s="6929"/>
      <c r="FF20" s="6929"/>
      <c r="FG20" s="6929"/>
      <c r="FH20" s="6929"/>
      <c r="FI20" s="6929"/>
      <c r="FJ20" s="6929" t="str">
        <f>+IF(OR(BB20="",CT20=""),"",IF(FD20="",0,FD20)+IF(FF20="",0,FF20)+IF(FH20="",0,FH20))</f>
        <v/>
      </c>
      <c r="FK20" s="6929" t="str">
        <f>+IF(OR(BB20="",ISERROR(FJ20/FC20)),"",FJ20/FC20)</f>
        <v/>
      </c>
      <c r="FL20" s="6929" t="str">
        <f>+IF(OR(BB20="",CT20="",IF(R20="",R19,R20)=""),"",(DB20+DC20+DS20+DT20)/IF(R20="",R19,R20))</f>
        <v/>
      </c>
      <c r="FM20" s="6929" t="str">
        <f>+IF(OR(BB20="",ISERROR(FL20/FC20)),"",FL20/FC20)</f>
        <v/>
      </c>
      <c r="FN20" s="6929" t="str">
        <f>+IF(OR(BB20="",CT20="",IF(R20="",R19,R20)=""),"",(DD20+DU20)/IF(R20="",R19,R20))</f>
        <v/>
      </c>
      <c r="FO20" s="6929" t="str">
        <f>+IF(OR(BB20="",ISERROR(FN20/FC20)),"",FN20/FC20)</f>
        <v/>
      </c>
      <c r="FP20" s="6929" t="str">
        <f>+IF(OR(BB20="",CT20="",IF(R20="",R19,R20)=""),"",(DG20+DH20+DX20+DY20)/IF(R20="",R19,R20))</f>
        <v/>
      </c>
      <c r="FQ20" s="6929" t="str">
        <f>+IF(OR(BB20="",ISERROR(FL20/FC20)),"",FP20/FC20)</f>
        <v/>
      </c>
      <c r="FR20" s="6929" t="str">
        <f>+IF(OR(BB20="",IF(R20="",R19,R20)="",(IF(DI20="",0,DI20)+IF(DZ20="",0,DZ20))=0),"",(IF(DI20="",0,DI20)+IF(DZ20="",0,DZ20))/IF(R20="",R19,R20))</f>
        <v/>
      </c>
      <c r="FS20" s="6929" t="str">
        <f>+IF(OR(DJ20="",IF(R20="",R19,R20)=""),"",(DJ20+EA20)/IF(R20="",R19,R20))</f>
        <v/>
      </c>
      <c r="FT20" s="6929" t="str">
        <f>+IF(OR(BB20="",ISERROR(FS20/FR20)),"",FS20/FR20)</f>
        <v/>
      </c>
      <c r="FU20" s="6929" t="str">
        <f>+IF(OR(BB20="",ISERROR(1-(FR20+IF(FS20="",0,FS20)+FN20+FP20)*IF(R20="",R19,R20)/(CT20+DK20))),"",1-(FR20+IF(FS20="",0,FS20)+FN20+FP20)*IF(R20="",R19,R20)/(CT20+DK20))</f>
        <v/>
      </c>
      <c r="FV20" s="5133"/>
      <c r="FW20" s="5133"/>
      <c r="FX20" s="5133"/>
      <c r="FY20" s="5133"/>
      <c r="FZ20" s="5133"/>
      <c r="GA20" s="6929" t="str">
        <f>+IF(IF(V20="",V19,V20)="Utility Boiler",IF(ISERR(FY20/(FC20+FW20)),"",FY20/(FC20+FW20)),"")</f>
        <v/>
      </c>
      <c r="GB20" s="6929" t="str">
        <f>+IF(OR(ET20="",IF(R20="",R19,R20)=""),"",ET20/IF(R20="",R19,R20))</f>
        <v/>
      </c>
      <c r="GC20" s="6929" t="str">
        <f>+IF(ISERR(GB20/$FC20),"",GB20/$FC20)</f>
        <v/>
      </c>
      <c r="GD20" s="6929" t="str">
        <f>+IF(IF(V20="",V19,V20)="Utility Boiler",IF(ISERR(GB20/($FC20)),"",GB20/(FC20+FW20+FY20)),"")</f>
        <v/>
      </c>
      <c r="GE20" s="6929" t="str">
        <f>+IF(OR(FB20="",IF(R20="",R19,R20)=""),"",FB20/IF(R20="",R19,R20))</f>
        <v/>
      </c>
      <c r="GF20" s="6929" t="str">
        <f>+IF(FB20="","",(IF(FA20="",0,FA20)-IF(EZ20="",0,EZ20))+(IF(EU20="",0,EU20)+IF(EV20="",0,EV20)+(IF(EW20="",0,EW20)+IF(EX20="",0,EX20))+IF(FC20="",0,FC20)+IF(FW20="",0,FW20)+IF(FY20="",0,FY20)+IF(GB20="",0,GB20)))</f>
        <v/>
      </c>
      <c r="GG20" s="6929" t="str">
        <f>+IF(OR(CS20="",IF(R20="",IF(R19="",R18,R19),R20)="",GF20=0),"",1-(CS20/IF(R20="",IF(R19="",R18,R19),R20))/GF20)</f>
        <v/>
      </c>
      <c r="GH20" s="6929" t="str">
        <f>+IF(IF(T20="",T19,T20)="","",IF(GF20="","",GF20/IF(T20="",T19,T20)))</f>
        <v/>
      </c>
      <c r="GI20" s="6929"/>
      <c r="GJ20" s="6929"/>
      <c r="GK20" s="6929"/>
      <c r="GL20" s="6929"/>
      <c r="GM20" s="5133"/>
      <c r="GN20" s="5133"/>
      <c r="GO20" s="5133"/>
      <c r="GP20" s="10258" t="s">
        <v>1750</v>
      </c>
      <c r="GQ20" s="10258" t="s">
        <v>1751</v>
      </c>
      <c r="GR20" s="5133"/>
      <c r="GS20" s="5133"/>
      <c r="GT20" s="5133"/>
      <c r="GU20" s="5133"/>
      <c r="GV20" s="5133"/>
      <c r="GW20" s="5133"/>
      <c r="GX20" s="5133"/>
      <c r="GY20" s="5133"/>
      <c r="GZ20" s="5133"/>
      <c r="HA20" s="5133"/>
      <c r="HB20" s="5133"/>
      <c r="HC20" s="5133"/>
      <c r="HD20" s="5133"/>
      <c r="HE20" s="5133"/>
      <c r="HF20" s="5133"/>
      <c r="HG20" s="6929"/>
      <c r="HH20" s="5133"/>
      <c r="HI20" s="5133"/>
      <c r="HJ20" s="5133"/>
      <c r="HK20" s="5133"/>
      <c r="HL20" s="5133"/>
      <c r="HM20" s="5943"/>
      <c r="HN20" s="5133"/>
      <c r="HO20" s="5133"/>
      <c r="HP20" s="5133"/>
      <c r="HQ20" s="5133"/>
      <c r="HR20" s="5133"/>
      <c r="HS20" s="5133"/>
      <c r="HT20" s="5133"/>
      <c r="HU20" s="5133"/>
      <c r="HV20" s="5133"/>
      <c r="HW20" s="5133"/>
      <c r="HX20" s="6938"/>
      <c r="HY20" s="6119"/>
      <c r="HZ20" s="6119"/>
      <c r="IA20" s="6929"/>
      <c r="IB20" s="6929" t="str">
        <f>+IF(BB20="","",IF(ISERROR(GF20-IA20),"",IF((GF20-IA20)&gt;0,"stk added + "&amp;ROUND((GF20-IA20)/GF20*100,0)&amp;"%",IF(GF20=IA20,"same TCC",(GF20-IA20)/GF20))))</f>
        <v/>
      </c>
      <c r="IC20" s="6929" t="str">
        <f>+IF(IA20="","",IA20/IF(T20="",IF(T19="",1,T19),T20))</f>
        <v/>
      </c>
      <c r="ID20" s="5133"/>
      <c r="IE20" s="5133"/>
      <c r="IF20" s="5133"/>
      <c r="IG20" s="5133"/>
      <c r="IH20" s="6789"/>
      <c r="II20" s="5133"/>
      <c r="IJ20" s="5133"/>
      <c r="IK20" s="5133"/>
      <c r="IL20" s="6119"/>
      <c r="IM20" s="6119"/>
      <c r="IN20" s="6119"/>
      <c r="IO20" s="6119"/>
      <c r="IP20" s="6119"/>
      <c r="IQ20" s="6119"/>
      <c r="IR20" s="6119"/>
      <c r="IS20" s="6119"/>
      <c r="IT20" s="6119"/>
      <c r="IU20" s="5133"/>
      <c r="IV20" s="5133"/>
      <c r="IW20" s="5133"/>
      <c r="IX20" s="5133"/>
      <c r="IY20" s="5133"/>
      <c r="IZ20" s="5133"/>
      <c r="JA20" s="6929"/>
      <c r="JB20" s="5133"/>
      <c r="JC20" s="5133"/>
      <c r="JD20" s="6929"/>
      <c r="JE20" s="5133"/>
      <c r="JF20" s="6929"/>
      <c r="JG20" s="6929"/>
      <c r="JH20" s="6929"/>
      <c r="JI20" s="6929"/>
      <c r="JJ20" s="6986"/>
      <c r="JK20" s="6929"/>
      <c r="JL20" s="6929"/>
      <c r="JM20" s="6929"/>
      <c r="JN20" s="6929"/>
      <c r="JO20" s="5133"/>
      <c r="JP20" s="5133"/>
      <c r="JQ20" s="5133"/>
      <c r="JR20" s="5133"/>
      <c r="JS20" s="5133"/>
      <c r="JT20" s="5133"/>
      <c r="JU20" s="5133"/>
      <c r="JV20" s="5133"/>
      <c r="JW20" s="5133"/>
      <c r="JX20" s="5133"/>
      <c r="JY20" s="5133"/>
      <c r="JZ20" s="5133"/>
      <c r="KA20" s="5133"/>
      <c r="KB20" s="5133"/>
      <c r="KC20" s="5133"/>
      <c r="KD20" s="6115"/>
      <c r="KE20" s="6115"/>
      <c r="KF20" s="5133"/>
      <c r="KG20" s="5133"/>
      <c r="KH20" s="8546"/>
      <c r="KI20" s="8546"/>
      <c r="KJ20" s="5133"/>
      <c r="KK20" s="5133"/>
      <c r="KL20" s="5133"/>
      <c r="KM20" s="5133"/>
      <c r="KN20" s="5133"/>
      <c r="KO20" s="5133"/>
      <c r="KP20" s="5133"/>
      <c r="KQ20" s="6381"/>
      <c r="KR20" s="6381"/>
      <c r="KS20" s="6381"/>
      <c r="KT20" s="6381"/>
      <c r="KU20" s="5133"/>
      <c r="KV20" s="5133"/>
      <c r="KW20" s="5133"/>
      <c r="KX20" s="5133"/>
      <c r="KY20" s="6929"/>
      <c r="KZ20" s="6381"/>
      <c r="LA20" s="6929"/>
      <c r="LB20" s="6929"/>
      <c r="LC20" s="5133"/>
      <c r="LD20" s="5132"/>
      <c r="LE20" s="5132"/>
      <c r="LF20" s="5132"/>
      <c r="LG20" s="5132"/>
      <c r="LH20" s="5132"/>
      <c r="LI20" s="5132"/>
      <c r="LJ20" s="5132"/>
    </row>
    <row r="21" spans="1:322" s="10" customFormat="1" ht="15.95" hidden="1" customHeight="1" thickBot="1">
      <c r="A21" s="5134"/>
      <c r="B21" s="5134"/>
      <c r="C21" s="5134"/>
      <c r="D21" s="5134"/>
      <c r="E21" s="5132"/>
      <c r="F21" s="5132"/>
      <c r="G21" s="5132"/>
      <c r="H21" s="5132"/>
      <c r="I21" s="5133"/>
      <c r="J21" s="5941"/>
      <c r="K21" s="5941"/>
      <c r="L21" s="5131"/>
      <c r="M21" s="5131"/>
      <c r="N21" s="5131"/>
      <c r="O21" s="5131"/>
      <c r="P21" s="5133"/>
      <c r="Q21" s="5133"/>
      <c r="R21" s="5133"/>
      <c r="S21" s="5133"/>
      <c r="T21" s="5133"/>
      <c r="U21" s="5133"/>
      <c r="V21" s="5133"/>
      <c r="W21" s="5133"/>
      <c r="X21" s="5133"/>
      <c r="Y21" s="5133"/>
      <c r="Z21" s="5133"/>
      <c r="AA21" s="5133"/>
      <c r="AB21" s="5133"/>
      <c r="AC21" s="5133"/>
      <c r="AD21" s="5133"/>
      <c r="AE21" s="5133"/>
      <c r="AF21" s="5133"/>
      <c r="AG21" s="5133"/>
      <c r="AH21" s="5133"/>
      <c r="AI21" s="5133"/>
      <c r="AJ21" s="5133"/>
      <c r="AK21" s="5133"/>
      <c r="AL21" s="5133"/>
      <c r="AM21" s="5133"/>
      <c r="AN21" s="5133"/>
      <c r="AO21" s="5133"/>
      <c r="AP21" s="5133"/>
      <c r="AQ21" s="5133"/>
      <c r="AR21" s="5133"/>
      <c r="AS21" s="5133"/>
      <c r="AT21" s="5133"/>
      <c r="AU21" s="5133"/>
      <c r="AV21" s="5133"/>
      <c r="AW21" s="5133"/>
      <c r="AX21" s="5133"/>
      <c r="AY21" s="5133"/>
      <c r="AZ21" s="5133"/>
      <c r="BA21" s="5133"/>
      <c r="BB21" s="5133"/>
      <c r="BC21" s="5133"/>
      <c r="BD21" s="5133"/>
      <c r="BE21" s="5133"/>
      <c r="BF21" s="5133"/>
      <c r="BG21" s="5133"/>
      <c r="BH21" s="5133"/>
      <c r="BI21" s="5133"/>
      <c r="BJ21" s="5133"/>
      <c r="BK21" s="5133"/>
      <c r="BL21" s="5133"/>
      <c r="BM21" s="5133"/>
      <c r="BN21" s="5133"/>
      <c r="BO21" s="5133"/>
      <c r="BP21" s="5133"/>
      <c r="BQ21" s="5133"/>
      <c r="BR21" s="5133"/>
      <c r="BS21" s="5133"/>
      <c r="BT21" s="5133"/>
      <c r="BU21" s="5133"/>
      <c r="BV21" s="5133"/>
      <c r="BW21" s="5133"/>
      <c r="BX21" s="6917"/>
      <c r="BY21" s="1358" t="str">
        <f>+IF($BB21="","",IF(BU21="","",BU21/2000*IF($BC21="","",IF(AND(ISERROR(#REF!),LEFT($BB21,7)=LEFT($BB20,7)),IF($BC20="","",IF(AND(ISERROR($AQ20),LEFT($BB20,7)=LEFT($BB19,7)),$AQ19,IF(AND($AQ20=0,LEFT($BB20,7)=LEFT($BB19,7)),$AQ19,$AQ20))),IF(AND(#REF!=0,LEFT($BB21,7)=LEFT($BB20,7)),IF($BC20="","",IF(AND(ISERROR($AQ20),LEFT($BB20,7)=LEFT($BB19,7)),IF($BC19="","",IF(AND(ISERROR($AQ19),LEFT($BB19,7)=LEFT($BB18,7)),$AQ21,IF(AND($AQ19=0,LEFT($BB19,7)=LEFT($BB18,7)),$AQ21,$AQ19))),IF(AND($AQ20=0,LEFT($BB20,7)=LEFT($BB19,7)),IF($BC19="","",IF(AND(ISERROR($AQ19),LEFT($BB19,7)=LEFT($BB18,7)),IF($BC18="","",IF(AND(ISERROR($AQ21),LEFT($BB18,7)=LEFT($BB17,7)),$AQ17,IF(AND($AQ21=0,LEFT($BB18,7)=LEFT($BB17,7)),$AQ17,$AQ21))),IF(AND($AQ19=0,LEFT($BB19,7)=LEFT($BB18,7)),IF($BC18="","",IF(AND(ISERROR($AQ21),LEFT($BB18,7)=LEFT($BB17,7)),IF($BC17="","",IF(AND(ISERROR($AQ17),LEFT($BB17,7)=LEFT($BB16,7)),$AQ16,IF(AND($AQ17=0,LEFT($BB17,7)=LEFT($BB16,7)),$AQ16,$AQ17))),IF(AND($AQ21=0,LEFT($BB18,7)=LEFT($BB17,7)),IF($BC17="","",IF(AND(ISERROR($AQ17),LEFT($BB17,7)=LEFT($BB16,7)),IF($BC16="","",IF(AND(ISERROR($AQ16),LEFT($BB16,7)=LEFT($BB15,7)),$AQ15,IF(AND($AQ16=0,LEFT($BB16,7)=LEFT($BB15,7)),$AQ15,$AQ16))),IF(AND($AQ17=0,LEFT($BB17,7)=LEFT($BB16,7)),IF($BC16="","",IF(AND(ISERROR($AQ16),LEFT($BB16,7)=LEFT($BB15,7)),IF($BC15="","",IF(AND(ISERROR($AQ15),LEFT($BB15,7)=LEFT($BB14,7)),$AQ14,IF(AND($AQ15=0,LEFT($BB15,7)=LEFT($BB14,7)),$AQ14,$AQ15))),IF(AND($AQ16=0,LEFT($BB16,7)=LEFT($BB15,7)),IF($BC15="","",IF(AND(ISERROR($AQ15),LEFT($BB15,7)=LEFT($BB14,7)),IF($BC14="","",IF(AND(ISERROR($AQ14),LEFT($BB14,7)=LEFT($BB13,7)),$AQ13,IF(AND($AQ14=0,LEFT($BB14,7)=LEFT($BB13,7)),$AQ13,$AQ14))),IF(AND($AQ15=0,LEFT($BB15,7)=LEFT($BB14,7)),IF($BC14="","",IF(AND(ISERROR($AQ14),LEFT($BB14,7)=LEFT($BB13,7)),IF($BC13="","",IF(AND(ISERROR($AQ13),LEFT($BB13,7)=LEFT($BB12,7)),$AQ12,IF(AND($AQ13=0,LEFT($BB13,7)=LEFT($BB12,7)),$AQ12,$AQ13))),IF(AND($AQ14=0,LEFT($BB14,7)=LEFT($BB13,7)),IF($BC13="","",IF(AND(ISERROR($AQ13),LEFT($BB13,7)=LEFT($BB12,7)),$AQ12,IF(AND($AQ13=0,LEFT($BB13,7)=LEFT($BB12,7)),$AQ12,$AQ13))),$AQ14))),$AQ15))),$AQ16))),$AQ17))),$AQ21))),$AQ19))),$AQ20))),$AQ18)))))</f>
        <v/>
      </c>
      <c r="BZ21" s="3487"/>
      <c r="CA21" s="3487"/>
      <c r="CB21" s="1359" t="str">
        <f>+IF($BB21="","",IF(BX21="","",IF($BC21="","",IF(AND(ISERROR(#REF!),LEFT($BB21,7)=LEFT($BB20,7)),IF($BC20="","",IF(AND(ISERROR($AT20),LEFT($BB20,7)=LEFT($BB19,7)),$AT19,IF(AND($AT20=0,LEFT($BB20,7)=LEFT($BB19,7)),$AT19,$AT20))),IF(AND(#REF!=0,LEFT($BB21,7)=LEFT($BB20,7)),IF($BC20="","",IF(AND(ISERROR($AT20),LEFT($BB20,7)=LEFT($BB19,7)),IF($BC19="","",IF(AND(ISERROR($AT19),LEFT($BB19,7)=LEFT($BB18,7)),$AT21,IF(AND($AT19=0,LEFT($BB19,7)=LEFT($BB18,7)),$AT21,$AT19))),IF(AND($AT20=0,LEFT($BB20,7)=LEFT($BB19,7)),IF($BC19="","",IF(AND(ISERROR($AT19),LEFT($BB19,7)=LEFT($BB18,7)),IF($BC18="","",IF(AND(ISERROR($AT21),LEFT($BB18,7)=LEFT($BB17,7)),$AT17,IF(AND($AT21=0,LEFT($BB18,7)=LEFT($BB17,7)),$AT17,$AT21))),IF(AND($AT19=0,LEFT($BB19,7)=LEFT($BB18,7)),IF($BC18="","",IF(AND(ISERROR($AT21),LEFT($BB18,7)=LEFT($BB17,7)),IF($BC17="","",IF(AND(ISERROR($AT17),LEFT($BB17,7)=LEFT($BB16,7)),$AT16,IF(AND($AT17=0,LEFT($BB17,7)=LEFT($BB16,7)),$AT16,$AT17))),IF(AND($AT21=0,LEFT($BB18,7)=LEFT($BB17,7)),IF($BC17="","",IF(AND(ISERROR($AT17),LEFT($BB17,7)=LEFT($BB16,7)),IF($BC16="","",IF(AND(ISERROR($AT16),LEFT($BB16,7)=LEFT($BB15,7)),$AT15,IF(AND($AT16=0,LEFT($BB16,7)=LEFT($BB15,7)),$AT15,$AT16))),IF(AND($AT17=0,LEFT($BB17,7)=LEFT($BB16,7)),IF($BC16="","",IF(AND(ISERROR($AT16),LEFT($BB16,7)=LEFT($BB15,7)),IF($BC15="","",IF(AND(ISERROR($AT15),LEFT($BB15,7)=LEFT($BB14,7)),$AT14,IF(AND($AT15=0,LEFT($BB15,7)=LEFT($BB14,7)),$AT14,$AT15))),IF(AND($AT16=0,LEFT($BB16,7)=LEFT($BB15,7)),IF($BC15="","",IF(AND(ISERROR($AT15),LEFT($BB15,7)=LEFT($BB14,7)),IF($BC14="","",IF(AND(ISERROR($AT14),LEFT($BB14,7)=LEFT($BB13,7)),$AT13,IF(AND($AT14=0,LEFT($BB14,7)=LEFT($BB13,7)),$AT13,$AT14))),IF(AND($AT15=0,LEFT($BB15,7)=LEFT($BB14,7)),IF($BC14="","",IF(AND(ISERROR($AT14),LEFT($BB14,7)=LEFT($BB13,7)),IF($BC13="","",IF(AND(ISERROR($AT13),LEFT($BB13,7)=LEFT($BB12,7)),$AT12,IF(AND($AT13=0,LEFT($BB13,7)=LEFT($BB12,7)),$AT12,$AT13))),IF(AND($AT14=0,LEFT($BB14,7)=LEFT($BB13,7)),IF($BC13="","",IF(AND(ISERROR($AT13),LEFT($BB13,7)=LEFT($BB12,7)),$AT12,IF(AND($AT13=0,LEFT($BB13,7)=LEFT($BB12,7)),$AT12,$AT13))),$AT14))),$AT15))),$AT16))),$AT17))),$AT21))),$AT19))),$AT20))),#REF!)))-BX21))</f>
        <v/>
      </c>
      <c r="CC21" s="1360" t="str">
        <f>+IF($BB21="","",IF(CB21="","",CB21/IF($BC21="","",IF(AND(ISERROR(#REF!),LEFT($BB21,7)=LEFT($BB20,7)),IF($BC20="","",IF(AND(ISERROR($AT20),LEFT($BB20,7)=LEFT($BB19,7)),$AT19,IF(AND($AT20=0,LEFT($BB20,7)=LEFT($BB19,7)),$AT19,$AT20))),IF(AND(#REF!=0,LEFT($BB21,7)=LEFT($BB20,7)),IF($BC20="","",IF(AND(ISERROR($AT20),LEFT($BB20,7)=LEFT($BB19,7)),IF($BC19="","",IF(AND(ISERROR($AT19),LEFT($BB19,7)=LEFT($BB18,7)),$AT21,IF(AND($AT19=0,LEFT($BB19,7)=LEFT($BB18,7)),$AT21,$AT19))),IF(AND($AT20=0,LEFT($BB20,7)=LEFT($BB19,7)),IF($BC19="","",IF(AND(ISERROR($AT19),LEFT($BB19,7)=LEFT($BB18,7)),IF($BC18="","",IF(AND(ISERROR($AT21),LEFT($BB18,7)=LEFT($BB17,7)),$AT17,IF(AND($AT21=0,LEFT($BB18,7)=LEFT($BB17,7)),$AT17,$AT21))),IF(AND($AT19=0,LEFT($BB19,7)=LEFT($BB18,7)),IF($BC18="","",IF(AND(ISERROR($AT21),LEFT($BB18,7)=LEFT($BB17,7)),IF($BC17="","",IF(AND(ISERROR($AT17),LEFT($BB17,7)=LEFT($BB16,7)),$AT16,IF(AND($AT17=0,LEFT($BB17,7)=LEFT($BB16,7)),$AT16,$AT17))),IF(AND($AT21=0,LEFT($BB18,7)=LEFT($BB17,7)),IF($BC17="","",IF(AND(ISERROR($AT17),LEFT($BB17,7)=LEFT($BB16,7)),IF($BC16="","",IF(AND(ISERROR($AT16),LEFT($BB16,7)=LEFT($BB15,7)),$AT15,IF(AND($AT16=0,LEFT($BB16,7)=LEFT($BB15,7)),$AT15,$AT16))),IF(AND($AT17=0,LEFT($BB17,7)=LEFT($BB16,7)),IF($BC16="","",IF(AND(ISERROR($AT16),LEFT($BB16,7)=LEFT($BB15,7)),IF($BC15="","",IF(AND(ISERROR($AT15),LEFT($BB15,7)=LEFT($BB14,7)),$AT14,IF(AND($AT15=0,LEFT($BB15,7)=LEFT($BB14,7)),$AT14,$AT15))),IF(AND($AT16=0,LEFT($BB16,7)=LEFT($BB15,7)),IF($BC15="","",IF(AND(ISERROR($AT15),LEFT($BB15,7)=LEFT($BB14,7)),IF($BC14="","",IF(AND(ISERROR($AT14),LEFT($BB14,7)=LEFT($BB13,7)),$AT13,IF(AND($AT14=0,LEFT($BB14,7)=LEFT($BB13,7)),$AT13,$AT14))),IF(AND($AT15=0,LEFT($BB15,7)=LEFT($BB14,7)),IF($BC14="","",IF(AND(ISERROR($AT14),LEFT($BB14,7)=LEFT($BB13,7)),IF($BC13="","",IF(AND(ISERROR($AT13),LEFT($BB13,7)=LEFT($BB12,7)),$AT12,IF(AND($AT13=0,LEFT($BB13,7)=LEFT($BB12,7)),$AT12,$AT13))),IF(AND($AT14=0,LEFT($BB14,7)=LEFT($BB13,7)),IF($BC13="","",IF(AND(ISERROR($AT13),LEFT($BB13,7)=LEFT($BB12,7)),$AT12,IF(AND($AT13=0,LEFT($BB13,7)=LEFT($BB12,7)),$AT12,$AT13))),$AT14))),$AT15))),$AT16))),$AT17))),$AT21))),$AT19))),$AT20))),#REF!)))))</f>
        <v/>
      </c>
      <c r="CD21" s="1361" t="str">
        <f>+IF($BB21="","",IF(BU21="","",(1-BU21/IF($BC21="","",IF(AND(ISERROR(#REF!),LEFT($BB21,7)=LEFT($BB20,7)),IF($BC20="","",IF(AND(ISERROR($AR20),LEFT($BB20,7)=LEFT($BB19,7)),$AR19,IF(AND($AR20=0,LEFT($BB20,7)=LEFT($BB19,7)),$AR19,$AR20))),IF(AND(#REF!=0,LEFT($BB21,7)=LEFT($BB20,7)),IF($BC20="","",IF(AND(ISERROR($AR20),LEFT($BB20,7)=LEFT($BB19,7)),IF($BC19="","",IF(AND(ISERROR($AR19),LEFT($BB19,7)=LEFT($BB18,7)),$AR21,IF(AND($AR19=0,LEFT($BB19,7)=LEFT($BB18,7)),$AR21,$AR19))),IF(AND($AR20=0,LEFT($BB20,7)=LEFT($BB19,7)),IF($BC19="","",IF(AND(ISERROR($AR19),LEFT($BB19,7)=LEFT($BB18,7)),IF($BC18="","",IF(AND(ISERROR($AR21),LEFT($BB18,7)=LEFT($BB17,7)),$AR17,IF(AND($AR21=0,LEFT($BB18,7)=LEFT($BB17,7)),$AR17,$AR21))),IF(AND($AR19=0,LEFT($BB19,7)=LEFT($BB18,7)),IF($BC18="","",IF(AND(ISERROR($AR21),LEFT($BB18,7)=LEFT($BB17,7)),IF($BC17="","",IF(AND(ISERROR($AR17),LEFT($BB17,7)=LEFT($BB16,7)),$AR16,IF(AND($AR17=0,LEFT($BB17,7)=LEFT($BB16,7)),$AR16,$AR17))),IF(AND($AR21=0,LEFT($BB18,7)=LEFT($BB17,7)),IF($BC17="","",IF(AND(ISERROR($AR17),LEFT($BB17,7)=LEFT($BB16,7)),IF($BC16="","",IF(AND(ISERROR($AR16),LEFT($BB16,7)=LEFT($BB15,7)),$AR15,IF(AND($AR16=0,LEFT($BB16,7)=LEFT($BB15,7)),$AR15,$AR16))),IF(AND($AR17=0,LEFT($BB17,7)=LEFT($BB16,7)),IF($BC16="","",IF(AND(ISERROR($AR16),LEFT($BB16,7)=LEFT($BB15,7)),IF($BC15="","",IF(AND(ISERROR($AR15),LEFT($BB15,7)=LEFT($BB14,7)),$AR14,IF(AND($AR15=0,LEFT($BB15,7)=LEFT($BB14,7)),$AR14,$AR15))),IF(AND($AR16=0,LEFT($BB16,7)=LEFT($BB15,7)),IF($BC15="","",IF(AND(ISERROR($AR15),LEFT($BB15,7)=LEFT($BB14,7)),IF($BC14="","",IF(AND(ISERROR($AR14),LEFT($BB14,7)=LEFT($BB13,7)),$AR13,IF(AND($AR14=0,LEFT($BB14,7)=LEFT($BB13,7)),$AR13,$AR14))),IF(AND($AR15=0,LEFT($BB15,7)=LEFT($BB14,7)),IF($BC14="","",IF(AND(ISERROR($AR14),LEFT($BB14,7)=LEFT($BB13,7)),IF($BC13="","",IF(AND(ISERROR($AR13),LEFT($BB13,7)=LEFT($BB12,7)),$AR12,IF(AND($AR13=0,LEFT($BB13,7)=LEFT($BB12,7)),$AR12,$AR13))),IF(AND($AR14=0,LEFT($BB14,7)=LEFT($BB13,7)),IF($BC13="","",IF(AND(ISERROR($AR13),LEFT($BB13,7)=LEFT($BB12,7)),$AR12,IF(AND($AR13=0,LEFT($BB13,7)=LEFT($BB12,7)),$AR12,$AR13))),$AR14))),$AR15))),$AR16))),$AR17))),$AR21))),$AR19))),$AR20))),#REF!))))))</f>
        <v/>
      </c>
      <c r="CE21" s="6922"/>
      <c r="CF21" s="5133"/>
      <c r="CG21" s="6115"/>
      <c r="CH21" s="5131"/>
      <c r="CI21" s="6907" t="str">
        <f>+IF(OR(CH21="",ISERROR(MATCH(CH21,EFF_ID,0))),"",VLOOKUP(MATCH(CH21,EFF_ID,0),ef,'11(eff)'!#REF!,FALSE))</f>
        <v/>
      </c>
      <c r="CJ21" s="1357"/>
      <c r="CK21" s="1358" t="str">
        <f>+IF($BB21="","",IF(CI21="","",CI21/2000*IF($BC21="","",IF(AND(ISERROR($AW21),LEFT($BB21,7)=LEFT($BB20,7)),IF($BC20="","",IF(AND(ISERROR($AW20),LEFT($BB20,7)=LEFT($BB19,7)),$AW19,IF(AND($AW20=0,LEFT($BB20,7)=LEFT($BB19,7)),$AW19,$AW20))),IF(AND($AW21=0,LEFT($BB21,7)=LEFT($BB20,7)),IF($BC20="","",IF(AND(ISERROR($AW20),LEFT($BB20,7)=LEFT($BB19,7)),IF($BC19="","",IF(AND(ISERROR($AW19),LEFT($BB19,7)=LEFT($BB18,7)),$AW18,IF(AND($AW19=0,LEFT($BB19,7)=LEFT($BB18,7)),$AW18,$AW19))),IF(AND($AW20=0,LEFT($BB20,7)=LEFT($BB19,7)),IF($BC19="","",IF(AND(ISERROR($AW19),LEFT($BB19,7)=LEFT($BB18,7)),IF($BC18="","",IF(AND(ISERROR($AW18),LEFT($BB18,7)=LEFT($BB17,7)),$AW17,IF(AND($AW18=0,LEFT($BB18,7)=LEFT($BB17,7)),$AW17,$AW18))),IF(AND($AW19=0,LEFT($BB19,7)=LEFT($BB18,7)),IF($BC18="","",IF(AND(ISERROR($AW18),LEFT($BB18,7)=LEFT($BB17,7)),IF($BC17="","",IF(AND(ISERROR($AW17),LEFT($BB17,7)=LEFT($BB16,7)),$AW16,IF(AND($AW17=0,LEFT($BB17,7)=LEFT($BB16,7)),$AW16,$AW17))),IF(AND($AW18=0,LEFT($BB18,7)=LEFT($BB17,7)),IF($BC17="","",IF(AND(ISERROR($AW17),LEFT($BB17,7)=LEFT($BB16,7)),IF($BC16="","",IF(AND(ISERROR($AW16),LEFT($BB16,7)=LEFT($BB15,7)),$AW15,IF(AND($AW16=0,LEFT($BB16,7)=LEFT($BB15,7)),$AW15,$AW16))),IF(AND($AW17=0,LEFT($BB17,7)=LEFT($BB16,7)),IF($BC16="","",IF(AND(ISERROR($AW16),LEFT($BB16,7)=LEFT($BB15,7)),IF($BC15="","",IF(AND(ISERROR($AW15),LEFT($BB15,7)=LEFT($BB14,7)),$AW14,IF(AND($AW15=0,LEFT($BB15,7)=LEFT($BB14,7)),$AW14,$AW15))),IF(AND($AW16=0,LEFT($BB16,7)=LEFT($BB15,7)),IF($BC15="","",IF(AND(ISERROR($AW15),LEFT($BB15,7)=LEFT($BB14,7)),IF($BC14="","",IF(AND(ISERROR($AW14),LEFT($BB14,7)=LEFT($BB13,7)),$AW13,IF(AND($AW14=0,LEFT($BB14,7)=LEFT($BB13,7)),$AW13,$AW14))),IF(AND($AW15=0,LEFT($BB15,7)=LEFT($BB14,7)),IF($BC14="","",IF(AND(ISERROR($AW14),LEFT($BB14,7)=LEFT($BB13,7)),IF($BC13="","",IF(AND(ISERROR($AW13),LEFT($BB13,7)=LEFT($BB12,7)),$AW12,IF(AND($AW13=0,LEFT($BB13,7)=LEFT($BB12,7)),$AW12,$AW13))),IF(AND($AW14=0,LEFT($BB14,7)=LEFT($BB13,7)),IF($BC13="","",IF(AND(ISERROR($AW13),LEFT($BB13,7)=LEFT($BB12,7)),$AW12,IF(AND($AW13=0,LEFT($BB13,7)=LEFT($BB12,7)),$AW12,$AW13))),$AW14))),$AW15))),$AW16))),$AW17))),$AW18))),$AW19))),$AW20))),$AW21)))))</f>
        <v/>
      </c>
      <c r="CL21" s="1359" t="str">
        <f>+IF($BB21="","",IF(CK21="","",IF($BC21="","",IF(AND(ISERROR($AZ21),LEFT($BB21,7)=LEFT($BB20,7)),IF($BC20="","",IF(AND(ISERROR($AZ20),LEFT($BB20,7)=LEFT($BB19,7)),$AZ19,IF(AND($AZ20=0,LEFT($BB20,7)=LEFT($BB19,7)),$AZ19,$AZ20))),IF(AND($AZ21=0,LEFT($BB21,7)=LEFT($BB20,7)),IF($BC20="","",IF(AND(ISERROR($AZ20),LEFT($BB20,7)=LEFT($BB19,7)),IF($BC19="","",IF(AND(ISERROR($AZ19),LEFT($BB19,7)=LEFT($BB18,7)),$AZ18,IF(AND($AZ19=0,LEFT($BB19,7)=LEFT($BB18,7)),$AZ18,$AZ19))),IF(AND($AZ20=0,LEFT($BB20,7)=LEFT($BB19,7)),IF($BC19="","",IF(AND(ISERROR($AZ19),LEFT($BB19,7)=LEFT($BB18,7)),IF($BC18="","",IF(AND(ISERROR($AZ18),LEFT($BB18,7)=LEFT($BB17,7)),$AZ17,IF(AND($AZ18=0,LEFT($BB18,7)=LEFT($BB17,7)),$AZ17,$AZ18))),IF(AND($AZ19=0,LEFT($BB19,7)=LEFT($BB18,7)),IF($BC18="","",IF(AND(ISERROR($AZ18),LEFT($BB18,7)=LEFT($BB17,7)),IF($BC17="","",IF(AND(ISERROR($AZ17),LEFT($BB17,7)=LEFT($BB16,7)),$AZ16,IF(AND($AZ17=0,LEFT($BB17,7)=LEFT($BB16,7)),$AZ16,$AZ17))),IF(AND($AZ18=0,LEFT($BB18,7)=LEFT($BB17,7)),IF($BC17="","",IF(AND(ISERROR($AZ17),LEFT($BB17,7)=LEFT($BB16,7)),IF($BC16="","",IF(AND(ISERROR($AZ16),LEFT($BB16,7)=LEFT($BB15,7)),$AZ15,IF(AND($AZ16=0,LEFT($BB16,7)=LEFT($BB15,7)),$AZ15,$AZ16))),IF(AND($AZ17=0,LEFT($BB17,7)=LEFT($BB16,7)),IF($BC16="","",IF(AND(ISERROR($AZ16),LEFT($BB16,7)=LEFT($BB15,7)),IF($BC15="","",IF(AND(ISERROR($AZ15),LEFT($BB15,7)=LEFT($BB14,7)),$AZ14,IF(AND($AZ15=0,LEFT($BB15,7)=LEFT($BB14,7)),$AZ14,$AZ15))),IF(AND($AZ16=0,LEFT($BB16,7)=LEFT($BB15,7)),IF($BC15="","",IF(AND(ISERROR($AZ15),LEFT($BB15,7)=LEFT($BB14,7)),IF($BC14="","",IF(AND(ISERROR($AZ14),LEFT($BB14,7)=LEFT($BB13,7)),$AZ13,IF(AND($AZ14=0,LEFT($BB14,7)=LEFT($BB13,7)),$AZ13,$AZ14))),IF(AND($AZ15=0,LEFT($BB15,7)=LEFT($BB14,7)),IF($BC14="","",IF(AND(ISERROR($AZ14),LEFT($BB14,7)=LEFT($BB13,7)),IF($BC13="","",IF(AND(ISERROR($AZ13),LEFT($BB13,7)=LEFT($BB12,7)),$AZ12,IF(AND($AZ13=0,LEFT($BB13,7)=LEFT($BB12,7)),$AZ12,$AZ13))),IF(AND($AZ14=0,LEFT($BB14,7)=LEFT($BB13,7)),IF($BC13="","",IF(AND(ISERROR($AZ13),LEFT($BB13,7)=LEFT($BB12,7)),$AZ12,IF(AND($AZ13=0,LEFT($BB13,7)=LEFT($BB12,7)),$AZ12,$AZ13))),$AZ14))),$AZ15))),$AZ16))),$AZ17))),$AZ18))),$AZ19))),$AZ20))),$AZ21)))-CK21))</f>
        <v/>
      </c>
      <c r="CM21" s="1360" t="str">
        <f>+IF($BB21="","",IF(CL21="","",CL21/IF($BC21="","",IF(AND(ISERROR($AZ21),LEFT($BB21,7)=LEFT($BB20,7)),IF($BC20="","",IF(AND(ISERROR($AZ20),LEFT($BB20,7)=LEFT($BB19,7)),$AZ19,IF(AND($AZ20=0,LEFT($BB20,7)=LEFT($BB19,7)),$AZ19,$AZ20))),IF(AND($AZ21=0,LEFT($BB21,7)=LEFT($BB20,7)),IF($BC20="","",IF(AND(ISERROR($AZ20),LEFT($BB20,7)=LEFT($BB19,7)),IF($BC19="","",IF(AND(ISERROR($AZ19),LEFT($BB19,7)=LEFT($BB18,7)),$AZ18,IF(AND($AZ19=0,LEFT($BB19,7)=LEFT($BB18,7)),$AZ18,$AZ19))),IF(AND($AZ20=0,LEFT($BB20,7)=LEFT($BB19,7)),IF($BC19="","",IF(AND(ISERROR($AZ19),LEFT($BB19,7)=LEFT($BB18,7)),IF($BC18="","",IF(AND(ISERROR($AZ18),LEFT($BB18,7)=LEFT($BB17,7)),$AZ17,IF(AND($AZ18=0,LEFT($BB18,7)=LEFT($BB17,7)),$AZ17,$AZ18))),IF(AND($AZ19=0,LEFT($BB19,7)=LEFT($BB18,7)),IF($BC18="","",IF(AND(ISERROR($AZ18),LEFT($BB18,7)=LEFT($BB17,7)),IF($BC17="","",IF(AND(ISERROR($AZ17),LEFT($BB17,7)=LEFT($BB16,7)),$AZ16,IF(AND($AZ17=0,LEFT($BB17,7)=LEFT($BB16,7)),$AZ16,$AZ17))),IF(AND($AZ18=0,LEFT($BB18,7)=LEFT($BB17,7)),IF($BC17="","",IF(AND(ISERROR($AZ17),LEFT($BB17,7)=LEFT($BB16,7)),IF($BC16="","",IF(AND(ISERROR($AZ16),LEFT($BB16,7)=LEFT($BB15,7)),$AZ15,IF(AND($AZ16=0,LEFT($BB16,7)=LEFT($BB15,7)),$AZ15,$AZ16))),IF(AND($AZ17=0,LEFT($BB17,7)=LEFT($BB16,7)),IF($BC16="","",IF(AND(ISERROR($AZ16),LEFT($BB16,7)=LEFT($BB15,7)),IF($BC15="","",IF(AND(ISERROR($AZ15),LEFT($BB15,7)=LEFT($BB14,7)),$AZ14,IF(AND($AZ15=0,LEFT($BB15,7)=LEFT($BB14,7)),$AZ14,$AZ15))),IF(AND($AZ16=0,LEFT($BB16,7)=LEFT($BB15,7)),IF($BC15="","",IF(AND(ISERROR($AZ15),LEFT($BB15,7)=LEFT($BB14,7)),IF($BC14="","",IF(AND(ISERROR($AZ14),LEFT($BB14,7)=LEFT($BB13,7)),$AZ13,IF(AND($AZ14=0,LEFT($BB14,7)=LEFT($BB13,7)),$AZ13,$AZ14))),IF(AND($AZ15=0,LEFT($BB15,7)=LEFT($BB14,7)),IF($BC14="","",IF(AND(ISERROR($AZ14),LEFT($BB14,7)=LEFT($BB13,7)),IF($BC13="","",IF(AND(ISERROR($AZ13),LEFT($BB13,7)=LEFT($BB12,7)),$AZ12,IF(AND($AZ13=0,LEFT($BB13,7)=LEFT($BB12,7)),$AZ12,$AZ13))),IF(AND($AZ14=0,LEFT($BB14,7)=LEFT($BB13,7)),IF($BC13="","",IF(AND(ISERROR($AZ13),LEFT($BB13,7)=LEFT($BB12,7)),$AZ12,IF(AND($AZ13=0,LEFT($BB13,7)=LEFT($BB12,7)),$AZ12,$AZ13))),$AZ14))),$AZ15))),$AZ16))),$AZ17))),$AZ18))),$AZ19))),$AZ20))),$AZ21)))))</f>
        <v/>
      </c>
      <c r="CN21" s="1361" t="str">
        <f>+IF($BB21="","",IF(CI21="","",(1-CI21/IF($BC21="","",IF(AND(ISERROR($AX21),LEFT($BB21,7)=LEFT($BB20,7)),IF($BC20="","",IF(AND(ISERROR($AX20),LEFT($BB20,7)=LEFT($BB19,7)),$AX19,IF(AND($AX20=0,LEFT($BB20,7)=LEFT($BB19,7)),$AX19,$AX20))),IF(AND($AX21=0,LEFT($BB21,7)=LEFT($BB20,7)),IF($BC20="","",IF(AND(ISERROR($AX20),LEFT($BB20,7)=LEFT($BB19,7)),IF($BC19="","",IF(AND(ISERROR($AX19),LEFT($BB19,7)=LEFT($BB18,7)),$AX18,IF(AND($AX19=0,LEFT($BB19,7)=LEFT($BB18,7)),$AX18,$AX19))),IF(AND($AX20=0,LEFT($BB20,7)=LEFT($BB19,7)),IF($BC19="","",IF(AND(ISERROR($AX19),LEFT($BB19,7)=LEFT($BB18,7)),IF($BC18="","",IF(AND(ISERROR($AX18),LEFT($BB18,7)=LEFT($BB17,7)),$AX17,IF(AND($AX18=0,LEFT($BB18,7)=LEFT($BB17,7)),$AX17,$AX18))),IF(AND($AX19=0,LEFT($BB19,7)=LEFT($BB18,7)),IF($BC18="","",IF(AND(ISERROR($AX18),LEFT($BB18,7)=LEFT($BB17,7)),IF($BC17="","",IF(AND(ISERROR($AX17),LEFT($BB17,7)=LEFT($BB16,7)),$AX16,IF(AND($AX17=0,LEFT($BB17,7)=LEFT($BB16,7)),$AX16,$AX17))),IF(AND($AX18=0,LEFT($BB18,7)=LEFT($BB17,7)),IF($BC17="","",IF(AND(ISERROR($AX17),LEFT($BB17,7)=LEFT($BB16,7)),IF($BC16="","",IF(AND(ISERROR($AX16),LEFT($BB16,7)=LEFT($BB15,7)),$AX15,IF(AND($AX16=0,LEFT($BB16,7)=LEFT($BB15,7)),$AX15,$AX16))),IF(AND($AX17=0,LEFT($BB17,7)=LEFT($BB16,7)),IF($BC16="","",IF(AND(ISERROR($AX16),LEFT($BB16,7)=LEFT($BB15,7)),IF($BC15="","",IF(AND(ISERROR($AX15),LEFT($BB15,7)=LEFT($BB14,7)),$AX14,IF(AND($AX15=0,LEFT($BB15,7)=LEFT($BB14,7)),$AX14,$AX15))),IF(AND($AX16=0,LEFT($BB16,7)=LEFT($BB15,7)),IF($BC15="","",IF(AND(ISERROR($AX15),LEFT($BB15,7)=LEFT($BB14,7)),IF($BC14="","",IF(AND(ISERROR($AX14),LEFT($BB14,7)=LEFT($BB13,7)),$AX13,IF(AND($AX14=0,LEFT($BB14,7)=LEFT($BB13,7)),$AX13,$AX14))),IF(AND($AX15=0,LEFT($BB15,7)=LEFT($BB14,7)),IF($BC14="","",IF(AND(ISERROR($AX14),LEFT($BB14,7)=LEFT($BB13,7)),IF($BC13="","",IF(AND(ISERROR($AX13),LEFT($BB13,7)=LEFT($BB12,7)),$AX12,IF(AND($AX13=0,LEFT($BB13,7)=LEFT($BB12,7)),$AX12,$AX13))),IF(AND($AX14=0,LEFT($BB14,7)=LEFT($BB13,7)),IF($BC13="","",IF(AND(ISERROR($AX13),LEFT($BB13,7)=LEFT($BB12,7)),$AX12,IF(AND($AX13=0,LEFT($BB13,7)=LEFT($BB12,7)),$AX12,$AX13))),$AX14))),$AX15))),$AX16))),$AX17))),$AX18))),$AX19))),$AX20))),$AX21))))))</f>
        <v/>
      </c>
      <c r="CO21" s="6928"/>
      <c r="CP21" s="5133"/>
      <c r="CQ21" s="5133"/>
      <c r="CR21" s="5133"/>
      <c r="CS21" s="5133"/>
      <c r="CT21" s="5133"/>
      <c r="CU21" s="5133"/>
      <c r="CV21" s="5133" t="str">
        <f>+IF(CT21="","",CT21-CU21-SUM(CW21:DH21)-DJ21)</f>
        <v/>
      </c>
      <c r="CW21" s="5133"/>
      <c r="CX21" s="6930"/>
      <c r="CY21" s="6119"/>
      <c r="CZ21" s="6119"/>
      <c r="DA21" s="6119"/>
      <c r="DB21" s="6119"/>
      <c r="DC21" s="5133"/>
      <c r="DD21" s="6788"/>
      <c r="DE21" s="6788"/>
      <c r="DF21" s="6788"/>
      <c r="DG21" s="5133"/>
      <c r="DH21" s="5133"/>
      <c r="DI21" s="5133" t="str">
        <f>+IF(CT21="","",SUM(CU21:DC21)+SUM(DE21:DF21))</f>
        <v/>
      </c>
      <c r="DJ21" s="5133"/>
      <c r="DK21" s="5133"/>
      <c r="DL21" s="5133"/>
      <c r="DM21" s="5133" t="str">
        <f>+IF(DK21="","",DK21-DL21-SUM(DN21:DY21)-EA21)</f>
        <v/>
      </c>
      <c r="DN21" s="5133"/>
      <c r="DO21" s="6788"/>
      <c r="DP21" s="5133"/>
      <c r="DQ21" s="5133"/>
      <c r="DR21" s="5133"/>
      <c r="DS21" s="5133"/>
      <c r="DT21" s="5133"/>
      <c r="DU21" s="6788"/>
      <c r="DV21" s="6788"/>
      <c r="DW21" s="6788"/>
      <c r="DX21" s="5133"/>
      <c r="DY21" s="5133"/>
      <c r="DZ21" s="5133"/>
      <c r="EA21" s="5133"/>
      <c r="EB21" s="5133"/>
      <c r="EC21" s="5133"/>
      <c r="ED21" s="5133"/>
      <c r="EE21" s="5133"/>
      <c r="EF21" s="5133"/>
      <c r="EG21" s="5133"/>
      <c r="EH21" s="5133"/>
      <c r="EI21" s="5133"/>
      <c r="EJ21" s="5133"/>
      <c r="EK21" s="5133"/>
      <c r="EL21" s="5133"/>
      <c r="EM21" s="5133"/>
      <c r="EN21" s="5133"/>
      <c r="EO21" s="5133"/>
      <c r="EP21" s="5133"/>
      <c r="EQ21" s="5133"/>
      <c r="ER21" s="7405"/>
      <c r="ES21" s="7405"/>
      <c r="ET21" s="5133"/>
      <c r="EU21" s="5133"/>
      <c r="EV21" s="5133"/>
      <c r="EW21" s="5133"/>
      <c r="EX21" s="5133"/>
      <c r="EY21" s="5133"/>
      <c r="EZ21" s="5133"/>
      <c r="FA21" s="5133"/>
      <c r="FB21" s="5133"/>
      <c r="FC21" s="5133"/>
      <c r="FD21" s="5133"/>
      <c r="FE21" s="5133"/>
      <c r="FF21" s="5133"/>
      <c r="FG21" s="5133"/>
      <c r="FH21" s="5133"/>
      <c r="FI21" s="5133"/>
      <c r="FJ21" s="5133"/>
      <c r="FK21" s="5133"/>
      <c r="FL21" s="5133"/>
      <c r="FM21" s="5133"/>
      <c r="FN21" s="5133"/>
      <c r="FO21" s="5133"/>
      <c r="FP21" s="5133"/>
      <c r="FQ21" s="5133"/>
      <c r="FR21" s="5133"/>
      <c r="FS21" s="5133"/>
      <c r="FT21" s="5133"/>
      <c r="FU21" s="5133"/>
      <c r="FV21" s="6896" t="str">
        <f>+IF(FC21="","",FC21/IF(OR(ISTEXT(T21),T21=""),IF(OR(ISTEXT(T20),T20=""),1,T20),T21))</f>
        <v/>
      </c>
      <c r="FW21" s="5133" t="str">
        <f>+IF(OR(EH21="",IF(R21="",R20,R21)=""),"",EH21/IF(R21="",R20,R21))</f>
        <v/>
      </c>
      <c r="FX21" s="5133" t="str">
        <f>+IF(ISERR(FW21/$FC21),"",FW21/$FC21)</f>
        <v/>
      </c>
      <c r="FY21" s="6896" t="str">
        <f>+IF(OR(EP21="",IF(R21="",R20,R21)=""),"",EP21/IF(R21="",R20,R21))</f>
        <v/>
      </c>
      <c r="FZ21" s="5133"/>
      <c r="GA21" s="5133"/>
      <c r="GB21" s="5133"/>
      <c r="GC21" s="5133"/>
      <c r="GD21" s="5133"/>
      <c r="GE21" s="5133"/>
      <c r="GF21" s="5133"/>
      <c r="GG21" s="5133"/>
      <c r="GH21" s="5133"/>
      <c r="GI21" s="6929"/>
      <c r="GJ21" s="6929"/>
      <c r="GK21" s="5133"/>
      <c r="GL21" s="5133"/>
      <c r="GM21" s="5133"/>
      <c r="GN21" s="5133"/>
      <c r="GO21" s="5133"/>
      <c r="GP21" s="10259"/>
      <c r="GQ21" s="10258"/>
      <c r="GR21" s="5133"/>
      <c r="GS21" s="5133"/>
      <c r="GT21" s="5133"/>
      <c r="GU21" s="5133"/>
      <c r="GV21" s="5133"/>
      <c r="GW21" s="5133"/>
      <c r="GX21" s="5133"/>
      <c r="GY21" s="5133"/>
      <c r="GZ21" s="5133"/>
      <c r="HA21" s="5133"/>
      <c r="HB21" s="5133"/>
      <c r="HC21" s="5133"/>
      <c r="HD21" s="5133"/>
      <c r="HE21" s="5133"/>
      <c r="HF21" s="5133"/>
      <c r="HG21" s="5133"/>
      <c r="HH21" s="5131"/>
      <c r="HI21" s="5131"/>
      <c r="HJ21" s="5131"/>
      <c r="HK21" s="5131"/>
      <c r="HL21" s="5131"/>
      <c r="HM21" s="5133"/>
      <c r="HN21" s="5131"/>
      <c r="HO21" s="5131"/>
      <c r="HP21" s="5131"/>
      <c r="HQ21" s="5131"/>
      <c r="HR21" s="5131"/>
      <c r="HS21" s="5131"/>
      <c r="HT21" s="5131"/>
      <c r="HU21" s="5131"/>
      <c r="HV21" s="5131"/>
      <c r="HW21" s="5131"/>
      <c r="HX21" s="6939"/>
      <c r="HY21" s="5133"/>
      <c r="HZ21" s="5133"/>
      <c r="IA21" s="5133"/>
      <c r="IB21" s="5133"/>
      <c r="IC21" s="5133"/>
      <c r="ID21" s="5133"/>
      <c r="IE21" s="5133"/>
      <c r="IF21" s="5133"/>
      <c r="IG21" s="5133"/>
      <c r="IH21" s="5133"/>
      <c r="II21" s="5133"/>
      <c r="IJ21" s="5133"/>
      <c r="IK21" s="5133"/>
      <c r="IL21" s="5131"/>
      <c r="IM21" s="5131"/>
      <c r="IN21" s="6119"/>
      <c r="IO21" s="6119"/>
      <c r="IP21" s="6119"/>
      <c r="IQ21" s="6119"/>
      <c r="IR21" s="6119"/>
      <c r="IS21" s="6119"/>
      <c r="IT21" s="6119"/>
      <c r="IU21" s="5131"/>
      <c r="IV21" s="5131"/>
      <c r="IW21" s="5131"/>
      <c r="IX21" s="5133"/>
      <c r="IY21" s="5133"/>
      <c r="IZ21" s="5133"/>
      <c r="JA21" s="5133"/>
      <c r="JB21" s="5133"/>
      <c r="JC21" s="5133"/>
      <c r="JD21" s="5133"/>
      <c r="JE21" s="5133"/>
      <c r="JF21" s="5133"/>
      <c r="JG21" s="5133"/>
      <c r="JH21" s="5133"/>
      <c r="JI21" s="5133"/>
      <c r="JJ21" s="8587"/>
      <c r="JK21" s="5133"/>
      <c r="JL21" s="5133"/>
      <c r="JM21" s="5133"/>
      <c r="JN21" s="5133"/>
      <c r="JO21" s="5133"/>
      <c r="JP21" s="5133"/>
      <c r="JQ21" s="5133"/>
      <c r="JR21" s="5133"/>
      <c r="JS21" s="5133"/>
      <c r="JT21" s="5133"/>
      <c r="JU21" s="5133"/>
      <c r="JV21" s="5133"/>
      <c r="JW21" s="5133"/>
      <c r="JX21" s="5133"/>
      <c r="JY21" s="5133"/>
      <c r="JZ21" s="5133"/>
      <c r="KA21" s="5133"/>
      <c r="KB21" s="5133"/>
      <c r="KC21" s="5133"/>
      <c r="KD21" s="5133"/>
      <c r="KE21" s="5133"/>
      <c r="KF21" s="5133"/>
      <c r="KG21" s="5133"/>
      <c r="KH21" s="5133"/>
      <c r="KI21" s="5133"/>
      <c r="KJ21" s="5133"/>
      <c r="KK21" s="5133"/>
      <c r="KL21" s="5133"/>
      <c r="KM21" s="5133"/>
      <c r="KN21" s="5133"/>
      <c r="KO21" s="5133"/>
      <c r="KP21" s="5133"/>
      <c r="KQ21" s="5940"/>
      <c r="KR21" s="5940"/>
      <c r="KS21" s="5940"/>
      <c r="KT21" s="5940"/>
      <c r="KU21" s="5131"/>
      <c r="KV21" s="5131"/>
      <c r="KW21" s="5131"/>
      <c r="KX21" s="5133"/>
      <c r="KY21" s="5940"/>
      <c r="KZ21" s="5940"/>
      <c r="LA21" s="5940"/>
      <c r="LC21" s="5131"/>
      <c r="LD21" s="5134"/>
      <c r="LE21" s="5134"/>
      <c r="LF21" s="5134"/>
      <c r="LG21" s="5134"/>
      <c r="LH21" s="5134"/>
      <c r="LI21" s="5134"/>
      <c r="LJ21" s="5134"/>
    </row>
    <row r="22" spans="1:322" s="717" customFormat="1" ht="12.75" hidden="1" customHeight="1">
      <c r="A22" s="6896" t="str">
        <f>+IF(O22="","",O22)</f>
        <v/>
      </c>
      <c r="B22" s="6896" t="str">
        <f>+IF(A22="","",VLOOKUP(MATCH(A22,tid,0),tao,'12(id)'!$J$20,FALSE))</f>
        <v/>
      </c>
      <c r="C22" s="6896" t="str">
        <f>+IF(Q22="","",Q22)</f>
        <v/>
      </c>
      <c r="D22" s="6896" t="str">
        <f>+IF(BB22="","",BB22)</f>
        <v/>
      </c>
      <c r="E22" s="5132"/>
      <c r="F22" s="5132"/>
      <c r="G22" s="5132"/>
      <c r="H22" s="5132"/>
      <c r="I22" s="5133"/>
      <c r="J22" s="5997"/>
      <c r="K22" s="5133"/>
      <c r="L22" s="5133"/>
      <c r="M22" s="6896"/>
      <c r="N22" s="5133"/>
      <c r="O22" s="5133"/>
      <c r="P22" s="6896" t="str">
        <f>+IF(O22="","",VLOOKUP(MATCH(O22,tid,0),tao,'12(id)'!$L$20,FALSE))</f>
        <v/>
      </c>
      <c r="Q22" s="6896" t="str">
        <f>+IF(ISERROR(MATCH(O22,tid,0)),"",VLOOKUP(MATCH(O22,tid,0),tao,'12(id)'!$Q$20,FALSE))</f>
        <v/>
      </c>
      <c r="R22" s="6896" t="str">
        <f>+IF(O22="","",VLOOKUP(MATCH(O22,tid,0),tao,'12(id)'!$U$20,FALSE))</f>
        <v/>
      </c>
      <c r="S22" s="6889"/>
      <c r="T22" s="6896" t="str">
        <f>+IF(ISERROR(MATCH(O22,tid,0)),"",IF(VLOOKUP(MATCH(O22,tid,0),tao,'12(id)'!$CT$20,FALSE)="","",VLOOKUP(MATCH(O22,tid,0),tao,'12(id)'!$CT$20,FALSE)))</f>
        <v/>
      </c>
      <c r="U22" s="6896" t="str">
        <f>+IF(ISERROR(MATCH(O22,tid,0)),"",IF(VLOOKUP(MATCH(O22,tid,0),tao,'12(id)'!$CU$20,FALSE)="","",VLOOKUP(MATCH(O22,tid,0),tao,'12(id)'!$CU$20,FALSE)))</f>
        <v/>
      </c>
      <c r="V22" s="6896" t="str">
        <f>+IF(O22="","",IF(VLOOKUP(MATCH(O22,tid,0),tao,'12(id)'!$T$20,FALSE)="","",VLOOKUP(MATCH(O22,tid,0),tao,'12(id)'!$T$20,FALSE)))</f>
        <v/>
      </c>
      <c r="W22" s="6896" t="str">
        <f>+IF(ISERROR(MATCH(O22,tid,0)),"",IF(VLOOKUP(MATCH(O22,tid,0),tao,'12(id)'!$CO$20,FALSE)="","",VLOOKUP(MATCH(O22,tid,0),tao,'12(id)'!$CO$20,FALSE)))</f>
        <v/>
      </c>
      <c r="X22" s="6896" t="str">
        <f>+IF(ISERROR(MATCH(O22,tid,0)),"",IF(VLOOKUP(MATCH(O22,tid,0),tao,'12(id)'!$CP$20,FALSE)="","",VLOOKUP(MATCH(O22,tid,0),tao,'12(id)'!$CP$20,FALSE)))</f>
        <v/>
      </c>
      <c r="Y22" s="6896" t="str">
        <f>+IF(ISERROR(MATCH(O22,tid,0)),"",IF(VLOOKUP(MATCH(O22,tid,0),tao,'12(id)'!$CQ$20,FALSE)="","",VLOOKUP(MATCH(O22,tid,0),tao,'12(id)'!$CQ$20,FALSE)))</f>
        <v/>
      </c>
      <c r="Z22" s="6896" t="str">
        <f>+IF(ISERROR(MATCH(O22,tid,0)),"",VLOOKUP(MATCH(O22,tid,0),tao,'12(id)'!$DB$20,FALSE)&amp;" "&amp;VLOOKUP(MATCH(O22,tid,0),tao,'12(id)'!$DC$20,FALSE))</f>
        <v/>
      </c>
      <c r="AA22" s="6896" t="str">
        <f>+IF(ISERROR(MATCH(O22,tid,0)),"",IF(VLOOKUP(MATCH(O22,tid,0),tao,'12(id)'!$DE$20,FALSE)="","",ROUND(VLOOKUP(MATCH(O22,tid,0),tao,'12(id)'!$DE$20,FALSE),0)&amp;" yrs"))</f>
        <v/>
      </c>
      <c r="AB22" s="6896" t="str">
        <f>+IF(ISERROR(MATCH(O22,tid,0)),"",VLOOKUP(MATCH(O22,tid,0),tao,'12(id)'!$DI$20,FALSE))</f>
        <v/>
      </c>
      <c r="AC22" s="6896" t="str">
        <f>+IF(ISERROR(MATCH(O22,tid,0)),"",IF(VLOOKUP(MATCH(O22,tid,0),tao,'12(id)'!$DQ$20,FALSE)="","",VLOOKUP(MATCH(O22,tid,0),tao,'12(id)'!$DQ$20,FALSE)))</f>
        <v/>
      </c>
      <c r="AD22" s="6896" t="str">
        <f>+IF(ISERROR(MATCH(O22,tid,0)),"",IF(VLOOKUP(MATCH(O22,tid,0),tao,'12(id)'!$EI$20,FALSE)="","",VLOOKUP(MATCH(O22,tid,0),tao,'12(id)'!$EI$20,FALSE)))</f>
        <v/>
      </c>
      <c r="AE22" s="6896" t="str">
        <f>+IF(ISERROR(MATCH(O22,tid,0)),"",IF(VLOOKUP(MATCH(O22,tid,0),tao,'12(id)'!$EJ$20,FALSE)="","",VLOOKUP(MATCH(O22,tid,0),tao,'12(id)'!$EJ$20,FALSE)))</f>
        <v/>
      </c>
      <c r="AF22" s="6896" t="str">
        <f>+IF(ISERROR(MATCH(O22,tid,0)),"",IF(VLOOKUP(MATCH(O22,tid,0),tao,'12(id)'!$EL$20,FALSE)="","",VLOOKUP(MATCH(O22,tid,0),tao,'12(id)'!$EL$20,FALSE)))</f>
        <v/>
      </c>
      <c r="AG22" s="6896" t="str">
        <f>+IF(ISERROR(MATCH(O22,tid,0)),"",IF(VLOOKUP(MATCH(O22,tid,0),tao,'12(id)'!$EM$20,FALSE)="","",VLOOKUP(MATCH(O22,tid,0),tao,'12(id)'!$EM$20,FALSE)))</f>
        <v/>
      </c>
      <c r="AH22" s="5133"/>
      <c r="AI22" s="5133"/>
      <c r="AJ22" s="5133"/>
      <c r="AK22" s="5133"/>
      <c r="AL22" s="5133"/>
      <c r="AM22" s="5133"/>
      <c r="AN22" s="5133"/>
      <c r="AO22" s="6896" t="str">
        <f>+IF(ISERROR(MATCH(O22,tid,0)),"",IF(VLOOKUP(MATCH(O22,tid,0),tao,'12(id)'!$GY$20,FALSE)="","",VLOOKUP(MATCH(O22,tid,0),tao,'12(id)'!$GY$20,FALSE)))</f>
        <v/>
      </c>
      <c r="AP22" s="6896" t="str">
        <f>+IF($BB22="","",IF(VLOOKUP(MATCH(O22,tid,0),tao,'12(id)'!$HE$20,FALSE)="","",VLOOKUP(MATCH(O22,tid,0),tao,'12(id)'!$HE$20,FALSE)))</f>
        <v/>
      </c>
      <c r="AQ22" s="6896" t="str">
        <f>+IF(ISERROR(VLOOKUP(MATCH(O22,tid,0),tao,'12(id)'!$HF$20,FALSE)),"",VLOOKUP(MATCH(O22,tid,0),tao,'12(id)'!$HF$20,FALSE))</f>
        <v/>
      </c>
      <c r="AR22" s="6896" t="str">
        <f>+IF(ISERROR(MATCH(O22,tid,0)),"",IF(VLOOKUP(MATCH(O22,tid,0),tao,'12(id)'!$HJ$20,FALSE)="","",VLOOKUP(MATCH(O22,tid,0),tao,'12(id)'!$HJ$20,FALSE)))</f>
        <v/>
      </c>
      <c r="AS22" s="6896" t="str">
        <f>+IF(ISERROR(MATCH(O22,tid,0)),"",IF(VLOOKUP(MATCH(O22,tid,0),tao,'12(id)'!$HK$20,FALSE)="","",VLOOKUP(MATCH(O22,tid,0),tao,'12(id)'!$HK$20,FALSE)))</f>
        <v/>
      </c>
      <c r="AT22" s="6896" t="str">
        <f>+IF(ISERROR(MATCH(O22,tid,0)),"",IF(VLOOKUP(MATCH(O22,tid,0),tao,'12(id)'!$HM$20,FALSE)="","",VLOOKUP(MATCH(O22,tid,0),tao,'12(id)'!$HM$20,FALSE)))</f>
        <v/>
      </c>
      <c r="AU22" s="271"/>
      <c r="AV22" s="6896" t="str">
        <f>+IF(ISERROR(MATCH(O22,em_id,0)),"",IF(VLOOKUP(MATCH(O22,em_id,0),em,'5(em)'!$CX$18,FALSE)="","",VLOOKUP(MATCH(O22,em_id,0),em,'5(em)'!$CX$18,FALSE)))</f>
        <v/>
      </c>
      <c r="AW22" s="6896" t="str">
        <f>+IF(ISERROR(MATCH(O22,em_id,0)),"",IF(VLOOKUP(MATCH(O22,em_id,0),em,'5(em)'!$CZ$18,FALSE)="","",VLOOKUP(MATCH(O22,em_id,0),em,'5(em)'!$CZ$18,FALSE)))</f>
        <v/>
      </c>
      <c r="AX22" s="6896" t="str">
        <f>+IF(OR(AW22="",AZ22=""),"",ROUND(2000*AZ22/AW22,2))</f>
        <v/>
      </c>
      <c r="AY22" s="5133"/>
      <c r="AZ22" s="6896" t="str">
        <f>+IF(ISERROR(MATCH(O22,em_id,0)),"",IF(VLOOKUP(MATCH(O22,em_id,0),em,'5(em)'!$DA$18,FALSE)="","",VLOOKUP(MATCH(O22,em_id,0),em,'5(em)'!$DA$18,FALSE)))</f>
        <v/>
      </c>
      <c r="BA22" s="271"/>
      <c r="BB22" s="6896" t="str">
        <f>+IF(BC22="","",IF(R22=1,(IF(O22="",LEFT(BB21,7),O22)&amp;"-0"&amp;BC22),IF(AND(LEFT(O22,4)=LEFT(O21,4),R22&gt;1),IF(LEFT(C22,1)=LEFT(C21,1),LEFT(BB21,9),O22&amp;"-0")&amp;BC22,IF(O22="",LEFT(BB21,9)&amp;BC22,O22&amp;"-0"&amp;BC22))))</f>
        <v/>
      </c>
      <c r="BC22" s="271"/>
      <c r="BD22" s="6896" t="str">
        <f>+IF(OR(D22="",VLOOKUP(MATCH(D22,op_id,0),op,'7(op)'!$T$18,FALSE)=""),"",VLOOKUP(MATCH(D22,op_id,0),op,'7(op)'!$T$18,FALSE))</f>
        <v/>
      </c>
      <c r="BE22" s="5133"/>
      <c r="BF22" s="5133"/>
      <c r="BG22" s="5133"/>
      <c r="BH22" s="5133"/>
      <c r="BI22" s="5133"/>
      <c r="BJ22" s="5133"/>
      <c r="BK22" s="5133"/>
      <c r="BL22" s="5133"/>
      <c r="BM22" s="5133"/>
      <c r="BN22" s="6896" t="str">
        <f>+IF($BB22="","",IF(OR($AJ22="",BJ22=""),"",BJ22/2000*$AJ22))</f>
        <v/>
      </c>
      <c r="BO22" s="6896" t="str">
        <f>+IF($BB22="","",IF(OR($AM22="",BN22=""),"",$AM22-BN22))</f>
        <v/>
      </c>
      <c r="BP22" s="6896" t="str">
        <f>+IF($BB22="","",IF(OR($AM22="",BO22=""),"",BO22/$AM22))</f>
        <v/>
      </c>
      <c r="BQ22" s="6896" t="str">
        <f>+IF($BB22="","",IF(OR($AK22="",BJ22=""),"",(1-BJ21/$AK22)))</f>
        <v/>
      </c>
      <c r="BR22" s="5133"/>
      <c r="BS22" s="5133"/>
      <c r="BT22" s="5133"/>
      <c r="BU22" s="6896" t="str">
        <f>+IF(BB22="","",IF(VLOOKUP(MATCH(BB22,ef_id,0),ef,'11(eff)'!$Z$23,FALSE)="","",VLOOKUP(MATCH(BB22,ef_id,0),ef,'11(eff)'!$Z$23,FALSE)))</f>
        <v/>
      </c>
      <c r="BV22" s="6896" t="str">
        <f>+IF(BB22="","",IF(VLOOKUP(MATCH(BB22,ef_id,0),ef,'11(eff)'!$AA$23,FALSE)="","",VLOOKUP(MATCH(BB22,ef_id,0),ef,'11(eff)'!$AA$23,FALSE)))</f>
        <v/>
      </c>
      <c r="BW22" s="271"/>
      <c r="BX22" s="6899" t="str">
        <f>+IF(OR(BB22="",BW22=""),"",BW22/IF(R22="",IF(R21="",R20,R21),R22))</f>
        <v/>
      </c>
      <c r="BY22" s="6899" t="str">
        <f>+IF($BB22="","",IF(BU22="","",BU22/2000*IF(AQ22="",IF(AQ21="",AQ20,AQ21),AQ22)))</f>
        <v/>
      </c>
      <c r="BZ22" s="271"/>
      <c r="CA22" s="6899" t="str">
        <f>+IF(BB22="","",IF(BZ22="","",BZ22/IF(R22="",IF(R21="",R20,R21),R22)))</f>
        <v/>
      </c>
      <c r="CB22" s="6899" t="str">
        <f>+IF(OR(BX22="",BX22=0),IF(CA22="",IF(GJ22="","",GI22/GJ22/IF(R22="",IF(R21="",R20,R21),R22)),CA22),IF(AT22="",IF(AT21="",AT20,AT21),AT22)-BX22)</f>
        <v/>
      </c>
      <c r="CC22" s="6899" t="str">
        <f>+IF(OR($BB22="",BW22=""),"",IF(CB22="",IF(CD22="",IF(CD22="",IF(CE22="","",CE22)),CD22),CB22/IF($AT22="",IF($AT21="",$AT20,$AT21),$AT22)))</f>
        <v/>
      </c>
      <c r="CD22" s="6899" t="str">
        <f>+IF($BB22="","",IF(BU22="","",(1-BU22/IF(AR22="",IF(AR21="",AR20,AR21),AR22))))</f>
        <v/>
      </c>
      <c r="CE22" s="6899" t="str">
        <f>+IF(BB22="","",IF(VLOOKUP(MATCH(BB22,ef_id,0),ef,'11(eff)'!$AE$23,FALSE)="","",VLOOKUP(MATCH(BB22,ef_id,0),ef,'11(eff)'!$AE$23,FALSE)))</f>
        <v/>
      </c>
      <c r="CF22" s="271"/>
      <c r="CG22" s="4"/>
      <c r="CH22" s="4"/>
      <c r="CI22" s="6899" t="str">
        <f>+IF(BB22="","",AZ22/AW22*2000*(1-CO22))</f>
        <v/>
      </c>
      <c r="CJ22" s="6926"/>
      <c r="CK22" s="6896" t="str">
        <f>+IF($BB22="","",IF(CI22="",IF($AZ22="",IF($AZ21="",$AZ20,$AZ21),$AZ22)-CL22,IF(OR(IF($AW22="",IF($AW21="",$AW20,$AW21),$AW22)="",CI22=""),"",CI22/2000*IF($AW22="",IF($AW21="",$AW20,$AW21),$AW22))))</f>
        <v/>
      </c>
      <c r="CL22" s="6896" t="str">
        <f>+IF($BB22="","",IF(CI22="",CO22*IF($AZ22="",IF($AZ21="",$AZ20,$AZ21),$AZ22),IF(CK22="","",IF($AZ22="",IF($AZ21="",$AZ20,$AZ21),$AZ22)-CK22)))</f>
        <v/>
      </c>
      <c r="CM22" s="6896" t="str">
        <f>+IF($BB22="","",IF(CL22="","",CL22/IF($AZ22="",IF($AZ21="",$AZ20,$AZ21),$AZ22)))</f>
        <v/>
      </c>
      <c r="CN22" s="6896" t="str">
        <f>+IF($BB22="","",IF(CI22="","",(1-CI22/IF($AX22="",IF($AX21="",$AX20,$AX21),$AX22))))</f>
        <v/>
      </c>
      <c r="CO22" s="6896" t="str">
        <f>+IF(BB22="","",IF(VLOOKUP(MATCH(BB22,ef_id,0),ef,'11(eff)'!$AE$23,FALSE)="","",VLOOKUP(MATCH(BB22,ef_id,0),ef,'11(eff)'!$AE$23,FALSE)))</f>
        <v/>
      </c>
      <c r="CP22" s="6896" t="str">
        <f>+IF(OR(BB22="",VLOOKUP(MATCH(BB22,ef_id,0),ef,'11(eff)'!$AG$23,FALSE)=""),"",IF(VLOOKUP(MATCH(BB22,ef_id,0),ef,'11(eff)'!$AG$23,FALSE)/100=VLOOKUP(MATCH(BB22,ef_id,0),ef,'11(eff)'!$AE$23,FALSE),VLOOKUP(MATCH(BB22,ef_id,0),ef,'11(eff)'!$AE$23,FALSE),""))</f>
        <v/>
      </c>
      <c r="CQ22" s="6896" t="str">
        <f>+IF(BD22="","",BD22)</f>
        <v/>
      </c>
      <c r="CR22" s="5133"/>
      <c r="CS22" s="5133"/>
      <c r="CT22" s="5133"/>
      <c r="CU22" s="5133"/>
      <c r="CV22" s="6896" t="str">
        <f>+IF(CT22="","",CT22-CU22-SUM(CW22:DH22)-DJ22)</f>
        <v/>
      </c>
      <c r="CW22" s="206"/>
      <c r="CX22" s="6119"/>
      <c r="CY22" s="6119"/>
      <c r="CZ22" s="6119"/>
      <c r="DA22" s="6119"/>
      <c r="DB22" s="6119"/>
      <c r="DC22" s="5133"/>
      <c r="DD22" s="5133"/>
      <c r="DE22" s="5133"/>
      <c r="DF22" s="5133"/>
      <c r="DG22" s="5133"/>
      <c r="DH22" s="5133"/>
      <c r="DI22" s="6896" t="str">
        <f>+IF(CT22="","",SUM(CU22:DC22)+SUM(DE22:DF22))</f>
        <v/>
      </c>
      <c r="DJ22" s="7405"/>
      <c r="DK22" s="5133"/>
      <c r="DL22" s="5133"/>
      <c r="DM22" s="6896" t="str">
        <f>+IF(DK22="","",DK22-DL22-SUM(DN22:DY22)-EA22)</f>
        <v/>
      </c>
      <c r="DN22" s="6788"/>
      <c r="DO22" s="5133"/>
      <c r="DP22" s="5133"/>
      <c r="DQ22" s="5133"/>
      <c r="DR22" s="5133"/>
      <c r="DS22" s="5133"/>
      <c r="DT22" s="5133"/>
      <c r="DU22" s="5133"/>
      <c r="DV22" s="5133"/>
      <c r="DW22" s="5133"/>
      <c r="DX22" s="5133"/>
      <c r="DY22" s="5133"/>
      <c r="DZ22" s="6896" t="str">
        <f>+IF(DK22="","",SUM(DL22:DT22)+SUM(DV22:DW22))</f>
        <v/>
      </c>
      <c r="EA22" s="5133"/>
      <c r="EB22" s="6896" t="str">
        <f>+IF(CT22+DK22=0,"",CT22+DK22)</f>
        <v/>
      </c>
      <c r="EC22" s="6896" t="str">
        <f>+IF(BB22="","",1)</f>
        <v/>
      </c>
      <c r="ED22" s="6896" t="str">
        <f>+IF(EB22&gt;0,IF(ISERROR(EB22*EC22),"",EB22*EC22),"")</f>
        <v/>
      </c>
      <c r="EE22" s="5133"/>
      <c r="EF22" s="5133"/>
      <c r="EG22" s="5133"/>
      <c r="EH22" s="6896" t="str">
        <f>+IF(OR(BB22="",EB22=""),"",SUM(EE22:EG22))</f>
        <v/>
      </c>
      <c r="EI22" s="6374"/>
      <c r="EJ22" s="5936"/>
      <c r="EK22" s="5936"/>
      <c r="EL22" s="5936"/>
      <c r="EM22" s="5936"/>
      <c r="EN22" s="5936"/>
      <c r="EO22" s="5936"/>
      <c r="EP22" s="6896" t="str">
        <f>+IF(OR(BB22="",EB22=""),"",SUM(EI22:EO22))</f>
        <v/>
      </c>
      <c r="EQ22" s="5936"/>
      <c r="ER22" s="5936"/>
      <c r="ES22" s="5936"/>
      <c r="ET22" s="6896" t="str">
        <f>+IF(OR(BB22="",EB22=""),"",SUM(EQ22:ES22))</f>
        <v/>
      </c>
      <c r="EU22" s="5936"/>
      <c r="EV22" s="5936"/>
      <c r="EW22" s="5936"/>
      <c r="EX22" s="5936"/>
      <c r="EY22" s="6896" t="str">
        <f>+IF(BB22="","",(IF(ED22="",0,ED22)+IF(EH22="",0,EH22)+IF(EP22="",0,EP22)+IF(ET22="",0,ET22)+IF(EW22="",0,EW22)+IF(EX22="",0,EX22)))</f>
        <v/>
      </c>
      <c r="EZ22" s="5133"/>
      <c r="FA22" s="5133"/>
      <c r="FB22" s="6896" t="str">
        <f>+IF(BB22="","",(IF(EY22="",0,EY22)+IF(FA22="",0,FA22)-IF(EZ22="",0,EZ22)))</f>
        <v/>
      </c>
      <c r="FC22" s="6896" t="str">
        <f>+IF(OR(ED22="",IF(R22="",IF(R21="",R20,R21),R22)=""),"",ED22/IF(R22="",IF(R21="",R20,R21),R22))</f>
        <v/>
      </c>
      <c r="FD22" s="6896" t="str">
        <f>+IF(OR(BB22="",IF(R22="",IF(R21="",R20,R21),R22)="",(CU22+DL22)=0),"",(CU22+DL22)/IF(R22="",IF(R21="",R20,R21),R22))</f>
        <v/>
      </c>
      <c r="FE22" s="6896" t="str">
        <f>+IF(OR(FC22="",FC22=0,FD22=""),"",FD22/FC22)</f>
        <v/>
      </c>
      <c r="FF22" s="6896" t="str">
        <f>+IF(OR(BB22="",CT22="",IF(R22="",IF(R21="",R20,R21),R22)=""),"",(SUM(CV22:CZ22)+(IF(DM22="",0,DM22)+SUM(DN22:DQ22)))/IF(R22="",IF(R21="",R20,R21),R22))</f>
        <v/>
      </c>
      <c r="FG22" s="6896" t="str">
        <f>+IF(OR(BB22="",ISERROR(FF22/FC22)),"",FF22/FC22)</f>
        <v/>
      </c>
      <c r="FH22" s="6896" t="str">
        <f>+IF(OR(BB22="",IF(R22="",IF(R21="",R20,R21),R22)="",),"",(DA22+DR22)/IF(R22="",IF(R21="",R20,R21),R22))</f>
        <v/>
      </c>
      <c r="FI22" s="6896" t="str">
        <f>+IF(OR(FC22="",FC22=0,FH22=""),"",FH22/FC22)</f>
        <v/>
      </c>
      <c r="FJ22" s="6896" t="str">
        <f>+IF(OR(BB22="",CT22=""),"",IF(FD22="",0,FD22)+IF(FF22="",0,FF22)+IF(FH22="",0,FH22))</f>
        <v/>
      </c>
      <c r="FK22" s="6896" t="str">
        <f>+IF(OR(BB22="",ISERROR(FJ22/FC22)),"",FJ22/FC22)</f>
        <v/>
      </c>
      <c r="FL22" s="6896" t="str">
        <f>+IF(OR(BB22="",CT22="",IF(R22="",IF(R21="",R20,R21),R22)=""),"",(DB22+DC22+DS22+DT22)/IF(R22="",IF(R21="",R20,R21),R22))</f>
        <v/>
      </c>
      <c r="FM22" s="6896" t="str">
        <f>+IF(OR(BB22="",ISERROR(FL22/FC22)),"",FL22/FC22)</f>
        <v/>
      </c>
      <c r="FN22" s="6896" t="str">
        <f>+IF(OR(BB22="",CT22="",IF(R22="",IF(R21="",R20,R21),R22)=""),"",(DD22+DU22)/IF(R22="",IF(R21="",R20,R21),R22))</f>
        <v/>
      </c>
      <c r="FO22" s="6896" t="str">
        <f>+IF(OR(BB22="",ISERROR(FN22/FC22)),"",FN22/FC22)</f>
        <v/>
      </c>
      <c r="FP22" s="6896" t="str">
        <f>+IF(OR(BB22="",CT22="",IF(R22="",IF(R21="",R20,R21),R22)=""),"",(DG22+DH22+DX22+DY22)/IF(R22="",IF(R21="",R20,R21),R22))</f>
        <v/>
      </c>
      <c r="FQ22" s="6896" t="str">
        <f>+IF(OR(BB22="",ISERROR(FL22/FC22)),"",FP22/FC22)</f>
        <v/>
      </c>
      <c r="FR22" s="6896" t="str">
        <f>+IF(OR(BB22="",IF(R22="",IF(R21="",R20,R21),R22)="",(IF(DI22="",0,DI22)+IF(DZ22="",0,DZ22))=0),"",(IF(DI22="",0,DI22)+IF(DZ22="",0,DZ22))/IF(R22="",IF(R21="",R20,R21),R22))</f>
        <v/>
      </c>
      <c r="FS22" s="6896" t="str">
        <f>+IF(OR(DJ22="",IF(R22="",IF(R21="",R20,R21),R22)=""),"",(DJ22+EA22)/IF(R22="",IF(R21="",R20,R21),R22))</f>
        <v/>
      </c>
      <c r="FT22" s="6896" t="str">
        <f>+IF(OR(BB22="",ISERROR(FS22/FR22)),"",FS22/FR22)</f>
        <v/>
      </c>
      <c r="FU22" s="6896" t="str">
        <f>+IF(OR(BB22="",ISERROR(1-(FR22+IF(FS22="",0,FS22)+FN22+FP22)*IF(R22="",IF(R21="",R20,R21),R22)/(CT22+DK22))),"",1-(FR22+IF(FS22="",0,FS22)+FN22+FP22)*IF(R22="",IF(R21="",R20,R21),R22)/(CT22+DK22))</f>
        <v/>
      </c>
      <c r="FV22" s="6896" t="str">
        <f>+IF(FC22="","",FC22/IF(OR(ISTEXT(T22),T22=""),IF(OR(ISTEXT(T21),T21=""),IF(OR(ISTEXT(T20),T20=""),1,T20),T21),T22))</f>
        <v/>
      </c>
      <c r="FW22" s="6896" t="str">
        <f>+IF(OR(EH22="",IF(R22="",IF(R21="",R20,R21),R22)=""),"",EH22/IF(R22="",IF(R21="",R20,R21),R22))</f>
        <v/>
      </c>
      <c r="FX22" s="6896" t="str">
        <f>+IF(ISERR(FW22/$FC22),"",FW22/$FC22)</f>
        <v/>
      </c>
      <c r="FY22" s="6896" t="str">
        <f>+IF(OR(EP22="",IF(R22="",IF(R21="",R20,R21),R22)=""),"",EP22/IF(R22="",IF(R21="",R20,R21),R22))</f>
        <v/>
      </c>
      <c r="FZ22" s="6896" t="str">
        <f>+IF(ISERR(FY22/$FC22),"",FY22/$FC22)</f>
        <v/>
      </c>
      <c r="GA22" s="6896" t="str">
        <f>+IF(IF(V22="",V21,V22)="Utility Boiler",IF(ISERR(FY22/(FC22+FW22)),"",FY22/(FC22+FW22)),"")</f>
        <v/>
      </c>
      <c r="GB22" s="6896" t="str">
        <f>+IF(OR(ET22="",IF(R22="",IF(R21="",R20,R21),R22)=""),"",ET22/IF(R22="",IF(R21="",R20,R21),R22))</f>
        <v/>
      </c>
      <c r="GC22" s="6896" t="str">
        <f>+IF(ISERR(GB22/$FC22),"",GB22/$FC22)</f>
        <v/>
      </c>
      <c r="GD22" s="6896" t="str">
        <f>+IF(IF(V22="",V21,V22)="Utility Boiler",IF(ISERR(GB22/($FC22)),"",GB22/(FC22+FW22+FY22)),"")</f>
        <v/>
      </c>
      <c r="GE22" s="6896" t="str">
        <f>+IF(OR(FB22="",IF(R22="",IF(R21="",R20,R21),R22)=""),"",FB22/IF(R22="",IF(R21="",R20,R21),R22))</f>
        <v/>
      </c>
      <c r="GF22" s="6896" t="str">
        <f>+IF(FB22="","",(IF(FA22="",0,FA22)-IF(EZ22="",0,EZ22))+(IF(EU22="",0,EU22)+IF(EV22="",0,EV22)+(IF(EW22="",0,EW22)+IF(EX22="",0,EX22))/IF(R22="",IF(R21="",R20,R21),R22)+IF(FC22="",0,FC22)+IF(FW22="",0,FW22)+IF(FY22="",0,FY22)+IF(GB22="",0,GB22)))</f>
        <v/>
      </c>
      <c r="GG22" s="6896" t="str">
        <f>+IF(OR(CS22="",IF(R22="",IF(R21="",R20,R21),R22)="",GF22=0),"",1-(CS22/IF(R22="",IF(R21="",R20,R21),R22))/GF22)</f>
        <v/>
      </c>
      <c r="GH22" s="6896" t="str">
        <f>+IF(ISERROR(GF22/IF(T22="",IF(T21="",T20,T21),T22)),"",IF(IF(T22="",IF(T21="",T20,T21),T22)="","",IF(GF22="","",GF22/IF(T22="",IF(T21="",T20,T21),T22))))</f>
        <v/>
      </c>
      <c r="GI22" s="6929"/>
      <c r="GJ22" s="6929"/>
      <c r="GK22" s="6896" t="str">
        <f>+IF(OR(BB22="",GJ22=""),"",IF(CB22="",1,CB22*IF(R22="",IF(R21="",R20,R21),R22)))</f>
        <v/>
      </c>
      <c r="GL22" s="6896" t="str">
        <f>+IF(OR(BB22="",GI22="",GJ22=""),"",(GJ22-GI22/GK22)/GJ22)</f>
        <v/>
      </c>
      <c r="GM22" s="271"/>
      <c r="GN22" s="271"/>
      <c r="GO22" s="6115"/>
      <c r="GP22" s="6896"/>
      <c r="GQ22" s="5133"/>
      <c r="GR22" s="5133"/>
      <c r="GS22" s="6896" t="str">
        <f>+IF(GE22="","",GE22*$GS$27)</f>
        <v/>
      </c>
      <c r="GT22" s="5133"/>
      <c r="GU22" s="6896" t="str">
        <f>+IF(OR(SUM(GQ22:GT22)=0,GT22=""),IF(GK22=1,GJ22*GK22,IF(GI22="","",GI22)),SUM(GQ22:GT22))</f>
        <v/>
      </c>
      <c r="GV22" s="6896" t="str">
        <f>+IF(OR(GO22="",IF(R22="",IF(R21="",R20,R21),R22)=""),"",GO22/IF(R22="",IF(R21="",R20,R21),R22))</f>
        <v/>
      </c>
      <c r="GW22" s="6896" t="str">
        <f>+IF(OR(GP21="",IF(R22="",IF(R21="",R20,R21),R22)=""),"",GP21/IF(R22="",IF(R21="",R20,R21),R22))</f>
        <v/>
      </c>
      <c r="GX22" s="6896" t="str">
        <f>+IF(OR(GQ21="",IF(R22="",IF(R21="",R20,R21),R22)=""),"",GQ21/IF(R22="",IF(R21="",R20,R21),R22))</f>
        <v/>
      </c>
      <c r="GY22" s="6896" t="str">
        <f>+IF(OR(GR22="",IF(R22="",IF(R21="",R20,R21),R22)=""),"",GR22/IF(R22="",IF(R21="",R20,R21),R22))</f>
        <v/>
      </c>
      <c r="GZ22" s="6896" t="str">
        <f>+IF(OR(GS22="",IF(R22="",IF(R21="",R20,R21),R22)=""),"",GS22/IF(R22="",IF(R21="",R20,R21),R22))</f>
        <v/>
      </c>
      <c r="HA22" s="6896" t="str">
        <f>+IF(OR(GT22="",IF(R22="",IF(R21="",R20,R21),R22)=""),"",GT22/IF(R22="",IF(R21="",R20,R21),R22))</f>
        <v/>
      </c>
      <c r="HB22" s="6896" t="str">
        <f>+IF(OR(SUM(GX22:HA22)=0,HA22="",ISERR(SUM(GX22:HA22))),"",SUM(GX22:HA22))</f>
        <v/>
      </c>
      <c r="HC22" s="6896" t="str">
        <f>+IF(OR(GU22="",IF(R22="",IF(R21="",R20,R21),R22)=""),"",GU22/IF(R22="",IF(R21="",R20,R21),R22))</f>
        <v/>
      </c>
      <c r="HD22" s="6896" t="str">
        <f>+IF(ISERR((HB22-HC22)/HB22),"",(HB22-HC22)/HB22)</f>
        <v/>
      </c>
      <c r="HE22" s="5133"/>
      <c r="HF22" s="6896" t="str">
        <f>+IF(OR(BB22="",GJ22=""),"",GJ22)</f>
        <v/>
      </c>
      <c r="HG22" s="6896" t="str">
        <f>+IF(OR(HC22="",$CL22=""),"",HC22/$CL22)</f>
        <v/>
      </c>
      <c r="HH22" s="6896" t="str">
        <f>+IF(BF22="","",VALUE(LEFT(BF22,1)))</f>
        <v/>
      </c>
      <c r="HI22" s="6896" t="str">
        <f>+IF(FR22="","",FR22)</f>
        <v/>
      </c>
      <c r="HJ22" s="6896" t="str">
        <f>+IF(FP22="","",FP22)</f>
        <v/>
      </c>
      <c r="HK22" s="6896" t="str">
        <f>+IF(FN22="","",FN22)</f>
        <v/>
      </c>
      <c r="HL22" s="6896" t="str">
        <f>+IF(FR22="","",IF(HH22="","",IF(HH22=4,FS22,IF(HH22=3,FS22,IF(HH22=2,$HL$7*HI22,IF(HH22=1,$HL$6*HI22,""))))))</f>
        <v/>
      </c>
      <c r="HM22" s="6896" t="str">
        <f>IF(FR22="","",SUM(HI22:HL22))</f>
        <v/>
      </c>
      <c r="HN22" s="6896" t="str">
        <f>+IF(ISERROR(HM22/IF(T22="",IF(T21="",IF(T20="",1,T20),T21),T22)),"",IF(FR22="","",HM22/IF(T22="",IF(T21="",IF(T20="",1,T20),T21),T22)))</f>
        <v/>
      </c>
      <c r="HO22" s="6896" t="str">
        <f>+IF(FR22="","",IF(HH22="","",IF(HH22=4,FW22,IF(HH22=3,FW22,IF(HH22=2,$HO$7*HM22,IF(HH22=1,$HO$6*HM22,""))))))</f>
        <v/>
      </c>
      <c r="HP22" s="6896" t="str">
        <f>+IF(FR22="","",IF(HH22="","",IF(HH22=4,FY22,IF(HH22=3,FY22,IF(HH22=2,$HP$7*(HM22+HO22),IF(HH22=1,$HP$6*HM22,""))))))</f>
        <v/>
      </c>
      <c r="HQ22" s="6896" t="str">
        <f>+IF(FR22="","",IF(HH22="","",IF(HH22=3,$HQ$8*(HI22+HO22+HP22),"")))</f>
        <v/>
      </c>
      <c r="HR22" s="6896" t="str">
        <f>+IF(FR22="","",IF(HH22="","",IF(HH22=4,GB22,IF(HH22=3,$HR$8*HO22,IF(HH22=2,$HR$7*(HM22+HO22+HP22),IF(HH22=1,$HR$6*HM22,""))))))</f>
        <v/>
      </c>
      <c r="HS22" s="6896" t="str">
        <f>IF(FR22="","",SUM(HQ22:HR22))</f>
        <v/>
      </c>
      <c r="HT22" s="6896" t="str">
        <f>+IF(FR22="","",IF(HH22="","",IF(HH22=2,$HT$7*(HP22+HR22),"")))</f>
        <v/>
      </c>
      <c r="HU22" s="6896" t="str">
        <f>+IF(FR22="","",IF(HH22="","",IF(HH22=2,$HU$7*(HP22+HR22),"")))</f>
        <v/>
      </c>
      <c r="HV22" s="6896" t="str">
        <f>+IF(FR22="","",IF(HH22="","",IF(HH22=3,$HV$8*(HI22+HO22+HP22+HS22),"")))</f>
        <v/>
      </c>
      <c r="HW22" s="6896" t="str">
        <f>+IF(FR22="","",IF(HH22="","",IF(HH22=3,$HW$8*(HI22+HO22+HP22+HS22),"")))</f>
        <v/>
      </c>
      <c r="HX22" s="6896" t="str">
        <f>+IF(HM22="","",IF(HM22="",0,HM22)+IF(HO22="",0,HO22)+IF(HP22="",0,HP22)+IF(HS22="",0,HS22)+IF(HT22="",0,HT22)+IF(HU22="",0,HU22)+IF(HV22="",0,HV22)+IF(HW22="",0,HW22))</f>
        <v/>
      </c>
      <c r="HY22" s="6896" t="str">
        <f>+IF(EZ22="","",EZ22/IF(R22="",IF(R21="",IF(R20="",1,R20),R21),R22))</f>
        <v/>
      </c>
      <c r="HZ22" s="6896" t="str">
        <f>+IF(FA22="","",FA22/IF(R22="",IF(R21="",IF(R20="",1,R20),R21),R22))</f>
        <v/>
      </c>
      <c r="IA22" s="6896" t="str">
        <f>+IF(HM22="","",HX22-IF(HY22="",0,HY22)+IF(HZ22="",0,HZ22))</f>
        <v/>
      </c>
      <c r="IB22" s="6896" t="str">
        <f>+IF(BB22="","",IF(ISERROR(GF22-IA22),"",IF((GF22-IA22)&gt;0,"stk added + "&amp;ROUND((GF22-IA22)/GF22*100,0)&amp;"%",IF(GF22=IA22,"same TCC",(GF22-IA22)/GF22))))</f>
        <v/>
      </c>
      <c r="IC22" s="6896" t="str">
        <f>+IF(OR(IA22="",ISERROR(IA22/IF(T22="",IF(T21="",IF(T20="",1,T20),T21),T22))),"",IA22/IF(T22="",IF(T21="",IF(T20="",1,T20),T21),T22))</f>
        <v/>
      </c>
      <c r="ID22" s="6119"/>
      <c r="IE22" s="6119"/>
      <c r="IF22" s="6896" t="str">
        <f>+IF(GO22="","",GO22)</f>
        <v/>
      </c>
      <c r="IG22" s="6896"/>
      <c r="IH22" s="6896" t="str">
        <f>+IF(D21="","",IF(GP21="","",GP21))</f>
        <v/>
      </c>
      <c r="II22" s="6896"/>
      <c r="IJ22" s="6896" t="str">
        <f>+IF(SUM(IF(IH22="",0,IH22)+IF(IF22="",0,IF22))=0,"",IF(IH22="",0,IH22)+IF(IF22="",0,IF22))</f>
        <v/>
      </c>
      <c r="IK22" s="6119"/>
      <c r="IL22" s="6896" t="str">
        <f>+IF(IF22="","",IK22*$IL$8*IF22)</f>
        <v/>
      </c>
      <c r="IM22" s="6896" t="str">
        <f>IF(HM22="","",IK22*$IM$8*IA22)</f>
        <v/>
      </c>
      <c r="IN22" s="6896" t="str">
        <f>+IF(SUM(IF(IM22="",0,IM22)+IF(IL22="",0,IL22))=0,"",IF(IM22="",0,IM22)+IF(IL22="",0,IL22))</f>
        <v/>
      </c>
      <c r="IO22" s="6896" t="str">
        <f>+IF(SUM(IF(IN22="",0,IN22)+IF(IJ22="",0,IJ22))=0,"",IF(IN22="",0,IN22)+IF(IJ22="",0,IJ22))</f>
        <v/>
      </c>
      <c r="IP22" s="6896" t="str">
        <f>+IF(BB22="","",IF(IJ22="","",IJ22/IF(R22="",IF(R21="",IF(R20="",R19,R20),R21),R22)))</f>
        <v/>
      </c>
      <c r="IQ22" s="6896" t="str">
        <f>+IF(IP22="","",IP22/IX22)</f>
        <v/>
      </c>
      <c r="IR22" s="6896" t="str">
        <f>+IF(BB22="","",IF(IN22="","",IN22/IF(R22="",IF(R21="",IF(R20="",R19,R20),R21),R22)))</f>
        <v/>
      </c>
      <c r="IS22" s="6896" t="str">
        <f>+IF(IR22="","",IR22/IX22)</f>
        <v/>
      </c>
      <c r="IT22" s="6896" t="str">
        <f>+IF(BB22="","",IF(IO22="","",IO22/IF(R22="",IF(R21="",IF(R20="",R19,R20),R21),R22)))</f>
        <v/>
      </c>
      <c r="IU22" s="6896" t="str">
        <f>+IF(IT22="","",IT22/IX22)</f>
        <v/>
      </c>
      <c r="IV22" s="6896" t="str">
        <f>+IF(D22="","",IF(IF(V22="",IF(V21="",IF(V20="",V19,V20),V21),V22)="Utility Boiler",2,1))</f>
        <v/>
      </c>
      <c r="IW22" s="6896" t="str">
        <f>IF(IA22="","",IF(IV22=1,$IW$5,IF(IV22=2,$IW$8,""))*IA22)</f>
        <v/>
      </c>
      <c r="IX22" s="6896" t="str">
        <f>+IF(D22="","",IF(SUM(IF(IW22="",0,IW22)+IF(IT22="",0,IT22))=0,IY22,IF(IW22="",0,IW22)+IF(IT22="",0,IT22)))</f>
        <v/>
      </c>
      <c r="IY22" s="6896" t="str">
        <f>+IF(D22="","",HC22)</f>
        <v/>
      </c>
      <c r="IZ22" s="6896" t="str">
        <f>+IF(IY22="","",(IY22-IX22)/IY22)</f>
        <v/>
      </c>
      <c r="JA22" s="6896" t="str">
        <f>+IF(BB22="","",IF(ISERROR(IY22-IX22),"",IF((IY22-IX22)&gt;0,"stk added + "&amp;ROUND((IY22-IX22)/IY22*100,0)&amp;"%",IF(IY22=IX22,"same TAC",(IY22-IX22)/IY22))))</f>
        <v/>
      </c>
      <c r="JB22" s="5133"/>
      <c r="JC22" s="5133"/>
      <c r="JD22" s="6896" t="str">
        <f>+IF(OR(IX22="",$CB22=""),"",IX22/$CB22)</f>
        <v/>
      </c>
      <c r="JE22" s="6896" t="str">
        <f>+IF(OR(IX22="",$CL22=""),"",IX22/$CL22)</f>
        <v/>
      </c>
      <c r="JF22" s="6896" t="str">
        <f>+IF(D22="","",IF(T22="",IF(T21="",T20/IF(Y20="TP",2,1),T21/IF(Y21="TP",2,1)),T22/IF(Y22="TP",2,1)))</f>
        <v/>
      </c>
      <c r="JG22" s="6896"/>
      <c r="JH22" s="6896" t="str">
        <f>+IF(D22="","",IF(HX22="","",HX22))</f>
        <v/>
      </c>
      <c r="JI22" s="7405"/>
      <c r="JJ22" s="7405"/>
      <c r="JK22" s="7405"/>
      <c r="JL22" s="7405"/>
      <c r="JM22" s="5133"/>
      <c r="JN22" s="6896" t="str">
        <f>+IF(D22="","",IF(JM22="N/A","",JM22*$JN$27))</f>
        <v/>
      </c>
      <c r="JO22" s="5133"/>
      <c r="JP22" s="5133"/>
      <c r="JQ22" s="5133"/>
      <c r="JR22" s="5133"/>
      <c r="JS22" s="6896" t="str">
        <f>+IF(D22="","",SUM(JO22:JR22))</f>
        <v/>
      </c>
      <c r="JT22" s="6896" t="str">
        <f>+IF(BE22="","",IF(OR(BE22="SCR",BE22="New Eqp"),2,1))</f>
        <v/>
      </c>
      <c r="JU22" s="6896" t="str">
        <f>+IF(D22="","",IF(AV22="",IF(AV21="",IF(AV20="","",AV20),AV21),AV22))</f>
        <v/>
      </c>
      <c r="JV22" s="6896" t="str">
        <f>+IF(D22="","",IF(AW22="",IF(AW21="",IF(AW20="","",AW20),AW21),AW22))</f>
        <v/>
      </c>
      <c r="JW22" s="6896" t="str">
        <f>+IF(D22="","",CL22)</f>
        <v/>
      </c>
      <c r="JX22" s="6896" t="str">
        <f t="shared" ref="JX22" si="0">+IF(OR(D22="",JU22=""),"",IF(JT22=2,24000/JU22,""))</f>
        <v/>
      </c>
      <c r="JY22" s="6896" t="str">
        <f>+IF(D22="","",IF(JT22=2,($JY$8*(1+$JY$8)^JX22)/((1+$JY$8)^JX22-1),""))</f>
        <v/>
      </c>
      <c r="JZ22" s="6896" t="str">
        <f t="shared" ref="JZ22" si="1">+IF(OR(D22="",JU22="",ISERROR(JF22)),"",IF(JT22=2,JF22*6180/83,""))</f>
        <v/>
      </c>
      <c r="KA22" s="6896" t="str">
        <f>+IF(OR(D22="",JV22=""),"",IF(JT22=1,JV22*10^6/$KA$8/JU22,""))</f>
        <v/>
      </c>
      <c r="KB22" s="6896" t="str">
        <f>+IF(OR(D22="",KA22=""),"",IF(JT22=1,KA22*$KB$8,""))</f>
        <v/>
      </c>
      <c r="KC22" s="6896" t="str">
        <f t="shared" ref="KC22" si="2">+IF(OR(D22="",KB22=""),"",IF(JT22=1,KB22*7.48/62.4/60,""))</f>
        <v/>
      </c>
      <c r="KD22" s="6896" t="str">
        <f>+IF(OR(D22="",JV22=""),"",IF(JT22=1,$KD$5*JU22*$KD$6/1000,$KD$7*JU22*$KD$8/1000))</f>
        <v/>
      </c>
      <c r="KE22" s="6896" t="str">
        <f>+IF(OR(D22="",JW22="",JW22=0),"",IF(JT22=2,JW22*$KE$8*$KG$4,""))</f>
        <v/>
      </c>
      <c r="KF22" s="6896" t="str">
        <f>+IF(OR(D22="",JW22="",JW22=0),"",IF(JT22=2,JW22*(0.95/0.05)*(18/17)*($KF$8/1000)*(2000)*$KG$4,""))</f>
        <v/>
      </c>
      <c r="KG22" s="6896" t="str">
        <f>+IF(D22="","",IF(JT22=1,$KG$2*KC22/1000*60*JU22*$KG$4*$KG$6,IF(OR(JZ22="",JY22=""),"",JZ22*$KG$8*JY22*$KG$4)))</f>
        <v/>
      </c>
      <c r="KH22" s="6896" t="str">
        <f>IF(D22="","",IF(JT22=2,0.005*JF22*$KD$6/1000*1000*JU22,""))</f>
        <v/>
      </c>
      <c r="KI22" s="6896" t="str">
        <f>IF(D22="","",IF(JT22=2,0.1*0.005*JF22*$KD$6/1000*1000*JU22,""))</f>
        <v/>
      </c>
      <c r="KJ22" s="6896" t="str">
        <f>+IF(OR(D22="",JU22="",JV22=""),"",IF(JT22=1,KD22+KG22,KD22+KE22+KF22+KG22+KH22+KI22))</f>
        <v/>
      </c>
      <c r="KK22" s="6896" t="str">
        <f>+IF(OR(D22="",JU22="",JV22=""),"",$KK$7*$KG$4*JU22)</f>
        <v/>
      </c>
      <c r="KL22" s="6896" t="str">
        <f>+IF(OR(D22="",JU22="",JV22="",JS22=""),"",IF(JT22=1,$KL$7*JS22*JU22/$KL$8,$KL$7*IF(JN22="",JS22,JN22)*JU22/$KL$8))</f>
        <v/>
      </c>
      <c r="KM22" s="6896" t="str">
        <f t="shared" ref="KM22" si="3">+IF(D22="","",IF(KK22="",0,KK22)+IF(KL22="",0,KL22))</f>
        <v/>
      </c>
      <c r="KN22" s="6896" t="str">
        <f>+IF(D22="","",IF(JX22&lt;41,$KN$8*JZ22*JY22,""))</f>
        <v/>
      </c>
      <c r="KO22" s="6896" t="str">
        <f>+IF(OR(D22="",JU22="",JV22=""),"",IF(KM22="",0,KM22)+IF(KN22="",0,KN22))</f>
        <v/>
      </c>
      <c r="KP22" s="6896" t="str">
        <f t="shared" ref="KP22" si="4">+IF(OR(D22="",JU22="",JV22=""),"",IF(KJ22="",0,KJ22)+IF(KO22="",0,KO22))</f>
        <v/>
      </c>
      <c r="KQ22" s="6896" t="str">
        <f>+IF(D22="","",VLOOKUP(MATCH(BE22,ac_id,0),ad,ac!$F$8,FALSE)*JV22)</f>
        <v/>
      </c>
      <c r="KR22" s="6896" t="str">
        <f>+IF(D22="","",IF(JT22=1,VLOOKUP(MATCH(BE22,ac_id,0),ad,ac!$H$8,FALSE)*JU22, (VLOOKUP(MATCH(BE22,ac_id,0),ad,ac!$H$8,FALSE)*JU22^(1+VLOOKUP(MATCH(BE22,ac_id,0),ad,ac!$I$8,FALSE)))))</f>
        <v/>
      </c>
      <c r="KS22" s="6896" t="str">
        <f>+IF(D22="","",KQ22+KR22)</f>
        <v/>
      </c>
      <c r="KT22" s="6896" t="str">
        <f>+IF(D22="","",IF(KK22="","",$KT$26*KM22))</f>
        <v/>
      </c>
      <c r="KU22" s="6896" t="str">
        <f>+IF(D22="","",IF(JS22="","",$KU$26*IF(JN22="",JS22,JN22)))</f>
        <v/>
      </c>
      <c r="KV22" s="6896" t="str">
        <f t="shared" ref="KV22" si="5">+IF(D22="","",IV22)</f>
        <v/>
      </c>
      <c r="KW22" s="6896" t="str">
        <f>IF(JS22="","",IF(KV22=1,$KW$5,IF(KV22=2,$KW$8,""))*JS22)</f>
        <v/>
      </c>
      <c r="KX22" s="6896" t="str">
        <f>+IF(D22="","",IF(KW22="","",IF(KT22="",0,KT22)+IF(KU22="",0,KU22)+KW22))</f>
        <v/>
      </c>
      <c r="KY22" s="6896" t="str">
        <f>+IF(D22="","",IF(KX22="","",IF(KP22="",0,KP22)+KX22))</f>
        <v/>
      </c>
      <c r="KZ22" s="7371"/>
      <c r="LA22" s="6896" t="str">
        <f>+IF(OR(KY22="",$CB22=""),"",KY22/$CB22)</f>
        <v/>
      </c>
      <c r="LB22" s="6896" t="str">
        <f>+IF(OR(KY22="",$CL22=""),"",KY22/$CL22)</f>
        <v/>
      </c>
      <c r="LC22" s="5133"/>
      <c r="LD22" s="5132"/>
      <c r="LE22" s="5132"/>
      <c r="LF22" s="5132"/>
      <c r="LG22" s="5132"/>
      <c r="LH22" s="5132"/>
      <c r="LI22" s="5132"/>
      <c r="LJ22" s="5132"/>
    </row>
    <row r="23" spans="1:322" s="717" customFormat="1" hidden="1">
      <c r="A23" s="5132"/>
      <c r="B23" s="5132"/>
      <c r="C23" s="5132"/>
      <c r="D23" s="5132"/>
      <c r="E23" s="5132"/>
      <c r="F23" s="5132"/>
      <c r="G23" s="5132"/>
      <c r="H23" s="5132"/>
      <c r="I23" s="5133"/>
      <c r="J23" s="5133"/>
      <c r="K23" s="5133"/>
      <c r="L23" s="5133"/>
      <c r="M23" s="5133"/>
      <c r="N23" s="5133"/>
      <c r="O23" s="5133"/>
      <c r="P23" s="5133"/>
      <c r="Q23" s="5133"/>
      <c r="R23" s="5133"/>
      <c r="S23" s="5133"/>
      <c r="T23" s="5133"/>
      <c r="U23" s="5133"/>
      <c r="V23" s="5133"/>
      <c r="W23" s="5133"/>
      <c r="X23" s="5133"/>
      <c r="Y23" s="5133"/>
      <c r="Z23" s="5133"/>
      <c r="AA23" s="5133"/>
      <c r="AB23" s="5133"/>
      <c r="AC23" s="5133"/>
      <c r="AD23" s="5133"/>
      <c r="AE23" s="5133"/>
      <c r="AF23" s="5133"/>
      <c r="AG23" s="5133"/>
      <c r="AH23" s="5133"/>
      <c r="AI23" s="5133"/>
      <c r="AJ23" s="5133"/>
      <c r="AK23" s="5133"/>
      <c r="AL23" s="5133"/>
      <c r="AM23" s="5133"/>
      <c r="AN23" s="5133"/>
      <c r="AO23" s="5133"/>
      <c r="AP23" s="5133"/>
      <c r="AQ23" s="5133"/>
      <c r="AR23" s="5133"/>
      <c r="AS23" s="5133"/>
      <c r="AT23" s="5133"/>
      <c r="AU23" s="6910" t="s">
        <v>1635</v>
      </c>
      <c r="AV23" s="6896" t="str">
        <f>+IF(BC23="","",IF(OR(O23="",#REF!="",O29="",O30="",O31="",O33="",O34="",O35=""),"",MAX(VLOOKUP(MATCH(O23,em_id,0),em,'5(em)'!$CX$18,FALSE),VLOOKUP(MATCH(#REF!,em_id,0),em,'5(em)'!$CX$18,FALSE),VLOOKUP(MATCH(O29,em_id,0),em,'5(em)'!$CX$18,FALSE),VLOOKUP(MATCH(O30,em_id,0),em,'5(em)'!$CX$18,FALSE),VLOOKUP(MATCH(O31,em_id,0),em,'5(em)'!$CX$18,FALSE),VLOOKUP(MATCH(O33,em_id,0),em,'5(em)'!$CX$18,FALSE),VLOOKUP(MATCH(O34,em_id,0),em,'5(em)'!$CX$18,FALSE),VLOOKUP(MATCH(O35,em_id,0),em,'5(em)'!$CX$18,FALSE))))</f>
        <v/>
      </c>
      <c r="AW23" s="6896" t="str">
        <f>+IF(BC23="","",IF(OR(O23="",#REF!="",O29="",O30="",O31="",O33="",O34="",O35=""),"",MAX(VLOOKUP(MATCH(O23,em_id,0),em,'5(em)'!$CZ$18,FALSE),VLOOKUP(MATCH(#REF!,em_id,0),em,'5(em)'!$CZ$18,FALSE),VLOOKUP(MATCH(O29,em_id,0),em,'5(em)'!$CZ$18,FALSE),VLOOKUP(MATCH(O30,em_id,0),em,'5(em)'!$CZ$18,FALSE),VLOOKUP(MATCH(O31,em_id,0),em,'5(em)'!$CZ$18,FALSE),VLOOKUP(MATCH(O33,em_id,0),em,'5(em)'!$CZ$18,FALSE),VLOOKUP(MATCH(O34,em_id,0),em,'5(em)'!$CZ$18,FALSE),VLOOKUP(MATCH(O35,em_id,0),em,'5(em)'!$CZ$18,FALSE))))</f>
        <v/>
      </c>
      <c r="AX23" s="6896" t="str">
        <f>+IF(OR(AW23="",AZ23=""),"",ROUND(2000*AZ23/AW23,2))</f>
        <v/>
      </c>
      <c r="AY23" s="5133"/>
      <c r="AZ23" s="6896" t="str">
        <f>+IF(BC23="","",IF(OR(O23="",#REF!="",O29="",O30="",O31="",O33="",O34="",O35=""),"",MAX(VLOOKUP(MATCH(O23,em_id,0),em,'5(em)'!$DA$18,FALSE),VLOOKUP(MATCH(#REF!,em_id,0),em,'5(em)'!$DA$18,FALSE),VLOOKUP(MATCH(O29,em_id,0),em,'5(em)'!$DA$18,FALSE),VLOOKUP(MATCH(O30,em_id,0),em,'5(em)'!$DA$18,FALSE),VLOOKUP(MATCH(O31,em_id,0),em,'5(em)'!$DA$18,FALSE),VLOOKUP(MATCH(O33,em_id,0),em,'5(em)'!$DA$18,FALSE),VLOOKUP(MATCH(O34,em_id,0),em,'5(em)'!$DA$18,FALSE),VLOOKUP(MATCH(O35,em_id,0),em,'5(em)'!DA$18,FALSE))))</f>
        <v/>
      </c>
      <c r="BA23" s="6065"/>
      <c r="BB23" s="5375"/>
      <c r="BC23" s="5133"/>
      <c r="BD23" s="5133"/>
      <c r="BE23" s="5133"/>
      <c r="BF23" s="5133"/>
      <c r="BG23" s="5133"/>
      <c r="BH23" s="5133"/>
      <c r="BI23" s="5133"/>
      <c r="BJ23" s="5133"/>
      <c r="BK23" s="5133"/>
      <c r="BL23" s="5133"/>
      <c r="BM23" s="5133"/>
      <c r="BN23" s="5133"/>
      <c r="BO23" s="5133"/>
      <c r="BP23" s="5133"/>
      <c r="BQ23" s="5133"/>
      <c r="BR23" s="5133"/>
      <c r="BS23" s="5133"/>
      <c r="BT23" s="5133"/>
      <c r="BU23" s="5133"/>
      <c r="BV23" s="5133"/>
      <c r="BW23" s="5133"/>
      <c r="BX23" s="5133"/>
      <c r="BY23" s="5133"/>
      <c r="BZ23" s="5133"/>
      <c r="CA23" s="5133"/>
      <c r="CB23" s="5133"/>
      <c r="CC23" s="5133"/>
      <c r="CD23" s="5133"/>
      <c r="CE23" s="7405"/>
      <c r="CF23" s="5133"/>
      <c r="CG23" s="5133"/>
      <c r="CH23" s="5133"/>
      <c r="CI23" s="6896" t="str">
        <f>+IF(BB23="","",AZ22/AW22*2000*(1-CO23))</f>
        <v/>
      </c>
      <c r="CJ23" s="6927"/>
      <c r="CK23" s="6896" t="str">
        <f>+IF($BB23="","",IF(CI23="",IF($AZ23="",IF($AZ22="",$AZ21,$AZ22),$AZ23)-CL23,IF(OR(IF($AW23="",IF($AW22="",$AW21,$AW22),$AW23)="",CI23=""),"",CI23/2000*IF($AW23="",IF($AW22="",$AW21,$AW22),$AW23))))</f>
        <v/>
      </c>
      <c r="CL23" s="6896" t="str">
        <f>+IF($BB23="","",IF(CI23="",CO23*IF($AZ23="",IF($AZ22="",$AZ21,$AZ22),$AZ23),IF(CK23="","",IF($AZ23="",IF($AZ22="",$AZ21,$AZ22),$AZ23)-CK23)))</f>
        <v/>
      </c>
      <c r="CM23" s="6896" t="str">
        <f>+IF($BB23="","",IF(CL23="","",CL23/IF($AZ23="",IF($AZ22="",$AZ21,$AZ22),$AZ23)))</f>
        <v/>
      </c>
      <c r="CN23" s="6896" t="str">
        <f>+IF($BB23="","",IF(CI23="","",(1-CI23/IF($AX23="",IF($AX22="",$AX21,$AX22),$AX23))))</f>
        <v/>
      </c>
      <c r="CO23" s="6896" t="str">
        <f>+IF(BB23="","",IF(VLOOKUP(MATCH(BB23,ef_id,0),ef,'11(eff)'!$AE$23,FALSE)="","",VLOOKUP(MATCH(BB23,ef_id,0),ef,'11(eff)'!$AE$23,FALSE)))</f>
        <v/>
      </c>
      <c r="CP23" s="5133"/>
      <c r="CQ23" s="5133"/>
      <c r="CR23" s="5133"/>
      <c r="CS23" s="5133"/>
      <c r="CT23" s="5133"/>
      <c r="CU23" s="5133"/>
      <c r="CV23" s="5133"/>
      <c r="CW23" s="6119"/>
      <c r="CX23" s="6119"/>
      <c r="CY23" s="6119"/>
      <c r="CZ23" s="6119"/>
      <c r="DA23" s="6119"/>
      <c r="DB23" s="6119"/>
      <c r="DC23" s="5133"/>
      <c r="DD23" s="5133"/>
      <c r="DE23" s="5133"/>
      <c r="DF23" s="6788"/>
      <c r="DG23" s="5133"/>
      <c r="DH23" s="5133"/>
      <c r="DI23" s="5133"/>
      <c r="DJ23" s="7405"/>
      <c r="DK23" s="5133"/>
      <c r="DL23" s="5133"/>
      <c r="DM23" s="5133"/>
      <c r="DN23" s="6788"/>
      <c r="DO23" s="5133"/>
      <c r="DP23" s="5133"/>
      <c r="DQ23" s="5133"/>
      <c r="DR23" s="5133"/>
      <c r="DS23" s="5133"/>
      <c r="DT23" s="5133"/>
      <c r="DU23" s="5133"/>
      <c r="DV23" s="5133"/>
      <c r="DW23" s="5133"/>
      <c r="DX23" s="5133"/>
      <c r="DY23" s="5133"/>
      <c r="DZ23" s="5133"/>
      <c r="EA23" s="6788"/>
      <c r="EB23" s="6788"/>
      <c r="EC23" s="5133"/>
      <c r="ED23" s="5133"/>
      <c r="EE23" s="5133"/>
      <c r="EF23" s="5133"/>
      <c r="EG23" s="5133"/>
      <c r="EH23" s="5133"/>
      <c r="EI23" s="5133"/>
      <c r="EJ23" s="5133"/>
      <c r="EK23" s="5133"/>
      <c r="EL23" s="5936"/>
      <c r="EM23" s="5936"/>
      <c r="EN23" s="5936"/>
      <c r="EO23" s="5936"/>
      <c r="EP23" s="29"/>
      <c r="EQ23" s="6896" t="str">
        <f>+IF(BB23="","",(ED23+EH23+EP23)*0.08)</f>
        <v/>
      </c>
      <c r="ER23" s="6896" t="str">
        <f>+IF(BB23="","",0.1*EF23)</f>
        <v/>
      </c>
      <c r="ES23" s="5936"/>
      <c r="ET23" s="5936"/>
      <c r="EU23" s="5936"/>
      <c r="EV23" s="5936"/>
      <c r="EW23" s="6896" t="str">
        <f>+IF(BB23="","",(ED23+EH23+EP23+ET23)*5/100)</f>
        <v/>
      </c>
      <c r="EX23" s="6896" t="str">
        <f>+IF(BB23="","",(ED23+EH23+EP23+ET23)*5/100)</f>
        <v/>
      </c>
      <c r="EY23" s="6896" t="str">
        <f>+IF(BB23="","",(IF(ED23="",0,ED23)+IF(EH23="",0,EH23)+IF(EP23="",0,EP23)+IF(ET23="",0,ET23)+IF(EW23="",0,EW23)+IF(EX23="",0,EX23)))</f>
        <v/>
      </c>
      <c r="EZ23" s="5133"/>
      <c r="FA23" s="5133"/>
      <c r="FB23" s="6896" t="str">
        <f>+IF(BB23="","",(IF(EY23="",0,EY23)+IF(FA23="",0,FA23)-IF(EZ23="",0,EZ23)))</f>
        <v/>
      </c>
      <c r="FC23" s="6382"/>
      <c r="FD23" s="6382"/>
      <c r="FE23" s="6382"/>
      <c r="FF23" s="272"/>
      <c r="FG23" s="6382"/>
      <c r="FH23" s="6382"/>
      <c r="FI23" s="6382"/>
      <c r="FJ23" s="6382"/>
      <c r="FK23" s="6382"/>
      <c r="FL23" s="6382"/>
      <c r="FM23" s="6382"/>
      <c r="FN23" s="6382"/>
      <c r="FO23" s="6382"/>
      <c r="FP23" s="6382"/>
      <c r="FQ23" s="6382"/>
      <c r="FR23" s="6382"/>
      <c r="FS23" s="6382"/>
      <c r="FT23" s="6382"/>
      <c r="FU23" s="6382"/>
      <c r="FV23" s="6382"/>
      <c r="FW23" s="6382"/>
      <c r="FX23" s="6382"/>
      <c r="FY23" s="6382"/>
      <c r="FZ23" s="6382"/>
      <c r="GA23" s="6382"/>
      <c r="GB23" s="6382"/>
      <c r="GC23" s="6382"/>
      <c r="GD23" s="6382"/>
      <c r="GE23" s="6940"/>
      <c r="GF23" s="5133"/>
      <c r="GG23" s="6382"/>
      <c r="GH23" s="6382"/>
      <c r="GI23" s="6382"/>
      <c r="GJ23" s="6382"/>
      <c r="GK23" s="6382"/>
      <c r="GL23" s="6382"/>
      <c r="GM23" s="5133"/>
      <c r="GN23" s="5133"/>
      <c r="GO23" s="5133"/>
      <c r="GP23" s="5133"/>
      <c r="GQ23" s="6896" t="str">
        <f>+IF(GP23+GO23=0,"",GP23+GO23)</f>
        <v/>
      </c>
      <c r="GR23" s="5133"/>
      <c r="GS23" s="5133"/>
      <c r="GT23" s="5133"/>
      <c r="GU23" s="5353"/>
      <c r="GV23" s="5353"/>
      <c r="GW23" s="5353"/>
      <c r="GX23" s="5353"/>
      <c r="GY23" s="5353"/>
      <c r="GZ23" s="5353"/>
      <c r="HA23" s="5133"/>
      <c r="HB23" s="5353"/>
      <c r="HC23" s="5353"/>
      <c r="HD23" s="5353"/>
      <c r="HE23" s="5353"/>
      <c r="HF23" s="5133"/>
      <c r="HG23" s="5353"/>
      <c r="HH23" s="5353"/>
      <c r="HI23" s="5133"/>
      <c r="HJ23" s="5133"/>
      <c r="HK23" s="6119"/>
      <c r="HL23" s="6119"/>
      <c r="HM23" s="6119"/>
      <c r="HN23" s="6119"/>
      <c r="HO23" s="6119"/>
      <c r="HP23" s="6119"/>
      <c r="HQ23" s="6119"/>
      <c r="HR23" s="6119"/>
      <c r="HS23" s="5133"/>
      <c r="HT23" s="6119"/>
      <c r="HU23" s="6119"/>
      <c r="HV23" s="6119"/>
      <c r="HW23" s="6119"/>
      <c r="HX23" s="6119"/>
      <c r="HY23" s="6119"/>
      <c r="HZ23" s="6119"/>
      <c r="IA23" s="5133"/>
      <c r="IB23" s="6119"/>
      <c r="IC23" s="6119"/>
      <c r="ID23" s="6119"/>
      <c r="IE23" s="6119"/>
      <c r="IF23" s="6119"/>
      <c r="IG23" s="6119"/>
      <c r="IH23" s="6119"/>
      <c r="II23" s="6119"/>
      <c r="IJ23" s="6943" t="s">
        <v>1925</v>
      </c>
      <c r="IK23" s="6119"/>
      <c r="IL23" s="6119"/>
      <c r="IM23" s="6119"/>
      <c r="IN23" s="6119"/>
      <c r="IO23" s="6119"/>
      <c r="IP23" s="6119"/>
      <c r="IQ23" s="6119"/>
      <c r="IR23" s="6119"/>
      <c r="IS23" s="6119"/>
      <c r="IT23" s="5133"/>
      <c r="IU23" s="5133"/>
      <c r="IV23" s="5133"/>
      <c r="IW23" s="5133"/>
      <c r="IX23" s="5133"/>
      <c r="IY23" s="6119"/>
      <c r="IZ23" s="6119"/>
      <c r="JA23" s="6119"/>
      <c r="JB23" s="5133"/>
      <c r="JC23" s="5133"/>
      <c r="JD23" s="6119"/>
      <c r="JE23" s="5133"/>
      <c r="JF23" s="5133"/>
      <c r="JG23" s="5133"/>
      <c r="JH23" s="5133"/>
      <c r="JI23" s="5133"/>
      <c r="JJ23" s="5133"/>
      <c r="JK23" s="5133"/>
      <c r="JL23" s="5133"/>
      <c r="JM23" s="5133"/>
      <c r="JN23" s="5133"/>
      <c r="JO23" s="5133"/>
      <c r="JP23" s="5133"/>
      <c r="JQ23" s="5133"/>
      <c r="JR23" s="5133"/>
      <c r="JS23" s="5133"/>
      <c r="JT23" s="5133"/>
      <c r="JU23" s="5133"/>
      <c r="JV23" s="5133"/>
      <c r="JW23" s="5133"/>
      <c r="JX23" s="5133"/>
      <c r="JY23" s="5133"/>
      <c r="JZ23" s="5133"/>
      <c r="KA23" s="5133"/>
      <c r="KB23" s="5133"/>
      <c r="KC23" s="5133"/>
      <c r="KG23" s="5133"/>
      <c r="KH23" s="5133"/>
      <c r="KI23" s="5133"/>
      <c r="KJ23" s="5133"/>
      <c r="KK23" s="5133"/>
      <c r="KL23" s="5133"/>
      <c r="KM23" s="5133"/>
      <c r="KN23" s="5133"/>
      <c r="KO23" s="5133"/>
      <c r="KP23" s="5133"/>
      <c r="KQ23" s="6065"/>
      <c r="KR23" s="5353"/>
      <c r="KS23" s="5353"/>
      <c r="KT23" s="5353"/>
      <c r="KU23" s="6065"/>
      <c r="KV23" s="6065"/>
      <c r="KW23" s="6944"/>
      <c r="KX23" s="5353"/>
      <c r="KY23" s="6065"/>
      <c r="KZ23" s="6065"/>
      <c r="LA23" s="6065"/>
      <c r="LB23" s="5133"/>
      <c r="LC23" s="5133"/>
      <c r="LD23" s="5132"/>
      <c r="LE23" s="5132"/>
      <c r="LF23" s="5132"/>
      <c r="LG23" s="5132"/>
      <c r="LH23" s="5132"/>
      <c r="LI23" s="5132"/>
      <c r="LJ23" s="5132"/>
    </row>
    <row r="24" spans="1:322" s="5132" customFormat="1">
      <c r="J24" s="6391"/>
      <c r="K24" s="6391"/>
      <c r="Q24" s="5152"/>
      <c r="R24" s="5152"/>
      <c r="S24" s="5152"/>
      <c r="AW24" s="6394"/>
      <c r="AX24" s="6395"/>
      <c r="BX24" s="5135"/>
      <c r="BY24" s="5135"/>
      <c r="BZ24" s="5135"/>
      <c r="CA24" s="5135"/>
      <c r="CB24" s="5135"/>
      <c r="CC24" s="5135"/>
      <c r="CD24" s="5135"/>
      <c r="CE24" s="5135"/>
      <c r="CT24" s="6396"/>
      <c r="CU24" s="6397"/>
      <c r="CV24" s="6397"/>
      <c r="CW24" s="6398"/>
      <c r="CX24" s="6398"/>
      <c r="CY24" s="6398"/>
      <c r="CZ24" s="6398"/>
      <c r="DA24" s="6398"/>
      <c r="DB24" s="6398"/>
      <c r="DC24" s="6397"/>
      <c r="DD24" s="6397"/>
      <c r="DE24" s="6397"/>
      <c r="DF24" s="6397"/>
      <c r="EL24" s="6399"/>
      <c r="EM24" s="6399"/>
      <c r="EN24" s="6399"/>
      <c r="EO24" s="6399"/>
      <c r="EP24" s="5142"/>
      <c r="EQ24" s="5142"/>
      <c r="ER24" s="5142"/>
      <c r="ES24" s="5142"/>
      <c r="ET24" s="6399"/>
      <c r="EU24" s="6399"/>
      <c r="EV24" s="6399"/>
      <c r="EW24" s="6399"/>
      <c r="EX24" s="6399"/>
      <c r="EY24" s="6399"/>
      <c r="EZ24" s="6399"/>
      <c r="FA24" s="6399"/>
      <c r="FC24" s="6121"/>
      <c r="FD24" s="6121"/>
      <c r="FE24" s="6121"/>
      <c r="FF24" s="6400"/>
      <c r="FG24" s="6121"/>
      <c r="FH24" s="6121"/>
      <c r="FI24" s="6121"/>
      <c r="FJ24" s="6121"/>
      <c r="FK24" s="6121"/>
      <c r="FL24" s="6121"/>
      <c r="FM24" s="6121"/>
      <c r="FN24" s="6121"/>
      <c r="FO24" s="6121"/>
      <c r="FP24" s="6121"/>
      <c r="FQ24" s="6121"/>
      <c r="FR24" s="6400"/>
      <c r="FS24" s="6121"/>
      <c r="FT24" s="6121"/>
      <c r="FU24" s="6121"/>
      <c r="FV24" s="6121"/>
      <c r="FW24" s="6401"/>
      <c r="FX24" s="6121"/>
      <c r="FY24" s="6121"/>
      <c r="FZ24" s="6121"/>
      <c r="GA24" s="6121"/>
      <c r="GB24" s="6121"/>
      <c r="GC24" s="6121"/>
      <c r="GD24" s="6121"/>
      <c r="GE24" s="6121"/>
      <c r="GF24" s="6121"/>
      <c r="GG24" s="6400"/>
      <c r="GH24" s="6400"/>
      <c r="GI24" s="6400"/>
      <c r="GJ24" s="6400"/>
      <c r="GK24" s="6400"/>
      <c r="GL24" s="6400"/>
      <c r="GM24" s="5152"/>
      <c r="GN24" s="5152"/>
      <c r="GO24" s="5152"/>
      <c r="GP24" s="5152"/>
      <c r="GQ24" s="5152"/>
      <c r="GT24" s="5152"/>
      <c r="GU24" s="5152"/>
      <c r="GV24" s="5152"/>
      <c r="GW24" s="5152"/>
      <c r="GX24" s="5152"/>
      <c r="GY24" s="5152"/>
      <c r="GZ24" s="5152"/>
      <c r="HA24" s="5152"/>
      <c r="HB24" s="5152"/>
      <c r="HD24" s="5152"/>
      <c r="HE24" s="5152"/>
      <c r="HG24" s="5152"/>
      <c r="HH24" s="5152"/>
      <c r="HI24" s="6121"/>
      <c r="HJ24" s="6121"/>
      <c r="HK24" s="6121"/>
      <c r="HL24" s="6121"/>
      <c r="HM24" s="6121"/>
      <c r="HN24" s="6121"/>
      <c r="HO24" s="6121"/>
      <c r="HP24" s="6121"/>
      <c r="HQ24" s="6121"/>
      <c r="HR24" s="6121"/>
      <c r="HS24" s="6121"/>
      <c r="HT24" s="6121"/>
      <c r="HU24" s="6121"/>
      <c r="HV24" s="6121"/>
      <c r="HW24" s="6121"/>
      <c r="HX24" s="6121"/>
      <c r="HY24" s="6121"/>
      <c r="HZ24" s="6121"/>
      <c r="IB24" s="6121"/>
      <c r="ID24" s="6121"/>
      <c r="IE24" s="6121"/>
      <c r="IF24" s="6121"/>
      <c r="IG24" s="6121"/>
      <c r="IH24" s="6121"/>
      <c r="II24" s="6121"/>
      <c r="IJ24" s="6121"/>
      <c r="IK24" s="6121"/>
      <c r="IL24" s="6121"/>
      <c r="IM24" s="6121"/>
      <c r="IN24" s="6121"/>
      <c r="IO24" s="6121"/>
      <c r="IP24" s="6121"/>
      <c r="IQ24" s="6121"/>
      <c r="IR24" s="6121"/>
      <c r="IS24" s="6121"/>
      <c r="IY24" s="6121"/>
      <c r="IZ24" s="6121"/>
      <c r="JA24" s="6121"/>
      <c r="JB24" s="6121"/>
      <c r="JC24" s="6121"/>
      <c r="JD24" s="6121"/>
      <c r="JF24" s="5152"/>
      <c r="JG24" s="5152"/>
      <c r="JH24" s="5152"/>
      <c r="JI24" s="5152"/>
      <c r="JJ24" s="5152"/>
      <c r="JK24" s="5152"/>
      <c r="JL24" s="5152"/>
      <c r="JM24" s="5152"/>
      <c r="JN24" s="5152"/>
      <c r="JO24" s="5152"/>
      <c r="JP24" s="5152"/>
      <c r="JQ24" s="5152"/>
      <c r="JR24" s="5152"/>
      <c r="JS24" s="5152"/>
      <c r="JT24" s="5152"/>
      <c r="JU24" s="5152"/>
      <c r="JV24" s="5152"/>
      <c r="JW24" s="5152"/>
      <c r="JX24" s="5152"/>
      <c r="JY24" s="5152"/>
      <c r="JZ24" s="5152"/>
      <c r="KA24" s="5152"/>
      <c r="KB24" s="5152"/>
      <c r="KC24" s="5152"/>
      <c r="KD24" s="5152"/>
      <c r="KE24" s="5152"/>
      <c r="KF24" s="5152"/>
      <c r="KG24" s="5152"/>
      <c r="KH24" s="5152"/>
      <c r="KI24" s="5152"/>
      <c r="KJ24" s="5152"/>
      <c r="KK24" s="5152"/>
      <c r="KL24" s="5152"/>
      <c r="KM24" s="5152"/>
      <c r="KN24" s="5152"/>
      <c r="KO24" s="5152"/>
      <c r="KP24" s="5152"/>
      <c r="KQ24" s="5152"/>
      <c r="KR24" s="5152"/>
      <c r="KS24" s="5152"/>
      <c r="KT24" s="5152"/>
      <c r="KU24" s="6402"/>
      <c r="KV24" s="6402"/>
      <c r="KW24" s="6403"/>
      <c r="KX24" s="5152"/>
      <c r="KY24" s="5152"/>
      <c r="KZ24" s="5152"/>
      <c r="LA24" s="5152"/>
      <c r="LB24" s="5152"/>
    </row>
    <row r="25" spans="1:322" s="716" customFormat="1" ht="18" customHeight="1">
      <c r="A25" s="5133"/>
      <c r="B25" s="5118"/>
      <c r="C25" s="5118"/>
      <c r="D25" s="5118"/>
      <c r="E25" s="5118"/>
      <c r="F25" s="5118"/>
      <c r="G25" s="5118"/>
      <c r="H25" s="5135"/>
      <c r="I25" s="7405"/>
      <c r="J25" s="6371"/>
      <c r="K25" s="7405"/>
      <c r="L25" s="7405"/>
      <c r="M25" s="7405"/>
      <c r="N25" s="7405"/>
      <c r="O25" s="7405"/>
      <c r="P25" s="7405"/>
      <c r="Q25" s="6065"/>
      <c r="R25" s="6065"/>
      <c r="S25" s="6065"/>
      <c r="T25" s="7405"/>
      <c r="U25" s="7405"/>
      <c r="V25" s="7405"/>
      <c r="W25" s="7405"/>
      <c r="X25" s="7405"/>
      <c r="Y25" s="7405"/>
      <c r="Z25" s="7405"/>
      <c r="AA25" s="7405"/>
      <c r="AB25" s="7405"/>
      <c r="AC25" s="7405"/>
      <c r="AD25" s="7405"/>
      <c r="AE25" s="7405"/>
      <c r="AF25" s="7405"/>
      <c r="AG25" s="7405"/>
      <c r="AH25" s="7405"/>
      <c r="AI25" s="7405"/>
      <c r="AJ25" s="7405"/>
      <c r="AK25" s="7405"/>
      <c r="AL25" s="7405"/>
      <c r="AM25" s="7405"/>
      <c r="AN25" s="7405"/>
      <c r="AO25" s="7405"/>
      <c r="AP25" s="7405"/>
      <c r="AQ25" s="7405"/>
      <c r="AR25" s="7405"/>
      <c r="AS25" s="7405"/>
      <c r="AT25" s="7405"/>
      <c r="AU25" s="7405"/>
      <c r="AV25" s="7405"/>
      <c r="AW25" s="7405"/>
      <c r="AX25" s="7405"/>
      <c r="AY25" s="7405"/>
      <c r="AZ25" s="7405"/>
      <c r="BA25" s="7405"/>
      <c r="BB25" s="7405"/>
      <c r="BC25" s="7405"/>
      <c r="BD25" s="7405"/>
      <c r="BE25" s="7405"/>
      <c r="BF25" s="7405"/>
      <c r="BG25" s="7405"/>
      <c r="BH25" s="7405"/>
      <c r="BI25" s="7405"/>
      <c r="BJ25" s="7405"/>
      <c r="BK25" s="7405"/>
      <c r="BL25" s="7405"/>
      <c r="BM25" s="7405"/>
      <c r="BN25" s="7405"/>
      <c r="BO25" s="7405"/>
      <c r="BP25" s="7405"/>
      <c r="BQ25" s="7405"/>
      <c r="BR25" s="7405"/>
      <c r="BS25" s="7405"/>
      <c r="BT25" s="7405"/>
      <c r="BU25" s="7405"/>
      <c r="BV25" s="7405"/>
      <c r="BW25" s="7405"/>
      <c r="BX25" s="7405"/>
      <c r="BY25" s="7405"/>
      <c r="BZ25" s="7405"/>
      <c r="CA25" s="7405"/>
      <c r="CB25" s="7405"/>
      <c r="CC25" s="7405"/>
      <c r="CD25" s="7405"/>
      <c r="CE25" s="7405"/>
      <c r="CF25" s="7405"/>
      <c r="CG25" s="7405"/>
      <c r="CH25" s="5133"/>
      <c r="CI25" s="5133"/>
      <c r="CJ25" s="5133"/>
      <c r="CK25" s="5133"/>
      <c r="CL25" s="5133"/>
      <c r="CM25" s="5133"/>
      <c r="CN25" s="5133"/>
      <c r="CO25" s="5133"/>
      <c r="CP25" s="5133"/>
      <c r="CQ25" s="5133"/>
      <c r="CR25" s="5133"/>
      <c r="CS25" s="5133"/>
      <c r="CT25" s="6373" t="s">
        <v>991</v>
      </c>
      <c r="CU25" s="5133"/>
      <c r="CV25" s="5133"/>
      <c r="CW25" s="5133"/>
      <c r="CX25" s="5133"/>
      <c r="CY25" s="5133"/>
      <c r="CZ25" s="5133"/>
      <c r="DA25" s="5133"/>
      <c r="DB25" s="5133"/>
      <c r="DC25" s="5133"/>
      <c r="DD25" s="5133"/>
      <c r="DE25" s="5133"/>
      <c r="DF25" s="5133"/>
      <c r="DG25" s="5133"/>
      <c r="DH25" s="5133"/>
      <c r="DI25" s="5133"/>
      <c r="DJ25" s="5133"/>
      <c r="DK25" s="5133"/>
      <c r="DL25" s="5133"/>
      <c r="DM25" s="5133"/>
      <c r="DN25" s="5133"/>
      <c r="DO25" s="5133"/>
      <c r="DP25" s="5133"/>
      <c r="DQ25" s="5133"/>
      <c r="DR25" s="5133"/>
      <c r="DS25" s="5133"/>
      <c r="DT25" s="5133"/>
      <c r="DU25" s="5133"/>
      <c r="DV25" s="5133"/>
      <c r="DW25" s="5133"/>
      <c r="DX25" s="5133"/>
      <c r="DY25" s="5133"/>
      <c r="DZ25" s="5133"/>
      <c r="EA25" s="5133"/>
      <c r="EB25" s="5133"/>
      <c r="EC25" s="5133"/>
      <c r="ED25" s="5133"/>
      <c r="EE25" s="5133"/>
      <c r="EF25" s="5133"/>
      <c r="EG25" s="5133"/>
      <c r="EH25" s="5133"/>
      <c r="EI25" s="7405"/>
      <c r="EJ25" s="7405"/>
      <c r="EK25" s="7405"/>
      <c r="EL25" s="7405"/>
      <c r="EM25" s="7405"/>
      <c r="EN25" s="7405"/>
      <c r="EO25" s="7405"/>
      <c r="EP25" s="7405"/>
      <c r="EQ25" s="7405"/>
      <c r="ER25" s="7405"/>
      <c r="ES25" s="7405"/>
      <c r="ET25" s="7405"/>
      <c r="EU25" s="7405"/>
      <c r="EV25" s="5133"/>
      <c r="EW25" s="5133"/>
      <c r="EX25" s="5133"/>
      <c r="EY25" s="5133"/>
      <c r="EZ25" s="5133"/>
      <c r="FA25" s="5133"/>
      <c r="FB25" s="5133"/>
      <c r="FC25" s="5133"/>
      <c r="FD25" s="5133"/>
      <c r="FE25" s="5133"/>
      <c r="FF25" s="5133"/>
      <c r="FG25" s="5133"/>
      <c r="FH25" s="5133"/>
      <c r="FI25" s="5133"/>
      <c r="FJ25" s="5133"/>
      <c r="FK25" s="5133"/>
      <c r="FL25" s="5133"/>
      <c r="FM25" s="5133"/>
      <c r="FN25" s="5133"/>
      <c r="FO25" s="5133"/>
      <c r="FP25" s="5133"/>
      <c r="FQ25" s="5133"/>
      <c r="FR25" s="5133"/>
      <c r="FS25" s="5133"/>
      <c r="FT25" s="5133"/>
      <c r="FU25" s="5133"/>
      <c r="FV25" s="5133"/>
      <c r="FW25" s="5133"/>
      <c r="FX25" s="5133"/>
      <c r="FY25" s="5133"/>
      <c r="FZ25" s="5133"/>
      <c r="GA25" s="5133"/>
      <c r="GB25" s="5133"/>
      <c r="GC25" s="5133"/>
      <c r="GD25" s="5133"/>
      <c r="GE25" s="6788"/>
      <c r="GF25" s="5133"/>
      <c r="GG25" s="5133"/>
      <c r="GH25" s="5133"/>
      <c r="GI25" s="5133"/>
      <c r="GJ25" s="5133"/>
      <c r="GK25" s="5133"/>
      <c r="GL25" s="5133"/>
      <c r="GM25" s="5133"/>
      <c r="GN25" s="5133"/>
      <c r="GO25" s="7405"/>
      <c r="GP25" s="5133"/>
      <c r="GQ25" s="5133"/>
      <c r="GR25" s="7405"/>
      <c r="GS25" s="7405"/>
      <c r="GT25" s="5133"/>
      <c r="GU25" s="5133"/>
      <c r="GV25" s="5133"/>
      <c r="GW25" s="5133"/>
      <c r="GX25" s="5133"/>
      <c r="GY25" s="5133"/>
      <c r="GZ25" s="5133"/>
      <c r="HA25" s="5133"/>
      <c r="HB25" s="5133"/>
      <c r="HC25" s="5133"/>
      <c r="HD25" s="5133"/>
      <c r="HE25" s="5133"/>
      <c r="HF25" s="6381"/>
      <c r="HG25" s="6065"/>
      <c r="HH25" s="6065"/>
      <c r="HI25" s="6382"/>
      <c r="HJ25" s="6382"/>
      <c r="HK25" s="6382"/>
      <c r="HL25" s="6382"/>
      <c r="HM25" s="6382"/>
      <c r="HN25" s="6382"/>
      <c r="HO25" s="6382"/>
      <c r="HP25" s="6382"/>
      <c r="HQ25" s="5133"/>
      <c r="HR25" s="5133"/>
      <c r="HS25" s="5133"/>
      <c r="HT25" s="5133"/>
      <c r="HU25" s="5133"/>
      <c r="HV25" s="5133"/>
      <c r="HW25" s="5133"/>
      <c r="HX25" s="5133"/>
      <c r="HY25" s="5133"/>
      <c r="HZ25" s="5133"/>
      <c r="IA25" s="5133"/>
      <c r="IB25" s="5133"/>
      <c r="IC25" s="5133"/>
      <c r="ID25" s="5133"/>
      <c r="IE25" s="5133"/>
      <c r="IF25" s="5133"/>
      <c r="IG25" s="6788"/>
      <c r="IH25" s="6789"/>
      <c r="II25" s="5133"/>
      <c r="IJ25" s="5133"/>
      <c r="IK25" s="5133"/>
      <c r="IL25" s="5133"/>
      <c r="IM25" s="5133"/>
      <c r="IN25" s="5133"/>
      <c r="IO25" s="5133"/>
      <c r="IP25" s="5133"/>
      <c r="IQ25" s="5133"/>
      <c r="IR25" s="5133"/>
      <c r="IS25" s="5133"/>
      <c r="IT25" s="5133"/>
      <c r="IU25" s="5133"/>
      <c r="IV25" s="5133" t="s">
        <v>2497</v>
      </c>
      <c r="IW25" s="5133"/>
      <c r="IX25" s="5133"/>
      <c r="IY25" s="5133"/>
      <c r="IZ25" s="5133"/>
      <c r="JA25" s="5133"/>
      <c r="JB25" s="5133"/>
      <c r="JC25" s="5133"/>
      <c r="JD25" s="5133"/>
      <c r="JE25" s="5133"/>
      <c r="JF25" s="5133"/>
      <c r="JG25" s="5133"/>
      <c r="JH25" s="6788"/>
      <c r="JI25" s="6788"/>
      <c r="JJ25" s="6788"/>
      <c r="JK25" s="6788"/>
      <c r="JL25" s="5133"/>
      <c r="JM25" s="7086" t="s">
        <v>2446</v>
      </c>
      <c r="JN25" s="5133"/>
      <c r="JO25" s="5133"/>
      <c r="JP25" s="5133"/>
      <c r="JQ25" s="5133"/>
      <c r="JR25" s="5133"/>
      <c r="JS25" s="5133"/>
      <c r="JT25" s="5133" t="s">
        <v>2476</v>
      </c>
      <c r="JU25" s="5133"/>
      <c r="JV25" s="7105"/>
      <c r="JW25" s="7105"/>
      <c r="JX25" s="7105"/>
      <c r="JY25" s="7405"/>
      <c r="JZ25" s="7405"/>
      <c r="KA25" s="7405"/>
      <c r="KB25" s="7405"/>
      <c r="KC25" s="7405"/>
      <c r="KD25" s="7405"/>
      <c r="KE25" s="7405"/>
      <c r="KF25" s="7405"/>
      <c r="KG25" s="7405"/>
      <c r="KH25" s="8546"/>
      <c r="KI25" s="8546"/>
      <c r="KJ25" s="7405"/>
      <c r="KK25" s="7405"/>
      <c r="KL25" s="7405"/>
      <c r="KM25" s="7405"/>
      <c r="KN25" s="7405"/>
      <c r="KO25" s="8319"/>
      <c r="KP25" s="7105"/>
      <c r="KQ25" s="7405"/>
      <c r="KR25" s="7405"/>
      <c r="KS25" s="5131"/>
      <c r="KT25" s="5133"/>
      <c r="KU25" s="5133"/>
      <c r="KV25" s="5133"/>
      <c r="KW25" s="5133"/>
      <c r="KX25" s="5133"/>
      <c r="KY25" s="5133"/>
      <c r="KZ25" s="5133"/>
      <c r="LA25" s="5133"/>
      <c r="LB25" s="6065"/>
      <c r="LC25" s="7405"/>
      <c r="LD25" s="5135"/>
      <c r="LE25" s="5135"/>
      <c r="LF25" s="5135"/>
      <c r="LG25" s="5135"/>
      <c r="LH25" s="5135"/>
      <c r="LI25" s="5135"/>
      <c r="LJ25" s="5135"/>
    </row>
    <row r="26" spans="1:322" s="716" customFormat="1" ht="18" customHeight="1">
      <c r="A26" s="5118"/>
      <c r="B26" s="5118"/>
      <c r="C26" s="5118"/>
      <c r="D26" s="7405"/>
      <c r="E26" s="5118"/>
      <c r="F26" s="5118"/>
      <c r="G26" s="5118"/>
      <c r="H26" s="5135"/>
      <c r="I26" s="5118"/>
      <c r="J26" s="6371"/>
      <c r="K26" s="6372" t="s">
        <v>2118</v>
      </c>
      <c r="L26" s="7405"/>
      <c r="M26" s="7405"/>
      <c r="N26" s="7405"/>
      <c r="O26" s="7405"/>
      <c r="P26" s="7405"/>
      <c r="Q26" s="6065"/>
      <c r="R26" s="6065"/>
      <c r="S26" s="6065"/>
      <c r="T26" s="7405"/>
      <c r="U26" s="7405"/>
      <c r="V26" s="7405"/>
      <c r="W26" s="7405"/>
      <c r="X26" s="7405"/>
      <c r="Y26" s="7405"/>
      <c r="Z26" s="7405"/>
      <c r="AA26" s="7405"/>
      <c r="AB26" s="7405"/>
      <c r="AC26" s="7405"/>
      <c r="AD26" s="7405"/>
      <c r="AE26" s="7405"/>
      <c r="AF26" s="7405"/>
      <c r="AG26" s="7405"/>
      <c r="AH26" s="7405"/>
      <c r="AI26" s="7405"/>
      <c r="AJ26" s="7405"/>
      <c r="AK26" s="7405"/>
      <c r="AL26" s="7405"/>
      <c r="AM26" s="7405"/>
      <c r="AN26" s="7405"/>
      <c r="AO26" s="7405"/>
      <c r="AP26" s="7405"/>
      <c r="AQ26" s="7405"/>
      <c r="AR26" s="7405"/>
      <c r="AS26" s="7405"/>
      <c r="AT26" s="7405"/>
      <c r="AU26" s="7405"/>
      <c r="AV26" s="7405"/>
      <c r="AW26" s="7405"/>
      <c r="AX26" s="7405"/>
      <c r="AY26" s="7405"/>
      <c r="AZ26" s="7405"/>
      <c r="BA26" s="7405"/>
      <c r="BB26" s="7405"/>
      <c r="BC26" s="7405"/>
      <c r="BD26" s="7405"/>
      <c r="BE26" s="7405"/>
      <c r="BF26" s="7405"/>
      <c r="BG26" s="7405"/>
      <c r="BH26" s="7405"/>
      <c r="BI26" s="7405"/>
      <c r="BJ26" s="7405"/>
      <c r="BK26" s="7405"/>
      <c r="BL26" s="7405"/>
      <c r="BM26" s="7405"/>
      <c r="BN26" s="7405"/>
      <c r="BO26" s="7405"/>
      <c r="BP26" s="7405"/>
      <c r="BQ26" s="7405"/>
      <c r="BR26" s="7405"/>
      <c r="BS26" s="7405"/>
      <c r="BT26" s="7405"/>
      <c r="BU26" s="7405"/>
      <c r="BV26" s="7405"/>
      <c r="BW26" s="7405"/>
      <c r="BX26" s="7405"/>
      <c r="BY26" s="7405"/>
      <c r="BZ26" s="7405"/>
      <c r="CA26" s="7405"/>
      <c r="CB26" s="7405"/>
      <c r="CC26" s="7405"/>
      <c r="CD26" s="7405"/>
      <c r="CE26" s="7405"/>
      <c r="CF26" s="7405"/>
      <c r="CG26" s="7405"/>
      <c r="CH26" s="5133"/>
      <c r="CI26" s="5133"/>
      <c r="CJ26" s="5133"/>
      <c r="CK26" s="5133"/>
      <c r="CL26" s="5133"/>
      <c r="CM26" s="5133"/>
      <c r="CN26" s="5133"/>
      <c r="CO26" s="5133"/>
      <c r="CP26" s="5133"/>
      <c r="CQ26" s="5133"/>
      <c r="CR26" s="5133"/>
      <c r="CS26" s="5133"/>
      <c r="CT26" s="5131" t="s">
        <v>1827</v>
      </c>
      <c r="CU26" s="5133"/>
      <c r="CV26" s="5133"/>
      <c r="CW26" s="5133"/>
      <c r="CX26" s="5133"/>
      <c r="CY26" s="5133"/>
      <c r="CZ26" s="5133"/>
      <c r="DA26" s="5133"/>
      <c r="DB26" s="5133"/>
      <c r="DC26" s="5133"/>
      <c r="DD26" s="5133"/>
      <c r="DE26" s="5133"/>
      <c r="DF26" s="5133"/>
      <c r="DG26" s="5133"/>
      <c r="DH26" s="5133"/>
      <c r="DI26" s="5133"/>
      <c r="DJ26" s="5133"/>
      <c r="DK26" s="5133"/>
      <c r="DL26" s="5133"/>
      <c r="DM26" s="5133"/>
      <c r="DN26" s="5133"/>
      <c r="DO26" s="5133"/>
      <c r="DP26" s="5133"/>
      <c r="DQ26" s="5133"/>
      <c r="DR26" s="5133"/>
      <c r="DS26" s="5133"/>
      <c r="DT26" s="5133"/>
      <c r="DU26" s="5133"/>
      <c r="DV26" s="5133"/>
      <c r="DW26" s="5133"/>
      <c r="DX26" s="5133"/>
      <c r="DY26" s="5133"/>
      <c r="DZ26" s="5133"/>
      <c r="EA26" s="5133"/>
      <c r="EB26" s="5133"/>
      <c r="EC26" s="5133"/>
      <c r="ED26" s="5133"/>
      <c r="EE26" s="5133"/>
      <c r="EF26" s="5133"/>
      <c r="EG26" s="5133"/>
      <c r="EH26" s="5133"/>
      <c r="EI26" s="6375" t="s">
        <v>2149</v>
      </c>
      <c r="EJ26" s="6375" t="s">
        <v>1657</v>
      </c>
      <c r="EK26" s="6376" t="s">
        <v>1658</v>
      </c>
      <c r="EL26" s="5133"/>
      <c r="EM26" s="5133"/>
      <c r="EN26" s="5133"/>
      <c r="EO26" s="5133"/>
      <c r="EP26" s="5133"/>
      <c r="EQ26" s="5133"/>
      <c r="ER26" s="5133"/>
      <c r="ES26" s="5133"/>
      <c r="ET26" s="6375" t="s">
        <v>1084</v>
      </c>
      <c r="EU26" s="6375" t="s">
        <v>1660</v>
      </c>
      <c r="EV26" s="5133"/>
      <c r="EW26" s="5133"/>
      <c r="EX26" s="5133"/>
      <c r="EY26" s="5133"/>
      <c r="EZ26" s="5133"/>
      <c r="FA26" s="5133"/>
      <c r="FB26" s="5133"/>
      <c r="FC26" s="5133"/>
      <c r="FD26" s="5133"/>
      <c r="FE26" s="5133"/>
      <c r="FF26" s="5133"/>
      <c r="FG26" s="5133"/>
      <c r="FH26" s="5133"/>
      <c r="FI26" s="5133"/>
      <c r="FJ26" s="5133"/>
      <c r="FK26" s="5133"/>
      <c r="FL26" s="5133"/>
      <c r="FM26" s="5133"/>
      <c r="FN26" s="5133"/>
      <c r="FO26" s="5133"/>
      <c r="FP26" s="5133"/>
      <c r="FQ26" s="5133"/>
      <c r="FR26" s="5133"/>
      <c r="FS26" s="5133"/>
      <c r="FT26" s="5133"/>
      <c r="FU26" s="5133"/>
      <c r="FV26" s="5133"/>
      <c r="FW26" s="5133"/>
      <c r="FX26" s="5133"/>
      <c r="FY26" s="5133"/>
      <c r="FZ26" s="5133"/>
      <c r="GA26" s="5133"/>
      <c r="GB26" s="5133"/>
      <c r="GC26" s="5133"/>
      <c r="GD26" s="5133"/>
      <c r="GE26" s="5133"/>
      <c r="GF26" s="5133"/>
      <c r="GG26" s="5133"/>
      <c r="GH26" s="5133"/>
      <c r="GI26" s="5133"/>
      <c r="GJ26" s="5133"/>
      <c r="GK26" s="5133"/>
      <c r="GL26" s="5133"/>
      <c r="GM26" s="5133"/>
      <c r="GN26" s="5133"/>
      <c r="GO26" s="5353" t="s">
        <v>1743</v>
      </c>
      <c r="GP26" s="5133"/>
      <c r="GQ26" s="5133"/>
      <c r="GR26" s="6379" t="s">
        <v>1183</v>
      </c>
      <c r="GS26" s="6380" t="s">
        <v>1098</v>
      </c>
      <c r="GT26" s="5133"/>
      <c r="GU26" s="5133"/>
      <c r="GV26" s="5133"/>
      <c r="GW26" s="5133"/>
      <c r="GX26" s="5133"/>
      <c r="GY26" s="5133"/>
      <c r="GZ26" s="5133"/>
      <c r="HA26" s="5133"/>
      <c r="HB26" s="5133"/>
      <c r="HC26" s="5133"/>
      <c r="HD26" s="5133"/>
      <c r="HE26" s="5133"/>
      <c r="HF26" s="6381"/>
      <c r="HG26" s="6065"/>
      <c r="HH26" s="6065"/>
      <c r="HI26" s="6382"/>
      <c r="HJ26" s="6382"/>
      <c r="HK26" s="6382"/>
      <c r="HL26" s="6382"/>
      <c r="HM26" s="6382"/>
      <c r="HN26" s="6382"/>
      <c r="HO26" s="6382"/>
      <c r="HP26" s="6382"/>
      <c r="HQ26" s="5133"/>
      <c r="HR26" s="5133"/>
      <c r="HS26" s="5133"/>
      <c r="HT26" s="5133"/>
      <c r="HU26" s="5133"/>
      <c r="HV26" s="5133"/>
      <c r="HW26" s="5133"/>
      <c r="HX26" s="5133"/>
      <c r="HY26" s="5133"/>
      <c r="HZ26" s="5133"/>
      <c r="IA26" s="5133"/>
      <c r="IB26" s="5133"/>
      <c r="IC26" s="5133"/>
      <c r="ID26" s="5133"/>
      <c r="IE26" s="5133"/>
      <c r="IF26" s="5133"/>
      <c r="IG26" s="5133"/>
      <c r="IH26" s="5133"/>
      <c r="II26" s="5133"/>
      <c r="IJ26" s="5133"/>
      <c r="IK26" s="5133"/>
      <c r="IL26" s="5133"/>
      <c r="IM26" s="5133"/>
      <c r="IN26" s="5133"/>
      <c r="IO26" s="5133"/>
      <c r="IP26" s="5133"/>
      <c r="IQ26" s="5133"/>
      <c r="IR26" s="5133"/>
      <c r="IS26" s="5133"/>
      <c r="IT26" s="5133"/>
      <c r="IU26" s="5133"/>
      <c r="IV26" s="7105">
        <v>1</v>
      </c>
      <c r="IW26" s="716" t="s">
        <v>2499</v>
      </c>
      <c r="IX26" s="5133"/>
      <c r="IY26" s="5133"/>
      <c r="IZ26" s="5133"/>
      <c r="JA26" s="5133"/>
      <c r="JB26" s="5133"/>
      <c r="JC26" s="5133"/>
      <c r="JD26" s="5133"/>
      <c r="JE26" s="5133"/>
      <c r="JF26" s="5133"/>
      <c r="JG26" s="5133"/>
      <c r="JH26" s="5133"/>
      <c r="JI26" s="5133"/>
      <c r="JJ26" s="5133"/>
      <c r="JK26" s="5133"/>
      <c r="JL26" s="6788"/>
      <c r="JM26" s="5133" t="s">
        <v>2389</v>
      </c>
      <c r="JN26" s="5133">
        <v>1990</v>
      </c>
      <c r="JO26" s="5133"/>
      <c r="JP26" s="5133"/>
      <c r="JQ26" s="5133"/>
      <c r="JR26" s="5133"/>
      <c r="JS26" s="5133"/>
      <c r="JT26" s="7105">
        <v>1</v>
      </c>
      <c r="JU26" s="716" t="s">
        <v>2477</v>
      </c>
      <c r="JV26" s="7105"/>
      <c r="JW26" s="7105"/>
      <c r="JX26" s="7105"/>
      <c r="JY26" s="7105"/>
      <c r="JZ26" s="7105"/>
      <c r="KA26" s="7105"/>
      <c r="KB26" s="7105"/>
      <c r="KC26" s="7405"/>
      <c r="KD26" s="7405"/>
      <c r="KE26" s="7405"/>
      <c r="KF26" s="7405"/>
      <c r="KG26" s="7405"/>
      <c r="KH26" s="8447"/>
      <c r="KI26" s="8447"/>
      <c r="KJ26" s="7405"/>
      <c r="KK26" s="7405"/>
      <c r="KL26" s="7405"/>
      <c r="KM26" s="7405"/>
      <c r="KN26" s="7405"/>
      <c r="KO26" s="7105"/>
      <c r="KP26" s="7105"/>
      <c r="KQ26" s="7405"/>
      <c r="KR26" s="5133" t="s">
        <v>912</v>
      </c>
      <c r="KS26" s="5133"/>
      <c r="KT26" s="8801">
        <v>0.6</v>
      </c>
      <c r="KU26" s="7276">
        <v>0.04</v>
      </c>
      <c r="KV26" s="5353"/>
      <c r="KW26" s="5133"/>
      <c r="KX26" s="5133"/>
      <c r="KY26" s="5133"/>
      <c r="KZ26" s="5133"/>
      <c r="LA26" s="5133"/>
      <c r="LB26" s="6065"/>
      <c r="LC26" s="7405"/>
      <c r="LD26" s="5135"/>
      <c r="LE26" s="5135"/>
      <c r="LF26" s="5135"/>
      <c r="LG26" s="5135"/>
      <c r="LH26" s="5135"/>
      <c r="LI26" s="5135"/>
      <c r="LJ26" s="5135"/>
    </row>
    <row r="27" spans="1:322" s="716" customFormat="1" ht="18" customHeight="1" thickBot="1">
      <c r="A27" s="7405"/>
      <c r="B27" s="7405"/>
      <c r="C27" s="7405"/>
      <c r="D27" s="7405"/>
      <c r="E27" s="7405"/>
      <c r="F27" s="7405"/>
      <c r="G27" s="7405"/>
      <c r="H27" s="5135"/>
      <c r="I27" s="7405"/>
      <c r="J27" s="6371"/>
      <c r="K27" s="6371"/>
      <c r="L27" s="7405"/>
      <c r="M27" s="7405"/>
      <c r="N27" s="7405"/>
      <c r="O27" s="7405"/>
      <c r="P27" s="7405"/>
      <c r="Q27" s="6065"/>
      <c r="R27" s="6065"/>
      <c r="S27" s="6065"/>
      <c r="T27" s="7405"/>
      <c r="U27" s="7405"/>
      <c r="V27" s="7405"/>
      <c r="W27" s="7405"/>
      <c r="X27" s="6371" t="s">
        <v>2796</v>
      </c>
      <c r="Y27" s="7405"/>
      <c r="Z27" s="7405"/>
      <c r="AA27" s="7405"/>
      <c r="AB27" s="7405"/>
      <c r="AC27" s="7405"/>
      <c r="AD27" s="7405"/>
      <c r="AE27" s="7405"/>
      <c r="AF27" s="7405"/>
      <c r="AG27" s="7405"/>
      <c r="AH27" s="7405"/>
      <c r="AI27" s="7405"/>
      <c r="AJ27" s="7405"/>
      <c r="AK27" s="7405"/>
      <c r="AL27" s="7405"/>
      <c r="AM27" s="7405"/>
      <c r="AN27" s="7405"/>
      <c r="AO27" s="7405"/>
      <c r="AP27" s="7405"/>
      <c r="AQ27" s="7405"/>
      <c r="AR27" s="7405"/>
      <c r="AS27" s="7405"/>
      <c r="AT27" s="7405"/>
      <c r="AU27" s="7405"/>
      <c r="AV27" s="7405"/>
      <c r="AW27" s="7405"/>
      <c r="AX27" s="7405"/>
      <c r="AY27" s="7405"/>
      <c r="AZ27" s="7405"/>
      <c r="BA27" s="7405"/>
      <c r="BB27" s="7405"/>
      <c r="BC27" s="7405"/>
      <c r="BD27" s="7405"/>
      <c r="BE27" s="7405"/>
      <c r="BF27" s="7405"/>
      <c r="BG27" s="7405"/>
      <c r="BH27" s="7405"/>
      <c r="BI27" s="7405"/>
      <c r="BJ27" s="7405"/>
      <c r="BK27" s="7405"/>
      <c r="BL27" s="7405"/>
      <c r="BM27" s="7405"/>
      <c r="BN27" s="7405"/>
      <c r="BO27" s="7405"/>
      <c r="BP27" s="7405"/>
      <c r="BQ27" s="7405"/>
      <c r="BR27" s="7405"/>
      <c r="BS27" s="7405"/>
      <c r="BT27" s="7405"/>
      <c r="BU27" s="7405"/>
      <c r="BV27" s="7405"/>
      <c r="BW27" s="7405"/>
      <c r="BX27" s="6370"/>
      <c r="BY27" s="6370"/>
      <c r="BZ27" s="6370"/>
      <c r="CA27" s="6370"/>
      <c r="CB27" s="6370"/>
      <c r="CC27" s="6370"/>
      <c r="CD27" s="6370"/>
      <c r="CE27" s="6370"/>
      <c r="CF27" s="6370"/>
      <c r="CG27" s="5133"/>
      <c r="CH27" s="5133"/>
      <c r="CI27" s="5133"/>
      <c r="CJ27" s="5133"/>
      <c r="CK27" s="5133"/>
      <c r="CL27" s="5133"/>
      <c r="CM27" s="5133"/>
      <c r="CN27" s="5133"/>
      <c r="CO27" s="5133"/>
      <c r="CP27" s="5133"/>
      <c r="CQ27" s="5133"/>
      <c r="CR27" s="5133"/>
      <c r="CS27" s="5133"/>
      <c r="CT27" s="5131" t="s">
        <v>1828</v>
      </c>
      <c r="CU27" s="5133"/>
      <c r="CV27" s="5133"/>
      <c r="CW27" s="5133"/>
      <c r="CX27" s="5133"/>
      <c r="CY27" s="5133"/>
      <c r="CZ27" s="5133"/>
      <c r="DA27" s="5133"/>
      <c r="DB27" s="5133"/>
      <c r="DC27" s="5133"/>
      <c r="DD27" s="5133"/>
      <c r="DE27" s="5133"/>
      <c r="DF27" s="5133"/>
      <c r="DG27" s="5133"/>
      <c r="DH27" s="5133"/>
      <c r="DI27" s="5133"/>
      <c r="DJ27" s="5133"/>
      <c r="DK27" s="5133"/>
      <c r="DL27" s="5133"/>
      <c r="DM27" s="5133"/>
      <c r="DN27" s="5133"/>
      <c r="DO27" s="5133"/>
      <c r="DP27" s="5133"/>
      <c r="DQ27" s="5133"/>
      <c r="DR27" s="5133"/>
      <c r="DS27" s="5133"/>
      <c r="DT27" s="5133"/>
      <c r="DU27" s="5133"/>
      <c r="DV27" s="5133"/>
      <c r="DW27" s="5133"/>
      <c r="DX27" s="5133"/>
      <c r="DY27" s="5133"/>
      <c r="DZ27" s="5133"/>
      <c r="EA27" s="5133"/>
      <c r="EB27" s="5133"/>
      <c r="EC27" s="5133"/>
      <c r="ED27" s="5133"/>
      <c r="EE27" s="5133"/>
      <c r="EF27" s="5133"/>
      <c r="EG27" s="5133"/>
      <c r="EH27" s="5133"/>
      <c r="EI27" s="6374">
        <v>0.05</v>
      </c>
      <c r="EJ27" s="6374">
        <v>0.1</v>
      </c>
      <c r="EK27" s="6374">
        <v>0.05</v>
      </c>
      <c r="EL27" s="5133"/>
      <c r="EM27" s="5133"/>
      <c r="EN27" s="5133"/>
      <c r="EO27" s="5133"/>
      <c r="EP27" s="5133"/>
      <c r="EQ27" s="5133"/>
      <c r="ER27" s="5133"/>
      <c r="ES27" s="5133"/>
      <c r="ET27" s="6374">
        <v>0.15</v>
      </c>
      <c r="EU27" s="6374">
        <v>0.02</v>
      </c>
      <c r="EV27" s="5133"/>
      <c r="EW27" s="5133"/>
      <c r="EX27" s="5133"/>
      <c r="EY27" s="5133"/>
      <c r="EZ27" s="5133"/>
      <c r="FA27" s="5133"/>
      <c r="FB27" s="5133"/>
      <c r="FC27" s="5133"/>
      <c r="FD27" s="5133"/>
      <c r="FE27" s="5133"/>
      <c r="FF27" s="5133"/>
      <c r="FG27" s="5133"/>
      <c r="FH27" s="5133"/>
      <c r="FI27" s="5133"/>
      <c r="FJ27" s="5133"/>
      <c r="FK27" s="5133"/>
      <c r="FL27" s="5133"/>
      <c r="FM27" s="5133"/>
      <c r="FN27" s="5133"/>
      <c r="FO27" s="5133"/>
      <c r="FP27" s="5133"/>
      <c r="FQ27" s="5133"/>
      <c r="FR27" s="5133"/>
      <c r="FS27" s="5133"/>
      <c r="FT27" s="5133"/>
      <c r="FU27" s="5133"/>
      <c r="FV27" s="5133"/>
      <c r="FW27" s="5133"/>
      <c r="FX27" s="5133"/>
      <c r="FY27" s="5133"/>
      <c r="FZ27" s="5133"/>
      <c r="GA27" s="5133"/>
      <c r="GB27" s="5133"/>
      <c r="GC27" s="5133"/>
      <c r="GD27" s="5133"/>
      <c r="GE27" s="5133"/>
      <c r="GF27" s="5133"/>
      <c r="GG27" s="5133"/>
      <c r="GH27" s="5133"/>
      <c r="GI27" s="5133"/>
      <c r="GJ27" s="5133"/>
      <c r="GK27" s="5133"/>
      <c r="GL27" s="5133"/>
      <c r="GM27" s="5133"/>
      <c r="GN27" s="5133"/>
      <c r="GO27" s="8182"/>
      <c r="GP27" s="5133"/>
      <c r="GQ27" s="5133"/>
      <c r="GR27" s="6377">
        <f>30/100</f>
        <v>0.3</v>
      </c>
      <c r="GS27" s="6378">
        <v>0.04</v>
      </c>
      <c r="GT27" s="5133"/>
      <c r="GU27" s="5133"/>
      <c r="GV27" s="5133"/>
      <c r="GW27" s="5133"/>
      <c r="GX27" s="5133"/>
      <c r="GY27" s="5133"/>
      <c r="GZ27" s="5133"/>
      <c r="HA27" s="5133"/>
      <c r="HB27" s="5133"/>
      <c r="HC27" s="5133"/>
      <c r="HD27" s="5133"/>
      <c r="HE27" s="5133"/>
      <c r="HF27" s="6381"/>
      <c r="HG27" s="6065"/>
      <c r="HH27" s="6065"/>
      <c r="HI27" s="6382"/>
      <c r="HJ27" s="6382"/>
      <c r="HK27" s="6382"/>
      <c r="HL27" s="6382"/>
      <c r="HM27" s="6382"/>
      <c r="HN27" s="6382"/>
      <c r="HO27" s="6382"/>
      <c r="HP27" s="6382"/>
      <c r="HQ27" s="5133"/>
      <c r="HR27" s="5133"/>
      <c r="HS27" s="5133"/>
      <c r="HT27" s="5133"/>
      <c r="HU27" s="5133"/>
      <c r="HV27" s="5133"/>
      <c r="HW27" s="5133"/>
      <c r="HX27" s="5133"/>
      <c r="HY27" s="5133"/>
      <c r="HZ27" s="5133"/>
      <c r="IA27" s="5133"/>
      <c r="IB27" s="5133"/>
      <c r="IC27" s="5133"/>
      <c r="ID27" s="5133"/>
      <c r="IE27" s="5133"/>
      <c r="IF27" s="5133"/>
      <c r="IG27" s="5133"/>
      <c r="IH27" s="5133"/>
      <c r="II27" s="5133"/>
      <c r="IJ27" s="5133"/>
      <c r="IK27" s="5133"/>
      <c r="IL27" s="5133"/>
      <c r="IM27" s="5133"/>
      <c r="IN27" s="5133"/>
      <c r="IO27" s="5133"/>
      <c r="IP27" s="5133"/>
      <c r="IQ27" s="5133"/>
      <c r="IR27" s="5133"/>
      <c r="IS27" s="5133"/>
      <c r="IT27" s="5133"/>
      <c r="IU27" s="5133"/>
      <c r="IV27" s="7105">
        <v>2</v>
      </c>
      <c r="IW27" s="5133" t="s">
        <v>2498</v>
      </c>
      <c r="IX27" s="5133"/>
      <c r="IY27" s="5133"/>
      <c r="IZ27" s="5133"/>
      <c r="JA27" s="5133"/>
      <c r="JB27" s="5133"/>
      <c r="JC27" s="5133"/>
      <c r="JD27" s="5133"/>
      <c r="JE27" s="5133"/>
      <c r="JF27" s="5133"/>
      <c r="JG27" s="5133"/>
      <c r="JH27" s="5133"/>
      <c r="JI27" s="5133"/>
      <c r="JJ27" s="5133"/>
      <c r="JK27" s="5133"/>
      <c r="JL27" s="5133"/>
      <c r="JM27" s="5133" t="s">
        <v>2390</v>
      </c>
      <c r="JN27" s="5133">
        <v>1.73</v>
      </c>
      <c r="JO27" s="5133"/>
      <c r="JP27" s="5133"/>
      <c r="JQ27" s="5133"/>
      <c r="JR27" s="5133"/>
      <c r="JS27" s="5133"/>
      <c r="JT27" s="7105">
        <v>2</v>
      </c>
      <c r="JU27" s="5133" t="s">
        <v>2478</v>
      </c>
      <c r="JV27" s="7105"/>
      <c r="JW27" s="7105"/>
      <c r="JX27" s="7105"/>
      <c r="JY27" s="7105"/>
      <c r="JZ27" s="7105"/>
      <c r="KA27" s="7105"/>
      <c r="KB27" s="7105"/>
      <c r="KC27" s="7405"/>
      <c r="KD27" s="7405"/>
      <c r="KE27" s="7405"/>
      <c r="KF27" s="7405"/>
      <c r="KG27" s="7405"/>
      <c r="KH27" s="7105"/>
      <c r="KI27" s="7105"/>
      <c r="KJ27" s="7105"/>
      <c r="KK27" s="8319"/>
      <c r="KL27" s="7105"/>
      <c r="KM27" s="7105"/>
      <c r="KN27" s="7105"/>
      <c r="KO27" s="7105"/>
      <c r="KP27" s="7105"/>
      <c r="KQ27" s="7405"/>
      <c r="KR27" s="5131" t="s">
        <v>2490</v>
      </c>
      <c r="KS27" s="5133"/>
      <c r="KT27" s="7275"/>
      <c r="KU27" s="7276"/>
      <c r="KV27" s="5353"/>
      <c r="KW27" s="5133"/>
      <c r="KX27" s="5133"/>
      <c r="KY27" s="5133"/>
      <c r="KZ27" s="5133"/>
      <c r="LA27" s="5133"/>
      <c r="LB27" s="6065"/>
      <c r="LC27" s="7405"/>
      <c r="LD27" s="5135"/>
      <c r="LE27" s="5135"/>
      <c r="LF27" s="5135"/>
      <c r="LG27" s="5135"/>
      <c r="LH27" s="5135"/>
      <c r="LI27" s="5135"/>
      <c r="LJ27" s="5135"/>
    </row>
    <row r="28" spans="1:322" s="13" customFormat="1" ht="29.25" customHeight="1" thickBot="1">
      <c r="A28" s="5133"/>
      <c r="B28" s="5133"/>
      <c r="C28" s="6890"/>
      <c r="D28" s="5133"/>
      <c r="E28" s="5133"/>
      <c r="F28" s="5133"/>
      <c r="G28" s="5133"/>
      <c r="H28" s="5132"/>
      <c r="I28" s="5133"/>
      <c r="J28" s="10296" t="s">
        <v>1572</v>
      </c>
      <c r="K28" s="10297"/>
      <c r="L28" s="10297"/>
      <c r="M28" s="10297"/>
      <c r="N28" s="10297"/>
      <c r="O28" s="10297"/>
      <c r="P28" s="10297"/>
      <c r="Q28" s="10297"/>
      <c r="R28" s="10297"/>
      <c r="S28" s="10297"/>
      <c r="T28" s="10297"/>
      <c r="U28" s="10297"/>
      <c r="V28" s="10297"/>
      <c r="W28" s="10297"/>
      <c r="X28" s="10297"/>
      <c r="Y28" s="10297"/>
      <c r="Z28" s="10297"/>
      <c r="AA28" s="10297"/>
      <c r="AB28" s="10297"/>
      <c r="AC28" s="10297"/>
      <c r="AD28" s="10297"/>
      <c r="AE28" s="10297"/>
      <c r="AF28" s="10297"/>
      <c r="AG28" s="10298"/>
      <c r="AH28" s="10296" t="s">
        <v>1571</v>
      </c>
      <c r="AI28" s="10297"/>
      <c r="AJ28" s="10297"/>
      <c r="AK28" s="10297"/>
      <c r="AL28" s="10297"/>
      <c r="AM28" s="10297"/>
      <c r="AN28" s="10297"/>
      <c r="AO28" s="10297"/>
      <c r="AP28" s="10297"/>
      <c r="AQ28" s="10297"/>
      <c r="AR28" s="10297"/>
      <c r="AS28" s="10297"/>
      <c r="AT28" s="10297"/>
      <c r="AU28" s="10297"/>
      <c r="AV28" s="10297"/>
      <c r="AW28" s="10297"/>
      <c r="AX28" s="10297"/>
      <c r="AY28" s="10297"/>
      <c r="AZ28" s="10298"/>
      <c r="BA28" s="10893" t="s">
        <v>2422</v>
      </c>
      <c r="BB28" s="10894"/>
      <c r="BC28" s="10894"/>
      <c r="BD28" s="10894"/>
      <c r="BE28" s="10894"/>
      <c r="BF28" s="10894"/>
      <c r="BG28" s="10895"/>
      <c r="BH28" s="9492" t="s">
        <v>1575</v>
      </c>
      <c r="BI28" s="9493"/>
      <c r="BJ28" s="9493"/>
      <c r="BK28" s="9493"/>
      <c r="BL28" s="9493"/>
      <c r="BM28" s="9493"/>
      <c r="BN28" s="9493"/>
      <c r="BO28" s="9493"/>
      <c r="BP28" s="9493"/>
      <c r="BQ28" s="9493"/>
      <c r="BR28" s="9493"/>
      <c r="BS28" s="9493"/>
      <c r="BT28" s="9493"/>
      <c r="BU28" s="9493"/>
      <c r="BV28" s="9493"/>
      <c r="BW28" s="9493"/>
      <c r="BX28" s="9493"/>
      <c r="BY28" s="9493"/>
      <c r="BZ28" s="9493"/>
      <c r="CA28" s="9493"/>
      <c r="CB28" s="9493"/>
      <c r="CC28" s="9493"/>
      <c r="CD28" s="9493"/>
      <c r="CE28" s="9493"/>
      <c r="CF28" s="9493"/>
      <c r="CG28" s="9493"/>
      <c r="CH28" s="9493"/>
      <c r="CI28" s="9493"/>
      <c r="CJ28" s="9493"/>
      <c r="CK28" s="9493"/>
      <c r="CL28" s="9493"/>
      <c r="CM28" s="9493"/>
      <c r="CN28" s="9493"/>
      <c r="CO28" s="9493"/>
      <c r="CP28" s="9494"/>
      <c r="CQ28" s="10233" t="s">
        <v>1648</v>
      </c>
      <c r="CR28" s="10235"/>
      <c r="CS28" s="10626" t="s">
        <v>2852</v>
      </c>
      <c r="CT28" s="10627"/>
      <c r="CU28" s="10627"/>
      <c r="CV28" s="10627"/>
      <c r="CW28" s="10627"/>
      <c r="CX28" s="10627"/>
      <c r="CY28" s="10627"/>
      <c r="CZ28" s="10627"/>
      <c r="DA28" s="10627"/>
      <c r="DB28" s="10627"/>
      <c r="DC28" s="10627"/>
      <c r="DD28" s="10627"/>
      <c r="DE28" s="10627"/>
      <c r="DF28" s="10627"/>
      <c r="DG28" s="10627"/>
      <c r="DH28" s="10627"/>
      <c r="DI28" s="10627"/>
      <c r="DJ28" s="10627"/>
      <c r="DK28" s="10627"/>
      <c r="DL28" s="10627"/>
      <c r="DM28" s="10627"/>
      <c r="DN28" s="10627"/>
      <c r="DO28" s="10627"/>
      <c r="DP28" s="10627"/>
      <c r="DQ28" s="10627"/>
      <c r="DR28" s="10627"/>
      <c r="DS28" s="10627"/>
      <c r="DT28" s="10627"/>
      <c r="DU28" s="10627"/>
      <c r="DV28" s="10627"/>
      <c r="DW28" s="10627"/>
      <c r="DX28" s="10627"/>
      <c r="DY28" s="10627"/>
      <c r="DZ28" s="10627"/>
      <c r="EA28" s="10627"/>
      <c r="EB28" s="10627"/>
      <c r="EC28" s="10627"/>
      <c r="ED28" s="10627"/>
      <c r="EE28" s="10627"/>
      <c r="EF28" s="10627"/>
      <c r="EG28" s="10627"/>
      <c r="EH28" s="10627"/>
      <c r="EI28" s="10627"/>
      <c r="EJ28" s="10627"/>
      <c r="EK28" s="10627"/>
      <c r="EL28" s="10627"/>
      <c r="EM28" s="10627"/>
      <c r="EN28" s="10627"/>
      <c r="EO28" s="10627"/>
      <c r="EP28" s="10627"/>
      <c r="EQ28" s="10627"/>
      <c r="ER28" s="10627"/>
      <c r="ES28" s="10627"/>
      <c r="ET28" s="10627"/>
      <c r="EU28" s="10627"/>
      <c r="EV28" s="10627"/>
      <c r="EW28" s="10627"/>
      <c r="EX28" s="10627"/>
      <c r="EY28" s="10627"/>
      <c r="EZ28" s="10627"/>
      <c r="FA28" s="10627"/>
      <c r="FB28" s="10627"/>
      <c r="FC28" s="10627"/>
      <c r="FD28" s="10627"/>
      <c r="FE28" s="10627"/>
      <c r="FF28" s="10627"/>
      <c r="FG28" s="10627"/>
      <c r="FH28" s="10627"/>
      <c r="FI28" s="10627"/>
      <c r="FJ28" s="10627"/>
      <c r="FK28" s="10627"/>
      <c r="FL28" s="10627"/>
      <c r="FM28" s="10627"/>
      <c r="FN28" s="10627"/>
      <c r="FO28" s="10627"/>
      <c r="FP28" s="10627"/>
      <c r="FQ28" s="10627"/>
      <c r="FR28" s="10627"/>
      <c r="FS28" s="10627"/>
      <c r="FT28" s="10627"/>
      <c r="FU28" s="10627"/>
      <c r="FV28" s="10627"/>
      <c r="FW28" s="10627"/>
      <c r="FX28" s="10627"/>
      <c r="FY28" s="10627"/>
      <c r="FZ28" s="10627"/>
      <c r="GA28" s="10627"/>
      <c r="GB28" s="10627"/>
      <c r="GC28" s="10627"/>
      <c r="GD28" s="10627"/>
      <c r="GE28" s="10627"/>
      <c r="GF28" s="10627"/>
      <c r="GG28" s="10627"/>
      <c r="GH28" s="10627"/>
      <c r="GI28" s="10627"/>
      <c r="GJ28" s="10627"/>
      <c r="GK28" s="10627"/>
      <c r="GL28" s="10627"/>
      <c r="GM28" s="10627"/>
      <c r="GN28" s="10627"/>
      <c r="GO28" s="10627"/>
      <c r="GP28" s="10627"/>
      <c r="GQ28" s="10627"/>
      <c r="GR28" s="10627"/>
      <c r="GS28" s="10627"/>
      <c r="GT28" s="10627"/>
      <c r="GU28" s="10627"/>
      <c r="GV28" s="10627"/>
      <c r="GW28" s="10627"/>
      <c r="GX28" s="10627"/>
      <c r="GY28" s="10627"/>
      <c r="GZ28" s="10627"/>
      <c r="HA28" s="10627"/>
      <c r="HB28" s="10627"/>
      <c r="HC28" s="10627"/>
      <c r="HD28" s="10628"/>
      <c r="HE28" s="10626" t="s">
        <v>1735</v>
      </c>
      <c r="HF28" s="10627"/>
      <c r="HG28" s="10628"/>
      <c r="HH28" s="10593" t="s">
        <v>2848</v>
      </c>
      <c r="HI28" s="10594"/>
      <c r="HJ28" s="10594"/>
      <c r="HK28" s="10594"/>
      <c r="HL28" s="10594"/>
      <c r="HM28" s="10594"/>
      <c r="HN28" s="10594"/>
      <c r="HO28" s="10594"/>
      <c r="HP28" s="10594"/>
      <c r="HQ28" s="10594"/>
      <c r="HR28" s="10594"/>
      <c r="HS28" s="10594"/>
      <c r="HT28" s="10594"/>
      <c r="HU28" s="10594"/>
      <c r="HV28" s="10594"/>
      <c r="HW28" s="10594"/>
      <c r="HX28" s="10594"/>
      <c r="HY28" s="10594"/>
      <c r="HZ28" s="10594"/>
      <c r="IA28" s="10594"/>
      <c r="IB28" s="10594"/>
      <c r="IC28" s="10594"/>
      <c r="ID28" s="10594"/>
      <c r="IE28" s="10594"/>
      <c r="IF28" s="10594"/>
      <c r="IG28" s="10594"/>
      <c r="IH28" s="10594"/>
      <c r="II28" s="10594"/>
      <c r="IJ28" s="10594"/>
      <c r="IK28" s="10594"/>
      <c r="IL28" s="10594"/>
      <c r="IM28" s="10594"/>
      <c r="IN28" s="10594"/>
      <c r="IO28" s="10594"/>
      <c r="IP28" s="10594"/>
      <c r="IQ28" s="10594"/>
      <c r="IR28" s="10594"/>
      <c r="IS28" s="10594"/>
      <c r="IT28" s="10594"/>
      <c r="IU28" s="10594"/>
      <c r="IV28" s="10594"/>
      <c r="IW28" s="10594"/>
      <c r="IX28" s="10594"/>
      <c r="IY28" s="10594"/>
      <c r="IZ28" s="10594"/>
      <c r="JA28" s="10594"/>
      <c r="JB28" s="8663"/>
      <c r="JC28" s="10613" t="s">
        <v>1590</v>
      </c>
      <c r="JD28" s="10614"/>
      <c r="JE28" s="10615"/>
      <c r="JF28" s="10833" t="s">
        <v>2849</v>
      </c>
      <c r="JG28" s="10834"/>
      <c r="JH28" s="10834"/>
      <c r="JI28" s="10834"/>
      <c r="JJ28" s="10834"/>
      <c r="JK28" s="10834"/>
      <c r="JL28" s="10834"/>
      <c r="JM28" s="10834"/>
      <c r="JN28" s="10834"/>
      <c r="JO28" s="10834"/>
      <c r="JP28" s="10834"/>
      <c r="JQ28" s="10834"/>
      <c r="JR28" s="10834"/>
      <c r="JS28" s="10834"/>
      <c r="JT28" s="10834"/>
      <c r="JU28" s="10834"/>
      <c r="JV28" s="10834"/>
      <c r="JW28" s="10834"/>
      <c r="JX28" s="10834"/>
      <c r="JY28" s="10834"/>
      <c r="JZ28" s="10834"/>
      <c r="KA28" s="10834"/>
      <c r="KB28" s="10834"/>
      <c r="KC28" s="10834"/>
      <c r="KD28" s="10834"/>
      <c r="KE28" s="10834"/>
      <c r="KF28" s="10834"/>
      <c r="KG28" s="10834"/>
      <c r="KH28" s="10834"/>
      <c r="KI28" s="10834"/>
      <c r="KJ28" s="10834"/>
      <c r="KK28" s="10834"/>
      <c r="KL28" s="10834"/>
      <c r="KM28" s="10834"/>
      <c r="KN28" s="10834"/>
      <c r="KO28" s="10834"/>
      <c r="KP28" s="10834"/>
      <c r="KQ28" s="10834"/>
      <c r="KR28" s="10834"/>
      <c r="KS28" s="10834"/>
      <c r="KT28" s="10834"/>
      <c r="KU28" s="10834"/>
      <c r="KV28" s="10834"/>
      <c r="KW28" s="10834"/>
      <c r="KX28" s="10834"/>
      <c r="KY28" s="10834"/>
      <c r="KZ28" s="10833" t="s">
        <v>1592</v>
      </c>
      <c r="LA28" s="10834"/>
      <c r="LB28" s="10835"/>
      <c r="LC28" s="5133"/>
      <c r="LD28" s="5132"/>
      <c r="LE28" s="5132"/>
      <c r="LF28" s="5132"/>
      <c r="LG28" s="5132"/>
      <c r="LH28" s="5132"/>
      <c r="LI28" s="5132"/>
      <c r="LJ28" s="5132"/>
    </row>
    <row r="29" spans="1:322" s="6885" customFormat="1" ht="15" customHeight="1" thickBot="1">
      <c r="A29" s="5949"/>
      <c r="B29" s="5949"/>
      <c r="C29" s="5949"/>
      <c r="D29" s="5949"/>
      <c r="E29" s="5949"/>
      <c r="F29" s="5949"/>
      <c r="G29" s="5949"/>
      <c r="H29" s="7085"/>
      <c r="I29" s="5949"/>
      <c r="J29" s="10299" t="s">
        <v>1573</v>
      </c>
      <c r="K29" s="10300"/>
      <c r="L29" s="10300"/>
      <c r="M29" s="10300"/>
      <c r="N29" s="10300"/>
      <c r="O29" s="10300"/>
      <c r="P29" s="10300"/>
      <c r="Q29" s="10301"/>
      <c r="R29" s="10304" t="s">
        <v>1978</v>
      </c>
      <c r="S29" s="10305"/>
      <c r="T29" s="10305"/>
      <c r="U29" s="10305"/>
      <c r="V29" s="10305"/>
      <c r="W29" s="10305"/>
      <c r="X29" s="10305"/>
      <c r="Y29" s="10305"/>
      <c r="Z29" s="10305"/>
      <c r="AA29" s="10305"/>
      <c r="AB29" s="10305"/>
      <c r="AC29" s="10306"/>
      <c r="AD29" s="10302" t="s">
        <v>1574</v>
      </c>
      <c r="AE29" s="10300"/>
      <c r="AF29" s="10300"/>
      <c r="AG29" s="10303"/>
      <c r="AH29" s="10762" t="s">
        <v>1718</v>
      </c>
      <c r="AI29" s="10763"/>
      <c r="AJ29" s="10763"/>
      <c r="AK29" s="10763"/>
      <c r="AL29" s="10763"/>
      <c r="AM29" s="10764"/>
      <c r="AN29" s="10658" t="s">
        <v>1719</v>
      </c>
      <c r="AO29" s="10659"/>
      <c r="AP29" s="10659"/>
      <c r="AQ29" s="10659"/>
      <c r="AR29" s="10659"/>
      <c r="AS29" s="10659"/>
      <c r="AT29" s="10660"/>
      <c r="AU29" s="10581" t="s">
        <v>1720</v>
      </c>
      <c r="AV29" s="10582"/>
      <c r="AW29" s="10582"/>
      <c r="AX29" s="10582"/>
      <c r="AY29" s="10582"/>
      <c r="AZ29" s="10583"/>
      <c r="BA29" s="10902" t="s">
        <v>1606</v>
      </c>
      <c r="BB29" s="10899" t="s">
        <v>1086</v>
      </c>
      <c r="BC29" s="10899" t="s">
        <v>1185</v>
      </c>
      <c r="BD29" s="10899" t="s">
        <v>1607</v>
      </c>
      <c r="BE29" s="10899" t="s">
        <v>1628</v>
      </c>
      <c r="BF29" s="10899" t="s">
        <v>1859</v>
      </c>
      <c r="BG29" s="10896" t="s">
        <v>412</v>
      </c>
      <c r="BH29" s="10370" t="s">
        <v>1721</v>
      </c>
      <c r="BI29" s="10752" t="s">
        <v>412</v>
      </c>
      <c r="BJ29" s="10353" t="s">
        <v>1583</v>
      </c>
      <c r="BK29" s="10353"/>
      <c r="BL29" s="10353"/>
      <c r="BM29" s="10353"/>
      <c r="BN29" s="10353"/>
      <c r="BO29" s="10353"/>
      <c r="BP29" s="10353"/>
      <c r="BQ29" s="10353"/>
      <c r="BR29" s="10354"/>
      <c r="BS29" s="10822" t="s">
        <v>1722</v>
      </c>
      <c r="BT29" s="10351" t="s">
        <v>412</v>
      </c>
      <c r="BU29" s="10651" t="s">
        <v>1584</v>
      </c>
      <c r="BV29" s="10651"/>
      <c r="BW29" s="10651"/>
      <c r="BX29" s="10651"/>
      <c r="BY29" s="10651"/>
      <c r="BZ29" s="10651"/>
      <c r="CA29" s="10651"/>
      <c r="CB29" s="10651"/>
      <c r="CC29" s="10651"/>
      <c r="CD29" s="10651"/>
      <c r="CE29" s="10823"/>
      <c r="CF29" s="10348" t="s">
        <v>1723</v>
      </c>
      <c r="CG29" s="10747" t="s">
        <v>412</v>
      </c>
      <c r="CH29" s="10747" t="s">
        <v>1759</v>
      </c>
      <c r="CI29" s="10654" t="s">
        <v>1593</v>
      </c>
      <c r="CJ29" s="10582"/>
      <c r="CK29" s="10582"/>
      <c r="CL29" s="10582"/>
      <c r="CM29" s="10582"/>
      <c r="CN29" s="10582"/>
      <c r="CO29" s="10582"/>
      <c r="CP29" s="10583"/>
      <c r="CQ29" s="10787" t="s">
        <v>1649</v>
      </c>
      <c r="CR29" s="10785" t="s">
        <v>412</v>
      </c>
      <c r="CS29" s="10840" t="s">
        <v>1824</v>
      </c>
      <c r="CT29" s="10838" t="s">
        <v>1651</v>
      </c>
      <c r="CU29" s="10839"/>
      <c r="CV29" s="10839"/>
      <c r="CW29" s="10839"/>
      <c r="CX29" s="10839"/>
      <c r="CY29" s="10839"/>
      <c r="CZ29" s="10839"/>
      <c r="DA29" s="10839"/>
      <c r="DB29" s="10839"/>
      <c r="DC29" s="10839"/>
      <c r="DD29" s="10839"/>
      <c r="DE29" s="10839"/>
      <c r="DF29" s="10839"/>
      <c r="DG29" s="10839"/>
      <c r="DH29" s="10839"/>
      <c r="DI29" s="10839"/>
      <c r="DJ29" s="10839"/>
      <c r="DK29" s="10839"/>
      <c r="DL29" s="10839"/>
      <c r="DM29" s="10839"/>
      <c r="DN29" s="10839"/>
      <c r="DO29" s="10839"/>
      <c r="DP29" s="10839"/>
      <c r="DQ29" s="10839"/>
      <c r="DR29" s="10839"/>
      <c r="DS29" s="10839"/>
      <c r="DT29" s="10839"/>
      <c r="DU29" s="10839"/>
      <c r="DV29" s="10839"/>
      <c r="DW29" s="10839"/>
      <c r="DX29" s="10839"/>
      <c r="DY29" s="10839"/>
      <c r="DZ29" s="10839"/>
      <c r="EA29" s="10839"/>
      <c r="EB29" s="10839"/>
      <c r="EC29" s="10839"/>
      <c r="ED29" s="10839"/>
      <c r="EE29" s="10839"/>
      <c r="EF29" s="10839"/>
      <c r="EG29" s="10839"/>
      <c r="EH29" s="10839"/>
      <c r="EI29" s="10839"/>
      <c r="EJ29" s="10839"/>
      <c r="EK29" s="10839"/>
      <c r="EL29" s="10839"/>
      <c r="EM29" s="10839"/>
      <c r="EN29" s="10839"/>
      <c r="EO29" s="10839"/>
      <c r="EP29" s="10839"/>
      <c r="EQ29" s="10839"/>
      <c r="ER29" s="10839"/>
      <c r="ES29" s="10839"/>
      <c r="ET29" s="10839"/>
      <c r="EU29" s="10839"/>
      <c r="EV29" s="10839"/>
      <c r="EW29" s="10839"/>
      <c r="EX29" s="10839"/>
      <c r="EY29" s="10839"/>
      <c r="EZ29" s="10839"/>
      <c r="FA29" s="10839"/>
      <c r="FB29" s="10839"/>
      <c r="FC29" s="10626" t="s">
        <v>1724</v>
      </c>
      <c r="FD29" s="10627"/>
      <c r="FE29" s="10627"/>
      <c r="FF29" s="10627"/>
      <c r="FG29" s="10627"/>
      <c r="FH29" s="10627"/>
      <c r="FI29" s="10627"/>
      <c r="FJ29" s="10627"/>
      <c r="FK29" s="10627"/>
      <c r="FL29" s="10627"/>
      <c r="FM29" s="10627"/>
      <c r="FN29" s="10627"/>
      <c r="FO29" s="10627"/>
      <c r="FP29" s="10627"/>
      <c r="FQ29" s="10627"/>
      <c r="FR29" s="10627"/>
      <c r="FS29" s="10627"/>
      <c r="FT29" s="10627"/>
      <c r="FU29" s="10627"/>
      <c r="FV29" s="10628"/>
      <c r="FW29" s="10838" t="s">
        <v>1729</v>
      </c>
      <c r="FX29" s="10839"/>
      <c r="FY29" s="10839"/>
      <c r="FZ29" s="10839"/>
      <c r="GA29" s="10839"/>
      <c r="GB29" s="10839"/>
      <c r="GC29" s="10839"/>
      <c r="GD29" s="10839"/>
      <c r="GE29" s="10839"/>
      <c r="GF29" s="10839"/>
      <c r="GG29" s="10839"/>
      <c r="GH29" s="10905"/>
      <c r="GI29" s="10626" t="str">
        <f>+UPPER("Annual Costs")</f>
        <v>ANNUAL COSTS</v>
      </c>
      <c r="GJ29" s="10627"/>
      <c r="GK29" s="10627"/>
      <c r="GL29" s="10627"/>
      <c r="GM29" s="10627"/>
      <c r="GN29" s="10627"/>
      <c r="GO29" s="10627"/>
      <c r="GP29" s="10627"/>
      <c r="GQ29" s="10627"/>
      <c r="GR29" s="10627"/>
      <c r="GS29" s="10627"/>
      <c r="GT29" s="10627"/>
      <c r="GU29" s="10627"/>
      <c r="GV29" s="10627"/>
      <c r="GW29" s="10627"/>
      <c r="GX29" s="10627"/>
      <c r="GY29" s="10627"/>
      <c r="GZ29" s="10627"/>
      <c r="HA29" s="10627"/>
      <c r="HB29" s="10627"/>
      <c r="HC29" s="10627"/>
      <c r="HD29" s="10628"/>
      <c r="HE29" s="10587" t="s">
        <v>1588</v>
      </c>
      <c r="HF29" s="10577" t="s">
        <v>1596</v>
      </c>
      <c r="HG29" s="10652" t="s">
        <v>1586</v>
      </c>
      <c r="HH29" s="10648" t="s">
        <v>1858</v>
      </c>
      <c r="HI29" s="10655" t="s">
        <v>1851</v>
      </c>
      <c r="HJ29" s="10656"/>
      <c r="HK29" s="10656"/>
      <c r="HL29" s="10656"/>
      <c r="HM29" s="10657"/>
      <c r="HN29" s="10648" t="s">
        <v>1727</v>
      </c>
      <c r="HO29" s="10594" t="s">
        <v>1850</v>
      </c>
      <c r="HP29" s="10594"/>
      <c r="HQ29" s="10594"/>
      <c r="HR29" s="10594"/>
      <c r="HS29" s="10836"/>
      <c r="HT29" s="10593" t="s">
        <v>1701</v>
      </c>
      <c r="HU29" s="10836"/>
      <c r="HV29" s="10593" t="s">
        <v>1818</v>
      </c>
      <c r="HW29" s="10836"/>
      <c r="HX29" s="10593" t="s">
        <v>1852</v>
      </c>
      <c r="HY29" s="10594"/>
      <c r="HZ29" s="10594"/>
      <c r="IA29" s="10594"/>
      <c r="IB29" s="10836"/>
      <c r="IC29" s="10265" t="s">
        <v>1441</v>
      </c>
      <c r="ID29" s="10855" t="s">
        <v>1567</v>
      </c>
      <c r="IE29" s="10856"/>
      <c r="IF29" s="10856"/>
      <c r="IG29" s="10856"/>
      <c r="IH29" s="10856"/>
      <c r="II29" s="10856"/>
      <c r="IJ29" s="10856"/>
      <c r="IK29" s="10856"/>
      <c r="IL29" s="10856"/>
      <c r="IM29" s="10856"/>
      <c r="IN29" s="10856"/>
      <c r="IO29" s="10856"/>
      <c r="IP29" s="10856"/>
      <c r="IQ29" s="10856"/>
      <c r="IR29" s="10856"/>
      <c r="IS29" s="10856"/>
      <c r="IT29" s="10856"/>
      <c r="IU29" s="10856"/>
      <c r="IV29" s="10856"/>
      <c r="IW29" s="10856"/>
      <c r="IX29" s="10856"/>
      <c r="IY29" s="10856"/>
      <c r="IZ29" s="10856"/>
      <c r="JA29" s="10857"/>
      <c r="JB29" s="1348"/>
      <c r="JC29" s="10587" t="s">
        <v>1588</v>
      </c>
      <c r="JD29" s="10577" t="s">
        <v>1604</v>
      </c>
      <c r="JE29" s="10579" t="s">
        <v>1586</v>
      </c>
      <c r="JF29" s="10860" t="s">
        <v>2436</v>
      </c>
      <c r="JG29" s="10861"/>
      <c r="JH29" s="10872" t="s">
        <v>2444</v>
      </c>
      <c r="JI29" s="10873"/>
      <c r="JJ29" s="10873"/>
      <c r="JK29" s="10873"/>
      <c r="JL29" s="10874"/>
      <c r="JM29" s="10922" t="s">
        <v>2442</v>
      </c>
      <c r="JN29" s="10923"/>
      <c r="JO29" s="10923"/>
      <c r="JP29" s="10923"/>
      <c r="JQ29" s="10923"/>
      <c r="JR29" s="10923"/>
      <c r="JS29" s="10924"/>
      <c r="JT29" s="10918" t="s">
        <v>1568</v>
      </c>
      <c r="JU29" s="10919"/>
      <c r="JV29" s="10919"/>
      <c r="JW29" s="10919"/>
      <c r="JX29" s="10919"/>
      <c r="JY29" s="10919"/>
      <c r="JZ29" s="10919"/>
      <c r="KA29" s="10919"/>
      <c r="KB29" s="10919"/>
      <c r="KC29" s="10919"/>
      <c r="KD29" s="10919"/>
      <c r="KE29" s="10919"/>
      <c r="KF29" s="10919"/>
      <c r="KG29" s="10919"/>
      <c r="KH29" s="10919"/>
      <c r="KI29" s="10919"/>
      <c r="KJ29" s="10919"/>
      <c r="KK29" s="10919"/>
      <c r="KL29" s="10919"/>
      <c r="KM29" s="10919"/>
      <c r="KN29" s="10919"/>
      <c r="KO29" s="10919"/>
      <c r="KP29" s="10919"/>
      <c r="KQ29" s="10919"/>
      <c r="KR29" s="10919"/>
      <c r="KS29" s="10919"/>
      <c r="KT29" s="10919"/>
      <c r="KU29" s="10919"/>
      <c r="KV29" s="10919"/>
      <c r="KW29" s="10919"/>
      <c r="KX29" s="10919"/>
      <c r="KY29" s="7315"/>
      <c r="KZ29" s="10587" t="s">
        <v>1588</v>
      </c>
      <c r="LA29" s="10577" t="s">
        <v>1587</v>
      </c>
      <c r="LB29" s="10579" t="s">
        <v>1586</v>
      </c>
      <c r="LC29" s="5949"/>
      <c r="LD29" s="7085"/>
      <c r="LE29" s="7085"/>
      <c r="LF29" s="7085"/>
      <c r="LG29" s="7085"/>
      <c r="LH29" s="7085"/>
      <c r="LI29" s="7085"/>
      <c r="LJ29" s="7085"/>
    </row>
    <row r="30" spans="1:322" s="717" customFormat="1" ht="27.95" customHeight="1">
      <c r="A30" s="5133"/>
      <c r="B30" s="5133"/>
      <c r="C30" s="5133"/>
      <c r="D30" s="5133"/>
      <c r="E30" s="5133"/>
      <c r="F30" s="5133"/>
      <c r="G30" s="5133"/>
      <c r="H30" s="5132"/>
      <c r="I30" s="5133"/>
      <c r="J30" s="10321" t="s">
        <v>382</v>
      </c>
      <c r="K30" s="10320" t="s">
        <v>324</v>
      </c>
      <c r="L30" s="10295" t="s">
        <v>1563</v>
      </c>
      <c r="M30" s="10295" t="s">
        <v>255</v>
      </c>
      <c r="N30" s="10295" t="s">
        <v>609</v>
      </c>
      <c r="O30" s="10295" t="s">
        <v>381</v>
      </c>
      <c r="P30" s="10295" t="s">
        <v>2100</v>
      </c>
      <c r="Q30" s="10295" t="s">
        <v>1608</v>
      </c>
      <c r="R30" s="10295" t="s">
        <v>1609</v>
      </c>
      <c r="S30" s="10295" t="s">
        <v>1123</v>
      </c>
      <c r="T30" s="10295" t="s">
        <v>301</v>
      </c>
      <c r="U30" s="10295" t="s">
        <v>1100</v>
      </c>
      <c r="V30" s="10295" t="s">
        <v>1564</v>
      </c>
      <c r="W30" s="10295" t="s">
        <v>1717</v>
      </c>
      <c r="X30" s="10295" t="s">
        <v>384</v>
      </c>
      <c r="Y30" s="10295" t="s">
        <v>1649</v>
      </c>
      <c r="Z30" s="10295" t="s">
        <v>387</v>
      </c>
      <c r="AA30" s="10295" t="s">
        <v>984</v>
      </c>
      <c r="AB30" s="10295" t="s">
        <v>89</v>
      </c>
      <c r="AC30" s="10295" t="s">
        <v>1077</v>
      </c>
      <c r="AD30" s="10295" t="s">
        <v>484</v>
      </c>
      <c r="AE30" s="10295" t="s">
        <v>484</v>
      </c>
      <c r="AF30" s="10295" t="s">
        <v>485</v>
      </c>
      <c r="AG30" s="10294" t="s">
        <v>485</v>
      </c>
      <c r="AH30" s="10881" t="s">
        <v>1577</v>
      </c>
      <c r="AI30" s="10332" t="s">
        <v>1581</v>
      </c>
      <c r="AJ30" s="10333"/>
      <c r="AK30" s="10333"/>
      <c r="AL30" s="10333"/>
      <c r="AM30" s="10334"/>
      <c r="AN30" s="10878" t="s">
        <v>1576</v>
      </c>
      <c r="AO30" s="10374" t="s">
        <v>1580</v>
      </c>
      <c r="AP30" s="10375"/>
      <c r="AQ30" s="10375"/>
      <c r="AR30" s="10375"/>
      <c r="AS30" s="10375"/>
      <c r="AT30" s="10376"/>
      <c r="AU30" s="10875" t="s">
        <v>1578</v>
      </c>
      <c r="AV30" s="10584" t="s">
        <v>1582</v>
      </c>
      <c r="AW30" s="10585"/>
      <c r="AX30" s="10585"/>
      <c r="AY30" s="10585"/>
      <c r="AZ30" s="10586"/>
      <c r="BA30" s="10903"/>
      <c r="BB30" s="10900"/>
      <c r="BC30" s="10900"/>
      <c r="BD30" s="10900"/>
      <c r="BE30" s="10900"/>
      <c r="BF30" s="10900"/>
      <c r="BG30" s="10897"/>
      <c r="BH30" s="10370"/>
      <c r="BI30" s="10752"/>
      <c r="BJ30" s="10751" t="s">
        <v>1081</v>
      </c>
      <c r="BK30" s="10751" t="s">
        <v>1081</v>
      </c>
      <c r="BL30" s="10751" t="s">
        <v>2129</v>
      </c>
      <c r="BM30" s="10751" t="s">
        <v>2127</v>
      </c>
      <c r="BN30" s="10751" t="s">
        <v>1565</v>
      </c>
      <c r="BO30" s="10751" t="s">
        <v>1579</v>
      </c>
      <c r="BP30" s="10749"/>
      <c r="BQ30" s="10749"/>
      <c r="BR30" s="10753" t="s">
        <v>2906</v>
      </c>
      <c r="BS30" s="10822"/>
      <c r="BT30" s="10351"/>
      <c r="BU30" s="10350" t="s">
        <v>1081</v>
      </c>
      <c r="BV30" s="10350" t="s">
        <v>1081</v>
      </c>
      <c r="BW30" s="10350" t="s">
        <v>2128</v>
      </c>
      <c r="BX30" s="10350" t="s">
        <v>2127</v>
      </c>
      <c r="BY30" s="10350" t="s">
        <v>1565</v>
      </c>
      <c r="BZ30" s="10350" t="s">
        <v>1893</v>
      </c>
      <c r="CA30" s="10350" t="s">
        <v>1894</v>
      </c>
      <c r="CB30" s="10350" t="s">
        <v>1895</v>
      </c>
      <c r="CC30" s="10779"/>
      <c r="CD30" s="10779"/>
      <c r="CE30" s="10806" t="s">
        <v>2906</v>
      </c>
      <c r="CF30" s="10348"/>
      <c r="CG30" s="10747"/>
      <c r="CH30" s="10747"/>
      <c r="CI30" s="10746" t="s">
        <v>1081</v>
      </c>
      <c r="CJ30" s="10746" t="s">
        <v>1081</v>
      </c>
      <c r="CK30" s="10746" t="s">
        <v>1626</v>
      </c>
      <c r="CL30" s="10746" t="s">
        <v>1579</v>
      </c>
      <c r="CM30" s="10371"/>
      <c r="CN30" s="10371"/>
      <c r="CO30" s="10789" t="s">
        <v>2906</v>
      </c>
      <c r="CP30" s="10789" t="s">
        <v>2907</v>
      </c>
      <c r="CQ30" s="10788"/>
      <c r="CR30" s="10786"/>
      <c r="CS30" s="10841"/>
      <c r="CT30" s="10355" t="s">
        <v>1682</v>
      </c>
      <c r="CU30" s="10356"/>
      <c r="CV30" s="10356"/>
      <c r="CW30" s="10356"/>
      <c r="CX30" s="10356"/>
      <c r="CY30" s="10356"/>
      <c r="CZ30" s="10356"/>
      <c r="DA30" s="10356"/>
      <c r="DB30" s="10356"/>
      <c r="DC30" s="10356"/>
      <c r="DD30" s="10356"/>
      <c r="DE30" s="10356"/>
      <c r="DF30" s="10356"/>
      <c r="DG30" s="10356"/>
      <c r="DH30" s="10356"/>
      <c r="DI30" s="10356"/>
      <c r="DJ30" s="10357"/>
      <c r="DK30" s="10816" t="s">
        <v>1764</v>
      </c>
      <c r="DL30" s="10816"/>
      <c r="DM30" s="10816"/>
      <c r="DN30" s="10816"/>
      <c r="DO30" s="10816"/>
      <c r="DP30" s="10816"/>
      <c r="DQ30" s="10816"/>
      <c r="DR30" s="10816"/>
      <c r="DS30" s="10816"/>
      <c r="DT30" s="10816"/>
      <c r="DU30" s="10816"/>
      <c r="DV30" s="10816"/>
      <c r="DW30" s="10816"/>
      <c r="DX30" s="10816"/>
      <c r="DY30" s="10816"/>
      <c r="DZ30" s="10816"/>
      <c r="EA30" s="10816"/>
      <c r="EB30" s="10817" t="s">
        <v>1691</v>
      </c>
      <c r="EC30" s="10818"/>
      <c r="ED30" s="10819"/>
      <c r="EE30" s="10367" t="s">
        <v>1692</v>
      </c>
      <c r="EF30" s="10368"/>
      <c r="EG30" s="10368"/>
      <c r="EH30" s="10369"/>
      <c r="EI30" s="10813" t="s">
        <v>1694</v>
      </c>
      <c r="EJ30" s="10814"/>
      <c r="EK30" s="10814"/>
      <c r="EL30" s="10814"/>
      <c r="EM30" s="10814"/>
      <c r="EN30" s="10814"/>
      <c r="EO30" s="10814"/>
      <c r="EP30" s="10815"/>
      <c r="EQ30" s="10620" t="s">
        <v>1731</v>
      </c>
      <c r="ER30" s="10616"/>
      <c r="ES30" s="10616"/>
      <c r="ET30" s="10617"/>
      <c r="EU30" s="10620" t="s">
        <v>1701</v>
      </c>
      <c r="EV30" s="10617"/>
      <c r="EW30" s="10620" t="s">
        <v>1818</v>
      </c>
      <c r="EX30" s="10617"/>
      <c r="EY30" s="10620" t="s">
        <v>1822</v>
      </c>
      <c r="EZ30" s="10616"/>
      <c r="FA30" s="10616"/>
      <c r="FB30" s="10617"/>
      <c r="FC30" s="10637" t="s">
        <v>1707</v>
      </c>
      <c r="FD30" s="10796" t="s">
        <v>1725</v>
      </c>
      <c r="FE30" s="10276"/>
      <c r="FF30" s="10796" t="s">
        <v>1726</v>
      </c>
      <c r="FG30" s="10276"/>
      <c r="FH30" s="10796" t="s">
        <v>1768</v>
      </c>
      <c r="FI30" s="10276"/>
      <c r="FJ30" s="10595" t="s">
        <v>1835</v>
      </c>
      <c r="FK30" s="10825"/>
      <c r="FL30" s="10595" t="s">
        <v>1837</v>
      </c>
      <c r="FM30" s="10825"/>
      <c r="FN30" s="10595" t="s">
        <v>1838</v>
      </c>
      <c r="FO30" s="10825"/>
      <c r="FP30" s="10595" t="s">
        <v>1829</v>
      </c>
      <c r="FQ30" s="10597"/>
      <c r="FR30" s="2853" t="s">
        <v>1833</v>
      </c>
      <c r="FS30" s="10596" t="str">
        <f>+UPPER("Taxes &amp; Freight")</f>
        <v>TAXES &amp; FREIGHT</v>
      </c>
      <c r="FT30" s="10597"/>
      <c r="FU30" s="10892" t="s">
        <v>1830</v>
      </c>
      <c r="FV30" s="10281" t="s">
        <v>1727</v>
      </c>
      <c r="FW30" s="10843" t="s">
        <v>1730</v>
      </c>
      <c r="FX30" s="10596"/>
      <c r="FY30" s="10596"/>
      <c r="FZ30" s="10596"/>
      <c r="GA30" s="10596"/>
      <c r="GB30" s="10595" t="s">
        <v>1731</v>
      </c>
      <c r="GC30" s="10596"/>
      <c r="GD30" s="10597"/>
      <c r="GE30" s="10843" t="s">
        <v>1732</v>
      </c>
      <c r="GF30" s="10596"/>
      <c r="GG30" s="10596"/>
      <c r="GH30" s="10597"/>
      <c r="GI30" s="10620" t="s">
        <v>1733</v>
      </c>
      <c r="GJ30" s="10616"/>
      <c r="GK30" s="10616"/>
      <c r="GL30" s="10616"/>
      <c r="GM30" s="10616"/>
      <c r="GN30" s="10616"/>
      <c r="GO30" s="10616"/>
      <c r="GP30" s="10616"/>
      <c r="GQ30" s="10616"/>
      <c r="GR30" s="10616"/>
      <c r="GS30" s="10616"/>
      <c r="GT30" s="10616"/>
      <c r="GU30" s="10617"/>
      <c r="GV30" s="10616" t="s">
        <v>1734</v>
      </c>
      <c r="GW30" s="10616"/>
      <c r="GX30" s="10616"/>
      <c r="GY30" s="10616"/>
      <c r="GZ30" s="10616"/>
      <c r="HA30" s="10616"/>
      <c r="HB30" s="10616"/>
      <c r="HC30" s="10616"/>
      <c r="HD30" s="10617"/>
      <c r="HE30" s="10588"/>
      <c r="HF30" s="10578"/>
      <c r="HG30" s="10653"/>
      <c r="HH30" s="10649"/>
      <c r="HI30" s="10885" t="s">
        <v>1833</v>
      </c>
      <c r="HJ30" s="10850" t="s">
        <v>1829</v>
      </c>
      <c r="HK30" s="10850" t="s">
        <v>1845</v>
      </c>
      <c r="HL30" s="10850" t="s">
        <v>1846</v>
      </c>
      <c r="HM30" s="10644" t="s">
        <v>1857</v>
      </c>
      <c r="HN30" s="10649"/>
      <c r="HO30" s="10638" t="s">
        <v>1847</v>
      </c>
      <c r="HP30" s="10850" t="s">
        <v>1848</v>
      </c>
      <c r="HQ30" s="10867" t="s">
        <v>1849</v>
      </c>
      <c r="HR30" s="10868"/>
      <c r="HS30" s="10869"/>
      <c r="HT30" s="10853" t="s">
        <v>1700</v>
      </c>
      <c r="HU30" s="10854"/>
      <c r="HV30" s="10282" t="s">
        <v>1819</v>
      </c>
      <c r="HW30" s="10284" t="s">
        <v>1820</v>
      </c>
      <c r="HX30" s="10282" t="s">
        <v>1823</v>
      </c>
      <c r="HY30" s="10837" t="s">
        <v>1773</v>
      </c>
      <c r="HZ30" s="10284"/>
      <c r="IA30" s="10638" t="s">
        <v>1570</v>
      </c>
      <c r="IB30" s="10644" t="s">
        <v>915</v>
      </c>
      <c r="IC30" s="10265"/>
      <c r="ID30" s="10289" t="s">
        <v>564</v>
      </c>
      <c r="IE30" s="10883" t="s">
        <v>565</v>
      </c>
      <c r="IF30" s="10264" t="s">
        <v>1926</v>
      </c>
      <c r="IG30" s="10270"/>
      <c r="IH30" s="10271"/>
      <c r="II30" s="10270"/>
      <c r="IJ30" s="10271"/>
      <c r="IK30" s="10271"/>
      <c r="IL30" s="10271"/>
      <c r="IM30" s="10271"/>
      <c r="IN30" s="10271"/>
      <c r="IO30" s="10271"/>
      <c r="IP30" s="8620"/>
      <c r="IQ30" s="8620"/>
      <c r="IR30" s="8620"/>
      <c r="IS30" s="8620"/>
      <c r="IT30" s="10272" t="s">
        <v>1734</v>
      </c>
      <c r="IU30" s="10270"/>
      <c r="IV30" s="10273"/>
      <c r="IW30" s="10271"/>
      <c r="IX30" s="10271"/>
      <c r="IY30" s="10271"/>
      <c r="IZ30" s="10271"/>
      <c r="JA30" s="10271"/>
      <c r="JB30" s="10274"/>
      <c r="JC30" s="10588"/>
      <c r="JD30" s="10578"/>
      <c r="JE30" s="10580"/>
      <c r="JF30" s="10862" t="s">
        <v>2388</v>
      </c>
      <c r="JG30" s="10862" t="s">
        <v>1649</v>
      </c>
      <c r="JH30" s="10845" t="s">
        <v>2428</v>
      </c>
      <c r="JI30" s="10828" t="s">
        <v>2445</v>
      </c>
      <c r="JJ30" s="10828"/>
      <c r="JK30" s="10828"/>
      <c r="JL30" s="10848"/>
      <c r="JM30" s="10865" t="s">
        <v>2440</v>
      </c>
      <c r="JN30" s="10866"/>
      <c r="JO30" s="10828" t="s">
        <v>2441</v>
      </c>
      <c r="JP30" s="10828"/>
      <c r="JQ30" s="10828"/>
      <c r="JR30" s="10830"/>
      <c r="JS30" s="10849" t="s">
        <v>2443</v>
      </c>
      <c r="JT30" s="10865" t="s">
        <v>2479</v>
      </c>
      <c r="JU30" s="10927"/>
      <c r="JV30" s="10927"/>
      <c r="JW30" s="10927"/>
      <c r="JX30" s="10865" t="s">
        <v>2695</v>
      </c>
      <c r="JY30" s="10927"/>
      <c r="JZ30" s="10928"/>
      <c r="KA30" s="10865" t="s">
        <v>2694</v>
      </c>
      <c r="KB30" s="10927"/>
      <c r="KC30" s="10928"/>
      <c r="KD30" s="10927" t="s">
        <v>2681</v>
      </c>
      <c r="KE30" s="10927"/>
      <c r="KF30" s="10927"/>
      <c r="KG30" s="10927"/>
      <c r="KH30" s="10927"/>
      <c r="KI30" s="10927"/>
      <c r="KJ30" s="10927"/>
      <c r="KK30" s="10927"/>
      <c r="KL30" s="10927"/>
      <c r="KM30" s="10927"/>
      <c r="KN30" s="10927"/>
      <c r="KO30" s="10927"/>
      <c r="KP30" s="10928"/>
      <c r="KQ30" s="10907" t="s">
        <v>2692</v>
      </c>
      <c r="KR30" s="10908"/>
      <c r="KS30" s="10909"/>
      <c r="KT30" s="10907" t="s">
        <v>2486</v>
      </c>
      <c r="KU30" s="10908"/>
      <c r="KV30" s="10908"/>
      <c r="KW30" s="10908"/>
      <c r="KX30" s="10909"/>
      <c r="KY30" s="10915" t="s">
        <v>2313</v>
      </c>
      <c r="KZ30" s="10588"/>
      <c r="LA30" s="10578"/>
      <c r="LB30" s="10580"/>
      <c r="LC30" s="5133"/>
      <c r="LD30" s="5132"/>
      <c r="LE30" s="5132"/>
      <c r="LF30" s="5132"/>
      <c r="LG30" s="5132"/>
      <c r="LH30" s="5132"/>
      <c r="LI30" s="5132"/>
      <c r="LJ30" s="5132"/>
    </row>
    <row r="31" spans="1:322" s="717" customFormat="1" ht="22.5" customHeight="1">
      <c r="A31" s="5133"/>
      <c r="B31" s="5133"/>
      <c r="C31" s="5133"/>
      <c r="D31" s="5133"/>
      <c r="E31" s="5133"/>
      <c r="F31" s="5133"/>
      <c r="G31" s="5133"/>
      <c r="H31" s="5132"/>
      <c r="I31" s="5133"/>
      <c r="J31" s="9755"/>
      <c r="K31" s="10191"/>
      <c r="L31" s="9748"/>
      <c r="M31" s="9748"/>
      <c r="N31" s="9748"/>
      <c r="O31" s="9748"/>
      <c r="P31" s="9748"/>
      <c r="Q31" s="9748"/>
      <c r="R31" s="9748"/>
      <c r="S31" s="9748"/>
      <c r="T31" s="9748"/>
      <c r="U31" s="9748"/>
      <c r="V31" s="9748"/>
      <c r="W31" s="9748"/>
      <c r="X31" s="9748"/>
      <c r="Y31" s="9748"/>
      <c r="Z31" s="9748"/>
      <c r="AA31" s="9748"/>
      <c r="AB31" s="9748"/>
      <c r="AC31" s="9748"/>
      <c r="AD31" s="9748"/>
      <c r="AE31" s="9748"/>
      <c r="AF31" s="9748"/>
      <c r="AG31" s="9751"/>
      <c r="AH31" s="10370"/>
      <c r="AI31" s="10322" t="s">
        <v>1085</v>
      </c>
      <c r="AJ31" s="10322" t="s">
        <v>419</v>
      </c>
      <c r="AK31" s="10322" t="s">
        <v>1369</v>
      </c>
      <c r="AL31" s="10322" t="s">
        <v>1369</v>
      </c>
      <c r="AM31" s="10880" t="s">
        <v>1594</v>
      </c>
      <c r="AN31" s="10822"/>
      <c r="AO31" s="10877" t="s">
        <v>1085</v>
      </c>
      <c r="AP31" s="10877" t="s">
        <v>1622</v>
      </c>
      <c r="AQ31" s="10877" t="s">
        <v>1623</v>
      </c>
      <c r="AR31" s="10877" t="s">
        <v>1369</v>
      </c>
      <c r="AS31" s="10877" t="s">
        <v>1369</v>
      </c>
      <c r="AT31" s="10876" t="s">
        <v>1594</v>
      </c>
      <c r="AU31" s="10348"/>
      <c r="AV31" s="10782" t="s">
        <v>1619</v>
      </c>
      <c r="AW31" s="10782" t="s">
        <v>1624</v>
      </c>
      <c r="AX31" s="10782" t="s">
        <v>1600</v>
      </c>
      <c r="AY31" s="10782" t="s">
        <v>1600</v>
      </c>
      <c r="AZ31" s="10780" t="s">
        <v>1625</v>
      </c>
      <c r="BA31" s="10903"/>
      <c r="BB31" s="10900"/>
      <c r="BC31" s="10900"/>
      <c r="BD31" s="10900"/>
      <c r="BE31" s="10900"/>
      <c r="BF31" s="10900"/>
      <c r="BG31" s="10897"/>
      <c r="BH31" s="10370"/>
      <c r="BI31" s="10752"/>
      <c r="BJ31" s="10752"/>
      <c r="BK31" s="10752"/>
      <c r="BL31" s="10752"/>
      <c r="BM31" s="10752"/>
      <c r="BN31" s="10752"/>
      <c r="BO31" s="10752"/>
      <c r="BP31" s="10750"/>
      <c r="BQ31" s="10750"/>
      <c r="BR31" s="10754"/>
      <c r="BS31" s="10822"/>
      <c r="BT31" s="10351"/>
      <c r="BU31" s="10351"/>
      <c r="BV31" s="10351"/>
      <c r="BW31" s="10351"/>
      <c r="BX31" s="10351"/>
      <c r="BY31" s="10351"/>
      <c r="BZ31" s="10351"/>
      <c r="CA31" s="10351"/>
      <c r="CB31" s="10351"/>
      <c r="CC31" s="10578"/>
      <c r="CD31" s="10578"/>
      <c r="CE31" s="10807"/>
      <c r="CF31" s="10348"/>
      <c r="CG31" s="10747"/>
      <c r="CH31" s="10747"/>
      <c r="CI31" s="10747"/>
      <c r="CJ31" s="10747"/>
      <c r="CK31" s="10747"/>
      <c r="CL31" s="10747"/>
      <c r="CM31" s="10372"/>
      <c r="CN31" s="10372"/>
      <c r="CO31" s="10790"/>
      <c r="CP31" s="10790"/>
      <c r="CQ31" s="10788"/>
      <c r="CR31" s="10786"/>
      <c r="CS31" s="10841"/>
      <c r="CT31" s="10346" t="s">
        <v>1704</v>
      </c>
      <c r="CU31" s="10621" t="s">
        <v>1688</v>
      </c>
      <c r="CV31" s="10622"/>
      <c r="CW31" s="10622"/>
      <c r="CX31" s="10622"/>
      <c r="CY31" s="10623"/>
      <c r="CZ31" s="10607" t="s">
        <v>1842</v>
      </c>
      <c r="DA31" s="10608"/>
      <c r="DB31" s="10608"/>
      <c r="DC31" s="10607"/>
      <c r="DD31" s="10609"/>
      <c r="DE31" s="10610" t="s">
        <v>1689</v>
      </c>
      <c r="DF31" s="10611"/>
      <c r="DG31" s="10611"/>
      <c r="DH31" s="10612"/>
      <c r="DI31" s="2822" t="s">
        <v>1833</v>
      </c>
      <c r="DJ31" s="10812" t="s">
        <v>1388</v>
      </c>
      <c r="DK31" s="10346" t="s">
        <v>1703</v>
      </c>
      <c r="DL31" s="10364" t="s">
        <v>1688</v>
      </c>
      <c r="DM31" s="10365"/>
      <c r="DN31" s="10365"/>
      <c r="DO31" s="10365"/>
      <c r="DP31" s="10366"/>
      <c r="DQ31" s="10607" t="s">
        <v>1842</v>
      </c>
      <c r="DR31" s="10608"/>
      <c r="DS31" s="10608"/>
      <c r="DT31" s="10607"/>
      <c r="DU31" s="10609"/>
      <c r="DV31" s="10809" t="s">
        <v>1689</v>
      </c>
      <c r="DW31" s="10810"/>
      <c r="DX31" s="10810"/>
      <c r="DY31" s="10811"/>
      <c r="DZ31" s="2822" t="s">
        <v>1833</v>
      </c>
      <c r="EA31" s="10812" t="s">
        <v>1388</v>
      </c>
      <c r="EB31" s="10802" t="s">
        <v>1654</v>
      </c>
      <c r="EC31" s="10804" t="s">
        <v>1656</v>
      </c>
      <c r="ED31" s="10344" t="s">
        <v>1655</v>
      </c>
      <c r="EE31" s="10802" t="s">
        <v>1765</v>
      </c>
      <c r="EF31" s="10804" t="s">
        <v>1762</v>
      </c>
      <c r="EG31" s="10344" t="s">
        <v>1712</v>
      </c>
      <c r="EH31" s="10798" t="s">
        <v>1693</v>
      </c>
      <c r="EI31" s="10602" t="s">
        <v>1698</v>
      </c>
      <c r="EJ31" s="10603"/>
      <c r="EK31" s="10604"/>
      <c r="EL31" s="10820" t="s">
        <v>1711</v>
      </c>
      <c r="EM31" s="10605" t="s">
        <v>1699</v>
      </c>
      <c r="EN31" s="10800" t="s">
        <v>1766</v>
      </c>
      <c r="EO31" s="10795" t="s">
        <v>1813</v>
      </c>
      <c r="EP31" s="10798" t="s">
        <v>1659</v>
      </c>
      <c r="EQ31" s="10798" t="s">
        <v>1814</v>
      </c>
      <c r="ER31" s="10798" t="s">
        <v>1815</v>
      </c>
      <c r="ES31" s="10798" t="s">
        <v>1816</v>
      </c>
      <c r="ET31" s="10798" t="s">
        <v>1817</v>
      </c>
      <c r="EU31" s="10642" t="s">
        <v>1700</v>
      </c>
      <c r="EV31" s="10643"/>
      <c r="EW31" s="10605" t="s">
        <v>1819</v>
      </c>
      <c r="EX31" s="10824" t="s">
        <v>1820</v>
      </c>
      <c r="EY31" s="10844" t="s">
        <v>1823</v>
      </c>
      <c r="EZ31" s="10797" t="s">
        <v>1773</v>
      </c>
      <c r="FA31" s="10604"/>
      <c r="FB31" s="10618" t="s">
        <v>1767</v>
      </c>
      <c r="FC31" s="10637"/>
      <c r="FD31" s="10635" t="s">
        <v>1709</v>
      </c>
      <c r="FE31" s="10636"/>
      <c r="FF31" s="10635" t="s">
        <v>1715</v>
      </c>
      <c r="FG31" s="10636"/>
      <c r="FH31" s="10624" t="s">
        <v>1769</v>
      </c>
      <c r="FI31" s="10625"/>
      <c r="FJ31" s="10826" t="s">
        <v>1836</v>
      </c>
      <c r="FK31" s="10625"/>
      <c r="FL31" s="10624" t="s">
        <v>1843</v>
      </c>
      <c r="FM31" s="10625"/>
      <c r="FN31" s="10624" t="s">
        <v>1839</v>
      </c>
      <c r="FO31" s="10625"/>
      <c r="FP31" s="10826" t="s">
        <v>1840</v>
      </c>
      <c r="FQ31" s="10625"/>
      <c r="FR31" s="2824" t="s">
        <v>1841</v>
      </c>
      <c r="FS31" s="10279"/>
      <c r="FT31" s="10280"/>
      <c r="FU31" s="10892"/>
      <c r="FV31" s="10281"/>
      <c r="FW31" s="10887" t="s">
        <v>1692</v>
      </c>
      <c r="FX31" s="10888"/>
      <c r="FY31" s="10889" t="s">
        <v>1694</v>
      </c>
      <c r="FZ31" s="10890"/>
      <c r="GA31" s="10891"/>
      <c r="GB31" s="10598" t="s">
        <v>1084</v>
      </c>
      <c r="GC31" s="10598" t="s">
        <v>893</v>
      </c>
      <c r="GD31" s="10600" t="s">
        <v>1714</v>
      </c>
      <c r="GE31" s="10645" t="s">
        <v>1826</v>
      </c>
      <c r="GF31" s="10598" t="s">
        <v>1728</v>
      </c>
      <c r="GG31" s="10598" t="s">
        <v>1825</v>
      </c>
      <c r="GH31" s="10600" t="s">
        <v>1441</v>
      </c>
      <c r="GI31" s="10602" t="s">
        <v>1888</v>
      </c>
      <c r="GJ31" s="10647"/>
      <c r="GK31" s="10647"/>
      <c r="GL31" s="10604"/>
      <c r="GM31" s="10637" t="s">
        <v>564</v>
      </c>
      <c r="GN31" s="10646" t="s">
        <v>565</v>
      </c>
      <c r="GO31" s="10278" t="s">
        <v>1737</v>
      </c>
      <c r="GP31" s="10279"/>
      <c r="GQ31" s="10280"/>
      <c r="GR31" s="10892" t="s">
        <v>1741</v>
      </c>
      <c r="GS31" s="10892" t="s">
        <v>1742</v>
      </c>
      <c r="GT31" s="10892" t="s">
        <v>1740</v>
      </c>
      <c r="GU31" s="10281" t="s">
        <v>1739</v>
      </c>
      <c r="GV31" s="10278" t="s">
        <v>1744</v>
      </c>
      <c r="GW31" s="10279"/>
      <c r="GX31" s="10280"/>
      <c r="GY31" s="10277" t="s">
        <v>1741</v>
      </c>
      <c r="GZ31" s="10277" t="s">
        <v>1742</v>
      </c>
      <c r="HA31" s="10277" t="s">
        <v>1740</v>
      </c>
      <c r="HB31" s="10275" t="s">
        <v>1745</v>
      </c>
      <c r="HC31" s="10640" t="s">
        <v>1746</v>
      </c>
      <c r="HD31" s="10641"/>
      <c r="HE31" s="10588"/>
      <c r="HF31" s="10578"/>
      <c r="HG31" s="10653"/>
      <c r="HH31" s="10649"/>
      <c r="HI31" s="10885"/>
      <c r="HJ31" s="10850"/>
      <c r="HK31" s="10850"/>
      <c r="HL31" s="10850"/>
      <c r="HM31" s="10644"/>
      <c r="HN31" s="10649"/>
      <c r="HO31" s="10638"/>
      <c r="HP31" s="10850"/>
      <c r="HQ31" s="10870" t="s">
        <v>1868</v>
      </c>
      <c r="HR31" s="10870" t="s">
        <v>1867</v>
      </c>
      <c r="HS31" s="10871" t="s">
        <v>1817</v>
      </c>
      <c r="HT31" s="10283" t="s">
        <v>1653</v>
      </c>
      <c r="HU31" s="10285" t="s">
        <v>1661</v>
      </c>
      <c r="HV31" s="10283"/>
      <c r="HW31" s="10285"/>
      <c r="HX31" s="10283"/>
      <c r="HY31" s="10286" t="s">
        <v>1775</v>
      </c>
      <c r="HZ31" s="10285" t="s">
        <v>1774</v>
      </c>
      <c r="IA31" s="10638"/>
      <c r="IB31" s="10644"/>
      <c r="IC31" s="10265"/>
      <c r="ID31" s="10290"/>
      <c r="IE31" s="10884"/>
      <c r="IF31" s="10260" t="s">
        <v>1927</v>
      </c>
      <c r="IG31" s="10261"/>
      <c r="IH31" s="10262"/>
      <c r="II31" s="10263"/>
      <c r="IJ31" s="10264"/>
      <c r="IK31" s="10267" t="s">
        <v>1923</v>
      </c>
      <c r="IL31" s="10268"/>
      <c r="IM31" s="10268"/>
      <c r="IN31" s="10269"/>
      <c r="IO31" s="10269" t="s">
        <v>1929</v>
      </c>
      <c r="IP31" s="10910" t="s">
        <v>2491</v>
      </c>
      <c r="IQ31" s="10911"/>
      <c r="IR31" s="10910" t="s">
        <v>2494</v>
      </c>
      <c r="IS31" s="10911"/>
      <c r="IT31" s="10269" t="s">
        <v>2496</v>
      </c>
      <c r="IU31" s="10287" t="s">
        <v>2372</v>
      </c>
      <c r="IV31" s="10912" t="s">
        <v>2495</v>
      </c>
      <c r="IW31" s="10265" t="s">
        <v>1930</v>
      </c>
      <c r="IX31" s="10265" t="s">
        <v>1931</v>
      </c>
      <c r="IY31" s="10858" t="s">
        <v>1746</v>
      </c>
      <c r="IZ31" s="10285"/>
      <c r="JA31" s="1622"/>
      <c r="JB31" s="8665"/>
      <c r="JC31" s="10589"/>
      <c r="JD31" s="10578"/>
      <c r="JE31" s="10580"/>
      <c r="JF31" s="10863"/>
      <c r="JG31" s="10863"/>
      <c r="JH31" s="10846"/>
      <c r="JI31" s="10827" t="s">
        <v>2424</v>
      </c>
      <c r="JJ31" s="10827" t="s">
        <v>2425</v>
      </c>
      <c r="JK31" s="10827" t="s">
        <v>2426</v>
      </c>
      <c r="JL31" s="10849" t="s">
        <v>2427</v>
      </c>
      <c r="JM31" s="10845" t="s">
        <v>2438</v>
      </c>
      <c r="JN31" s="10831" t="s">
        <v>2439</v>
      </c>
      <c r="JO31" s="10827" t="s">
        <v>2424</v>
      </c>
      <c r="JP31" s="10827" t="s">
        <v>2425</v>
      </c>
      <c r="JQ31" s="10827" t="s">
        <v>2426</v>
      </c>
      <c r="JR31" s="10829" t="s">
        <v>2427</v>
      </c>
      <c r="JS31" s="10925"/>
      <c r="JT31" s="10926" t="s">
        <v>2480</v>
      </c>
      <c r="JU31" s="8309" t="s">
        <v>2018</v>
      </c>
      <c r="JV31" s="8356" t="s">
        <v>2605</v>
      </c>
      <c r="JW31" s="8181" t="s">
        <v>1186</v>
      </c>
      <c r="JX31" s="8321" t="s">
        <v>2432</v>
      </c>
      <c r="JY31" s="8669" t="s">
        <v>1094</v>
      </c>
      <c r="JZ31" s="8181" t="s">
        <v>557</v>
      </c>
      <c r="KA31" s="8321" t="s">
        <v>2012</v>
      </c>
      <c r="KB31" s="8180" t="s">
        <v>2594</v>
      </c>
      <c r="KC31" s="8181" t="s">
        <v>2630</v>
      </c>
      <c r="KD31" s="7229" t="s">
        <v>2697</v>
      </c>
      <c r="KE31" s="8443" t="s">
        <v>2698</v>
      </c>
      <c r="KF31" s="8443" t="s">
        <v>2699</v>
      </c>
      <c r="KG31" s="8317" t="s">
        <v>2696</v>
      </c>
      <c r="KH31" s="8317" t="s">
        <v>2701</v>
      </c>
      <c r="KI31" s="8317" t="s">
        <v>2704</v>
      </c>
      <c r="KJ31" s="8317" t="s">
        <v>2271</v>
      </c>
      <c r="KK31" s="8317" t="s">
        <v>1231</v>
      </c>
      <c r="KL31" s="8180" t="s">
        <v>1232</v>
      </c>
      <c r="KM31" s="8180" t="s">
        <v>2708</v>
      </c>
      <c r="KN31" s="8180" t="s">
        <v>2682</v>
      </c>
      <c r="KO31" s="8180" t="s">
        <v>2006</v>
      </c>
      <c r="KP31" s="10920" t="s">
        <v>2501</v>
      </c>
      <c r="KQ31" s="7229" t="s">
        <v>2271</v>
      </c>
      <c r="KR31" s="7326" t="s">
        <v>2489</v>
      </c>
      <c r="KS31" s="10920" t="s">
        <v>2501</v>
      </c>
      <c r="KT31" s="7230">
        <v>1</v>
      </c>
      <c r="KU31" s="7231">
        <f>1+KT31</f>
        <v>2</v>
      </c>
      <c r="KV31" s="10913">
        <f>1+KU31</f>
        <v>3</v>
      </c>
      <c r="KW31" s="10914"/>
      <c r="KX31" s="7322" t="s">
        <v>2019</v>
      </c>
      <c r="KY31" s="10916"/>
      <c r="KZ31" s="10588"/>
      <c r="LA31" s="10578"/>
      <c r="LB31" s="10580"/>
      <c r="LC31" s="5133"/>
      <c r="LD31" s="5132"/>
      <c r="LE31" s="5132"/>
      <c r="LF31" s="5132"/>
      <c r="LG31" s="5132"/>
      <c r="LH31" s="5132"/>
      <c r="LI31" s="5132"/>
      <c r="LJ31" s="5132"/>
    </row>
    <row r="32" spans="1:322" s="13" customFormat="1" ht="53.25" customHeight="1">
      <c r="A32" s="5133"/>
      <c r="B32" s="5133"/>
      <c r="C32" s="5133"/>
      <c r="D32" s="5133"/>
      <c r="E32" s="5133"/>
      <c r="F32" s="5133"/>
      <c r="G32" s="5133"/>
      <c r="H32" s="5132"/>
      <c r="I32" s="5133"/>
      <c r="J32" s="9755"/>
      <c r="K32" s="10191"/>
      <c r="L32" s="9748"/>
      <c r="M32" s="9748"/>
      <c r="N32" s="9748"/>
      <c r="O32" s="9748"/>
      <c r="P32" s="9748"/>
      <c r="Q32" s="9748"/>
      <c r="R32" s="9748"/>
      <c r="S32" s="9749"/>
      <c r="T32" s="9749"/>
      <c r="U32" s="9749"/>
      <c r="V32" s="9748"/>
      <c r="W32" s="9748"/>
      <c r="X32" s="9748"/>
      <c r="Y32" s="9748"/>
      <c r="Z32" s="9748"/>
      <c r="AA32" s="9749"/>
      <c r="AB32" s="9748"/>
      <c r="AC32" s="9748"/>
      <c r="AD32" s="9749"/>
      <c r="AE32" s="9749"/>
      <c r="AF32" s="9749"/>
      <c r="AG32" s="9752"/>
      <c r="AH32" s="10370"/>
      <c r="AI32" s="10323"/>
      <c r="AJ32" s="10323"/>
      <c r="AK32" s="10323"/>
      <c r="AL32" s="10323"/>
      <c r="AM32" s="10354"/>
      <c r="AN32" s="10822"/>
      <c r="AO32" s="10352"/>
      <c r="AP32" s="10352"/>
      <c r="AQ32" s="10352"/>
      <c r="AR32" s="10352"/>
      <c r="AS32" s="10352"/>
      <c r="AT32" s="10823"/>
      <c r="AU32" s="10348"/>
      <c r="AV32" s="10748"/>
      <c r="AW32" s="10748"/>
      <c r="AX32" s="10748"/>
      <c r="AY32" s="10748"/>
      <c r="AZ32" s="10781"/>
      <c r="BA32" s="10903"/>
      <c r="BB32" s="10900"/>
      <c r="BC32" s="10900"/>
      <c r="BD32" s="10900"/>
      <c r="BE32" s="10900"/>
      <c r="BF32" s="10900"/>
      <c r="BG32" s="10897"/>
      <c r="BH32" s="10370"/>
      <c r="BI32" s="10752"/>
      <c r="BJ32" s="10323"/>
      <c r="BK32" s="10323"/>
      <c r="BL32" s="10323"/>
      <c r="BM32" s="10323"/>
      <c r="BN32" s="10323"/>
      <c r="BO32" s="10323"/>
      <c r="BP32" s="10353"/>
      <c r="BQ32" s="10353"/>
      <c r="BR32" s="10755"/>
      <c r="BS32" s="10822"/>
      <c r="BT32" s="10351"/>
      <c r="BU32" s="10352"/>
      <c r="BV32" s="10352"/>
      <c r="BW32" s="10352"/>
      <c r="BX32" s="10352"/>
      <c r="BY32" s="10352"/>
      <c r="BZ32" s="10352"/>
      <c r="CA32" s="10352"/>
      <c r="CB32" s="10352"/>
      <c r="CC32" s="10651"/>
      <c r="CD32" s="10651"/>
      <c r="CE32" s="10808"/>
      <c r="CF32" s="10348"/>
      <c r="CG32" s="10747"/>
      <c r="CH32" s="10747"/>
      <c r="CI32" s="10748"/>
      <c r="CJ32" s="10748"/>
      <c r="CK32" s="10748"/>
      <c r="CL32" s="10748"/>
      <c r="CM32" s="10373"/>
      <c r="CN32" s="10373"/>
      <c r="CO32" s="10791"/>
      <c r="CP32" s="10791"/>
      <c r="CQ32" s="10788"/>
      <c r="CR32" s="10786"/>
      <c r="CS32" s="10842"/>
      <c r="CT32" s="10347"/>
      <c r="CU32" s="1571" t="s">
        <v>1684</v>
      </c>
      <c r="CV32" s="1559" t="s">
        <v>1683</v>
      </c>
      <c r="CW32" s="1705" t="s">
        <v>1687</v>
      </c>
      <c r="CX32" s="1706" t="s">
        <v>2045</v>
      </c>
      <c r="CY32" s="1707" t="s">
        <v>1686</v>
      </c>
      <c r="CZ32" s="2494" t="s">
        <v>1705</v>
      </c>
      <c r="DA32" s="2457" t="s">
        <v>1772</v>
      </c>
      <c r="DB32" s="2457" t="s">
        <v>1763</v>
      </c>
      <c r="DC32" s="1563" t="s">
        <v>1679</v>
      </c>
      <c r="DD32" s="1570" t="s">
        <v>1390</v>
      </c>
      <c r="DE32" s="1566" t="s">
        <v>879</v>
      </c>
      <c r="DF32" s="1561" t="s">
        <v>1690</v>
      </c>
      <c r="DG32" s="1562" t="s">
        <v>1652</v>
      </c>
      <c r="DH32" s="1567" t="s">
        <v>1678</v>
      </c>
      <c r="DI32" s="8661" t="s">
        <v>1834</v>
      </c>
      <c r="DJ32" s="10280"/>
      <c r="DK32" s="10347"/>
      <c r="DL32" s="1571" t="s">
        <v>1684</v>
      </c>
      <c r="DM32" s="1618" t="s">
        <v>1683</v>
      </c>
      <c r="DN32" s="1618" t="s">
        <v>1687</v>
      </c>
      <c r="DO32" s="1560" t="s">
        <v>1685</v>
      </c>
      <c r="DP32" s="1572" t="s">
        <v>1686</v>
      </c>
      <c r="DQ32" s="2455" t="s">
        <v>1677</v>
      </c>
      <c r="DR32" s="2457" t="s">
        <v>1772</v>
      </c>
      <c r="DS32" s="2457" t="s">
        <v>1763</v>
      </c>
      <c r="DT32" s="1602" t="s">
        <v>1679</v>
      </c>
      <c r="DU32" s="1570" t="s">
        <v>1390</v>
      </c>
      <c r="DV32" s="1566" t="s">
        <v>879</v>
      </c>
      <c r="DW32" s="1561" t="s">
        <v>1690</v>
      </c>
      <c r="DX32" s="1562" t="s">
        <v>1652</v>
      </c>
      <c r="DY32" s="1567" t="s">
        <v>1678</v>
      </c>
      <c r="DZ32" s="8661" t="s">
        <v>1834</v>
      </c>
      <c r="EA32" s="10280"/>
      <c r="EB32" s="10803"/>
      <c r="EC32" s="10805"/>
      <c r="ED32" s="10345"/>
      <c r="EE32" s="10803"/>
      <c r="EF32" s="10805"/>
      <c r="EG32" s="10345"/>
      <c r="EH32" s="10799"/>
      <c r="EI32" s="1619" t="s">
        <v>1695</v>
      </c>
      <c r="EJ32" s="1435" t="s">
        <v>1696</v>
      </c>
      <c r="EK32" s="1436" t="s">
        <v>1697</v>
      </c>
      <c r="EL32" s="10821"/>
      <c r="EM32" s="10606"/>
      <c r="EN32" s="10801"/>
      <c r="EO32" s="10796"/>
      <c r="EP32" s="10799"/>
      <c r="EQ32" s="10799"/>
      <c r="ER32" s="10799"/>
      <c r="ES32" s="10799"/>
      <c r="ET32" s="10799"/>
      <c r="EU32" s="8637" t="s">
        <v>1653</v>
      </c>
      <c r="EV32" s="8622" t="s">
        <v>1661</v>
      </c>
      <c r="EW32" s="10606"/>
      <c r="EX32" s="10601"/>
      <c r="EY32" s="10278"/>
      <c r="EZ32" s="6709" t="s">
        <v>1775</v>
      </c>
      <c r="FA32" s="6710" t="s">
        <v>1774</v>
      </c>
      <c r="FB32" s="10619"/>
      <c r="FC32" s="10606"/>
      <c r="FD32" s="1517" t="s">
        <v>1708</v>
      </c>
      <c r="FE32" s="8667" t="s">
        <v>1662</v>
      </c>
      <c r="FF32" s="8636" t="s">
        <v>1663</v>
      </c>
      <c r="FG32" s="8636" t="s">
        <v>1664</v>
      </c>
      <c r="FH32" s="1517" t="s">
        <v>1770</v>
      </c>
      <c r="FI32" s="8667" t="s">
        <v>1771</v>
      </c>
      <c r="FJ32" s="2854" t="s">
        <v>1710</v>
      </c>
      <c r="FK32" s="8668" t="s">
        <v>1665</v>
      </c>
      <c r="FL32" s="8636" t="s">
        <v>1831</v>
      </c>
      <c r="FM32" s="8636" t="s">
        <v>417</v>
      </c>
      <c r="FN32" s="8636" t="s">
        <v>1844</v>
      </c>
      <c r="FO32" s="8636" t="s">
        <v>417</v>
      </c>
      <c r="FP32" s="8636" t="s">
        <v>1832</v>
      </c>
      <c r="FQ32" s="8636" t="s">
        <v>417</v>
      </c>
      <c r="FR32" s="2822" t="s">
        <v>1702</v>
      </c>
      <c r="FS32" s="2823" t="s">
        <v>1388</v>
      </c>
      <c r="FT32" s="1702" t="s">
        <v>1389</v>
      </c>
      <c r="FU32" s="10799"/>
      <c r="FV32" s="10280"/>
      <c r="FW32" s="8666" t="s">
        <v>1082</v>
      </c>
      <c r="FX32" s="8667" t="s">
        <v>1438</v>
      </c>
      <c r="FY32" s="8667" t="s">
        <v>1083</v>
      </c>
      <c r="FZ32" s="8667" t="s">
        <v>1439</v>
      </c>
      <c r="GA32" s="8667" t="s">
        <v>1713</v>
      </c>
      <c r="GB32" s="10599"/>
      <c r="GC32" s="10599"/>
      <c r="GD32" s="10601"/>
      <c r="GE32" s="10606"/>
      <c r="GF32" s="10599"/>
      <c r="GG32" s="10599"/>
      <c r="GH32" s="10601"/>
      <c r="GI32" s="1619" t="s">
        <v>1738</v>
      </c>
      <c r="GJ32" s="1435" t="s">
        <v>1886</v>
      </c>
      <c r="GK32" s="1436" t="s">
        <v>1889</v>
      </c>
      <c r="GL32" s="3208" t="s">
        <v>1887</v>
      </c>
      <c r="GM32" s="10606"/>
      <c r="GN32" s="10601"/>
      <c r="GO32" s="1619" t="s">
        <v>1736</v>
      </c>
      <c r="GP32" s="8660" t="s">
        <v>1749</v>
      </c>
      <c r="GQ32" s="8621" t="s">
        <v>1748</v>
      </c>
      <c r="GR32" s="10799"/>
      <c r="GS32" s="10799"/>
      <c r="GT32" s="10799"/>
      <c r="GU32" s="10280"/>
      <c r="GV32" s="1619" t="s">
        <v>1736</v>
      </c>
      <c r="GW32" s="8660" t="s">
        <v>1749</v>
      </c>
      <c r="GX32" s="8621" t="s">
        <v>1748</v>
      </c>
      <c r="GY32" s="10277"/>
      <c r="GZ32" s="10277"/>
      <c r="HA32" s="10277"/>
      <c r="HB32" s="10276"/>
      <c r="HC32" s="2235" t="s">
        <v>1738</v>
      </c>
      <c r="HD32" s="810" t="s">
        <v>1747</v>
      </c>
      <c r="HE32" s="10650"/>
      <c r="HF32" s="10651"/>
      <c r="HG32" s="10654"/>
      <c r="HH32" s="10288"/>
      <c r="HI32" s="10886"/>
      <c r="HJ32" s="10837"/>
      <c r="HK32" s="10837"/>
      <c r="HL32" s="10837"/>
      <c r="HM32" s="10284"/>
      <c r="HN32" s="10288"/>
      <c r="HO32" s="10639"/>
      <c r="HP32" s="10837"/>
      <c r="HQ32" s="10837"/>
      <c r="HR32" s="10837"/>
      <c r="HS32" s="10284"/>
      <c r="HT32" s="10283"/>
      <c r="HU32" s="10285"/>
      <c r="HV32" s="10283"/>
      <c r="HW32" s="10285"/>
      <c r="HX32" s="10283"/>
      <c r="HY32" s="10286"/>
      <c r="HZ32" s="10285"/>
      <c r="IA32" s="10639"/>
      <c r="IB32" s="10284"/>
      <c r="IC32" s="10265"/>
      <c r="ID32" s="10290"/>
      <c r="IE32" s="10884"/>
      <c r="IF32" s="4093" t="s">
        <v>1566</v>
      </c>
      <c r="IG32" s="6757" t="s">
        <v>2342</v>
      </c>
      <c r="IH32" s="8616" t="s">
        <v>2340</v>
      </c>
      <c r="II32" s="8617" t="s">
        <v>2341</v>
      </c>
      <c r="IJ32" s="8618" t="s">
        <v>1748</v>
      </c>
      <c r="IK32" s="8615" t="s">
        <v>1924</v>
      </c>
      <c r="IL32" s="4150" t="s">
        <v>1921</v>
      </c>
      <c r="IM32" s="4151" t="s">
        <v>1922</v>
      </c>
      <c r="IN32" s="4152" t="s">
        <v>1928</v>
      </c>
      <c r="IO32" s="10266"/>
      <c r="IP32" s="2904" t="s">
        <v>1693</v>
      </c>
      <c r="IQ32" s="8619" t="s">
        <v>2492</v>
      </c>
      <c r="IR32" s="2904" t="s">
        <v>1659</v>
      </c>
      <c r="IS32" s="8619" t="s">
        <v>2493</v>
      </c>
      <c r="IT32" s="10266"/>
      <c r="IU32" s="10288"/>
      <c r="IV32" s="10282"/>
      <c r="IW32" s="10266"/>
      <c r="IX32" s="10266"/>
      <c r="IY32" s="7250" t="s">
        <v>1738</v>
      </c>
      <c r="IZ32" s="8623" t="s">
        <v>1747</v>
      </c>
      <c r="JA32" s="10850" t="s">
        <v>915</v>
      </c>
      <c r="JB32" s="10859" t="s">
        <v>1630</v>
      </c>
      <c r="JC32" s="10590"/>
      <c r="JD32" s="10591"/>
      <c r="JE32" s="10592"/>
      <c r="JF32" s="10864"/>
      <c r="JG32" s="10864"/>
      <c r="JH32" s="10847"/>
      <c r="JI32" s="10828"/>
      <c r="JJ32" s="10828"/>
      <c r="JK32" s="10828"/>
      <c r="JL32" s="10848"/>
      <c r="JM32" s="10847"/>
      <c r="JN32" s="10832"/>
      <c r="JO32" s="10828"/>
      <c r="JP32" s="10828"/>
      <c r="JQ32" s="10828"/>
      <c r="JR32" s="10830"/>
      <c r="JS32" s="10925"/>
      <c r="JT32" s="10846"/>
      <c r="JU32" s="8307" t="s">
        <v>2481</v>
      </c>
      <c r="JV32" s="8357" t="s">
        <v>419</v>
      </c>
      <c r="JW32" s="8308" t="s">
        <v>2470</v>
      </c>
      <c r="JX32" s="8414" t="s">
        <v>2668</v>
      </c>
      <c r="JY32" s="8310" t="s">
        <v>2706</v>
      </c>
      <c r="JZ32" s="8308" t="s">
        <v>2462</v>
      </c>
      <c r="KA32" s="8321" t="s">
        <v>2678</v>
      </c>
      <c r="KB32" s="8180" t="s">
        <v>2679</v>
      </c>
      <c r="KC32" s="8181" t="s">
        <v>2680</v>
      </c>
      <c r="KD32" s="7228" t="s">
        <v>2301</v>
      </c>
      <c r="KE32" s="8444" t="s">
        <v>2700</v>
      </c>
      <c r="KF32" s="8444" t="s">
        <v>2302</v>
      </c>
      <c r="KG32" s="8318" t="s">
        <v>2705</v>
      </c>
      <c r="KH32" s="8318" t="s">
        <v>2702</v>
      </c>
      <c r="KI32" s="8318" t="s">
        <v>2703</v>
      </c>
      <c r="KJ32" s="8318" t="s">
        <v>2684</v>
      </c>
      <c r="KK32" s="8318" t="s">
        <v>2487</v>
      </c>
      <c r="KL32" s="8307" t="s">
        <v>2707</v>
      </c>
      <c r="KM32" s="8307" t="s">
        <v>2305</v>
      </c>
      <c r="KN32" s="8307" t="s">
        <v>2306</v>
      </c>
      <c r="KO32" s="8307" t="s">
        <v>2683</v>
      </c>
      <c r="KP32" s="10921"/>
      <c r="KQ32" s="7228" t="s">
        <v>2474</v>
      </c>
      <c r="KR32" s="7327" t="s">
        <v>2487</v>
      </c>
      <c r="KS32" s="10921"/>
      <c r="KT32" s="7323" t="s">
        <v>1183</v>
      </c>
      <c r="KU32" s="7232" t="s">
        <v>2488</v>
      </c>
      <c r="KV32" s="7232" t="s">
        <v>2495</v>
      </c>
      <c r="KW32" s="7232" t="s">
        <v>2312</v>
      </c>
      <c r="KX32" s="7324" t="s">
        <v>2502</v>
      </c>
      <c r="KY32" s="10917"/>
      <c r="KZ32" s="10588"/>
      <c r="LA32" s="10578"/>
      <c r="LB32" s="10580"/>
      <c r="LC32" s="5133"/>
      <c r="LD32" s="5132"/>
      <c r="LE32" s="5132"/>
      <c r="LF32" s="5132"/>
      <c r="LG32" s="5132"/>
      <c r="LH32" s="5132"/>
      <c r="LI32" s="5132"/>
      <c r="LJ32" s="5132"/>
    </row>
    <row r="33" spans="1:322" s="478" customFormat="1" ht="16.5" customHeight="1">
      <c r="A33" s="5356"/>
      <c r="B33" s="5356"/>
      <c r="C33" s="5356"/>
      <c r="D33" s="5356"/>
      <c r="E33" s="5133"/>
      <c r="F33" s="5133"/>
      <c r="G33" s="5133"/>
      <c r="H33" s="5132"/>
      <c r="I33" s="5133"/>
      <c r="J33" s="9756"/>
      <c r="K33" s="10255"/>
      <c r="L33" s="9749"/>
      <c r="M33" s="9749"/>
      <c r="N33" s="9749"/>
      <c r="O33" s="9749"/>
      <c r="P33" s="9749"/>
      <c r="Q33" s="9749"/>
      <c r="R33" s="9749"/>
      <c r="S33" s="8583" t="s">
        <v>1716</v>
      </c>
      <c r="T33" s="8583" t="s">
        <v>388</v>
      </c>
      <c r="U33" s="8583" t="s">
        <v>388</v>
      </c>
      <c r="V33" s="9749"/>
      <c r="W33" s="9749"/>
      <c r="X33" s="9749"/>
      <c r="Y33" s="9749"/>
      <c r="Z33" s="9749"/>
      <c r="AA33" s="8583" t="s">
        <v>987</v>
      </c>
      <c r="AB33" s="9749"/>
      <c r="AC33" s="9749"/>
      <c r="AD33" s="2742" t="s">
        <v>486</v>
      </c>
      <c r="AE33" s="1704" t="s">
        <v>480</v>
      </c>
      <c r="AF33" s="2742" t="s">
        <v>481</v>
      </c>
      <c r="AG33" s="440" t="s">
        <v>480</v>
      </c>
      <c r="AH33" s="10882"/>
      <c r="AI33" s="8629" t="s">
        <v>986</v>
      </c>
      <c r="AJ33" s="3522" t="s">
        <v>985</v>
      </c>
      <c r="AK33" s="3522" t="s">
        <v>481</v>
      </c>
      <c r="AL33" s="3522" t="s">
        <v>480</v>
      </c>
      <c r="AM33" s="8656" t="s">
        <v>118</v>
      </c>
      <c r="AN33" s="10879"/>
      <c r="AO33" s="8632" t="s">
        <v>986</v>
      </c>
      <c r="AP33" s="3524"/>
      <c r="AQ33" s="3524" t="s">
        <v>985</v>
      </c>
      <c r="AR33" s="3524" t="s">
        <v>481</v>
      </c>
      <c r="AS33" s="8632" t="s">
        <v>480</v>
      </c>
      <c r="AT33" s="3525" t="s">
        <v>118</v>
      </c>
      <c r="AU33" s="10349"/>
      <c r="AV33" s="8655" t="s">
        <v>986</v>
      </c>
      <c r="AW33" s="1015" t="s">
        <v>985</v>
      </c>
      <c r="AX33" s="1015" t="s">
        <v>481</v>
      </c>
      <c r="AY33" s="1015" t="s">
        <v>480</v>
      </c>
      <c r="AZ33" s="8659" t="s">
        <v>118</v>
      </c>
      <c r="BA33" s="10904"/>
      <c r="BB33" s="10901"/>
      <c r="BC33" s="10901"/>
      <c r="BD33" s="10901"/>
      <c r="BE33" s="10901"/>
      <c r="BF33" s="10901"/>
      <c r="BG33" s="10898"/>
      <c r="BH33" s="8641"/>
      <c r="BI33" s="10323"/>
      <c r="BJ33" s="8629" t="s">
        <v>481</v>
      </c>
      <c r="BK33" s="8629" t="s">
        <v>480</v>
      </c>
      <c r="BL33" s="8629" t="s">
        <v>118</v>
      </c>
      <c r="BM33" s="8629" t="s">
        <v>118</v>
      </c>
      <c r="BN33" s="8629" t="s">
        <v>118</v>
      </c>
      <c r="BO33" s="8629" t="s">
        <v>560</v>
      </c>
      <c r="BP33" s="8629" t="s">
        <v>417</v>
      </c>
      <c r="BQ33" s="8629" t="s">
        <v>417</v>
      </c>
      <c r="BR33" s="8656" t="s">
        <v>417</v>
      </c>
      <c r="BS33" s="3523"/>
      <c r="BT33" s="10352"/>
      <c r="BU33" s="8632" t="s">
        <v>481</v>
      </c>
      <c r="BV33" s="8632" t="s">
        <v>480</v>
      </c>
      <c r="BW33" s="8632" t="s">
        <v>118</v>
      </c>
      <c r="BX33" s="8632" t="s">
        <v>118</v>
      </c>
      <c r="BY33" s="8632" t="s">
        <v>118</v>
      </c>
      <c r="BZ33" s="8632" t="s">
        <v>118</v>
      </c>
      <c r="CA33" s="8632" t="s">
        <v>560</v>
      </c>
      <c r="CB33" s="8632" t="s">
        <v>560</v>
      </c>
      <c r="CC33" s="8632" t="s">
        <v>417</v>
      </c>
      <c r="CD33" s="8632" t="s">
        <v>417</v>
      </c>
      <c r="CE33" s="8662" t="s">
        <v>417</v>
      </c>
      <c r="CF33" s="10349"/>
      <c r="CG33" s="10748"/>
      <c r="CH33" s="10748"/>
      <c r="CI33" s="8655" t="s">
        <v>481</v>
      </c>
      <c r="CJ33" s="8655" t="s">
        <v>480</v>
      </c>
      <c r="CK33" s="8655" t="s">
        <v>118</v>
      </c>
      <c r="CL33" s="8655" t="s">
        <v>560</v>
      </c>
      <c r="CM33" s="8655" t="s">
        <v>417</v>
      </c>
      <c r="CN33" s="8655" t="s">
        <v>417</v>
      </c>
      <c r="CO33" s="8659" t="s">
        <v>417</v>
      </c>
      <c r="CP33" s="3910"/>
      <c r="CQ33" s="10788"/>
      <c r="CR33" s="10786"/>
      <c r="CS33" s="2744" t="s">
        <v>67</v>
      </c>
      <c r="CT33" s="2178" t="s">
        <v>67</v>
      </c>
      <c r="CU33" s="2179" t="s">
        <v>67</v>
      </c>
      <c r="CV33" s="2180" t="s">
        <v>67</v>
      </c>
      <c r="CW33" s="2181" t="s">
        <v>67</v>
      </c>
      <c r="CX33" s="2181" t="s">
        <v>67</v>
      </c>
      <c r="CY33" s="2182" t="s">
        <v>67</v>
      </c>
      <c r="CZ33" s="2495" t="s">
        <v>67</v>
      </c>
      <c r="DA33" s="2496" t="s">
        <v>67</v>
      </c>
      <c r="DB33" s="2496" t="s">
        <v>67</v>
      </c>
      <c r="DC33" s="2180" t="s">
        <v>67</v>
      </c>
      <c r="DD33" s="2183" t="s">
        <v>67</v>
      </c>
      <c r="DE33" s="2179" t="s">
        <v>67</v>
      </c>
      <c r="DF33" s="2180" t="s">
        <v>67</v>
      </c>
      <c r="DG33" s="2180" t="s">
        <v>67</v>
      </c>
      <c r="DH33" s="2184" t="s">
        <v>67</v>
      </c>
      <c r="DI33" s="2185" t="s">
        <v>67</v>
      </c>
      <c r="DJ33" s="2184" t="s">
        <v>67</v>
      </c>
      <c r="DK33" s="2186" t="s">
        <v>67</v>
      </c>
      <c r="DL33" s="2179" t="s">
        <v>67</v>
      </c>
      <c r="DM33" s="2187" t="s">
        <v>67</v>
      </c>
      <c r="DN33" s="2187" t="s">
        <v>67</v>
      </c>
      <c r="DO33" s="2187" t="s">
        <v>67</v>
      </c>
      <c r="DP33" s="2183" t="s">
        <v>67</v>
      </c>
      <c r="DQ33" s="2456" t="s">
        <v>67</v>
      </c>
      <c r="DR33" s="2496" t="s">
        <v>67</v>
      </c>
      <c r="DS33" s="2454" t="s">
        <v>67</v>
      </c>
      <c r="DT33" s="2187" t="s">
        <v>67</v>
      </c>
      <c r="DU33" s="2183" t="s">
        <v>67</v>
      </c>
      <c r="DV33" s="2179" t="s">
        <v>67</v>
      </c>
      <c r="DW33" s="2187" t="s">
        <v>67</v>
      </c>
      <c r="DX33" s="2187" t="s">
        <v>67</v>
      </c>
      <c r="DY33" s="2183" t="s">
        <v>67</v>
      </c>
      <c r="DZ33" s="2185" t="s">
        <v>67</v>
      </c>
      <c r="EA33" s="2184" t="s">
        <v>67</v>
      </c>
      <c r="EB33" s="2179" t="s">
        <v>67</v>
      </c>
      <c r="EC33" s="2187" t="s">
        <v>67</v>
      </c>
      <c r="ED33" s="2183" t="s">
        <v>67</v>
      </c>
      <c r="EE33" s="2179" t="s">
        <v>67</v>
      </c>
      <c r="EF33" s="2187" t="s">
        <v>67</v>
      </c>
      <c r="EG33" s="2188" t="s">
        <v>67</v>
      </c>
      <c r="EH33" s="2185" t="s">
        <v>67</v>
      </c>
      <c r="EI33" s="2179" t="s">
        <v>67</v>
      </c>
      <c r="EJ33" s="2180" t="s">
        <v>67</v>
      </c>
      <c r="EK33" s="2184" t="s">
        <v>67</v>
      </c>
      <c r="EL33" s="2185" t="s">
        <v>67</v>
      </c>
      <c r="EM33" s="2179" t="s">
        <v>67</v>
      </c>
      <c r="EN33" s="2187" t="s">
        <v>67</v>
      </c>
      <c r="EO33" s="2456" t="s">
        <v>67</v>
      </c>
      <c r="EP33" s="2184" t="s">
        <v>67</v>
      </c>
      <c r="EQ33" s="2497"/>
      <c r="ER33" s="2497"/>
      <c r="ES33" s="2497"/>
      <c r="ET33" s="2185" t="s">
        <v>67</v>
      </c>
      <c r="EU33" s="2179" t="s">
        <v>67</v>
      </c>
      <c r="EV33" s="2183" t="s">
        <v>67</v>
      </c>
      <c r="EW33" s="2499" t="s">
        <v>67</v>
      </c>
      <c r="EX33" s="2183" t="s">
        <v>67</v>
      </c>
      <c r="EY33" s="2564" t="s">
        <v>67</v>
      </c>
      <c r="EZ33" s="2456" t="s">
        <v>67</v>
      </c>
      <c r="FA33" s="2183" t="s">
        <v>67</v>
      </c>
      <c r="FB33" s="2189" t="s">
        <v>67</v>
      </c>
      <c r="FC33" s="809" t="s">
        <v>67</v>
      </c>
      <c r="FD33" s="811" t="s">
        <v>67</v>
      </c>
      <c r="FE33" s="811" t="s">
        <v>417</v>
      </c>
      <c r="FF33" s="811" t="s">
        <v>67</v>
      </c>
      <c r="FG33" s="811" t="s">
        <v>417</v>
      </c>
      <c r="FH33" s="811"/>
      <c r="FI33" s="811"/>
      <c r="FJ33" s="811" t="s">
        <v>67</v>
      </c>
      <c r="FK33" s="2190" t="s">
        <v>417</v>
      </c>
      <c r="FL33" s="811"/>
      <c r="FM33" s="811"/>
      <c r="FN33" s="811"/>
      <c r="FO33" s="811"/>
      <c r="FP33" s="811"/>
      <c r="FQ33" s="811"/>
      <c r="FR33" s="2825" t="s">
        <v>67</v>
      </c>
      <c r="FS33" s="8638" t="s">
        <v>67</v>
      </c>
      <c r="FT33" s="8640" t="s">
        <v>417</v>
      </c>
      <c r="FU33" s="2820" t="s">
        <v>417</v>
      </c>
      <c r="FV33" s="2191" t="s">
        <v>568</v>
      </c>
      <c r="FW33" s="2192" t="s">
        <v>67</v>
      </c>
      <c r="FX33" s="811" t="s">
        <v>417</v>
      </c>
      <c r="FY33" s="811" t="s">
        <v>67</v>
      </c>
      <c r="FZ33" s="811" t="s">
        <v>417</v>
      </c>
      <c r="GA33" s="811"/>
      <c r="GB33" s="811" t="s">
        <v>67</v>
      </c>
      <c r="GC33" s="811" t="s">
        <v>417</v>
      </c>
      <c r="GD33" s="811"/>
      <c r="GE33" s="809" t="s">
        <v>67</v>
      </c>
      <c r="GF33" s="2192" t="s">
        <v>67</v>
      </c>
      <c r="GG33" s="811" t="s">
        <v>417</v>
      </c>
      <c r="GH33" s="810" t="s">
        <v>567</v>
      </c>
      <c r="GI33" s="3170" t="s">
        <v>67</v>
      </c>
      <c r="GJ33" s="3171" t="s">
        <v>67</v>
      </c>
      <c r="GK33" s="810" t="s">
        <v>118</v>
      </c>
      <c r="GL33" s="3164"/>
      <c r="GM33" s="2193" t="s">
        <v>417</v>
      </c>
      <c r="GN33" s="8640" t="s">
        <v>67</v>
      </c>
      <c r="GO33" s="2193" t="s">
        <v>67</v>
      </c>
      <c r="GP33" s="8639" t="s">
        <v>67</v>
      </c>
      <c r="GQ33" s="2232" t="s">
        <v>67</v>
      </c>
      <c r="GR33" s="2198" t="s">
        <v>67</v>
      </c>
      <c r="GS33" s="2198" t="s">
        <v>67</v>
      </c>
      <c r="GT33" s="2198" t="s">
        <v>67</v>
      </c>
      <c r="GU33" s="2197" t="s">
        <v>67</v>
      </c>
      <c r="GV33" s="2193" t="s">
        <v>67</v>
      </c>
      <c r="GW33" s="8639" t="s">
        <v>67</v>
      </c>
      <c r="GX33" s="2232" t="s">
        <v>67</v>
      </c>
      <c r="GY33" s="2232" t="s">
        <v>67</v>
      </c>
      <c r="GZ33" s="2232" t="s">
        <v>67</v>
      </c>
      <c r="HA33" s="2232" t="s">
        <v>67</v>
      </c>
      <c r="HB33" s="2192" t="s">
        <v>67</v>
      </c>
      <c r="HC33" s="2190" t="s">
        <v>67</v>
      </c>
      <c r="HD33" s="810" t="s">
        <v>417</v>
      </c>
      <c r="HE33" s="809" t="s">
        <v>1585</v>
      </c>
      <c r="HF33" s="811" t="s">
        <v>1585</v>
      </c>
      <c r="HG33" s="810" t="s">
        <v>1585</v>
      </c>
      <c r="HH33" s="2904"/>
      <c r="HI33" s="812" t="s">
        <v>67</v>
      </c>
      <c r="HJ33" s="813" t="s">
        <v>67</v>
      </c>
      <c r="HK33" s="813" t="s">
        <v>67</v>
      </c>
      <c r="HL33" s="813" t="s">
        <v>67</v>
      </c>
      <c r="HM33" s="814" t="s">
        <v>67</v>
      </c>
      <c r="HN33" s="2904"/>
      <c r="HO33" s="815" t="s">
        <v>67</v>
      </c>
      <c r="HP33" s="813" t="s">
        <v>67</v>
      </c>
      <c r="HQ33" s="814"/>
      <c r="HR33" s="814"/>
      <c r="HS33" s="816" t="s">
        <v>67</v>
      </c>
      <c r="HT33" s="2902" t="s">
        <v>67</v>
      </c>
      <c r="HU33" s="2903" t="s">
        <v>67</v>
      </c>
      <c r="HV33" s="2902" t="s">
        <v>67</v>
      </c>
      <c r="HW33" s="2903" t="s">
        <v>67</v>
      </c>
      <c r="HX33" s="2902" t="s">
        <v>67</v>
      </c>
      <c r="HY33" s="2905" t="s">
        <v>67</v>
      </c>
      <c r="HZ33" s="2903" t="s">
        <v>67</v>
      </c>
      <c r="IA33" s="815" t="s">
        <v>67</v>
      </c>
      <c r="IB33" s="816"/>
      <c r="IC33" s="8664" t="s">
        <v>567</v>
      </c>
      <c r="ID33" s="6711" t="s">
        <v>417</v>
      </c>
      <c r="IE33" s="6712" t="s">
        <v>67</v>
      </c>
      <c r="IF33" s="4094" t="s">
        <v>67</v>
      </c>
      <c r="IG33" s="6758" t="s">
        <v>2339</v>
      </c>
      <c r="IH33" s="4095" t="s">
        <v>67</v>
      </c>
      <c r="II33" s="6787"/>
      <c r="IJ33" s="4120" t="s">
        <v>67</v>
      </c>
      <c r="IK33" s="812"/>
      <c r="IL33" s="815" t="s">
        <v>67</v>
      </c>
      <c r="IM33" s="816" t="s">
        <v>67</v>
      </c>
      <c r="IN33" s="816" t="s">
        <v>67</v>
      </c>
      <c r="IO33" s="816" t="s">
        <v>67</v>
      </c>
      <c r="IP33" s="816" t="s">
        <v>67</v>
      </c>
      <c r="IQ33" s="7239" t="s">
        <v>67</v>
      </c>
      <c r="IR33" s="816" t="s">
        <v>67</v>
      </c>
      <c r="IS33" s="816" t="s">
        <v>67</v>
      </c>
      <c r="IT33" s="816" t="s">
        <v>67</v>
      </c>
      <c r="IU33" s="816"/>
      <c r="IV33" s="812"/>
      <c r="IW33" s="8664" t="s">
        <v>67</v>
      </c>
      <c r="IX33" s="813" t="s">
        <v>67</v>
      </c>
      <c r="IY33" s="814" t="s">
        <v>67</v>
      </c>
      <c r="IZ33" s="816" t="s">
        <v>417</v>
      </c>
      <c r="JA33" s="10837"/>
      <c r="JB33" s="10266"/>
      <c r="JC33" s="815" t="s">
        <v>1585</v>
      </c>
      <c r="JD33" s="813" t="s">
        <v>1585</v>
      </c>
      <c r="JE33" s="816" t="s">
        <v>1585</v>
      </c>
      <c r="JF33" s="6987" t="s">
        <v>67</v>
      </c>
      <c r="JG33" s="6987"/>
      <c r="JH33" s="817" t="s">
        <v>67</v>
      </c>
      <c r="JI33" s="818" t="s">
        <v>67</v>
      </c>
      <c r="JJ33" s="818" t="s">
        <v>67</v>
      </c>
      <c r="JK33" s="818" t="s">
        <v>67</v>
      </c>
      <c r="JL33" s="819" t="s">
        <v>67</v>
      </c>
      <c r="JM33" s="817" t="s">
        <v>67</v>
      </c>
      <c r="JN33" s="818" t="s">
        <v>67</v>
      </c>
      <c r="JO33" s="818" t="s">
        <v>67</v>
      </c>
      <c r="JP33" s="818" t="s">
        <v>67</v>
      </c>
      <c r="JQ33" s="818" t="s">
        <v>67</v>
      </c>
      <c r="JR33" s="818" t="s">
        <v>67</v>
      </c>
      <c r="JS33" s="7084" t="s">
        <v>67</v>
      </c>
      <c r="JT33" s="10847"/>
      <c r="JU33" s="7111" t="s">
        <v>986</v>
      </c>
      <c r="JV33" s="8358" t="s">
        <v>1535</v>
      </c>
      <c r="JW33" s="7084" t="s">
        <v>118</v>
      </c>
      <c r="JX33" s="7337" t="s">
        <v>987</v>
      </c>
      <c r="JY33" s="8311"/>
      <c r="JZ33" s="7084" t="s">
        <v>2464</v>
      </c>
      <c r="KA33" s="7337" t="s">
        <v>1437</v>
      </c>
      <c r="KB33" s="7111" t="s">
        <v>1437</v>
      </c>
      <c r="KC33" s="7084" t="s">
        <v>2632</v>
      </c>
      <c r="KD33" s="7337" t="s">
        <v>67</v>
      </c>
      <c r="KE33" s="8445" t="s">
        <v>67</v>
      </c>
      <c r="KF33" s="8445" t="s">
        <v>67</v>
      </c>
      <c r="KG33" s="7111" t="s">
        <v>67</v>
      </c>
      <c r="KH33" s="7111"/>
      <c r="KI33" s="7111"/>
      <c r="KJ33" s="7111" t="s">
        <v>67</v>
      </c>
      <c r="KK33" s="7111" t="s">
        <v>67</v>
      </c>
      <c r="KL33" s="7111" t="s">
        <v>67</v>
      </c>
      <c r="KM33" s="7111" t="s">
        <v>67</v>
      </c>
      <c r="KN33" s="7111" t="s">
        <v>67</v>
      </c>
      <c r="KO33" s="7111" t="s">
        <v>67</v>
      </c>
      <c r="KP33" s="8311" t="s">
        <v>67</v>
      </c>
      <c r="KQ33" s="7332" t="s">
        <v>67</v>
      </c>
      <c r="KR33" s="7333" t="s">
        <v>67</v>
      </c>
      <c r="KS33" s="7334" t="s">
        <v>67</v>
      </c>
      <c r="KT33" s="7332" t="s">
        <v>67</v>
      </c>
      <c r="KU33" s="7335" t="s">
        <v>67</v>
      </c>
      <c r="KV33" s="7335" t="s">
        <v>67</v>
      </c>
      <c r="KW33" s="7335" t="s">
        <v>67</v>
      </c>
      <c r="KX33" s="7334" t="s">
        <v>67</v>
      </c>
      <c r="KY33" s="7336" t="s">
        <v>67</v>
      </c>
      <c r="KZ33" s="7337" t="s">
        <v>1585</v>
      </c>
      <c r="LA33" s="7111" t="s">
        <v>1585</v>
      </c>
      <c r="LB33" s="7084" t="s">
        <v>1585</v>
      </c>
      <c r="LC33" s="5356"/>
      <c r="LD33" s="5348"/>
      <c r="LE33" s="5348"/>
      <c r="LF33" s="5348"/>
      <c r="LG33" s="5348"/>
      <c r="LH33" s="5348"/>
      <c r="LI33" s="5348"/>
      <c r="LJ33" s="5348"/>
    </row>
    <row r="34" spans="1:322" s="13" customFormat="1" ht="13.5" thickBot="1">
      <c r="A34" s="6127" t="s">
        <v>1968</v>
      </c>
      <c r="B34" s="6127"/>
      <c r="C34" s="6127"/>
      <c r="D34" s="6127"/>
      <c r="E34" s="5133"/>
      <c r="F34" s="5133"/>
      <c r="G34" s="5133"/>
      <c r="H34" s="5132"/>
      <c r="I34" s="5133"/>
      <c r="J34" s="102">
        <v>1</v>
      </c>
      <c r="K34" s="102">
        <f>1+J34</f>
        <v>2</v>
      </c>
      <c r="L34" s="102">
        <f t="shared" ref="L34:BW34" si="6">1+K34</f>
        <v>3</v>
      </c>
      <c r="M34" s="102">
        <f t="shared" si="6"/>
        <v>4</v>
      </c>
      <c r="N34" s="102">
        <f t="shared" si="6"/>
        <v>5</v>
      </c>
      <c r="O34" s="102">
        <f t="shared" si="6"/>
        <v>6</v>
      </c>
      <c r="P34" s="102">
        <f t="shared" si="6"/>
        <v>7</v>
      </c>
      <c r="Q34" s="102">
        <f t="shared" si="6"/>
        <v>8</v>
      </c>
      <c r="R34" s="102">
        <f t="shared" si="6"/>
        <v>9</v>
      </c>
      <c r="S34" s="102">
        <f t="shared" si="6"/>
        <v>10</v>
      </c>
      <c r="T34" s="102">
        <f t="shared" si="6"/>
        <v>11</v>
      </c>
      <c r="U34" s="102">
        <f t="shared" si="6"/>
        <v>12</v>
      </c>
      <c r="V34" s="102">
        <f t="shared" si="6"/>
        <v>13</v>
      </c>
      <c r="W34" s="102">
        <f t="shared" si="6"/>
        <v>14</v>
      </c>
      <c r="X34" s="102">
        <f t="shared" si="6"/>
        <v>15</v>
      </c>
      <c r="Y34" s="102">
        <f t="shared" si="6"/>
        <v>16</v>
      </c>
      <c r="Z34" s="102">
        <f t="shared" si="6"/>
        <v>17</v>
      </c>
      <c r="AA34" s="102">
        <f t="shared" si="6"/>
        <v>18</v>
      </c>
      <c r="AB34" s="102">
        <f t="shared" si="6"/>
        <v>19</v>
      </c>
      <c r="AC34" s="102">
        <f t="shared" si="6"/>
        <v>20</v>
      </c>
      <c r="AD34" s="102">
        <f t="shared" si="6"/>
        <v>21</v>
      </c>
      <c r="AE34" s="102">
        <f t="shared" si="6"/>
        <v>22</v>
      </c>
      <c r="AF34" s="102">
        <f t="shared" si="6"/>
        <v>23</v>
      </c>
      <c r="AG34" s="102">
        <f t="shared" si="6"/>
        <v>24</v>
      </c>
      <c r="AH34" s="102">
        <f t="shared" si="6"/>
        <v>25</v>
      </c>
      <c r="AI34" s="102">
        <f t="shared" si="6"/>
        <v>26</v>
      </c>
      <c r="AJ34" s="102">
        <f t="shared" si="6"/>
        <v>27</v>
      </c>
      <c r="AK34" s="102">
        <f t="shared" si="6"/>
        <v>28</v>
      </c>
      <c r="AL34" s="102">
        <f t="shared" si="6"/>
        <v>29</v>
      </c>
      <c r="AM34" s="102">
        <f t="shared" si="6"/>
        <v>30</v>
      </c>
      <c r="AN34" s="102">
        <f t="shared" si="6"/>
        <v>31</v>
      </c>
      <c r="AO34" s="102">
        <f t="shared" si="6"/>
        <v>32</v>
      </c>
      <c r="AP34" s="102">
        <f t="shared" si="6"/>
        <v>33</v>
      </c>
      <c r="AQ34" s="102">
        <f t="shared" si="6"/>
        <v>34</v>
      </c>
      <c r="AR34" s="102">
        <f t="shared" si="6"/>
        <v>35</v>
      </c>
      <c r="AS34" s="102">
        <f t="shared" si="6"/>
        <v>36</v>
      </c>
      <c r="AT34" s="102">
        <f t="shared" si="6"/>
        <v>37</v>
      </c>
      <c r="AU34" s="102">
        <f t="shared" si="6"/>
        <v>38</v>
      </c>
      <c r="AV34" s="102">
        <f t="shared" si="6"/>
        <v>39</v>
      </c>
      <c r="AW34" s="102">
        <f t="shared" si="6"/>
        <v>40</v>
      </c>
      <c r="AX34" s="102">
        <f t="shared" si="6"/>
        <v>41</v>
      </c>
      <c r="AY34" s="102">
        <f t="shared" si="6"/>
        <v>42</v>
      </c>
      <c r="AZ34" s="102">
        <f t="shared" si="6"/>
        <v>43</v>
      </c>
      <c r="BA34" s="102">
        <f t="shared" si="6"/>
        <v>44</v>
      </c>
      <c r="BB34" s="102">
        <f t="shared" si="6"/>
        <v>45</v>
      </c>
      <c r="BC34" s="102">
        <f t="shared" si="6"/>
        <v>46</v>
      </c>
      <c r="BD34" s="102">
        <f t="shared" si="6"/>
        <v>47</v>
      </c>
      <c r="BE34" s="102">
        <f t="shared" si="6"/>
        <v>48</v>
      </c>
      <c r="BF34" s="102">
        <f t="shared" si="6"/>
        <v>49</v>
      </c>
      <c r="BG34" s="102">
        <f t="shared" si="6"/>
        <v>50</v>
      </c>
      <c r="BH34" s="102">
        <f t="shared" si="6"/>
        <v>51</v>
      </c>
      <c r="BI34" s="102">
        <f t="shared" si="6"/>
        <v>52</v>
      </c>
      <c r="BJ34" s="102">
        <f t="shared" si="6"/>
        <v>53</v>
      </c>
      <c r="BK34" s="102">
        <f t="shared" si="6"/>
        <v>54</v>
      </c>
      <c r="BL34" s="102">
        <f t="shared" si="6"/>
        <v>55</v>
      </c>
      <c r="BM34" s="102">
        <f t="shared" si="6"/>
        <v>56</v>
      </c>
      <c r="BN34" s="102">
        <f t="shared" si="6"/>
        <v>57</v>
      </c>
      <c r="BO34" s="102">
        <f t="shared" si="6"/>
        <v>58</v>
      </c>
      <c r="BP34" s="102">
        <f t="shared" si="6"/>
        <v>59</v>
      </c>
      <c r="BQ34" s="102">
        <f t="shared" si="6"/>
        <v>60</v>
      </c>
      <c r="BR34" s="102">
        <f t="shared" si="6"/>
        <v>61</v>
      </c>
      <c r="BS34" s="102">
        <f t="shared" si="6"/>
        <v>62</v>
      </c>
      <c r="BT34" s="102">
        <f t="shared" si="6"/>
        <v>63</v>
      </c>
      <c r="BU34" s="102">
        <f t="shared" si="6"/>
        <v>64</v>
      </c>
      <c r="BV34" s="102">
        <f t="shared" si="6"/>
        <v>65</v>
      </c>
      <c r="BW34" s="102">
        <f t="shared" si="6"/>
        <v>66</v>
      </c>
      <c r="BX34" s="102">
        <f t="shared" ref="BX34:EI34" si="7">1+BW34</f>
        <v>67</v>
      </c>
      <c r="BY34" s="102">
        <f t="shared" si="7"/>
        <v>68</v>
      </c>
      <c r="BZ34" s="102">
        <f t="shared" si="7"/>
        <v>69</v>
      </c>
      <c r="CA34" s="102">
        <f t="shared" si="7"/>
        <v>70</v>
      </c>
      <c r="CB34" s="102">
        <f t="shared" si="7"/>
        <v>71</v>
      </c>
      <c r="CC34" s="102">
        <f t="shared" si="7"/>
        <v>72</v>
      </c>
      <c r="CD34" s="102">
        <f t="shared" si="7"/>
        <v>73</v>
      </c>
      <c r="CE34" s="102">
        <f t="shared" si="7"/>
        <v>74</v>
      </c>
      <c r="CF34" s="102">
        <f t="shared" si="7"/>
        <v>75</v>
      </c>
      <c r="CG34" s="102">
        <f t="shared" si="7"/>
        <v>76</v>
      </c>
      <c r="CH34" s="102">
        <f t="shared" si="7"/>
        <v>77</v>
      </c>
      <c r="CI34" s="102">
        <f t="shared" si="7"/>
        <v>78</v>
      </c>
      <c r="CJ34" s="102">
        <f t="shared" si="7"/>
        <v>79</v>
      </c>
      <c r="CK34" s="102">
        <f t="shared" si="7"/>
        <v>80</v>
      </c>
      <c r="CL34" s="102">
        <f t="shared" si="7"/>
        <v>81</v>
      </c>
      <c r="CM34" s="102">
        <f t="shared" si="7"/>
        <v>82</v>
      </c>
      <c r="CN34" s="102">
        <f t="shared" si="7"/>
        <v>83</v>
      </c>
      <c r="CO34" s="102">
        <f t="shared" si="7"/>
        <v>84</v>
      </c>
      <c r="CP34" s="102">
        <f t="shared" si="7"/>
        <v>85</v>
      </c>
      <c r="CQ34" s="102">
        <f t="shared" si="7"/>
        <v>86</v>
      </c>
      <c r="CR34" s="102">
        <f t="shared" si="7"/>
        <v>87</v>
      </c>
      <c r="CS34" s="102">
        <f t="shared" si="7"/>
        <v>88</v>
      </c>
      <c r="CT34" s="102">
        <f t="shared" si="7"/>
        <v>89</v>
      </c>
      <c r="CU34" s="102">
        <f t="shared" si="7"/>
        <v>90</v>
      </c>
      <c r="CV34" s="102">
        <f t="shared" si="7"/>
        <v>91</v>
      </c>
      <c r="CW34" s="102">
        <f t="shared" si="7"/>
        <v>92</v>
      </c>
      <c r="CX34" s="102">
        <f t="shared" si="7"/>
        <v>93</v>
      </c>
      <c r="CY34" s="102">
        <f t="shared" si="7"/>
        <v>94</v>
      </c>
      <c r="CZ34" s="102">
        <f t="shared" si="7"/>
        <v>95</v>
      </c>
      <c r="DA34" s="102">
        <f t="shared" si="7"/>
        <v>96</v>
      </c>
      <c r="DB34" s="102">
        <f t="shared" si="7"/>
        <v>97</v>
      </c>
      <c r="DC34" s="102">
        <f t="shared" si="7"/>
        <v>98</v>
      </c>
      <c r="DD34" s="102">
        <f t="shared" si="7"/>
        <v>99</v>
      </c>
      <c r="DE34" s="102">
        <f t="shared" si="7"/>
        <v>100</v>
      </c>
      <c r="DF34" s="102">
        <f t="shared" si="7"/>
        <v>101</v>
      </c>
      <c r="DG34" s="102">
        <f t="shared" si="7"/>
        <v>102</v>
      </c>
      <c r="DH34" s="102">
        <f t="shared" si="7"/>
        <v>103</v>
      </c>
      <c r="DI34" s="102">
        <f t="shared" si="7"/>
        <v>104</v>
      </c>
      <c r="DJ34" s="102">
        <f t="shared" si="7"/>
        <v>105</v>
      </c>
      <c r="DK34" s="102">
        <f t="shared" si="7"/>
        <v>106</v>
      </c>
      <c r="DL34" s="102">
        <f t="shared" si="7"/>
        <v>107</v>
      </c>
      <c r="DM34" s="102">
        <f t="shared" si="7"/>
        <v>108</v>
      </c>
      <c r="DN34" s="102">
        <f t="shared" si="7"/>
        <v>109</v>
      </c>
      <c r="DO34" s="102">
        <f t="shared" si="7"/>
        <v>110</v>
      </c>
      <c r="DP34" s="102">
        <f t="shared" si="7"/>
        <v>111</v>
      </c>
      <c r="DQ34" s="102">
        <f t="shared" si="7"/>
        <v>112</v>
      </c>
      <c r="DR34" s="102">
        <f t="shared" si="7"/>
        <v>113</v>
      </c>
      <c r="DS34" s="102">
        <f t="shared" si="7"/>
        <v>114</v>
      </c>
      <c r="DT34" s="102">
        <f t="shared" si="7"/>
        <v>115</v>
      </c>
      <c r="DU34" s="102">
        <f t="shared" si="7"/>
        <v>116</v>
      </c>
      <c r="DV34" s="102">
        <f t="shared" si="7"/>
        <v>117</v>
      </c>
      <c r="DW34" s="102">
        <f t="shared" si="7"/>
        <v>118</v>
      </c>
      <c r="DX34" s="102">
        <f t="shared" si="7"/>
        <v>119</v>
      </c>
      <c r="DY34" s="102">
        <f t="shared" si="7"/>
        <v>120</v>
      </c>
      <c r="DZ34" s="102">
        <f t="shared" si="7"/>
        <v>121</v>
      </c>
      <c r="EA34" s="102">
        <f t="shared" si="7"/>
        <v>122</v>
      </c>
      <c r="EB34" s="102">
        <f t="shared" si="7"/>
        <v>123</v>
      </c>
      <c r="EC34" s="102">
        <f t="shared" si="7"/>
        <v>124</v>
      </c>
      <c r="ED34" s="102">
        <f t="shared" si="7"/>
        <v>125</v>
      </c>
      <c r="EE34" s="102">
        <f t="shared" si="7"/>
        <v>126</v>
      </c>
      <c r="EF34" s="102">
        <f t="shared" si="7"/>
        <v>127</v>
      </c>
      <c r="EG34" s="102">
        <f t="shared" si="7"/>
        <v>128</v>
      </c>
      <c r="EH34" s="102">
        <f t="shared" si="7"/>
        <v>129</v>
      </c>
      <c r="EI34" s="102">
        <f t="shared" si="7"/>
        <v>130</v>
      </c>
      <c r="EJ34" s="102">
        <f t="shared" ref="EJ34:GU34" si="8">1+EI34</f>
        <v>131</v>
      </c>
      <c r="EK34" s="102">
        <f t="shared" si="8"/>
        <v>132</v>
      </c>
      <c r="EL34" s="102">
        <f t="shared" si="8"/>
        <v>133</v>
      </c>
      <c r="EM34" s="102">
        <f t="shared" si="8"/>
        <v>134</v>
      </c>
      <c r="EN34" s="102">
        <f t="shared" si="8"/>
        <v>135</v>
      </c>
      <c r="EO34" s="102">
        <f t="shared" si="8"/>
        <v>136</v>
      </c>
      <c r="EP34" s="102">
        <f t="shared" si="8"/>
        <v>137</v>
      </c>
      <c r="EQ34" s="102">
        <f t="shared" si="8"/>
        <v>138</v>
      </c>
      <c r="ER34" s="102">
        <f t="shared" si="8"/>
        <v>139</v>
      </c>
      <c r="ES34" s="102">
        <f t="shared" si="8"/>
        <v>140</v>
      </c>
      <c r="ET34" s="102">
        <f t="shared" si="8"/>
        <v>141</v>
      </c>
      <c r="EU34" s="102">
        <f t="shared" si="8"/>
        <v>142</v>
      </c>
      <c r="EV34" s="102">
        <f t="shared" si="8"/>
        <v>143</v>
      </c>
      <c r="EW34" s="102">
        <f t="shared" si="8"/>
        <v>144</v>
      </c>
      <c r="EX34" s="102">
        <f t="shared" si="8"/>
        <v>145</v>
      </c>
      <c r="EY34" s="102">
        <f t="shared" si="8"/>
        <v>146</v>
      </c>
      <c r="EZ34" s="102">
        <f t="shared" si="8"/>
        <v>147</v>
      </c>
      <c r="FA34" s="102">
        <f t="shared" si="8"/>
        <v>148</v>
      </c>
      <c r="FB34" s="102">
        <f t="shared" si="8"/>
        <v>149</v>
      </c>
      <c r="FC34" s="102">
        <f t="shared" si="8"/>
        <v>150</v>
      </c>
      <c r="FD34" s="102">
        <f t="shared" si="8"/>
        <v>151</v>
      </c>
      <c r="FE34" s="102">
        <f t="shared" si="8"/>
        <v>152</v>
      </c>
      <c r="FF34" s="102">
        <f t="shared" si="8"/>
        <v>153</v>
      </c>
      <c r="FG34" s="102">
        <f t="shared" si="8"/>
        <v>154</v>
      </c>
      <c r="FH34" s="102">
        <f t="shared" si="8"/>
        <v>155</v>
      </c>
      <c r="FI34" s="102">
        <f t="shared" si="8"/>
        <v>156</v>
      </c>
      <c r="FJ34" s="102">
        <f t="shared" si="8"/>
        <v>157</v>
      </c>
      <c r="FK34" s="102">
        <f t="shared" si="8"/>
        <v>158</v>
      </c>
      <c r="FL34" s="102">
        <f t="shared" si="8"/>
        <v>159</v>
      </c>
      <c r="FM34" s="102">
        <f t="shared" si="8"/>
        <v>160</v>
      </c>
      <c r="FN34" s="102">
        <f t="shared" si="8"/>
        <v>161</v>
      </c>
      <c r="FO34" s="102">
        <f t="shared" si="8"/>
        <v>162</v>
      </c>
      <c r="FP34" s="102">
        <f t="shared" si="8"/>
        <v>163</v>
      </c>
      <c r="FQ34" s="102">
        <f t="shared" si="8"/>
        <v>164</v>
      </c>
      <c r="FR34" s="102">
        <f t="shared" si="8"/>
        <v>165</v>
      </c>
      <c r="FS34" s="102">
        <f t="shared" si="8"/>
        <v>166</v>
      </c>
      <c r="FT34" s="102">
        <f t="shared" si="8"/>
        <v>167</v>
      </c>
      <c r="FU34" s="102">
        <f t="shared" si="8"/>
        <v>168</v>
      </c>
      <c r="FV34" s="102">
        <f t="shared" si="8"/>
        <v>169</v>
      </c>
      <c r="FW34" s="102">
        <f t="shared" si="8"/>
        <v>170</v>
      </c>
      <c r="FX34" s="102">
        <f t="shared" si="8"/>
        <v>171</v>
      </c>
      <c r="FY34" s="102">
        <f t="shared" si="8"/>
        <v>172</v>
      </c>
      <c r="FZ34" s="102">
        <f t="shared" si="8"/>
        <v>173</v>
      </c>
      <c r="GA34" s="102">
        <f t="shared" si="8"/>
        <v>174</v>
      </c>
      <c r="GB34" s="102">
        <f t="shared" si="8"/>
        <v>175</v>
      </c>
      <c r="GC34" s="102">
        <f t="shared" si="8"/>
        <v>176</v>
      </c>
      <c r="GD34" s="102">
        <f t="shared" si="8"/>
        <v>177</v>
      </c>
      <c r="GE34" s="102">
        <f t="shared" si="8"/>
        <v>178</v>
      </c>
      <c r="GF34" s="102">
        <f t="shared" si="8"/>
        <v>179</v>
      </c>
      <c r="GG34" s="102">
        <f t="shared" si="8"/>
        <v>180</v>
      </c>
      <c r="GH34" s="102">
        <f t="shared" si="8"/>
        <v>181</v>
      </c>
      <c r="GI34" s="102">
        <f t="shared" si="8"/>
        <v>182</v>
      </c>
      <c r="GJ34" s="102">
        <f t="shared" si="8"/>
        <v>183</v>
      </c>
      <c r="GK34" s="102">
        <f t="shared" si="8"/>
        <v>184</v>
      </c>
      <c r="GL34" s="102">
        <f t="shared" si="8"/>
        <v>185</v>
      </c>
      <c r="GM34" s="102">
        <f t="shared" si="8"/>
        <v>186</v>
      </c>
      <c r="GN34" s="102">
        <f t="shared" si="8"/>
        <v>187</v>
      </c>
      <c r="GO34" s="102">
        <f t="shared" si="8"/>
        <v>188</v>
      </c>
      <c r="GP34" s="102">
        <f t="shared" si="8"/>
        <v>189</v>
      </c>
      <c r="GQ34" s="102">
        <f t="shared" si="8"/>
        <v>190</v>
      </c>
      <c r="GR34" s="102">
        <f t="shared" si="8"/>
        <v>191</v>
      </c>
      <c r="GS34" s="102">
        <f t="shared" si="8"/>
        <v>192</v>
      </c>
      <c r="GT34" s="102">
        <f t="shared" si="8"/>
        <v>193</v>
      </c>
      <c r="GU34" s="102">
        <f t="shared" si="8"/>
        <v>194</v>
      </c>
      <c r="GV34" s="102">
        <f t="shared" ref="GV34:JG34" si="9">1+GU34</f>
        <v>195</v>
      </c>
      <c r="GW34" s="102">
        <f t="shared" si="9"/>
        <v>196</v>
      </c>
      <c r="GX34" s="102">
        <f t="shared" si="9"/>
        <v>197</v>
      </c>
      <c r="GY34" s="102">
        <f t="shared" si="9"/>
        <v>198</v>
      </c>
      <c r="GZ34" s="102">
        <f t="shared" si="9"/>
        <v>199</v>
      </c>
      <c r="HA34" s="102">
        <f t="shared" si="9"/>
        <v>200</v>
      </c>
      <c r="HB34" s="102">
        <f t="shared" si="9"/>
        <v>201</v>
      </c>
      <c r="HC34" s="102">
        <f t="shared" si="9"/>
        <v>202</v>
      </c>
      <c r="HD34" s="102">
        <f t="shared" si="9"/>
        <v>203</v>
      </c>
      <c r="HE34" s="102">
        <f t="shared" si="9"/>
        <v>204</v>
      </c>
      <c r="HF34" s="102">
        <f t="shared" si="9"/>
        <v>205</v>
      </c>
      <c r="HG34" s="102">
        <f t="shared" si="9"/>
        <v>206</v>
      </c>
      <c r="HH34" s="102">
        <f t="shared" si="9"/>
        <v>207</v>
      </c>
      <c r="HI34" s="102">
        <f t="shared" si="9"/>
        <v>208</v>
      </c>
      <c r="HJ34" s="102">
        <f t="shared" si="9"/>
        <v>209</v>
      </c>
      <c r="HK34" s="102">
        <f t="shared" si="9"/>
        <v>210</v>
      </c>
      <c r="HL34" s="102">
        <f t="shared" si="9"/>
        <v>211</v>
      </c>
      <c r="HM34" s="102">
        <f t="shared" si="9"/>
        <v>212</v>
      </c>
      <c r="HN34" s="102">
        <f t="shared" si="9"/>
        <v>213</v>
      </c>
      <c r="HO34" s="102">
        <f t="shared" si="9"/>
        <v>214</v>
      </c>
      <c r="HP34" s="102">
        <f t="shared" si="9"/>
        <v>215</v>
      </c>
      <c r="HQ34" s="102">
        <f t="shared" si="9"/>
        <v>216</v>
      </c>
      <c r="HR34" s="102">
        <f t="shared" si="9"/>
        <v>217</v>
      </c>
      <c r="HS34" s="102">
        <f t="shared" si="9"/>
        <v>218</v>
      </c>
      <c r="HT34" s="102">
        <f t="shared" si="9"/>
        <v>219</v>
      </c>
      <c r="HU34" s="102">
        <f t="shared" si="9"/>
        <v>220</v>
      </c>
      <c r="HV34" s="102">
        <f t="shared" si="9"/>
        <v>221</v>
      </c>
      <c r="HW34" s="102">
        <f t="shared" si="9"/>
        <v>222</v>
      </c>
      <c r="HX34" s="102">
        <f t="shared" si="9"/>
        <v>223</v>
      </c>
      <c r="HY34" s="102">
        <f t="shared" si="9"/>
        <v>224</v>
      </c>
      <c r="HZ34" s="102">
        <f t="shared" si="9"/>
        <v>225</v>
      </c>
      <c r="IA34" s="102">
        <f t="shared" si="9"/>
        <v>226</v>
      </c>
      <c r="IB34" s="102">
        <f t="shared" si="9"/>
        <v>227</v>
      </c>
      <c r="IC34" s="102">
        <f t="shared" si="9"/>
        <v>228</v>
      </c>
      <c r="ID34" s="102">
        <f t="shared" si="9"/>
        <v>229</v>
      </c>
      <c r="IE34" s="102">
        <f t="shared" si="9"/>
        <v>230</v>
      </c>
      <c r="IF34" s="102">
        <f t="shared" si="9"/>
        <v>231</v>
      </c>
      <c r="IG34" s="102">
        <f t="shared" si="9"/>
        <v>232</v>
      </c>
      <c r="IH34" s="102">
        <f t="shared" si="9"/>
        <v>233</v>
      </c>
      <c r="II34" s="102">
        <f t="shared" si="9"/>
        <v>234</v>
      </c>
      <c r="IJ34" s="102">
        <f t="shared" si="9"/>
        <v>235</v>
      </c>
      <c r="IK34" s="102">
        <f t="shared" si="9"/>
        <v>236</v>
      </c>
      <c r="IL34" s="102">
        <f t="shared" si="9"/>
        <v>237</v>
      </c>
      <c r="IM34" s="102">
        <f t="shared" si="9"/>
        <v>238</v>
      </c>
      <c r="IN34" s="102">
        <f t="shared" si="9"/>
        <v>239</v>
      </c>
      <c r="IO34" s="102">
        <f t="shared" si="9"/>
        <v>240</v>
      </c>
      <c r="IP34" s="102">
        <f t="shared" si="9"/>
        <v>241</v>
      </c>
      <c r="IQ34" s="102">
        <f t="shared" si="9"/>
        <v>242</v>
      </c>
      <c r="IR34" s="102">
        <f t="shared" si="9"/>
        <v>243</v>
      </c>
      <c r="IS34" s="102">
        <f t="shared" si="9"/>
        <v>244</v>
      </c>
      <c r="IT34" s="102">
        <f t="shared" si="9"/>
        <v>245</v>
      </c>
      <c r="IU34" s="102">
        <f t="shared" si="9"/>
        <v>246</v>
      </c>
      <c r="IV34" s="102">
        <f t="shared" si="9"/>
        <v>247</v>
      </c>
      <c r="IW34" s="102">
        <f t="shared" si="9"/>
        <v>248</v>
      </c>
      <c r="IX34" s="102">
        <f t="shared" si="9"/>
        <v>249</v>
      </c>
      <c r="IY34" s="102">
        <f t="shared" si="9"/>
        <v>250</v>
      </c>
      <c r="IZ34" s="102">
        <f t="shared" si="9"/>
        <v>251</v>
      </c>
      <c r="JA34" s="102">
        <f t="shared" si="9"/>
        <v>252</v>
      </c>
      <c r="JB34" s="102">
        <f t="shared" si="9"/>
        <v>253</v>
      </c>
      <c r="JC34" s="102">
        <f t="shared" si="9"/>
        <v>254</v>
      </c>
      <c r="JD34" s="102">
        <f t="shared" si="9"/>
        <v>255</v>
      </c>
      <c r="JE34" s="102">
        <f t="shared" si="9"/>
        <v>256</v>
      </c>
      <c r="JF34" s="102">
        <f t="shared" si="9"/>
        <v>257</v>
      </c>
      <c r="JG34" s="102">
        <f t="shared" si="9"/>
        <v>258</v>
      </c>
      <c r="JH34" s="102">
        <f t="shared" ref="JH34:LB34" si="10">1+JG34</f>
        <v>259</v>
      </c>
      <c r="JI34" s="102">
        <f t="shared" si="10"/>
        <v>260</v>
      </c>
      <c r="JJ34" s="102">
        <f t="shared" si="10"/>
        <v>261</v>
      </c>
      <c r="JK34" s="102">
        <f t="shared" si="10"/>
        <v>262</v>
      </c>
      <c r="JL34" s="102">
        <f t="shared" si="10"/>
        <v>263</v>
      </c>
      <c r="JM34" s="102">
        <f t="shared" si="10"/>
        <v>264</v>
      </c>
      <c r="JN34" s="102">
        <f t="shared" si="10"/>
        <v>265</v>
      </c>
      <c r="JO34" s="102">
        <f t="shared" si="10"/>
        <v>266</v>
      </c>
      <c r="JP34" s="102">
        <f t="shared" si="10"/>
        <v>267</v>
      </c>
      <c r="JQ34" s="102">
        <f t="shared" si="10"/>
        <v>268</v>
      </c>
      <c r="JR34" s="102">
        <f t="shared" si="10"/>
        <v>269</v>
      </c>
      <c r="JS34" s="102">
        <f t="shared" si="10"/>
        <v>270</v>
      </c>
      <c r="JT34" s="102">
        <f t="shared" si="10"/>
        <v>271</v>
      </c>
      <c r="JU34" s="102">
        <f t="shared" si="10"/>
        <v>272</v>
      </c>
      <c r="JV34" s="102">
        <f t="shared" si="10"/>
        <v>273</v>
      </c>
      <c r="JW34" s="102">
        <f t="shared" si="10"/>
        <v>274</v>
      </c>
      <c r="JX34" s="102">
        <f t="shared" si="10"/>
        <v>275</v>
      </c>
      <c r="JY34" s="102">
        <f t="shared" si="10"/>
        <v>276</v>
      </c>
      <c r="JZ34" s="102">
        <f t="shared" si="10"/>
        <v>277</v>
      </c>
      <c r="KA34" s="102">
        <f t="shared" si="10"/>
        <v>278</v>
      </c>
      <c r="KB34" s="102">
        <f t="shared" si="10"/>
        <v>279</v>
      </c>
      <c r="KC34" s="102">
        <f t="shared" si="10"/>
        <v>280</v>
      </c>
      <c r="KD34" s="102">
        <f t="shared" si="10"/>
        <v>281</v>
      </c>
      <c r="KE34" s="102">
        <f t="shared" si="10"/>
        <v>282</v>
      </c>
      <c r="KF34" s="102">
        <f t="shared" si="10"/>
        <v>283</v>
      </c>
      <c r="KG34" s="102">
        <f t="shared" si="10"/>
        <v>284</v>
      </c>
      <c r="KH34" s="102">
        <f t="shared" si="10"/>
        <v>285</v>
      </c>
      <c r="KI34" s="102">
        <f t="shared" si="10"/>
        <v>286</v>
      </c>
      <c r="KJ34" s="102">
        <f t="shared" si="10"/>
        <v>287</v>
      </c>
      <c r="KK34" s="102">
        <f t="shared" si="10"/>
        <v>288</v>
      </c>
      <c r="KL34" s="102">
        <f t="shared" si="10"/>
        <v>289</v>
      </c>
      <c r="KM34" s="102">
        <f t="shared" si="10"/>
        <v>290</v>
      </c>
      <c r="KN34" s="102">
        <f t="shared" si="10"/>
        <v>291</v>
      </c>
      <c r="KO34" s="102">
        <f t="shared" si="10"/>
        <v>292</v>
      </c>
      <c r="KP34" s="102">
        <f t="shared" si="10"/>
        <v>293</v>
      </c>
      <c r="KQ34" s="102">
        <f t="shared" si="10"/>
        <v>294</v>
      </c>
      <c r="KR34" s="102">
        <f t="shared" si="10"/>
        <v>295</v>
      </c>
      <c r="KS34" s="102">
        <f t="shared" si="10"/>
        <v>296</v>
      </c>
      <c r="KT34" s="102">
        <f t="shared" si="10"/>
        <v>297</v>
      </c>
      <c r="KU34" s="102">
        <f t="shared" si="10"/>
        <v>298</v>
      </c>
      <c r="KV34" s="102">
        <f t="shared" si="10"/>
        <v>299</v>
      </c>
      <c r="KW34" s="102">
        <f t="shared" si="10"/>
        <v>300</v>
      </c>
      <c r="KX34" s="102">
        <f t="shared" si="10"/>
        <v>301</v>
      </c>
      <c r="KY34" s="102">
        <f t="shared" si="10"/>
        <v>302</v>
      </c>
      <c r="KZ34" s="102">
        <f t="shared" si="10"/>
        <v>303</v>
      </c>
      <c r="LA34" s="102">
        <f t="shared" si="10"/>
        <v>304</v>
      </c>
      <c r="LB34" s="102">
        <f t="shared" si="10"/>
        <v>305</v>
      </c>
      <c r="LC34" s="5356"/>
      <c r="LD34" s="5132"/>
      <c r="LE34" s="5132"/>
      <c r="LF34" s="5132"/>
      <c r="LG34" s="5132"/>
      <c r="LH34" s="5132"/>
      <c r="LI34" s="5132"/>
      <c r="LJ34" s="5132"/>
    </row>
    <row r="35" spans="1:322" s="13" customFormat="1" ht="27.95" customHeight="1" thickBot="1">
      <c r="A35" s="6386" t="str">
        <f>+IF(O35="","",O35)</f>
        <v>8298-01</v>
      </c>
      <c r="B35" s="5942" t="str">
        <f>+IF(A35="","",VLOOKUP(MATCH(A35,tid,0),tao,'12(id)'!$J$20,FALSE))</f>
        <v>CDECCA</v>
      </c>
      <c r="C35" s="6387" t="str">
        <f>+IF(Q35="","",Q35)</f>
        <v>GT </v>
      </c>
      <c r="D35" s="1107" t="str">
        <f>+IF(BB35="","",BB35)</f>
        <v>8298-01-01</v>
      </c>
      <c r="E35" s="54" t="str">
        <f>+IF(BD35="","",BD35)</f>
        <v/>
      </c>
      <c r="F35" s="54" t="str">
        <f>IF(BE35="","",BE35)</f>
        <v>Nat Gas</v>
      </c>
      <c r="G35" s="5133"/>
      <c r="H35" s="5132"/>
      <c r="I35" s="5133"/>
      <c r="J35" s="718">
        <v>1</v>
      </c>
      <c r="K35" s="83">
        <v>1</v>
      </c>
      <c r="L35" s="36">
        <v>1</v>
      </c>
      <c r="M35" s="36" t="str">
        <f>+IF(O35="","",VLOOKUP(MATCH(O35,tid,0),tao,'12(id)'!$I$20,FALSE))</f>
        <v>Capitol District Energy Center Cogeneration Associates</v>
      </c>
      <c r="N35" s="35" t="s">
        <v>256</v>
      </c>
      <c r="O35" s="35" t="s">
        <v>257</v>
      </c>
      <c r="P35" s="36" t="str">
        <f>+IF(O35="","",VLOOKUP(MATCH(O35,tid,0),tao,'12(id)'!$L$20,FALSE))</f>
        <v>Capitol District Energy Center</v>
      </c>
      <c r="Q35" s="8613" t="str">
        <f>+IF(ISERROR(MATCH(O35,tid,0)),"",VLOOKUP(MATCH(O35,tid,0),tao,'12(id)'!$Q$20,FALSE))</f>
        <v>GT </v>
      </c>
      <c r="R35" s="35">
        <f>+IF(O35="","",VLOOKUP(MATCH(O35,tid,0),tao,'12(id)'!$U$20,FALSE))</f>
        <v>1</v>
      </c>
      <c r="S35" s="35"/>
      <c r="T35" s="35" t="str">
        <f>+IF(ISERROR(MATCH(O35,tid,0)),"",IF(VLOOKUP(MATCH(O35,tid,0),tao,'12(id)'!$CT$20,FALSE)="","",VLOOKUP(MATCH(O35,tid,0),tao,'12(id)'!$CT$20,FALSE)))</f>
        <v/>
      </c>
      <c r="U35" s="408" t="str">
        <f>+IF(ISERROR(MATCH(O35,tid,0)),"",IF(VLOOKUP(MATCH(O35,tid,0),tao,'12(id)'!$CU$20,FALSE)="","",VLOOKUP(MATCH(O35,tid,0),tao,'12(id)'!$CU$20,FALSE)))</f>
        <v/>
      </c>
      <c r="V35" s="413" t="str">
        <f>+IF(O35="","",IF(VLOOKUP(MATCH(O35,tid,0),tao,'12(id)'!$T$20,FALSE)="","",VLOOKUP(MATCH(O35,tid,0),tao,'12(id)'!$T$20,FALSE)))</f>
        <v>Combustion Turbine</v>
      </c>
      <c r="W35" s="414" t="str">
        <f>+IF(ISERROR(MATCH(O35,tid,0)),"",IF(VLOOKUP(MATCH(O35,tid,0),tao,'12(id)'!$CO$20,FALSE)="","",VLOOKUP(MATCH(O35,tid,0),tao,'12(id)'!$CO$20,FALSE)))</f>
        <v>General Electric</v>
      </c>
      <c r="X35" s="413" t="str">
        <f>+IF(ISERROR(MATCH(O35,tid,0)),"",IF(VLOOKUP(MATCH(O35,tid,0),tao,'12(id)'!$CP$20,FALSE)="","",VLOOKUP(MATCH(O35,tid,0),tao,'12(id)'!$CP$20,FALSE)))</f>
        <v>PG 6531</v>
      </c>
      <c r="Y35" s="2422" t="str">
        <f>+IF(ISERROR(MATCH(O35,tid,0)),"",IF(VLOOKUP(MATCH(O35,tid,0),tao,'12(id)'!$CQ$20,FALSE)="","",VLOOKUP(MATCH(O35,tid,0),tao,'12(id)'!$CQ$20,FALSE)))</f>
        <v>Cogeneration Turbine</v>
      </c>
      <c r="Z35" s="73" t="str">
        <f>+IF(ISERROR(MATCH(O35,tid,0)),"",VLOOKUP(MATCH(O35,tid,0),tao,'12(id)'!$DB$20,FALSE)&amp;" "&amp;VLOOKUP(MATCH(O35,tid,0),tao,'12(id)'!$DC$20,FALSE))</f>
        <v xml:space="preserve"> </v>
      </c>
      <c r="AA35" s="54" t="str">
        <f ca="1">+IF(ISERROR(MATCH(O35,tid,0)),"",IF(VLOOKUP(MATCH(O35,tid,0),tao,'12(id)'!$DE$20,FALSE)="","",ROUND(VLOOKUP(MATCH(O35,tid,0),tao,'12(id)'!$DE$20,FALSE),0)&amp;" yrs"))</f>
        <v>25 yrs</v>
      </c>
      <c r="AB35" s="36" t="str">
        <f>+IF(ISERROR(MATCH(O35,tid,0)),"",VLOOKUP(MATCH(O35,tid,0),tao,'12(id)'!$DI$20,FALSE))</f>
        <v>Natural Gas</v>
      </c>
      <c r="AC35" s="36" t="str">
        <f>+IF(ISERROR(MATCH(O35,tid,0)),"",IF(VLOOKUP(MATCH(O35,tid,0),tao,'12(id)'!$DQ$20,FALSE)="","",VLOOKUP(MATCH(O35,tid,0),tao,'12(id)'!$DQ$20,FALSE)))</f>
        <v>No. 2 oil</v>
      </c>
      <c r="AD35" s="108" t="str">
        <f>+IF(ISERROR(MATCH(O35,tid,0)),"",IF(VLOOKUP(MATCH(O35,tid,0),tao,'12(id)'!$EI$20,FALSE)="","",VLOOKUP(MATCH(O35,tid,0),tao,'12(id)'!$EI$20,FALSE)))</f>
        <v/>
      </c>
      <c r="AE35" s="439" t="str">
        <f>+IF(ISERROR(MATCH(O35,tid,0)),"",IF(VLOOKUP(MATCH(O35,tid,0),tao,'12(id)'!$EJ$20,FALSE)="","",VLOOKUP(MATCH(O35,tid,0),tao,'12(id)'!$EJ$20,FALSE)))</f>
        <v/>
      </c>
      <c r="AF35" s="439" t="str">
        <f>+IF(ISERROR(MATCH(O35,tid,0)),"",IF(VLOOKUP(MATCH(O35,tid,0),tao,'12(id)'!$EL$20,FALSE)="","",VLOOKUP(MATCH(O35,tid,0),tao,'12(id)'!$EL$20,FALSE)))</f>
        <v/>
      </c>
      <c r="AG35" s="113" t="str">
        <f>+IF(ISERROR(MATCH(O35,tid,0)),"",IF(VLOOKUP(MATCH(O35,tid,0),tao,'12(id)'!$EM$20,FALSE)="","",VLOOKUP(MATCH(O35,tid,0),tao,'12(id)'!$EM$20,FALSE)))</f>
        <v/>
      </c>
      <c r="AH35" s="954"/>
      <c r="AI35" s="955"/>
      <c r="AJ35" s="956"/>
      <c r="AK35" s="956"/>
      <c r="AL35" s="956"/>
      <c r="AM35" s="957"/>
      <c r="AN35" s="3526"/>
      <c r="AO35" s="3527" t="str">
        <f>+IF(ISERROR(MATCH(O35,tid,0)),"",IF(VLOOKUP(MATCH(O35,tid,0),tao,'12(id)'!$GY$20,FALSE)="","",VLOOKUP(MATCH(O35,tid,0),tao,'12(id)'!$GY$20,FALSE)))</f>
        <v/>
      </c>
      <c r="AP35" s="4039" t="str">
        <f>+IF($BB35="","",IF(VLOOKUP(MATCH(O35,tid,0),tao,'12(id)'!$HE$20,FALSE)="","",VLOOKUP(MATCH(O35,tid,0),tao,'12(id)'!$HE$20,FALSE)))</f>
        <v/>
      </c>
      <c r="AQ35" s="3528" t="str">
        <f>+IF(ISERROR(VLOOKUP(MATCH(O35,tid,0),tao,'12(id)'!$HF$20,FALSE)),"",VLOOKUP(MATCH(O35,tid,0),tao,'12(id)'!$HF$20,FALSE))</f>
        <v/>
      </c>
      <c r="AR35" s="3529" t="str">
        <f>+IF(ISERROR(MATCH(O35,tid,0)),"",IF(VLOOKUP(MATCH(O35,tid,0),tao,'12(id)'!$HJ$20,FALSE)="","",VLOOKUP(MATCH(O35,tid,0),tao,'12(id)'!$HJ$20,FALSE)))</f>
        <v/>
      </c>
      <c r="AS35" s="3528" t="str">
        <f>+IF(ISERROR(MATCH(O35,tid,0)),"",IF(VLOOKUP(MATCH(O35,tid,0),tao,'12(id)'!$HK$20,FALSE)="","",VLOOKUP(MATCH(O35,tid,0),tao,'12(id)'!$HK$20,FALSE)))</f>
        <v/>
      </c>
      <c r="AT35" s="3530" t="str">
        <f>+IF(ISERROR(MATCH(O35,tid,0)),"",IF(VLOOKUP(MATCH(O35,tid,0),tao,'12(id)'!$HM$20,FALSE)="","",VLOOKUP(MATCH(O35,tid,0),tao,'12(id)'!$HM$20,FALSE)))</f>
        <v/>
      </c>
      <c r="AU35" s="997" t="str">
        <f>+AU36</f>
        <v>CAIR-OS (max last 3 yrs)</v>
      </c>
      <c r="AV35" s="998">
        <f>+IF(ISERROR(MATCH(O35,em_id,0)),"",IF(VLOOKUP(MATCH(O35,em_id,0),em,'5(em)'!$CX$18,FALSE)="","",VLOOKUP(MATCH(O35,em_id,0),em,'5(em)'!$CX$18,FALSE)))</f>
        <v>324</v>
      </c>
      <c r="AW35" s="999">
        <f>+IF(ISERROR(MATCH(O35,em_id,0)),"",IF(VLOOKUP(MATCH(O35,em_id,0),em,'5(em)'!$CZ$18,FALSE)="","",VLOOKUP(MATCH(O35,em_id,0),em,'5(em)'!$CZ$18,FALSE)))</f>
        <v>128717</v>
      </c>
      <c r="AX35" s="1000">
        <f>+IF(OR(AW35="",AZ35=""),"",ROUND(2000*AZ35/AW35,2))</f>
        <v>0.11</v>
      </c>
      <c r="AY35" s="1001"/>
      <c r="AZ35" s="1002">
        <f>+IF(ISERROR(MATCH(O35,em_id,0)),"",IF(VLOOKUP(MATCH(O35,em_id,0),em,'5(em)'!$DA$18,FALSE)="","",VLOOKUP(MATCH(O35,em_id,0),em,'5(em)'!$DA$18,FALSE)))</f>
        <v>7.2</v>
      </c>
      <c r="BA35" s="489"/>
      <c r="BB35" s="721" t="str">
        <f t="shared" ref="BB35:BB59" si="11">+IF(BC35="","",IF(R35=1,(IF(O35="",LEFT(BB34,7),O35)&amp;"-0"&amp;BC35),IF(AND(LEFT(O35,4)=LEFT(O34,4),R35&gt;1),IF(LEFT(C35,1)=LEFT(C34,1),LEFT(BB34,9),O35&amp;"-0")&amp;BC35,IF(O35="",LEFT(BB34,9)&amp;BC35,O35&amp;"-0"&amp;BC35))))</f>
        <v>8298-01-01</v>
      </c>
      <c r="BC35" s="486">
        <v>1</v>
      </c>
      <c r="BD35" s="54" t="str">
        <f>+IF(OR(D35="",VLOOKUP(MATCH(D35,op_id,0),op,'7(op)'!$T$18,FALSE)=""),"",VLOOKUP(MATCH(D35,op_id,0),op,'7(op)'!$T$18,FALSE))</f>
        <v/>
      </c>
      <c r="BE35" s="54" t="s">
        <v>499</v>
      </c>
      <c r="BF35" s="54" t="s">
        <v>1862</v>
      </c>
      <c r="BG35" s="103" t="s">
        <v>2553</v>
      </c>
      <c r="BH35" s="42"/>
      <c r="BI35" s="104"/>
      <c r="BJ35" s="36"/>
      <c r="BK35" s="36"/>
      <c r="BL35" s="36"/>
      <c r="BM35" s="36"/>
      <c r="BN35" s="36" t="str">
        <f t="shared" ref="BN35:BN103" si="12">+IF($BB35="","",IF(OR($AJ35="",BJ35=""),"",BJ35/2000*$AJ35))</f>
        <v/>
      </c>
      <c r="BO35" s="36" t="str">
        <f t="shared" ref="BO35:BO103" si="13">+IF($BB35="","",IF(OR($AM35="",BN35=""),"",$AM35-BN35))</f>
        <v/>
      </c>
      <c r="BP35" s="36" t="str">
        <f t="shared" ref="BP35:BP103" si="14">+IF($BB35="","",IF(OR($AM35="",BO35=""),"",BO35/$AM35))</f>
        <v/>
      </c>
      <c r="BQ35" s="36" t="str">
        <f t="shared" ref="BQ35:BQ103" si="15">+IF($BB35="","",IF(OR($AK35="",BJ35=""),"",(1-BJ34/$AK35)))</f>
        <v/>
      </c>
      <c r="BR35" s="103"/>
      <c r="BS35" s="42"/>
      <c r="BT35" s="104"/>
      <c r="BU35" s="622"/>
      <c r="BV35" s="3735"/>
      <c r="BW35" s="36"/>
      <c r="BX35" s="205" t="str">
        <f>+IF(OR(BB35="",BW35=""),"",BW35/IF(R35="",IF(R34="",R33,R34),R35))</f>
        <v/>
      </c>
      <c r="BY35" s="3808" t="str">
        <f>+IF($BB35="","",IF(BU35="","",BU35/2000*IF(AQ35="",IF(AQ34="",AQ33,AQ34),AQ35)))</f>
        <v/>
      </c>
      <c r="BZ35" s="1051"/>
      <c r="CA35" s="1051"/>
      <c r="CB35" s="46" t="str">
        <f>+IF(OR(BX35="",BX35=0),IF(GJ35="",IF(CA35="","",CA35),IF(AND(GJ35&gt;0,GI35&gt;0,GI35/GJ35&gt;1,BW35=0,BW35=""),GI35/GJ35/IF(R35="",IF(R34="",R33,R34),R35),"")),IF(AT35="",IF(AT34="",AT33,AT34),AT35)-BX35)</f>
        <v/>
      </c>
      <c r="CC35" s="3880" t="str">
        <f>+IF(OR($BB35="",BW35=""),"",IF(CB35="",IF(CD35="",IF(CD35="",IF(CE35="","",CE35)),CD35),CB35/IF($AT35="",IF($AT34="",$AT33,$AT34),$AT35)))</f>
        <v/>
      </c>
      <c r="CD35" s="3880" t="str">
        <f>+IF($BB35="","",IF(BU35="","",(1-BU35/IF(AR35="",IF(AR34="",AR33,AR34),AR35))))</f>
        <v/>
      </c>
      <c r="CE35" s="3893"/>
      <c r="CF35" s="42" t="s">
        <v>1601</v>
      </c>
      <c r="CG35" s="104"/>
      <c r="CH35" s="2395"/>
      <c r="CI35" s="3915"/>
      <c r="CJ35" s="36"/>
      <c r="CK35" s="3915"/>
      <c r="CL35" s="3916"/>
      <c r="CM35" s="3932"/>
      <c r="CN35" s="3932"/>
      <c r="CO35" s="3933"/>
      <c r="CP35" s="3934"/>
      <c r="CQ35" s="42" t="str">
        <f>+IF(BD35="","",BD35)</f>
        <v/>
      </c>
      <c r="CR35" s="103"/>
      <c r="CS35" s="2745"/>
      <c r="CT35" s="1573"/>
      <c r="CU35" s="1481"/>
      <c r="CV35" s="1755" t="str">
        <f t="shared" ref="CV35:CV52" si="16">+IF(CT35="","",CT35-CU35-SUM(CW35:DH35)-DJ35)</f>
        <v/>
      </c>
      <c r="CW35" s="1756"/>
      <c r="CX35" s="1756"/>
      <c r="CY35" s="1757"/>
      <c r="CZ35" s="2458"/>
      <c r="DA35" s="2485"/>
      <c r="DB35" s="2485"/>
      <c r="DC35" s="1755"/>
      <c r="DD35" s="1758"/>
      <c r="DE35" s="1759"/>
      <c r="DF35" s="1760"/>
      <c r="DG35" s="1760"/>
      <c r="DH35" s="1758"/>
      <c r="DI35" s="1677" t="str">
        <f>+IF(CT35="","",SUM(CU35:DC35)+SUM(DE35:DF35))</f>
        <v/>
      </c>
      <c r="DJ35" s="1923"/>
      <c r="DK35" s="1573"/>
      <c r="DL35" s="1481"/>
      <c r="DM35" s="1755" t="str">
        <f t="shared" ref="DM35:DM48" si="17">+IF(DK35="","",DK35-DL35-SUM(DN35:DY35)-EA35)</f>
        <v/>
      </c>
      <c r="DN35" s="1756"/>
      <c r="DO35" s="1756"/>
      <c r="DP35" s="1757"/>
      <c r="DQ35" s="2458"/>
      <c r="DR35" s="2485"/>
      <c r="DS35" s="2485"/>
      <c r="DT35" s="1755"/>
      <c r="DU35" s="1758"/>
      <c r="DV35" s="1759"/>
      <c r="DW35" s="1760"/>
      <c r="DX35" s="1760"/>
      <c r="DY35" s="1758"/>
      <c r="DZ35" s="1677" t="str">
        <f t="shared" ref="DZ35:DZ84" si="18">+IF(DK35="","",SUM(DL35:DT35)+SUM(DV35:DW35))</f>
        <v/>
      </c>
      <c r="EA35" s="1923"/>
      <c r="EB35" s="1481" t="str">
        <f t="shared" ref="EB35:EB66" si="19">+IF(CT35+DK35=0,"",CT35+DK35)</f>
        <v/>
      </c>
      <c r="EC35" s="1947"/>
      <c r="ED35" s="1401" t="str">
        <f t="shared" ref="ED35:ED103" si="20">+IF(EB35&gt;0,IF(ISERROR(EB35*EC35),"",EB35*EC35),"")</f>
        <v/>
      </c>
      <c r="EE35" s="1971"/>
      <c r="EF35" s="1972"/>
      <c r="EG35" s="1973"/>
      <c r="EH35" s="1677"/>
      <c r="EI35" s="1759"/>
      <c r="EJ35" s="1760"/>
      <c r="EK35" s="1992"/>
      <c r="EL35" s="1441"/>
      <c r="EM35" s="2020"/>
      <c r="EN35" s="1021"/>
      <c r="EO35" s="2021"/>
      <c r="EP35" s="1677" t="str">
        <f t="shared" ref="EP35:EP66" si="21">+IF(OR(BB35="",EB35=""),"",SUM(EI35:EO35))</f>
        <v/>
      </c>
      <c r="EQ35" s="1677"/>
      <c r="ER35" s="1677"/>
      <c r="ES35" s="1677"/>
      <c r="ET35" s="1441"/>
      <c r="EU35" s="1419"/>
      <c r="EV35" s="1376"/>
      <c r="EW35" s="2565"/>
      <c r="EX35" s="2565"/>
      <c r="EY35" s="2672"/>
      <c r="EZ35" s="2701"/>
      <c r="FA35" s="1376"/>
      <c r="FB35" s="1466">
        <f>+IF(BB35="","",(IF(EY35="",0,EY35)+IF(FA35="",0,FA35)-IF(EZ35="",0,EZ35)))</f>
        <v>0</v>
      </c>
      <c r="FC35" s="1736" t="str">
        <f>+IF(OR(ED35="",IF(R35="",IF(R34="",R33,R34),R35)=""),"",ED35/IF(R35="",IF(R34="",R33,R34),R35))</f>
        <v/>
      </c>
      <c r="FD35" s="1737" t="str">
        <f>+IF(OR(BB35="",IF(R35="",IF(R34="",R33,R34),R35)="",(CU35+DL35)=0),"",(CU35+DL35)/IF(R35="",IF(R34="",R33,R34),R35))</f>
        <v/>
      </c>
      <c r="FE35" s="1529" t="str">
        <f>+IF(OR(FC35="",FC35=0,FD35=""),"",FD35/FC35)</f>
        <v/>
      </c>
      <c r="FF35" s="1737" t="str">
        <f>+IF(OR(BB35="",CT35="",IF(R35="",IF(R34="",R33,R34),R35)=""),"",(SUM(CV35:CZ35)+(IF(DM35="",0,DM35)+SUM(DN35:DQ35)))/IF(R35="",IF(R34="",R33,R34),R35))</f>
        <v/>
      </c>
      <c r="FG35" s="1529" t="str">
        <f>+IF(OR(BB35="",ISERROR(FF35/FC35)),"",FF35/FC35)</f>
        <v/>
      </c>
      <c r="FH35" s="2498">
        <f>+IF(OR(BB35="",IF(R35="",IF(R34="",R33,R34),R35)="",),"",(DA35+DR35)/IF(R35="",IF(R34="",R33,R34),R35))</f>
        <v>0</v>
      </c>
      <c r="FI35" s="1529" t="str">
        <f>+IF(OR(FC35="",FC35=0,FH35=""),"",FH35/FC35)</f>
        <v/>
      </c>
      <c r="FJ35" s="1737" t="str">
        <f>+IF(OR(BB35="",CT35=""),"",IF(FD35="",0,FD35)+IF(FF35="",0,FF35)+IF(FH35="",0,FH35))</f>
        <v/>
      </c>
      <c r="FK35" s="1529" t="str">
        <f>+IF(OR(BB35="",ISERROR(FJ35/FC35)),"",FJ35/FC35)</f>
        <v/>
      </c>
      <c r="FL35" s="2777" t="str">
        <f>+IF(OR(BB35="",CT35="",IF(R35="",IF(R34="",R33,R34),R35)=""),"",(DB35+DC35+DS35+DT35)/IF(R35="",IF(R34="",R33,R34),R35))</f>
        <v/>
      </c>
      <c r="FM35" s="1529" t="str">
        <f>+IF(OR(BB35="",ISERROR(FL35/FC35)),"",FL35/FC35)</f>
        <v/>
      </c>
      <c r="FN35" s="1737" t="str">
        <f>+IF(OR(BB35="",CT35="",IF(R35="",IF(R34="",R33,R34),R35)=""),"",(DD35+DU35)/IF(R35="",IF(R34="",R33,R34),R35))</f>
        <v/>
      </c>
      <c r="FO35" s="1529" t="str">
        <f>+IF(OR(BB35="",ISERROR(FN35/FC35)),"",FN35/FC35)</f>
        <v/>
      </c>
      <c r="FP35" s="1737" t="str">
        <f>+IF(OR(BB35="",CT35="",IF(R35="",IF(R34="",R33,R34),R35)=""),"",(DG35+DH35+DX35+DY35)/IF(R35="",IF(R34="",R33,R34),R35))</f>
        <v/>
      </c>
      <c r="FQ35" s="1529" t="str">
        <f>+IF(OR(BB35="",ISERROR(FL35/FC35)),"",FP35/FC35)</f>
        <v/>
      </c>
      <c r="FR35" s="2835" t="str">
        <f>+IF(OR(BB35="",IF(R35="",IF(R34="",R33,R34),R35)="",(IF(DI35="",0,DI35)+IF(DZ35="",0,DZ35))=0),"",(IF(DI35="",0,DI35)+IF(DZ35="",0,DZ35))/IF(R35="",IF(R34="",R33,R34),R35))</f>
        <v/>
      </c>
      <c r="FS35" s="2859" t="str">
        <f>+IF(OR(DJ35="",IF(R35="",IF(R34="",R33,R34),R35)=""),"",(DJ35+EA35)/IF(R35="",IF(R34="",R33,R34),R35))</f>
        <v/>
      </c>
      <c r="FT35" s="1510" t="str">
        <f>+IF(OR(BB35="",ISERROR(FS35/FR35)),"",FS35/FR35)</f>
        <v/>
      </c>
      <c r="FU35" s="2814" t="str">
        <f>+IF(OR(BB35="",ISERROR(1-(FR35+IF(FS35="",0,FS35)+FN35+FP35)*IF(R35="",IF(R34="",R33,R34),R35)/(CT35+DK35))),"",1-(FR35+IF(FS35="",0,FS35)+FN35+FP35)*IF(R35="",IF(R34="",R33,R34),R35)/(CT35+DK35))</f>
        <v/>
      </c>
      <c r="FV35" s="448" t="str">
        <f>+IF(FC35="","",FC35/IF(OR(ISTEXT(T35),T35=""),IF(OR(ISTEXT(T34),T34=""),IF(OR(ISTEXT(T33),T33=""),1,T33),T34),T35))</f>
        <v/>
      </c>
      <c r="FW35" s="2074" t="str">
        <f>+IF(OR(EH35="",IF(R35="",IF(R34="",R33,R34),R35)=""),"",EH35/IF(R35="",IF(R34="",R33,R34),R35))</f>
        <v/>
      </c>
      <c r="FX35" s="2075" t="str">
        <f>+IF(ISERR(FW35/$FC35),"",FW35/$FC35)</f>
        <v/>
      </c>
      <c r="FY35" s="2076" t="str">
        <f>+IF(OR(EP35="",IF(R35="",IF(R34="",R33,R34),R35)=""),"",EP35/IF(R35="",IF(R34="",R33,R34),R35))</f>
        <v/>
      </c>
      <c r="FZ35" s="2075" t="str">
        <f>+IF(ISERR(FY35/$FC35),"",FY35/$FC35)</f>
        <v/>
      </c>
      <c r="GA35" s="2075" t="str">
        <f>+IF(IF(V35="",V34,V35)="Utility Boiler",IF(ISERR(FY35/(FC35+FW35)),"",FY35/(FC35+FW35)),"")</f>
        <v/>
      </c>
      <c r="GB35" s="2076" t="str">
        <f>+IF(OR(ET35="",IF(R35="",IF(R34="",R33,R34),R35)=""),"",ET35/IF(R35="",IF(R34="",R33,R34),R35))</f>
        <v/>
      </c>
      <c r="GC35" s="2075" t="str">
        <f>+IF(ISERR(GB35/$FC35),"",GB35/$FC35)</f>
        <v/>
      </c>
      <c r="GD35" s="2075" t="str">
        <f>+IF(IF(V35="",V34,V35)="Utility Boiler",IF(ISERR(GB35/($FC35)),"",GB35/(FC35+FW35+FY35)),"")</f>
        <v/>
      </c>
      <c r="GE35" s="1603">
        <f>+IF(OR(FB35="",IF(R35="",IF(R34="",R33,R34),R35)=""),"",FB35/IF(R35="",IF(R34="",R33,R34),R35))</f>
        <v>0</v>
      </c>
      <c r="GF35" s="2129">
        <f>+IF(FB35="","",(IF(FA35="",0,FA35)-IF(EZ35="",0,EZ35))+(IF(EU35="",0,EU35)+IF(EV35="",0,EV35)+(IF(EW35="",0,EW35)+IF(EX35="",0,EX35))/IF(R35="",IF(R34="",R33,R34),R35)+IF(FC35="",0,FC35)+IF(FW35="",0,FW35)+IF(FY35="",0,FY35)+IF(GB35="",0,GB35)))</f>
        <v>0</v>
      </c>
      <c r="GG35" s="2152" t="str">
        <f>+IF(OR(CS35="",IF(R35="",IF(R34="",R33,R34),R35)="",GF35=0),"",1-(CS35/IF(R35="",IF(R34="",R33,R34),R35))/GF35)</f>
        <v/>
      </c>
      <c r="GH35" s="1749">
        <f>+IF(ISERROR(GF35/IF(T35="",IF(T34="",T33,T34),T35)),"",IF(IF(T35="",IF(T34="",T33,T34),T35)="","",IF(GF35="","",GF35/IF(T35="",IF(T34="",T33,T34),T35))))</f>
        <v>0</v>
      </c>
      <c r="GI35" s="1603"/>
      <c r="GJ35" s="3231"/>
      <c r="GK35" s="3434" t="str">
        <f>+IF(OR(BB35="",GJ35=""),"",IF(CB35="",1,CB35*IF(R35="",IF(R34="",R33,R34),R35)))</f>
        <v/>
      </c>
      <c r="GL35" s="2504" t="str">
        <f>+IF(OR(BB35="",GI35="",GJ35=""),"",(GJ35-GI35/GK35)/GJ35)</f>
        <v/>
      </c>
      <c r="GM35" s="1147"/>
      <c r="GN35" s="1150"/>
      <c r="GO35" s="2299"/>
      <c r="GP35" s="2300"/>
      <c r="GQ35" s="2206"/>
      <c r="GR35" s="2206"/>
      <c r="GS35" s="2206"/>
      <c r="GT35" s="2206"/>
      <c r="GU35" s="2199" t="str">
        <f>+IF(OR(SUM(GQ35:GT35)=0,GT35=""),IF(GK35=1,GJ35*GK35,IF(GI35="","",GI35)),SUM(GQ35:GT35))</f>
        <v/>
      </c>
      <c r="GV35" s="1148" t="str">
        <f>+IF(OR(GO35="",IF(R35="",IF(R34="",R33,R34),R35)=""),"",GO35/IF(R35="",IF(R34="",R33,R34),R35))</f>
        <v/>
      </c>
      <c r="GW35" s="2236" t="str">
        <f>+IF(OR(GP35="",IF(R35="",IF(R34="",R33,R34),R35)=""),"",GP35/IF(R35="",IF(R34="",R33,R34),R35))</f>
        <v/>
      </c>
      <c r="GX35" s="2206" t="str">
        <f>+IF(OR(GQ35="",IF(R35="",IF(R34="",R33,R34),R35)=""),"",GQ35/IF(R35="",IF(R34="",R33,R34),R35))</f>
        <v/>
      </c>
      <c r="GY35" s="2206" t="str">
        <f>+IF(OR(GR35="",IF(R35="",IF(R34="",R33,R34),R35)=""),"",GR35/IF(R35="",IF(R34="",R33,R34),R35))</f>
        <v/>
      </c>
      <c r="GZ35" s="2206" t="str">
        <f>+IF(OR(GS35="",IF(R35="",IF(R34="",R33,R34),R35)=""),"",GS35/IF(R35="",IF(R34="",R33,R34),R35))</f>
        <v/>
      </c>
      <c r="HA35" s="2206" t="str">
        <f>+IF(OR(GT35="",IF(R35="",IF(R34="",R33,R34),R35)=""),"",GT35/IF(R35="",IF(R34="",R33,R34),R35))</f>
        <v/>
      </c>
      <c r="HB35" s="1326" t="str">
        <f t="shared" ref="HB35:HB64" si="22">+IF(OR(SUM(GX35:HA35)=0,HA35="",ISERR(SUM(GX35:HA35))),"",SUM(GX35:HA35))</f>
        <v/>
      </c>
      <c r="HC35" s="1149" t="str">
        <f>+IF(OR(GU35="",IF(R35="",IF(R34="",R33,R34),R35)=""),"",GU35/IF(R35="",IF(R34="",R33,R34),R35))</f>
        <v/>
      </c>
      <c r="HD35" s="1150" t="str">
        <f>+IF(ISERR((HB35-HC35)/HB35),"",(HB35-HC35)/HB35)</f>
        <v/>
      </c>
      <c r="HE35" s="1147"/>
      <c r="HF35" s="3255" t="str">
        <f>+IF(OR(BB35="",GJ35=""),"",GJ35)</f>
        <v/>
      </c>
      <c r="HG35" s="1150" t="str">
        <f t="shared" ref="HG35:HG83" si="23">+IF(OR(HC35="",$CL35=""),"",HC35/$CL35)</f>
        <v/>
      </c>
      <c r="HH35" s="2974"/>
      <c r="HI35" s="3063"/>
      <c r="HJ35" s="3076"/>
      <c r="HK35" s="3076"/>
      <c r="HL35" s="3076"/>
      <c r="HM35" s="3089"/>
      <c r="HN35" s="1153" t="str">
        <f>+IF(ISERROR(HM35/IF(T35="",IF(T34="",IF(T33="",1,T33),T34),T35)),"",IF(FR35="","",HM35/IF(T35="",IF(T34="",IF(T33="",1,T33),T34),T35)))</f>
        <v/>
      </c>
      <c r="HO35" s="1151"/>
      <c r="HP35" s="1145"/>
      <c r="HQ35" s="1146" t="str">
        <f>+IF(FR35="","",IF(HH35="","",IF(HH35=3,$HQ$8*(HI35+HO35+HP35),"")))</f>
        <v/>
      </c>
      <c r="HR35" s="1152" t="str">
        <f>+IF(FR35="","",IF(HH35="","",IF(HH35=4,GB35,IF(HH35=3,$HR$8*HO35,IF(HH35=2,$HR$7*(HM35+HO35+HP35),IF(HH35=1,$HR$6*HM35,""))))))</f>
        <v/>
      </c>
      <c r="HS35" s="1152" t="str">
        <f>IF(FR35="","",SUM(HQ35:HR35))</f>
        <v/>
      </c>
      <c r="HT35" s="1151"/>
      <c r="HU35" s="1152"/>
      <c r="HV35" s="1151" t="str">
        <f>+IF(FR35="","",IF(HH35="","",IF(HH35=3,$HV$8*(HI35+HO35+HP35+HS35),"")))</f>
        <v/>
      </c>
      <c r="HW35" s="1152" t="str">
        <f>+IF(FR35="","",IF(HH35="","",IF(HH35=3,$HW$8*(HI35+HO35+HP35+HS35),"")))</f>
        <v/>
      </c>
      <c r="HX35" s="1151" t="str">
        <f t="shared" ref="HX35:HX50" si="24">+IF(HM35="","",IF(HM35="",0,HM35)+IF(HO35="",0,HO35)+IF(HP35="",0,HP35)+IF(HS35="",0,HS35)+IF(HT35="",0,HT35)+IF(HU35="",0,HU35)+IF(HV35="",0,HV35)+IF(HW35="",0,HW35))</f>
        <v/>
      </c>
      <c r="HY35" s="1145" t="str">
        <f>+IF(EZ35="","",EZ35/IF(R35="",IF(R34="",IF(R33="",1,R33),R34),R35))</f>
        <v/>
      </c>
      <c r="HZ35" s="1152" t="str">
        <f>+IF(FA35="","",FA35/IF(R35="",IF(R34="",IF(R33="",1,R33),R34),R35))</f>
        <v/>
      </c>
      <c r="IA35" s="1151" t="str">
        <f>+IF(HM35="","",HX35-IF(HY35="",0,HY35)+IF(HZ35="",0,HZ35))</f>
        <v/>
      </c>
      <c r="IB35" s="1146" t="str">
        <f t="shared" ref="IB35:IB51" si="25">+IF(BB35="","",IF(ISERROR(GF35-IA35),"",IF((GF35-IA35)&gt;0,"stk added + "&amp;ROUND((GF35-IA35)/GF35*100,0)&amp;"%",IF(GF35=IA35,"same TCC",(GF35-IA35)/GF35))))</f>
        <v/>
      </c>
      <c r="IC35" s="1153" t="str">
        <f>+IF(OR(IA35="",ISERROR(IA35/IF(T35="",IF(T34="",IF(T33="",1,T33),T34),T35))),"",IA35/IF(T35="",IF(T34="",IF(T33="",1,T33),T34),T35))</f>
        <v/>
      </c>
      <c r="ID35" s="1151"/>
      <c r="IE35" s="1146"/>
      <c r="IF35" s="4160" t="str">
        <f>+IF(GO35="","",GO35)</f>
        <v/>
      </c>
      <c r="IG35" s="6759"/>
      <c r="IH35" s="3076" t="str">
        <f>+IF(GP35="","",GP35)</f>
        <v/>
      </c>
      <c r="II35" s="4161"/>
      <c r="IJ35" s="4161" t="str">
        <f>+IF(ISERROR(IH35+IF35),"",IH35+IF35)</f>
        <v/>
      </c>
      <c r="IK35" s="1151"/>
      <c r="IL35" s="4205" t="str">
        <f>+IF(IF35="","",#REF!*IF35)</f>
        <v/>
      </c>
      <c r="IM35" s="4206" t="str">
        <f>IF(HM35="","",IK35*#REF!*IA35)</f>
        <v/>
      </c>
      <c r="IN35" s="4223"/>
      <c r="IO35" s="4223"/>
      <c r="IP35" s="4223"/>
      <c r="IQ35" s="7240"/>
      <c r="IR35" s="4223"/>
      <c r="IS35" s="7240"/>
      <c r="IT35" s="4223"/>
      <c r="IU35" s="4223"/>
      <c r="IV35" s="7258">
        <f t="shared" ref="IV35:IV38" si="26">+IF(D35="","",IF(IF(V35="",IF(V34="",IF(V33="",V32,V33),V34),V35)="Utility Boiler",2,1))</f>
        <v>1</v>
      </c>
      <c r="IW35" s="4206" t="str">
        <f>IF(IA35="","",$IW$5*IA35)</f>
        <v/>
      </c>
      <c r="IX35" s="4209" t="str">
        <f>+IF(ISERROR(IJ35+IL35+IM35+IW35),"",IJ35+IL35+IM35+IW35)</f>
        <v/>
      </c>
      <c r="IY35" s="1145"/>
      <c r="IZ35" s="1146"/>
      <c r="JA35" s="4153"/>
      <c r="JB35" s="1152"/>
      <c r="JC35" s="4315"/>
      <c r="JD35" s="4346" t="str">
        <f t="shared" ref="JD35:JD43" si="27">+IF(OR(IX35="",$CB35=""),"",IX35/$CB35)</f>
        <v/>
      </c>
      <c r="JE35" s="4350" t="str">
        <f t="shared" ref="JE35:JE43" si="28">+IF(OR(IX35="",$CL35=""),"",IX35/$CL35)</f>
        <v/>
      </c>
      <c r="JF35" s="7021" t="str">
        <f>+IF(D35="","",IF(T35="","",T35))</f>
        <v/>
      </c>
      <c r="JG35" s="7015"/>
      <c r="JH35" s="6952"/>
      <c r="JI35" s="6952"/>
      <c r="JJ35" s="6952"/>
      <c r="JK35" s="6952"/>
      <c r="JL35" s="6989"/>
      <c r="JM35" s="6988"/>
      <c r="JN35" s="1145"/>
      <c r="JO35" s="205"/>
      <c r="JP35" s="437"/>
      <c r="JQ35" s="437"/>
      <c r="JR35" s="205"/>
      <c r="JS35" s="4206"/>
      <c r="JT35" s="88">
        <f>+IF(BE35="","",IF(OR(BE35="SCR",BE35="New Eqp"),2,1))</f>
        <v>1</v>
      </c>
      <c r="JU35" s="7188">
        <f>+AV35</f>
        <v>324</v>
      </c>
      <c r="JV35" s="8359">
        <f>+AW35</f>
        <v>128717</v>
      </c>
      <c r="JW35" s="8386">
        <f>+IF(D35="","",CL35)</f>
        <v>0</v>
      </c>
      <c r="JX35" s="8415" t="str">
        <f t="shared" ref="JX35" si="29">+IF(OR(D35="",JU35=""),"",IF(JT35=2,24000/JU35,""))</f>
        <v/>
      </c>
      <c r="JY35" s="8451" t="str">
        <f>+IF(D35="","",IF(JT35=2,(#REF!*(1+#REF!)^JX35)/((1+#REF!)^JX35-1),""))</f>
        <v/>
      </c>
      <c r="JZ35" s="7189" t="str">
        <f t="shared" ref="JZ35" si="30">+IF(OR(D35="",JU35="",ISERROR(JF35)),"",IF(JT35=2,JF35*6180/83,""))</f>
        <v/>
      </c>
      <c r="KA35" s="8312">
        <f t="shared" ref="KA35:KA38" si="31">+IF(OR(D35="",JV35=""),"",IF(JT35=1,JV35*10^6/$KA$8/JU35,""))</f>
        <v>21673.469250301401</v>
      </c>
      <c r="KB35" s="8313">
        <f t="shared" ref="KB35:KB38" si="32">+IF(OR(D35="",KA35=""),"",IF(JT35=1,KA35*$KB$8,""))</f>
        <v>15171.42847521098</v>
      </c>
      <c r="KC35" s="8320">
        <f t="shared" ref="KC35:KC38" si="33">+IF(OR(D35="",KB35=""),"",IF(JT35=1,KB35*7.48/62.4/60,""))</f>
        <v>30.310439368209973</v>
      </c>
      <c r="KD35" s="8312">
        <f t="shared" ref="KD35" si="34">+IF(OR(D35="",JV35=""),"",IF(JT35=1,$KD$5*JU35*$KD$6/1000,$KD$7*JU35*$KD$8/1000))</f>
        <v>6288.192</v>
      </c>
      <c r="KE35" s="8323" t="str">
        <f t="shared" ref="KE35" si="35">+IF(OR(D35="",JW35="",JW35=0),"",IF(JT35=2,JW35*$KE$8*$KG$4,""))</f>
        <v/>
      </c>
      <c r="KF35" s="8323" t="str">
        <f t="shared" ref="KF35" si="36">+IF(OR(D35="",JW35="",JW35=0),"",IF(JT35=2,JW35*(0.95/0.05)*(18/17)*($KF$8/1000)*(2000)*$KG$4,""))</f>
        <v/>
      </c>
      <c r="KG35" s="8313">
        <f t="shared" ref="KG35" si="37">+IF(D35="","",IF(JT35=1,$KG$2*KC35/1000*60*JU35*$KG$4*$KG$6,IF(OR(JZ35="",JY35=""),"",JZ35*$KG$8*JY35*$KG$4)))</f>
        <v>8181.7192507913251</v>
      </c>
      <c r="KH35" s="8313" t="str">
        <f>IF(D35="","",IF(JT35=2,0.005*JF35*$KD$6/1000*1000*JU35,""))</f>
        <v/>
      </c>
      <c r="KI35" s="8313" t="str">
        <f>IF(D35="","",IF(JT35=2,0.1*0.005*JF35*$KD$6/1000*1000*JU35,""))</f>
        <v/>
      </c>
      <c r="KJ35" s="8313">
        <f t="shared" ref="KJ35" si="38">+IF(OR(D35="",JU35="",JV35=""),"",IF(JT35=1,KD35+KG35,KD35+KE35+KF35+KG35+KH35+KI35))</f>
        <v>14469.911250791325</v>
      </c>
      <c r="KK35" s="8313">
        <f>+IF(OR(D35="",JU35="",JV35=""),"",$KK$7*$KG$4*JU35)</f>
        <v>33989.932800000002</v>
      </c>
      <c r="KL35" s="8313" t="str">
        <f>+IF(OR(D35="",JU35="",JV35="",JS35=""),"",IF(JT35=1,$KL$7*JS35*JU35/$KL$8,$KL$7*IF(JN35="",JS35,JN35)*JU35/$KL$8))</f>
        <v/>
      </c>
      <c r="KM35" s="8313">
        <f t="shared" ref="KM35" si="39">+IF(D35="","",IF(KK35="",0,KK35)+IF(KL35="",0,KL35))</f>
        <v>33989.932800000002</v>
      </c>
      <c r="KN35" s="8313" t="str">
        <f>+IF(D35="","",IF(JX35&lt;41,$KN$8*JZ35*JY35,""))</f>
        <v/>
      </c>
      <c r="KO35" s="8313">
        <f t="shared" ref="KO35" si="40">+IF(OR(D35="",JU35="",JV35=""),"",IF(KM35="",0,KM35)+IF(KN35="",0,KN35))</f>
        <v>33989.932800000002</v>
      </c>
      <c r="KP35" s="7189">
        <f t="shared" ref="KP35" si="41">+IF(OR(D35="",JU35="",JV35=""),"",IF(KJ35="",0,KJ35)+IF(KO35="",0,KO35))</f>
        <v>48459.844050791326</v>
      </c>
      <c r="KQ35" s="7217">
        <f>+IF(D35="","",VLOOKUP(MATCH(BE35,ac_id,0),ad,ac!$F$8,FALSE)*JV35)</f>
        <v>901019</v>
      </c>
      <c r="KR35" s="7328">
        <f>+IF(D35="","",IF(JT35=1,VLOOKUP(MATCH(BE35,ac_id,0),ad,ac!$H$8,FALSE)*JU35, (VLOOKUP(MATCH(BE35,ac_id,0),ad,ac!$H$8,FALSE)*JU35^(1+VLOOKUP(MATCH(BE35,ac_id,0),ad,ac!$I$8,FALSE)))))</f>
        <v>81000</v>
      </c>
      <c r="KS35" s="1757">
        <f>+IF(D35="","",KQ35+KR35)</f>
        <v>982019</v>
      </c>
      <c r="KT35" s="7217">
        <f t="shared" ref="KT35" si="42">+IF(D35="","",IF(KK35="","",$KT$26*KM35))</f>
        <v>20393.95968</v>
      </c>
      <c r="KU35" s="2485" t="str">
        <f t="shared" ref="KU35" si="43">+IF(D35="","",IF(JS35="","",$KU$26*IF(JN35="",JS35,JN35)))</f>
        <v/>
      </c>
      <c r="KV35" s="7303">
        <f t="shared" ref="KV35" si="44">+IF(D35="","",IV35)</f>
        <v>1</v>
      </c>
      <c r="KW35" s="7338" t="str">
        <f t="shared" ref="KW35" si="45">IF(JS35="","",IF(KV35=1,$KW$5,IF(KV35=2,$KW$8,""))*JS35)</f>
        <v/>
      </c>
      <c r="KX35" s="1757" t="str">
        <f>+IF(D35="","",IF(KW35="","",IF(KT35="",0,KT35)+IF(KU35="",0,KU35)+KW35))</f>
        <v/>
      </c>
      <c r="KY35" s="1749" t="str">
        <f>+IF(D35="","",IF(KX35="","",IF(KP35="",0,KP35)+KX35))</f>
        <v/>
      </c>
      <c r="KZ35" s="7350"/>
      <c r="LA35" s="7351" t="str">
        <f>+IF(OR(KY35="",$CB35=""),"",KY35/$CB35)</f>
        <v/>
      </c>
      <c r="LB35" s="7352" t="str">
        <f>+IF(OR(KY35="",$CL35=""),"",KY35/$CL35)</f>
        <v/>
      </c>
      <c r="LC35" s="5356"/>
      <c r="LD35" s="5132"/>
      <c r="LE35" s="5132"/>
      <c r="LF35" s="5132"/>
      <c r="LG35" s="5132"/>
      <c r="LH35" s="5132"/>
      <c r="LI35" s="5132"/>
      <c r="LJ35" s="5132"/>
    </row>
    <row r="36" spans="1:322" s="13" customFormat="1" ht="25.5" customHeight="1">
      <c r="A36" s="5953" t="str">
        <f t="shared" ref="A36:A44" si="46">+O36</f>
        <v>8302-01</v>
      </c>
      <c r="B36" s="9303" t="str">
        <f>+IF(A36="","",VLOOKUP(MATCH(A36,tid,0),tao,'12(id)'!$J$20,FALSE))</f>
        <v>CRRA</v>
      </c>
      <c r="C36" s="6364" t="str">
        <f t="shared" ref="C36:C103" si="47">+Q36</f>
        <v>11A</v>
      </c>
      <c r="D36" s="1108" t="str">
        <f t="shared" ref="D36:D104" si="48">+BB36</f>
        <v>8302-01-01</v>
      </c>
      <c r="E36" s="823" t="str">
        <f>+IF(BD36="","",BD36)</f>
        <v>Selective Catalytic Reduction (SCR)</v>
      </c>
      <c r="F36" s="823" t="str">
        <f t="shared" ref="F36:F99" si="49">IF(BE36="","",BE36)</f>
        <v>SCR</v>
      </c>
      <c r="G36" s="5133"/>
      <c r="H36" s="5132"/>
      <c r="I36" s="5133"/>
      <c r="J36" s="719">
        <f>1+J35</f>
        <v>2</v>
      </c>
      <c r="K36" s="1016">
        <f>1+K35</f>
        <v>2</v>
      </c>
      <c r="L36" s="9646">
        <v>2</v>
      </c>
      <c r="M36" s="9646" t="str">
        <f>+IF(O36="","",VLOOKUP(MATCH(O36,tid,0),tao,'12(id)'!$I$20,FALSE))</f>
        <v>Connecticut Resources Recovery Authority</v>
      </c>
      <c r="N36" s="9644" t="s">
        <v>277</v>
      </c>
      <c r="O36" s="8670" t="s">
        <v>278</v>
      </c>
      <c r="P36" s="9646" t="str">
        <f>+IF(O36="","",VLOOKUP(MATCH(O36,tid,0),tao,'12(id)'!$L$20,FALSE))</f>
        <v>South Meadow Station</v>
      </c>
      <c r="Q36" s="8575" t="str">
        <f>+IF(ISERROR(MATCH(O36,tid,0)),"",VLOOKUP(MATCH(O36,tid,0),tao,'12(id)'!$Q$20,FALSE))</f>
        <v>11A</v>
      </c>
      <c r="R36" s="8670">
        <f>+IF(O36="","",VLOOKUP(MATCH(O36,tid,0),tao,'12(id)'!$U$20,FALSE))</f>
        <v>8</v>
      </c>
      <c r="S36" s="9644"/>
      <c r="T36" s="10319">
        <f>+IF(ISERROR(MATCH(O36,tid,0)),"",IF(VLOOKUP(MATCH(O36,tid,0),tao,'12(id)'!$CT$20,FALSE)="","",VLOOKUP(MATCH(O36,tid,0),tao,'12(id)'!$CT$20,FALSE)))</f>
        <v>40</v>
      </c>
      <c r="U36" s="10307">
        <f>+IF(ISERROR(MATCH(O36,tid,0)),"",IF(VLOOKUP(MATCH(O36,tid,0),tao,'12(id)'!$CU$20,FALSE)="","",VLOOKUP(MATCH(O36,tid,0),tao,'12(id)'!$CU$20,FALSE)))</f>
        <v>160</v>
      </c>
      <c r="V36" s="10313" t="str">
        <f>+IF(O36="","",IF(VLOOKUP(MATCH(O36,tid,0),tao,'12(id)'!$T$20,FALSE)="","",VLOOKUP(MATCH(O36,tid,0),tao,'12(id)'!$T$20,FALSE)))</f>
        <v>Combustion Turbine</v>
      </c>
      <c r="W36" s="415" t="str">
        <f>+IF(ISERROR(MATCH(O36,tid,0)),"",IF(VLOOKUP(MATCH(O36,tid,0),tao,'12(id)'!$CO$20,FALSE)="","",VLOOKUP(MATCH(O36,tid,0),tao,'12(id)'!$CO$20,FALSE)))</f>
        <v>Pratt &amp; Whitney</v>
      </c>
      <c r="X36" s="8624" t="str">
        <f>+IF(ISERROR(MATCH(O36,tid,0)),"",IF(VLOOKUP(MATCH(O36,tid,0),tao,'12(id)'!$CP$20,FALSE)="","",VLOOKUP(MATCH(O36,tid,0),tao,'12(id)'!$CP$20,FALSE)))</f>
        <v>TP4-2(A9) LF</v>
      </c>
      <c r="Y36" s="2423" t="str">
        <f>+IF(ISERROR(MATCH(O36,tid,0)),"",IF(VLOOKUP(MATCH(O36,tid,0),tao,'12(id)'!$CQ$20,FALSE)="","",VLOOKUP(MATCH(O36,tid,0),tao,'12(id)'!$CQ$20,FALSE)))</f>
        <v>TP</v>
      </c>
      <c r="Z36" s="72" t="str">
        <f>+IF(ISERROR(MATCH(O36,tid,0)),"",VLOOKUP(MATCH(O36,tid,0),tao,'12(id)'!$DB$20,FALSE)&amp;" "&amp;VLOOKUP(MATCH(O36,tid,0),tao,'12(id)'!$DC$20,FALSE))</f>
        <v xml:space="preserve"> 1970</v>
      </c>
      <c r="AA36" s="51" t="str">
        <f ca="1">+IF(ISERROR(MATCH(O36,tid,0)),"",IF(VLOOKUP(MATCH(O36,tid,0),tao,'12(id)'!$DE$20,FALSE)="","",ROUND(VLOOKUP(MATCH(O36,tid,0),tao,'12(id)'!$DE$20,FALSE),0)&amp;" yrs"))</f>
        <v>45 yrs</v>
      </c>
      <c r="AB36" s="37" t="str">
        <f>+IF(ISERROR(MATCH(O36,tid,0)),"",VLOOKUP(MATCH(O36,tid,0),tao,'12(id)'!$DI$20,FALSE))</f>
        <v>Jet Fuel A (Kerosene K1)</v>
      </c>
      <c r="AC36" s="37" t="str">
        <f>+IF(ISERROR(MATCH(O36,tid,0)),"",IF(VLOOKUP(MATCH(O36,tid,0),tao,'12(id)'!$DQ$20,FALSE)="","",VLOOKUP(MATCH(O36,tid,0),tao,'12(id)'!$DQ$20,FALSE)))</f>
        <v>No. 2 oil</v>
      </c>
      <c r="AD36" s="114">
        <f>+IF(ISERROR(MATCH(O36,tid,0)),"",IF(VLOOKUP(MATCH(O36,tid,0),tao,'12(id)'!$EI$20,FALSE)="","",VLOOKUP(MATCH(O36,tid,0),tao,'12(id)'!$EI$20,FALSE)))</f>
        <v>0.67500000000000004</v>
      </c>
      <c r="AE36" s="114">
        <f>+IF(ISERROR(MATCH(O36,tid,0)),"",IF(VLOOKUP(MATCH(O36,tid,0),tao,'12(id)'!$EJ$20,FALSE)="","",VLOOKUP(MATCH(O36,tid,0),tao,'12(id)'!$EJ$20,FALSE)))</f>
        <v>132.5</v>
      </c>
      <c r="AF36" s="10670">
        <f>+IF(ISERROR(MATCH(O36,tid,0)),"",IF(VLOOKUP(MATCH(O36,tid,0),tao,'12(id)'!$EL$20,FALSE)="","",VLOOKUP(MATCH(O36,tid,0),tao,'12(id)'!$EL$20,FALSE)))</f>
        <v>0.81</v>
      </c>
      <c r="AG36" s="10690" t="str">
        <f>+IF(ISERROR(MATCH(O36,tid,0)),"",IF(VLOOKUP(MATCH(O36,tid,0),tao,'12(id)'!$EM$20,FALSE)="","",VLOOKUP(MATCH(O36,tid,0),tao,'12(id)'!$EM$20,FALSE)))</f>
        <v/>
      </c>
      <c r="AH36" s="10756" t="s">
        <v>561</v>
      </c>
      <c r="AI36" s="10681">
        <v>48</v>
      </c>
      <c r="AJ36" s="958"/>
      <c r="AK36" s="958"/>
      <c r="AL36" s="958"/>
      <c r="AM36" s="959"/>
      <c r="AN36" s="10768" t="s">
        <v>558</v>
      </c>
      <c r="AO36" s="10310" t="str">
        <f>+IF(ISERROR(MATCH(O36,tid,0)),"",IF(VLOOKUP(MATCH(O36,tid,0),tao,'12(id)'!$GY$20,FALSE)="","",VLOOKUP(MATCH(O36,tid,0),tao,'12(id)'!$GY$20,FALSE)))</f>
        <v/>
      </c>
      <c r="AP36" s="4040" t="str">
        <f>+IF($BB36="","",IF(VLOOKUP(MATCH(O36,tid,0),tao,'12(id)'!$HE$20,FALSE)="","",VLOOKUP(MATCH(O36,tid,0),tao,'12(id)'!$HE$20,FALSE)))</f>
        <v/>
      </c>
      <c r="AQ36" s="10310" t="str">
        <f>+IF(ISERROR(VLOOKUP(MATCH(O36,tid,0),tao,'12(id)'!$HF$20,FALSE)),"",VLOOKUP(MATCH(O36,tid,0),tao,'12(id)'!$HF$20,FALSE))</f>
        <v/>
      </c>
      <c r="AR36" s="10335">
        <f>+IF(ISERROR(MATCH(O36,tid,0)),"",IF(VLOOKUP(MATCH(O36,tid,0),tao,'12(id)'!$HJ$20,FALSE)="","",VLOOKUP(MATCH(O36,tid,0),tao,'12(id)'!$HJ$20,FALSE)))</f>
        <v>0.73049999999999993</v>
      </c>
      <c r="AS36" s="10338">
        <f>+IF(ISERROR(MATCH(O36,tid,0)),"",IF(VLOOKUP(MATCH(O36,tid,0),tao,'12(id)'!$HK$20,FALSE)="","",VLOOKUP(MATCH(O36,tid,0),tao,'12(id)'!$HK$20,FALSE)))</f>
        <v>129.36842099334265</v>
      </c>
      <c r="AT36" s="10661" t="str">
        <f>+IF(ISERROR(MATCH(O36,tid,0)),"",IF(VLOOKUP(MATCH(O36,tid,0),tao,'12(id)'!$HM$20,FALSE)="","",VLOOKUP(MATCH(O36,tid,0),tao,'12(id)'!$HM$20,FALSE)))</f>
        <v/>
      </c>
      <c r="AU36" s="10361" t="s">
        <v>1380</v>
      </c>
      <c r="AV36" s="10776">
        <f>+IF(BC36="","",IF(OR(O36="",O37="",O38="",O39="",O40="",O41="",O42="",O43=""),"",MAX(VLOOKUP(MATCH(O36,em_id,0),em,'5(em)'!$CX$18,FALSE),VLOOKUP(MATCH(O37,em_id,0),em,'5(em)'!$CX$18,FALSE),VLOOKUP(MATCH(O38,em_id,0),em,'5(em)'!$CX$18,FALSE),VLOOKUP(MATCH(O39,em_id,0),em,'5(em)'!$CX$18,FALSE),VLOOKUP(MATCH(O40,em_id,0),em,'5(em)'!$CX$18,FALSE),VLOOKUP(MATCH(O41,em_id,0),em,'5(em)'!$CX$18,FALSE),VLOOKUP(MATCH(O42,em_id,0),em,'5(em)'!$CX$18,FALSE),VLOOKUP(MATCH(O43,em_id,0),em,'5(em)'!$CX$18,FALSE))))</f>
        <v>19</v>
      </c>
      <c r="AW36" s="10391">
        <f>+IF(BC36="","",IF(OR(O36="",O37="",O38="",O39="",O40="",O41="",O42="",O43=""),"",MAX(VLOOKUP(MATCH(O36,em_id,0),em,'5(em)'!$CZ$18,FALSE),VLOOKUP(MATCH(O37,em_id,0),em,'5(em)'!$CZ$18,FALSE),VLOOKUP(MATCH(O38,em_id,0),em,'5(em)'!$CZ$18,FALSE),VLOOKUP(MATCH(O39,em_id,0),em,'5(em)'!$CZ$18,FALSE),VLOOKUP(MATCH(O40,em_id,0),em,'5(em)'!$CZ$18,FALSE),VLOOKUP(MATCH(O41,em_id,0),em,'5(em)'!$CZ$18,FALSE),VLOOKUP(MATCH(O42,em_id,0),em,'5(em)'!$CZ$18,FALSE),VLOOKUP(MATCH(O43,em_id,0),em,'5(em)'!$CZ$18,FALSE))))</f>
        <v>3819</v>
      </c>
      <c r="AX36" s="10394">
        <f t="shared" ref="AX36:AX104" si="50">+IF(OR(AW36="",AZ36=""),"",ROUND(2000*AZ36/AW36,2))</f>
        <v>0.79</v>
      </c>
      <c r="AY36" s="10395">
        <f>+AX36*AS36/AR36</f>
        <v>139.90561613243079</v>
      </c>
      <c r="AZ36" s="10397">
        <f>+IF(BC36="","",IF(OR(O36="",O37="",O38="",O39="",O40="",O41="",O42="",O43=""),"",MAX(VLOOKUP(MATCH(O36,em_id,0),em,'5(em)'!$DA$18,FALSE),VLOOKUP(MATCH(O37,em_id,0),em,'5(em)'!$DA$18,FALSE),VLOOKUP(MATCH(O38,em_id,0),em,'5(em)'!$DA$18,FALSE),VLOOKUP(MATCH(O39,em_id,0),em,'5(em)'!$DA$18,FALSE),VLOOKUP(MATCH(O40,em_id,0),em,'5(em)'!$DA$18,FALSE),VLOOKUP(MATCH(O41,em_id,0),em,'5(em)'!$DA$18,FALSE),VLOOKUP(MATCH(O42,em_id,0),em,'5(em)'!$DA$18,FALSE),VLOOKUP(MATCH(O43,em_id,0),em,'5(em)'!DA$18,FALSE))))</f>
        <v>1.5</v>
      </c>
      <c r="BA36" s="821"/>
      <c r="BB36" s="1019" t="str">
        <f t="shared" si="11"/>
        <v>8302-01-01</v>
      </c>
      <c r="BC36" s="822">
        <v>1</v>
      </c>
      <c r="BD36" s="823" t="str">
        <f>+IF(OR(D36="",VLOOKUP(MATCH(D36,op_id,0),op,'7(op)'!$T$18,FALSE)=""),"",VLOOKUP(MATCH(D36,op_id,0),op,'7(op)'!$T$18,FALSE))</f>
        <v>Selective Catalytic Reduction (SCR)</v>
      </c>
      <c r="BE36" s="1346" t="s">
        <v>1093</v>
      </c>
      <c r="BF36" s="1346" t="s">
        <v>1862</v>
      </c>
      <c r="BG36" s="824"/>
      <c r="BH36" s="825" t="s">
        <v>561</v>
      </c>
      <c r="BI36" s="826"/>
      <c r="BJ36" s="1018"/>
      <c r="BK36" s="1018"/>
      <c r="BL36" s="1018"/>
      <c r="BM36" s="1018"/>
      <c r="BN36" s="826" t="str">
        <f t="shared" si="12"/>
        <v/>
      </c>
      <c r="BO36" s="827" t="str">
        <f t="shared" si="13"/>
        <v/>
      </c>
      <c r="BP36" s="828" t="str">
        <f t="shared" si="14"/>
        <v/>
      </c>
      <c r="BQ36" s="829" t="str">
        <f t="shared" si="15"/>
        <v/>
      </c>
      <c r="BR36" s="830" t="s">
        <v>841</v>
      </c>
      <c r="BS36" s="3429" t="s">
        <v>1892</v>
      </c>
      <c r="BT36" s="831"/>
      <c r="BU36" s="3731" t="str">
        <f>+IF(BB36="","",IF(VLOOKUP(MATCH(BB36,ef_id,0),ef,'11(eff)'!$Z$23,FALSE)="","",VLOOKUP(MATCH(BB36,ef_id,0),ef,'11(eff)'!$Z$23,FALSE)))</f>
        <v/>
      </c>
      <c r="BV36" s="3736" t="str">
        <f>+IF(BB36="","",IF(VLOOKUP(MATCH(BB36,ef_id,0),ef,'11(eff)'!$AA$23,FALSE)="","",VLOOKUP(MATCH(BB36,ef_id,0),ef,'11(eff)'!$AA$23,FALSE)))</f>
        <v/>
      </c>
      <c r="BW36" s="832"/>
      <c r="BX36" s="3795" t="str">
        <f>+IF(OR(BB36="",BW36=""),"",BW36/IF(R36="",IF(R35="",R34,R35),R36))</f>
        <v/>
      </c>
      <c r="BY36" s="3825" t="str">
        <f>+IF($BB36="","",IF(BU36="","",BU36/2000*IF(AQ36="",IF(AQ35="",AQ34,AQ35),AQ36)))</f>
        <v/>
      </c>
      <c r="BZ36" s="3402">
        <v>9.2070000000000007</v>
      </c>
      <c r="CA36" s="3430">
        <f>+IF(BB36="","",IF(BZ36="","",BZ36/IF(R36="",IF(R35="",R34,R35),R36)))</f>
        <v>1.1508750000000001</v>
      </c>
      <c r="CB36" s="3836">
        <f>+IF(OR(BX36="",BX36=0),IF(CA36="",IF(GJ36="","",GI36/GJ36/IF(R36="",IF(R35="",R34,R35),R36)),CA36),IF(AT36="",IF(AT35="",AT34,AT35),AT36)-BX36)</f>
        <v>1.1508750000000001</v>
      </c>
      <c r="CC36" s="3887" t="str">
        <f>+IF(OR($BB36="",BW36=""),"",IF(CB36="",IF(CD36="",IF(CD36="",IF(CE36="","",CE36)),CD36),CB36/IF($AT36="",IF($AT35="",$AT34,$AT35),$AT36)))</f>
        <v/>
      </c>
      <c r="CD36" s="3887" t="str">
        <f>+IF($BB36="","",IF(BU36="","",(1-BU36/IF(AR36="",IF(AR35="",AR34,AR35),AR36))))</f>
        <v/>
      </c>
      <c r="CE36" s="3894">
        <f>+IF(BB36="","",IF(VLOOKUP(MATCH(BB36,ef_id,0),ef,'11(eff)'!$AE$23,FALSE)="","",VLOOKUP(MATCH(BB36,ef_id,0),ef,'11(eff)'!$AE$23,FALSE)))</f>
        <v>0.9</v>
      </c>
      <c r="CF36" s="666" t="s">
        <v>1601</v>
      </c>
      <c r="CG36" s="831"/>
      <c r="CH36" s="2390"/>
      <c r="CI36" s="3836">
        <f>+IF(BB36="","",$AZ$36/$AW$36*2000*(1-CO36))</f>
        <v>7.8554595443833461E-2</v>
      </c>
      <c r="CJ36" s="4057">
        <f>+IF($AY$36="","",$AY$36*(1-CO36))</f>
        <v>13.990561613243075</v>
      </c>
      <c r="CK36" s="3836">
        <f>+IF($BB36="","",IF(CI36="",$AZ$36-CL36,CI36/2000*$AW$36))</f>
        <v>0.15</v>
      </c>
      <c r="CL36" s="3402">
        <f>+IF($BB36="","",IF(CI36="",CO36*$AZ$36,IF(CK36="","",$AZ$36-CK36)))</f>
        <v>1.35</v>
      </c>
      <c r="CM36" s="3986">
        <f>+IF($BB36="","",IF(CL36="","",CL36/$AZ$36))</f>
        <v>0.9</v>
      </c>
      <c r="CN36" s="3986">
        <f>+IF($BB36="","",IF(CI36="","",(1-CI36/$AX$36)))</f>
        <v>0.90056380323565388</v>
      </c>
      <c r="CO36" s="3987">
        <f>+IF(BB36="","",IF(VLOOKUP(MATCH(BB36,ef_id,0),ef,'11(eff)'!$AE$23,FALSE)="","",VLOOKUP(MATCH(BB36,ef_id,0),ef,'11(eff)'!$AE$23,FALSE)))</f>
        <v>0.9</v>
      </c>
      <c r="CP36" s="3988"/>
      <c r="CQ36" s="1367" t="str">
        <f t="shared" ref="CQ36:CQ102" si="51">+IF(BD36="","",BD36)</f>
        <v>Selective Catalytic Reduction (SCR)</v>
      </c>
      <c r="CR36" s="833"/>
      <c r="CS36" s="2746">
        <f>+'A2(sm)'!H28</f>
        <v>18266776</v>
      </c>
      <c r="CT36" s="1574">
        <f>+R36*(SUM('A2(sm)'!F7:F14)+'A2(sm)'!F16+('A2(sm)'!F15+'A2(sm)'!F17)/2+SUM('A2(sm)'!F18:F21))</f>
        <v>4825520</v>
      </c>
      <c r="CU36" s="1482">
        <f>+R36*SUM('A2(sm)'!F7:F9)</f>
        <v>2272880</v>
      </c>
      <c r="CV36" s="1761">
        <f t="shared" si="16"/>
        <v>626000</v>
      </c>
      <c r="CW36" s="1762">
        <f>+R36*('A2(sm)'!F16+'A2(sm)'!F17/2)</f>
        <v>547200</v>
      </c>
      <c r="CX36" s="1762">
        <f>+R36*SUM('A2(sm)'!F20:F21)</f>
        <v>158400</v>
      </c>
      <c r="CY36" s="1763"/>
      <c r="CZ36" s="2459">
        <f>+R36*SUM('A2(sm)'!F12:F13)</f>
        <v>1008000</v>
      </c>
      <c r="DA36" s="2431"/>
      <c r="DB36" s="2431">
        <f>+R36*SUM('A2(sm)'!F10:F11)</f>
        <v>213040</v>
      </c>
      <c r="DC36" s="1761"/>
      <c r="DD36" s="1765"/>
      <c r="DE36" s="1766"/>
      <c r="DF36" s="1767"/>
      <c r="DG36" s="1767"/>
      <c r="DH36" s="1765"/>
      <c r="DI36" s="1678">
        <f>+IF(CT36="","",SUM(CU36:DC36)+SUM(DE36:DF36))</f>
        <v>4825520</v>
      </c>
      <c r="DJ36" s="1924"/>
      <c r="DK36" s="1574"/>
      <c r="DL36" s="1482"/>
      <c r="DM36" s="1761" t="str">
        <f t="shared" si="17"/>
        <v/>
      </c>
      <c r="DN36" s="1762"/>
      <c r="DO36" s="1762"/>
      <c r="DP36" s="1763"/>
      <c r="DQ36" s="2459"/>
      <c r="DR36" s="2431"/>
      <c r="DS36" s="2431"/>
      <c r="DT36" s="1761"/>
      <c r="DU36" s="1765"/>
      <c r="DV36" s="1766"/>
      <c r="DW36" s="1767"/>
      <c r="DX36" s="1767"/>
      <c r="DY36" s="1765"/>
      <c r="DZ36" s="1678" t="str">
        <f t="shared" si="18"/>
        <v/>
      </c>
      <c r="EA36" s="1924"/>
      <c r="EB36" s="1482">
        <f t="shared" si="19"/>
        <v>4825520</v>
      </c>
      <c r="EC36" s="1948">
        <v>1.3</v>
      </c>
      <c r="ED36" s="1402">
        <f t="shared" si="20"/>
        <v>6273176</v>
      </c>
      <c r="EE36" s="1764">
        <f>+R36*'A2(sm)'!F22/2</f>
        <v>160000</v>
      </c>
      <c r="EF36" s="2431">
        <v>9000000</v>
      </c>
      <c r="EG36" s="1763"/>
      <c r="EH36" s="1678">
        <f>+IF(OR(BB36="",EB36=""),"",SUM(EE36:EG36))</f>
        <v>9160000</v>
      </c>
      <c r="EI36" s="1766"/>
      <c r="EJ36" s="1767"/>
      <c r="EK36" s="1993"/>
      <c r="EL36" s="1442"/>
      <c r="EM36" s="1766"/>
      <c r="EN36" s="1767">
        <f>+R36*'A2(sm)'!H23/2</f>
        <v>920000</v>
      </c>
      <c r="EO36" s="1993"/>
      <c r="EP36" s="1678">
        <f t="shared" si="21"/>
        <v>920000</v>
      </c>
      <c r="EQ36" s="1678"/>
      <c r="ER36" s="1678"/>
      <c r="ES36" s="1678"/>
      <c r="ET36" s="1442">
        <f>+R36*'A2(sm)'!H24/2</f>
        <v>1913600</v>
      </c>
      <c r="EU36" s="1154"/>
      <c r="EV36" s="1377"/>
      <c r="EW36" s="2566"/>
      <c r="EX36" s="2566"/>
      <c r="EY36" s="2673">
        <f>+IF(BB36="","",(IF(ED36="",0,ED36)+IF(EH36="",0,EH36)+IF(EP36="",0,EP36)+IF(ET36="",0,ET36)+IF(EW36="",0,EW36)+IF(EX36="",0,EX36)))</f>
        <v>18266776</v>
      </c>
      <c r="EZ36" s="2702"/>
      <c r="FA36" s="1377"/>
      <c r="FB36" s="2432">
        <f>+IF(BB36="","",(IF(EY36="",0,EY36)+IF(FA36="",0,FA36)-IF(EZ36="",0,EZ36)))</f>
        <v>18266776</v>
      </c>
      <c r="FC36" s="1719">
        <f>+IF(OR(ED36="",IF(R36="",IF(R35="",R34,R35),R36)=""),"",ED36/IF(R36="",IF(R35="",R34,R35),R36))</f>
        <v>784147</v>
      </c>
      <c r="FD36" s="2039">
        <f>+IF(OR(BB36="",IF(R36="",IF(R35="",R34,R35),R36)="",(CU36+DL36)=0),"",(CU36+DL36)/IF(R36="",IF(R35="",R34,R35),R36))</f>
        <v>284110</v>
      </c>
      <c r="FE36" s="2022">
        <f>+IF(OR(FC36="",FC36=0,FD36=""),"",FD36/FC36)</f>
        <v>0.36231726959358385</v>
      </c>
      <c r="FF36" s="2039">
        <f>+IF(OR(BB36="",CT36="",IF(R36="",IF(R35="",R34,R35),R36)=""),"",(SUM(CV36:CZ36)+(IF(DM36="",0,DM36)+SUM(DN36:DQ36)))/IF(R36="",IF(R35="",R34,R35),R36))</f>
        <v>292450</v>
      </c>
      <c r="FG36" s="2022">
        <f>+IF(OR(BB36="",ISERROR(FF36/FC36)),"",FF36/FC36)</f>
        <v>0.37295303049045653</v>
      </c>
      <c r="FH36" s="2039">
        <f>+IF(OR(BB36="",IF(R36="",IF(R35="",R34,R35),R36)="",),"",(DA36+DR36)/IF(R36="",IF(R35="",R34,R35),R36))</f>
        <v>0</v>
      </c>
      <c r="FI36" s="2022">
        <f>+IF(OR(FC36="",FC36=0,FH36=""),"",FH36/FC36)</f>
        <v>0</v>
      </c>
      <c r="FJ36" s="2789">
        <f>+IF(OR(BB36="",CT36=""),"",IF(FD36="",0,FD36)+IF(FF36="",0,FF36)+IF(FH36="",0,FH36))</f>
        <v>576560</v>
      </c>
      <c r="FK36" s="2798">
        <f>+IF(OR(BB36="",ISERROR(FJ36/FC36)),"",FJ36/FC36)</f>
        <v>0.73527030008404037</v>
      </c>
      <c r="FL36" s="2039">
        <f>+IF(OR(BB36="",CT36="",IF(R36="",IF(R35="",R34,R35),R36)=""),"",(DB36+DC36+DS36+DT36)/IF(R36="",IF(R35="",R34,R35),R36))</f>
        <v>26630</v>
      </c>
      <c r="FM36" s="2022">
        <f>+IF(OR(BB36="",ISERROR(FL36/FC36)),"",FL36/FC36)</f>
        <v>3.3960469146728865E-2</v>
      </c>
      <c r="FN36" s="2039">
        <f>+IF(OR(BB36="",CT36="",IF(R36="",IF(R35="",R34,R35),R36)=""),"",(DD36+DU36)/IF(R36="",IF(R35="",R34,R35),R36))</f>
        <v>0</v>
      </c>
      <c r="FO36" s="2022">
        <f>+IF(OR(BB36="",ISERROR(FN36/FC36)),"",FN36/FC36)</f>
        <v>0</v>
      </c>
      <c r="FP36" s="2039">
        <f>+IF(OR(BB36="",CT36="",IF(R36="",IF(R35="",R34,R35),R36)=""),"",(DG36+DH36+DX36+DY36)/IF(R36="",IF(R35="",R34,R35),R36))</f>
        <v>0</v>
      </c>
      <c r="FQ36" s="2022">
        <f>+IF(OR(BB36="",ISERROR(FL36/FC36)),"",FP36/FC36)</f>
        <v>0</v>
      </c>
      <c r="FR36" s="3390">
        <f>+IF(OR(BB36="",IF(R36="",IF(R35="",R34,R35),R36)="",(IF(DI36="",0,DI36)+IF(DZ36="",0,DZ36))=0),"",(IF(DI36="",0,DI36)+IF(DZ36="",0,DZ36))/IF(R36="",IF(R35="",R34,R35),R36))</f>
        <v>603190</v>
      </c>
      <c r="FS36" s="2860" t="str">
        <f>+IF(OR(DJ36="",IF(R36="",IF(R35="",R34,R35),R36)=""),"",(DJ36+EA36)/IF(R36="",IF(R35="",R34,R35),R36))</f>
        <v/>
      </c>
      <c r="FT36" s="2055" t="str">
        <f>+IF(OR(BB36="",ISERROR(FS36/FR36)),"",FS36/FR36)</f>
        <v/>
      </c>
      <c r="FU36" s="2815">
        <f>+IF(OR(BB36="",ISERROR(1-(FR36+IF(FS36="",0,FS36)+FN36+FP36)*IF(R36="",IF(R35="",R34,R35),R36)/(CT36+DK36))),"",1-(FR36+IF(FS36="",0,FS36)+FN36+FP36)*IF(R36="",IF(R35="",R34,R35),R36)/(CT36+DK36))</f>
        <v>0</v>
      </c>
      <c r="FV36" s="2445">
        <f>+IF(FC36="","",FC36/IF(OR(ISTEXT(T36),T36=""),IF(OR(ISTEXT(T35),T35=""),IF(OR(ISTEXT(T34),T34=""),1,T34),T35),T36))</f>
        <v>19603.674999999999</v>
      </c>
      <c r="FW36" s="2077">
        <f>+IF(OR(EH36="",IF(R36="",IF(R35="",R34,R35),R36)=""),"",EH36/IF(R36="",IF(R35="",R34,R35),R36))</f>
        <v>1145000</v>
      </c>
      <c r="FX36" s="2078">
        <f>+IF(ISERR(FW36/$FC36),"",FW36/$FC36)</f>
        <v>1.4601853989111735</v>
      </c>
      <c r="FY36" s="2077">
        <f>+IF(OR(EP36="",IF(R36="",IF(R35="",R34,R35),R36)=""),"",EP36/IF(R36="",IF(R35="",R34,R35),R36))</f>
        <v>115000</v>
      </c>
      <c r="FZ36" s="2078">
        <f>+IF(ISERR(FY36/$FC36),"",FY36/$FC36)</f>
        <v>0.14665617543649342</v>
      </c>
      <c r="GA36" s="2078" t="str">
        <f>+IF(IF(V36="",V35,V36)="Utility Boiler",IF(ISERR(FY36/(FC36+FW36)),"",FY36/(FC36+FW36)),"")</f>
        <v/>
      </c>
      <c r="GB36" s="2077">
        <f>+IF(OR(ET36="",IF(R36="",IF(R35="",R34,R35),R36)=""),"",ET36/IF(R36="",IF(R35="",R34,R35),R36))</f>
        <v>239200</v>
      </c>
      <c r="GC36" s="2078">
        <f>+IF(ISERR(GB36/$FC36),"",GB36/$FC36)</f>
        <v>0.30504484490790629</v>
      </c>
      <c r="GD36" s="2078" t="str">
        <f>+IF(IF(V36="",V35,V36)="Utility Boiler",IF(ISERR(GB36/($FC36)),"",GB36/(FC36+FW36+FY36)),"")</f>
        <v/>
      </c>
      <c r="GE36" s="1604">
        <f>+IF(OR(FB36="",IF(R36="",IF(R35="",R34,R35),R36)=""),"",FB36/IF(R36="",IF(R35="",R34,R35),R36))</f>
        <v>2283347</v>
      </c>
      <c r="GF36" s="2130">
        <f>+IF(FB36="","",(IF(FA36="",0,FA36)-IF(EZ36="",0,EZ36))+(IF(EU36="",0,EU36)+IF(EV36="",0,EV36)+(IF(EW36="",0,EW36)+IF(EX36="",0,EX36))/IF(R36="",IF(R35="",R34,R35),R36)+IF(FC36="",0,FC36)+IF(FW36="",0,FW36)+IF(FY36="",0,FY36)+IF(GB36="",0,GB36)))</f>
        <v>2283347</v>
      </c>
      <c r="GG36" s="2153">
        <f>+IF(OR(CS36="",IF(R36="",IF(R35="",R34,R35),R36)="",GF36=0),"",1-(CS36/IF(R36="",IF(R35="",R34,R35),R36))/GF36)</f>
        <v>0</v>
      </c>
      <c r="GH36" s="1396">
        <f>+IF(ISERROR(GF36/IF(T36="",IF(T35="",T34,T35),T36)),"",IF(IF(T36="",IF(T35="",T34,T35),T36)="","",IF(GF36="","",GF36/IF(T36="",IF(T35="",T34,T35),T36))))</f>
        <v>57083.675000000003</v>
      </c>
      <c r="GI36" s="1604">
        <f>+'A2(sm)'!AC7</f>
        <v>4467166.0703999996</v>
      </c>
      <c r="GJ36" s="3232">
        <f>+'A2(sm)'!AE7</f>
        <v>485192.3612903225</v>
      </c>
      <c r="GK36" s="3433">
        <f>+IF(OR(BB36="",GJ36=""),"",IF(CB36="",1,CB36*IF(R36="",IF(R35="",R34,R35),R36)))</f>
        <v>9.2070000000000007</v>
      </c>
      <c r="GL36" s="3209">
        <f>+IF(OR(BB36="",GI36="",GJ36=""),"",(GJ36-GI36/GK36)/GJ36)</f>
        <v>0</v>
      </c>
      <c r="GM36" s="1156">
        <v>0</v>
      </c>
      <c r="GN36" s="1158">
        <f>+GM36*GF36</f>
        <v>0</v>
      </c>
      <c r="GO36" s="2271">
        <f>+'A2(sm)'!AC24</f>
        <v>167167</v>
      </c>
      <c r="GP36" s="2272"/>
      <c r="GQ36" s="2207">
        <f>+IF(GP36+GO36=0,"",GP36+GO36)</f>
        <v>167167</v>
      </c>
      <c r="GR36" s="2207"/>
      <c r="GS36" s="2207"/>
      <c r="GT36" s="2207">
        <f>+'A2(sm)'!W15</f>
        <v>4299999.0703999996</v>
      </c>
      <c r="GU36" s="2200">
        <f>+IF(OR(SUM(GQ36:GT36)=0,GT36=""),IF(GK36=1,GJ36*GK36,IF(GI36="","",GI36)),SUM(GQ36:GT36))</f>
        <v>4467166.0703999996</v>
      </c>
      <c r="GV36" s="1157">
        <f>+IF(OR(GO36="",IF(R36="",IF(R35="",R34,R35),R36)=""),"",GO36/IF(R36="",IF(R35="",R34,R35),R36))</f>
        <v>20895.875</v>
      </c>
      <c r="GW36" s="2237" t="str">
        <f>+IF(OR(GP36="",IF(R36="",IF(R35="",R34,R35),R36)=""),"",GP36/IF(R36="",IF(R35="",R34,R35),R36))</f>
        <v/>
      </c>
      <c r="GX36" s="2207">
        <f>+IF(OR(GQ36="",IF(R36="",IF(R35="",R34,R35),R36)=""),"",GQ36/IF(R36="",IF(R35="",R34,R35),R36))</f>
        <v>20895.875</v>
      </c>
      <c r="GY36" s="2207" t="str">
        <f>+IF(OR(GR36="",IF(R36="",IF(R35="",R34,R35),R36)=""),"",GR36/IF(R36="",IF(R35="",R34,R35),R36))</f>
        <v/>
      </c>
      <c r="GZ36" s="2207" t="str">
        <f>+IF(OR(GS36="",IF(R36="",IF(R35="",R34,R35),R36)=""),"",GS36/IF(R36="",IF(R35="",R34,R35),R36))</f>
        <v/>
      </c>
      <c r="HA36" s="2207">
        <f>+IF(OR(GT36="",IF(R36="",IF(R35="",R34,R35),R36)=""),"",GT36/IF(R36="",IF(R35="",R34,R35),R36))</f>
        <v>537499.88379999995</v>
      </c>
      <c r="HB36" s="1327">
        <f t="shared" si="22"/>
        <v>558395.75879999995</v>
      </c>
      <c r="HC36" s="1157">
        <f>+IF(OR(GU36="",IF(R36="",IF(R35="",R34,R35),R36)=""),"",GU36/IF(R36="",IF(R35="",R34,R35),R36))</f>
        <v>558395.75879999995</v>
      </c>
      <c r="HD36" s="3461">
        <f>+IF(ISERR((HB36-HC36)/HB36),"",(HB36-HC36)/HB36)</f>
        <v>0</v>
      </c>
      <c r="HE36" s="1159"/>
      <c r="HF36" s="3189">
        <f>+IF(OR(BB36="",GJ36=""),"",GJ36)</f>
        <v>485192.3612903225</v>
      </c>
      <c r="HG36" s="1158">
        <f t="shared" si="23"/>
        <v>413626.48799999995</v>
      </c>
      <c r="HH36" s="2975">
        <f>+IF(BF36="","",VALUE(LEFT(BF36,1)))</f>
        <v>4</v>
      </c>
      <c r="HI36" s="3057">
        <f>+IF(FR36="","",FR36)</f>
        <v>603190</v>
      </c>
      <c r="HJ36" s="3070">
        <f>+IF(FP36="","",FP36)</f>
        <v>0</v>
      </c>
      <c r="HK36" s="3070">
        <f>+IF(FN36="","",FN36)</f>
        <v>0</v>
      </c>
      <c r="HL36" s="3070" t="str">
        <f>+IF(FR36="","",IF(HH36="","",IF(HH36=4,FS36,IF(HH36=3,FS36,IF(HH36=2,$HL$7*HI36,IF(HH36=1,$HL$6*HI36,""))))))</f>
        <v/>
      </c>
      <c r="HM36" s="3083">
        <f>IF(FR36="","",SUM(HI36:HL36))</f>
        <v>603190</v>
      </c>
      <c r="HN36" s="1163">
        <f>+IF(ISERROR(HM36/IF(T36="",IF(T35="",IF(T34="",1,T34),T35),T36)),"",IF(FR36="","",HM36/IF(T36="",IF(T35="",IF(T34="",1,T34),T35),T36)))</f>
        <v>15079.75</v>
      </c>
      <c r="HO36" s="1160">
        <f>+IF(FR36="","",IF(HH36="","",IF(HH36=4,FW36,IF(HH36=3,FW36,IF(HH36=2,$HO$7*HM36,IF(HH36=1,$HO$6*HM36,""))))))</f>
        <v>1145000</v>
      </c>
      <c r="HP36" s="1161">
        <f>+IF(FR36="","",IF(HH36="","",IF(HH36=4,FY36,IF(HH36=3,FY36,IF(HH36=2,$HP$7*(HM36+HO36),IF(HH36=1,$HP$6*HM36,""))))))</f>
        <v>115000</v>
      </c>
      <c r="HQ36" s="1155" t="str">
        <f>+IF(FR36="","",IF(HH36="","",IF(HH36=3,$HQ$8*(HI36+HO36+HP36),"")))</f>
        <v/>
      </c>
      <c r="HR36" s="1162">
        <f>+IF(FR36="","",IF(HH36="","",IF(HH36=4,GB36,IF(HH36=3,$HR$8*HO36,IF(HH36=2,$HR$7*(HM36+HO36+HP36),IF(HH36=1,$HR$6*HM36,""))))))</f>
        <v>239200</v>
      </c>
      <c r="HS36" s="1162">
        <f>IF(FR36="","",SUM(HQ36:HR36))</f>
        <v>239200</v>
      </c>
      <c r="HT36" s="1160" t="str">
        <f>+IF(FR36="","",IF(HH36="","",IF(HH36=2,$HT$7*(HP36+HR36),"")))</f>
        <v/>
      </c>
      <c r="HU36" s="1162" t="str">
        <f>+IF(FR36="","",IF(HH36="","",IF(HH36=2,$HU$7*(HP36+HR36),"")))</f>
        <v/>
      </c>
      <c r="HV36" s="1160" t="str">
        <f>+IF(FR36="","",IF(HH36="","",IF(HH36=3,$HV$8*(HI36+HO36+HP36+HS36),"")))</f>
        <v/>
      </c>
      <c r="HW36" s="1162" t="str">
        <f>+IF(FR36="","",IF(HH36="","",IF(HH36=3,$HW$8*(HI36+HO36+HP36+HS36),"")))</f>
        <v/>
      </c>
      <c r="HX36" s="3129">
        <f t="shared" si="24"/>
        <v>2102390</v>
      </c>
      <c r="HY36" s="1161" t="str">
        <f>+IF(EZ36="","",EZ36/IF(R36="",IF(R35="",IF(R34="",1,R34),R35),R36))</f>
        <v/>
      </c>
      <c r="HZ36" s="1162" t="str">
        <f>+IF(FA36="","",FA36/IF(R36="",IF(R35="",IF(R34="",1,R34),R35),R36))</f>
        <v/>
      </c>
      <c r="IA36" s="1160">
        <f>+IF(HM36="","",HX36-IF(HY36="",0,HY36)+IF(HZ36="",0,HZ36))</f>
        <v>2102390</v>
      </c>
      <c r="IB36" s="3517" t="str">
        <f t="shared" si="25"/>
        <v>stk added + 8%</v>
      </c>
      <c r="IC36" s="1163">
        <f>+IF(OR(IA36="",ISERROR(IA36/IF(T36="",IF(T35="",IF(T34="",1,T34),T35),T36))),"",IA36/IF(T36="",IF(T35="",IF(T34="",1,T34),T35),T36))</f>
        <v>52559.75</v>
      </c>
      <c r="ID36" s="1160"/>
      <c r="IE36" s="1155"/>
      <c r="IF36" s="1160">
        <f>+IF(GO36="","",GO36)</f>
        <v>167167</v>
      </c>
      <c r="IG36" s="6760"/>
      <c r="IH36" s="1161" t="str">
        <f>+IF(GP36="","",GP36)</f>
        <v/>
      </c>
      <c r="II36" s="1155"/>
      <c r="IJ36" s="1155">
        <f>+IF(SUM(IF(IH36="",0,IH36)+IF(IF36="",0,IF36))=0,"",IF(IH36="",0,IH36)+IF(IF36="",0,IF36))</f>
        <v>167167</v>
      </c>
      <c r="IK36" s="4121">
        <v>0</v>
      </c>
      <c r="IL36" s="1767">
        <f>+IF(IF36="","",IK36*$IL$8*IF36)</f>
        <v>0</v>
      </c>
      <c r="IM36" s="1765">
        <f>IF(HM36="","",IK36*$IM$8*IA36)</f>
        <v>0</v>
      </c>
      <c r="IN36" s="1924" t="str">
        <f>+IF(SUM(IF(IM36="",0,IM36)+IF(IL36="",0,IL36))=0,"",IF(IM36="",0,IM36)+IF(IL36="",0,IL36))</f>
        <v/>
      </c>
      <c r="IO36" s="1924">
        <f>+IF(SUM(IF(IN36="",0,IN36)+IF(IJ36="",0,IJ36))=0,"",IF(IN36="",0,IN36)+IF(IJ36="",0,IJ36))</f>
        <v>167167</v>
      </c>
      <c r="IP36" s="1924">
        <f>+IF(BB36="","",IF(IJ36="","",IJ36/IF(R36="",IF(R35="",IF(R34="",R33,R34),R35),R36)))</f>
        <v>20895.875</v>
      </c>
      <c r="IQ36" s="6833">
        <f>+IF(IP36="","",IP36/IX36)</f>
        <v>9.5264176744179238E-2</v>
      </c>
      <c r="IR36" s="1924" t="str">
        <f>+IF(BB36="","",IF(IN36="","",IN36/IF(R36="",IF(R35="",IF(R34="",R33,R34),R35),R36)))</f>
        <v/>
      </c>
      <c r="IS36" s="6833" t="str">
        <f>+IF(IR36="","",IR36/IX36)</f>
        <v/>
      </c>
      <c r="IT36" s="1924">
        <f>+IF(BB36="","",IF(IO36="","",IO36/IF(R36="",IF(R35="",IF(R34="",R33,R34),R35),R36)))</f>
        <v>20895.875</v>
      </c>
      <c r="IU36" s="6833">
        <f>+IF(IT36="","",IT36/IX36)</f>
        <v>9.5264176744179238E-2</v>
      </c>
      <c r="IV36" s="7259">
        <f t="shared" si="26"/>
        <v>1</v>
      </c>
      <c r="IW36" s="1765">
        <f t="shared" ref="IW36:IW38" si="52">IF(IA36="","",IF(IV36=1,$IW$5,IF(IV36=2,$IW$8,""))*IA36)</f>
        <v>198450.74315336335</v>
      </c>
      <c r="IX36" s="4210">
        <f>+IF(SUM(IF(IW36="",0,IW36)+IF(IT36="",0,IT36))=0,IY36,IF(IW36="",0,IW36)+IF(IT36="",0,IT36))</f>
        <v>219346.61815336335</v>
      </c>
      <c r="IY36" s="4238">
        <f>+HC36</f>
        <v>558395.75879999995</v>
      </c>
      <c r="IZ36" s="4262">
        <f>+IF(IY36="","",(IY36-IX36)/IY36)</f>
        <v>0.60718430486516906</v>
      </c>
      <c r="JA36" s="4263" t="str">
        <f t="shared" ref="JA36:JA38" si="53">+IF(BB36="","",IF(ISERROR(IY36-IX36),"",IF((IY36-IX36)&gt;0,"stk added + "&amp;ROUND((IY36-IX36)/IY36*100,0)&amp;"%",IF(IY36=IX36,"same TAC",(IY36-IX36)/IY36))))</f>
        <v>stk added + 61%</v>
      </c>
      <c r="JB36" s="1162"/>
      <c r="JC36" s="4316"/>
      <c r="JD36" s="3189">
        <f t="shared" si="27"/>
        <v>190591.17467436806</v>
      </c>
      <c r="JE36" s="4351">
        <f t="shared" si="28"/>
        <v>162478.97640989878</v>
      </c>
      <c r="JF36" s="7022">
        <f>+IF(D36="","",IF(T36="",IF(T35="",T34/IF(Y34="TP",2,1),T35/IF(Y35="TP",2,1)),T36/IF(Y36="TP",2,1)))</f>
        <v>20</v>
      </c>
      <c r="JG36" s="2431" t="s">
        <v>1093</v>
      </c>
      <c r="JH36" s="6953">
        <f>+IF(D36="","",IF(HX36="","",HX36))</f>
        <v>2102390</v>
      </c>
      <c r="JI36" s="6953">
        <f>+JH36</f>
        <v>2102390</v>
      </c>
      <c r="JJ36" s="6953">
        <v>0</v>
      </c>
      <c r="JK36" s="6953">
        <v>0</v>
      </c>
      <c r="JL36" s="6990"/>
      <c r="JM36" s="1762">
        <f>+IF(D36="","",IF(JG36="SCR",(JF36*49700+459000),IF(JG36="HPWI",(0.0353*JF36+0.2915)*(10^6),"N/A")))</f>
        <v>1453000</v>
      </c>
      <c r="JN36" s="7016">
        <f>+IF(D36="","",IF(JM36="N/A","",JM36*$JN$27))</f>
        <v>2513690</v>
      </c>
      <c r="JO36" s="2431">
        <f>+JN36</f>
        <v>2513690</v>
      </c>
      <c r="JP36" s="7068"/>
      <c r="JQ36" s="7068"/>
      <c r="JR36" s="2431"/>
      <c r="JS36" s="1763">
        <f>+IF(D36="","",SUM(JO36:JR36))</f>
        <v>2513690</v>
      </c>
      <c r="JT36" s="7112">
        <f t="shared" ref="JT36:JT51" si="54">+IF(BE36="","",IF(OR(BE36="SCR",BE36="New Eqp"),2,1))</f>
        <v>2</v>
      </c>
      <c r="JU36" s="7113">
        <f>+AV36</f>
        <v>19</v>
      </c>
      <c r="JV36" s="8360">
        <f>+AW36</f>
        <v>3819</v>
      </c>
      <c r="JW36" s="8387">
        <f t="shared" ref="JW36:JW38" si="55">+CL36</f>
        <v>1.35</v>
      </c>
      <c r="JX36" s="8416">
        <f t="shared" ref="JX36" si="56">+IF(OR(D36="",JU36=""),"",IF(JT36=2,24000/JU36,""))</f>
        <v>1263.1578947368421</v>
      </c>
      <c r="JY36" s="8450">
        <f>+IF(D36="","",IF(JT36=2,($JY$8*(1+$JY$8)^JX36)/((1+$JY$8)^JX36-1),""))</f>
        <v>7.0000000000000007E-2</v>
      </c>
      <c r="JZ36" s="7114">
        <f t="shared" ref="JZ36" si="57">+IF(OR(D36="",JU36="",ISERROR(JF36)),"",IF(JT36=2,JF36*6180/83,""))</f>
        <v>1489.1566265060242</v>
      </c>
      <c r="KA36" s="7112" t="str">
        <f t="shared" si="31"/>
        <v/>
      </c>
      <c r="KB36" s="7113" t="str">
        <f t="shared" si="32"/>
        <v/>
      </c>
      <c r="KC36" s="7114" t="str">
        <f t="shared" si="33"/>
        <v/>
      </c>
      <c r="KD36" s="7112">
        <f>+IF(OR(D36="",JV36=""),"",IF(JT36=1,$KD$5*JU36*$KD$6/1000,$KD$7*JU36*$KD$8/1000))</f>
        <v>806.43600000000004</v>
      </c>
      <c r="KE36" s="8324">
        <f>+IF(OR(D36="",JW36="",JW36=0),"",IF(JT36=2,JW36*$KE$8*$KG$4,""))</f>
        <v>840.78000000000009</v>
      </c>
      <c r="KF36" s="8324">
        <f>+IF(OR(D36="",JW36="",JW36=0),"",IF(JT36=2,JW36*(0.95/0.05)*(18/17)*($KF$8/1000)*(2000)*$KG$4,""))</f>
        <v>563.81717647058815</v>
      </c>
      <c r="KG36" s="7113">
        <f>+IF(D36="","",IF(JT36=1,$KG$2*KC36/1000*60*JU36*$KG$4*$KG$6,IF(OR(JZ36="",JY36=""),"",JZ36*$KG$8*JY36*$KG$4)))</f>
        <v>2705.0530120481931</v>
      </c>
      <c r="KH36" s="7113">
        <f>IF(D36="","",IF(JT36=2,0.005*JF36*$KD$6/1000*1000*JU36,""))</f>
        <v>737.50400000000002</v>
      </c>
      <c r="KI36" s="7113">
        <f>IF(D36="","",IF(JT36=2,0.1*0.005*JF36*$KD$6/1000*1000*JU36,""))</f>
        <v>73.750399999999999</v>
      </c>
      <c r="KJ36" s="7113">
        <f>+IF(OR(D36="",JU36="",JV36=""),"",IF(JT36=1,KD36+KG36,KD36+KE36+KF36+KG36+KH36+KI36))</f>
        <v>5727.3405885187813</v>
      </c>
      <c r="KK36" s="7113">
        <f>+IF(OR(D36="",JU36="",JV36=""),"",$KK$7*$KG$4*JU36)</f>
        <v>1993.2368000000001</v>
      </c>
      <c r="KL36" s="7113">
        <f t="shared" ref="KL36:KL38" si="58">+IF(OR(D36="",JU36="",JV36="",JS36=""),"",IF(JT36=1,$KL$7*JS36*JU36/$KL$8,$KL$7*IF(JN36="",JS36,JN36)*JU36/$KL$8))</f>
        <v>179.1004125</v>
      </c>
      <c r="KM36" s="7113">
        <f t="shared" ref="KM36" si="59">+IF(D36="","",IF(KK36="",0,KK36)+IF(KL36="",0,KL36))</f>
        <v>2172.3372125000001</v>
      </c>
      <c r="KN36" s="7113" t="str">
        <f>+IF(D36="","",IF(JX36&lt;41,$KN$8*JZ36*JY36,""))</f>
        <v/>
      </c>
      <c r="KO36" s="7113">
        <f>+IF(OR(D36="",JU36="",JV36=""),"",IF(KM36="",0,KM36)+IF(KN36="",0,KN36))</f>
        <v>2172.3372125000001</v>
      </c>
      <c r="KP36" s="7114">
        <f t="shared" ref="KP36" si="60">+IF(OR(D36="",JU36="",JV36=""),"",IF(KJ36="",0,KJ36)+IF(KO36="",0,KO36))</f>
        <v>7899.6778010187809</v>
      </c>
      <c r="KQ36" s="1764">
        <f>+IF(D36="","",VLOOKUP(MATCH(BE36,ac_id,0),ad,ac!$F$8,FALSE)*JV36)</f>
        <v>1145.7</v>
      </c>
      <c r="KR36" s="7068">
        <f>+IF(D36="","",IF(JT36=1,VLOOKUP(MATCH(BE36,ac_id,0),ad,ac!$H$8,FALSE)*JU36, (VLOOKUP(MATCH(BE36,ac_id,0),ad,ac!$H$8,FALSE)*JU36^(1+VLOOKUP(MATCH(BE36,ac_id,0),ad,ac!$I$8,FALSE)))))</f>
        <v>16544.904554946788</v>
      </c>
      <c r="KS36" s="1763">
        <f>+IF(D36="","",KQ36+KR36)</f>
        <v>17690.604554946789</v>
      </c>
      <c r="KT36" s="1764">
        <f t="shared" ref="KT36:KT38" si="61">+IF(D36="","",IF(KK36="","",$KT$26*KM36))</f>
        <v>1303.4023275</v>
      </c>
      <c r="KU36" s="2431">
        <f t="shared" ref="KU36:KU38" si="62">+IF(D36="","",IF(JS36="","",$KU$26*IF(JN36="",JS36,JN36)))</f>
        <v>100547.6</v>
      </c>
      <c r="KV36" s="7309">
        <f t="shared" ref="KV36:KV38" si="63">+IF(D36="","",IV36)</f>
        <v>1</v>
      </c>
      <c r="KW36" s="7192">
        <f>IF(JS36="","",IF(KV36=1,$KW$5,IF(KV36=2,$KW$8,""))*JS36)</f>
        <v>215701.03903241493</v>
      </c>
      <c r="KX36" s="1763">
        <f t="shared" ref="KX36:KX38" si="64">+IF(D36="","",IF(KW36="","",IF(KT36="",0,KT36)+IF(KU36="",0,KU36)+KW36))</f>
        <v>317552.04135991493</v>
      </c>
      <c r="KY36" s="7193">
        <f t="shared" ref="KY36:KY38" si="65">+IF(D36="","",IF(KX36="","",IF(KP36="",0,KP36)+KX36))</f>
        <v>325451.71916093369</v>
      </c>
      <c r="KZ36" s="7190"/>
      <c r="LA36" s="7192">
        <f t="shared" ref="LA36:LA38" si="66">+IF(OR(KY36="",$CB36=""),"",KY36/$CB36)</f>
        <v>282786.33140952204</v>
      </c>
      <c r="LB36" s="7191">
        <f t="shared" ref="LB36:LB38" si="67">+IF(OR(KY36="",$CL36=""),"",KY36/$CL36)</f>
        <v>241075.34752661752</v>
      </c>
      <c r="LC36" s="5356"/>
      <c r="LD36" s="5132"/>
      <c r="LE36" s="5132"/>
      <c r="LF36" s="5132"/>
      <c r="LG36" s="5132"/>
      <c r="LH36" s="5132"/>
      <c r="LI36" s="5132"/>
      <c r="LJ36" s="5132"/>
    </row>
    <row r="37" spans="1:322" s="13" customFormat="1" ht="25.5" customHeight="1">
      <c r="A37" s="5954" t="str">
        <f t="shared" si="46"/>
        <v>8302-02</v>
      </c>
      <c r="B37" s="9305">
        <f>+IF(A37="","",VLOOKUP(MATCH(A37,tid,0),tao,'12(id)'!$J$20,FALSE))</f>
        <v>0</v>
      </c>
      <c r="C37" s="6365" t="str">
        <f t="shared" si="47"/>
        <v>11B</v>
      </c>
      <c r="D37" s="1109" t="str">
        <f t="shared" si="48"/>
        <v>8302-01-02</v>
      </c>
      <c r="E37" s="1096" t="str">
        <f>+IF(BD37="","",BD37)</f>
        <v>HPWI + Ultra Low Sulfur Fuel</v>
      </c>
      <c r="F37" s="1096" t="str">
        <f t="shared" si="49"/>
        <v>HPWI</v>
      </c>
      <c r="G37" s="5133"/>
      <c r="H37" s="5132"/>
      <c r="I37" s="5133"/>
      <c r="J37" s="719">
        <f t="shared" ref="J37:J100" si="68">1+J36</f>
        <v>3</v>
      </c>
      <c r="K37" s="649">
        <f t="shared" ref="K37:K44" si="69">1+K36</f>
        <v>3</v>
      </c>
      <c r="L37" s="9650"/>
      <c r="M37" s="9650">
        <f>+IF(O37="","",VLOOKUP(MATCH(O37,tid,0),tao,'12(id)'!$I$20,FALSE))</f>
        <v>0</v>
      </c>
      <c r="N37" s="9648"/>
      <c r="O37" s="8671" t="s">
        <v>279</v>
      </c>
      <c r="P37" s="9650"/>
      <c r="Q37" s="8576" t="str">
        <f>+IF(ISERROR(MATCH(O37,tid,0)),"",VLOOKUP(MATCH(O37,tid,0),tao,'12(id)'!$Q$20,FALSE))</f>
        <v>11B</v>
      </c>
      <c r="R37" s="8671">
        <f>+IF(O37="","",VLOOKUP(MATCH(O37,tid,0),tao,'12(id)'!$U$20,FALSE))</f>
        <v>8</v>
      </c>
      <c r="S37" s="9653"/>
      <c r="T37" s="10318" t="str">
        <f>+IF(ISERROR(MATCH(O37,tid,0)),"",IF(VLOOKUP(MATCH(O37,tid,0),tao,'12(id)'!$CT$20,FALSE)="","",VLOOKUP(MATCH(O37,tid,0),tao,'12(id)'!$CT$20,FALSE)))</f>
        <v/>
      </c>
      <c r="U37" s="10308" t="str">
        <f>+IF(ISERROR(MATCH(O37,tid,0)),"",IF(VLOOKUP(MATCH(O37,tid,0),tao,'12(id)'!$CU$20,FALSE)="","",VLOOKUP(MATCH(O37,tid,0),tao,'12(id)'!$CU$20,FALSE)))</f>
        <v/>
      </c>
      <c r="V37" s="10314" t="str">
        <f>+IF(O37="","",IF(VLOOKUP(MATCH(O37,tid,0),tao,'12(id)'!$T$20,FALSE)="","",VLOOKUP(MATCH(O37,tid,0),tao,'12(id)'!$T$20,FALSE)))</f>
        <v>Combustion Turbine</v>
      </c>
      <c r="W37" s="417" t="str">
        <f>+IF(ISERROR(MATCH(O37,tid,0)),"",IF(VLOOKUP(MATCH(O37,tid,0),tao,'12(id)'!$CO$20,FALSE)="","",VLOOKUP(MATCH(O37,tid,0),tao,'12(id)'!$CO$20,FALSE)))</f>
        <v>Pratt &amp; Whitney</v>
      </c>
      <c r="X37" s="8625" t="str">
        <f>+IF(ISERROR(MATCH(O37,tid,0)),"",IF(VLOOKUP(MATCH(O37,tid,0),tao,'12(id)'!$CP$20,FALSE)="","",VLOOKUP(MATCH(O37,tid,0),tao,'12(id)'!$CP$20,FALSE)))</f>
        <v>TP4-2(A9) LF</v>
      </c>
      <c r="Y37" s="2388" t="str">
        <f>+IF(ISERROR(MATCH(O37,tid,0)),"",IF(VLOOKUP(MATCH(O37,tid,0),tao,'12(id)'!$CQ$20,FALSE)="","",VLOOKUP(MATCH(O37,tid,0),tao,'12(id)'!$CQ$20,FALSE)))</f>
        <v>TP</v>
      </c>
      <c r="Z37" s="8563" t="str">
        <f>+IF(ISERROR(MATCH(O37,tid,0)),"",VLOOKUP(MATCH(O37,tid,0),tao,'12(id)'!$DB$20,FALSE)&amp;" "&amp;VLOOKUP(MATCH(O37,tid,0),tao,'12(id)'!$DC$20,FALSE))</f>
        <v xml:space="preserve"> 1970</v>
      </c>
      <c r="AA37" s="52" t="str">
        <f ca="1">+IF(ISERROR(MATCH(O37,tid,0)),"",IF(VLOOKUP(MATCH(O37,tid,0),tao,'12(id)'!$DE$20,FALSE)="","",ROUND(VLOOKUP(MATCH(O37,tid,0),tao,'12(id)'!$DE$20,FALSE),0)&amp;" yrs"))</f>
        <v>45 yrs</v>
      </c>
      <c r="AB37" s="282" t="str">
        <f>+IF(ISERROR(MATCH(O37,tid,0)),"",VLOOKUP(MATCH(O37,tid,0),tao,'12(id)'!$DI$20,FALSE))</f>
        <v>Jet Fuel A (Kerosene K1)</v>
      </c>
      <c r="AC37" s="282" t="str">
        <f>+IF(ISERROR(MATCH(O37,tid,0)),"",IF(VLOOKUP(MATCH(O37,tid,0),tao,'12(id)'!$DQ$20,FALSE)="","",VLOOKUP(MATCH(O37,tid,0),tao,'12(id)'!$DQ$20,FALSE)))</f>
        <v>No. 2 oil</v>
      </c>
      <c r="AD37" s="115">
        <f>+IF(ISERROR(MATCH(O37,tid,0)),"",IF(VLOOKUP(MATCH(O37,tid,0),tao,'12(id)'!$EI$20,FALSE)="","",VLOOKUP(MATCH(O37,tid,0),tao,'12(id)'!$EI$20,FALSE)))</f>
        <v>0.71</v>
      </c>
      <c r="AE37" s="115">
        <f>+IF(ISERROR(MATCH(O37,tid,0)),"",IF(VLOOKUP(MATCH(O37,tid,0),tao,'12(id)'!$EJ$20,FALSE)="","",VLOOKUP(MATCH(O37,tid,0),tao,'12(id)'!$EJ$20,FALSE)))</f>
        <v>138.4</v>
      </c>
      <c r="AF37" s="10671">
        <f>+IF(ISERROR(MATCH(O37,tid,0)),"",IF(VLOOKUP(MATCH(O37,tid,0),tao,'12(id)'!$EL$20,FALSE)="","",VLOOKUP(MATCH(O37,tid,0),tao,'12(id)'!$EL$20,FALSE)))</f>
        <v>0.81</v>
      </c>
      <c r="AG37" s="10691" t="str">
        <f>+IF(ISERROR(MATCH(O37,tid,0)),"",IF(VLOOKUP(MATCH(O37,tid,0),tao,'12(id)'!$EM$20,FALSE)="","",VLOOKUP(MATCH(O37,tid,0),tao,'12(id)'!$EM$20,FALSE)))</f>
        <v/>
      </c>
      <c r="AH37" s="10757"/>
      <c r="AI37" s="10682"/>
      <c r="AJ37" s="960"/>
      <c r="AK37" s="960"/>
      <c r="AL37" s="960"/>
      <c r="AM37" s="961"/>
      <c r="AN37" s="10769"/>
      <c r="AO37" s="10311" t="str">
        <f>+IF(ISERROR(MATCH(O37,tid,0)),"",IF(VLOOKUP(MATCH(O37,tid,0),tao,'12(id)'!$GY$20,FALSE)="","",VLOOKUP(MATCH(O37,tid,0),tao,'12(id)'!$GY$20,FALSE)))</f>
        <v/>
      </c>
      <c r="AP37" s="8645" t="str">
        <f>+IF($BB37="","",IF(VLOOKUP(MATCH(O37,tid,0),tao,'12(id)'!$HE$20,FALSE)="","",VLOOKUP(MATCH(O37,tid,0),tao,'12(id)'!$HE$20,FALSE)))</f>
        <v/>
      </c>
      <c r="AQ37" s="10311" t="str">
        <f>+IF(ISERROR(VLOOKUP(MATCH(O37,tid,0),tao,'12(id)'!$HF$20,FALSE)),"",VLOOKUP(MATCH(O37,tid,0),tao,'12(id)'!$HF$20,FALSE))</f>
        <v/>
      </c>
      <c r="AR37" s="10336">
        <f>+IF(ISERROR(MATCH(O37,tid,0)),"",IF(VLOOKUP(MATCH(O37,tid,0),tao,'12(id)'!$HJ$20,FALSE)="","",VLOOKUP(MATCH(O37,tid,0),tao,'12(id)'!$HJ$20,FALSE)))</f>
        <v>0.73049999999999993</v>
      </c>
      <c r="AS37" s="10339">
        <f>+IF(ISERROR(MATCH(O37,tid,0)),"",IF(VLOOKUP(MATCH(O37,tid,0),tao,'12(id)'!$HK$20,FALSE)="","",VLOOKUP(MATCH(O37,tid,0),tao,'12(id)'!$HK$20,FALSE)))</f>
        <v>129.36842099334265</v>
      </c>
      <c r="AT37" s="10662" t="str">
        <f>+IF(ISERROR(MATCH(O37,tid,0)),"",IF(VLOOKUP(MATCH(O37,tid,0),tao,'12(id)'!$HM$20,FALSE)="","",VLOOKUP(MATCH(O37,tid,0),tao,'12(id)'!$HM$20,FALSE)))</f>
        <v/>
      </c>
      <c r="AU37" s="10362"/>
      <c r="AV37" s="10777">
        <f>+IF(BC37="","",IF(OR(O37="",O38="",O39="",O40="",O41="",O42="",O43="",O44=""),"",MAX(VLOOKUP(MATCH(O37,em_id,0),em,'5(em)'!$CX$18,FALSE),VLOOKUP(MATCH(O38,em_id,0),em,'5(em)'!$CX$18,FALSE),VLOOKUP(MATCH(O39,em_id,0),em,'5(em)'!$CX$18,FALSE),VLOOKUP(MATCH(O40,em_id,0),em,'5(em)'!$CX$18,FALSE),VLOOKUP(MATCH(O41,em_id,0),em,'5(em)'!$CX$18,FALSE),VLOOKUP(MATCH(O42,em_id,0),em,'5(em)'!$CX$18,FALSE),VLOOKUP(MATCH(O43,em_id,0),em,'5(em)'!$CX$18,FALSE),VLOOKUP(MATCH(O44,em_id,0),em,'5(em)'!$CX$18,FALSE))))</f>
        <v>20</v>
      </c>
      <c r="AW37" s="10392">
        <f>+IF(BC37="","",IF(OR(O37="",O38="",O39="",O40="",O41="",O42="",O43="",O44=""),"",MAX(VLOOKUP(MATCH(O37,em_id,0),em,'5(em)'!$CZ$18,FALSE),VLOOKUP(MATCH(O38,em_id,0),em,'5(em)'!$CZ$18,FALSE),VLOOKUP(MATCH(O39,em_id,0),em,'5(em)'!$CZ$18,FALSE),VLOOKUP(MATCH(O40,em_id,0),em,'5(em)'!$CZ$18,FALSE),VLOOKUP(MATCH(O41,em_id,0),em,'5(em)'!$CZ$18,FALSE),VLOOKUP(MATCH(O42,em_id,0),em,'5(em)'!$CZ$18,FALSE),VLOOKUP(MATCH(O43,em_id,0),em,'5(em)'!$CZ$18,FALSE),VLOOKUP(MATCH(O44,em_id,0),em,'5(em)'!$CZ$18,FALSE))))</f>
        <v>4575</v>
      </c>
      <c r="AX37" s="10330">
        <f t="shared" si="50"/>
        <v>0.74</v>
      </c>
      <c r="AY37" s="10325"/>
      <c r="AZ37" s="10398">
        <f>+IF(BC37="","",IF(OR(O37="",O38="",O39="",O40="",O41="",O42="",O43="",O44=""),"",MAX(VLOOKUP(MATCH(O37,em_id,0),em,'5(em)'!$DA$18,FALSE),VLOOKUP(MATCH(O38,em_id,0),em,'5(em)'!$DA$18,FALSE),VLOOKUP(MATCH(O39,em_id,0),em,'5(em)'!$DA$18,FALSE),VLOOKUP(MATCH(O40,em_id,0),em,'5(em)'!$DA$18,FALSE),VLOOKUP(MATCH(O41,em_id,0),em,'5(em)'!$DA$18,FALSE),VLOOKUP(MATCH(O42,em_id,0),em,'5(em)'!$DA$18,FALSE),VLOOKUP(MATCH(O43,em_id,0),em,'5(em)'!$DA$18,FALSE),VLOOKUP(MATCH(O44,em_id,0),em,'5(em)'!DA$18,FALSE))))</f>
        <v>1.7</v>
      </c>
      <c r="BA37" s="1093"/>
      <c r="BB37" s="1094" t="str">
        <f t="shared" si="11"/>
        <v>8302-01-02</v>
      </c>
      <c r="BC37" s="1095">
        <f>1+BC36</f>
        <v>2</v>
      </c>
      <c r="BD37" s="1096" t="str">
        <f>+IF(OR(D37="",VLOOKUP(MATCH(D37,op_id,0),op,'7(op)'!$T$18,FALSE)=""),"",VLOOKUP(MATCH(D37,op_id,0),op,'7(op)'!$T$18,FALSE))</f>
        <v>HPWI + Ultra Low Sulfur Fuel</v>
      </c>
      <c r="BE37" s="1094" t="s">
        <v>93</v>
      </c>
      <c r="BF37" s="1094" t="s">
        <v>1862</v>
      </c>
      <c r="BG37" s="6363" t="s">
        <v>2141</v>
      </c>
      <c r="BH37" s="1097"/>
      <c r="BI37" s="1098"/>
      <c r="BJ37" s="1098"/>
      <c r="BK37" s="1098"/>
      <c r="BL37" s="1098"/>
      <c r="BM37" s="1098"/>
      <c r="BN37" s="1098" t="str">
        <f t="shared" si="12"/>
        <v/>
      </c>
      <c r="BO37" s="1099" t="str">
        <f t="shared" si="13"/>
        <v/>
      </c>
      <c r="BP37" s="1099" t="str">
        <f t="shared" si="14"/>
        <v/>
      </c>
      <c r="BQ37" s="1100" t="str">
        <f t="shared" si="15"/>
        <v/>
      </c>
      <c r="BR37" s="1101"/>
      <c r="BS37" s="1102" t="s">
        <v>1892</v>
      </c>
      <c r="BT37" s="1103"/>
      <c r="BU37" s="3732" t="str">
        <f>+IF(BB37="","",IF(VLOOKUP(MATCH(BB37,ef_id,0),ef,'11(eff)'!$Z$23,FALSE)="","",VLOOKUP(MATCH(BB37,ef_id,0),ef,'11(eff)'!$Z$23,FALSE)))</f>
        <v/>
      </c>
      <c r="BV37" s="3737" t="str">
        <f>+IF(BB37="","",IF(VLOOKUP(MATCH(BB37,ef_id,0),ef,'11(eff)'!$AA$23,FALSE)="","",VLOOKUP(MATCH(BB37,ef_id,0),ef,'11(eff)'!$AA$23,FALSE)))</f>
        <v/>
      </c>
      <c r="BW37" s="1104"/>
      <c r="BX37" s="3796" t="str">
        <f>+IF(OR(BB37="",BW37=""),"",BW37/IF(R37="",IF(R36="",R35,R36),R37))</f>
        <v/>
      </c>
      <c r="BY37" s="3826" t="str">
        <f>+IF($BB37="","",IF(BU37="","",BU37/2000*IF(AQ37="",IF(AQ36="",AQ35,AQ36),AQ37)))</f>
        <v/>
      </c>
      <c r="BZ37" s="3403">
        <f>+BZ38+2.046</f>
        <v>8.1839999999999993</v>
      </c>
      <c r="CA37" s="3431">
        <f>+IF(BB37="","",IF(BZ37="","",BZ37/IF(R37="",IF(R36="",R35,R36),R37)))</f>
        <v>1.0229999999999999</v>
      </c>
      <c r="CB37" s="3837">
        <f>+IF(OR(BX37="",BX37=0),IF(CA37="",IF(GJ37="","",GI37/GJ37/IF(R37="",IF(R36="",R35,R36),R37)),CA37),IF(AT37="",IF(AT36="",AT35,AT36),AT37)-BX37)</f>
        <v>1.0229999999999999</v>
      </c>
      <c r="CC37" s="3888" t="str">
        <f>+IF(OR($BB37="",BW37=""),"",IF(CB37="",IF(CD37="",IF(CD37="",IF(CE37="","",CE37)),CD37),CB37/IF($AT37="",IF($AT36="",$AT35,$AT36),$AT37)))</f>
        <v/>
      </c>
      <c r="CD37" s="3888" t="str">
        <f>+IF($BB37="","",IF(BU37="","",(1-BU37/IF(AR37="",IF(AR36="",AR35,AR36),AR37))))</f>
        <v/>
      </c>
      <c r="CE37" s="3895">
        <f>+IF(BB37="","",IF(VLOOKUP(MATCH(BB37,ef_id,0),ef,'11(eff)'!$AE$23,FALSE)="","",VLOOKUP(MATCH(BB37,ef_id,0),ef,'11(eff)'!$AE$23,FALSE)))</f>
        <v>0.75</v>
      </c>
      <c r="CF37" s="672" t="s">
        <v>1601</v>
      </c>
      <c r="CG37" s="1103"/>
      <c r="CH37" s="2391"/>
      <c r="CI37" s="3837">
        <f>+IF(BB37="","",$AZ$36/$AW$36*2000*(1-CO37))</f>
        <v>0.19638648860958369</v>
      </c>
      <c r="CJ37" s="4058">
        <f>+IF($AY$36="","",$AY$36*(1-CO37))</f>
        <v>34.976404033107698</v>
      </c>
      <c r="CK37" s="3837">
        <f>+IF($BB37="","",IF(CI37="",$AZ$36-CL37,CI37/2000*$AW$36))</f>
        <v>0.375</v>
      </c>
      <c r="CL37" s="3403">
        <f>+IF($BB37="","",IF(CI37="",CO37*$AZ$36,IF(CK37="","",$AZ$36-CK37)))</f>
        <v>1.125</v>
      </c>
      <c r="CM37" s="3989">
        <f>+IF($BB37="","",IF(CL37="","",CL37/$AZ$36))</f>
        <v>0.75</v>
      </c>
      <c r="CN37" s="3989">
        <f>+IF($BB37="","",IF(CI37="","",(1-CI37/$AX$36)))</f>
        <v>0.75140950808913454</v>
      </c>
      <c r="CO37" s="3990">
        <f>+IF(BB37="","",IF(VLOOKUP(MATCH(BB37,ef_id,0),ef,'11(eff)'!$AE$23,FALSE)="","",VLOOKUP(MATCH(BB37,ef_id,0),ef,'11(eff)'!$AE$23,FALSE)))</f>
        <v>0.75</v>
      </c>
      <c r="CP37" s="3991"/>
      <c r="CQ37" s="1368" t="str">
        <f t="shared" si="51"/>
        <v>HPWI + Ultra Low Sulfur Fuel</v>
      </c>
      <c r="CR37" s="1105"/>
      <c r="CS37" s="2747">
        <f>+CS38+100000</f>
        <v>11953900</v>
      </c>
      <c r="CT37" s="1575">
        <f>+(SUM('A2(sm)'!H61:H64)+'A2(sm)'!H66)</f>
        <v>4149000</v>
      </c>
      <c r="CU37" s="1483">
        <v>1154000</v>
      </c>
      <c r="CV37" s="1768">
        <f t="shared" si="16"/>
        <v>1280000</v>
      </c>
      <c r="CW37" s="1769"/>
      <c r="CX37" s="1769">
        <v>115000</v>
      </c>
      <c r="CY37" s="1770"/>
      <c r="CZ37" s="2460"/>
      <c r="DA37" s="2435">
        <v>1600000</v>
      </c>
      <c r="DB37" s="2435"/>
      <c r="DC37" s="1768"/>
      <c r="DD37" s="1772"/>
      <c r="DE37" s="1773"/>
      <c r="DF37" s="1774"/>
      <c r="DG37" s="1774"/>
      <c r="DH37" s="1772"/>
      <c r="DI37" s="1679">
        <f>+IF(CT37="","",SUM(CU37:DC37)+SUM(DE37:DF37))</f>
        <v>4149000</v>
      </c>
      <c r="DJ37" s="1925"/>
      <c r="DK37" s="1575">
        <v>100000</v>
      </c>
      <c r="DL37" s="1483">
        <v>100000</v>
      </c>
      <c r="DM37" s="1768">
        <f t="shared" si="17"/>
        <v>0</v>
      </c>
      <c r="DN37" s="1769"/>
      <c r="DO37" s="1769"/>
      <c r="DP37" s="1770"/>
      <c r="DQ37" s="2460"/>
      <c r="DR37" s="2435"/>
      <c r="DS37" s="2435"/>
      <c r="DT37" s="1768"/>
      <c r="DU37" s="1772"/>
      <c r="DV37" s="1773"/>
      <c r="DW37" s="1774"/>
      <c r="DX37" s="1774"/>
      <c r="DY37" s="1772"/>
      <c r="DZ37" s="1679">
        <f t="shared" si="18"/>
        <v>100000</v>
      </c>
      <c r="EA37" s="1925"/>
      <c r="EB37" s="1483">
        <f t="shared" si="19"/>
        <v>4249000</v>
      </c>
      <c r="EC37" s="1949">
        <v>1</v>
      </c>
      <c r="ED37" s="1403">
        <f t="shared" si="20"/>
        <v>4249000</v>
      </c>
      <c r="EE37" s="1771">
        <v>160000</v>
      </c>
      <c r="EF37" s="2435">
        <v>6850000</v>
      </c>
      <c r="EG37" s="1770"/>
      <c r="EH37" s="1679">
        <f>+IF(OR(BB37="",EB37=""),"",SUM(EE37:EG37))</f>
        <v>7010000</v>
      </c>
      <c r="EI37" s="1773"/>
      <c r="EJ37" s="1774"/>
      <c r="EK37" s="1994"/>
      <c r="EL37" s="1443"/>
      <c r="EM37" s="1773"/>
      <c r="EN37" s="1774">
        <v>240000</v>
      </c>
      <c r="EO37" s="1994"/>
      <c r="EP37" s="1679">
        <f t="shared" si="21"/>
        <v>240000</v>
      </c>
      <c r="EQ37" s="1679"/>
      <c r="ER37" s="1679"/>
      <c r="ES37" s="1679"/>
      <c r="ET37" s="1443">
        <v>454900</v>
      </c>
      <c r="EU37" s="1164"/>
      <c r="EV37" s="1378"/>
      <c r="EW37" s="2567"/>
      <c r="EX37" s="2567"/>
      <c r="EY37" s="2674">
        <f>+IF(BB37="","",(IF(ED37="",0,ED37)+IF(EH37="",0,EH37)+IF(EP37="",0,EP37)+IF(ET37="",0,ET37)+IF(EW37="",0,EW37)+IF(EX37="",0,EX37)))</f>
        <v>11953900</v>
      </c>
      <c r="EZ37" s="2703"/>
      <c r="FA37" s="1378"/>
      <c r="FB37" s="2452">
        <f>+IF(BB37="","",(IF(EY37="",0,EY37)+IF(FA37="",0,FA37)-IF(EZ37="",0,EZ37)))</f>
        <v>11953900</v>
      </c>
      <c r="FC37" s="1720">
        <f>+IF(OR(ED37="",IF(R37="",IF(R36="",R35,R36),R37)=""),"",ED37/IF(R37="",IF(R36="",R35,R36),R37))</f>
        <v>531125</v>
      </c>
      <c r="FD37" s="2040">
        <f>+IF(OR(BB37="",IF(R37="",IF(R36="",R35,R36),R37)="",(CU37+DL37)=0),"",(CU37+DL37)/IF(R37="",IF(R36="",R35,R36),R37))</f>
        <v>156750</v>
      </c>
      <c r="FE37" s="2023">
        <f>+IF(OR(FC37="",FC37=0,FD37=""),"",FD37/FC37)</f>
        <v>0.29512826547422921</v>
      </c>
      <c r="FF37" s="2040">
        <f>+IF(OR(BB37="",CT37="",IF(R37="",IF(R36="",R35,R36),R37)=""),"",(SUM(CV37:CZ37)+(IF(DM37="",0,DM37)+SUM(DN37:DQ37)))/IF(R37="",IF(R36="",R35,R36),R37))</f>
        <v>174375</v>
      </c>
      <c r="FG37" s="2023">
        <f>+IF(OR(BB37="",ISERROR(FF37/FC37)),"",FF37/FC37)</f>
        <v>0.32831254412803013</v>
      </c>
      <c r="FH37" s="2040">
        <f>+IF(OR(BB37="",IF(R37="",IF(R36="",R35,R36),R37)="",),"",(DA37+DR37)/IF(R37="",IF(R36="",R35,R36),R37))</f>
        <v>200000</v>
      </c>
      <c r="FI37" s="2023">
        <f>+IF(OR(FC37="",FC37=0,FH37=""),"",FH37/FC37)</f>
        <v>0.37655919039774066</v>
      </c>
      <c r="FJ37" s="2790">
        <f>+IF(OR(BB37="",CT37=""),"",IF(FD37="",0,FD37)+IF(FF37="",0,FF37)+IF(FH37="",0,FH37))</f>
        <v>531125</v>
      </c>
      <c r="FK37" s="2799">
        <f>+IF(OR(BB37="",ISERROR(FJ37/FC37)),"",FJ37/FC37)</f>
        <v>1</v>
      </c>
      <c r="FL37" s="2040">
        <f>+IF(OR(BB37="",CT37="",IF(R37="",IF(R36="",R35,R36),R37)=""),"",(DB37+DC37+DS37+DT37)/IF(R37="",IF(R36="",R35,R36),R37))</f>
        <v>0</v>
      </c>
      <c r="FM37" s="2023">
        <f>+IF(OR(BB37="",ISERROR(FL37/FC37)),"",FL37/FC37)</f>
        <v>0</v>
      </c>
      <c r="FN37" s="2040">
        <f>+IF(OR(BB37="",CT37="",IF(R37="",IF(R36="",R35,R36),R37)=""),"",(DD37+DU37)/IF(R37="",IF(R36="",R35,R36),R37))</f>
        <v>0</v>
      </c>
      <c r="FO37" s="2023">
        <f>+IF(OR(BB37="",ISERROR(FN37/FC37)),"",FN37/FC37)</f>
        <v>0</v>
      </c>
      <c r="FP37" s="2040">
        <f>+IF(OR(BB37="",CT37="",IF(R37="",IF(R36="",R35,R36),R37)=""),"",(DG37+DH37+DX37+DY37)/IF(R37="",IF(R36="",R35,R36),R37))</f>
        <v>0</v>
      </c>
      <c r="FQ37" s="2023">
        <f>+IF(OR(BB37="",ISERROR(FL37/FC37)),"",FP37/FC37)</f>
        <v>0</v>
      </c>
      <c r="FR37" s="3391">
        <f>+IF(OR(BB37="",IF(R37="",IF(R36="",R35,R36),R37)="",(IF(DI37="",0,DI37)+IF(DZ37="",0,DZ37))=0),"",(IF(DI37="",0,DI37)+IF(DZ37="",0,DZ37))/IF(R37="",IF(R36="",R35,R36),R37))</f>
        <v>531125</v>
      </c>
      <c r="FS37" s="2861" t="str">
        <f>+IF(OR(DJ37="",IF(R37="",IF(R36="",R35,R36),R37)=""),"",(DJ37+EA37)/IF(R37="",IF(R36="",R35,R36),R37))</f>
        <v/>
      </c>
      <c r="FT37" s="2056" t="str">
        <f>+IF(OR(BB37="",ISERROR(FS37/FR37)),"",FS37/FR37)</f>
        <v/>
      </c>
      <c r="FU37" s="2816">
        <f>+IF(OR(BB37="",ISERROR(1-(FR37+IF(FS37="",0,FS37)+FN37+FP37)*IF(R37="",IF(R36="",R35,R36),R37)/(CT37+DK37))),"",1-(FR37+IF(FS37="",0,FS37)+FN37+FP37)*IF(R37="",IF(R36="",R35,R36),R37)/(CT37+DK37))</f>
        <v>0</v>
      </c>
      <c r="FV37" s="2446">
        <f>+IF(FC37="","",FC37/IF(OR(ISTEXT(T37),T37=""),IF(OR(ISTEXT(T36),T36=""),IF(OR(ISTEXT(T35),T35=""),1,T35),T36),T37))</f>
        <v>13278.125</v>
      </c>
      <c r="FW37" s="2079">
        <f>+IF(OR(EH37="",IF(R37="",IF(R36="",R35,R36),R37)=""),"",EH37/IF(R37="",IF(R36="",R35,R36),R37))</f>
        <v>876250</v>
      </c>
      <c r="FX37" s="2080">
        <f>+IF(ISERR(FW37/$FC37),"",FW37/$FC37)</f>
        <v>1.6497999529301013</v>
      </c>
      <c r="FY37" s="2079">
        <f>+IF(OR(EP37="",IF(R37="",IF(R36="",R35,R36),R37)=""),"",EP37/IF(R37="",IF(R36="",R35,R36),R37))</f>
        <v>30000</v>
      </c>
      <c r="FZ37" s="2080">
        <f>+IF(ISERR(FY37/$FC37),"",FY37/$FC37)</f>
        <v>5.6483878559661096E-2</v>
      </c>
      <c r="GA37" s="2080" t="str">
        <f>+IF(IF(V37="",V36,V37)="Utility Boiler",IF(ISERR(FY37/(FC37+FW37)),"",FY37/(FC37+FW37)),"")</f>
        <v/>
      </c>
      <c r="GB37" s="2079">
        <f>+IF(OR(ET37="",IF(R37="",IF(R36="",R35,R36),R37)=""),"",ET37/IF(R37="",IF(R36="",R35,R36),R37))</f>
        <v>56862.5</v>
      </c>
      <c r="GC37" s="2080">
        <f>+IF(ISERR(GB37/$FC37),"",GB37/$FC37)</f>
        <v>0.10706048481995764</v>
      </c>
      <c r="GD37" s="2080" t="str">
        <f>+IF(IF(V37="",V36,V37)="Utility Boiler",IF(ISERR(GB37/($FC37)),"",GB37/(FC37+FW37+FY37)),"")</f>
        <v/>
      </c>
      <c r="GE37" s="1605">
        <f>+IF(OR(FB37="",IF(R37="",IF(R36="",R35,R36),R37)=""),"",FB37/IF(R37="",IF(R36="",R35,R36),R37))</f>
        <v>1494237.5</v>
      </c>
      <c r="GF37" s="2131">
        <f>+IF(FB37="","",(IF(FA37="",0,FA37)-IF(EZ37="",0,EZ37))+(IF(EU37="",0,EU37)+IF(EV37="",0,EV37)+(IF(EW37="",0,EW37)+IF(EX37="",0,EX37))/IF(R37="",IF(R36="",R35,R36),R37)+IF(FC37="",0,FC37)+IF(FW37="",0,FW37)+IF(FY37="",0,FY37)+IF(GB37="",0,GB37)))</f>
        <v>1494237.5</v>
      </c>
      <c r="GG37" s="2154">
        <f>+IF(OR(CS37="",IF(R37="",IF(R36="",R35,R36),R37)="",GF37=0),"",1-(CS37/IF(R37="",IF(R36="",R35,R36),R37))/GF37)</f>
        <v>0</v>
      </c>
      <c r="GH37" s="1397">
        <f>+IF(ISERROR(GF37/IF(T37="",IF(T36="",T35,T36),T37)),"",IF(IF(T37="",IF(T36="",T35,T36),T37)="","",IF(GF37="","",GF37/IF(T37="",IF(T36="",T35,T36),T37))))</f>
        <v>37355.9375</v>
      </c>
      <c r="GI37" s="1605">
        <f>+GI38+102988</f>
        <v>3017969.06</v>
      </c>
      <c r="GJ37" s="3233">
        <f>+GJ38+50336</f>
        <v>525243.30856956658</v>
      </c>
      <c r="GK37" s="3435">
        <f>+IF(OR(BB37="",GJ37=""),"",IF(CB37="",1,CB37*IF(R37="",IF(R36="",R35,R36),R37)))</f>
        <v>8.1839999999999993</v>
      </c>
      <c r="GL37" s="3210">
        <f>+IF(OR(BB37="",GI37="",GJ37=""),"",(GJ37-GI37/GK37)/GJ37)</f>
        <v>0.29791671425073146</v>
      </c>
      <c r="GM37" s="1166"/>
      <c r="GN37" s="1168"/>
      <c r="GO37" s="2273">
        <f>+GO38+79448</f>
        <v>204021</v>
      </c>
      <c r="GP37" s="2274"/>
      <c r="GQ37" s="2208">
        <f>+IF(GP37+GO37=0,"",GP37+GO37)</f>
        <v>204021</v>
      </c>
      <c r="GR37" s="2208"/>
      <c r="GS37" s="2208"/>
      <c r="GT37" s="2208">
        <f>+GT38+23540</f>
        <v>2813948.06</v>
      </c>
      <c r="GU37" s="2201">
        <f>+IF(OR(SUM(GQ37:GT37)=0,GT37=""),IF(GK37=1,GJ37*GK37,IF(GI37="","",GI37)),SUM(GQ37:GT37))</f>
        <v>3017969.06</v>
      </c>
      <c r="GV37" s="1167">
        <f>+IF(OR(GO37="",IF(R37="",IF(R36="",R35,R36),R37)=""),"",GO37/IF(R37="",IF(R36="",R35,R36),R37))</f>
        <v>25502.625</v>
      </c>
      <c r="GW37" s="2238" t="str">
        <f>+IF(OR(GP37="",IF(R37="",IF(R36="",R35,R36),R37)=""),"",GP37/IF(R37="",IF(R36="",R35,R36),R37))</f>
        <v/>
      </c>
      <c r="GX37" s="2208">
        <f>+IF(OR(GQ37="",IF(R37="",IF(R36="",R35,R36),R37)=""),"",GQ37/IF(R37="",IF(R36="",R35,R36),R37))</f>
        <v>25502.625</v>
      </c>
      <c r="GY37" s="2208" t="str">
        <f>+IF(OR(GR37="",IF(R37="",IF(R36="",R35,R36),R37)=""),"",GR37/IF(R37="",IF(R36="",R35,R36),R37))</f>
        <v/>
      </c>
      <c r="GZ37" s="2208" t="str">
        <f>+IF(OR(GS37="",IF(R37="",IF(R36="",R35,R36),R37)=""),"",GS37/IF(R37="",IF(R36="",R35,R36),R37))</f>
        <v/>
      </c>
      <c r="HA37" s="2208">
        <f>+IF(OR(GT37="",IF(R37="",IF(R36="",R35,R36),R37)=""),"",GT37/IF(R37="",IF(R36="",R35,R36),R37))</f>
        <v>351743.50750000001</v>
      </c>
      <c r="HB37" s="1328">
        <f t="shared" si="22"/>
        <v>377246.13250000001</v>
      </c>
      <c r="HC37" s="1167">
        <f>+IF(OR(GU37="",IF(R37="",IF(R36="",R35,R36),R37)=""),"",GU37/IF(R37="",IF(R36="",R35,R36),R37))</f>
        <v>377246.13250000001</v>
      </c>
      <c r="HD37" s="3462">
        <f>+IF(ISERR((HB37-HC37)/HB37),"",(HB37-HC37)/HB37)</f>
        <v>0</v>
      </c>
      <c r="HE37" s="1169"/>
      <c r="HF37" s="3190">
        <f>+IF(OR(BB37="",GJ37=""),"",GJ37)</f>
        <v>525243.30856956658</v>
      </c>
      <c r="HG37" s="1168">
        <f t="shared" si="23"/>
        <v>335329.89555555559</v>
      </c>
      <c r="HH37" s="2976">
        <f>+IF(BF37="","",VALUE(LEFT(BF37,1)))</f>
        <v>4</v>
      </c>
      <c r="HI37" s="3058">
        <f>+IF(FR37="","",FR37)</f>
        <v>531125</v>
      </c>
      <c r="HJ37" s="3071">
        <f>+IF(FP37="","",FP37)</f>
        <v>0</v>
      </c>
      <c r="HK37" s="3071">
        <f>+IF(FN37="","",FN37)</f>
        <v>0</v>
      </c>
      <c r="HL37" s="3071" t="str">
        <f>+IF(FR37="","",IF(HH37="","",IF(HH37=4,FS37,IF(HH37=3,FS37,IF(HH37=2,$HL$7*HI37,IF(HH37=1,$HL$6*HI37,""))))))</f>
        <v/>
      </c>
      <c r="HM37" s="3084">
        <f>IF(FR37="","",SUM(HI37:HL37))</f>
        <v>531125</v>
      </c>
      <c r="HN37" s="1173">
        <f>+IF(ISERROR(HM37/IF(T37="",IF(T36="",IF(T35="",1,T35),T36),T37)),"",IF(FR37="","",HM37/IF(T37="",IF(T36="",IF(T35="",1,T35),T36),T37)))</f>
        <v>13278.125</v>
      </c>
      <c r="HO37" s="1170">
        <f>+IF(FR37="","",IF(HH37="","",IF(HH37=4,FW37,IF(HH37=3,FW37,IF(HH37=2,$HO$7*HM37,IF(HH37=1,$HO$6*HM37,""))))))</f>
        <v>876250</v>
      </c>
      <c r="HP37" s="1171">
        <f>+IF(FR37="","",IF(HH37="","",IF(HH37=4,FY37,IF(HH37=3,FY37,IF(HH37=2,$HP$7*(HM37+HO37),IF(HH37=1,$HP$6*HM37,""))))))</f>
        <v>30000</v>
      </c>
      <c r="HQ37" s="1165" t="str">
        <f>+IF(FR37="","",IF(HH37="","",IF(HH37=3,$HQ$8*(HI37+HO37+HP37),"")))</f>
        <v/>
      </c>
      <c r="HR37" s="1172">
        <f>+IF(FR37="","",IF(HH37="","",IF(HH37=4,GB37,IF(HH37=3,$HR$8*HO37,IF(HH37=2,$HR$7*(HM37+HO37+HP37),IF(HH37=1,$HR$6*HM37,""))))))</f>
        <v>56862.5</v>
      </c>
      <c r="HS37" s="1172">
        <f>IF(FR37="","",SUM(HQ37:HR37))</f>
        <v>56862.5</v>
      </c>
      <c r="HT37" s="1170" t="str">
        <f>+IF(FR37="","",IF(HH37="","",IF(HH37=2,$HT$7*(HP37+HR37),"")))</f>
        <v/>
      </c>
      <c r="HU37" s="1172" t="str">
        <f>+IF(FR37="","",IF(HH37="","",IF(HH37=2,$HU$7*(HP37+HR37),"")))</f>
        <v/>
      </c>
      <c r="HV37" s="1170" t="str">
        <f>+IF(FR37="","",IF(HH37="","",IF(HH37=3,$HV$8*(HI37+HO37+HP37+HS37),"")))</f>
        <v/>
      </c>
      <c r="HW37" s="1172" t="str">
        <f>+IF(FR37="","",IF(HH37="","",IF(HH37=3,$HW$8*(HI37+HO37+HP37+HS37),"")))</f>
        <v/>
      </c>
      <c r="HX37" s="3130">
        <f t="shared" si="24"/>
        <v>1494237.5</v>
      </c>
      <c r="HY37" s="1171" t="str">
        <f>+IF(EZ37="","",EZ37/IF(R37="",IF(R36="",IF(R35="",1,R35),R36),R37))</f>
        <v/>
      </c>
      <c r="HZ37" s="1172" t="str">
        <f>+IF(FA37="","",FA37/IF(R37="",IF(R36="",IF(R35="",1,R35),R36),R37))</f>
        <v/>
      </c>
      <c r="IA37" s="3058">
        <f>+IF(HM37="","",HX37-IF(HY37="",0,HY37)+IF(HZ37="",0,HZ37))</f>
        <v>1494237.5</v>
      </c>
      <c r="IB37" s="3518" t="str">
        <f t="shared" si="25"/>
        <v>same TCC</v>
      </c>
      <c r="IC37" s="1173">
        <f>+IF(OR(IA37="",ISERROR(IA37/IF(T37="",IF(T36="",IF(T35="",1,T35),T36),T37))),"",IA37/IF(T37="",IF(T36="",IF(T35="",1,T35),T36),T37))</f>
        <v>37355.9375</v>
      </c>
      <c r="ID37" s="1170"/>
      <c r="IE37" s="1165"/>
      <c r="IF37" s="1170">
        <f>+IF(GO37="","",GO37)</f>
        <v>204021</v>
      </c>
      <c r="IG37" s="6761"/>
      <c r="IH37" s="1171" t="str">
        <f>+IF(GP37="","",GP37)</f>
        <v/>
      </c>
      <c r="II37" s="1165"/>
      <c r="IJ37" s="1165">
        <f>+IF(SUM(IF(IH37="",0,IH37)+IF(IF37="",0,IF37))=0,"",IF(IH37="",0,IH37)+IF(IF37="",0,IF37))</f>
        <v>204021</v>
      </c>
      <c r="IK37" s="4122">
        <v>0</v>
      </c>
      <c r="IL37" s="1774">
        <f t="shared" ref="IL37:IL38" si="70">+IF(IF37="","",IK37*$IL$8*IF37)</f>
        <v>0</v>
      </c>
      <c r="IM37" s="1772">
        <f t="shared" ref="IM37:IM38" si="71">IF(HM37="","",IK37*$IM$8*IA37)</f>
        <v>0</v>
      </c>
      <c r="IN37" s="1925" t="str">
        <f>+IF(SUM(IF(IM37="",0,IM37)+IF(IL37="",0,IL37))=0,"",IF(IM37="",0,IM37)+IF(IL37="",0,IL37))</f>
        <v/>
      </c>
      <c r="IO37" s="1925">
        <f>+IF(SUM(IF(IN37="",0,IN37)+IF(IJ37="",0,IJ37))=0,"",IF(IN37="",0,IN37)+IF(IJ37="",0,IJ37))</f>
        <v>204021</v>
      </c>
      <c r="IP37" s="1925">
        <f t="shared" ref="IP37:IP38" si="72">+IF(BB37="","",IF(IJ37="","",IJ37/IF(R37="",IF(R36="",IF(R35="",R34,R35),R36),R37)))</f>
        <v>25502.625</v>
      </c>
      <c r="IQ37" s="6834">
        <f t="shared" ref="IQ37:IQ38" si="73">+IF(IP37="","",IP37/IX37)</f>
        <v>0.15312470645423679</v>
      </c>
      <c r="IR37" s="1925" t="str">
        <f t="shared" ref="IR37:IR38" si="74">+IF(BB37="","",IF(IN37="","",IN37/IF(R37="",IF(R36="",IF(R35="",R34,R35),R36),R37)))</f>
        <v/>
      </c>
      <c r="IS37" s="6834" t="str">
        <f t="shared" ref="IS37:IS38" si="75">+IF(IR37="","",IR37/IX37)</f>
        <v/>
      </c>
      <c r="IT37" s="1925">
        <f>+IF(BB37="","",IF(IO37="","",IO37/IF(R37="",IF(R36="",IF(R35="",R34,R35),R36),R37)))</f>
        <v>25502.625</v>
      </c>
      <c r="IU37" s="6834">
        <f>+IF(IT37="","",IT37/IX37)</f>
        <v>0.15312470645423679</v>
      </c>
      <c r="IV37" s="7260">
        <f t="shared" si="26"/>
        <v>1</v>
      </c>
      <c r="IW37" s="1772">
        <f t="shared" si="52"/>
        <v>141045.44938028805</v>
      </c>
      <c r="IX37" s="4211">
        <f>+IF(SUM(IF(IW37="",0,IW37)+IF(IT37="",0,IT37))=0,IY37,IF(IW37="",0,IW37)+IF(IT37="",0,IT37))</f>
        <v>166548.07438028805</v>
      </c>
      <c r="IY37" s="4239">
        <f>+HC37</f>
        <v>377246.13250000001</v>
      </c>
      <c r="IZ37" s="4264">
        <f>+IF(IY37="","",(IY37-IX37)/IY37)</f>
        <v>0.55851615157303691</v>
      </c>
      <c r="JA37" s="4265" t="str">
        <f t="shared" si="53"/>
        <v>stk added + 56%</v>
      </c>
      <c r="JB37" s="1172"/>
      <c r="JC37" s="4317"/>
      <c r="JD37" s="3190">
        <f t="shared" si="27"/>
        <v>162803.59176958754</v>
      </c>
      <c r="JE37" s="4352">
        <f t="shared" si="28"/>
        <v>148042.73278247827</v>
      </c>
      <c r="JF37" s="7023">
        <f>+IF(D37="","",IF(T37="",IF(T36="",T35/IF(Y35="TP",2,1),T36/IF(Y36="TP",2,1)),T37/IF(Y37="TP",2,1)))</f>
        <v>20</v>
      </c>
      <c r="JG37" s="2435" t="s">
        <v>2437</v>
      </c>
      <c r="JH37" s="6954">
        <f>+IF(D37="","",IF(HX37="","",HX37))</f>
        <v>1494237.5</v>
      </c>
      <c r="JI37" s="6954">
        <f>+JH38</f>
        <v>1481737.5</v>
      </c>
      <c r="JJ37" s="6954">
        <f>+JH37-JI37</f>
        <v>12500</v>
      </c>
      <c r="JK37" s="6954">
        <v>0</v>
      </c>
      <c r="JL37" s="6991"/>
      <c r="JM37" s="1769" t="str">
        <f t="shared" ref="JM37:JM38" si="76">+IF(D37="","",IF(JG37="SCR",(JF37*49700+459000),IF(JG37="HPWI",(0.0353*JF37+0.2915)*(10^6),"N/A")))</f>
        <v>N/A</v>
      </c>
      <c r="JN37" s="7017" t="str">
        <f>+IF(D37="","",IF(JM37="N/A","",JM37*$JN$27))</f>
        <v/>
      </c>
      <c r="JO37" s="2435">
        <f>+JO38</f>
        <v>1725675</v>
      </c>
      <c r="JP37" s="7069">
        <f>+JJ37</f>
        <v>12500</v>
      </c>
      <c r="JQ37" s="7069"/>
      <c r="JR37" s="2435"/>
      <c r="JS37" s="1770">
        <f>+IF(D37="","",SUM(JO37:JR37))</f>
        <v>1738175</v>
      </c>
      <c r="JT37" s="7115">
        <f t="shared" si="54"/>
        <v>1</v>
      </c>
      <c r="JU37" s="7116">
        <f>+JU36</f>
        <v>19</v>
      </c>
      <c r="JV37" s="8361">
        <f>+JV36</f>
        <v>3819</v>
      </c>
      <c r="JW37" s="8388">
        <f t="shared" si="55"/>
        <v>1.125</v>
      </c>
      <c r="JX37" s="8417" t="str">
        <f t="shared" ref="JX37:JX38" si="77">+IF(OR(D37="",JU37=""),"",IF(JT37=2,24000/JU37,""))</f>
        <v/>
      </c>
      <c r="JY37" s="8452" t="str">
        <f t="shared" ref="JY37:JY38" si="78">+IF(D37="","",IF(JT37=2,($JY$8*(1+$JY$8)^JX37)/((1+$JY$8)^JX37-1),""))</f>
        <v/>
      </c>
      <c r="JZ37" s="7117" t="str">
        <f t="shared" ref="JZ37:JZ38" si="79">+IF(OR(D37="",JU37="",ISERROR(JF37)),"",IF(JT37=2,JF37*6180/83,""))</f>
        <v/>
      </c>
      <c r="KA37" s="7115">
        <f t="shared" si="31"/>
        <v>10965.630114566286</v>
      </c>
      <c r="KB37" s="7116">
        <f t="shared" si="32"/>
        <v>7675.9410801963995</v>
      </c>
      <c r="KC37" s="7117">
        <f t="shared" si="33"/>
        <v>15.335480576888108</v>
      </c>
      <c r="KD37" s="7115">
        <f t="shared" ref="KD37:KD38" si="80">+IF(OR(D37="",JV37=""),"",IF(JT37=1,$KD$5*JU37*$KD$6/1000,$KD$7*JU37*$KD$8/1000))</f>
        <v>368.75200000000001</v>
      </c>
      <c r="KE37" s="8325" t="str">
        <f t="shared" ref="KE37:KE38" si="81">+IF(OR(D37="",JW37="",JW37=0),"",IF(JT37=2,JW37*$KE$8*$KG$4,""))</f>
        <v/>
      </c>
      <c r="KF37" s="8325" t="str">
        <f t="shared" ref="KF37:KF38" si="82">+IF(OR(D37="",JW37="",JW37=0),"",IF(JT37=2,JW37*(0.95/0.05)*(18/17)*($KF$8/1000)*(2000)*$KG$4,""))</f>
        <v/>
      </c>
      <c r="KG37" s="7116">
        <f t="shared" ref="KG37:KG38" si="83">+IF(D37="","",IF(JT37=1,$KG$2*KC37/1000*60*JU37*$KG$4*$KG$6,IF(OR(JZ37="",JY37=""),"",JZ37*$KG$8*JY37*$KG$4)))</f>
        <v>242.74948778150576</v>
      </c>
      <c r="KH37" s="7116" t="str">
        <f>IF(D37="","",IF(JT37=2,0.005*JF37*$KD$6/1000*1000*JU37,""))</f>
        <v/>
      </c>
      <c r="KI37" s="7116" t="str">
        <f>IF(D37="","",IF(JT37=2,0.1*0.005*JF37*$KD$6/1000*1000*JU37,""))</f>
        <v/>
      </c>
      <c r="KJ37" s="7116">
        <f t="shared" ref="KJ37:KJ38" si="84">+IF(OR(D37="",JU37="",JV37=""),"",IF(JT37=1,KD37+KG37,KD37+KE37+KF37+KG37+KH37+KI37))</f>
        <v>611.50148778150583</v>
      </c>
      <c r="KK37" s="7116">
        <f>+IF(OR(D37="",JU37="",JV37=""),"",$KK$7*$KG$4*JU37)</f>
        <v>1993.2368000000001</v>
      </c>
      <c r="KL37" s="7116">
        <f t="shared" si="58"/>
        <v>123.84496875000001</v>
      </c>
      <c r="KM37" s="7116">
        <f t="shared" ref="KM37:KM38" si="85">+IF(D37="","",IF(KK37="",0,KK37)+IF(KL37="",0,KL37))</f>
        <v>2117.0817687500003</v>
      </c>
      <c r="KN37" s="7116" t="str">
        <f>+IF(D37="","",IF(JX37&lt;41,$KN$8*JZ37*JY37,""))</f>
        <v/>
      </c>
      <c r="KO37" s="7116">
        <f t="shared" ref="KO37:KO38" si="86">+IF(OR(D37="",JU37="",JV37=""),"",IF(KM37="",0,KM37)+IF(KN37="",0,KN37))</f>
        <v>2117.0817687500003</v>
      </c>
      <c r="KP37" s="7117">
        <f t="shared" ref="KP37:KP38" si="87">+IF(OR(D37="",JU37="",JV37=""),"",IF(KJ37="",0,KJ37)+IF(KO37="",0,KO37))</f>
        <v>2728.5832565315059</v>
      </c>
      <c r="KQ37" s="1771">
        <f>+IF(D37="","",VLOOKUP(MATCH(BE37,ac_id,0),ad,ac!$F$8,FALSE)*JV37)</f>
        <v>26733</v>
      </c>
      <c r="KR37" s="7069">
        <f>+IF(D37="","",IF(JT37=1,VLOOKUP(MATCH(BE37,ac_id,0),ad,ac!$H$8,FALSE)*JU37, (VLOOKUP(MATCH(BE37,ac_id,0),ad,ac!$H$8,FALSE)*JU37^(1+VLOOKUP(MATCH(BE37,ac_id,0),ad,ac!$I$8,FALSE)))))</f>
        <v>4750</v>
      </c>
      <c r="KS37" s="1770">
        <f>+IF(D37="","",KQ37+KR37)</f>
        <v>31483</v>
      </c>
      <c r="KT37" s="1771">
        <f t="shared" si="61"/>
        <v>1270.2490612500001</v>
      </c>
      <c r="KU37" s="2435">
        <f t="shared" si="62"/>
        <v>69527</v>
      </c>
      <c r="KV37" s="7310">
        <f t="shared" si="63"/>
        <v>1</v>
      </c>
      <c r="KW37" s="7196">
        <f t="shared" ref="KW37:KW38" si="88">IF(JS37="","",IF(KV37=1,$KW$5,IF(KV37=2,$KW$8,""))*JS37)</f>
        <v>149153.69577003046</v>
      </c>
      <c r="KX37" s="1770">
        <f t="shared" si="64"/>
        <v>219950.94483128045</v>
      </c>
      <c r="KY37" s="7197">
        <f t="shared" si="65"/>
        <v>222679.52808781195</v>
      </c>
      <c r="KZ37" s="7194"/>
      <c r="LA37" s="7196">
        <f t="shared" si="66"/>
        <v>217673.04798417594</v>
      </c>
      <c r="LB37" s="7195">
        <f t="shared" si="67"/>
        <v>197937.35830027729</v>
      </c>
      <c r="LC37" s="5133"/>
      <c r="LD37" s="5132"/>
      <c r="LE37" s="5132"/>
      <c r="LF37" s="5132"/>
      <c r="LG37" s="5132"/>
      <c r="LH37" s="5132"/>
      <c r="LI37" s="5132"/>
      <c r="LJ37" s="5132"/>
    </row>
    <row r="38" spans="1:322" s="13" customFormat="1" ht="25.5" customHeight="1">
      <c r="A38" s="5954" t="str">
        <f t="shared" si="46"/>
        <v>8302-03</v>
      </c>
      <c r="B38" s="9305">
        <f>+IF(A38="","",VLOOKUP(MATCH(A38,tid,0),tao,'12(id)'!$J$20,FALSE))</f>
        <v>0</v>
      </c>
      <c r="C38" s="6365" t="str">
        <f t="shared" si="47"/>
        <v>12A</v>
      </c>
      <c r="D38" s="1110" t="str">
        <f t="shared" si="48"/>
        <v>8302-01-03</v>
      </c>
      <c r="E38" s="836" t="str">
        <f>+IF(BD38="","",BD38)</f>
        <v>High Pressure Water Injection (HPWI)</v>
      </c>
      <c r="F38" s="836" t="str">
        <f t="shared" si="49"/>
        <v>HPWI</v>
      </c>
      <c r="G38" s="5133"/>
      <c r="H38" s="5132"/>
      <c r="I38" s="5133"/>
      <c r="J38" s="719">
        <f t="shared" si="68"/>
        <v>4</v>
      </c>
      <c r="K38" s="649">
        <f t="shared" si="69"/>
        <v>4</v>
      </c>
      <c r="L38" s="9650"/>
      <c r="M38" s="9650">
        <f>+IF(O38="","",VLOOKUP(MATCH(O38,tid,0),tao,'12(id)'!$I$20,FALSE))</f>
        <v>0</v>
      </c>
      <c r="N38" s="9648"/>
      <c r="O38" s="8671" t="s">
        <v>280</v>
      </c>
      <c r="P38" s="9650"/>
      <c r="Q38" s="8576" t="str">
        <f>+IF(ISERROR(MATCH(O38,tid,0)),"",VLOOKUP(MATCH(O38,tid,0),tao,'12(id)'!$Q$20,FALSE))</f>
        <v>12A</v>
      </c>
      <c r="R38" s="8671">
        <f>+IF(O38="","",VLOOKUP(MATCH(O38,tid,0),tao,'12(id)'!$U$20,FALSE))</f>
        <v>8</v>
      </c>
      <c r="S38" s="10759"/>
      <c r="T38" s="10316">
        <f>+IF(ISERROR(MATCH(O38,tid,0)),"",IF(VLOOKUP(MATCH(O38,tid,0),tao,'12(id)'!$CT$20,FALSE)="","",VLOOKUP(MATCH(O38,tid,0),tao,'12(id)'!$CT$20,FALSE)))</f>
        <v>40</v>
      </c>
      <c r="U38" s="10308" t="str">
        <f>+IF(ISERROR(MATCH(O38,tid,0)),"",IF(VLOOKUP(MATCH(O38,tid,0),tao,'12(id)'!$CU$20,FALSE)="","",VLOOKUP(MATCH(O38,tid,0),tao,'12(id)'!$CU$20,FALSE)))</f>
        <v/>
      </c>
      <c r="V38" s="10314" t="str">
        <f>+IF(O38="","",IF(VLOOKUP(MATCH(O38,tid,0),tao,'12(id)'!$T$20,FALSE)="","",VLOOKUP(MATCH(O38,tid,0),tao,'12(id)'!$T$20,FALSE)))</f>
        <v>Combustion Turbine</v>
      </c>
      <c r="W38" s="417" t="str">
        <f>+IF(ISERROR(MATCH(O38,tid,0)),"",IF(VLOOKUP(MATCH(O38,tid,0),tao,'12(id)'!$CO$20,FALSE)="","",VLOOKUP(MATCH(O38,tid,0),tao,'12(id)'!$CO$20,FALSE)))</f>
        <v>Pratt &amp; Whitney</v>
      </c>
      <c r="X38" s="8625" t="str">
        <f>+IF(ISERROR(MATCH(O38,tid,0)),"",IF(VLOOKUP(MATCH(O38,tid,0),tao,'12(id)'!$CP$20,FALSE)="","",VLOOKUP(MATCH(O38,tid,0),tao,'12(id)'!$CP$20,FALSE)))</f>
        <v>TP4-2(A9) LF</v>
      </c>
      <c r="Y38" s="2388" t="str">
        <f>+IF(ISERROR(MATCH(O38,tid,0)),"",IF(VLOOKUP(MATCH(O38,tid,0),tao,'12(id)'!$CQ$20,FALSE)="","",VLOOKUP(MATCH(O38,tid,0),tao,'12(id)'!$CQ$20,FALSE)))</f>
        <v>TP</v>
      </c>
      <c r="Z38" s="8563" t="str">
        <f>+IF(ISERROR(MATCH(O38,tid,0)),"",VLOOKUP(MATCH(O38,tid,0),tao,'12(id)'!$DB$20,FALSE)&amp;" "&amp;VLOOKUP(MATCH(O38,tid,0),tao,'12(id)'!$DC$20,FALSE))</f>
        <v xml:space="preserve"> 1970</v>
      </c>
      <c r="AA38" s="52" t="str">
        <f ca="1">+IF(ISERROR(MATCH(O38,tid,0)),"",IF(VLOOKUP(MATCH(O38,tid,0),tao,'12(id)'!$DE$20,FALSE)="","",ROUND(VLOOKUP(MATCH(O38,tid,0),tao,'12(id)'!$DE$20,FALSE),0)&amp;" yrs"))</f>
        <v>45 yrs</v>
      </c>
      <c r="AB38" s="282" t="str">
        <f>+IF(ISERROR(MATCH(O38,tid,0)),"",VLOOKUP(MATCH(O38,tid,0),tao,'12(id)'!$DI$20,FALSE))</f>
        <v>Jet Fuel A (Kerosene K1)</v>
      </c>
      <c r="AC38" s="282" t="str">
        <f>+IF(ISERROR(MATCH(O38,tid,0)),"",IF(VLOOKUP(MATCH(O38,tid,0),tao,'12(id)'!$DQ$20,FALSE)="","",VLOOKUP(MATCH(O38,tid,0),tao,'12(id)'!$DQ$20,FALSE)))</f>
        <v>No. 2 oil</v>
      </c>
      <c r="AD38" s="115">
        <f>+IF(ISERROR(MATCH(O38,tid,0)),"",IF(VLOOKUP(MATCH(O38,tid,0),tao,'12(id)'!$EI$20,FALSE)="","",VLOOKUP(MATCH(O38,tid,0),tao,'12(id)'!$EI$20,FALSE)))</f>
        <v>0.74399999999999999</v>
      </c>
      <c r="AE38" s="115">
        <f>+IF(ISERROR(MATCH(O38,tid,0)),"",IF(VLOOKUP(MATCH(O38,tid,0),tao,'12(id)'!$EJ$20,FALSE)="","",VLOOKUP(MATCH(O38,tid,0),tao,'12(id)'!$EJ$20,FALSE)))</f>
        <v>124.8</v>
      </c>
      <c r="AF38" s="10671">
        <f>+IF(ISERROR(MATCH(O38,tid,0)),"",IF(VLOOKUP(MATCH(O38,tid,0),tao,'12(id)'!$EL$20,FALSE)="","",VLOOKUP(MATCH(O38,tid,0),tao,'12(id)'!$EL$20,FALSE)))</f>
        <v>0.81</v>
      </c>
      <c r="AG38" s="10691" t="str">
        <f>+IF(ISERROR(MATCH(O38,tid,0)),"",IF(VLOOKUP(MATCH(O38,tid,0),tao,'12(id)'!$EM$20,FALSE)="","",VLOOKUP(MATCH(O38,tid,0),tao,'12(id)'!$EM$20,FALSE)))</f>
        <v/>
      </c>
      <c r="AH38" s="10757"/>
      <c r="AI38" s="10682"/>
      <c r="AJ38" s="960"/>
      <c r="AK38" s="960"/>
      <c r="AL38" s="960"/>
      <c r="AM38" s="961"/>
      <c r="AN38" s="10769"/>
      <c r="AO38" s="10311" t="str">
        <f>+IF(ISERROR(MATCH(O38,tid,0)),"",IF(VLOOKUP(MATCH(O38,tid,0),tao,'12(id)'!$GY$20,FALSE)="","",VLOOKUP(MATCH(O38,tid,0),tao,'12(id)'!$GY$20,FALSE)))</f>
        <v/>
      </c>
      <c r="AP38" s="8645" t="str">
        <f>+IF($BB38="","",IF(VLOOKUP(MATCH(O38,tid,0),tao,'12(id)'!$HE$20,FALSE)="","",VLOOKUP(MATCH(O38,tid,0),tao,'12(id)'!$HE$20,FALSE)))</f>
        <v/>
      </c>
      <c r="AQ38" s="10311" t="str">
        <f>+IF(ISERROR(VLOOKUP(MATCH(O38,tid,0),tao,'12(id)'!$HF$20,FALSE)),"",VLOOKUP(MATCH(O38,tid,0),tao,'12(id)'!$HF$20,FALSE))</f>
        <v/>
      </c>
      <c r="AR38" s="10336">
        <f>+IF(ISERROR(MATCH(O38,tid,0)),"",IF(VLOOKUP(MATCH(O38,tid,0),tao,'12(id)'!$HJ$20,FALSE)="","",VLOOKUP(MATCH(O38,tid,0),tao,'12(id)'!$HJ$20,FALSE)))</f>
        <v>0.73049999999999993</v>
      </c>
      <c r="AS38" s="10339">
        <f>+IF(ISERROR(MATCH(O38,tid,0)),"",IF(VLOOKUP(MATCH(O38,tid,0),tao,'12(id)'!$HK$20,FALSE)="","",VLOOKUP(MATCH(O38,tid,0),tao,'12(id)'!$HK$20,FALSE)))</f>
        <v>129.36842099334265</v>
      </c>
      <c r="AT38" s="10662" t="str">
        <f>+IF(ISERROR(MATCH(O38,tid,0)),"",IF(VLOOKUP(MATCH(O38,tid,0),tao,'12(id)'!$HM$20,FALSE)="","",VLOOKUP(MATCH(O38,tid,0),tao,'12(id)'!$HM$20,FALSE)))</f>
        <v/>
      </c>
      <c r="AU38" s="10362"/>
      <c r="AV38" s="10777" t="str">
        <f>+IF(BC38="","",IF(OR(O38="",O39="",O40="",O41="",O42="",O43="",O44="",O45=""),"",MAX(VLOOKUP(MATCH(O38,em_id,0),em,'5(em)'!$CX$18,FALSE),VLOOKUP(MATCH(O39,em_id,0),em,'5(em)'!$CX$18,FALSE),VLOOKUP(MATCH(O40,em_id,0),em,'5(em)'!$CX$18,FALSE),VLOOKUP(MATCH(O41,em_id,0),em,'5(em)'!$CX$18,FALSE),VLOOKUP(MATCH(O42,em_id,0),em,'5(em)'!$CX$18,FALSE),VLOOKUP(MATCH(O43,em_id,0),em,'5(em)'!$CX$18,FALSE),VLOOKUP(MATCH(O44,em_id,0),em,'5(em)'!$CX$18,FALSE),VLOOKUP(MATCH(O45,em_id,0),em,'5(em)'!$CX$18,FALSE))))</f>
        <v/>
      </c>
      <c r="AW38" s="10392" t="str">
        <f>+IF(BC38="","",IF(OR(O38="",O39="",O40="",O41="",O42="",O43="",O44="",O45=""),"",MAX(VLOOKUP(MATCH(O38,em_id,0),em,'5(em)'!$CZ$18,FALSE),VLOOKUP(MATCH(O39,em_id,0),em,'5(em)'!$CZ$18,FALSE),VLOOKUP(MATCH(O40,em_id,0),em,'5(em)'!$CZ$18,FALSE),VLOOKUP(MATCH(O41,em_id,0),em,'5(em)'!$CZ$18,FALSE),VLOOKUP(MATCH(O42,em_id,0),em,'5(em)'!$CZ$18,FALSE),VLOOKUP(MATCH(O43,em_id,0),em,'5(em)'!$CZ$18,FALSE),VLOOKUP(MATCH(O44,em_id,0),em,'5(em)'!$CZ$18,FALSE),VLOOKUP(MATCH(O45,em_id,0),em,'5(em)'!$CZ$18,FALSE))))</f>
        <v/>
      </c>
      <c r="AX38" s="10330" t="str">
        <f t="shared" si="50"/>
        <v/>
      </c>
      <c r="AY38" s="10325"/>
      <c r="AZ38" s="10398" t="str">
        <f>+IF(BC38="","",IF(OR(O38="",O39="",O40="",O41="",O42="",O43="",O44="",O45=""),"",MAX(VLOOKUP(MATCH(O38,em_id,0),em,'5(em)'!$DA$18,FALSE),VLOOKUP(MATCH(O39,em_id,0),em,'5(em)'!$DA$18,FALSE),VLOOKUP(MATCH(O40,em_id,0),em,'5(em)'!$DA$18,FALSE),VLOOKUP(MATCH(O41,em_id,0),em,'5(em)'!$DA$18,FALSE),VLOOKUP(MATCH(O42,em_id,0),em,'5(em)'!$DA$18,FALSE),VLOOKUP(MATCH(O43,em_id,0),em,'5(em)'!$DA$18,FALSE),VLOOKUP(MATCH(O44,em_id,0),em,'5(em)'!$DA$18,FALSE),VLOOKUP(MATCH(O45,em_id,0),em,'5(em)'!DA$18,FALSE))))</f>
        <v/>
      </c>
      <c r="BA38" s="834"/>
      <c r="BB38" s="1106" t="str">
        <f t="shared" si="11"/>
        <v>8302-01-03</v>
      </c>
      <c r="BC38" s="835">
        <f>1+BC37</f>
        <v>3</v>
      </c>
      <c r="BD38" s="836" t="str">
        <f>+IF(OR(D38="",VLOOKUP(MATCH(D38,op_id,0),op,'7(op)'!$T$18,FALSE)=""),"",VLOOKUP(MATCH(D38,op_id,0),op,'7(op)'!$T$18,FALSE))</f>
        <v>High Pressure Water Injection (HPWI)</v>
      </c>
      <c r="BE38" s="1106" t="s">
        <v>93</v>
      </c>
      <c r="BF38" s="1106" t="s">
        <v>1862</v>
      </c>
      <c r="BG38" s="837"/>
      <c r="BH38" s="838"/>
      <c r="BI38" s="839"/>
      <c r="BJ38" s="839"/>
      <c r="BK38" s="839"/>
      <c r="BL38" s="839"/>
      <c r="BM38" s="839"/>
      <c r="BN38" s="839" t="str">
        <f t="shared" si="12"/>
        <v/>
      </c>
      <c r="BO38" s="840" t="str">
        <f t="shared" si="13"/>
        <v/>
      </c>
      <c r="BP38" s="840" t="str">
        <f t="shared" si="14"/>
        <v/>
      </c>
      <c r="BQ38" s="841" t="str">
        <f t="shared" si="15"/>
        <v/>
      </c>
      <c r="BR38" s="842"/>
      <c r="BS38" s="843" t="s">
        <v>1892</v>
      </c>
      <c r="BT38" s="844"/>
      <c r="BU38" s="3733" t="str">
        <f>+IF(BB38="","",IF(VLOOKUP(MATCH(BB38,ef_id,0),ef,'11(eff)'!$Z$23,FALSE)="","",VLOOKUP(MATCH(BB38,ef_id,0),ef,'11(eff)'!$Z$23,FALSE)))</f>
        <v/>
      </c>
      <c r="BV38" s="3738" t="str">
        <f>+IF(BB38="","",IF(VLOOKUP(MATCH(BB38,ef_id,0),ef,'11(eff)'!$AA$23,FALSE)="","",VLOOKUP(MATCH(BB38,ef_id,0),ef,'11(eff)'!$AA$23,FALSE)))</f>
        <v/>
      </c>
      <c r="BW38" s="845"/>
      <c r="BX38" s="3797" t="str">
        <f>+IF(OR(BB38="",BW38=""),"",BW38/IF(R38="",IF(R37="",R36,R37),R38))</f>
        <v/>
      </c>
      <c r="BY38" s="3827" t="str">
        <f>+IF($BB38="","",IF(BU38="","",BU38/2000*IF(AQ38="",IF(AQ37="",AQ36,AQ37),AQ38)))</f>
        <v/>
      </c>
      <c r="BZ38" s="3404">
        <v>6.1379999999999999</v>
      </c>
      <c r="CA38" s="3432">
        <f>+IF(BB38="","",IF(BZ38="","",BZ38/IF(R38="",IF(R37="",R36,R37),R38)))</f>
        <v>0.76724999999999999</v>
      </c>
      <c r="CB38" s="3838">
        <f>+IF(OR(BX38="",BX38=0),IF(CA38="",IF(GJ38="","",GI38/GJ38/IF(R38="",IF(R37="",R36,R37),R38)),CA38),IF(AT38="",IF(AT37="",AT36,AT37),AT38)-BX38)</f>
        <v>0.76724999999999999</v>
      </c>
      <c r="CC38" s="3889" t="str">
        <f>+IF(OR($BB38="",BW38=""),"",IF(CB38="",IF(CD38="",IF(CD38="",IF(CE38="","",CE38)),CD38),CB38/IF($AT38="",IF($AT37="",$AT36,$AT37),$AT38)))</f>
        <v/>
      </c>
      <c r="CD38" s="3889" t="str">
        <f>+IF($BB38="","",IF(BU38="","",(1-BU38/IF(AR38="",IF(AR37="",AR36,AR37),AR38))))</f>
        <v/>
      </c>
      <c r="CE38" s="3896">
        <f>+IF(BB38="","",IF(VLOOKUP(MATCH(BB38,ef_id,0),ef,'11(eff)'!$AE$23,FALSE)="","",VLOOKUP(MATCH(BB38,ef_id,0),ef,'11(eff)'!$AE$23,FALSE)))</f>
        <v>0.6</v>
      </c>
      <c r="CF38" s="919" t="s">
        <v>1601</v>
      </c>
      <c r="CG38" s="844"/>
      <c r="CH38" s="2392"/>
      <c r="CI38" s="3838">
        <f>+IF(BB38="","",$AZ$36/$AW$36*2000*(1-CO38))</f>
        <v>0.3142183817753339</v>
      </c>
      <c r="CJ38" s="4059">
        <f>+IF($AY$36="","",$AY$36*(1-CO38))</f>
        <v>55.962246452972323</v>
      </c>
      <c r="CK38" s="3838">
        <f>+IF($BB38="","",IF(CI38="",$AZ$36-CL38,CI38/2000*$AW$36))</f>
        <v>0.60000000000000009</v>
      </c>
      <c r="CL38" s="3404">
        <f>+IF($BB38="","",IF(CI38="",CO38*$AZ$36,IF(CK38="","",$AZ$36-CK38)))</f>
        <v>0.89999999999999991</v>
      </c>
      <c r="CM38" s="3992">
        <f>+IF($BB38="","",IF(CL38="","",CL38/$AZ$36))</f>
        <v>0.6</v>
      </c>
      <c r="CN38" s="3992">
        <f>+IF($BB38="","",IF(CI38="","",(1-CI38/$AX$36)))</f>
        <v>0.6022552129426153</v>
      </c>
      <c r="CO38" s="3993">
        <f>+IF(BB38="","",IF(VLOOKUP(MATCH(BB38,ef_id,0),ef,'11(eff)'!$AE$23,FALSE)="","",VLOOKUP(MATCH(BB38,ef_id,0),ef,'11(eff)'!$AE$23,FALSE)))</f>
        <v>0.6</v>
      </c>
      <c r="CP38" s="3994"/>
      <c r="CQ38" s="1369" t="str">
        <f t="shared" si="51"/>
        <v>High Pressure Water Injection (HPWI)</v>
      </c>
      <c r="CR38" s="846"/>
      <c r="CS38" s="2748">
        <f>+'A2(sm)'!H71</f>
        <v>11853900</v>
      </c>
      <c r="CT38" s="1576">
        <f>+(SUM('A2(sm)'!H61:H64)+'A2(sm)'!H66)</f>
        <v>4149000</v>
      </c>
      <c r="CU38" s="1484">
        <v>1154000</v>
      </c>
      <c r="CV38" s="1775">
        <f t="shared" si="16"/>
        <v>1280000</v>
      </c>
      <c r="CW38" s="1776"/>
      <c r="CX38" s="1776">
        <v>115000</v>
      </c>
      <c r="CY38" s="1777"/>
      <c r="CZ38" s="2461"/>
      <c r="DA38" s="2436">
        <v>1600000</v>
      </c>
      <c r="DB38" s="2436"/>
      <c r="DC38" s="1775"/>
      <c r="DD38" s="1779"/>
      <c r="DE38" s="1780"/>
      <c r="DF38" s="1781"/>
      <c r="DG38" s="1781"/>
      <c r="DH38" s="1779"/>
      <c r="DI38" s="1680">
        <f>+IF(CT38="","",SUM(CU38:DC38)+SUM(DE38:DF38))</f>
        <v>4149000</v>
      </c>
      <c r="DJ38" s="1926"/>
      <c r="DK38" s="1576"/>
      <c r="DL38" s="1484"/>
      <c r="DM38" s="1775" t="str">
        <f t="shared" si="17"/>
        <v/>
      </c>
      <c r="DN38" s="1776"/>
      <c r="DO38" s="1776"/>
      <c r="DP38" s="1777"/>
      <c r="DQ38" s="2461"/>
      <c r="DR38" s="2436"/>
      <c r="DS38" s="2436"/>
      <c r="DT38" s="1775"/>
      <c r="DU38" s="1779"/>
      <c r="DV38" s="1780"/>
      <c r="DW38" s="1781"/>
      <c r="DX38" s="1781"/>
      <c r="DY38" s="1779"/>
      <c r="DZ38" s="1680" t="str">
        <f t="shared" si="18"/>
        <v/>
      </c>
      <c r="EA38" s="1926"/>
      <c r="EB38" s="1484">
        <f t="shared" si="19"/>
        <v>4149000</v>
      </c>
      <c r="EC38" s="1950">
        <v>1</v>
      </c>
      <c r="ED38" s="1404">
        <f>+IF(EB38&gt;0,IF(ISERROR(EB38*EC38),"",EB38*EC38),"")</f>
        <v>4149000</v>
      </c>
      <c r="EE38" s="1778">
        <v>160000</v>
      </c>
      <c r="EF38" s="2436">
        <v>6850000</v>
      </c>
      <c r="EG38" s="1777"/>
      <c r="EH38" s="1680">
        <f>+IF(OR(BB38="",EB38=""),"",SUM(EE38:EG38))</f>
        <v>7010000</v>
      </c>
      <c r="EI38" s="1780"/>
      <c r="EJ38" s="1781"/>
      <c r="EK38" s="1995"/>
      <c r="EL38" s="1444"/>
      <c r="EM38" s="1780"/>
      <c r="EN38" s="1781">
        <v>240000</v>
      </c>
      <c r="EO38" s="1995"/>
      <c r="EP38" s="1680">
        <f t="shared" si="21"/>
        <v>240000</v>
      </c>
      <c r="EQ38" s="1680"/>
      <c r="ER38" s="1680"/>
      <c r="ES38" s="1680"/>
      <c r="ET38" s="1444">
        <v>454900</v>
      </c>
      <c r="EU38" s="1174"/>
      <c r="EV38" s="1379"/>
      <c r="EW38" s="2568"/>
      <c r="EX38" s="2568"/>
      <c r="EY38" s="2675">
        <f>+IF(BB38="","",(IF(ED38="",0,ED38)+IF(EH38="",0,EH38)+IF(EP38="",0,EP38)+IF(ET38="",0,ET38)+IF(EW38="",0,EW38)+IF(EX38="",0,EX38)))</f>
        <v>11853900</v>
      </c>
      <c r="EZ38" s="2704"/>
      <c r="FA38" s="1379"/>
      <c r="FB38" s="2453">
        <f>+IF(BB38="","",(IF(EY38="",0,EY38)+IF(FA38="",0,FA38)-IF(EZ38="",0,EZ38)))</f>
        <v>11853900</v>
      </c>
      <c r="FC38" s="1721">
        <f>+IF(OR(ED38="",IF(R38="",IF(R37="",R36,R37),R38)=""),"",ED38/IF(R38="",IF(R37="",R36,R37),R38))</f>
        <v>518625</v>
      </c>
      <c r="FD38" s="2041">
        <f>+IF(OR(BB38="",IF(R38="",IF(R37="",R36,R37),R38)="",(CU38+DL38)=0),"",(CU38+DL38)/IF(R38="",IF(R37="",R36,R37),R38))</f>
        <v>144250</v>
      </c>
      <c r="FE38" s="2024">
        <f>+IF(OR(FC38="",FC38=0,FD38=""),"",FD38/FC38)</f>
        <v>0.27813931067727166</v>
      </c>
      <c r="FF38" s="2041">
        <f>+IF(OR(BB38="",CT38="",IF(R38="",IF(R37="",R36,R37),R38)=""),"",(SUM(CV38:CZ38)+(IF(DM38="",0,DM38)+SUM(DN38:DQ38)))/IF(R38="",IF(R37="",R36,R37),R38))</f>
        <v>174375</v>
      </c>
      <c r="FG38" s="2024">
        <f>+IF(OR(BB38="",ISERROR(FF38/FC38)),"",FF38/FC38)</f>
        <v>0.33622559652928419</v>
      </c>
      <c r="FH38" s="2041">
        <f>+IF(OR(BB38="",IF(R38="",IF(R37="",R36,R37),R38)="",),"",(DA38+DR38)/IF(R38="",IF(R37="",R36,R37),R38))</f>
        <v>200000</v>
      </c>
      <c r="FI38" s="2024">
        <f>+IF(OR(FC38="",FC38=0,FH38=""),"",FH38/FC38)</f>
        <v>0.38563509279344421</v>
      </c>
      <c r="FJ38" s="2791">
        <f>+IF(OR(BB38="",CT38=""),"",IF(FD38="",0,FD38)+IF(FF38="",0,FF38)+IF(FH38="",0,FH38))</f>
        <v>518625</v>
      </c>
      <c r="FK38" s="2800">
        <f>+IF(OR(BB38="",ISERROR(FJ38/FC38)),"",FJ38/FC38)</f>
        <v>1</v>
      </c>
      <c r="FL38" s="2041">
        <f>+IF(OR(BB38="",CT38="",IF(R38="",IF(R37="",R36,R37),R38)=""),"",(DB38+DC38+DS38+DT38)/IF(R38="",IF(R37="",R36,R37),R38))</f>
        <v>0</v>
      </c>
      <c r="FM38" s="2024">
        <f>+IF(OR(BB38="",ISERROR(FL38/FC38)),"",FL38/FC38)</f>
        <v>0</v>
      </c>
      <c r="FN38" s="2041">
        <f>+IF(OR(BB38="",CT38="",IF(R38="",IF(R37="",R36,R37),R38)=""),"",(DD38+DU38)/IF(R38="",IF(R37="",R36,R37),R38))</f>
        <v>0</v>
      </c>
      <c r="FO38" s="2024">
        <f>+IF(OR(BB38="",ISERROR(FN38/FC38)),"",FN38/FC38)</f>
        <v>0</v>
      </c>
      <c r="FP38" s="2041">
        <f>+IF(OR(BB38="",CT38="",IF(R38="",IF(R37="",R36,R37),R38)=""),"",(DG38+DH38+DX38+DY38)/IF(R38="",IF(R37="",R36,R37),R38))</f>
        <v>0</v>
      </c>
      <c r="FQ38" s="2024">
        <f>+IF(OR(BB38="",ISERROR(FL38/FC38)),"",FP38/FC38)</f>
        <v>0</v>
      </c>
      <c r="FR38" s="3392">
        <f>+IF(OR(BB38="",IF(R38="",IF(R37="",R36,R37),R38)="",(IF(DI38="",0,DI38)+IF(DZ38="",0,DZ38))=0),"",(IF(DI38="",0,DI38)+IF(DZ38="",0,DZ38))/IF(R38="",IF(R37="",R36,R37),R38))</f>
        <v>518625</v>
      </c>
      <c r="FS38" s="2862" t="str">
        <f>+IF(OR(DJ38="",IF(R38="",IF(R37="",R36,R37),R38)=""),"",(DJ38+EA38)/IF(R38="",IF(R37="",R36,R37),R38))</f>
        <v/>
      </c>
      <c r="FT38" s="2057" t="str">
        <f>+IF(OR(BB38="",ISERROR(FS38/FR38)),"",FS38/FR38)</f>
        <v/>
      </c>
      <c r="FU38" s="2817">
        <f>+IF(OR(BB38="",ISERROR(1-(FR38+IF(FS38="",0,FS38)+FN38+FP38)*IF(R38="",IF(R37="",R36,R37),R38)/(CT38+DK38))),"",1-(FR38+IF(FS38="",0,FS38)+FN38+FP38)*IF(R38="",IF(R37="",R36,R37),R38)/(CT38+DK38))</f>
        <v>0</v>
      </c>
      <c r="FV38" s="2447">
        <f>+IF(FC38="","",FC38/IF(OR(ISTEXT(T38),T38=""),IF(OR(ISTEXT(T37),T37=""),IF(OR(ISTEXT(T36),T36=""),1,T36),T37),T38))</f>
        <v>12965.625</v>
      </c>
      <c r="FW38" s="2081">
        <f>+IF(OR(EH38="",IF(R38="",IF(R37="",R36,R37),R38)=""),"",EH38/IF(R38="",IF(R37="",R36,R37),R38))</f>
        <v>876250</v>
      </c>
      <c r="FX38" s="2082">
        <f>+IF(ISERR(FW38/$FC38),"",FW38/$FC38)</f>
        <v>1.6895637503012775</v>
      </c>
      <c r="FY38" s="2081">
        <f>+IF(OR(EP38="",IF(R38="",IF(R37="",R36,R37),R38)=""),"",EP38/IF(R38="",IF(R37="",R36,R37),R38))</f>
        <v>30000</v>
      </c>
      <c r="FZ38" s="2082">
        <f>+IF(ISERR(FY38/$FC38),"",FY38/$FC38)</f>
        <v>5.7845263919016628E-2</v>
      </c>
      <c r="GA38" s="2082" t="str">
        <f>+IF(IF(V38="",V37,V38)="Utility Boiler",IF(ISERR(FY38/(FC38+FW38)),"",FY38/(FC38+FW38)),"")</f>
        <v/>
      </c>
      <c r="GB38" s="2081">
        <f>+IF(OR(ET38="",IF(R38="",IF(R37="",R36,R37),R38)=""),"",ET38/IF(R38="",IF(R37="",R36,R37),R38))</f>
        <v>56862.5</v>
      </c>
      <c r="GC38" s="2082">
        <f>+IF(ISERR(GB38/$FC38),"",GB38/$FC38)</f>
        <v>0.1096408773198361</v>
      </c>
      <c r="GD38" s="2082" t="str">
        <f>+IF(IF(V38="",V37,V38)="Utility Boiler",IF(ISERR(GB38/($FC38)),"",GB38/(FC38+FW38+FY38)),"")</f>
        <v/>
      </c>
      <c r="GE38" s="1606">
        <f>+IF(OR(FB38="",IF(R38="",IF(R37="",R36,R37),R38)=""),"",FB38/IF(R38="",IF(R37="",R36,R37),R38))</f>
        <v>1481737.5</v>
      </c>
      <c r="GF38" s="2132">
        <f>+IF(FB38="","",(IF(FA38="",0,FA38)-IF(EZ38="",0,EZ38))+(IF(EU38="",0,EU38)+IF(EV38="",0,EV38)+(IF(EW38="",0,EW38)+IF(EX38="",0,EX38))/IF(R38="",IF(R37="",R36,R37),R38)+IF(FC38="",0,FC38)+IF(FW38="",0,FW38)+IF(FY38="",0,FY38)+IF(GB38="",0,GB38)))</f>
        <v>1481737.5</v>
      </c>
      <c r="GG38" s="2155">
        <f>+IF(OR(CS38="",IF(R38="",IF(R37="",R36,R37),R38)="",GF38=0),"",1-(CS38/IF(R38="",IF(R37="",R36,R37),R38))/GF38)</f>
        <v>0</v>
      </c>
      <c r="GH38" s="1398">
        <f>+IF(ISERROR(GF38/IF(T38="",IF(T37="",T36,T37),T38)),"",IF(IF(T38="",IF(T37="",T36,T37),T38)="","",IF(GF38="","",GF38/IF(T38="",IF(T37="",T36,T37),T38))))</f>
        <v>37043.4375</v>
      </c>
      <c r="GI38" s="1606">
        <f>+'A2(sm)'!AC61</f>
        <v>2914981.06</v>
      </c>
      <c r="GJ38" s="3234">
        <f>+'A2(sm)'!AE61</f>
        <v>474907.30856956664</v>
      </c>
      <c r="GK38" s="3436">
        <f>+IF(OR(BB38="",GJ38=""),"",IF(CB38="",1,CB38*IF(R38="",IF(R37="",R36,R37),R38)))</f>
        <v>6.1379999999999999</v>
      </c>
      <c r="GL38" s="3211">
        <f>+IF(OR(BB38="",GI38="",GJ38=""),"",(GJ38-GI38/GK38)/GJ38)</f>
        <v>0</v>
      </c>
      <c r="GM38" s="1176"/>
      <c r="GN38" s="1178"/>
      <c r="GO38" s="2275">
        <f>+'A2(sm)'!AC78</f>
        <v>124573</v>
      </c>
      <c r="GP38" s="2276"/>
      <c r="GQ38" s="2209">
        <f>+IF(GP38+GO38=0,"",GP38+GO38)</f>
        <v>124573</v>
      </c>
      <c r="GR38" s="2209"/>
      <c r="GS38" s="2209"/>
      <c r="GT38" s="2209">
        <f>+'A2(sm)'!W69</f>
        <v>2790408.06</v>
      </c>
      <c r="GU38" s="2202">
        <f>+IF(OR(SUM(GQ38:GT38)=0,GT38=""),IF(GK38=1,GJ38*GK38,IF(GI38="","",GI38)),SUM(GQ38:GT38))</f>
        <v>2914981.06</v>
      </c>
      <c r="GV38" s="1177">
        <f>+IF(OR(GO38="",IF(R38="",IF(R37="",R36,R37),R38)=""),"",GO38/IF(R38="",IF(R37="",R36,R37),R38))</f>
        <v>15571.625</v>
      </c>
      <c r="GW38" s="2239" t="str">
        <f>+IF(OR(GP38="",IF(R38="",IF(R37="",R36,R37),R38)=""),"",GP38/IF(R38="",IF(R37="",R36,R37),R38))</f>
        <v/>
      </c>
      <c r="GX38" s="2209">
        <f>+IF(OR(GQ38="",IF(R38="",IF(R37="",R36,R37),R38)=""),"",GQ38/IF(R38="",IF(R37="",R36,R37),R38))</f>
        <v>15571.625</v>
      </c>
      <c r="GY38" s="2209" t="str">
        <f>+IF(OR(GR38="",IF(R38="",IF(R37="",R36,R37),R38)=""),"",GR38/IF(R38="",IF(R37="",R36,R37),R38))</f>
        <v/>
      </c>
      <c r="GZ38" s="2209" t="str">
        <f>+IF(OR(GS38="",IF(R38="",IF(R37="",R36,R37),R38)=""),"",GS38/IF(R38="",IF(R37="",R36,R37),R38))</f>
        <v/>
      </c>
      <c r="HA38" s="2209">
        <f>+IF(OR(GT38="",IF(R38="",IF(R37="",R36,R37),R38)=""),"",GT38/IF(R38="",IF(R37="",R36,R37),R38))</f>
        <v>348801.00750000001</v>
      </c>
      <c r="HB38" s="1329">
        <f t="shared" si="22"/>
        <v>364372.63250000001</v>
      </c>
      <c r="HC38" s="1177">
        <f>+IF(OR(GU38="",IF(R38="",IF(R37="",R36,R37),R38)=""),"",GU38/IF(R38="",IF(R37="",R36,R37),R38))</f>
        <v>364372.63250000001</v>
      </c>
      <c r="HD38" s="3463">
        <f>+IF(ISERR((HB38-HC38)/HB38),"",(HB38-HC38)/HB38)</f>
        <v>0</v>
      </c>
      <c r="HE38" s="1179"/>
      <c r="HF38" s="3191">
        <f>+IF(OR(BB38="",GJ38=""),"",GJ38)</f>
        <v>474907.30856956664</v>
      </c>
      <c r="HG38" s="1178">
        <f t="shared" si="23"/>
        <v>404858.48055555561</v>
      </c>
      <c r="HH38" s="2977">
        <f>+IF(BF38="","",VALUE(LEFT(BF38,1)))</f>
        <v>4</v>
      </c>
      <c r="HI38" s="3059">
        <f>+IF(FR38="","",FR38)</f>
        <v>518625</v>
      </c>
      <c r="HJ38" s="3072">
        <f>+IF(FP38="","",FP38)</f>
        <v>0</v>
      </c>
      <c r="HK38" s="3072">
        <f>+IF(FN38="","",FN38)</f>
        <v>0</v>
      </c>
      <c r="HL38" s="3072" t="str">
        <f>+IF(FR38="","",IF(HH38="","",IF(HH38=4,FS38,IF(HH38=3,FS38,IF(HH38=2,$HL$7*HI38,IF(HH38=1,$HL$6*HI38,""))))))</f>
        <v/>
      </c>
      <c r="HM38" s="3085">
        <f>IF(FR38="","",SUM(HI38:HL38))</f>
        <v>518625</v>
      </c>
      <c r="HN38" s="1183">
        <f>+IF(ISERROR(HM38/IF(T38="",IF(T37="",IF(T36="",1,T36),T37),T38)),"",IF(FR38="","",HM38/IF(T38="",IF(T37="",IF(T36="",1,T36),T37),T38)))</f>
        <v>12965.625</v>
      </c>
      <c r="HO38" s="1180">
        <f>+IF(FR38="","",IF(HH38="","",IF(HH38=4,FW38,IF(HH38=3,FW38,IF(HH38=2,$HO$7*HM38,IF(HH38=1,$HO$6*HM38,""))))))</f>
        <v>876250</v>
      </c>
      <c r="HP38" s="1181">
        <f>+IF(FR38="","",IF(HH38="","",IF(HH38=4,FY38,IF(HH38=3,FY38,IF(HH38=2,$HP$7*(HM38+HO38),IF(HH38=1,$HP$6*HM38,""))))))</f>
        <v>30000</v>
      </c>
      <c r="HQ38" s="1175" t="str">
        <f>+IF(FR38="","",IF(HH38="","",IF(HH38=3,$HQ$8*(HI38+HO38+HP38),"")))</f>
        <v/>
      </c>
      <c r="HR38" s="1182">
        <f>+IF(FR38="","",IF(HH38="","",IF(HH38=4,GB38,IF(HH38=3,$HR$8*HO38,IF(HH38=2,$HR$7*(HM38+HO38+HP38),IF(HH38=1,$HR$6*HM38,""))))))</f>
        <v>56862.5</v>
      </c>
      <c r="HS38" s="1182">
        <f>IF(FR38="","",SUM(HQ38:HR38))</f>
        <v>56862.5</v>
      </c>
      <c r="HT38" s="1180" t="str">
        <f>+IF(FR38="","",IF(HH38="","",IF(HH38=2,$HT$7*(HP38+HR38),"")))</f>
        <v/>
      </c>
      <c r="HU38" s="1182" t="str">
        <f>+IF(FR38="","",IF(HH38="","",IF(HH38=2,$HU$7*(HP38+HR38),"")))</f>
        <v/>
      </c>
      <c r="HV38" s="1180" t="str">
        <f>+IF(FR38="","",IF(HH38="","",IF(HH38=3,$HV$8*(HI38+HO38+HP38+HS38),"")))</f>
        <v/>
      </c>
      <c r="HW38" s="1182" t="str">
        <f>+IF(FR38="","",IF(HH38="","",IF(HH38=3,$HW$8*(HI38+HO38+HP38+HS38),"")))</f>
        <v/>
      </c>
      <c r="HX38" s="3131">
        <f t="shared" si="24"/>
        <v>1481737.5</v>
      </c>
      <c r="HY38" s="1181" t="str">
        <f>+IF(EZ38="","",EZ38/IF(R38="",IF(R37="",IF(R36="",1,R36),R37),R38))</f>
        <v/>
      </c>
      <c r="HZ38" s="1182" t="str">
        <f>+IF(FA38="","",FA38/IF(R38="",IF(R37="",IF(R36="",1,R36),R37),R38))</f>
        <v/>
      </c>
      <c r="IA38" s="3059">
        <f>+IF(HM38="","",HX38-IF(HY38="",0,HY38)+IF(HZ38="",0,HZ38))</f>
        <v>1481737.5</v>
      </c>
      <c r="IB38" s="3519" t="str">
        <f t="shared" si="25"/>
        <v>same TCC</v>
      </c>
      <c r="IC38" s="1183">
        <f>+IF(OR(IA38="",ISERROR(IA38/IF(T38="",IF(T37="",IF(T36="",1,T36),T37),T38))),"",IA38/IF(T38="",IF(T37="",IF(T36="",1,T36),T37),T38))</f>
        <v>37043.4375</v>
      </c>
      <c r="ID38" s="1180"/>
      <c r="IE38" s="1175"/>
      <c r="IF38" s="1180">
        <f>+IF(GO38="","",GO38)</f>
        <v>124573</v>
      </c>
      <c r="IG38" s="6762"/>
      <c r="IH38" s="1181" t="str">
        <f>+IF(GP38="","",GP38)</f>
        <v/>
      </c>
      <c r="II38" s="1175"/>
      <c r="IJ38" s="1175">
        <f>+IF(SUM(IF(IH38="",0,IH38)+IF(IF38="",0,IF38))=0,"",IF(IH38="",0,IH38)+IF(IF38="",0,IF38))</f>
        <v>124573</v>
      </c>
      <c r="IK38" s="4123">
        <v>0</v>
      </c>
      <c r="IL38" s="1781">
        <f t="shared" si="70"/>
        <v>0</v>
      </c>
      <c r="IM38" s="1779">
        <f t="shared" si="71"/>
        <v>0</v>
      </c>
      <c r="IN38" s="1926" t="str">
        <f>+IF(SUM(IF(IM38="",0,IM38)+IF(IL38="",0,IL38))=0,"",IF(IM38="",0,IM38)+IF(IL38="",0,IL38))</f>
        <v/>
      </c>
      <c r="IO38" s="1926">
        <f>+IF(SUM(IF(IN38="",0,IN38)+IF(IJ38="",0,IJ38))=0,"",IF(IN38="",0,IN38)+IF(IJ38="",0,IJ38))</f>
        <v>124573</v>
      </c>
      <c r="IP38" s="1926">
        <f t="shared" si="72"/>
        <v>15571.625</v>
      </c>
      <c r="IQ38" s="6835">
        <f t="shared" si="73"/>
        <v>0.10017954984925098</v>
      </c>
      <c r="IR38" s="1926" t="str">
        <f t="shared" si="74"/>
        <v/>
      </c>
      <c r="IS38" s="6835" t="str">
        <f t="shared" si="75"/>
        <v/>
      </c>
      <c r="IT38" s="1926">
        <f>+IF(BB38="","",IF(IO38="","",IO38/IF(R38="",IF(R37="",IF(R36="",R35,R36),R37),R38)))</f>
        <v>15571.625</v>
      </c>
      <c r="IU38" s="6835">
        <f>+IF(IT38="","",IT38/IX38)</f>
        <v>0.10017954984925098</v>
      </c>
      <c r="IV38" s="7261">
        <f t="shared" si="26"/>
        <v>1</v>
      </c>
      <c r="IW38" s="1779">
        <f t="shared" si="52"/>
        <v>139865.53780849735</v>
      </c>
      <c r="IX38" s="4212">
        <f>+IF(SUM(IF(IW38="",0,IW38)+IF(IT38="",0,IT38))=0,IY38,IF(IW38="",0,IW38)+IF(IT38="",0,IT38))</f>
        <v>155437.16280849735</v>
      </c>
      <c r="IY38" s="4240">
        <f>+HC38</f>
        <v>364372.63250000001</v>
      </c>
      <c r="IZ38" s="4266">
        <f>+IF(IY38="","",(IY38-IX38)/IY38)</f>
        <v>0.573411532743208</v>
      </c>
      <c r="JA38" s="4267" t="str">
        <f t="shared" si="53"/>
        <v>stk added + 57%</v>
      </c>
      <c r="JB38" s="1182"/>
      <c r="JC38" s="4318"/>
      <c r="JD38" s="3191">
        <f t="shared" si="27"/>
        <v>202589.98085173979</v>
      </c>
      <c r="JE38" s="4353">
        <f t="shared" si="28"/>
        <v>172707.95867610819</v>
      </c>
      <c r="JF38" s="7024">
        <f>+IF(D38="","",IF(T38="",IF(T37="",T36/IF(Y36="TP",2,1),T37/IF(Y37="TP",2,1)),T38/IF(Y38="TP",2,1)))</f>
        <v>20</v>
      </c>
      <c r="JG38" s="2436" t="s">
        <v>93</v>
      </c>
      <c r="JH38" s="6955">
        <f>+IF(D38="","",IF(HX38="","",HX38))</f>
        <v>1481737.5</v>
      </c>
      <c r="JI38" s="6955">
        <f>+JH38</f>
        <v>1481737.5</v>
      </c>
      <c r="JJ38" s="6955">
        <v>0</v>
      </c>
      <c r="JK38" s="6955">
        <v>0</v>
      </c>
      <c r="JL38" s="6992"/>
      <c r="JM38" s="1776">
        <f t="shared" si="76"/>
        <v>997500</v>
      </c>
      <c r="JN38" s="7018">
        <f>+IF(D38="","",IF(JM38="N/A","",JM38*$JN$27))</f>
        <v>1725675</v>
      </c>
      <c r="JO38" s="2436">
        <f>+JN38</f>
        <v>1725675</v>
      </c>
      <c r="JP38" s="7070"/>
      <c r="JQ38" s="7070"/>
      <c r="JR38" s="2436"/>
      <c r="JS38" s="1777">
        <f>+IF(D38="","",SUM(JO38:JR38))</f>
        <v>1725675</v>
      </c>
      <c r="JT38" s="7118">
        <f t="shared" si="54"/>
        <v>1</v>
      </c>
      <c r="JU38" s="7119">
        <f>+JU37</f>
        <v>19</v>
      </c>
      <c r="JV38" s="8362">
        <f>+JV37</f>
        <v>3819</v>
      </c>
      <c r="JW38" s="8389">
        <f t="shared" si="55"/>
        <v>0.89999999999999991</v>
      </c>
      <c r="JX38" s="8418" t="str">
        <f t="shared" si="77"/>
        <v/>
      </c>
      <c r="JY38" s="8453" t="str">
        <f t="shared" si="78"/>
        <v/>
      </c>
      <c r="JZ38" s="7120" t="str">
        <f t="shared" si="79"/>
        <v/>
      </c>
      <c r="KA38" s="7118">
        <f t="shared" si="31"/>
        <v>10965.630114566286</v>
      </c>
      <c r="KB38" s="7119">
        <f t="shared" si="32"/>
        <v>7675.9410801963995</v>
      </c>
      <c r="KC38" s="7120">
        <f t="shared" si="33"/>
        <v>15.335480576888108</v>
      </c>
      <c r="KD38" s="7118">
        <f t="shared" si="80"/>
        <v>368.75200000000001</v>
      </c>
      <c r="KE38" s="8326" t="str">
        <f t="shared" si="81"/>
        <v/>
      </c>
      <c r="KF38" s="8326" t="str">
        <f t="shared" si="82"/>
        <v/>
      </c>
      <c r="KG38" s="7119">
        <f t="shared" si="83"/>
        <v>242.74948778150576</v>
      </c>
      <c r="KH38" s="7119" t="str">
        <f>IF(D38="","",IF(JT38=2,0.005*JF38*$KD$6/1000*1000*JU38,""))</f>
        <v/>
      </c>
      <c r="KI38" s="7119" t="str">
        <f>IF(D38="","",IF(JT38=2,0.1*0.005*JF38*$KD$6/1000*1000*JU38,""))</f>
        <v/>
      </c>
      <c r="KJ38" s="7119">
        <f t="shared" si="84"/>
        <v>611.50148778150583</v>
      </c>
      <c r="KK38" s="7119">
        <f>+IF(OR(D38="",JU38="",JV38=""),"",$KK$7*$KG$4*JU38)</f>
        <v>1993.2368000000001</v>
      </c>
      <c r="KL38" s="7119">
        <f t="shared" si="58"/>
        <v>122.95434375000001</v>
      </c>
      <c r="KM38" s="7119">
        <f t="shared" si="85"/>
        <v>2116.1911437500003</v>
      </c>
      <c r="KN38" s="7119" t="str">
        <f>+IF(D38="","",IF(JX38&lt;41,$KN$8*JZ38*JY38,""))</f>
        <v/>
      </c>
      <c r="KO38" s="7119">
        <f t="shared" si="86"/>
        <v>2116.1911437500003</v>
      </c>
      <c r="KP38" s="7120">
        <f t="shared" si="87"/>
        <v>2727.6926315315059</v>
      </c>
      <c r="KQ38" s="1778">
        <f>+IF(D38="","",VLOOKUP(MATCH(BE38,ac_id,0),ad,ac!$F$8,FALSE)*JV38)</f>
        <v>26733</v>
      </c>
      <c r="KR38" s="7070">
        <f>+IF(D38="","",IF(JT38=1,VLOOKUP(MATCH(BE38,ac_id,0),ad,ac!$H$8,FALSE)*JU38, (VLOOKUP(MATCH(BE38,ac_id,0),ad,ac!$H$8,FALSE)*JU38^(1+VLOOKUP(MATCH(BE38,ac_id,0),ad,ac!$I$8,FALSE)))))</f>
        <v>4750</v>
      </c>
      <c r="KS38" s="1777">
        <f>+IF(D38="","",KQ38+KR38)</f>
        <v>31483</v>
      </c>
      <c r="KT38" s="1778">
        <f t="shared" si="61"/>
        <v>1269.7146862500001</v>
      </c>
      <c r="KU38" s="2436">
        <f t="shared" si="62"/>
        <v>69027</v>
      </c>
      <c r="KV38" s="7311">
        <f t="shared" si="63"/>
        <v>1</v>
      </c>
      <c r="KW38" s="7200">
        <f t="shared" si="88"/>
        <v>148081.06430477212</v>
      </c>
      <c r="KX38" s="1777">
        <f t="shared" si="64"/>
        <v>218377.77899102212</v>
      </c>
      <c r="KY38" s="7201">
        <f t="shared" si="65"/>
        <v>221105.47162255362</v>
      </c>
      <c r="KZ38" s="7198"/>
      <c r="LA38" s="7200">
        <f t="shared" si="66"/>
        <v>288179.17448361503</v>
      </c>
      <c r="LB38" s="7199">
        <f t="shared" si="67"/>
        <v>245672.74624728182</v>
      </c>
      <c r="LC38" s="5133"/>
      <c r="LD38" s="5132"/>
      <c r="LE38" s="5132"/>
      <c r="LF38" s="5132"/>
      <c r="LG38" s="5132"/>
      <c r="LH38" s="5132"/>
      <c r="LI38" s="5132"/>
      <c r="LJ38" s="5132"/>
    </row>
    <row r="39" spans="1:322" s="13" customFormat="1" ht="25.5" customHeight="1">
      <c r="A39" s="5954" t="str">
        <f t="shared" si="46"/>
        <v>8302-04</v>
      </c>
      <c r="B39" s="9305">
        <f>+IF(A39="","",VLOOKUP(MATCH(A39,tid,0),tao,'12(id)'!$J$20,FALSE))</f>
        <v>0</v>
      </c>
      <c r="C39" s="6365" t="str">
        <f t="shared" si="47"/>
        <v>12B</v>
      </c>
      <c r="D39" s="1111" t="str">
        <f t="shared" si="48"/>
        <v/>
      </c>
      <c r="E39" s="849" t="str">
        <f>+IF(BD39="","",BD39)</f>
        <v/>
      </c>
      <c r="F39" s="849" t="str">
        <f t="shared" si="49"/>
        <v/>
      </c>
      <c r="G39" s="5133"/>
      <c r="H39" s="5132"/>
      <c r="I39" s="5133"/>
      <c r="J39" s="719">
        <f t="shared" si="68"/>
        <v>5</v>
      </c>
      <c r="K39" s="649">
        <f t="shared" si="69"/>
        <v>5</v>
      </c>
      <c r="L39" s="9650"/>
      <c r="M39" s="9650">
        <f>+IF(O39="","",VLOOKUP(MATCH(O39,tid,0),tao,'12(id)'!$I$20,FALSE))</f>
        <v>0</v>
      </c>
      <c r="N39" s="9648"/>
      <c r="O39" s="8671" t="s">
        <v>281</v>
      </c>
      <c r="P39" s="9650"/>
      <c r="Q39" s="8576" t="str">
        <f>+IF(ISERROR(MATCH(O39,tid,0)),"",VLOOKUP(MATCH(O39,tid,0),tao,'12(id)'!$Q$20,FALSE))</f>
        <v>12B</v>
      </c>
      <c r="R39" s="8671">
        <f>+IF(O39="","",VLOOKUP(MATCH(O39,tid,0),tao,'12(id)'!$U$20,FALSE))</f>
        <v>8</v>
      </c>
      <c r="S39" s="9653"/>
      <c r="T39" s="10318" t="str">
        <f>+IF(ISERROR(MATCH(O39,tid,0)),"",IF(VLOOKUP(MATCH(O39,tid,0),tao,'12(id)'!$CT$20,FALSE)="","",VLOOKUP(MATCH(O39,tid,0),tao,'12(id)'!$CT$20,FALSE)))</f>
        <v/>
      </c>
      <c r="U39" s="10308" t="str">
        <f>+IF(ISERROR(MATCH(O39,tid,0)),"",IF(VLOOKUP(MATCH(O39,tid,0),tao,'12(id)'!$CU$20,FALSE)="","",VLOOKUP(MATCH(O39,tid,0),tao,'12(id)'!$CU$20,FALSE)))</f>
        <v/>
      </c>
      <c r="V39" s="10314" t="str">
        <f>+IF(O39="","",IF(VLOOKUP(MATCH(O39,tid,0),tao,'12(id)'!$T$20,FALSE)="","",VLOOKUP(MATCH(O39,tid,0),tao,'12(id)'!$T$20,FALSE)))</f>
        <v>Combustion Turbine</v>
      </c>
      <c r="W39" s="417" t="str">
        <f>+IF(ISERROR(MATCH(O39,tid,0)),"",IF(VLOOKUP(MATCH(O39,tid,0),tao,'12(id)'!$CO$20,FALSE)="","",VLOOKUP(MATCH(O39,tid,0),tao,'12(id)'!$CO$20,FALSE)))</f>
        <v>Pratt &amp; Whitney</v>
      </c>
      <c r="X39" s="8625" t="str">
        <f>+IF(ISERROR(MATCH(O39,tid,0)),"",IF(VLOOKUP(MATCH(O39,tid,0),tao,'12(id)'!$CP$20,FALSE)="","",VLOOKUP(MATCH(O39,tid,0),tao,'12(id)'!$CP$20,FALSE)))</f>
        <v>TP4-2(A9) LF</v>
      </c>
      <c r="Y39" s="2388" t="str">
        <f>+IF(ISERROR(MATCH(O39,tid,0)),"",IF(VLOOKUP(MATCH(O39,tid,0),tao,'12(id)'!$CQ$20,FALSE)="","",VLOOKUP(MATCH(O39,tid,0),tao,'12(id)'!$CQ$20,FALSE)))</f>
        <v>TP</v>
      </c>
      <c r="Z39" s="8563" t="str">
        <f>+IF(ISERROR(MATCH(O39,tid,0)),"",VLOOKUP(MATCH(O39,tid,0),tao,'12(id)'!$DB$20,FALSE)&amp;" "&amp;VLOOKUP(MATCH(O39,tid,0),tao,'12(id)'!$DC$20,FALSE))</f>
        <v xml:space="preserve"> 1970</v>
      </c>
      <c r="AA39" s="52" t="str">
        <f ca="1">+IF(ISERROR(MATCH(O39,tid,0)),"",IF(VLOOKUP(MATCH(O39,tid,0),tao,'12(id)'!$DE$20,FALSE)="","",ROUND(VLOOKUP(MATCH(O39,tid,0),tao,'12(id)'!$DE$20,FALSE),0)&amp;" yrs"))</f>
        <v>45 yrs</v>
      </c>
      <c r="AB39" s="282" t="str">
        <f>+IF(ISERROR(MATCH(O39,tid,0)),"",VLOOKUP(MATCH(O39,tid,0),tao,'12(id)'!$DI$20,FALSE))</f>
        <v>Jet Fuel A (Kerosene K1)</v>
      </c>
      <c r="AC39" s="282" t="str">
        <f>+IF(ISERROR(MATCH(O39,tid,0)),"",IF(VLOOKUP(MATCH(O39,tid,0),tao,'12(id)'!$DQ$20,FALSE)="","",VLOOKUP(MATCH(O39,tid,0),tao,'12(id)'!$DQ$20,FALSE)))</f>
        <v>No. 2 oil</v>
      </c>
      <c r="AD39" s="115">
        <f>+IF(ISERROR(MATCH(O39,tid,0)),"",IF(VLOOKUP(MATCH(O39,tid,0),tao,'12(id)'!$EI$20,FALSE)="","",VLOOKUP(MATCH(O39,tid,0),tao,'12(id)'!$EI$20,FALSE)))</f>
        <v>0.70599999999999996</v>
      </c>
      <c r="AE39" s="115">
        <f>+IF(ISERROR(MATCH(O39,tid,0)),"",IF(VLOOKUP(MATCH(O39,tid,0),tao,'12(id)'!$EJ$20,FALSE)="","",VLOOKUP(MATCH(O39,tid,0),tao,'12(id)'!$EJ$20,FALSE)))</f>
        <v>114.8</v>
      </c>
      <c r="AF39" s="10671">
        <f>+IF(ISERROR(MATCH(O39,tid,0)),"",IF(VLOOKUP(MATCH(O39,tid,0),tao,'12(id)'!$EL$20,FALSE)="","",VLOOKUP(MATCH(O39,tid,0),tao,'12(id)'!$EL$20,FALSE)))</f>
        <v>0.81</v>
      </c>
      <c r="AG39" s="10691" t="str">
        <f>+IF(ISERROR(MATCH(O39,tid,0)),"",IF(VLOOKUP(MATCH(O39,tid,0),tao,'12(id)'!$EM$20,FALSE)="","",VLOOKUP(MATCH(O39,tid,0),tao,'12(id)'!$EM$20,FALSE)))</f>
        <v/>
      </c>
      <c r="AH39" s="10757"/>
      <c r="AI39" s="10682"/>
      <c r="AJ39" s="960"/>
      <c r="AK39" s="960"/>
      <c r="AL39" s="960"/>
      <c r="AM39" s="961"/>
      <c r="AN39" s="10769"/>
      <c r="AO39" s="10311" t="str">
        <f>+IF(ISERROR(MATCH(O39,tid,0)),"",IF(VLOOKUP(MATCH(O39,tid,0),tao,'12(id)'!$GY$20,FALSE)="","",VLOOKUP(MATCH(O39,tid,0),tao,'12(id)'!$GY$20,FALSE)))</f>
        <v/>
      </c>
      <c r="AP39" s="8645" t="str">
        <f>+IF($BB39="","",IF(VLOOKUP(MATCH(O39,tid,0),tao,'12(id)'!$HE$20,FALSE)="","",VLOOKUP(MATCH(O39,tid,0),tao,'12(id)'!$HE$20,FALSE)))</f>
        <v/>
      </c>
      <c r="AQ39" s="10311" t="str">
        <f>+IF(ISERROR(VLOOKUP(MATCH(O39,tid,0),tao,'12(id)'!$HF$20,FALSE)),"",VLOOKUP(MATCH(O39,tid,0),tao,'12(id)'!$HF$20,FALSE))</f>
        <v/>
      </c>
      <c r="AR39" s="10336">
        <f>+IF(ISERROR(MATCH(O39,tid,0)),"",IF(VLOOKUP(MATCH(O39,tid,0),tao,'12(id)'!$HJ$20,FALSE)="","",VLOOKUP(MATCH(O39,tid,0),tao,'12(id)'!$HJ$20,FALSE)))</f>
        <v>0.73049999999999993</v>
      </c>
      <c r="AS39" s="10339">
        <f>+IF(ISERROR(MATCH(O39,tid,0)),"",IF(VLOOKUP(MATCH(O39,tid,0),tao,'12(id)'!$HK$20,FALSE)="","",VLOOKUP(MATCH(O39,tid,0),tao,'12(id)'!$HK$20,FALSE)))</f>
        <v>129.36842099334265</v>
      </c>
      <c r="AT39" s="10662" t="str">
        <f>+IF(ISERROR(MATCH(O39,tid,0)),"",IF(VLOOKUP(MATCH(O39,tid,0),tao,'12(id)'!$HM$20,FALSE)="","",VLOOKUP(MATCH(O39,tid,0),tao,'12(id)'!$HM$20,FALSE)))</f>
        <v/>
      </c>
      <c r="AU39" s="10362"/>
      <c r="AV39" s="10777" t="str">
        <f>+IF(BC39="","",IF(OR(O39="",O40="",O41="",O42="",O43="",O44="",O45="",O46=""),"",MAX(VLOOKUP(MATCH(O39,em_id,0),em,'5(em)'!$CX$18,FALSE),VLOOKUP(MATCH(O40,em_id,0),em,'5(em)'!$CX$18,FALSE),VLOOKUP(MATCH(O41,em_id,0),em,'5(em)'!$CX$18,FALSE),VLOOKUP(MATCH(O42,em_id,0),em,'5(em)'!$CX$18,FALSE),VLOOKUP(MATCH(O43,em_id,0),em,'5(em)'!$CX$18,FALSE),VLOOKUP(MATCH(O44,em_id,0),em,'5(em)'!$CX$18,FALSE),VLOOKUP(MATCH(O45,em_id,0),em,'5(em)'!$CX$18,FALSE),VLOOKUP(MATCH(O46,em_id,0),em,'5(em)'!$CX$18,FALSE))))</f>
        <v/>
      </c>
      <c r="AW39" s="10392" t="str">
        <f>+IF(BC39="","",IF(OR(O39="",O40="",O41="",O42="",O43="",O44="",O45="",O46=""),"",MAX(VLOOKUP(MATCH(O39,em_id,0),em,'5(em)'!$CZ$18,FALSE),VLOOKUP(MATCH(O40,em_id,0),em,'5(em)'!$CZ$18,FALSE),VLOOKUP(MATCH(O41,em_id,0),em,'5(em)'!$CZ$18,FALSE),VLOOKUP(MATCH(O42,em_id,0),em,'5(em)'!$CZ$18,FALSE),VLOOKUP(MATCH(O43,em_id,0),em,'5(em)'!$CZ$18,FALSE),VLOOKUP(MATCH(O44,em_id,0),em,'5(em)'!$CZ$18,FALSE),VLOOKUP(MATCH(O45,em_id,0),em,'5(em)'!$CZ$18,FALSE),VLOOKUP(MATCH(O46,em_id,0),em,'5(em)'!$CZ$18,FALSE))))</f>
        <v/>
      </c>
      <c r="AX39" s="10330" t="str">
        <f t="shared" si="50"/>
        <v/>
      </c>
      <c r="AY39" s="10325"/>
      <c r="AZ39" s="10398" t="str">
        <f>+IF(BC39="","",IF(OR(O39="",O40="",O41="",O42="",O43="",O44="",O45="",O46=""),"",MAX(VLOOKUP(MATCH(O39,em_id,0),em,'5(em)'!$DA$18,FALSE),VLOOKUP(MATCH(O40,em_id,0),em,'5(em)'!$DA$18,FALSE),VLOOKUP(MATCH(O41,em_id,0),em,'5(em)'!$DA$18,FALSE),VLOOKUP(MATCH(O42,em_id,0),em,'5(em)'!$DA$18,FALSE),VLOOKUP(MATCH(O43,em_id,0),em,'5(em)'!$DA$18,FALSE),VLOOKUP(MATCH(O44,em_id,0),em,'5(em)'!$DA$18,FALSE),VLOOKUP(MATCH(O45,em_id,0),em,'5(em)'!$DA$18,FALSE),VLOOKUP(MATCH(O46,em_id,0),em,'5(em)'!DA$18,FALSE))))</f>
        <v/>
      </c>
      <c r="BA39" s="847"/>
      <c r="BB39" s="1020" t="str">
        <f t="shared" si="11"/>
        <v/>
      </c>
      <c r="BC39" s="848"/>
      <c r="BD39" s="849"/>
      <c r="BE39" s="849"/>
      <c r="BF39" s="1020"/>
      <c r="BG39" s="850"/>
      <c r="BH39" s="851"/>
      <c r="BI39" s="852"/>
      <c r="BJ39" s="852"/>
      <c r="BK39" s="852"/>
      <c r="BL39" s="852"/>
      <c r="BM39" s="852"/>
      <c r="BN39" s="852" t="str">
        <f t="shared" si="12"/>
        <v/>
      </c>
      <c r="BO39" s="853" t="str">
        <f t="shared" si="13"/>
        <v/>
      </c>
      <c r="BP39" s="853" t="str">
        <f t="shared" si="14"/>
        <v/>
      </c>
      <c r="BQ39" s="854" t="str">
        <f t="shared" si="15"/>
        <v/>
      </c>
      <c r="BR39" s="855"/>
      <c r="BS39" s="856"/>
      <c r="BT39" s="857"/>
      <c r="BU39" s="3734"/>
      <c r="BV39" s="3739"/>
      <c r="BW39" s="858"/>
      <c r="BX39" s="3798"/>
      <c r="BY39" s="3828" t="str">
        <f>+IF($BB39="","",IF(OR(BU39="",$AQ39=""),"",BU39/2000*$AQ39))</f>
        <v/>
      </c>
      <c r="BZ39" s="1052"/>
      <c r="CA39" s="3405"/>
      <c r="CB39" s="3839" t="str">
        <f>+IF($BB39="","",IF(BX39="","",$AT39-BX39))</f>
        <v/>
      </c>
      <c r="CC39" s="3890" t="str">
        <f>+IF($BB39="","",IF(CB39="","",CB39/$AT39))</f>
        <v/>
      </c>
      <c r="CD39" s="3890" t="str">
        <f>+IF($BB39="","",IF(BU39="","",(1-BU39/$AR39)))</f>
        <v/>
      </c>
      <c r="CE39" s="3897" t="str">
        <f>+IF(BB39="","",IF(VLOOKUP(MATCH(BB39,ef_id,0),ef,'11(eff)'!$AE$23,FALSE)="","",VLOOKUP(MATCH(BB39,ef_id,0),ef,'11(eff)'!$AE$23,FALSE)))</f>
        <v/>
      </c>
      <c r="CF39" s="856"/>
      <c r="CG39" s="857"/>
      <c r="CH39" s="2393"/>
      <c r="CI39" s="3839"/>
      <c r="CJ39" s="858"/>
      <c r="CK39" s="3839" t="str">
        <f>+IF($BB39="","",IF(OR($AW39="",CI39=""),"",CI39/2000*$AW39))</f>
        <v/>
      </c>
      <c r="CL39" s="3405" t="str">
        <f>+IF($BB39="","",IF(CK39="","",$AZ39-CK39))</f>
        <v/>
      </c>
      <c r="CM39" s="3995" t="str">
        <f>+IF($BB39="","",IF(CL39="","",CL39/$AZ39))</f>
        <v/>
      </c>
      <c r="CN39" s="3995" t="str">
        <f>+IF($BB39="","",IF(CI39="","",(1-CI39/$AX39)))</f>
        <v/>
      </c>
      <c r="CO39" s="3996"/>
      <c r="CP39" s="3997"/>
      <c r="CQ39" s="1370" t="str">
        <f t="shared" si="51"/>
        <v/>
      </c>
      <c r="CR39" s="859"/>
      <c r="CS39" s="2749"/>
      <c r="CT39" s="1577"/>
      <c r="CU39" s="1485"/>
      <c r="CV39" s="1782" t="str">
        <f t="shared" si="16"/>
        <v/>
      </c>
      <c r="CW39" s="1783"/>
      <c r="CX39" s="1783"/>
      <c r="CY39" s="1784"/>
      <c r="CZ39" s="2462"/>
      <c r="DA39" s="2437"/>
      <c r="DB39" s="2437"/>
      <c r="DC39" s="1782"/>
      <c r="DD39" s="1786"/>
      <c r="DE39" s="1787"/>
      <c r="DF39" s="1788"/>
      <c r="DG39" s="1788"/>
      <c r="DH39" s="1786"/>
      <c r="DI39" s="1681" t="str">
        <f>+IF(CT39="","",SUM(CU39:DC39))</f>
        <v/>
      </c>
      <c r="DJ39" s="1927"/>
      <c r="DK39" s="1577"/>
      <c r="DL39" s="1485"/>
      <c r="DM39" s="1782" t="str">
        <f t="shared" si="17"/>
        <v/>
      </c>
      <c r="DN39" s="1783"/>
      <c r="DO39" s="1783"/>
      <c r="DP39" s="1784"/>
      <c r="DQ39" s="2462"/>
      <c r="DR39" s="2437"/>
      <c r="DS39" s="2437"/>
      <c r="DT39" s="1782"/>
      <c r="DU39" s="1786"/>
      <c r="DV39" s="1787"/>
      <c r="DW39" s="1788"/>
      <c r="DX39" s="1788"/>
      <c r="DY39" s="1786"/>
      <c r="DZ39" s="1681" t="str">
        <f t="shared" si="18"/>
        <v/>
      </c>
      <c r="EA39" s="1927"/>
      <c r="EB39" s="1485" t="str">
        <f t="shared" si="19"/>
        <v/>
      </c>
      <c r="EC39" s="1951"/>
      <c r="ED39" s="1405" t="str">
        <f t="shared" si="20"/>
        <v/>
      </c>
      <c r="EE39" s="1785"/>
      <c r="EF39" s="2437"/>
      <c r="EG39" s="1784"/>
      <c r="EH39" s="1681"/>
      <c r="EI39" s="1787"/>
      <c r="EJ39" s="1788"/>
      <c r="EK39" s="1996"/>
      <c r="EL39" s="1445"/>
      <c r="EM39" s="1787"/>
      <c r="EN39" s="1788"/>
      <c r="EO39" s="1996"/>
      <c r="EP39" s="1681" t="str">
        <f t="shared" si="21"/>
        <v/>
      </c>
      <c r="EQ39" s="1681"/>
      <c r="ER39" s="1681"/>
      <c r="ES39" s="1681"/>
      <c r="ET39" s="1445"/>
      <c r="EU39" s="1184"/>
      <c r="EV39" s="1380"/>
      <c r="EW39" s="2569"/>
      <c r="EX39" s="2569"/>
      <c r="EY39" s="2676"/>
      <c r="EZ39" s="2705"/>
      <c r="FA39" s="1380"/>
      <c r="FB39" s="1467"/>
      <c r="FC39" s="1722" t="str">
        <f t="shared" ref="FC39:FC45" si="89">+IF(OR(ED39="",IF(R39="",R38,R39)=""),"",ED39/IF(R39="",R38,R39))</f>
        <v/>
      </c>
      <c r="FD39" s="2042" t="str">
        <f>+IF(ISERR(FC39-(#REF!+#REF!+FS39)),"",FC39-(#REF!+#REF!+FS39))</f>
        <v/>
      </c>
      <c r="FE39" s="2025"/>
      <c r="FF39" s="2042"/>
      <c r="FG39" s="2025"/>
      <c r="FH39" s="2042"/>
      <c r="FI39" s="2025"/>
      <c r="FJ39" s="2792" t="str">
        <f t="shared" ref="FJ39:FJ51" si="90">+IF(OR(BB39="",CT39=""),"",IF(FD39="",0,FD39)+IF(FF39="",0,FF39)+IF(FH39="",0,FH39))</f>
        <v/>
      </c>
      <c r="FK39" s="2801"/>
      <c r="FL39" s="2042"/>
      <c r="FM39" s="2025"/>
      <c r="FN39" s="2042"/>
      <c r="FO39" s="2025"/>
      <c r="FP39" s="2042"/>
      <c r="FQ39" s="2025"/>
      <c r="FR39" s="3393"/>
      <c r="FS39" s="2863"/>
      <c r="FT39" s="2058"/>
      <c r="FU39" s="2818"/>
      <c r="FV39" s="2448" t="str">
        <f>+IF(T39="","",IF(FC39="","",FC39/T39))</f>
        <v/>
      </c>
      <c r="FW39" s="2083"/>
      <c r="FX39" s="2084"/>
      <c r="FY39" s="2083"/>
      <c r="FZ39" s="2084"/>
      <c r="GA39" s="2084"/>
      <c r="GB39" s="2083"/>
      <c r="GC39" s="2084"/>
      <c r="GD39" s="2084"/>
      <c r="GE39" s="1607"/>
      <c r="GF39" s="2133"/>
      <c r="GG39" s="2156"/>
      <c r="GH39" s="3172"/>
      <c r="GI39" s="1607"/>
      <c r="GJ39" s="3235"/>
      <c r="GK39" s="3437"/>
      <c r="GL39" s="3212"/>
      <c r="GM39" s="1338"/>
      <c r="GN39" s="1187"/>
      <c r="GO39" s="2277"/>
      <c r="GP39" s="2278"/>
      <c r="GQ39" s="2210"/>
      <c r="GR39" s="2210"/>
      <c r="GS39" s="2210"/>
      <c r="GT39" s="2210"/>
      <c r="GU39" s="2203"/>
      <c r="GV39" s="1186"/>
      <c r="GW39" s="2240"/>
      <c r="GX39" s="2210"/>
      <c r="GY39" s="2210"/>
      <c r="GZ39" s="2210"/>
      <c r="HA39" s="2210"/>
      <c r="HB39" s="1330" t="str">
        <f t="shared" si="22"/>
        <v/>
      </c>
      <c r="HC39" s="1186"/>
      <c r="HD39" s="3464"/>
      <c r="HE39" s="1188"/>
      <c r="HF39" s="3192"/>
      <c r="HG39" s="1187" t="str">
        <f t="shared" si="23"/>
        <v/>
      </c>
      <c r="HH39" s="2978"/>
      <c r="HI39" s="3060"/>
      <c r="HJ39" s="3073"/>
      <c r="HK39" s="3073"/>
      <c r="HL39" s="3073"/>
      <c r="HM39" s="3086"/>
      <c r="HN39" s="1191"/>
      <c r="HO39" s="1189"/>
      <c r="HP39" s="1190"/>
      <c r="HQ39" s="1192"/>
      <c r="HR39" s="1185"/>
      <c r="HS39" s="1185"/>
      <c r="HT39" s="1189"/>
      <c r="HU39" s="1185"/>
      <c r="HV39" s="1189"/>
      <c r="HW39" s="1185"/>
      <c r="HX39" s="3132" t="str">
        <f t="shared" si="24"/>
        <v/>
      </c>
      <c r="HY39" s="1190"/>
      <c r="HZ39" s="1185"/>
      <c r="IA39" s="3060"/>
      <c r="IB39" s="3520" t="str">
        <f t="shared" si="25"/>
        <v/>
      </c>
      <c r="IC39" s="1191" t="str">
        <f>+IF(OR(IA39="",ISERROR(IA39/IF(T39="",IF(T38="",IF(T37="",1,T37),T38),T39))),"",IA39/IF(T39="",IF(T38="",IF(T37="",1,T37),T38),T39))</f>
        <v/>
      </c>
      <c r="ID39" s="1189"/>
      <c r="IE39" s="1192"/>
      <c r="IF39" s="1189"/>
      <c r="IG39" s="6763"/>
      <c r="IH39" s="1190"/>
      <c r="II39" s="1192"/>
      <c r="IJ39" s="1192"/>
      <c r="IK39" s="4124"/>
      <c r="IL39" s="1788"/>
      <c r="IM39" s="1786"/>
      <c r="IN39" s="1927"/>
      <c r="IO39" s="1927"/>
      <c r="IP39" s="1927"/>
      <c r="IQ39" s="6836"/>
      <c r="IR39" s="1927"/>
      <c r="IS39" s="6836"/>
      <c r="IT39" s="1927"/>
      <c r="IU39" s="6836"/>
      <c r="IV39" s="7262"/>
      <c r="IW39" s="1786"/>
      <c r="IX39" s="4213"/>
      <c r="IY39" s="4241"/>
      <c r="IZ39" s="4268"/>
      <c r="JA39" s="4269"/>
      <c r="JB39" s="1185"/>
      <c r="JC39" s="4319"/>
      <c r="JD39" s="3192" t="str">
        <f t="shared" si="27"/>
        <v/>
      </c>
      <c r="JE39" s="4354" t="str">
        <f t="shared" si="28"/>
        <v/>
      </c>
      <c r="JF39" s="7025"/>
      <c r="JG39" s="2437"/>
      <c r="JH39" s="6956"/>
      <c r="JI39" s="6956"/>
      <c r="JJ39" s="6956"/>
      <c r="JK39" s="6956"/>
      <c r="JL39" s="6993"/>
      <c r="JM39" s="1783"/>
      <c r="JN39" s="7019"/>
      <c r="JO39" s="2437"/>
      <c r="JP39" s="7071"/>
      <c r="JQ39" s="7071"/>
      <c r="JR39" s="2437"/>
      <c r="JS39" s="1784"/>
      <c r="JT39" s="7121" t="str">
        <f t="shared" si="54"/>
        <v/>
      </c>
      <c r="JU39" s="7122"/>
      <c r="JV39" s="8363"/>
      <c r="JW39" s="8390"/>
      <c r="JX39" s="8419"/>
      <c r="JY39" s="8454"/>
      <c r="JZ39" s="7123"/>
      <c r="KA39" s="7121"/>
      <c r="KB39" s="7122"/>
      <c r="KC39" s="7123"/>
      <c r="KD39" s="7121"/>
      <c r="KE39" s="8327"/>
      <c r="KF39" s="8327"/>
      <c r="KG39" s="7122"/>
      <c r="KH39" s="7122"/>
      <c r="KI39" s="7122"/>
      <c r="KJ39" s="7122"/>
      <c r="KK39" s="7122"/>
      <c r="KL39" s="7122"/>
      <c r="KM39" s="7122"/>
      <c r="KN39" s="7122"/>
      <c r="KO39" s="7122"/>
      <c r="KP39" s="7123"/>
      <c r="KQ39" s="1785"/>
      <c r="KR39" s="7071"/>
      <c r="KS39" s="1784"/>
      <c r="KT39" s="1785"/>
      <c r="KU39" s="2437"/>
      <c r="KV39" s="7312"/>
      <c r="KW39" s="7204"/>
      <c r="KX39" s="1784"/>
      <c r="KY39" s="7205"/>
      <c r="KZ39" s="7202"/>
      <c r="LA39" s="7204"/>
      <c r="LB39" s="7203" t="str">
        <f>+IF(OR(KY39="",$CL39=""),"",KY39/$CL39)</f>
        <v/>
      </c>
      <c r="LC39" s="5133"/>
      <c r="LD39" s="5132"/>
      <c r="LE39" s="5132"/>
      <c r="LF39" s="5132"/>
      <c r="LG39" s="5132"/>
      <c r="LH39" s="5132"/>
      <c r="LI39" s="5132"/>
      <c r="LJ39" s="5132"/>
    </row>
    <row r="40" spans="1:322" s="13" customFormat="1" ht="25.5" customHeight="1">
      <c r="A40" s="5954" t="str">
        <f t="shared" si="46"/>
        <v>8302-05</v>
      </c>
      <c r="B40" s="9305">
        <f>+IF(A40="","",VLOOKUP(MATCH(A40,tid,0),tao,'12(id)'!$J$20,FALSE))</f>
        <v>0</v>
      </c>
      <c r="C40" s="6365" t="str">
        <f t="shared" si="47"/>
        <v>13A</v>
      </c>
      <c r="D40" s="1111" t="str">
        <f t="shared" si="48"/>
        <v/>
      </c>
      <c r="E40" s="849"/>
      <c r="F40" s="849" t="str">
        <f t="shared" si="49"/>
        <v/>
      </c>
      <c r="G40" s="5133"/>
      <c r="H40" s="5132"/>
      <c r="I40" s="5133"/>
      <c r="J40" s="719">
        <f t="shared" si="68"/>
        <v>6</v>
      </c>
      <c r="K40" s="649">
        <f t="shared" si="69"/>
        <v>6</v>
      </c>
      <c r="L40" s="9650"/>
      <c r="M40" s="9650">
        <f>+IF(O40="","",VLOOKUP(MATCH(O40,tid,0),tao,'12(id)'!$I$20,FALSE))</f>
        <v>0</v>
      </c>
      <c r="N40" s="9648"/>
      <c r="O40" s="8671" t="s">
        <v>282</v>
      </c>
      <c r="P40" s="9650"/>
      <c r="Q40" s="8576" t="str">
        <f>+IF(ISERROR(MATCH(O40,tid,0)),"",VLOOKUP(MATCH(O40,tid,0),tao,'12(id)'!$Q$20,FALSE))</f>
        <v>13A</v>
      </c>
      <c r="R40" s="8671">
        <f>+IF(O40="","",VLOOKUP(MATCH(O40,tid,0),tao,'12(id)'!$U$20,FALSE))</f>
        <v>8</v>
      </c>
      <c r="S40" s="10759"/>
      <c r="T40" s="10316">
        <f>+IF(ISERROR(MATCH(O40,tid,0)),"",IF(VLOOKUP(MATCH(O40,tid,0),tao,'12(id)'!$CT$20,FALSE)="","",VLOOKUP(MATCH(O40,tid,0),tao,'12(id)'!$CT$20,FALSE)))</f>
        <v>40</v>
      </c>
      <c r="U40" s="10308" t="str">
        <f>+IF(ISERROR(MATCH(O40,tid,0)),"",IF(VLOOKUP(MATCH(O40,tid,0),tao,'12(id)'!$CU$20,FALSE)="","",VLOOKUP(MATCH(O40,tid,0),tao,'12(id)'!$CU$20,FALSE)))</f>
        <v/>
      </c>
      <c r="V40" s="10314" t="str">
        <f>+IF(O40="","",IF(VLOOKUP(MATCH(O40,tid,0),tao,'12(id)'!$T$20,FALSE)="","",VLOOKUP(MATCH(O40,tid,0),tao,'12(id)'!$T$20,FALSE)))</f>
        <v>Combustion Turbine</v>
      </c>
      <c r="W40" s="417" t="str">
        <f>+IF(ISERROR(MATCH(O40,tid,0)),"",IF(VLOOKUP(MATCH(O40,tid,0),tao,'12(id)'!$CO$20,FALSE)="","",VLOOKUP(MATCH(O40,tid,0),tao,'12(id)'!$CO$20,FALSE)))</f>
        <v>Pratt &amp; Whitney</v>
      </c>
      <c r="X40" s="8625" t="str">
        <f>+IF(ISERROR(MATCH(O40,tid,0)),"",IF(VLOOKUP(MATCH(O40,tid,0),tao,'12(id)'!$CP$20,FALSE)="","",VLOOKUP(MATCH(O40,tid,0),tao,'12(id)'!$CP$20,FALSE)))</f>
        <v>TP4-2(A9) LF</v>
      </c>
      <c r="Y40" s="2388" t="str">
        <f>+IF(ISERROR(MATCH(O40,tid,0)),"",IF(VLOOKUP(MATCH(O40,tid,0),tao,'12(id)'!$CQ$20,FALSE)="","",VLOOKUP(MATCH(O40,tid,0),tao,'12(id)'!$CQ$20,FALSE)))</f>
        <v>TP</v>
      </c>
      <c r="Z40" s="8563" t="str">
        <f>+IF(ISERROR(MATCH(O40,tid,0)),"",VLOOKUP(MATCH(O40,tid,0),tao,'12(id)'!$DB$20,FALSE)&amp;" "&amp;VLOOKUP(MATCH(O40,tid,0),tao,'12(id)'!$DC$20,FALSE))</f>
        <v xml:space="preserve"> 1970</v>
      </c>
      <c r="AA40" s="52" t="str">
        <f ca="1">+IF(ISERROR(MATCH(O40,tid,0)),"",IF(VLOOKUP(MATCH(O40,tid,0),tao,'12(id)'!$DE$20,FALSE)="","",ROUND(VLOOKUP(MATCH(O40,tid,0),tao,'12(id)'!$DE$20,FALSE),0)&amp;" yrs"))</f>
        <v>45 yrs</v>
      </c>
      <c r="AB40" s="282" t="str">
        <f>+IF(ISERROR(MATCH(O40,tid,0)),"",VLOOKUP(MATCH(O40,tid,0),tao,'12(id)'!$DI$20,FALSE))</f>
        <v>Jet Fuel A (Kerosene K1)</v>
      </c>
      <c r="AC40" s="282" t="str">
        <f>+IF(ISERROR(MATCH(O40,tid,0)),"",IF(VLOOKUP(MATCH(O40,tid,0),tao,'12(id)'!$DQ$20,FALSE)="","",VLOOKUP(MATCH(O40,tid,0),tao,'12(id)'!$DQ$20,FALSE)))</f>
        <v>No. 2 oil</v>
      </c>
      <c r="AD40" s="115">
        <f>+IF(ISERROR(MATCH(O40,tid,0)),"",IF(VLOOKUP(MATCH(O40,tid,0),tao,'12(id)'!$EI$20,FALSE)="","",VLOOKUP(MATCH(O40,tid,0),tao,'12(id)'!$EI$20,FALSE)))</f>
        <v>0.75</v>
      </c>
      <c r="AE40" s="115">
        <f>+IF(ISERROR(MATCH(O40,tid,0)),"",IF(VLOOKUP(MATCH(O40,tid,0),tao,'12(id)'!$EJ$20,FALSE)="","",VLOOKUP(MATCH(O40,tid,0),tao,'12(id)'!$EJ$20,FALSE)))</f>
        <v>132.5</v>
      </c>
      <c r="AF40" s="10671">
        <f>+IF(ISERROR(MATCH(O40,tid,0)),"",IF(VLOOKUP(MATCH(O40,tid,0),tao,'12(id)'!$EL$20,FALSE)="","",VLOOKUP(MATCH(O40,tid,0),tao,'12(id)'!$EL$20,FALSE)))</f>
        <v>0.81</v>
      </c>
      <c r="AG40" s="10691" t="str">
        <f>+IF(ISERROR(MATCH(O40,tid,0)),"",IF(VLOOKUP(MATCH(O40,tid,0),tao,'12(id)'!$EM$20,FALSE)="","",VLOOKUP(MATCH(O40,tid,0),tao,'12(id)'!$EM$20,FALSE)))</f>
        <v/>
      </c>
      <c r="AH40" s="10757"/>
      <c r="AI40" s="10682"/>
      <c r="AJ40" s="960"/>
      <c r="AK40" s="960"/>
      <c r="AL40" s="960"/>
      <c r="AM40" s="961"/>
      <c r="AN40" s="10769"/>
      <c r="AO40" s="10311" t="str">
        <f>+IF(ISERROR(MATCH(O40,tid,0)),"",IF(VLOOKUP(MATCH(O40,tid,0),tao,'12(id)'!$GY$20,FALSE)="","",VLOOKUP(MATCH(O40,tid,0),tao,'12(id)'!$GY$20,FALSE)))</f>
        <v/>
      </c>
      <c r="AP40" s="8645" t="str">
        <f>+IF($BB40="","",IF(VLOOKUP(MATCH(O40,tid,0),tao,'12(id)'!$HE$20,FALSE)="","",VLOOKUP(MATCH(O40,tid,0),tao,'12(id)'!$HE$20,FALSE)))</f>
        <v/>
      </c>
      <c r="AQ40" s="10311" t="str">
        <f>+IF(ISERROR(VLOOKUP(MATCH(O40,tid,0),tao,'12(id)'!$HF$20,FALSE)),"",VLOOKUP(MATCH(O40,tid,0),tao,'12(id)'!$HF$20,FALSE))</f>
        <v/>
      </c>
      <c r="AR40" s="10336">
        <f>+IF(ISERROR(MATCH(O40,tid,0)),"",IF(VLOOKUP(MATCH(O40,tid,0),tao,'12(id)'!$HJ$20,FALSE)="","",VLOOKUP(MATCH(O40,tid,0),tao,'12(id)'!$HJ$20,FALSE)))</f>
        <v>0.73049999999999993</v>
      </c>
      <c r="AS40" s="10339">
        <f>+IF(ISERROR(MATCH(O40,tid,0)),"",IF(VLOOKUP(MATCH(O40,tid,0),tao,'12(id)'!$HK$20,FALSE)="","",VLOOKUP(MATCH(O40,tid,0),tao,'12(id)'!$HK$20,FALSE)))</f>
        <v>129.36842099334265</v>
      </c>
      <c r="AT40" s="10662" t="str">
        <f>+IF(ISERROR(MATCH(O40,tid,0)),"",IF(VLOOKUP(MATCH(O40,tid,0),tao,'12(id)'!$HM$20,FALSE)="","",VLOOKUP(MATCH(O40,tid,0),tao,'12(id)'!$HM$20,FALSE)))</f>
        <v/>
      </c>
      <c r="AU40" s="10362"/>
      <c r="AV40" s="10777" t="str">
        <f>+IF(BC40="","",IF(OR(O40="",O41="",O42="",O43="",O44="",O45="",O46="",O47=""),"",MAX(VLOOKUP(MATCH(O40,em_id,0),em,'5(em)'!$CX$18,FALSE),VLOOKUP(MATCH(O41,em_id,0),em,'5(em)'!$CX$18,FALSE),VLOOKUP(MATCH(O42,em_id,0),em,'5(em)'!$CX$18,FALSE),VLOOKUP(MATCH(O43,em_id,0),em,'5(em)'!$CX$18,FALSE),VLOOKUP(MATCH(O44,em_id,0),em,'5(em)'!$CX$18,FALSE),VLOOKUP(MATCH(O45,em_id,0),em,'5(em)'!$CX$18,FALSE),VLOOKUP(MATCH(O46,em_id,0),em,'5(em)'!$CX$18,FALSE),VLOOKUP(MATCH(O47,em_id,0),em,'5(em)'!$CX$18,FALSE))))</f>
        <v/>
      </c>
      <c r="AW40" s="10392" t="str">
        <f>+IF(BC40="","",IF(OR(O40="",O41="",O42="",O43="",O44="",O45="",O46="",O47=""),"",MAX(VLOOKUP(MATCH(O40,em_id,0),em,'5(em)'!$CZ$18,FALSE),VLOOKUP(MATCH(O41,em_id,0),em,'5(em)'!$CZ$18,FALSE),VLOOKUP(MATCH(O42,em_id,0),em,'5(em)'!$CZ$18,FALSE),VLOOKUP(MATCH(O43,em_id,0),em,'5(em)'!$CZ$18,FALSE),VLOOKUP(MATCH(O44,em_id,0),em,'5(em)'!$CZ$18,FALSE),VLOOKUP(MATCH(O45,em_id,0),em,'5(em)'!$CZ$18,FALSE),VLOOKUP(MATCH(O46,em_id,0),em,'5(em)'!$CZ$18,FALSE),VLOOKUP(MATCH(O47,em_id,0),em,'5(em)'!$CZ$18,FALSE))))</f>
        <v/>
      </c>
      <c r="AX40" s="10330" t="str">
        <f t="shared" si="50"/>
        <v/>
      </c>
      <c r="AY40" s="10325"/>
      <c r="AZ40" s="10398" t="str">
        <f>+IF(BC40="","",IF(OR(O40="",O41="",O42="",O43="",O44="",O45="",O46="",O47=""),"",MAX(VLOOKUP(MATCH(O40,em_id,0),em,'5(em)'!$DA$18,FALSE),VLOOKUP(MATCH(O41,em_id,0),em,'5(em)'!$DA$18,FALSE),VLOOKUP(MATCH(O42,em_id,0),em,'5(em)'!$DA$18,FALSE),VLOOKUP(MATCH(O43,em_id,0),em,'5(em)'!$DA$18,FALSE),VLOOKUP(MATCH(O44,em_id,0),em,'5(em)'!$DA$18,FALSE),VLOOKUP(MATCH(O45,em_id,0),em,'5(em)'!$DA$18,FALSE),VLOOKUP(MATCH(O46,em_id,0),em,'5(em)'!$DA$18,FALSE),VLOOKUP(MATCH(O47,em_id,0),em,'5(em)'!DA$18,FALSE))))</f>
        <v/>
      </c>
      <c r="BA40" s="847"/>
      <c r="BB40" s="1020" t="str">
        <f t="shared" si="11"/>
        <v/>
      </c>
      <c r="BC40" s="848"/>
      <c r="BD40" s="849"/>
      <c r="BE40" s="849"/>
      <c r="BF40" s="1020"/>
      <c r="BG40" s="850"/>
      <c r="BH40" s="851"/>
      <c r="BI40" s="852"/>
      <c r="BJ40" s="852"/>
      <c r="BK40" s="852"/>
      <c r="BL40" s="852"/>
      <c r="BM40" s="852"/>
      <c r="BN40" s="852" t="str">
        <f t="shared" si="12"/>
        <v/>
      </c>
      <c r="BO40" s="853" t="str">
        <f t="shared" si="13"/>
        <v/>
      </c>
      <c r="BP40" s="853" t="str">
        <f t="shared" si="14"/>
        <v/>
      </c>
      <c r="BQ40" s="854" t="str">
        <f t="shared" si="15"/>
        <v/>
      </c>
      <c r="BR40" s="855"/>
      <c r="BS40" s="856"/>
      <c r="BT40" s="857"/>
      <c r="BU40" s="3734"/>
      <c r="BV40" s="3739"/>
      <c r="BW40" s="858"/>
      <c r="BX40" s="3798"/>
      <c r="BY40" s="3828" t="str">
        <f>+IF($BB40="","",IF(OR(BU40="",$AQ40=""),"",BU40/2000*$AQ40))</f>
        <v/>
      </c>
      <c r="BZ40" s="1052"/>
      <c r="CA40" s="3405"/>
      <c r="CB40" s="3839" t="str">
        <f>+IF($BB40="","",IF(BX40="","",$AT40-BX40))</f>
        <v/>
      </c>
      <c r="CC40" s="3890" t="str">
        <f>+IF($BB40="","",IF(CB40="","",CB40/$AT40))</f>
        <v/>
      </c>
      <c r="CD40" s="3890" t="str">
        <f>+IF($BB40="","",IF(BU40="","",(1-BU40/$AR40)))</f>
        <v/>
      </c>
      <c r="CE40" s="3897" t="str">
        <f>+IF(BB40="","",IF(VLOOKUP(MATCH(BB40,ef_id,0),ef,'11(eff)'!$AE$23,FALSE)="","",VLOOKUP(MATCH(BB40,ef_id,0),ef,'11(eff)'!$AE$23,FALSE)))</f>
        <v/>
      </c>
      <c r="CF40" s="856"/>
      <c r="CG40" s="857"/>
      <c r="CH40" s="2393"/>
      <c r="CI40" s="3839"/>
      <c r="CJ40" s="858"/>
      <c r="CK40" s="3839" t="str">
        <f>+IF($BB40="","",IF(OR($AW40="",CI40=""),"",CI40/2000*$AW40))</f>
        <v/>
      </c>
      <c r="CL40" s="3405" t="str">
        <f>+IF($BB40="","",IF(CK40="","",$AZ40-CK40))</f>
        <v/>
      </c>
      <c r="CM40" s="3995" t="str">
        <f>+IF($BB40="","",IF(CL40="","",CL40/$AZ40))</f>
        <v/>
      </c>
      <c r="CN40" s="3995" t="str">
        <f>+IF($BB40="","",IF(CI40="","",(1-CI40/$AX40)))</f>
        <v/>
      </c>
      <c r="CO40" s="3996"/>
      <c r="CP40" s="3997"/>
      <c r="CQ40" s="1370" t="str">
        <f t="shared" si="51"/>
        <v/>
      </c>
      <c r="CR40" s="859"/>
      <c r="CS40" s="2749"/>
      <c r="CT40" s="1577"/>
      <c r="CU40" s="1485"/>
      <c r="CV40" s="1782" t="str">
        <f t="shared" si="16"/>
        <v/>
      </c>
      <c r="CW40" s="1783"/>
      <c r="CX40" s="1783"/>
      <c r="CY40" s="1784"/>
      <c r="CZ40" s="2462"/>
      <c r="DA40" s="2437"/>
      <c r="DB40" s="2437"/>
      <c r="DC40" s="1782"/>
      <c r="DD40" s="1786"/>
      <c r="DE40" s="1787"/>
      <c r="DF40" s="1788"/>
      <c r="DG40" s="1788"/>
      <c r="DH40" s="1786"/>
      <c r="DI40" s="1681" t="str">
        <f>+IF(CT40="","",SUM(CU40:DC40))</f>
        <v/>
      </c>
      <c r="DJ40" s="1927"/>
      <c r="DK40" s="1577"/>
      <c r="DL40" s="1485"/>
      <c r="DM40" s="1782" t="str">
        <f t="shared" si="17"/>
        <v/>
      </c>
      <c r="DN40" s="1783"/>
      <c r="DO40" s="1783"/>
      <c r="DP40" s="1784"/>
      <c r="DQ40" s="2462"/>
      <c r="DR40" s="2437"/>
      <c r="DS40" s="2437"/>
      <c r="DT40" s="1782"/>
      <c r="DU40" s="1786"/>
      <c r="DV40" s="1787"/>
      <c r="DW40" s="1788"/>
      <c r="DX40" s="1788"/>
      <c r="DY40" s="1786"/>
      <c r="DZ40" s="1681" t="str">
        <f t="shared" si="18"/>
        <v/>
      </c>
      <c r="EA40" s="1927"/>
      <c r="EB40" s="1485" t="str">
        <f t="shared" si="19"/>
        <v/>
      </c>
      <c r="EC40" s="1951"/>
      <c r="ED40" s="1405" t="str">
        <f t="shared" si="20"/>
        <v/>
      </c>
      <c r="EE40" s="1785"/>
      <c r="EF40" s="2437"/>
      <c r="EG40" s="1784"/>
      <c r="EH40" s="1681"/>
      <c r="EI40" s="1787"/>
      <c r="EJ40" s="1788"/>
      <c r="EK40" s="1996"/>
      <c r="EL40" s="1445"/>
      <c r="EM40" s="1787"/>
      <c r="EN40" s="1788"/>
      <c r="EO40" s="1996"/>
      <c r="EP40" s="1681" t="str">
        <f t="shared" si="21"/>
        <v/>
      </c>
      <c r="EQ40" s="1681"/>
      <c r="ER40" s="1681"/>
      <c r="ES40" s="1681"/>
      <c r="ET40" s="1445"/>
      <c r="EU40" s="1184"/>
      <c r="EV40" s="1380"/>
      <c r="EW40" s="2569"/>
      <c r="EX40" s="2569"/>
      <c r="EY40" s="2676"/>
      <c r="EZ40" s="2705"/>
      <c r="FA40" s="1380"/>
      <c r="FB40" s="1467"/>
      <c r="FC40" s="1722" t="str">
        <f t="shared" si="89"/>
        <v/>
      </c>
      <c r="FD40" s="2042" t="str">
        <f>+IF(ISERR(FC40-(#REF!+#REF!+FS40)),"",FC40-(#REF!+#REF!+FS40))</f>
        <v/>
      </c>
      <c r="FE40" s="2025"/>
      <c r="FF40" s="2042"/>
      <c r="FG40" s="2025"/>
      <c r="FH40" s="2042"/>
      <c r="FI40" s="2025"/>
      <c r="FJ40" s="2792" t="str">
        <f t="shared" si="90"/>
        <v/>
      </c>
      <c r="FK40" s="2801"/>
      <c r="FL40" s="2042"/>
      <c r="FM40" s="2025"/>
      <c r="FN40" s="2042"/>
      <c r="FO40" s="2025"/>
      <c r="FP40" s="2042"/>
      <c r="FQ40" s="2025"/>
      <c r="FR40" s="3393"/>
      <c r="FS40" s="2863"/>
      <c r="FT40" s="2058"/>
      <c r="FU40" s="2818"/>
      <c r="FV40" s="2448" t="str">
        <f>+IF(T40="","",IF(FC40="","",FC40/T40))</f>
        <v/>
      </c>
      <c r="FW40" s="2083"/>
      <c r="FX40" s="2084"/>
      <c r="FY40" s="2083"/>
      <c r="FZ40" s="2084"/>
      <c r="GA40" s="2084"/>
      <c r="GB40" s="2083"/>
      <c r="GC40" s="2084"/>
      <c r="GD40" s="2084"/>
      <c r="GE40" s="1607"/>
      <c r="GF40" s="2133"/>
      <c r="GG40" s="2156"/>
      <c r="GH40" s="3172"/>
      <c r="GI40" s="1607"/>
      <c r="GJ40" s="3235"/>
      <c r="GK40" s="3437"/>
      <c r="GL40" s="3212"/>
      <c r="GM40" s="1338"/>
      <c r="GN40" s="1187"/>
      <c r="GO40" s="2277"/>
      <c r="GP40" s="2278"/>
      <c r="GQ40" s="2210"/>
      <c r="GR40" s="2210"/>
      <c r="GS40" s="2210"/>
      <c r="GT40" s="2210"/>
      <c r="GU40" s="2203"/>
      <c r="GV40" s="1186"/>
      <c r="GW40" s="2240"/>
      <c r="GX40" s="2210"/>
      <c r="GY40" s="2210"/>
      <c r="GZ40" s="2210"/>
      <c r="HA40" s="2210"/>
      <c r="HB40" s="1330" t="str">
        <f t="shared" si="22"/>
        <v/>
      </c>
      <c r="HC40" s="1186"/>
      <c r="HD40" s="3464"/>
      <c r="HE40" s="1188"/>
      <c r="HF40" s="3192"/>
      <c r="HG40" s="1187" t="str">
        <f t="shared" si="23"/>
        <v/>
      </c>
      <c r="HH40" s="2978"/>
      <c r="HI40" s="3060"/>
      <c r="HJ40" s="3073"/>
      <c r="HK40" s="3073"/>
      <c r="HL40" s="3073"/>
      <c r="HM40" s="3086"/>
      <c r="HN40" s="1191"/>
      <c r="HO40" s="1189"/>
      <c r="HP40" s="1190"/>
      <c r="HQ40" s="1192"/>
      <c r="HR40" s="1185"/>
      <c r="HS40" s="1185"/>
      <c r="HT40" s="1189"/>
      <c r="HU40" s="1185"/>
      <c r="HV40" s="1189"/>
      <c r="HW40" s="1185"/>
      <c r="HX40" s="3132" t="str">
        <f t="shared" si="24"/>
        <v/>
      </c>
      <c r="HY40" s="1190"/>
      <c r="HZ40" s="1185"/>
      <c r="IA40" s="3060"/>
      <c r="IB40" s="1192" t="str">
        <f t="shared" si="25"/>
        <v/>
      </c>
      <c r="IC40" s="1191"/>
      <c r="ID40" s="1189"/>
      <c r="IE40" s="1192"/>
      <c r="IF40" s="1189"/>
      <c r="IG40" s="6763"/>
      <c r="IH40" s="1190"/>
      <c r="II40" s="1192"/>
      <c r="IJ40" s="1192"/>
      <c r="IK40" s="4124"/>
      <c r="IL40" s="1788"/>
      <c r="IM40" s="1786"/>
      <c r="IN40" s="1927"/>
      <c r="IO40" s="1927"/>
      <c r="IP40" s="1927"/>
      <c r="IQ40" s="6836"/>
      <c r="IR40" s="1927"/>
      <c r="IS40" s="6836"/>
      <c r="IT40" s="1927"/>
      <c r="IU40" s="6836"/>
      <c r="IV40" s="7262"/>
      <c r="IW40" s="1786"/>
      <c r="IX40" s="4213"/>
      <c r="IY40" s="4241"/>
      <c r="IZ40" s="4268"/>
      <c r="JA40" s="4269"/>
      <c r="JB40" s="1185"/>
      <c r="JC40" s="4319"/>
      <c r="JD40" s="3192" t="str">
        <f t="shared" si="27"/>
        <v/>
      </c>
      <c r="JE40" s="4354" t="str">
        <f t="shared" si="28"/>
        <v/>
      </c>
      <c r="JF40" s="7025"/>
      <c r="JG40" s="2437"/>
      <c r="JH40" s="6956"/>
      <c r="JI40" s="6956"/>
      <c r="JJ40" s="6956"/>
      <c r="JK40" s="6956"/>
      <c r="JL40" s="6993"/>
      <c r="JM40" s="1783"/>
      <c r="JN40" s="7019"/>
      <c r="JO40" s="2437"/>
      <c r="JP40" s="7071"/>
      <c r="JQ40" s="7071"/>
      <c r="JR40" s="2437"/>
      <c r="JS40" s="1784"/>
      <c r="JT40" s="7121" t="str">
        <f t="shared" si="54"/>
        <v/>
      </c>
      <c r="JU40" s="7122"/>
      <c r="JV40" s="8363"/>
      <c r="JW40" s="8390"/>
      <c r="JX40" s="8419"/>
      <c r="JY40" s="8454"/>
      <c r="JZ40" s="7123"/>
      <c r="KA40" s="7121"/>
      <c r="KB40" s="7122"/>
      <c r="KC40" s="7123"/>
      <c r="KD40" s="7121"/>
      <c r="KE40" s="8327"/>
      <c r="KF40" s="8327"/>
      <c r="KG40" s="7122"/>
      <c r="KH40" s="7122"/>
      <c r="KI40" s="7122"/>
      <c r="KJ40" s="7122"/>
      <c r="KK40" s="7122"/>
      <c r="KL40" s="7122"/>
      <c r="KM40" s="7122"/>
      <c r="KN40" s="7122"/>
      <c r="KO40" s="7122"/>
      <c r="KP40" s="7123"/>
      <c r="KQ40" s="1785"/>
      <c r="KR40" s="7071"/>
      <c r="KS40" s="1784"/>
      <c r="KT40" s="1785"/>
      <c r="KU40" s="2437"/>
      <c r="KV40" s="7312"/>
      <c r="KW40" s="7204"/>
      <c r="KX40" s="1784"/>
      <c r="KY40" s="7205"/>
      <c r="KZ40" s="7202"/>
      <c r="LA40" s="7204"/>
      <c r="LB40" s="7203" t="str">
        <f>+IF(OR(KY40="",$CL40=""),"",KY40/$CL40)</f>
        <v/>
      </c>
      <c r="LC40" s="5133"/>
      <c r="LD40" s="5132"/>
      <c r="LE40" s="5132"/>
      <c r="LF40" s="5132"/>
      <c r="LG40" s="5132"/>
      <c r="LH40" s="5132"/>
      <c r="LI40" s="5132"/>
      <c r="LJ40" s="5132"/>
    </row>
    <row r="41" spans="1:322" s="13" customFormat="1" ht="25.5" customHeight="1">
      <c r="A41" s="5954" t="str">
        <f t="shared" si="46"/>
        <v>8302-06</v>
      </c>
      <c r="B41" s="9305">
        <f>+IF(A41="","",VLOOKUP(MATCH(A41,tid,0),tao,'12(id)'!$J$20,FALSE))</f>
        <v>0</v>
      </c>
      <c r="C41" s="6365" t="str">
        <f t="shared" si="47"/>
        <v>13B</v>
      </c>
      <c r="D41" s="1111" t="str">
        <f t="shared" si="48"/>
        <v/>
      </c>
      <c r="E41" s="849"/>
      <c r="F41" s="849" t="str">
        <f t="shared" si="49"/>
        <v/>
      </c>
      <c r="G41" s="5133"/>
      <c r="H41" s="5132"/>
      <c r="I41" s="5133"/>
      <c r="J41" s="719">
        <f t="shared" si="68"/>
        <v>7</v>
      </c>
      <c r="K41" s="649">
        <f t="shared" si="69"/>
        <v>7</v>
      </c>
      <c r="L41" s="9650"/>
      <c r="M41" s="9650">
        <f>+IF(O41="","",VLOOKUP(MATCH(O41,tid,0),tao,'12(id)'!$I$20,FALSE))</f>
        <v>0</v>
      </c>
      <c r="N41" s="9648"/>
      <c r="O41" s="8671" t="s">
        <v>283</v>
      </c>
      <c r="P41" s="9650"/>
      <c r="Q41" s="8576" t="str">
        <f>+IF(ISERROR(MATCH(O41,tid,0)),"",VLOOKUP(MATCH(O41,tid,0),tao,'12(id)'!$Q$20,FALSE))</f>
        <v>13B</v>
      </c>
      <c r="R41" s="8671">
        <f>+IF(O41="","",VLOOKUP(MATCH(O41,tid,0),tao,'12(id)'!$U$20,FALSE))</f>
        <v>8</v>
      </c>
      <c r="S41" s="9653"/>
      <c r="T41" s="10318" t="str">
        <f>+IF(ISERROR(MATCH(O41,tid,0)),"",IF(VLOOKUP(MATCH(O41,tid,0),tao,'12(id)'!$CT$20,FALSE)="","",VLOOKUP(MATCH(O41,tid,0),tao,'12(id)'!$CT$20,FALSE)))</f>
        <v/>
      </c>
      <c r="U41" s="10308" t="str">
        <f>+IF(ISERROR(MATCH(O41,tid,0)),"",IF(VLOOKUP(MATCH(O41,tid,0),tao,'12(id)'!$CU$20,FALSE)="","",VLOOKUP(MATCH(O41,tid,0),tao,'12(id)'!$CU$20,FALSE)))</f>
        <v/>
      </c>
      <c r="V41" s="10314" t="str">
        <f>+IF(O41="","",IF(VLOOKUP(MATCH(O41,tid,0),tao,'12(id)'!$T$20,FALSE)="","",VLOOKUP(MATCH(O41,tid,0),tao,'12(id)'!$T$20,FALSE)))</f>
        <v>Combustion Turbine</v>
      </c>
      <c r="W41" s="417" t="str">
        <f>+IF(ISERROR(MATCH(O41,tid,0)),"",IF(VLOOKUP(MATCH(O41,tid,0),tao,'12(id)'!$CO$20,FALSE)="","",VLOOKUP(MATCH(O41,tid,0),tao,'12(id)'!$CO$20,FALSE)))</f>
        <v>Pratt &amp; Whitney</v>
      </c>
      <c r="X41" s="8625" t="str">
        <f>+IF(ISERROR(MATCH(O41,tid,0)),"",IF(VLOOKUP(MATCH(O41,tid,0),tao,'12(id)'!$CP$20,FALSE)="","",VLOOKUP(MATCH(O41,tid,0),tao,'12(id)'!$CP$20,FALSE)))</f>
        <v>TP4-2(A9) LF</v>
      </c>
      <c r="Y41" s="2388" t="str">
        <f>+IF(ISERROR(MATCH(O41,tid,0)),"",IF(VLOOKUP(MATCH(O41,tid,0),tao,'12(id)'!$CQ$20,FALSE)="","",VLOOKUP(MATCH(O41,tid,0),tao,'12(id)'!$CQ$20,FALSE)))</f>
        <v>TP</v>
      </c>
      <c r="Z41" s="8563" t="str">
        <f>+IF(ISERROR(MATCH(O41,tid,0)),"",VLOOKUP(MATCH(O41,tid,0),tao,'12(id)'!$DB$20,FALSE)&amp;" "&amp;VLOOKUP(MATCH(O41,tid,0),tao,'12(id)'!$DC$20,FALSE))</f>
        <v xml:space="preserve"> 1970</v>
      </c>
      <c r="AA41" s="52" t="str">
        <f ca="1">+IF(ISERROR(MATCH(O41,tid,0)),"",IF(VLOOKUP(MATCH(O41,tid,0),tao,'12(id)'!$DE$20,FALSE)="","",ROUND(VLOOKUP(MATCH(O41,tid,0),tao,'12(id)'!$DE$20,FALSE),0)&amp;" yrs"))</f>
        <v>45 yrs</v>
      </c>
      <c r="AB41" s="282" t="str">
        <f>+IF(ISERROR(MATCH(O41,tid,0)),"",VLOOKUP(MATCH(O41,tid,0),tao,'12(id)'!$DI$20,FALSE))</f>
        <v>Jet Fuel A (Kerosene K1)</v>
      </c>
      <c r="AC41" s="282" t="str">
        <f>+IF(ISERROR(MATCH(O41,tid,0)),"",IF(VLOOKUP(MATCH(O41,tid,0),tao,'12(id)'!$DQ$20,FALSE)="","",VLOOKUP(MATCH(O41,tid,0),tao,'12(id)'!$DQ$20,FALSE)))</f>
        <v>No. 2 oil</v>
      </c>
      <c r="AD41" s="115">
        <f>+IF(ISERROR(MATCH(O41,tid,0)),"",IF(VLOOKUP(MATCH(O41,tid,0),tao,'12(id)'!$EI$20,FALSE)="","",VLOOKUP(MATCH(O41,tid,0),tao,'12(id)'!$EI$20,FALSE)))</f>
        <v>0.73299999999999998</v>
      </c>
      <c r="AE41" s="115">
        <f>+IF(ISERROR(MATCH(O41,tid,0)),"",IF(VLOOKUP(MATCH(O41,tid,0),tao,'12(id)'!$EJ$20,FALSE)="","",VLOOKUP(MATCH(O41,tid,0),tao,'12(id)'!$EJ$20,FALSE)))</f>
        <v>130.30000000000001</v>
      </c>
      <c r="AF41" s="10671">
        <f>+IF(ISERROR(MATCH(O41,tid,0)),"",IF(VLOOKUP(MATCH(O41,tid,0),tao,'12(id)'!$EL$20,FALSE)="","",VLOOKUP(MATCH(O41,tid,0),tao,'12(id)'!$EL$20,FALSE)))</f>
        <v>0.81</v>
      </c>
      <c r="AG41" s="10691" t="str">
        <f>+IF(ISERROR(MATCH(O41,tid,0)),"",IF(VLOOKUP(MATCH(O41,tid,0),tao,'12(id)'!$EM$20,FALSE)="","",VLOOKUP(MATCH(O41,tid,0),tao,'12(id)'!$EM$20,FALSE)))</f>
        <v/>
      </c>
      <c r="AH41" s="10757"/>
      <c r="AI41" s="10682"/>
      <c r="AJ41" s="960"/>
      <c r="AK41" s="960"/>
      <c r="AL41" s="960"/>
      <c r="AM41" s="961"/>
      <c r="AN41" s="10769"/>
      <c r="AO41" s="10311" t="str">
        <f>+IF(ISERROR(MATCH(O41,tid,0)),"",IF(VLOOKUP(MATCH(O41,tid,0),tao,'12(id)'!$GY$20,FALSE)="","",VLOOKUP(MATCH(O41,tid,0),tao,'12(id)'!$GY$20,FALSE)))</f>
        <v/>
      </c>
      <c r="AP41" s="8645" t="str">
        <f>+IF($BB41="","",IF(VLOOKUP(MATCH(O41,tid,0),tao,'12(id)'!$HE$20,FALSE)="","",VLOOKUP(MATCH(O41,tid,0),tao,'12(id)'!$HE$20,FALSE)))</f>
        <v/>
      </c>
      <c r="AQ41" s="10311" t="str">
        <f>+IF(ISERROR(VLOOKUP(MATCH(O41,tid,0),tao,'12(id)'!$HF$20,FALSE)),"",VLOOKUP(MATCH(O41,tid,0),tao,'12(id)'!$HF$20,FALSE))</f>
        <v/>
      </c>
      <c r="AR41" s="10336">
        <f>+IF(ISERROR(MATCH(O41,tid,0)),"",IF(VLOOKUP(MATCH(O41,tid,0),tao,'12(id)'!$HJ$20,FALSE)="","",VLOOKUP(MATCH(O41,tid,0),tao,'12(id)'!$HJ$20,FALSE)))</f>
        <v>0.73049999999999993</v>
      </c>
      <c r="AS41" s="10339">
        <f>+IF(ISERROR(MATCH(O41,tid,0)),"",IF(VLOOKUP(MATCH(O41,tid,0),tao,'12(id)'!$HK$20,FALSE)="","",VLOOKUP(MATCH(O41,tid,0),tao,'12(id)'!$HK$20,FALSE)))</f>
        <v>129.36842099334265</v>
      </c>
      <c r="AT41" s="10662" t="str">
        <f>+IF(ISERROR(MATCH(O41,tid,0)),"",IF(VLOOKUP(MATCH(O41,tid,0),tao,'12(id)'!$HM$20,FALSE)="","",VLOOKUP(MATCH(O41,tid,0),tao,'12(id)'!$HM$20,FALSE)))</f>
        <v/>
      </c>
      <c r="AU41" s="10362"/>
      <c r="AV41" s="10777" t="str">
        <f>+IF(BC41="","",IF(OR(O41="",O42="",O43="",O44="",O45="",O46="",O47="",O48=""),"",MAX(VLOOKUP(MATCH(O41,em_id,0),em,'5(em)'!$CX$18,FALSE),VLOOKUP(MATCH(O42,em_id,0),em,'5(em)'!$CX$18,FALSE),VLOOKUP(MATCH(O43,em_id,0),em,'5(em)'!$CX$18,FALSE),VLOOKUP(MATCH(O44,em_id,0),em,'5(em)'!$CX$18,FALSE),VLOOKUP(MATCH(O45,em_id,0),em,'5(em)'!$CX$18,FALSE),VLOOKUP(MATCH(O46,em_id,0),em,'5(em)'!$CX$18,FALSE),VLOOKUP(MATCH(O47,em_id,0),em,'5(em)'!$CX$18,FALSE),VLOOKUP(MATCH(O48,em_id,0),em,'5(em)'!$CX$18,FALSE))))</f>
        <v/>
      </c>
      <c r="AW41" s="10392" t="str">
        <f>+IF(BC41="","",IF(OR(O41="",O42="",O43="",O44="",O45="",O46="",O47="",O48=""),"",MAX(VLOOKUP(MATCH(O41,em_id,0),em,'5(em)'!$CZ$18,FALSE),VLOOKUP(MATCH(O42,em_id,0),em,'5(em)'!$CZ$18,FALSE),VLOOKUP(MATCH(O43,em_id,0),em,'5(em)'!$CZ$18,FALSE),VLOOKUP(MATCH(O44,em_id,0),em,'5(em)'!$CZ$18,FALSE),VLOOKUP(MATCH(O45,em_id,0),em,'5(em)'!$CZ$18,FALSE),VLOOKUP(MATCH(O46,em_id,0),em,'5(em)'!$CZ$18,FALSE),VLOOKUP(MATCH(O47,em_id,0),em,'5(em)'!$CZ$18,FALSE),VLOOKUP(MATCH(O48,em_id,0),em,'5(em)'!$CZ$18,FALSE))))</f>
        <v/>
      </c>
      <c r="AX41" s="10330" t="str">
        <f t="shared" si="50"/>
        <v/>
      </c>
      <c r="AY41" s="10325"/>
      <c r="AZ41" s="10398" t="str">
        <f>+IF(BC41="","",IF(OR(O41="",O42="",O43="",O44="",O45="",O46="",O47="",O48=""),"",MAX(VLOOKUP(MATCH(O41,em_id,0),em,'5(em)'!$DA$18,FALSE),VLOOKUP(MATCH(O42,em_id,0),em,'5(em)'!$DA$18,FALSE),VLOOKUP(MATCH(O43,em_id,0),em,'5(em)'!$DA$18,FALSE),VLOOKUP(MATCH(O44,em_id,0),em,'5(em)'!$DA$18,FALSE),VLOOKUP(MATCH(O45,em_id,0),em,'5(em)'!$DA$18,FALSE),VLOOKUP(MATCH(O46,em_id,0),em,'5(em)'!$DA$18,FALSE),VLOOKUP(MATCH(O47,em_id,0),em,'5(em)'!$DA$18,FALSE),VLOOKUP(MATCH(O48,em_id,0),em,'5(em)'!DA$18,FALSE))))</f>
        <v/>
      </c>
      <c r="BA41" s="847"/>
      <c r="BB41" s="1020" t="str">
        <f t="shared" si="11"/>
        <v/>
      </c>
      <c r="BC41" s="848"/>
      <c r="BD41" s="849"/>
      <c r="BE41" s="849"/>
      <c r="BF41" s="1020"/>
      <c r="BG41" s="850"/>
      <c r="BH41" s="851"/>
      <c r="BI41" s="852"/>
      <c r="BJ41" s="852"/>
      <c r="BK41" s="852"/>
      <c r="BL41" s="852"/>
      <c r="BM41" s="852"/>
      <c r="BN41" s="852" t="str">
        <f t="shared" si="12"/>
        <v/>
      </c>
      <c r="BO41" s="853" t="str">
        <f t="shared" si="13"/>
        <v/>
      </c>
      <c r="BP41" s="853" t="str">
        <f t="shared" si="14"/>
        <v/>
      </c>
      <c r="BQ41" s="854" t="str">
        <f t="shared" si="15"/>
        <v/>
      </c>
      <c r="BR41" s="855"/>
      <c r="BS41" s="856"/>
      <c r="BT41" s="857"/>
      <c r="BU41" s="3734"/>
      <c r="BV41" s="3739"/>
      <c r="BW41" s="858"/>
      <c r="BX41" s="3798"/>
      <c r="BY41" s="3828" t="str">
        <f>+IF($BB41="","",IF(OR(BU41="",$AQ41=""),"",BU41/2000*$AQ41))</f>
        <v/>
      </c>
      <c r="BZ41" s="1052"/>
      <c r="CA41" s="3405"/>
      <c r="CB41" s="3839" t="str">
        <f>+IF($BB41="","",IF(BX41="","",$AT41-BX41))</f>
        <v/>
      </c>
      <c r="CC41" s="3890" t="str">
        <f>+IF($BB41="","",IF(CB41="","",CB41/$AT41))</f>
        <v/>
      </c>
      <c r="CD41" s="3890" t="str">
        <f>+IF($BB41="","",IF(BU41="","",(1-BU41/$AR41)))</f>
        <v/>
      </c>
      <c r="CE41" s="3897" t="str">
        <f>+IF(BB41="","",IF(VLOOKUP(MATCH(BB41,ef_id,0),ef,'11(eff)'!$AE$23,FALSE)="","",VLOOKUP(MATCH(BB41,ef_id,0),ef,'11(eff)'!$AE$23,FALSE)))</f>
        <v/>
      </c>
      <c r="CF41" s="856"/>
      <c r="CG41" s="857"/>
      <c r="CH41" s="2393"/>
      <c r="CI41" s="3839"/>
      <c r="CJ41" s="858"/>
      <c r="CK41" s="3839" t="str">
        <f>+IF($BB41="","",IF(OR($AW41="",CI41=""),"",CI41/2000*$AW41))</f>
        <v/>
      </c>
      <c r="CL41" s="3405" t="str">
        <f>+IF($BB41="","",IF(CK41="","",$AZ41-CK41))</f>
        <v/>
      </c>
      <c r="CM41" s="3995" t="str">
        <f>+IF($BB41="","",IF(CL41="","",CL41/$AZ41))</f>
        <v/>
      </c>
      <c r="CN41" s="3995" t="str">
        <f>+IF($BB41="","",IF(CI41="","",(1-CI41/$AX41)))</f>
        <v/>
      </c>
      <c r="CO41" s="3996"/>
      <c r="CP41" s="3997"/>
      <c r="CQ41" s="1370" t="str">
        <f t="shared" si="51"/>
        <v/>
      </c>
      <c r="CR41" s="859"/>
      <c r="CS41" s="2749"/>
      <c r="CT41" s="1577"/>
      <c r="CU41" s="1485"/>
      <c r="CV41" s="1782" t="str">
        <f t="shared" si="16"/>
        <v/>
      </c>
      <c r="CW41" s="1783"/>
      <c r="CX41" s="1783"/>
      <c r="CY41" s="1784"/>
      <c r="CZ41" s="2462"/>
      <c r="DA41" s="2437"/>
      <c r="DB41" s="2437"/>
      <c r="DC41" s="1782"/>
      <c r="DD41" s="1786"/>
      <c r="DE41" s="1787"/>
      <c r="DF41" s="1788"/>
      <c r="DG41" s="1788"/>
      <c r="DH41" s="1786"/>
      <c r="DI41" s="1681" t="str">
        <f>+IF(CT41="","",SUM(CU41:DC41))</f>
        <v/>
      </c>
      <c r="DJ41" s="1927"/>
      <c r="DK41" s="1577"/>
      <c r="DL41" s="1485"/>
      <c r="DM41" s="1782" t="str">
        <f t="shared" si="17"/>
        <v/>
      </c>
      <c r="DN41" s="1783"/>
      <c r="DO41" s="1783"/>
      <c r="DP41" s="1784"/>
      <c r="DQ41" s="2462"/>
      <c r="DR41" s="2437"/>
      <c r="DS41" s="2437"/>
      <c r="DT41" s="1782"/>
      <c r="DU41" s="1786"/>
      <c r="DV41" s="1787"/>
      <c r="DW41" s="1788"/>
      <c r="DX41" s="1788"/>
      <c r="DY41" s="1786"/>
      <c r="DZ41" s="1681" t="str">
        <f t="shared" si="18"/>
        <v/>
      </c>
      <c r="EA41" s="1927"/>
      <c r="EB41" s="1485" t="str">
        <f t="shared" si="19"/>
        <v/>
      </c>
      <c r="EC41" s="1951"/>
      <c r="ED41" s="1405" t="str">
        <f t="shared" si="20"/>
        <v/>
      </c>
      <c r="EE41" s="1785"/>
      <c r="EF41" s="2437"/>
      <c r="EG41" s="1784"/>
      <c r="EH41" s="1681"/>
      <c r="EI41" s="1787"/>
      <c r="EJ41" s="1788"/>
      <c r="EK41" s="1996"/>
      <c r="EL41" s="1445"/>
      <c r="EM41" s="1787"/>
      <c r="EN41" s="1788"/>
      <c r="EO41" s="1996"/>
      <c r="EP41" s="1681" t="str">
        <f t="shared" si="21"/>
        <v/>
      </c>
      <c r="EQ41" s="1681"/>
      <c r="ER41" s="1681"/>
      <c r="ES41" s="1681"/>
      <c r="ET41" s="1445"/>
      <c r="EU41" s="1184"/>
      <c r="EV41" s="1380"/>
      <c r="EW41" s="2569"/>
      <c r="EX41" s="2569"/>
      <c r="EY41" s="2676"/>
      <c r="EZ41" s="2705"/>
      <c r="FA41" s="1380"/>
      <c r="FB41" s="1467"/>
      <c r="FC41" s="1722" t="str">
        <f t="shared" si="89"/>
        <v/>
      </c>
      <c r="FD41" s="2042" t="str">
        <f>+IF(ISERR(FC41-(#REF!+#REF!+FS41)),"",FC41-(#REF!+#REF!+FS41))</f>
        <v/>
      </c>
      <c r="FE41" s="2025"/>
      <c r="FF41" s="2042"/>
      <c r="FG41" s="2025"/>
      <c r="FH41" s="2042"/>
      <c r="FI41" s="2025"/>
      <c r="FJ41" s="2792" t="str">
        <f t="shared" si="90"/>
        <v/>
      </c>
      <c r="FK41" s="2801"/>
      <c r="FL41" s="2042"/>
      <c r="FM41" s="2025"/>
      <c r="FN41" s="2042"/>
      <c r="FO41" s="2025"/>
      <c r="FP41" s="2042"/>
      <c r="FQ41" s="2025"/>
      <c r="FR41" s="3393"/>
      <c r="FS41" s="2863"/>
      <c r="FT41" s="2058"/>
      <c r="FU41" s="2818"/>
      <c r="FV41" s="2448" t="str">
        <f>+IF(T41="","",IF(FC41="","",FC41/T41))</f>
        <v/>
      </c>
      <c r="FW41" s="2083"/>
      <c r="FX41" s="2084"/>
      <c r="FY41" s="2083"/>
      <c r="FZ41" s="2084"/>
      <c r="GA41" s="2084"/>
      <c r="GB41" s="2083"/>
      <c r="GC41" s="2084"/>
      <c r="GD41" s="2084"/>
      <c r="GE41" s="1607"/>
      <c r="GF41" s="2133"/>
      <c r="GG41" s="2156"/>
      <c r="GH41" s="3172"/>
      <c r="GI41" s="1607"/>
      <c r="GJ41" s="3235"/>
      <c r="GK41" s="3437"/>
      <c r="GL41" s="3212"/>
      <c r="GM41" s="1338"/>
      <c r="GN41" s="1187"/>
      <c r="GO41" s="2277"/>
      <c r="GP41" s="2278"/>
      <c r="GQ41" s="2210"/>
      <c r="GR41" s="2210"/>
      <c r="GS41" s="2210"/>
      <c r="GT41" s="2210"/>
      <c r="GU41" s="2203"/>
      <c r="GV41" s="1186"/>
      <c r="GW41" s="2240"/>
      <c r="GX41" s="2210"/>
      <c r="GY41" s="2210"/>
      <c r="GZ41" s="2210"/>
      <c r="HA41" s="2210"/>
      <c r="HB41" s="1330" t="str">
        <f t="shared" si="22"/>
        <v/>
      </c>
      <c r="HC41" s="1186"/>
      <c r="HD41" s="3464"/>
      <c r="HE41" s="1188"/>
      <c r="HF41" s="3192"/>
      <c r="HG41" s="1187" t="str">
        <f t="shared" si="23"/>
        <v/>
      </c>
      <c r="HH41" s="2978"/>
      <c r="HI41" s="3060"/>
      <c r="HJ41" s="3073"/>
      <c r="HK41" s="3073"/>
      <c r="HL41" s="3073"/>
      <c r="HM41" s="3086"/>
      <c r="HN41" s="1191"/>
      <c r="HO41" s="1189"/>
      <c r="HP41" s="1190"/>
      <c r="HQ41" s="1192"/>
      <c r="HR41" s="1185"/>
      <c r="HS41" s="1185"/>
      <c r="HT41" s="1189"/>
      <c r="HU41" s="1185"/>
      <c r="HV41" s="1189"/>
      <c r="HW41" s="1185"/>
      <c r="HX41" s="3132" t="str">
        <f t="shared" si="24"/>
        <v/>
      </c>
      <c r="HY41" s="1190"/>
      <c r="HZ41" s="1185"/>
      <c r="IA41" s="3060"/>
      <c r="IB41" s="1192" t="str">
        <f t="shared" si="25"/>
        <v/>
      </c>
      <c r="IC41" s="1191"/>
      <c r="ID41" s="1189"/>
      <c r="IE41" s="1192"/>
      <c r="IF41" s="1189"/>
      <c r="IG41" s="6763"/>
      <c r="IH41" s="1190"/>
      <c r="II41" s="1192"/>
      <c r="IJ41" s="1192"/>
      <c r="IK41" s="4124"/>
      <c r="IL41" s="1788"/>
      <c r="IM41" s="1786"/>
      <c r="IN41" s="1927"/>
      <c r="IO41" s="1927"/>
      <c r="IP41" s="1927"/>
      <c r="IQ41" s="6836"/>
      <c r="IR41" s="1927"/>
      <c r="IS41" s="6836"/>
      <c r="IT41" s="1927"/>
      <c r="IU41" s="6836"/>
      <c r="IV41" s="7262"/>
      <c r="IW41" s="1786"/>
      <c r="IX41" s="4213"/>
      <c r="IY41" s="4241"/>
      <c r="IZ41" s="4268"/>
      <c r="JA41" s="4269"/>
      <c r="JB41" s="1185"/>
      <c r="JC41" s="4319"/>
      <c r="JD41" s="3192" t="str">
        <f t="shared" si="27"/>
        <v/>
      </c>
      <c r="JE41" s="4354" t="str">
        <f t="shared" si="28"/>
        <v/>
      </c>
      <c r="JF41" s="7025"/>
      <c r="JG41" s="2437"/>
      <c r="JH41" s="6956"/>
      <c r="JI41" s="6956"/>
      <c r="JJ41" s="6956"/>
      <c r="JK41" s="6956"/>
      <c r="JL41" s="6993"/>
      <c r="JM41" s="1783"/>
      <c r="JN41" s="7019"/>
      <c r="JO41" s="2437"/>
      <c r="JP41" s="7071"/>
      <c r="JQ41" s="7071"/>
      <c r="JR41" s="2437"/>
      <c r="JS41" s="1784"/>
      <c r="JT41" s="7121" t="str">
        <f t="shared" si="54"/>
        <v/>
      </c>
      <c r="JU41" s="7122"/>
      <c r="JV41" s="8363"/>
      <c r="JW41" s="8390"/>
      <c r="JX41" s="8419"/>
      <c r="JY41" s="8454"/>
      <c r="JZ41" s="7123"/>
      <c r="KA41" s="7121"/>
      <c r="KB41" s="7122"/>
      <c r="KC41" s="7123"/>
      <c r="KD41" s="7121"/>
      <c r="KE41" s="8327"/>
      <c r="KF41" s="8327"/>
      <c r="KG41" s="7122"/>
      <c r="KH41" s="7122"/>
      <c r="KI41" s="7122"/>
      <c r="KJ41" s="7122"/>
      <c r="KK41" s="7122"/>
      <c r="KL41" s="7122"/>
      <c r="KM41" s="7122"/>
      <c r="KN41" s="7122"/>
      <c r="KO41" s="7122"/>
      <c r="KP41" s="7123"/>
      <c r="KQ41" s="1785"/>
      <c r="KR41" s="7071"/>
      <c r="KS41" s="1784"/>
      <c r="KT41" s="1785"/>
      <c r="KU41" s="2437"/>
      <c r="KV41" s="7312"/>
      <c r="KW41" s="7204"/>
      <c r="KX41" s="1784"/>
      <c r="KY41" s="7205"/>
      <c r="KZ41" s="7202"/>
      <c r="LA41" s="7204"/>
      <c r="LB41" s="7203" t="str">
        <f>+IF(OR(KY41="",$CL41=""),"",KY41/$CL41)</f>
        <v/>
      </c>
      <c r="LC41" s="5133"/>
      <c r="LD41" s="5132"/>
      <c r="LE41" s="5132"/>
      <c r="LF41" s="5132"/>
      <c r="LG41" s="5132"/>
      <c r="LH41" s="5132"/>
      <c r="LI41" s="5132"/>
      <c r="LJ41" s="5132"/>
    </row>
    <row r="42" spans="1:322" s="13" customFormat="1" ht="25.5" customHeight="1">
      <c r="A42" s="5954" t="str">
        <f t="shared" si="46"/>
        <v>8302-07</v>
      </c>
      <c r="B42" s="9305">
        <f>+IF(A42="","",VLOOKUP(MATCH(A42,tid,0),tao,'12(id)'!$J$20,FALSE))</f>
        <v>0</v>
      </c>
      <c r="C42" s="6365" t="str">
        <f t="shared" si="47"/>
        <v>14A</v>
      </c>
      <c r="D42" s="1111" t="str">
        <f t="shared" si="48"/>
        <v/>
      </c>
      <c r="E42" s="849"/>
      <c r="F42" s="849" t="str">
        <f t="shared" si="49"/>
        <v/>
      </c>
      <c r="G42" s="5133"/>
      <c r="H42" s="5132"/>
      <c r="I42" s="5133"/>
      <c r="J42" s="719">
        <f t="shared" si="68"/>
        <v>8</v>
      </c>
      <c r="K42" s="649">
        <f t="shared" si="69"/>
        <v>8</v>
      </c>
      <c r="L42" s="9650"/>
      <c r="M42" s="9650">
        <f>+IF(O42="","",VLOOKUP(MATCH(O42,tid,0),tao,'12(id)'!$I$20,FALSE))</f>
        <v>0</v>
      </c>
      <c r="N42" s="9648"/>
      <c r="O42" s="8671" t="s">
        <v>284</v>
      </c>
      <c r="P42" s="9650"/>
      <c r="Q42" s="8576" t="str">
        <f>+IF(ISERROR(MATCH(O42,tid,0)),"",VLOOKUP(MATCH(O42,tid,0),tao,'12(id)'!$Q$20,FALSE))</f>
        <v>14A</v>
      </c>
      <c r="R42" s="8671">
        <f>+IF(O42="","",VLOOKUP(MATCH(O42,tid,0),tao,'12(id)'!$U$20,FALSE))</f>
        <v>8</v>
      </c>
      <c r="S42" s="10759"/>
      <c r="T42" s="10316">
        <f>+IF(ISERROR(MATCH(O42,tid,0)),"",IF(VLOOKUP(MATCH(O42,tid,0),tao,'12(id)'!$CT$20,FALSE)="","",VLOOKUP(MATCH(O42,tid,0),tao,'12(id)'!$CT$20,FALSE)))</f>
        <v>40</v>
      </c>
      <c r="U42" s="10308" t="str">
        <f>+IF(ISERROR(MATCH(O42,tid,0)),"",IF(VLOOKUP(MATCH(O42,tid,0),tao,'12(id)'!$CU$20,FALSE)="","",VLOOKUP(MATCH(O42,tid,0),tao,'12(id)'!$CU$20,FALSE)))</f>
        <v/>
      </c>
      <c r="V42" s="10314" t="str">
        <f>+IF(O42="","",IF(VLOOKUP(MATCH(O42,tid,0),tao,'12(id)'!$T$20,FALSE)="","",VLOOKUP(MATCH(O42,tid,0),tao,'12(id)'!$T$20,FALSE)))</f>
        <v>Combustion Turbine</v>
      </c>
      <c r="W42" s="417" t="str">
        <f>+IF(ISERROR(MATCH(O42,tid,0)),"",IF(VLOOKUP(MATCH(O42,tid,0),tao,'12(id)'!$CO$20,FALSE)="","",VLOOKUP(MATCH(O42,tid,0),tao,'12(id)'!$CO$20,FALSE)))</f>
        <v>Pratt &amp; Whitney</v>
      </c>
      <c r="X42" s="8625" t="str">
        <f>+IF(ISERROR(MATCH(O42,tid,0)),"",IF(VLOOKUP(MATCH(O42,tid,0),tao,'12(id)'!$CP$20,FALSE)="","",VLOOKUP(MATCH(O42,tid,0),tao,'12(id)'!$CP$20,FALSE)))</f>
        <v>TP4-2(A9) LF</v>
      </c>
      <c r="Y42" s="2388" t="str">
        <f>+IF(ISERROR(MATCH(O42,tid,0)),"",IF(VLOOKUP(MATCH(O42,tid,0),tao,'12(id)'!$CQ$20,FALSE)="","",VLOOKUP(MATCH(O42,tid,0),tao,'12(id)'!$CQ$20,FALSE)))</f>
        <v>TP</v>
      </c>
      <c r="Z42" s="8563" t="str">
        <f>+IF(ISERROR(MATCH(O42,tid,0)),"",VLOOKUP(MATCH(O42,tid,0),tao,'12(id)'!$DB$20,FALSE)&amp;" "&amp;VLOOKUP(MATCH(O42,tid,0),tao,'12(id)'!$DC$20,FALSE))</f>
        <v xml:space="preserve"> 1970</v>
      </c>
      <c r="AA42" s="52" t="str">
        <f ca="1">+IF(ISERROR(MATCH(O42,tid,0)),"",IF(VLOOKUP(MATCH(O42,tid,0),tao,'12(id)'!$DE$20,FALSE)="","",ROUND(VLOOKUP(MATCH(O42,tid,0),tao,'12(id)'!$DE$20,FALSE),0)&amp;" yrs"))</f>
        <v>45 yrs</v>
      </c>
      <c r="AB42" s="282" t="str">
        <f>+IF(ISERROR(MATCH(O42,tid,0)),"",VLOOKUP(MATCH(O42,tid,0),tao,'12(id)'!$DI$20,FALSE))</f>
        <v>Jet Fuel A (Kerosene K1)</v>
      </c>
      <c r="AC42" s="282" t="str">
        <f>+IF(ISERROR(MATCH(O42,tid,0)),"",IF(VLOOKUP(MATCH(O42,tid,0),tao,'12(id)'!$DQ$20,FALSE)="","",VLOOKUP(MATCH(O42,tid,0),tao,'12(id)'!$DQ$20,FALSE)))</f>
        <v>No. 2 oil</v>
      </c>
      <c r="AD42" s="115">
        <f>+IF(ISERROR(MATCH(O42,tid,0)),"",IF(VLOOKUP(MATCH(O42,tid,0),tao,'12(id)'!$EI$20,FALSE)="","",VLOOKUP(MATCH(O42,tid,0),tao,'12(id)'!$EI$20,FALSE)))</f>
        <v>0.755</v>
      </c>
      <c r="AE42" s="115">
        <f>+IF(ISERROR(MATCH(O42,tid,0)),"",IF(VLOOKUP(MATCH(O42,tid,0),tao,'12(id)'!$EJ$20,FALSE)="","",VLOOKUP(MATCH(O42,tid,0),tao,'12(id)'!$EJ$20,FALSE)))</f>
        <v>124</v>
      </c>
      <c r="AF42" s="10671">
        <f>+IF(ISERROR(MATCH(O42,tid,0)),"",IF(VLOOKUP(MATCH(O42,tid,0),tao,'12(id)'!$EL$20,FALSE)="","",VLOOKUP(MATCH(O42,tid,0),tao,'12(id)'!$EL$20,FALSE)))</f>
        <v>0.81</v>
      </c>
      <c r="AG42" s="10691" t="str">
        <f>+IF(ISERROR(MATCH(O42,tid,0)),"",IF(VLOOKUP(MATCH(O42,tid,0),tao,'12(id)'!$EM$20,FALSE)="","",VLOOKUP(MATCH(O42,tid,0),tao,'12(id)'!$EM$20,FALSE)))</f>
        <v/>
      </c>
      <c r="AH42" s="10757"/>
      <c r="AI42" s="10682"/>
      <c r="AJ42" s="960"/>
      <c r="AK42" s="960"/>
      <c r="AL42" s="960"/>
      <c r="AM42" s="961"/>
      <c r="AN42" s="10769"/>
      <c r="AO42" s="10311" t="str">
        <f>+IF(ISERROR(MATCH(O42,tid,0)),"",IF(VLOOKUP(MATCH(O42,tid,0),tao,'12(id)'!$GY$20,FALSE)="","",VLOOKUP(MATCH(O42,tid,0),tao,'12(id)'!$GY$20,FALSE)))</f>
        <v/>
      </c>
      <c r="AP42" s="8645" t="str">
        <f>+IF($BB42="","",IF(VLOOKUP(MATCH(O42,tid,0),tao,'12(id)'!$HE$20,FALSE)="","",VLOOKUP(MATCH(O42,tid,0),tao,'12(id)'!$HE$20,FALSE)))</f>
        <v/>
      </c>
      <c r="AQ42" s="10311" t="str">
        <f>+IF(ISERROR(VLOOKUP(MATCH(O42,tid,0),tao,'12(id)'!$HF$20,FALSE)),"",VLOOKUP(MATCH(O42,tid,0),tao,'12(id)'!$HF$20,FALSE))</f>
        <v/>
      </c>
      <c r="AR42" s="10336">
        <f>+IF(ISERROR(MATCH(O42,tid,0)),"",IF(VLOOKUP(MATCH(O42,tid,0),tao,'12(id)'!$HJ$20,FALSE)="","",VLOOKUP(MATCH(O42,tid,0),tao,'12(id)'!$HJ$20,FALSE)))</f>
        <v>0.73049999999999993</v>
      </c>
      <c r="AS42" s="10339">
        <f>+IF(ISERROR(MATCH(O42,tid,0)),"",IF(VLOOKUP(MATCH(O42,tid,0),tao,'12(id)'!$HK$20,FALSE)="","",VLOOKUP(MATCH(O42,tid,0),tao,'12(id)'!$HK$20,FALSE)))</f>
        <v>129.36842099334265</v>
      </c>
      <c r="AT42" s="10662" t="str">
        <f>+IF(ISERROR(MATCH(O42,tid,0)),"",IF(VLOOKUP(MATCH(O42,tid,0),tao,'12(id)'!$HM$20,FALSE)="","",VLOOKUP(MATCH(O42,tid,0),tao,'12(id)'!$HM$20,FALSE)))</f>
        <v/>
      </c>
      <c r="AU42" s="10362"/>
      <c r="AV42" s="10777" t="str">
        <f>+IF(BC42="","",IF(OR(O42="",O43="",O44="",O45="",O46="",O47="",O48="",O50=""),"",MAX(VLOOKUP(MATCH(O42,em_id,0),em,'5(em)'!$CX$18,FALSE),VLOOKUP(MATCH(O43,em_id,0),em,'5(em)'!$CX$18,FALSE),VLOOKUP(MATCH(O44,em_id,0),em,'5(em)'!$CX$18,FALSE),VLOOKUP(MATCH(O45,em_id,0),em,'5(em)'!$CX$18,FALSE),VLOOKUP(MATCH(O46,em_id,0),em,'5(em)'!$CX$18,FALSE),VLOOKUP(MATCH(O47,em_id,0),em,'5(em)'!$CX$18,FALSE),VLOOKUP(MATCH(O48,em_id,0),em,'5(em)'!$CX$18,FALSE),VLOOKUP(MATCH(O50,em_id,0),em,'5(em)'!$CX$18,FALSE))))</f>
        <v/>
      </c>
      <c r="AW42" s="10392" t="str">
        <f>+IF(BC42="","",IF(OR(O42="",O43="",O44="",O45="",O46="",O47="",O48="",O50=""),"",MAX(VLOOKUP(MATCH(O42,em_id,0),em,'5(em)'!$CZ$18,FALSE),VLOOKUP(MATCH(O43,em_id,0),em,'5(em)'!$CZ$18,FALSE),VLOOKUP(MATCH(O44,em_id,0),em,'5(em)'!$CZ$18,FALSE),VLOOKUP(MATCH(O45,em_id,0),em,'5(em)'!$CZ$18,FALSE),VLOOKUP(MATCH(O46,em_id,0),em,'5(em)'!$CZ$18,FALSE),VLOOKUP(MATCH(O47,em_id,0),em,'5(em)'!$CZ$18,FALSE),VLOOKUP(MATCH(O48,em_id,0),em,'5(em)'!$CZ$18,FALSE),VLOOKUP(MATCH(O50,em_id,0),em,'5(em)'!$CZ$18,FALSE))))</f>
        <v/>
      </c>
      <c r="AX42" s="10330" t="str">
        <f t="shared" si="50"/>
        <v/>
      </c>
      <c r="AY42" s="10325"/>
      <c r="AZ42" s="10398" t="str">
        <f>+IF(BC42="","",IF(OR(O42="",O43="",O44="",O45="",O46="",O47="",O48="",O50=""),"",MAX(VLOOKUP(MATCH(O42,em_id,0),em,'5(em)'!$DA$18,FALSE),VLOOKUP(MATCH(O43,em_id,0),em,'5(em)'!$DA$18,FALSE),VLOOKUP(MATCH(O44,em_id,0),em,'5(em)'!$DA$18,FALSE),VLOOKUP(MATCH(O45,em_id,0),em,'5(em)'!$DA$18,FALSE),VLOOKUP(MATCH(O46,em_id,0),em,'5(em)'!$DA$18,FALSE),VLOOKUP(MATCH(O47,em_id,0),em,'5(em)'!$DA$18,FALSE),VLOOKUP(MATCH(O48,em_id,0),em,'5(em)'!$DA$18,FALSE),VLOOKUP(MATCH(O50,em_id,0),em,'5(em)'!DA$18,FALSE))))</f>
        <v/>
      </c>
      <c r="BA42" s="847"/>
      <c r="BB42" s="1020" t="str">
        <f t="shared" si="11"/>
        <v/>
      </c>
      <c r="BC42" s="848"/>
      <c r="BD42" s="849"/>
      <c r="BE42" s="849"/>
      <c r="BF42" s="1020"/>
      <c r="BG42" s="850"/>
      <c r="BH42" s="851"/>
      <c r="BI42" s="852"/>
      <c r="BJ42" s="852"/>
      <c r="BK42" s="852"/>
      <c r="BL42" s="852"/>
      <c r="BM42" s="852"/>
      <c r="BN42" s="852" t="str">
        <f t="shared" si="12"/>
        <v/>
      </c>
      <c r="BO42" s="853" t="str">
        <f t="shared" si="13"/>
        <v/>
      </c>
      <c r="BP42" s="853" t="str">
        <f t="shared" si="14"/>
        <v/>
      </c>
      <c r="BQ42" s="854" t="str">
        <f t="shared" si="15"/>
        <v/>
      </c>
      <c r="BR42" s="855"/>
      <c r="BS42" s="856"/>
      <c r="BT42" s="857"/>
      <c r="BU42" s="3734"/>
      <c r="BV42" s="3739"/>
      <c r="BW42" s="858"/>
      <c r="BX42" s="3798"/>
      <c r="BY42" s="3828" t="str">
        <f>+IF($BB42="","",IF(OR(BU42="",$AQ42=""),"",BU42/2000*$AQ42))</f>
        <v/>
      </c>
      <c r="BZ42" s="1052"/>
      <c r="CA42" s="3405"/>
      <c r="CB42" s="3839" t="str">
        <f>+IF($BB42="","",IF(BX42="","",$AT42-BX42))</f>
        <v/>
      </c>
      <c r="CC42" s="3890" t="str">
        <f>+IF($BB42="","",IF(CB42="","",CB42/$AT42))</f>
        <v/>
      </c>
      <c r="CD42" s="3890" t="str">
        <f>+IF($BB42="","",IF(BU42="","",(1-BU42/$AR42)))</f>
        <v/>
      </c>
      <c r="CE42" s="3897" t="str">
        <f>+IF(BB42="","",IF(VLOOKUP(MATCH(BB42,ef_id,0),ef,'11(eff)'!$AE$23,FALSE)="","",VLOOKUP(MATCH(BB42,ef_id,0),ef,'11(eff)'!$AE$23,FALSE)))</f>
        <v/>
      </c>
      <c r="CF42" s="856"/>
      <c r="CG42" s="857"/>
      <c r="CH42" s="2393"/>
      <c r="CI42" s="3839"/>
      <c r="CJ42" s="858"/>
      <c r="CK42" s="3839" t="str">
        <f>+IF($BB42="","",IF(OR($AW42="",CI42=""),"",CI42/2000*$AW42))</f>
        <v/>
      </c>
      <c r="CL42" s="3405" t="str">
        <f>+IF($BB42="","",IF(CK42="","",$AZ42-CK42))</f>
        <v/>
      </c>
      <c r="CM42" s="3995" t="str">
        <f>+IF($BB42="","",IF(CL42="","",CL42/$AZ42))</f>
        <v/>
      </c>
      <c r="CN42" s="3995" t="str">
        <f>+IF($BB42="","",IF(CI42="","",(1-CI42/$AX42)))</f>
        <v/>
      </c>
      <c r="CO42" s="3996"/>
      <c r="CP42" s="3997"/>
      <c r="CQ42" s="1370" t="str">
        <f t="shared" si="51"/>
        <v/>
      </c>
      <c r="CR42" s="859"/>
      <c r="CS42" s="2749"/>
      <c r="CT42" s="1577"/>
      <c r="CU42" s="1485"/>
      <c r="CV42" s="1782" t="str">
        <f t="shared" si="16"/>
        <v/>
      </c>
      <c r="CW42" s="1783"/>
      <c r="CX42" s="1783"/>
      <c r="CY42" s="1784"/>
      <c r="CZ42" s="2462"/>
      <c r="DA42" s="2437"/>
      <c r="DB42" s="2437"/>
      <c r="DC42" s="1782"/>
      <c r="DD42" s="1786"/>
      <c r="DE42" s="1787"/>
      <c r="DF42" s="1788"/>
      <c r="DG42" s="1788"/>
      <c r="DH42" s="1786"/>
      <c r="DI42" s="1681" t="str">
        <f>+IF(CT42="","",SUM(CU42:DC42))</f>
        <v/>
      </c>
      <c r="DJ42" s="1927"/>
      <c r="DK42" s="1577"/>
      <c r="DL42" s="1485"/>
      <c r="DM42" s="1782" t="str">
        <f t="shared" si="17"/>
        <v/>
      </c>
      <c r="DN42" s="1783"/>
      <c r="DO42" s="1783"/>
      <c r="DP42" s="1784"/>
      <c r="DQ42" s="2462"/>
      <c r="DR42" s="2437"/>
      <c r="DS42" s="2437"/>
      <c r="DT42" s="1782"/>
      <c r="DU42" s="1786"/>
      <c r="DV42" s="1787"/>
      <c r="DW42" s="1788"/>
      <c r="DX42" s="1788"/>
      <c r="DY42" s="1786"/>
      <c r="DZ42" s="1681" t="str">
        <f t="shared" si="18"/>
        <v/>
      </c>
      <c r="EA42" s="1927"/>
      <c r="EB42" s="1485" t="str">
        <f t="shared" si="19"/>
        <v/>
      </c>
      <c r="EC42" s="1951"/>
      <c r="ED42" s="1405" t="str">
        <f t="shared" si="20"/>
        <v/>
      </c>
      <c r="EE42" s="1785"/>
      <c r="EF42" s="2437"/>
      <c r="EG42" s="1784"/>
      <c r="EH42" s="1681"/>
      <c r="EI42" s="1787"/>
      <c r="EJ42" s="1788"/>
      <c r="EK42" s="1996"/>
      <c r="EL42" s="1445"/>
      <c r="EM42" s="1787"/>
      <c r="EN42" s="1788"/>
      <c r="EO42" s="1996"/>
      <c r="EP42" s="1681" t="str">
        <f t="shared" si="21"/>
        <v/>
      </c>
      <c r="EQ42" s="1681"/>
      <c r="ER42" s="1681"/>
      <c r="ES42" s="1681"/>
      <c r="ET42" s="1445"/>
      <c r="EU42" s="1184"/>
      <c r="EV42" s="1380"/>
      <c r="EW42" s="2569"/>
      <c r="EX42" s="2569"/>
      <c r="EY42" s="2676"/>
      <c r="EZ42" s="2705"/>
      <c r="FA42" s="1380"/>
      <c r="FB42" s="1467"/>
      <c r="FC42" s="1722" t="str">
        <f t="shared" si="89"/>
        <v/>
      </c>
      <c r="FD42" s="2042" t="str">
        <f>+IF(ISERR(FC42-(#REF!+#REF!+FS42)),"",FC42-(#REF!+#REF!+FS42))</f>
        <v/>
      </c>
      <c r="FE42" s="2025"/>
      <c r="FF42" s="2042"/>
      <c r="FG42" s="2025"/>
      <c r="FH42" s="2042"/>
      <c r="FI42" s="2025"/>
      <c r="FJ42" s="2792" t="str">
        <f t="shared" si="90"/>
        <v/>
      </c>
      <c r="FK42" s="2801"/>
      <c r="FL42" s="2042"/>
      <c r="FM42" s="2025"/>
      <c r="FN42" s="2042"/>
      <c r="FO42" s="2025"/>
      <c r="FP42" s="2042"/>
      <c r="FQ42" s="2025"/>
      <c r="FR42" s="3393"/>
      <c r="FS42" s="2863"/>
      <c r="FT42" s="2058"/>
      <c r="FU42" s="2818"/>
      <c r="FV42" s="2448" t="str">
        <f>+IF(T42="","",IF(FC42="","",FC42/T42))</f>
        <v/>
      </c>
      <c r="FW42" s="2083"/>
      <c r="FX42" s="2084"/>
      <c r="FY42" s="2083"/>
      <c r="FZ42" s="2084"/>
      <c r="GA42" s="2084"/>
      <c r="GB42" s="2083"/>
      <c r="GC42" s="2084"/>
      <c r="GD42" s="2084"/>
      <c r="GE42" s="1607"/>
      <c r="GF42" s="2133"/>
      <c r="GG42" s="2156"/>
      <c r="GH42" s="3172"/>
      <c r="GI42" s="1607"/>
      <c r="GJ42" s="3235"/>
      <c r="GK42" s="3437"/>
      <c r="GL42" s="3212"/>
      <c r="GM42" s="1338"/>
      <c r="GN42" s="1187"/>
      <c r="GO42" s="2277"/>
      <c r="GP42" s="2278"/>
      <c r="GQ42" s="2210"/>
      <c r="GR42" s="2210"/>
      <c r="GS42" s="2210"/>
      <c r="GT42" s="2210"/>
      <c r="GU42" s="2203"/>
      <c r="GV42" s="1186"/>
      <c r="GW42" s="2240"/>
      <c r="GX42" s="2210"/>
      <c r="GY42" s="2210"/>
      <c r="GZ42" s="2210"/>
      <c r="HA42" s="2210"/>
      <c r="HB42" s="1330" t="str">
        <f t="shared" si="22"/>
        <v/>
      </c>
      <c r="HC42" s="1186"/>
      <c r="HD42" s="3464"/>
      <c r="HE42" s="1188"/>
      <c r="HF42" s="3192"/>
      <c r="HG42" s="1187" t="str">
        <f t="shared" si="23"/>
        <v/>
      </c>
      <c r="HH42" s="2978"/>
      <c r="HI42" s="3060"/>
      <c r="HJ42" s="3073"/>
      <c r="HK42" s="3073"/>
      <c r="HL42" s="3073"/>
      <c r="HM42" s="3086"/>
      <c r="HN42" s="1191"/>
      <c r="HO42" s="1189"/>
      <c r="HP42" s="1190"/>
      <c r="HQ42" s="1192"/>
      <c r="HR42" s="1185"/>
      <c r="HS42" s="1185"/>
      <c r="HT42" s="1189"/>
      <c r="HU42" s="1185"/>
      <c r="HV42" s="1189"/>
      <c r="HW42" s="1185"/>
      <c r="HX42" s="3132" t="str">
        <f t="shared" si="24"/>
        <v/>
      </c>
      <c r="HY42" s="1190"/>
      <c r="HZ42" s="1185"/>
      <c r="IA42" s="3060"/>
      <c r="IB42" s="1192" t="str">
        <f t="shared" si="25"/>
        <v/>
      </c>
      <c r="IC42" s="1191"/>
      <c r="ID42" s="1189"/>
      <c r="IE42" s="1192"/>
      <c r="IF42" s="1189"/>
      <c r="IG42" s="6763"/>
      <c r="IH42" s="1190"/>
      <c r="II42" s="1192"/>
      <c r="IJ42" s="1192"/>
      <c r="IK42" s="4124"/>
      <c r="IL42" s="1788"/>
      <c r="IM42" s="1786"/>
      <c r="IN42" s="1927"/>
      <c r="IO42" s="1927"/>
      <c r="IP42" s="1927"/>
      <c r="IQ42" s="6836"/>
      <c r="IR42" s="1927"/>
      <c r="IS42" s="6836"/>
      <c r="IT42" s="1927"/>
      <c r="IU42" s="6836"/>
      <c r="IV42" s="7262"/>
      <c r="IW42" s="1786"/>
      <c r="IX42" s="4213"/>
      <c r="IY42" s="4241"/>
      <c r="IZ42" s="4268"/>
      <c r="JA42" s="4269"/>
      <c r="JB42" s="1185"/>
      <c r="JC42" s="4319"/>
      <c r="JD42" s="3192" t="str">
        <f t="shared" si="27"/>
        <v/>
      </c>
      <c r="JE42" s="4354" t="str">
        <f t="shared" si="28"/>
        <v/>
      </c>
      <c r="JF42" s="7025"/>
      <c r="JG42" s="2437"/>
      <c r="JH42" s="6956"/>
      <c r="JI42" s="6956"/>
      <c r="JJ42" s="6956"/>
      <c r="JK42" s="6956"/>
      <c r="JL42" s="6993"/>
      <c r="JM42" s="1783"/>
      <c r="JN42" s="7019"/>
      <c r="JO42" s="2437"/>
      <c r="JP42" s="7071"/>
      <c r="JQ42" s="7071"/>
      <c r="JR42" s="2437"/>
      <c r="JS42" s="1784"/>
      <c r="JT42" s="7121" t="str">
        <f t="shared" si="54"/>
        <v/>
      </c>
      <c r="JU42" s="7122"/>
      <c r="JV42" s="8363"/>
      <c r="JW42" s="8390"/>
      <c r="JX42" s="8419"/>
      <c r="JY42" s="8454"/>
      <c r="JZ42" s="7123"/>
      <c r="KA42" s="7121"/>
      <c r="KB42" s="7122"/>
      <c r="KC42" s="7123"/>
      <c r="KD42" s="7121"/>
      <c r="KE42" s="8327"/>
      <c r="KF42" s="8327"/>
      <c r="KG42" s="7122"/>
      <c r="KH42" s="7122"/>
      <c r="KI42" s="7122"/>
      <c r="KJ42" s="7122"/>
      <c r="KK42" s="7122"/>
      <c r="KL42" s="7122"/>
      <c r="KM42" s="7122"/>
      <c r="KN42" s="7122"/>
      <c r="KO42" s="7122"/>
      <c r="KP42" s="7123"/>
      <c r="KQ42" s="1785"/>
      <c r="KR42" s="7071"/>
      <c r="KS42" s="1784"/>
      <c r="KT42" s="1785"/>
      <c r="KU42" s="2437"/>
      <c r="KV42" s="7312"/>
      <c r="KW42" s="7204"/>
      <c r="KX42" s="1784"/>
      <c r="KY42" s="7205"/>
      <c r="KZ42" s="7202"/>
      <c r="LA42" s="7204"/>
      <c r="LB42" s="7203" t="str">
        <f>+IF(OR(KY42="",$CL42=""),"",KY42/$CL42)</f>
        <v/>
      </c>
      <c r="LC42" s="5133"/>
      <c r="LD42" s="5132"/>
      <c r="LE42" s="5132"/>
      <c r="LF42" s="5132"/>
      <c r="LG42" s="5132"/>
      <c r="LH42" s="5132"/>
      <c r="LI42" s="5132"/>
      <c r="LJ42" s="5132"/>
    </row>
    <row r="43" spans="1:322" s="13" customFormat="1" ht="25.5" customHeight="1" thickBot="1">
      <c r="A43" s="5955" t="str">
        <f t="shared" si="46"/>
        <v>8302-08</v>
      </c>
      <c r="B43" s="9304">
        <f>+IF(A43="","",VLOOKUP(MATCH(A43,tid,0),tao,'12(id)'!$J$20,FALSE))</f>
        <v>0</v>
      </c>
      <c r="C43" s="6366" t="str">
        <f t="shared" si="47"/>
        <v>14B</v>
      </c>
      <c r="D43" s="1112" t="str">
        <f t="shared" si="48"/>
        <v/>
      </c>
      <c r="E43" s="862"/>
      <c r="F43" s="862" t="str">
        <f t="shared" si="49"/>
        <v/>
      </c>
      <c r="G43" s="5133"/>
      <c r="H43" s="5132"/>
      <c r="I43" s="5133"/>
      <c r="J43" s="719">
        <f t="shared" si="68"/>
        <v>9</v>
      </c>
      <c r="K43" s="1017">
        <f t="shared" si="69"/>
        <v>9</v>
      </c>
      <c r="L43" s="9647"/>
      <c r="M43" s="9647">
        <f>+IF(O43="","",VLOOKUP(MATCH(O43,tid,0),tao,'12(id)'!$I$20,FALSE))</f>
        <v>0</v>
      </c>
      <c r="N43" s="9645"/>
      <c r="O43" s="8672" t="s">
        <v>285</v>
      </c>
      <c r="P43" s="9647"/>
      <c r="Q43" s="8578" t="str">
        <f>+IF(ISERROR(MATCH(O43,tid,0)),"",VLOOKUP(MATCH(O43,tid,0),tao,'12(id)'!$Q$20,FALSE))</f>
        <v>14B</v>
      </c>
      <c r="R43" s="8672">
        <f>+IF(O43="","",VLOOKUP(MATCH(O43,tid,0),tao,'12(id)'!$U$20,FALSE))</f>
        <v>8</v>
      </c>
      <c r="S43" s="9645"/>
      <c r="T43" s="10317" t="str">
        <f>+IF(ISERROR(MATCH(O43,tid,0)),"",IF(VLOOKUP(MATCH(O43,tid,0),tao,'12(id)'!$CT$20,FALSE)="","",VLOOKUP(MATCH(O43,tid,0),tao,'12(id)'!$CT$20,FALSE)))</f>
        <v/>
      </c>
      <c r="U43" s="10309" t="str">
        <f>+IF(ISERROR(MATCH(O43,tid,0)),"",IF(VLOOKUP(MATCH(O43,tid,0),tao,'12(id)'!$CU$20,FALSE)="","",VLOOKUP(MATCH(O43,tid,0),tao,'12(id)'!$CU$20,FALSE)))</f>
        <v/>
      </c>
      <c r="V43" s="10315" t="str">
        <f>+IF(O43="","",IF(VLOOKUP(MATCH(O43,tid,0),tao,'12(id)'!$T$20,FALSE)="","",VLOOKUP(MATCH(O43,tid,0),tao,'12(id)'!$T$20,FALSE)))</f>
        <v>Combustion Turbine</v>
      </c>
      <c r="W43" s="418" t="str">
        <f>+IF(ISERROR(MATCH(O43,tid,0)),"",IF(VLOOKUP(MATCH(O43,tid,0),tao,'12(id)'!$CO$20,FALSE)="","",VLOOKUP(MATCH(O43,tid,0),tao,'12(id)'!$CO$20,FALSE)))</f>
        <v>Pratt &amp; Whitney</v>
      </c>
      <c r="X43" s="8626" t="str">
        <f>+IF(ISERROR(MATCH(O43,tid,0)),"",IF(VLOOKUP(MATCH(O43,tid,0),tao,'12(id)'!$CP$20,FALSE)="","",VLOOKUP(MATCH(O43,tid,0),tao,'12(id)'!$CP$20,FALSE)))</f>
        <v>TP4-2(A9) LF</v>
      </c>
      <c r="Y43" s="2389" t="str">
        <f>+IF(ISERROR(MATCH(O43,tid,0)),"",IF(VLOOKUP(MATCH(O43,tid,0),tao,'12(id)'!$CQ$20,FALSE)="","",VLOOKUP(MATCH(O43,tid,0),tao,'12(id)'!$CQ$20,FALSE)))</f>
        <v>TP</v>
      </c>
      <c r="Z43" s="8564" t="str">
        <f>+IF(ISERROR(MATCH(O43,tid,0)),"",VLOOKUP(MATCH(O43,tid,0),tao,'12(id)'!$DB$20,FALSE)&amp;" "&amp;VLOOKUP(MATCH(O43,tid,0),tao,'12(id)'!$DC$20,FALSE))</f>
        <v xml:space="preserve"> 1970</v>
      </c>
      <c r="AA43" s="53" t="str">
        <f ca="1">+IF(ISERROR(MATCH(O43,tid,0)),"",IF(VLOOKUP(MATCH(O43,tid,0),tao,'12(id)'!$DE$20,FALSE)="","",ROUND(VLOOKUP(MATCH(O43,tid,0),tao,'12(id)'!$DE$20,FALSE),0)&amp;" yrs"))</f>
        <v>45 yrs</v>
      </c>
      <c r="AB43" s="34" t="str">
        <f>+IF(ISERROR(MATCH(O43,tid,0)),"",VLOOKUP(MATCH(O43,tid,0),tao,'12(id)'!$DI$20,FALSE))</f>
        <v>Jet Fuel A (Kerosene K1)</v>
      </c>
      <c r="AC43" s="34" t="str">
        <f>+IF(ISERROR(MATCH(O43,tid,0)),"",IF(VLOOKUP(MATCH(O43,tid,0),tao,'12(id)'!$DQ$20,FALSE)="","",VLOOKUP(MATCH(O43,tid,0),tao,'12(id)'!$DQ$20,FALSE)))</f>
        <v>No. 2 oil</v>
      </c>
      <c r="AD43" s="116">
        <f>+IF(ISERROR(MATCH(O43,tid,0)),"",IF(VLOOKUP(MATCH(O43,tid,0),tao,'12(id)'!$EI$20,FALSE)="","",VLOOKUP(MATCH(O43,tid,0),tao,'12(id)'!$EI$20,FALSE)))</f>
        <v>0.77100000000000002</v>
      </c>
      <c r="AE43" s="116">
        <f>+IF(ISERROR(MATCH(O43,tid,0)),"",IF(VLOOKUP(MATCH(O43,tid,0),tao,'12(id)'!$EJ$20,FALSE)="","",VLOOKUP(MATCH(O43,tid,0),tao,'12(id)'!$EJ$20,FALSE)))</f>
        <v>136.1</v>
      </c>
      <c r="AF43" s="10672">
        <f>+IF(ISERROR(MATCH(O43,tid,0)),"",IF(VLOOKUP(MATCH(O43,tid,0),tao,'12(id)'!$EL$20,FALSE)="","",VLOOKUP(MATCH(O43,tid,0),tao,'12(id)'!$EL$20,FALSE)))</f>
        <v>0.81</v>
      </c>
      <c r="AG43" s="10692" t="str">
        <f>+IF(ISERROR(MATCH(O43,tid,0)),"",IF(VLOOKUP(MATCH(O43,tid,0),tao,'12(id)'!$EM$20,FALSE)="","",VLOOKUP(MATCH(O43,tid,0),tao,'12(id)'!$EM$20,FALSE)))</f>
        <v/>
      </c>
      <c r="AH43" s="10758"/>
      <c r="AI43" s="10683"/>
      <c r="AJ43" s="962"/>
      <c r="AK43" s="962"/>
      <c r="AL43" s="962"/>
      <c r="AM43" s="963"/>
      <c r="AN43" s="10770"/>
      <c r="AO43" s="10312" t="str">
        <f>+IF(ISERROR(MATCH(O43,tid,0)),"",IF(VLOOKUP(MATCH(O43,tid,0),tao,'12(id)'!$GY$20,FALSE)="","",VLOOKUP(MATCH(O43,tid,0),tao,'12(id)'!$GY$20,FALSE)))</f>
        <v/>
      </c>
      <c r="AP43" s="8646" t="str">
        <f>+IF($BB43="","",IF(VLOOKUP(MATCH(O43,tid,0),tao,'12(id)'!$HE$20,FALSE)="","",VLOOKUP(MATCH(O43,tid,0),tao,'12(id)'!$HE$20,FALSE)))</f>
        <v/>
      </c>
      <c r="AQ43" s="10312" t="str">
        <f>+IF(ISERROR(VLOOKUP(MATCH(O43,tid,0),tao,'12(id)'!$HF$20,FALSE)),"",VLOOKUP(MATCH(O43,tid,0),tao,'12(id)'!$HF$20,FALSE))</f>
        <v/>
      </c>
      <c r="AR43" s="10337">
        <f>+IF(ISERROR(MATCH(O43,tid,0)),"",IF(VLOOKUP(MATCH(O43,tid,0),tao,'12(id)'!$HJ$20,FALSE)="","",VLOOKUP(MATCH(O43,tid,0),tao,'12(id)'!$HJ$20,FALSE)))</f>
        <v>0.73049999999999993</v>
      </c>
      <c r="AS43" s="10340">
        <f>+IF(ISERROR(MATCH(O43,tid,0)),"",IF(VLOOKUP(MATCH(O43,tid,0),tao,'12(id)'!$HK$20,FALSE)="","",VLOOKUP(MATCH(O43,tid,0),tao,'12(id)'!$HK$20,FALSE)))</f>
        <v>129.36842099334265</v>
      </c>
      <c r="AT43" s="10663" t="str">
        <f>+IF(ISERROR(MATCH(O43,tid,0)),"",IF(VLOOKUP(MATCH(O43,tid,0),tao,'12(id)'!$HM$20,FALSE)="","",VLOOKUP(MATCH(O43,tid,0),tao,'12(id)'!$HM$20,FALSE)))</f>
        <v/>
      </c>
      <c r="AU43" s="10363"/>
      <c r="AV43" s="10778" t="str">
        <f>+IF(BC43="","",IF(OR(O43="",O44="",O45="",O46="",O47="",O48="",O50="",O51=""),"",MAX(VLOOKUP(MATCH(O43,em_id,0),em,'5(em)'!$CX$18,FALSE),VLOOKUP(MATCH(O44,em_id,0),em,'5(em)'!$CX$18,FALSE),VLOOKUP(MATCH(O45,em_id,0),em,'5(em)'!$CX$18,FALSE),VLOOKUP(MATCH(O46,em_id,0),em,'5(em)'!$CX$18,FALSE),VLOOKUP(MATCH(O47,em_id,0),em,'5(em)'!$CX$18,FALSE),VLOOKUP(MATCH(O48,em_id,0),em,'5(em)'!$CX$18,FALSE),VLOOKUP(MATCH(O50,em_id,0),em,'5(em)'!$CX$18,FALSE),VLOOKUP(MATCH(O51,em_id,0),em,'5(em)'!$CX$18,FALSE))))</f>
        <v/>
      </c>
      <c r="AW43" s="10393" t="str">
        <f>+IF(BC43="","",IF(OR(O43="",O44="",O45="",O46="",O47="",O48="",O50="",O51=""),"",MAX(VLOOKUP(MATCH(O43,em_id,0),em,'5(em)'!$CZ$18,FALSE),VLOOKUP(MATCH(O44,em_id,0),em,'5(em)'!$CZ$18,FALSE),VLOOKUP(MATCH(O45,em_id,0),em,'5(em)'!$CZ$18,FALSE),VLOOKUP(MATCH(O46,em_id,0),em,'5(em)'!$CZ$18,FALSE),VLOOKUP(MATCH(O47,em_id,0),em,'5(em)'!$CZ$18,FALSE),VLOOKUP(MATCH(O48,em_id,0),em,'5(em)'!$CZ$18,FALSE),VLOOKUP(MATCH(O50,em_id,0),em,'5(em)'!$CZ$18,FALSE),VLOOKUP(MATCH(O51,em_id,0),em,'5(em)'!$CZ$18,FALSE))))</f>
        <v/>
      </c>
      <c r="AX43" s="10331" t="str">
        <f t="shared" si="50"/>
        <v/>
      </c>
      <c r="AY43" s="10396"/>
      <c r="AZ43" s="10399" t="str">
        <f>+IF(BC43="","",IF(OR(O43="",O44="",O45="",O46="",O47="",O48="",O50="",O51=""),"",MAX(VLOOKUP(MATCH(O43,em_id,0),em,'5(em)'!$DA$18,FALSE),VLOOKUP(MATCH(O44,em_id,0),em,'5(em)'!$DA$18,FALSE),VLOOKUP(MATCH(O45,em_id,0),em,'5(em)'!$DA$18,FALSE),VLOOKUP(MATCH(O46,em_id,0),em,'5(em)'!$DA$18,FALSE),VLOOKUP(MATCH(O47,em_id,0),em,'5(em)'!$DA$18,FALSE),VLOOKUP(MATCH(O48,em_id,0),em,'5(em)'!$DA$18,FALSE),VLOOKUP(MATCH(O50,em_id,0),em,'5(em)'!$DA$18,FALSE),VLOOKUP(MATCH(O51,em_id,0),em,'5(em)'!DA$18,FALSE))))</f>
        <v/>
      </c>
      <c r="BA43" s="860"/>
      <c r="BB43" s="883" t="str">
        <f t="shared" si="11"/>
        <v/>
      </c>
      <c r="BC43" s="861"/>
      <c r="BD43" s="862"/>
      <c r="BE43" s="862"/>
      <c r="BF43" s="883"/>
      <c r="BG43" s="863"/>
      <c r="BH43" s="864"/>
      <c r="BI43" s="865"/>
      <c r="BJ43" s="865"/>
      <c r="BK43" s="865"/>
      <c r="BL43" s="865"/>
      <c r="BM43" s="865"/>
      <c r="BN43" s="865" t="str">
        <f t="shared" si="12"/>
        <v/>
      </c>
      <c r="BO43" s="866" t="str">
        <f t="shared" si="13"/>
        <v/>
      </c>
      <c r="BP43" s="866" t="str">
        <f t="shared" si="14"/>
        <v/>
      </c>
      <c r="BQ43" s="867" t="str">
        <f t="shared" si="15"/>
        <v/>
      </c>
      <c r="BR43" s="868"/>
      <c r="BS43" s="869"/>
      <c r="BT43" s="870"/>
      <c r="BU43" s="3725"/>
      <c r="BV43" s="3740"/>
      <c r="BW43" s="871"/>
      <c r="BX43" s="3799"/>
      <c r="BY43" s="3814" t="str">
        <f>+IF($BB43="","",IF(OR(BU43="",$AQ43=""),"",BU43/2000*$AQ43))</f>
        <v/>
      </c>
      <c r="BZ43" s="1053"/>
      <c r="CA43" s="3406"/>
      <c r="CB43" s="3840" t="str">
        <f>+IF($BB43="","",IF(BX43="","",$AT43-BX43))</f>
        <v/>
      </c>
      <c r="CC43" s="3865" t="str">
        <f>+IF($BB43="","",IF(CB43="","",CB43/$AT43))</f>
        <v/>
      </c>
      <c r="CD43" s="3865" t="str">
        <f>+IF($BB43="","",IF(BU43="","",(1-BU43/$AR43)))</f>
        <v/>
      </c>
      <c r="CE43" s="3898" t="str">
        <f>+IF(BB43="","",IF(VLOOKUP(MATCH(BB43,ef_id,0),ef,'11(eff)'!$AE$23,FALSE)="","",VLOOKUP(MATCH(BB43,ef_id,0),ef,'11(eff)'!$AE$23,FALSE)))</f>
        <v/>
      </c>
      <c r="CF43" s="869"/>
      <c r="CG43" s="870"/>
      <c r="CH43" s="2394"/>
      <c r="CI43" s="3840"/>
      <c r="CJ43" s="871"/>
      <c r="CK43" s="3840" t="str">
        <f>+IF($BB43="","",IF(OR($AW43="",CI43=""),"",CI43/2000*$AW43))</f>
        <v/>
      </c>
      <c r="CL43" s="3406" t="str">
        <f>+IF($BB43="","",IF(CK43="","",$AZ43-CK43))</f>
        <v/>
      </c>
      <c r="CM43" s="3950" t="str">
        <f>+IF($BB43="","",IF(CL43="","",CL43/$AZ43))</f>
        <v/>
      </c>
      <c r="CN43" s="3950" t="str">
        <f>+IF($BB43="","",IF(CI43="","",(1-CI43/$AX43)))</f>
        <v/>
      </c>
      <c r="CO43" s="3951"/>
      <c r="CP43" s="3952"/>
      <c r="CQ43" s="882" t="str">
        <f t="shared" si="51"/>
        <v/>
      </c>
      <c r="CR43" s="872"/>
      <c r="CS43" s="2750"/>
      <c r="CT43" s="1578"/>
      <c r="CU43" s="1486"/>
      <c r="CV43" s="1789" t="str">
        <f t="shared" si="16"/>
        <v/>
      </c>
      <c r="CW43" s="1790"/>
      <c r="CX43" s="1790"/>
      <c r="CY43" s="1791"/>
      <c r="CZ43" s="2463"/>
      <c r="DA43" s="2438"/>
      <c r="DB43" s="2438"/>
      <c r="DC43" s="1789"/>
      <c r="DD43" s="1793"/>
      <c r="DE43" s="1794"/>
      <c r="DF43" s="1795"/>
      <c r="DG43" s="1795"/>
      <c r="DH43" s="1793"/>
      <c r="DI43" s="1682" t="str">
        <f>+IF(CT43="","",SUM(CU43:DC43))</f>
        <v/>
      </c>
      <c r="DJ43" s="1928"/>
      <c r="DK43" s="1578"/>
      <c r="DL43" s="1486"/>
      <c r="DM43" s="1789" t="str">
        <f t="shared" si="17"/>
        <v/>
      </c>
      <c r="DN43" s="1790"/>
      <c r="DO43" s="1790"/>
      <c r="DP43" s="1791"/>
      <c r="DQ43" s="2463"/>
      <c r="DR43" s="2438"/>
      <c r="DS43" s="2438"/>
      <c r="DT43" s="1789"/>
      <c r="DU43" s="1793"/>
      <c r="DV43" s="1794"/>
      <c r="DW43" s="1795"/>
      <c r="DX43" s="1795"/>
      <c r="DY43" s="1793"/>
      <c r="DZ43" s="1682" t="str">
        <f t="shared" si="18"/>
        <v/>
      </c>
      <c r="EA43" s="1928"/>
      <c r="EB43" s="1486" t="str">
        <f t="shared" si="19"/>
        <v/>
      </c>
      <c r="EC43" s="1952"/>
      <c r="ED43" s="1406" t="str">
        <f t="shared" si="20"/>
        <v/>
      </c>
      <c r="EE43" s="1792"/>
      <c r="EF43" s="2438"/>
      <c r="EG43" s="1791"/>
      <c r="EH43" s="1682"/>
      <c r="EI43" s="1794"/>
      <c r="EJ43" s="1795"/>
      <c r="EK43" s="1997"/>
      <c r="EL43" s="1446"/>
      <c r="EM43" s="1794"/>
      <c r="EN43" s="1795"/>
      <c r="EO43" s="1997"/>
      <c r="EP43" s="1682" t="str">
        <f t="shared" si="21"/>
        <v/>
      </c>
      <c r="EQ43" s="1682"/>
      <c r="ER43" s="1682"/>
      <c r="ES43" s="1682"/>
      <c r="ET43" s="1446"/>
      <c r="EU43" s="1193"/>
      <c r="EV43" s="1381"/>
      <c r="EW43" s="2570"/>
      <c r="EX43" s="2570"/>
      <c r="EY43" s="2677"/>
      <c r="EZ43" s="2706"/>
      <c r="FA43" s="1381"/>
      <c r="FB43" s="1468"/>
      <c r="FC43" s="1723" t="str">
        <f t="shared" si="89"/>
        <v/>
      </c>
      <c r="FD43" s="2043" t="str">
        <f>+IF(ISERR(FC43-(#REF!+#REF!+FS43)),"",FC43-(#REF!+#REF!+FS43))</f>
        <v/>
      </c>
      <c r="FE43" s="2026"/>
      <c r="FF43" s="2043"/>
      <c r="FG43" s="2026"/>
      <c r="FH43" s="2043"/>
      <c r="FI43" s="2026"/>
      <c r="FJ43" s="2793" t="str">
        <f t="shared" si="90"/>
        <v/>
      </c>
      <c r="FK43" s="2802"/>
      <c r="FL43" s="2043"/>
      <c r="FM43" s="2026"/>
      <c r="FN43" s="2043"/>
      <c r="FO43" s="2026"/>
      <c r="FP43" s="2043"/>
      <c r="FQ43" s="2026"/>
      <c r="FR43" s="3394"/>
      <c r="FS43" s="2864"/>
      <c r="FT43" s="2059"/>
      <c r="FU43" s="2819"/>
      <c r="FV43" s="2449" t="str">
        <f>+IF(T43="","",IF(FC43="","",FC43/T43))</f>
        <v/>
      </c>
      <c r="FW43" s="2085"/>
      <c r="FX43" s="2086"/>
      <c r="FY43" s="2085"/>
      <c r="FZ43" s="2086"/>
      <c r="GA43" s="2086"/>
      <c r="GB43" s="2085"/>
      <c r="GC43" s="2086"/>
      <c r="GD43" s="2086"/>
      <c r="GE43" s="1608"/>
      <c r="GF43" s="2134"/>
      <c r="GG43" s="2157"/>
      <c r="GH43" s="3173"/>
      <c r="GI43" s="1608"/>
      <c r="GJ43" s="3236"/>
      <c r="GK43" s="3438"/>
      <c r="GL43" s="3213"/>
      <c r="GM43" s="1339"/>
      <c r="GN43" s="1196"/>
      <c r="GO43" s="2279"/>
      <c r="GP43" s="2280"/>
      <c r="GQ43" s="2211"/>
      <c r="GR43" s="2211"/>
      <c r="GS43" s="2211"/>
      <c r="GT43" s="2211"/>
      <c r="GU43" s="2204"/>
      <c r="GV43" s="1195"/>
      <c r="GW43" s="2241"/>
      <c r="GX43" s="2211"/>
      <c r="GY43" s="2211"/>
      <c r="GZ43" s="2211"/>
      <c r="HA43" s="2211"/>
      <c r="HB43" s="1331" t="str">
        <f t="shared" si="22"/>
        <v/>
      </c>
      <c r="HC43" s="1195"/>
      <c r="HD43" s="3465"/>
      <c r="HE43" s="1197"/>
      <c r="HF43" s="3193"/>
      <c r="HG43" s="1196" t="str">
        <f t="shared" si="23"/>
        <v/>
      </c>
      <c r="HH43" s="2979"/>
      <c r="HI43" s="3061"/>
      <c r="HJ43" s="3074"/>
      <c r="HK43" s="3074"/>
      <c r="HL43" s="3074"/>
      <c r="HM43" s="3087"/>
      <c r="HN43" s="1200"/>
      <c r="HO43" s="1198"/>
      <c r="HP43" s="1199"/>
      <c r="HQ43" s="1201"/>
      <c r="HR43" s="1194"/>
      <c r="HS43" s="1194"/>
      <c r="HT43" s="1198"/>
      <c r="HU43" s="1194"/>
      <c r="HV43" s="1198"/>
      <c r="HW43" s="1194"/>
      <c r="HX43" s="3133" t="str">
        <f t="shared" si="24"/>
        <v/>
      </c>
      <c r="HY43" s="1199"/>
      <c r="HZ43" s="1194"/>
      <c r="IA43" s="3061"/>
      <c r="IB43" s="1201" t="str">
        <f t="shared" si="25"/>
        <v/>
      </c>
      <c r="IC43" s="1200"/>
      <c r="ID43" s="1198"/>
      <c r="IE43" s="1201"/>
      <c r="IF43" s="1198"/>
      <c r="IG43" s="6764"/>
      <c r="IH43" s="1199"/>
      <c r="II43" s="1201"/>
      <c r="IJ43" s="1201"/>
      <c r="IK43" s="4125"/>
      <c r="IL43" s="1795"/>
      <c r="IM43" s="1793"/>
      <c r="IN43" s="1928"/>
      <c r="IO43" s="1928"/>
      <c r="IP43" s="1928"/>
      <c r="IQ43" s="6837"/>
      <c r="IR43" s="1928"/>
      <c r="IS43" s="6837"/>
      <c r="IT43" s="1928"/>
      <c r="IU43" s="6837"/>
      <c r="IV43" s="7263"/>
      <c r="IW43" s="1793"/>
      <c r="IX43" s="4214"/>
      <c r="IY43" s="4242"/>
      <c r="IZ43" s="4270"/>
      <c r="JA43" s="4271"/>
      <c r="JB43" s="1194"/>
      <c r="JC43" s="4320"/>
      <c r="JD43" s="3193" t="str">
        <f t="shared" si="27"/>
        <v/>
      </c>
      <c r="JE43" s="4355" t="str">
        <f t="shared" si="28"/>
        <v/>
      </c>
      <c r="JF43" s="7026"/>
      <c r="JG43" s="2438"/>
      <c r="JH43" s="6957"/>
      <c r="JI43" s="6957"/>
      <c r="JJ43" s="6957"/>
      <c r="JK43" s="6957"/>
      <c r="JL43" s="6994"/>
      <c r="JM43" s="1790"/>
      <c r="JN43" s="7020"/>
      <c r="JO43" s="2438"/>
      <c r="JP43" s="7072"/>
      <c r="JQ43" s="7072"/>
      <c r="JR43" s="2438"/>
      <c r="JS43" s="1791"/>
      <c r="JT43" s="7124" t="str">
        <f t="shared" si="54"/>
        <v/>
      </c>
      <c r="JU43" s="7125"/>
      <c r="JV43" s="8364"/>
      <c r="JW43" s="8391"/>
      <c r="JX43" s="8420"/>
      <c r="JY43" s="8455"/>
      <c r="JZ43" s="7126"/>
      <c r="KA43" s="7124"/>
      <c r="KB43" s="7125"/>
      <c r="KC43" s="7126"/>
      <c r="KD43" s="7124"/>
      <c r="KE43" s="8328"/>
      <c r="KF43" s="8328"/>
      <c r="KG43" s="7125"/>
      <c r="KH43" s="7125"/>
      <c r="KI43" s="7125"/>
      <c r="KJ43" s="7125"/>
      <c r="KK43" s="7125"/>
      <c r="KL43" s="7125"/>
      <c r="KM43" s="7125"/>
      <c r="KN43" s="7125"/>
      <c r="KO43" s="7125"/>
      <c r="KP43" s="7126"/>
      <c r="KQ43" s="1792"/>
      <c r="KR43" s="7072"/>
      <c r="KS43" s="1791"/>
      <c r="KT43" s="1792"/>
      <c r="KU43" s="2438"/>
      <c r="KV43" s="7313"/>
      <c r="KW43" s="7208"/>
      <c r="KX43" s="1791"/>
      <c r="KY43" s="3166"/>
      <c r="KZ43" s="7206"/>
      <c r="LA43" s="7208"/>
      <c r="LB43" s="7207" t="str">
        <f>+IF(OR(KY43="",$CL43=""),"",KY43/$CL43)</f>
        <v/>
      </c>
      <c r="LC43" s="5133"/>
      <c r="LD43" s="5132"/>
      <c r="LE43" s="5132"/>
      <c r="LF43" s="5132"/>
      <c r="LG43" s="5132"/>
      <c r="LH43" s="5132"/>
      <c r="LI43" s="5132"/>
      <c r="LJ43" s="5132"/>
    </row>
    <row r="44" spans="1:322" s="13" customFormat="1" ht="27.95" customHeight="1">
      <c r="A44" s="10543" t="str">
        <f t="shared" si="46"/>
        <v>8303-01</v>
      </c>
      <c r="B44" s="9842" t="str">
        <f>+IF(A44="","",VLOOKUP(MATCH(A44,tid,0),tao,'12(id)'!$J$20,FALSE))</f>
        <v>FirstLight</v>
      </c>
      <c r="C44" s="10560">
        <f t="shared" si="47"/>
        <v>10</v>
      </c>
      <c r="D44" s="1113" t="str">
        <f t="shared" si="48"/>
        <v>8303-01-01</v>
      </c>
      <c r="E44" s="899" t="str">
        <f t="shared" ref="E44:E51" si="91">+IF(BD44="","",BD44)</f>
        <v>SCR + HPWI + CO Catalyst + Dual Fuel</v>
      </c>
      <c r="F44" s="899" t="str">
        <f t="shared" si="49"/>
        <v>SCR</v>
      </c>
      <c r="G44" s="5133"/>
      <c r="H44" s="5132"/>
      <c r="I44" s="5133"/>
      <c r="J44" s="719">
        <f t="shared" si="68"/>
        <v>10</v>
      </c>
      <c r="K44" s="9662">
        <f t="shared" si="69"/>
        <v>10</v>
      </c>
      <c r="L44" s="9644">
        <v>3</v>
      </c>
      <c r="M44" s="9646" t="str">
        <f>+IF(O44="","",VLOOKUP(MATCH(O44,tid,0),tao,'12(id)'!$I$20,FALSE))</f>
        <v>FirstLight Hydro Generating Company</v>
      </c>
      <c r="N44" s="9644" t="s">
        <v>286</v>
      </c>
      <c r="O44" s="9644" t="s">
        <v>287</v>
      </c>
      <c r="P44" s="9644" t="str">
        <f>+IF(O44="","",VLOOKUP(MATCH(O44,tid,0),tao,'12(id)'!$L$20,FALSE))</f>
        <v>Tunnel</v>
      </c>
      <c r="Q44" s="9679">
        <f>+IF(ISERROR(MATCH(O44,tid,0)),"",VLOOKUP(MATCH(O44,tid,0),tao,'12(id)'!$Q$20,FALSE))</f>
        <v>10</v>
      </c>
      <c r="R44" s="9644">
        <f>+IF(O44="","",VLOOKUP(MATCH(O44,tid,0),tao,'12(id)'!$U$20,FALSE))</f>
        <v>1</v>
      </c>
      <c r="S44" s="9644"/>
      <c r="T44" s="10319">
        <f>+IF(ISERROR(MATCH(O44,tid,0)),"",IF(VLOOKUP(MATCH(O44,tid,0),tao,'12(id)'!$CT$20,FALSE)="","",VLOOKUP(MATCH(O44,tid,0),tao,'12(id)'!$CT$20,FALSE)))</f>
        <v>20</v>
      </c>
      <c r="U44" s="10319">
        <f>+IF(ISERROR(MATCH(O44,tid,0)),"",IF(VLOOKUP(MATCH(O44,tid,0),tao,'12(id)'!$CU$20,FALSE)="","",VLOOKUP(MATCH(O44,tid,0),tao,'12(id)'!$CU$20,FALSE)))</f>
        <v>20</v>
      </c>
      <c r="V44" s="9486" t="str">
        <f>+IF(O44="","",IF(VLOOKUP(MATCH(O44,tid,0),tao,'12(id)'!$T$20,FALSE)="","",VLOOKUP(MATCH(O44,tid,0),tao,'12(id)'!$T$20,FALSE)))</f>
        <v>Combustion Turbine</v>
      </c>
      <c r="W44" s="9486" t="str">
        <f>+IF(ISERROR(MATCH(O44,tid,0)),"",IF(VLOOKUP(MATCH(O44,tid,0),tao,'12(id)'!$CO$20,FALSE)="","",VLOOKUP(MATCH(O44,tid,0),tao,'12(id)'!$CO$20,FALSE)))</f>
        <v>Pratt &amp; Whitney</v>
      </c>
      <c r="X44" s="9486" t="str">
        <f>+IF(ISERROR(MATCH(O44,tid,0)),"",IF(VLOOKUP(MATCH(O44,tid,0),tao,'12(id)'!$CP$20,FALSE)="","",VLOOKUP(MATCH(O44,tid,0),tao,'12(id)'!$CP$20,FALSE)))</f>
        <v>FT4-8</v>
      </c>
      <c r="Y44" s="9486" t="str">
        <f>+IF(ISERROR(MATCH(O44,tid,0)),"",IF(VLOOKUP(MATCH(O44,tid,0),tao,'12(id)'!$CQ$20,FALSE)="","",VLOOKUP(MATCH(O44,tid,0),tao,'12(id)'!$CQ$20,FALSE)))</f>
        <v>FT</v>
      </c>
      <c r="Z44" s="9517" t="str">
        <f>+IF(ISERROR(MATCH(O44,tid,0)),"",VLOOKUP(MATCH(O44,tid,0),tao,'12(id)'!$DB$20,FALSE)&amp;" "&amp;VLOOKUP(MATCH(O44,tid,0),tao,'12(id)'!$DC$20,FALSE))</f>
        <v>Jan 1969</v>
      </c>
      <c r="AA44" s="9517" t="str">
        <f ca="1">+IF(ISERROR(MATCH(O44,tid,0)),"",IF(VLOOKUP(MATCH(O44,tid,0),tao,'12(id)'!$DE$20,FALSE)="","",ROUND(VLOOKUP(MATCH(O44,tid,0),tao,'12(id)'!$DE$20,FALSE),0)&amp;" yrs"))</f>
        <v>46 yrs</v>
      </c>
      <c r="AB44" s="9644" t="str">
        <f>+IF(ISERROR(MATCH(O44,tid,0)),"",VLOOKUP(MATCH(O44,tid,0),tao,'12(id)'!$DI$20,FALSE))</f>
        <v>Jet Fuel A (Kerosene K1)</v>
      </c>
      <c r="AC44" s="9644" t="str">
        <f>+IF(ISERROR(MATCH(O44,tid,0)),"",IF(VLOOKUP(MATCH(O44,tid,0),tao,'12(id)'!$DQ$20,FALSE)="","",VLOOKUP(MATCH(O44,tid,0),tao,'12(id)'!$DQ$20,FALSE)))</f>
        <v/>
      </c>
      <c r="AD44" s="10670">
        <f>+IF(ISERROR(MATCH(O44,tid,0)),"",IF(VLOOKUP(MATCH(O44,tid,0),tao,'12(id)'!$EI$20,FALSE)="","",VLOOKUP(MATCH(O44,tid,0),tao,'12(id)'!$EI$20,FALSE)))</f>
        <v>0.69799999999999995</v>
      </c>
      <c r="AE44" s="10765">
        <f>+IF(ISERROR(MATCH(O44,tid,0)),"",IF(VLOOKUP(MATCH(O44,tid,0),tao,'12(id)'!$EJ$20,FALSE)="","",VLOOKUP(MATCH(O44,tid,0),tao,'12(id)'!$EJ$20,FALSE)))</f>
        <v>119.6</v>
      </c>
      <c r="AF44" s="10670">
        <f>+IF(ISERROR(MATCH(O44,tid,0)),"",IF(VLOOKUP(MATCH(O44,tid,0),tao,'12(id)'!$EL$20,FALSE)="","",VLOOKUP(MATCH(O44,tid,0),tao,'12(id)'!$EL$20,FALSE)))</f>
        <v>0.72</v>
      </c>
      <c r="AG44" s="10690" t="str">
        <f>+IF(ISERROR(MATCH(O44,tid,0)),"",IF(VLOOKUP(MATCH(O44,tid,0),tao,'12(id)'!$EM$20,FALSE)="","",VLOOKUP(MATCH(O44,tid,0),tao,'12(id)'!$EM$20,FALSE)))</f>
        <v/>
      </c>
      <c r="AH44" s="10756" t="s">
        <v>1121</v>
      </c>
      <c r="AI44" s="10681">
        <v>50</v>
      </c>
      <c r="AJ44" s="10681"/>
      <c r="AK44" s="10681"/>
      <c r="AL44" s="10681"/>
      <c r="AM44" s="10675"/>
      <c r="AN44" s="10678"/>
      <c r="AO44" s="10341">
        <f>+IF(ISERROR(MATCH(O44,tid,0)),"",IF(VLOOKUP(MATCH(O44,tid,0),tao,'12(id)'!$GY$20,FALSE)="","",VLOOKUP(MATCH(O44,tid,0),tao,'12(id)'!$GY$20,FALSE)))</f>
        <v>50</v>
      </c>
      <c r="AP44" s="10291">
        <f>+IF($BB44="","",IF(VLOOKUP(MATCH(O44,tid,0),tao,'12(id)'!$HE$20,FALSE)="","",VLOOKUP(MATCH(O44,tid,0),tao,'12(id)'!$HE$20,FALSE)))</f>
        <v>12450</v>
      </c>
      <c r="AQ44" s="10341">
        <f>+IF(ISERROR(VLOOKUP(MATCH(O44,tid,0),tao,'12(id)'!$HF$20,FALSE)),"",VLOOKUP(MATCH(O44,tid,0),tao,'12(id)'!$HF$20,FALSE))</f>
        <v>12450</v>
      </c>
      <c r="AR44" s="10335">
        <f>+IF(ISERROR(MATCH(O44,tid,0)),"",IF(VLOOKUP(MATCH(O44,tid,0),tao,'12(id)'!$HJ$20,FALSE)="","",VLOOKUP(MATCH(O44,tid,0),tao,'12(id)'!$HJ$20,FALSE)))</f>
        <v>0.73599999999999999</v>
      </c>
      <c r="AS44" s="10338">
        <f>+IF(ISERROR(MATCH(O44,tid,0)),"",IF(VLOOKUP(MATCH(O44,tid,0),tao,'12(id)'!$HK$20,FALSE)="","",VLOOKUP(MATCH(O44,tid,0),tao,'12(id)'!$HK$20,FALSE)))</f>
        <v>186.70717329804756</v>
      </c>
      <c r="AT44" s="10693">
        <f>+IF(ISERROR(MATCH(O44,tid,0)),"",IF(VLOOKUP(MATCH(O44,tid,0),tao,'12(id)'!$HM$20,FALSE)="","",VLOOKUP(MATCH(O44,tid,0),tao,'12(id)'!$HM$20,FALSE)))</f>
        <v>4.5816000000000008</v>
      </c>
      <c r="AU44" s="10358" t="str">
        <f>+AU36</f>
        <v>CAIR-OS (max last 3 yrs)</v>
      </c>
      <c r="AV44" s="10395">
        <f>+IF(ISERROR(MATCH(O44,em_id,0)),"",IF(VLOOKUP(MATCH(O44,em_id,0),em,'5(em)'!$CX$18,FALSE)="","",VLOOKUP(MATCH(O44,em_id,0),em,'5(em)'!$CX$18,FALSE)))</f>
        <v>20</v>
      </c>
      <c r="AW44" s="10391">
        <f>+IF(ISERROR(MATCH(O44,em_id,0)),"",IF(VLOOKUP(MATCH(O44,em_id,0),em,'5(em)'!$CZ$18,FALSE)="","",VLOOKUP(MATCH(O44,em_id,0),em,'5(em)'!$CZ$18,FALSE)))</f>
        <v>4575</v>
      </c>
      <c r="AX44" s="10394">
        <f>+IF(OR(AW44="",AZ44=""),"",ROUND(2000*AZ44/AW44,3))</f>
        <v>0.74299999999999999</v>
      </c>
      <c r="AY44" s="10395">
        <f>+AX44*AS44/AR44</f>
        <v>188.48292087017572</v>
      </c>
      <c r="AZ44" s="10389">
        <f>+IF(ISERROR(MATCH(O44,em_id,0)),"",IF(VLOOKUP(MATCH(O44,em_id,0),em,'5(em)'!$DA$18,FALSE)="","",VLOOKUP(MATCH(O44,em_id,0),em,'5(em)'!$DA$18,FALSE)))</f>
        <v>1.7</v>
      </c>
      <c r="BA44" s="898"/>
      <c r="BB44" s="899" t="str">
        <f t="shared" si="11"/>
        <v>8303-01-01</v>
      </c>
      <c r="BC44" s="900">
        <v>1</v>
      </c>
      <c r="BD44" s="899" t="str">
        <f>+IF(OR(D44="",VLOOKUP(MATCH(D44,op_id,0),op,'7(op)'!$T$18,FALSE)=""),"",VLOOKUP(MATCH(D44,op_id,0),op,'7(op)'!$T$18,FALSE))</f>
        <v>SCR + HPWI + CO Catalyst + Dual Fuel</v>
      </c>
      <c r="BE44" s="899" t="s">
        <v>1093</v>
      </c>
      <c r="BF44" s="899" t="s">
        <v>1862</v>
      </c>
      <c r="BG44" s="901" t="s">
        <v>1613</v>
      </c>
      <c r="BH44" s="902" t="s">
        <v>1122</v>
      </c>
      <c r="BI44" s="903"/>
      <c r="BJ44" s="663"/>
      <c r="BK44" s="3479">
        <v>5</v>
      </c>
      <c r="BL44" s="663"/>
      <c r="BM44" s="663"/>
      <c r="BN44" s="663" t="str">
        <f t="shared" si="12"/>
        <v/>
      </c>
      <c r="BO44" s="664" t="str">
        <f t="shared" si="13"/>
        <v/>
      </c>
      <c r="BP44" s="663" t="str">
        <f t="shared" si="14"/>
        <v/>
      </c>
      <c r="BQ44" s="663" t="str">
        <f t="shared" si="15"/>
        <v/>
      </c>
      <c r="BR44" s="665"/>
      <c r="BS44" s="666"/>
      <c r="BT44" s="667"/>
      <c r="BU44" s="3720">
        <f>+IF(BB44="","",IF(VLOOKUP(MATCH(BB44,ef_id,0),ef,'11(eff)'!$Z$23,FALSE)="","",VLOOKUP(MATCH(BB44,ef_id,0),ef,'11(eff)'!$Z$23,FALSE)))</f>
        <v>1.9710008646135303E-2</v>
      </c>
      <c r="BV44" s="3741">
        <f>+IF(BB44="","",IF(VLOOKUP(MATCH(BB44,ef_id,0),ef,'11(eff)'!$AA$23,FALSE)="","",VLOOKUP(MATCH(BB44,ef_id,0),ef,'11(eff)'!$AA$23,FALSE)))</f>
        <v>5</v>
      </c>
      <c r="BW44" s="3765">
        <f>+'A3(trc)'!I24</f>
        <v>0.12269480382219253</v>
      </c>
      <c r="BX44" s="3787">
        <f>+IF(OR(BB44="",BW44=""),"",BW44/IF(R44="",IF(R43="",R42,R43),R44))</f>
        <v>0.12269480382219253</v>
      </c>
      <c r="BY44" s="3809">
        <f>+IF($BB44="","",IF(BU44="","",BU44/2000*IF(AQ44="",IF(AQ43="",AQ42,AQ43),AQ44)))</f>
        <v>0.12269480382219226</v>
      </c>
      <c r="BZ44" s="3770"/>
      <c r="CA44" s="3720"/>
      <c r="CB44" s="3841">
        <f>+IF(OR(BX44="",BX44=0),IF(CA44="",IF(GJ44="","",GI44/GJ44/IF(R44="",IF(R43="",R42,R43),R44)),CA44),IF(AT44="",IF(AT43="",AT42,AT43),AT44)-BX44)</f>
        <v>4.4589051961778079</v>
      </c>
      <c r="CC44" s="3860">
        <f>+IF($BB44="","",IF(CB44="",IF(CD44="",IF(CD44="",IF(CE44="","",CE44)),CD44),CB44/IF($AT44="",IF($AT43="",$AT42,$AT43),$AT44)))</f>
        <v>0.97322009694818556</v>
      </c>
      <c r="CD44" s="3860">
        <f>+IF($BB44="","",IF(BU44="","",(1-BU44/IF(AR44="",IF(AR43="",AR42,AR43),AR44))))</f>
        <v>0.97322009694818568</v>
      </c>
      <c r="CE44" s="2730">
        <f>+IF(BB44="","",IF(VLOOKUP(MATCH(BB44,ef_id,0),ef,'11(eff)'!$AE$23,FALSE)="","",VLOOKUP(MATCH(BB44,ef_id,0),ef,'11(eff)'!$AE$23,FALSE)))</f>
        <v>0.97322009694818579</v>
      </c>
      <c r="CF44" s="666" t="s">
        <v>1601</v>
      </c>
      <c r="CG44" s="667"/>
      <c r="CH44" s="2396"/>
      <c r="CI44" s="3841">
        <f>+IF(BB44="","",$AZ$44/$AW$44*2000*(1-CO44))</f>
        <v>1.9902004453807281E-2</v>
      </c>
      <c r="CJ44" s="4052">
        <f>+IF($AY$44="","",$AY$44*(1-CO44))</f>
        <v>5.0475543478260754</v>
      </c>
      <c r="CK44" s="3841">
        <f>+IF($BB44="","",IF(CI44="",$AZ$44-CL44,CI44/2000*$AW$44))</f>
        <v>4.5525835188084153E-2</v>
      </c>
      <c r="CL44" s="3917">
        <f>+IF($BB44="","",IF(CI44="",CO44*$AZ$44,IF(CK44="","",$AZ$44-CK44)))</f>
        <v>1.6544741648119159</v>
      </c>
      <c r="CM44" s="3935">
        <f>+IF($BB44="","",IF(CL44="","",CL44/$AZ$44))</f>
        <v>0.9732200969481859</v>
      </c>
      <c r="CN44" s="3935">
        <f>+IF($BB44="","",IF(CI44="","",(1-CI44/$AX$44)))</f>
        <v>0.97321399131385289</v>
      </c>
      <c r="CO44" s="3936">
        <f>+IF(BB44="","",IF(VLOOKUP(MATCH(BB44,ef_id,0),ef,'11(eff)'!$AE$23,FALSE)="","",VLOOKUP(MATCH(BB44,ef_id,0),ef,'11(eff)'!$AE$23,FALSE)))</f>
        <v>0.97322009694818579</v>
      </c>
      <c r="CP44" s="3937" t="str">
        <f>+IF(OR(BB44="",VLOOKUP(MATCH(BB44,ef_id,0),ef,'11(eff)'!$AG$23,FALSE)=""),"",IF(VLOOKUP(MATCH(BB44,ef_id,0),ef,'11(eff)'!$AG$23,FALSE)/100=VLOOKUP(MATCH(BB44,ef_id,0),ef,'11(eff)'!$AE$23,FALSE),VLOOKUP(MATCH(BB44,ef_id,0),ef,'11(eff)'!$AE$23,FALSE),""))</f>
        <v/>
      </c>
      <c r="CQ44" s="898" t="str">
        <f>+IF(BD44="","",BD44)</f>
        <v>SCR + HPWI + CO Catalyst + Dual Fuel</v>
      </c>
      <c r="CR44" s="668"/>
      <c r="CS44" s="2751">
        <v>6310000</v>
      </c>
      <c r="CT44" s="1579">
        <f>2550000+200000+1000000+500000+1000000</f>
        <v>5250000</v>
      </c>
      <c r="CU44" s="1487">
        <v>2550000</v>
      </c>
      <c r="CV44" s="1796">
        <f t="shared" si="16"/>
        <v>700000</v>
      </c>
      <c r="CW44" s="1797"/>
      <c r="CX44" s="1797"/>
      <c r="CY44" s="1798"/>
      <c r="CZ44" s="2464">
        <v>1000000</v>
      </c>
      <c r="DA44" s="2439">
        <v>1000000</v>
      </c>
      <c r="DB44" s="2439"/>
      <c r="DC44" s="1796"/>
      <c r="DD44" s="1800"/>
      <c r="DE44" s="1801"/>
      <c r="DF44" s="1802"/>
      <c r="DG44" s="1802"/>
      <c r="DH44" s="1800"/>
      <c r="DI44" s="1683">
        <f>+IF(CT44="","",SUM(CU44:DC44)+SUM(DE44:DF44))</f>
        <v>5250000</v>
      </c>
      <c r="DJ44" s="1929"/>
      <c r="DK44" s="1579">
        <v>700000</v>
      </c>
      <c r="DL44" s="1487">
        <v>600000</v>
      </c>
      <c r="DM44" s="1796">
        <f t="shared" si="17"/>
        <v>100000</v>
      </c>
      <c r="DN44" s="1797"/>
      <c r="DO44" s="1797"/>
      <c r="DP44" s="1798"/>
      <c r="DQ44" s="2464"/>
      <c r="DR44" s="2439"/>
      <c r="DS44" s="2439"/>
      <c r="DT44" s="1796"/>
      <c r="DU44" s="1800"/>
      <c r="DV44" s="1801"/>
      <c r="DW44" s="1802"/>
      <c r="DX44" s="1802"/>
      <c r="DY44" s="1800"/>
      <c r="DZ44" s="1683">
        <f t="shared" si="18"/>
        <v>700000</v>
      </c>
      <c r="EA44" s="1929"/>
      <c r="EB44" s="1487">
        <f t="shared" si="19"/>
        <v>5950000</v>
      </c>
      <c r="EC44" s="1953">
        <v>1</v>
      </c>
      <c r="ED44" s="1407">
        <f t="shared" si="20"/>
        <v>5950000</v>
      </c>
      <c r="EE44" s="1799"/>
      <c r="EF44" s="2439"/>
      <c r="EG44" s="1798"/>
      <c r="EH44" s="1683"/>
      <c r="EI44" s="1801"/>
      <c r="EJ44" s="1802"/>
      <c r="EK44" s="1998"/>
      <c r="EL44" s="1447"/>
      <c r="EM44" s="1801"/>
      <c r="EN44" s="1802"/>
      <c r="EO44" s="1998"/>
      <c r="EP44" s="1683">
        <f t="shared" si="21"/>
        <v>0</v>
      </c>
      <c r="EQ44" s="1683"/>
      <c r="ER44" s="1683"/>
      <c r="ES44" s="1683"/>
      <c r="ET44" s="1447"/>
      <c r="EU44" s="1420"/>
      <c r="EV44" s="1382"/>
      <c r="EW44" s="2571"/>
      <c r="EX44" s="2571"/>
      <c r="EY44" s="2678">
        <f t="shared" ref="EY44:EY62" si="92">+IF(BB44="","",(IF(ED44="",0,ED44)+IF(EH44="",0,EH44)+IF(EP44="",0,EP44)+IF(ET44="",0,ET44)+IF(EW44="",0,EW44)+IF(EX44="",0,EX44)))</f>
        <v>5950000</v>
      </c>
      <c r="EZ44" s="2707"/>
      <c r="FA44" s="1382">
        <v>360000</v>
      </c>
      <c r="FB44" s="1469">
        <f t="shared" ref="FB44:FB51" si="93">+IF(BB44="","",(IF(EY44="",0,EY44)+IF(FA44="",0,FA44)-IF(EZ44="",0,EZ44)))</f>
        <v>6310000</v>
      </c>
      <c r="FC44" s="1487">
        <f t="shared" si="89"/>
        <v>5950000</v>
      </c>
      <c r="FD44" s="2602">
        <f>+IF(OR(BB44="",IF(R44="",R43,R44)="",(CU44+DL44)=0),"",(CU44+DL44)/IF(R44="",R43,R44))</f>
        <v>3150000</v>
      </c>
      <c r="FE44" s="2603">
        <f t="shared" ref="FE44:FE51" si="94">+IF(OR(FC44="",FD44=""),"",FD44/FC44)</f>
        <v>0.52941176470588236</v>
      </c>
      <c r="FF44" s="2602">
        <f>+IF(OR(BB44="",CT44="",IF(R44="",R43,R44)=""),"",(SUM(CV44:CZ44)+(IF(DM44="",0,DM44)+SUM(DN44:DQ44)))/IF(R44="",R43,R44))</f>
        <v>1800000</v>
      </c>
      <c r="FG44" s="2603">
        <f t="shared" ref="FG44:FG51" si="95">+IF(OR(BB44="",ISERROR(FF44/FC44)),"",FF44/FC44)</f>
        <v>0.30252100840336132</v>
      </c>
      <c r="FH44" s="2602">
        <f>+IF(OR(BB44="",IF(R44="",R43,R44)="",),"",(DA44+DR44)/IF(R44="",R43,R44))</f>
        <v>1000000</v>
      </c>
      <c r="FI44" s="2603">
        <f t="shared" ref="FI44:FI51" si="96">+IF(OR(FC44="",FH44=""),"",FH44/FC44)</f>
        <v>0.16806722689075632</v>
      </c>
      <c r="FJ44" s="2604">
        <f t="shared" si="90"/>
        <v>5950000</v>
      </c>
      <c r="FK44" s="2603">
        <f>+IF(OR(BB44="",ISERROR(FJ44/FC44)),"",FJ44/FC44)</f>
        <v>1</v>
      </c>
      <c r="FL44" s="2624">
        <f>+IF(OR(BB44="",CT44="",IF(R44="",R43,R44)=""),"",(DB44+DC44+DS44+DT44)/IF(R44="",R43,R44))</f>
        <v>0</v>
      </c>
      <c r="FM44" s="2603">
        <f t="shared" ref="FM44:FM51" si="97">+IF(OR(BB44="",ISERROR(FL44/FC44)),"",FL44/FC44)</f>
        <v>0</v>
      </c>
      <c r="FN44" s="2602">
        <f>+IF(OR(BB44="",CT44="",IF(R44="",R43,R44)=""),"",(DD44+DU44)/IF(R44="",R43,R44))</f>
        <v>0</v>
      </c>
      <c r="FO44" s="2603">
        <f t="shared" ref="FO44:FO51" si="98">+IF(OR(BB44="",ISERROR(FN44/FC44)),"",FN44/FC44)</f>
        <v>0</v>
      </c>
      <c r="FP44" s="2602">
        <f>+IF(OR(BB44="",CT44="",IF(R44="",R43,R44)=""),"",(DG44+DH44+DX44+DY44)/IF(R44="",R43,R44))</f>
        <v>0</v>
      </c>
      <c r="FQ44" s="2603">
        <f t="shared" ref="FQ44:FQ51" si="99">+IF(OR(BB44="",ISERROR(FL44/FC44)),"",FP44/FC44)</f>
        <v>0</v>
      </c>
      <c r="FR44" s="2836">
        <f>+IF(OR(BB44="",IF(R44="",R43,R44)="",(IF(DI44="",0,DI44)+IF(DZ44="",0,DZ44))=0),"",(IF(DI44="",0,DI44)+IF(DZ44="",0,DZ44))/IF(R44="",R43,R44))</f>
        <v>5950000</v>
      </c>
      <c r="FS44" s="1797" t="str">
        <f>+IF(OR(DJ44="",IF(R44="",R43,R44)=""),"",(DJ44+EA44)/IF(R44="",R43,R44))</f>
        <v/>
      </c>
      <c r="FT44" s="2730" t="str">
        <f t="shared" ref="FT44:FT51" si="100">+IF(OR(BB44="",ISERROR(FS44/FR44)),"",FS44/FR44)</f>
        <v/>
      </c>
      <c r="FU44" s="2880">
        <f>+IF(OR(BB44="",ISERROR(1-(FR44+IF(FS44="",0,FS44)+FN44+FP44)*IF(R44="",R43,R44)/(CT44+DK44))),"",1-(FR44+IF(FS44="",0,FS44)+FN44+FP44)*IF(R44="",R43,R44)/(CT44+DK44))</f>
        <v>0</v>
      </c>
      <c r="FV44" s="2619">
        <f>+IF(FC44="","",FC44/IF(T44="",IF(T43="",1,T43),T44))</f>
        <v>297500</v>
      </c>
      <c r="FW44" s="2624" t="str">
        <f>+IF(OR(EH44="",IF(R44="",R43,R44)=""),"",EH44/IF(R44="",R43,R44))</f>
        <v/>
      </c>
      <c r="FX44" s="2666" t="str">
        <f t="shared" ref="FX44:FX51" si="101">+IF(ISERR(FW44/$FC44),"",FW44/$FC44)</f>
        <v/>
      </c>
      <c r="FY44" s="2602">
        <f>+IF(OR(EP44="",IF(R44="",R43,R44)=""),"",EP44/IF(R44="",R43,R44))</f>
        <v>0</v>
      </c>
      <c r="FZ44" s="2666">
        <f t="shared" ref="FZ44:FZ51" si="102">+IF(ISERR(FY44/$FC44),"",FY44/$FC44)</f>
        <v>0</v>
      </c>
      <c r="GA44" s="2666" t="str">
        <f>+IF(IF(V44="",V43,V44)="Utility Boiler",IF(ISERR(FY44/(FC44+FW44)),"",FY44/(FC44+FW44)),"")</f>
        <v/>
      </c>
      <c r="GB44" s="2602" t="str">
        <f>+IF(OR(ET44="",IF(R44="",R43,R44)=""),"",ET44/IF(R44="",R43,R44))</f>
        <v/>
      </c>
      <c r="GC44" s="2666" t="str">
        <f t="shared" ref="GC44:GC51" si="103">+IF(ISERR(GB44/$FC44),"",GB44/$FC44)</f>
        <v/>
      </c>
      <c r="GD44" s="2666" t="str">
        <f>+IF(IF(V44="",V43,V44)="Utility Boiler",IF(ISERR(GB44/($FC44)),"",GB44/(FC44+FW44+FY44)),"")</f>
        <v/>
      </c>
      <c r="GE44" s="1609">
        <f>+IF(OR(FB44="",IF(R44="",R43,R44)=""),"",FB44/IF(R44="",R43,R44))</f>
        <v>6310000</v>
      </c>
      <c r="GF44" s="2135">
        <f>+IF(FB44="","",(IF(FA44="",0,FA44)-IF(EZ44="",0,EZ44))+(IF(EU44="",0,EU44)+IF(EV44="",0,EV44)+(IF(EW44="",0,EW44)+IF(EX44="",0,EX44))/$R$44+IF(FC44="",0,FC44)+IF(FW44="",0,FW44)+IF(FY44="",0,FY44)+IF(GB44="",0,GB44)))</f>
        <v>6310000</v>
      </c>
      <c r="GG44" s="2158">
        <f>+IF(OR(CS44="",IF(R44="",R43,R44)=""),"",1-(CS44/IF(R44="",R43,R44))/GF44)</f>
        <v>0</v>
      </c>
      <c r="GH44" s="3165">
        <f>+IF(IF(T44="",T43,T44)="","",IF(GF44="","",GF44/IF(T44="",T43,T44)))</f>
        <v>315500</v>
      </c>
      <c r="GI44" s="1609">
        <v>848019</v>
      </c>
      <c r="GJ44" s="2604">
        <v>190292</v>
      </c>
      <c r="GK44" s="3439">
        <f>+IF(OR(BB44="",GJ44=""),"",IF(CB44="",1,CB44*IF(R44="",IF(R43="",R42,R43),R44)))</f>
        <v>4.4589051961778079</v>
      </c>
      <c r="GL44" s="3214">
        <f t="shared" ref="GL44:GL51" si="104">+IF(OR(BB44="",GI44="",GJ44=""),"",(GJ44-GI44/GK44)/GJ44)</f>
        <v>5.5980077409373405E-4</v>
      </c>
      <c r="GM44" s="1132"/>
      <c r="GN44" s="1131"/>
      <c r="GO44" s="2281"/>
      <c r="GP44" s="2282"/>
      <c r="GQ44" s="2212"/>
      <c r="GR44" s="2212"/>
      <c r="GS44" s="2212">
        <f t="shared" ref="GS44:GS52" si="105">+IF(GE44="","",GE44*$GS$27)</f>
        <v>252400</v>
      </c>
      <c r="GT44" s="2212">
        <v>595619</v>
      </c>
      <c r="GU44" s="2736">
        <f>+IF(OR(SUM(GQ44:GT44)=0,GT44=""),"",SUM(GQ44:GT44))</f>
        <v>848019</v>
      </c>
      <c r="GV44" s="1130" t="str">
        <f>+IF(OR(GO44="",IF(R44="",R43,R44)=""),"",GO44/IF(R44="",R43,R44))</f>
        <v/>
      </c>
      <c r="GW44" s="2242" t="str">
        <f>+IF(OR(GP44="",IF(R44="",R43,R44)=""),"",GP44/IF(R44="",R43,R44))</f>
        <v/>
      </c>
      <c r="GX44" s="2212" t="str">
        <f>+IF(OR(GQ44="",IF(R44="",R43,R44)=""),"",GQ44/IF(R44="",R43,R44))</f>
        <v/>
      </c>
      <c r="GY44" s="2212" t="str">
        <f>+IF(OR(GR44="",IF(R44="",R43,R44)=""),"",GR44/IF(R44="",R43,R44))</f>
        <v/>
      </c>
      <c r="GZ44" s="2212">
        <f>+IF(OR(GS44="",IF(R44="",R43,R44)=""),"",GS44/IF(R44="",R43,R44))</f>
        <v>252400</v>
      </c>
      <c r="HA44" s="2212">
        <f>+IF(OR(GT44="",IF(R44="",R43,R44)=""),"",GT44/IF(R44="",R43,R44))</f>
        <v>595619</v>
      </c>
      <c r="HB44" s="1332">
        <f t="shared" si="22"/>
        <v>848019</v>
      </c>
      <c r="HC44" s="1130">
        <f>+IF(OR(GU44="",IF(R44="",R43,R44)=""),"",GU44/IF(R44="",R43,R44))</f>
        <v>848019</v>
      </c>
      <c r="HD44" s="3466">
        <f t="shared" ref="HD44:HD51" si="106">+IF(ISERR((HB44-HC44)/HB44),"",(HB44-HC44)/HB44)</f>
        <v>0</v>
      </c>
      <c r="HE44" s="1132"/>
      <c r="HF44" s="2553">
        <f t="shared" ref="HF44:HF64" si="107">+IF(OR(BB44="",GJ44=""),"",GJ44)</f>
        <v>190292</v>
      </c>
      <c r="HG44" s="1131">
        <f t="shared" si="23"/>
        <v>512561.04086485063</v>
      </c>
      <c r="HH44" s="2980">
        <f t="shared" ref="HH44:HH51" si="108">+IF(BF44="","",VALUE(LEFT(BF44,1)))</f>
        <v>4</v>
      </c>
      <c r="HI44" s="3064">
        <f t="shared" ref="HI44:HI51" si="109">+IF(FR44="","",FR44)</f>
        <v>5950000</v>
      </c>
      <c r="HJ44" s="3077">
        <f t="shared" ref="HJ44:HJ51" si="110">+IF(FP44="","",FP44)</f>
        <v>0</v>
      </c>
      <c r="HK44" s="3077">
        <f t="shared" ref="HK44:HK51" si="111">+IF(FN44="","",FN44)</f>
        <v>0</v>
      </c>
      <c r="HL44" s="3077" t="str">
        <f t="shared" ref="HL44:HL51" si="112">+IF(FR44="","",IF(HH44="","",IF(HH44=4,FS44,IF(HH44=3,FS44,IF(HH44=2,$HL$7*HI44,IF(HH44=1,$HL$6*HI44,""))))))</f>
        <v/>
      </c>
      <c r="HM44" s="3090">
        <f t="shared" ref="HM44:HM51" si="113">IF(FR44="","",SUM(HI44:HL44))</f>
        <v>5950000</v>
      </c>
      <c r="HN44" s="3096">
        <f>+IF(ISERROR(HM44/IF(T44="",IF(T43="",IF(T42="",1,T42),T43),T44)),"",IF(FR44="","",HM44/IF(T44="",IF(T43="",IF(T42="",1,T42),T43),T44)))</f>
        <v>297500</v>
      </c>
      <c r="HO44" s="3107" t="str">
        <f t="shared" ref="HO44:HO51" si="114">+IF(FR44="","",IF(HH44="","",IF(HH44=4,FW44,IF(HH44=3,FW44,IF(HH44=2,$HO$7*HM44,IF(HH44=1,$HO$6*HM44,""))))))</f>
        <v/>
      </c>
      <c r="HP44" s="3077">
        <f t="shared" ref="HP44:HP51" si="115">+IF(FR44="","",IF(HH44="","",IF(HH44=4,FY44,IF(HH44=3,FY44,IF(HH44=2,$HP$7*(HM44+HO44),IF(HH44=1,$HP$6*HM44,""))))))</f>
        <v>0</v>
      </c>
      <c r="HQ44" s="3108" t="str">
        <f t="shared" ref="HQ44:HQ51" si="116">+IF(FR44="","",IF(HH44="","",IF(HH44=3,$HQ$8*(HI44+HO44+HP44),"")))</f>
        <v/>
      </c>
      <c r="HR44" s="3109" t="str">
        <f t="shared" ref="HR44:HR51" si="117">+IF(FR44="","",IF(HH44="","",IF(HH44=4,GB44,IF(HH44=3,$HR$8*HO44,IF(HH44=2,$HR$7*(HM44+HO44+HP44),IF(HH44=1,$HR$6*HM44,""))))))</f>
        <v/>
      </c>
      <c r="HS44" s="3109">
        <f t="shared" ref="HS44:HS51" si="118">IF(FR44="","",SUM(HQ44:HR44))</f>
        <v>0</v>
      </c>
      <c r="HT44" s="1202" t="str">
        <f t="shared" ref="HT44:HT51" si="119">+IF(FR44="","",IF(HH44="","",IF(HH44=2,$HT$7*(HP44+HR44),"")))</f>
        <v/>
      </c>
      <c r="HU44" s="1203" t="str">
        <f t="shared" ref="HU44:HU51" si="120">+IF(FR44="","",IF(HH44="","",IF(HH44=2,$HU$7*(HP44+HR44),"")))</f>
        <v/>
      </c>
      <c r="HV44" s="1202" t="str">
        <f t="shared" ref="HV44:HV51" si="121">+IF(FR44="","",IF(HH44="","",IF(HH44=3,$HV$8*(HI44+HO44+HP44+HS44),"")))</f>
        <v/>
      </c>
      <c r="HW44" s="1203" t="str">
        <f t="shared" ref="HW44:HW51" si="122">+IF(FR44="","",IF(HH44="","",IF(HH44=3,$HW$8*(HI44+HO44+HP44+HS44),"")))</f>
        <v/>
      </c>
      <c r="HX44" s="3134">
        <f t="shared" si="24"/>
        <v>5950000</v>
      </c>
      <c r="HY44" s="3077" t="str">
        <f>+IF(EZ44="","",EZ44/IF(R44="",IF(R43="",1,R43),R44))</f>
        <v/>
      </c>
      <c r="HZ44" s="3109">
        <f>+IF(FA44="","",FA44/IF(R44="",IF(R43="",1,R43),R44))</f>
        <v>360000</v>
      </c>
      <c r="IA44" s="3064">
        <f t="shared" ref="IA44:IA51" si="123">+IF(HM44="","",HX44-IF(HY44="",0,HY44)+IF(HZ44="",0,HZ44))</f>
        <v>6310000</v>
      </c>
      <c r="IB44" s="3103" t="str">
        <f t="shared" si="25"/>
        <v>same TCC</v>
      </c>
      <c r="IC44" s="3096">
        <f>+IF(IA44="","",IA44/IF(T44="",IF(T43="",1,T43),T44))</f>
        <v>315500</v>
      </c>
      <c r="ID44" s="1202"/>
      <c r="IE44" s="4096"/>
      <c r="IF44" s="3134" t="str">
        <f t="shared" ref="IF44:IF51" si="124">+IF(GO44="","",GO44)</f>
        <v/>
      </c>
      <c r="IG44" s="6765"/>
      <c r="IH44" s="4162" t="str">
        <f t="shared" ref="IH44:IH51" si="125">+IF(GP44="","",GP44)</f>
        <v/>
      </c>
      <c r="II44" s="4163"/>
      <c r="IJ44" s="4163" t="str">
        <f t="shared" ref="IJ44:IJ51" si="126">+IF(SUM(IF(IH44="",0,IH44)+IF(IF44="",0,IF44))=0,"",IF(IH44="",0,IH44)+IF(IF44="",0,IF44))</f>
        <v/>
      </c>
      <c r="IK44" s="4126">
        <v>1</v>
      </c>
      <c r="IL44" s="2439" t="str">
        <f t="shared" ref="IL44:IL51" si="127">+IF(IF44="","",IK44*$IL$8*IF44)</f>
        <v/>
      </c>
      <c r="IM44" s="1798">
        <f t="shared" ref="IM44:IM51" si="128">IF(HM44="","",IK44*$IM$8*IA44)</f>
        <v>252400</v>
      </c>
      <c r="IN44" s="4224">
        <f t="shared" ref="IN44:IN51" si="129">+IF(SUM(IF(IM44="",0,IM44)+IF(IL44="",0,IL44))=0,"",IF(IM44="",0,IM44)+IF(IL44="",0,IL44))</f>
        <v>252400</v>
      </c>
      <c r="IO44" s="4224">
        <f t="shared" ref="IO44:IO51" si="130">+IF(SUM(IF(IN44="",0,IN44)+IF(IJ44="",0,IJ44))=0,"",IF(IN44="",0,IN44)+IF(IJ44="",0,IJ44))</f>
        <v>252400</v>
      </c>
      <c r="IP44" s="4224" t="str">
        <f t="shared" ref="IP44:IP47" si="131">+IF(BB44="","",IF(IJ44="","",IJ44/IF(R44="",IF(R43="",IF(R42="",R41,R42),R43),R44)))</f>
        <v/>
      </c>
      <c r="IQ44" s="6838" t="str">
        <f t="shared" ref="IQ44:IQ48" si="132">+IF(IP44="","",IP44/IX44)</f>
        <v/>
      </c>
      <c r="IR44" s="4224">
        <f t="shared" ref="IR44:IR47" si="133">+IF(BB44="","",IF(IN44="","",IN44/IF(R44="",IF(R43="",IF(R42="",R41,R42),R43),R44)))</f>
        <v>252400</v>
      </c>
      <c r="IS44" s="6838">
        <f t="shared" ref="IS44:IS48" si="134">+IF(IR44="","",IR44/IX44)</f>
        <v>0.2976347138718895</v>
      </c>
      <c r="IT44" s="4224">
        <f t="shared" ref="IT44:IT51" si="135">+IF(BB44="","",IF(IO44="","",IO44/$R$44))</f>
        <v>252400</v>
      </c>
      <c r="IU44" s="6838">
        <f t="shared" ref="IU44:IU51" si="136">+IF(IT44="","",IT44/IX44)</f>
        <v>0.2976347138718895</v>
      </c>
      <c r="IV44" s="4126">
        <f t="shared" ref="IV44:IV51" si="137">+IF(D44="","",IF(IF(V44="",IF(V43="",IF(V42="",V41,V42),V43),V44)="Utility Boiler",2,1))</f>
        <v>1</v>
      </c>
      <c r="IW44" s="1798">
        <f t="shared" ref="IW44:IW51" si="138">IF(IA44="","",IF(IV44=1,$IW$5,IF(IV44=2,$IW$8,""))*IA44)</f>
        <v>595619.36143994343</v>
      </c>
      <c r="IX44" s="3096">
        <f t="shared" ref="IX44:IX51" si="139">+IF(SUM(IF(IW44="",0,IW44)+IF(IT44="",0,IT44))=0,IY44,IF(IW44="",0,IW44)+IF(IT44="",0,IT44))</f>
        <v>848019.36143994343</v>
      </c>
      <c r="IY44" s="4243">
        <f t="shared" ref="IY44:IY51" si="140">+HC44</f>
        <v>848019</v>
      </c>
      <c r="IZ44" s="4272">
        <f t="shared" ref="IZ44:IZ51" si="141">+IF(IY44="","",(IY44-IX44)/IY44)</f>
        <v>-4.2621679871561128E-7</v>
      </c>
      <c r="JA44" s="4273">
        <f t="shared" ref="JA44:JA51" si="142">+IF(BB44="","",IF(ISERROR(IY44-IX44),"",IF((IY44-IX44)&gt;0,"stk added + "&amp;ROUND((IY44-IX44)/IY44*100,0)&amp;"%",IF(IY44=IX44,"same TAC",(IY44-IX44)/IY44))))</f>
        <v>-4.2621679871561128E-7</v>
      </c>
      <c r="JB44" s="1203"/>
      <c r="JC44" s="4321"/>
      <c r="JD44" s="2553">
        <f t="shared" ref="JD44:JD51" si="143">+IF(OR(IX44="",$CB44=""),"",IX44/$CB44)</f>
        <v>190185.55545134019</v>
      </c>
      <c r="JE44" s="4356">
        <f t="shared" ref="JE44:JE51" si="144">+IF(OR(IX44="",$CL44=""),"",IX44/$CL44)</f>
        <v>512561.25932697661</v>
      </c>
      <c r="JF44" s="7027">
        <f>+IF(D44="","",IF(T44="",IF(T43="",T42/IF(Y42="TP",2,1),T43/IF(Y43="TP",2,1)),T44/IF(Y44="TP",2,1)))</f>
        <v>20</v>
      </c>
      <c r="JG44" s="2439" t="s">
        <v>2437</v>
      </c>
      <c r="JH44" s="6958">
        <f t="shared" ref="JH44:JH51" si="145">+IF(D44="","",IF(HX44="","",HX44))</f>
        <v>5950000</v>
      </c>
      <c r="JI44" s="6958">
        <f>+JH46</f>
        <v>2550000</v>
      </c>
      <c r="JJ44" s="6958">
        <f>+JI48</f>
        <v>700000</v>
      </c>
      <c r="JK44" s="6958">
        <f>+JK45</f>
        <v>200000</v>
      </c>
      <c r="JL44" s="6995">
        <f>+JH44-(JI44+JJ44+JK44)</f>
        <v>2500000</v>
      </c>
      <c r="JM44" s="1797" t="str">
        <f t="shared" ref="JM44:JM51" si="146">+IF(D44="","",IF(JG44="SCR",(JF44*49700+459000),IF(JG44="HPWI",(0.0353*JF44+0.2915)*(10^6),"N/A")))</f>
        <v>N/A</v>
      </c>
      <c r="JN44" s="2439" t="str">
        <f t="shared" ref="JN44:JN51" si="147">+IF(D44="","",IF(JM44="N/A","",JM44*$JN$27))</f>
        <v/>
      </c>
      <c r="JO44" s="2439">
        <f>+JO46</f>
        <v>2513690</v>
      </c>
      <c r="JP44" s="7074">
        <f>+JP45</f>
        <v>1725675</v>
      </c>
      <c r="JQ44" s="7074">
        <f>+JQ45</f>
        <v>200000</v>
      </c>
      <c r="JR44" s="2439">
        <f>+JO49</f>
        <v>2500000</v>
      </c>
      <c r="JS44" s="1798">
        <f t="shared" ref="JS44:JS51" si="148">+IF(D44="","",SUM(JO44:JR44))</f>
        <v>6939365</v>
      </c>
      <c r="JT44" s="7127">
        <f t="shared" si="54"/>
        <v>2</v>
      </c>
      <c r="JU44" s="7128">
        <f>+AV44</f>
        <v>20</v>
      </c>
      <c r="JV44" s="8365">
        <f>+AW44</f>
        <v>4575</v>
      </c>
      <c r="JW44" s="8392">
        <f t="shared" ref="JW44:JW64" si="149">+CL44</f>
        <v>1.6544741648119159</v>
      </c>
      <c r="JX44" s="8421">
        <f t="shared" ref="JX44:JX51" si="150">+IF(OR(D44="",JU44=""),"",IF(JT44=2,24000/JU44,""))</f>
        <v>1200</v>
      </c>
      <c r="JY44" s="8456">
        <f t="shared" ref="JY44:JY51" si="151">+IF(D44="","",IF(JT44=2,($JY$8*(1+$JY$8)^JX44)/((1+$JY$8)^JX44-1),""))</f>
        <v>7.0000000000000007E-2</v>
      </c>
      <c r="JZ44" s="7129">
        <f t="shared" ref="JZ44:JZ51" si="152">+IF(OR(D44="",JU44="",ISERROR(JF44)),"",IF(JT44=2,JF44*6180/83,""))</f>
        <v>1489.1566265060242</v>
      </c>
      <c r="KA44" s="7127" t="str">
        <f t="shared" ref="KA44:KA51" si="153">+IF(OR(D44="",JV44=""),"",IF(JT44=1,JV44*10^6/$KA$8/JU44,""))</f>
        <v/>
      </c>
      <c r="KB44" s="7128" t="str">
        <f t="shared" ref="KB44:KB51" si="154">+IF(OR(D44="",KA44=""),"",IF(JT44=1,KA44*$KB$8,""))</f>
        <v/>
      </c>
      <c r="KC44" s="7129" t="str">
        <f t="shared" ref="KC44:KC51" si="155">+IF(OR(D44="",KB44=""),"",IF(JT44=1,KB44*7.48/62.4/60,""))</f>
        <v/>
      </c>
      <c r="KD44" s="7127">
        <f t="shared" ref="KD44:KD51" si="156">+IF(OR(D44="",JV44=""),"",IF(JT44=1,$KD$5*JU44*$KD$6/1000,$KD$7*JU44*$KD$8/1000))</f>
        <v>848.88</v>
      </c>
      <c r="KE44" s="8329">
        <f t="shared" ref="KE44:KE51" si="157">+IF(OR(D44="",JW44="",JW44=0),"",IF(JT44=2,JW44*$KE$8*$KG$4,""))</f>
        <v>1030.4065098448614</v>
      </c>
      <c r="KF44" s="8329">
        <f t="shared" ref="KF44:KF51" si="158">+IF(OR(D44="",JW44="",JW44=0),"",IF(JT44=2,JW44*(0.95/0.05)*(18/17)*($KF$8/1000)*(2000)*$KG$4,""))</f>
        <v>690.97848307243623</v>
      </c>
      <c r="KG44" s="7128">
        <f t="shared" ref="KG44:KG51" si="159">+IF(D44="","",IF(JT44=1,$KG$2*KC44/1000*60*JU44*$KG$4*$KG$6,IF(OR(JZ44="",JY44=""),"",JZ44*$KG$8*JY44*$KG$4)))</f>
        <v>2705.0530120481931</v>
      </c>
      <c r="KH44" s="7128">
        <f t="shared" ref="KH44:KH51" si="160">IF(D44="","",IF(JT44=2,0.005*JF44*$KD$6/1000*1000*JU44,""))</f>
        <v>776.32</v>
      </c>
      <c r="KI44" s="7128">
        <f t="shared" ref="KI44:KI51" si="161">IF(D44="","",IF(JT44=2,0.1*0.005*JF44*$KD$6/1000*1000*JU44,""))</f>
        <v>77.632000000000005</v>
      </c>
      <c r="KJ44" s="7128">
        <f t="shared" ref="KJ44:KJ51" si="162">+IF(OR(D44="",JU44="",JV44=""),"",IF(JT44=1,KD44+KG44,KD44+KE44+KF44+KG44+KH44+KI44))</f>
        <v>6129.2700049654904</v>
      </c>
      <c r="KK44" s="7128">
        <f>+KK46+KK48</f>
        <v>4196.2880000000005</v>
      </c>
      <c r="KL44" s="7128">
        <f t="shared" ref="KL44:KL51" si="163">+IF(OR(D44="",JU44="",JV44="",JS44=""),"",IF(JT44=1,$KL$7*JS44*JU44/$KL$8,$KL$7*IF(JN44="",JS44,JN44)*JU44/$KL$8))</f>
        <v>520.45237499999996</v>
      </c>
      <c r="KM44" s="7128">
        <f t="shared" ref="KM44:KM51" si="164">+IF(D44="","",IF(KK44="",0,KK44)+IF(KL44="",0,KL44))</f>
        <v>4716.7403750000003</v>
      </c>
      <c r="KN44" s="7128" t="str">
        <f t="shared" ref="KN44:KN51" si="165">+IF(D44="","",IF(JX44&lt;41,$KN$8*JZ44*JY44,""))</f>
        <v/>
      </c>
      <c r="KO44" s="7128">
        <f t="shared" ref="KO44:KO51" si="166">+IF(OR(D44="",JU44="",JV44=""),"",IF(KM44="",0,KM44)+IF(KN44="",0,KN44))</f>
        <v>4716.7403750000003</v>
      </c>
      <c r="KP44" s="7129">
        <f t="shared" ref="KP44:KP51" si="167">+IF(OR(D44="",JU44="",JV44=""),"",IF(KJ44="",0,KJ44)+IF(KO44="",0,KO44))</f>
        <v>10846.01037996549</v>
      </c>
      <c r="KQ44" s="1799">
        <f>+IF(D44="","",VLOOKUP(MATCH(BE44,ac_id,0),ad,ac!$F$8,FALSE)*JV44)</f>
        <v>1372.5</v>
      </c>
      <c r="KR44" s="7074">
        <f>+IF(D44="","",IF(JT44=1,VLOOKUP(MATCH(BE44,ac_id,0),ad,ac!$H$8,FALSE)*JU44, (VLOOKUP(MATCH(BE44,ac_id,0),ad,ac!$H$8,FALSE)*JU44^(1+VLOOKUP(MATCH(BE44,ac_id,0),ad,ac!$I$8,FALSE)))))</f>
        <v>16603.564643237693</v>
      </c>
      <c r="KS44" s="1798">
        <f t="shared" ref="KS44:KS51" si="168">+IF(D44="","",KQ44+KR44)</f>
        <v>17976.064643237693</v>
      </c>
      <c r="KT44" s="1799">
        <f t="shared" ref="KT44:KT51" si="169">+IF(D44="","",IF(KK44="","",$KT$26*KM44))</f>
        <v>2830.0442250000001</v>
      </c>
      <c r="KU44" s="2439">
        <f t="shared" ref="KU44:KU51" si="170">+IF(D44="","",IF(JS44="","",$KU$26*IF(JN44="",JS44,JN44)))</f>
        <v>277574.59999999998</v>
      </c>
      <c r="KV44" s="7372">
        <f t="shared" ref="KV44:KV51" si="171">+IF(D44="","",IV44)</f>
        <v>1</v>
      </c>
      <c r="KW44" s="7279">
        <f t="shared" ref="KW44:KW51" si="172">IF(JS44="","",IF(KV44=1,$KW$5,IF(KV44=2,$KW$8,""))*JS44)</f>
        <v>595470.49983298429</v>
      </c>
      <c r="KX44" s="1798">
        <f t="shared" ref="KX44:KX51" si="173">+IF(D44="","",IF(KW44="","",IF(KT44="",0,KT44)+IF(KU44="",0,KU44)+KW44))</f>
        <v>875875.14405798423</v>
      </c>
      <c r="KY44" s="3165">
        <f t="shared" ref="KY44:KY51" si="174">+IF(D44="","",IF(KX44="","",IF(KP44="",0,KP44)+KX44))</f>
        <v>886721.15443794976</v>
      </c>
      <c r="KZ44" s="7373"/>
      <c r="LA44" s="7279">
        <f t="shared" ref="LA44:LA51" si="175">+IF(OR(KY44="",$CB44=""),"",KY44/$CB44)</f>
        <v>198865.21812530368</v>
      </c>
      <c r="LB44" s="7290">
        <f t="shared" ref="LB44:LB51" si="176">+IF(OR(KY44="",$CL44=""),"",KY44/$CL44)</f>
        <v>535953.46080170071</v>
      </c>
      <c r="LC44" s="5133"/>
      <c r="LD44" s="5132"/>
      <c r="LE44" s="5132"/>
      <c r="LF44" s="5132"/>
      <c r="LG44" s="5132"/>
      <c r="LH44" s="5132"/>
      <c r="LI44" s="5132"/>
      <c r="LJ44" s="5132"/>
    </row>
    <row r="45" spans="1:322" s="645" customFormat="1" ht="27.95" customHeight="1">
      <c r="A45" s="10539"/>
      <c r="B45" s="9819" t="str">
        <f>+IF(A45="","",VLOOKUP(MATCH(A45,tid,0),tao,'12(id)'!$J$20,FALSE))</f>
        <v/>
      </c>
      <c r="C45" s="10561"/>
      <c r="D45" s="1107" t="str">
        <f t="shared" si="48"/>
        <v>8303-01-02</v>
      </c>
      <c r="E45" s="721" t="str">
        <f t="shared" si="91"/>
        <v>SCR + HPWI + CO Catalyst</v>
      </c>
      <c r="F45" s="721" t="str">
        <f t="shared" si="49"/>
        <v>SCR</v>
      </c>
      <c r="G45" s="5133"/>
      <c r="H45" s="5132"/>
      <c r="I45" s="5133"/>
      <c r="J45" s="719">
        <f t="shared" si="68"/>
        <v>11</v>
      </c>
      <c r="K45" s="9663"/>
      <c r="L45" s="9648"/>
      <c r="M45" s="9650"/>
      <c r="N45" s="9648"/>
      <c r="O45" s="9648"/>
      <c r="P45" s="9648"/>
      <c r="Q45" s="9680" t="str">
        <f>+IF(ISERROR(MATCH(O45,tid,0)),"",VLOOKUP(MATCH(O45,tid,0),tao,'12(id)'!$Q$20,FALSE))</f>
        <v/>
      </c>
      <c r="R45" s="9648"/>
      <c r="S45" s="9648"/>
      <c r="T45" s="10716" t="str">
        <f>+IF(ISERROR(MATCH(O45,tid,0)),"",IF(VLOOKUP(MATCH(O45,tid,0),tao,'12(id)'!$CT$20,FALSE)="","",VLOOKUP(MATCH(O45,tid,0),tao,'12(id)'!$CT$20,FALSE)))</f>
        <v/>
      </c>
      <c r="U45" s="10716" t="str">
        <f>+IF(ISERROR(MATCH(O45,tid,0)),"",IF(VLOOKUP(MATCH(O45,tid,0),tao,'12(id)'!$CU$20,FALSE)="","",VLOOKUP(MATCH(O45,tid,0),tao,'12(id)'!$CU$20,FALSE)))</f>
        <v/>
      </c>
      <c r="V45" s="9504" t="str">
        <f>+IF(O45="","",IF(VLOOKUP(MATCH(O45,tid,0),tao,'12(id)'!$T$20,FALSE)="","",VLOOKUP(MATCH(O45,tid,0),tao,'12(id)'!$T$20,FALSE)))</f>
        <v/>
      </c>
      <c r="W45" s="9504" t="str">
        <f>+IF(ISERROR(MATCH(O45,tid,0)),"",IF(VLOOKUP(MATCH(O45,tid,0),tao,'12(id)'!$CO$20,FALSE)="","",VLOOKUP(MATCH(O45,tid,0),tao,'12(id)'!$CO$20,FALSE)))</f>
        <v/>
      </c>
      <c r="X45" s="9504" t="str">
        <f>+IF(ISERROR(MATCH(O45,tid,0)),"",IF(VLOOKUP(MATCH(O45,tid,0),tao,'12(id)'!$CP$20,FALSE)="","",VLOOKUP(MATCH(O45,tid,0),tao,'12(id)'!$CP$20,FALSE)))</f>
        <v/>
      </c>
      <c r="Y45" s="9504"/>
      <c r="Z45" s="9518" t="str">
        <f>+IF(ISERROR(MATCH(O45,tid,0)),"",VLOOKUP(MATCH(O45,tid,0),tao,'12(id)'!$DB$20,FALSE)&amp;" "&amp;VLOOKUP(MATCH(O45,tid,0),tao,'12(id)'!$DC$20,FALSE))</f>
        <v/>
      </c>
      <c r="AA45" s="9518" t="str">
        <f>+IF(ISERROR(MATCH(O45,tid,0)),"",IF(VLOOKUP(MATCH(O45,tid,0),tao,'12(id)'!$DE$20,FALSE)="","",ROUND(VLOOKUP(MATCH(O45,tid,0),tao,'12(id)'!$DE$20,FALSE),0)&amp;" yrs"))</f>
        <v/>
      </c>
      <c r="AB45" s="9648" t="str">
        <f>+IF(ISERROR(MATCH(O45,tid,0)),"",VLOOKUP(MATCH(O45,tid,0),tao,'12(id)'!$DI$20,FALSE))</f>
        <v/>
      </c>
      <c r="AC45" s="9648" t="str">
        <f>+IF(ISERROR(MATCH(O45,tid,0)),"",IF(VLOOKUP(MATCH(O45,tid,0),tao,'12(id)'!$DQ$20,FALSE)="","",VLOOKUP(MATCH(O45,tid,0),tao,'12(id)'!$DQ$20,FALSE)))</f>
        <v/>
      </c>
      <c r="AD45" s="10671" t="str">
        <f>+IF(ISERROR(MATCH(O45,tid,0)),"",IF(VLOOKUP(MATCH(O45,tid,0),tao,'12(id)'!$EI$20,FALSE)="","",VLOOKUP(MATCH(O45,tid,0),tao,'12(id)'!$EI$20,FALSE)))</f>
        <v/>
      </c>
      <c r="AE45" s="10766"/>
      <c r="AF45" s="10671" t="str">
        <f>+IF(ISERROR(MATCH(O45,tid,0)),"",IF(VLOOKUP(MATCH(O45,tid,0),tao,'12(id)'!$EL$20,FALSE)="","",VLOOKUP(MATCH(O45,tid,0),tao,'12(id)'!$EL$20,FALSE)))</f>
        <v/>
      </c>
      <c r="AG45" s="10691" t="str">
        <f>+IF(ISERROR(MATCH(O45,tid,0)),"",IF(VLOOKUP(MATCH(O45,tid,0),tao,'12(id)'!$EM$20,FALSE)="","",VLOOKUP(MATCH(O45,tid,0),tao,'12(id)'!$EM$20,FALSE)))</f>
        <v/>
      </c>
      <c r="AH45" s="10757"/>
      <c r="AI45" s="10682"/>
      <c r="AJ45" s="10682"/>
      <c r="AK45" s="10682"/>
      <c r="AL45" s="10682"/>
      <c r="AM45" s="10676"/>
      <c r="AN45" s="10679"/>
      <c r="AO45" s="10342" t="str">
        <f>+IF(ISERROR(MATCH(O45,tid,0)),"",IF(VLOOKUP(MATCH(O45,tid,0),tao,'12(id)'!$GY$20,FALSE)="","",VLOOKUP(MATCH(O45,tid,0),tao,'12(id)'!$GY$20,FALSE)))</f>
        <v/>
      </c>
      <c r="AP45" s="10292" t="e">
        <f>+IF($BB45="","",IF(VLOOKUP(MATCH(O45,tid,0),tao,'12(id)'!$HE$20,FALSE)="","",VLOOKUP(MATCH(O45,tid,0),tao,'12(id)'!$HE$20,FALSE)))</f>
        <v>#N/A</v>
      </c>
      <c r="AQ45" s="10342" t="str">
        <f>+IF(ISERROR(VLOOKUP(MATCH(O45,tid,0),tao,'12(id)'!$HF$20,FALSE)),"",VLOOKUP(MATCH(O45,tid,0),tao,'12(id)'!$HF$20,FALSE))</f>
        <v/>
      </c>
      <c r="AR45" s="10336" t="str">
        <f>+IF(ISERROR(MATCH(O45,tid,0)),"",IF(VLOOKUP(MATCH(O45,tid,0),tao,'12(id)'!$HJ$20,FALSE)="","",VLOOKUP(MATCH(O45,tid,0),tao,'12(id)'!$HJ$20,FALSE)))</f>
        <v/>
      </c>
      <c r="AS45" s="10339" t="str">
        <f>+IF(ISERROR(MATCH(O45,tid,0)),"",IF(VLOOKUP(MATCH(O45,tid,0),tao,'12(id)'!$HK$20,FALSE)="","",VLOOKUP(MATCH(O45,tid,0),tao,'12(id)'!$HK$20,FALSE)))</f>
        <v/>
      </c>
      <c r="AT45" s="10694" t="str">
        <f>+IF(ISERROR(MATCH(O45,tid,0)),"",IF(VLOOKUP(MATCH(O45,tid,0),tao,'12(id)'!$HM$20,FALSE)="","",VLOOKUP(MATCH(O45,tid,0),tao,'12(id)'!$HM$20,FALSE)))</f>
        <v/>
      </c>
      <c r="AU45" s="10359"/>
      <c r="AV45" s="10325" t="str">
        <f>+IF(ISERROR(MATCH(O45,em_id,0)),"",IF(VLOOKUP(MATCH(O45,em_id,0),em,'5(em)'!$CX$18,FALSE)="","",VLOOKUP(MATCH(O45,em_id,0),em,'5(em)'!$CX$18,FALSE)))</f>
        <v/>
      </c>
      <c r="AW45" s="10392" t="str">
        <f>+IF(ISERROR(MATCH(O45,em_id,0)),"",IF(VLOOKUP(MATCH(O45,em_id,0),em,'5(em)'!$CZ$18,FALSE)="","",VLOOKUP(MATCH(O45,em_id,0),em,'5(em)'!$CZ$18,FALSE)))</f>
        <v/>
      </c>
      <c r="AX45" s="10330" t="str">
        <f t="shared" si="50"/>
        <v/>
      </c>
      <c r="AY45" s="10325"/>
      <c r="AZ45" s="10400" t="str">
        <f>+IF(ISERROR(MATCH(O45,em_id,0)),"",IF(VLOOKUP(MATCH(O45,em_id,0),em,'5(em)'!$DA$18,FALSE)="","",VLOOKUP(MATCH(O45,em_id,0),em,'5(em)'!$DA$18,FALSE)))</f>
        <v/>
      </c>
      <c r="BA45" s="720"/>
      <c r="BB45" s="721" t="str">
        <f t="shared" si="11"/>
        <v>8303-01-02</v>
      </c>
      <c r="BC45" s="722">
        <f>1+BC44</f>
        <v>2</v>
      </c>
      <c r="BD45" s="721" t="str">
        <f>+IF(OR(D45="",VLOOKUP(MATCH(D45,op_id,0),op,'7(op)'!$T$18,FALSE)=""),"",VLOOKUP(MATCH(D45,op_id,0),op,'7(op)'!$T$18,FALSE))</f>
        <v>SCR + HPWI + CO Catalyst</v>
      </c>
      <c r="BE45" s="721" t="s">
        <v>1093</v>
      </c>
      <c r="BF45" s="721" t="s">
        <v>1862</v>
      </c>
      <c r="BG45" s="723" t="s">
        <v>1614</v>
      </c>
      <c r="BH45" s="904"/>
      <c r="BI45" s="905"/>
      <c r="BJ45" s="669"/>
      <c r="BK45" s="3480">
        <v>10</v>
      </c>
      <c r="BL45" s="669"/>
      <c r="BM45" s="669"/>
      <c r="BN45" s="669" t="str">
        <f t="shared" si="12"/>
        <v/>
      </c>
      <c r="BO45" s="670" t="str">
        <f t="shared" si="13"/>
        <v/>
      </c>
      <c r="BP45" s="669" t="str">
        <f t="shared" si="14"/>
        <v/>
      </c>
      <c r="BQ45" s="669" t="str">
        <f t="shared" si="15"/>
        <v/>
      </c>
      <c r="BR45" s="671"/>
      <c r="BS45" s="672"/>
      <c r="BT45" s="673"/>
      <c r="BU45" s="3721">
        <f>+IF(BB45="","",IF(VLOOKUP(MATCH(BB45,ef_id,0),ef,'11(eff)'!$Z$23,FALSE)="","",VLOOKUP(MATCH(BB45,ef_id,0),ef,'11(eff)'!$Z$23,FALSE)))</f>
        <v>3.9420017292270605E-2</v>
      </c>
      <c r="BV45" s="3742">
        <f>+IF(BB45="","",IF(VLOOKUP(MATCH(BB45,ef_id,0),ef,'11(eff)'!$AA$23,FALSE)="","",VLOOKUP(MATCH(BB45,ef_id,0),ef,'11(eff)'!$AA$23,FALSE)))</f>
        <v>10</v>
      </c>
      <c r="BW45" s="3766">
        <f>+'A3(trc)'!I25</f>
        <v>0.24538960764438456</v>
      </c>
      <c r="BX45" s="3788">
        <f>+IF(OR(BB45="",BW45=""),"",BW45/IF(R45="",IF(R44="",R43,R44),R45))</f>
        <v>0.24538960764438456</v>
      </c>
      <c r="BY45" s="3810">
        <f>+IF($BB45="","",IF(BU45="","",BU45/2000*IF(AQ45="",IF(AQ44="",AQ43,AQ44),AQ45)))</f>
        <v>0.24538960764438453</v>
      </c>
      <c r="BZ45" s="3771"/>
      <c r="CA45" s="3721"/>
      <c r="CB45" s="3842">
        <f>+IF(OR(BX45="",BX45=0),IF(CA45="",IF(GJ45="","",GI45/GJ45/IF(R45="",IF(R44="",R43,R44),R45)),CA45),IF(AT45="",IF(AT44="",AT43,AT44),AT45)-BX45)</f>
        <v>4.3362103923556159</v>
      </c>
      <c r="CC45" s="3861">
        <f t="shared" ref="CC45:CC51" si="177">+IF($BB45="","",IF(CB45="",IF(CD45="",IF(CD45="",IF(CE45="","",CE45)),CD45),CB45/$AT$44))</f>
        <v>0.94644019389637135</v>
      </c>
      <c r="CD45" s="3861">
        <f t="shared" ref="CD45:CD51" si="178">+IF($BB45="","",IF(BU45="","",(1-BU45/$AR$44)))</f>
        <v>0.94644019389637146</v>
      </c>
      <c r="CE45" s="2731">
        <f>+IF(BB45="","",IF(VLOOKUP(MATCH(BB45,ef_id,0),ef,'11(eff)'!$AE$23,FALSE)="","",VLOOKUP(MATCH(BB45,ef_id,0),ef,'11(eff)'!$AE$23,FALSE)))</f>
        <v>0.94644019389637146</v>
      </c>
      <c r="CF45" s="672"/>
      <c r="CG45" s="673"/>
      <c r="CH45" s="2397"/>
      <c r="CI45" s="3842">
        <f t="shared" ref="CI45:CI51" si="179">+IF(BB45="","",$AZ$44/$AW$44*2000*(1-CO45))</f>
        <v>3.9804008907614645E-2</v>
      </c>
      <c r="CJ45" s="4053">
        <f t="shared" ref="CJ45:CJ51" si="180">+IF($AY$44="","",$AY$44*(1-CO45))</f>
        <v>10.095108695652172</v>
      </c>
      <c r="CK45" s="3842">
        <f t="shared" ref="CK45:CK51" si="181">+IF($BB45="","",IF(CI45="",$AZ$44-CL45,CI45/2000*$AW$44))</f>
        <v>9.10516703761685E-2</v>
      </c>
      <c r="CL45" s="3918">
        <f t="shared" ref="CL45:CL51" si="182">+IF($BB45="","",IF(CI45="",CO45*$AZ$44,IF(CK45="","",$AZ$44-CK45)))</f>
        <v>1.6089483296238314</v>
      </c>
      <c r="CM45" s="3938">
        <f t="shared" ref="CM45:CM51" si="183">+IF($BB45="","",IF(CL45="","",CL45/$AZ$44))</f>
        <v>0.94644019389637146</v>
      </c>
      <c r="CN45" s="3938">
        <f t="shared" ref="CN45:CN51" si="184">+IF($BB45="","",IF(CI45="","",(1-CI45/$AX$44)))</f>
        <v>0.94642798262770578</v>
      </c>
      <c r="CO45" s="3939">
        <f>+IF(BB45="","",IF(VLOOKUP(MATCH(BB45,ef_id,0),ef,'11(eff)'!$AE$23,FALSE)="","",VLOOKUP(MATCH(BB45,ef_id,0),ef,'11(eff)'!$AE$23,FALSE)))</f>
        <v>0.94644019389637146</v>
      </c>
      <c r="CP45" s="3940" t="str">
        <f>+IF(OR(BB45="",VLOOKUP(MATCH(BB45,ef_id,0),ef,'11(eff)'!$AG$23,FALSE)=""),"",IF(VLOOKUP(MATCH(BB45,ef_id,0),ef,'11(eff)'!$AG$23,FALSE)/100=VLOOKUP(MATCH(BB45,ef_id,0),ef,'11(eff)'!$AE$23,FALSE),VLOOKUP(MATCH(BB45,ef_id,0),ef,'11(eff)'!$AE$23,FALSE),""))</f>
        <v/>
      </c>
      <c r="CQ45" s="720" t="str">
        <f>+IF(BD45="","",BD45)</f>
        <v>SCR + HPWI + CO Catalyst</v>
      </c>
      <c r="CR45" s="674"/>
      <c r="CS45" s="2752">
        <v>3630000</v>
      </c>
      <c r="CT45" s="1580">
        <f>2550000+200000</f>
        <v>2750000</v>
      </c>
      <c r="CU45" s="1488">
        <v>2550000</v>
      </c>
      <c r="CV45" s="1803">
        <f t="shared" si="16"/>
        <v>200000</v>
      </c>
      <c r="CW45" s="1804"/>
      <c r="CX45" s="1804"/>
      <c r="CY45" s="1805"/>
      <c r="CZ45" s="2465"/>
      <c r="DA45" s="2069"/>
      <c r="DB45" s="2069"/>
      <c r="DC45" s="1803"/>
      <c r="DD45" s="1807"/>
      <c r="DE45" s="1808"/>
      <c r="DF45" s="1809"/>
      <c r="DG45" s="1809"/>
      <c r="DH45" s="1807"/>
      <c r="DI45" s="1684">
        <f t="shared" ref="DI45:DI51" si="185">+IF(CT45="","",SUM(CU45:DC45)+SUM(DE45:DF45))</f>
        <v>2750000</v>
      </c>
      <c r="DJ45" s="1930"/>
      <c r="DK45" s="1580">
        <v>700000</v>
      </c>
      <c r="DL45" s="1488">
        <v>600000</v>
      </c>
      <c r="DM45" s="1803">
        <f>+IF(DK45="","",DK45-DL45-SUM(DN45:DY45)-EA45)</f>
        <v>100000</v>
      </c>
      <c r="DN45" s="1804"/>
      <c r="DO45" s="1804"/>
      <c r="DP45" s="1805"/>
      <c r="DQ45" s="2465"/>
      <c r="DR45" s="2069"/>
      <c r="DS45" s="2069"/>
      <c r="DT45" s="1803"/>
      <c r="DU45" s="1807"/>
      <c r="DV45" s="1808"/>
      <c r="DW45" s="1809"/>
      <c r="DX45" s="1809"/>
      <c r="DY45" s="1807"/>
      <c r="DZ45" s="1684">
        <f t="shared" si="18"/>
        <v>700000</v>
      </c>
      <c r="EA45" s="1930"/>
      <c r="EB45" s="1488">
        <f t="shared" si="19"/>
        <v>3450000</v>
      </c>
      <c r="EC45" s="1954">
        <v>1</v>
      </c>
      <c r="ED45" s="1408">
        <f t="shared" si="20"/>
        <v>3450000</v>
      </c>
      <c r="EE45" s="1806"/>
      <c r="EF45" s="2069"/>
      <c r="EG45" s="1805"/>
      <c r="EH45" s="1684"/>
      <c r="EI45" s="1808"/>
      <c r="EJ45" s="1809"/>
      <c r="EK45" s="1999"/>
      <c r="EL45" s="1448"/>
      <c r="EM45" s="1808"/>
      <c r="EN45" s="1809"/>
      <c r="EO45" s="1999"/>
      <c r="EP45" s="1684">
        <f t="shared" si="21"/>
        <v>0</v>
      </c>
      <c r="EQ45" s="1684"/>
      <c r="ER45" s="1684"/>
      <c r="ES45" s="1684"/>
      <c r="ET45" s="1448"/>
      <c r="EU45" s="1421"/>
      <c r="EV45" s="1383"/>
      <c r="EW45" s="2572"/>
      <c r="EX45" s="2572"/>
      <c r="EY45" s="2679">
        <f t="shared" si="92"/>
        <v>3450000</v>
      </c>
      <c r="EZ45" s="2708"/>
      <c r="FA45" s="1383">
        <f>+FA46</f>
        <v>180000</v>
      </c>
      <c r="FB45" s="1470">
        <f t="shared" si="93"/>
        <v>3630000</v>
      </c>
      <c r="FC45" s="1488">
        <f t="shared" si="89"/>
        <v>3450000</v>
      </c>
      <c r="FD45" s="2049">
        <f>+IF(OR(BB45="",IF(R45="",R44,R45)="",(CU45+DL45)=0),"",(CU45+DL45)/IF(R45="",R44,R45))</f>
        <v>3150000</v>
      </c>
      <c r="FE45" s="2033">
        <f t="shared" si="94"/>
        <v>0.91304347826086951</v>
      </c>
      <c r="FF45" s="2049">
        <f>+IF(OR(BB45="",CT45="",IF(R45="",R44,R45)=""),"",(SUM(CV45:CZ45)+(IF(DM45="",0,DM45)+SUM(DN45:DQ45)))/IF(R45="",R44,R45))</f>
        <v>300000</v>
      </c>
      <c r="FG45" s="2033">
        <f t="shared" si="95"/>
        <v>8.6956521739130432E-2</v>
      </c>
      <c r="FH45" s="2049">
        <f>+IF(OR(BB45="",IF(R45="",R44,R45)="",),"",(DA45+DR45)/IF(R45="",R44,R45))</f>
        <v>0</v>
      </c>
      <c r="FI45" s="2033">
        <f t="shared" si="96"/>
        <v>0</v>
      </c>
      <c r="FJ45" s="1507">
        <f t="shared" si="90"/>
        <v>3450000</v>
      </c>
      <c r="FK45" s="2033">
        <f>+IF(OR(BB45="",ISERROR(FJ45/FC45)),"",FJ45/FC45)</f>
        <v>1</v>
      </c>
      <c r="FL45" s="2629">
        <f>+IF(OR(BB45="",CT45="",IF(R45="",R44,R45)=""),"",(DB45+DC45+DS45+DT45)/IF(R45="",R44,R45))</f>
        <v>0</v>
      </c>
      <c r="FM45" s="2033">
        <f t="shared" si="97"/>
        <v>0</v>
      </c>
      <c r="FN45" s="2049">
        <f>+IF(OR(BB45="",CT45="",IF(R45="",R44,R45)=""),"",(DD45+DU45)/IF(R45="",R44,R45))</f>
        <v>0</v>
      </c>
      <c r="FO45" s="2033">
        <f t="shared" si="98"/>
        <v>0</v>
      </c>
      <c r="FP45" s="2049">
        <f>+IF(OR(BB45="",CT45="",IF(R45="",R44,R45)=""),"",(DG45+DH45+DX45+DY45)/IF(R45="",R44,R45))</f>
        <v>0</v>
      </c>
      <c r="FQ45" s="2033">
        <f t="shared" si="99"/>
        <v>0</v>
      </c>
      <c r="FR45" s="2837">
        <f>+IF(OR(BB45="",IF(R45="",R44,R45)="",(IF(DI45="",0,DI45)+IF(DZ45="",0,DZ45))=0),"",(IF(DI45="",0,DI45)+IF(DZ45="",0,DZ45))/IF(R45="",R44,R45))</f>
        <v>3450000</v>
      </c>
      <c r="FS45" s="1804" t="str">
        <f>+IF(OR(DJ45="",IF(R45="",R44,R45)=""),"",(DJ45+EA45)/IF(R45="",R44,R45))</f>
        <v/>
      </c>
      <c r="FT45" s="2731" t="str">
        <f t="shared" si="100"/>
        <v/>
      </c>
      <c r="FU45" s="2881">
        <f>+IF(OR(BB45="",ISERROR(1-(FR45+IF(FS45="",0,FS45)+FN45+FP45)*IF(R45="",R44,R45)/(CT45+DK45))),"",1-(FR45+IF(FS45="",0,FS45)+FN45+FP45)*IF(R45="",R44,R45)/(CT45+DK45))</f>
        <v>0</v>
      </c>
      <c r="FV45" s="1715">
        <f>+IF(FC45="","",FC45/IF(T45="",IF(T44="",1,T44),T45))</f>
        <v>172500</v>
      </c>
      <c r="FW45" s="2629" t="str">
        <f>+IF(OR(EH45="",IF(R45="",R44,R45)=""),"",EH45/IF(R45="",R44,R45))</f>
        <v/>
      </c>
      <c r="FX45" s="2667" t="str">
        <f t="shared" si="101"/>
        <v/>
      </c>
      <c r="FY45" s="2049">
        <f>+IF(OR(EP45="",IF(R45="",R44,R45)=""),"",EP45/IF(R45="",R44,R45))</f>
        <v>0</v>
      </c>
      <c r="FZ45" s="2667">
        <f t="shared" si="102"/>
        <v>0</v>
      </c>
      <c r="GA45" s="2667" t="str">
        <f>+IF(IF(V45="",V44,V45)="Utility Boiler",IF(ISERR(FY45/(FC45+FW45)),"",FY45/(FC45+FW45)),"")</f>
        <v/>
      </c>
      <c r="GB45" s="2049" t="str">
        <f>+IF(OR(ET45="",IF(R45="",R44,R45)=""),"",ET45/IF(R45="",R44,R45))</f>
        <v/>
      </c>
      <c r="GC45" s="2667" t="str">
        <f t="shared" si="103"/>
        <v/>
      </c>
      <c r="GD45" s="2667" t="str">
        <f>+IF(IF(V45="",V44,V45)="Utility Boiler",IF(ISERR(GB45/($FC45)),"",GB45/(FC45+FW45+FY45)),"")</f>
        <v/>
      </c>
      <c r="GE45" s="1610">
        <f>+IF(OR(FB45="",IF(R45="",R44,R45)=""),"",FB45/IF(R45="",R44,R45))</f>
        <v>3630000</v>
      </c>
      <c r="GF45" s="2136">
        <f t="shared" ref="GF45:GF51" si="186">+IF(FB45="","",(IF(FA45="",0,FA45)-IF(EZ45="",0,EZ45))+(IF(EU45="",0,EU45)+IF(EV45="",0,EV45)+(IF(EW45="",0,EW45)+IF(EX45="",0,EX45))/$R$44+IF(FC45="",0,FC45)+IF(FW45="",0,FW45)+IF(FY45="",0,FY45)+IF(GB45="",0,GB45)))</f>
        <v>3630000</v>
      </c>
      <c r="GG45" s="2159">
        <f>+IF(OR(CS45="",IF(R45="",R44,R45)=""),"",1-(CS45/IF(R45="",R44,R45))/GF45)</f>
        <v>0</v>
      </c>
      <c r="GH45" s="2505">
        <f>+IF(IF(T45="",T44,T45)="","",IF(GF45="","",GF45/IF(T45="",T44,T45)))</f>
        <v>181500</v>
      </c>
      <c r="GI45" s="1610">
        <v>487846</v>
      </c>
      <c r="GJ45" s="1507">
        <v>112635</v>
      </c>
      <c r="GK45" s="3440">
        <f>+IF(OR(BB45="",GJ45=""),"",IF(CB45="",1,CB45*IF(R45="",IF(R44="",R43,R44),R45)))</f>
        <v>4.3362103923556159</v>
      </c>
      <c r="GL45" s="3215">
        <f t="shared" si="104"/>
        <v>1.1528400922934186E-3</v>
      </c>
      <c r="GM45" s="1135"/>
      <c r="GN45" s="1134"/>
      <c r="GO45" s="2283"/>
      <c r="GP45" s="2284"/>
      <c r="GQ45" s="2213"/>
      <c r="GR45" s="2213"/>
      <c r="GS45" s="2213">
        <f t="shared" si="105"/>
        <v>145200</v>
      </c>
      <c r="GT45" s="2213">
        <v>342646</v>
      </c>
      <c r="GU45" s="2335">
        <f t="shared" ref="GU45:GU59" si="187">+IF(OR(SUM(GQ45:GT45)=0,GT45=""),"",SUM(GQ45:GT45))</f>
        <v>487846</v>
      </c>
      <c r="GV45" s="1133" t="str">
        <f>+IF(OR(GO45="",IF(R45="",R44,R45)=""),"",GO45/IF(R45="",R44,R45))</f>
        <v/>
      </c>
      <c r="GW45" s="2243" t="str">
        <f>+IF(OR(GP45="",IF(R45="",R44,R45)=""),"",GP45/IF(R45="",R44,R45))</f>
        <v/>
      </c>
      <c r="GX45" s="2213" t="str">
        <f>+IF(OR(GQ45="",IF(R45="",R44,R45)=""),"",GQ45/IF(R45="",R44,R45))</f>
        <v/>
      </c>
      <c r="GY45" s="2213" t="str">
        <f>+IF(OR(GR45="",IF(R45="",R44,R45)=""),"",GR45/IF(R45="",R44,R45))</f>
        <v/>
      </c>
      <c r="GZ45" s="2213">
        <f>+IF(OR(GS45="",IF(R45="",R44,R45)=""),"",GS45/IF(R45="",R44,R45))</f>
        <v>145200</v>
      </c>
      <c r="HA45" s="2213">
        <f>+IF(OR(GT45="",IF(R45="",R44,R45)=""),"",GT45/IF(R45="",R44,R45))</f>
        <v>342646</v>
      </c>
      <c r="HB45" s="1333">
        <f t="shared" si="22"/>
        <v>487846</v>
      </c>
      <c r="HC45" s="1133">
        <f>+IF(OR(GU45="",IF(R45="",R44,R45)=""),"",GU45/IF(R45="",R44,R45))</f>
        <v>487846</v>
      </c>
      <c r="HD45" s="2349">
        <f t="shared" si="106"/>
        <v>0</v>
      </c>
      <c r="HE45" s="1135"/>
      <c r="HF45" s="1518">
        <f t="shared" si="107"/>
        <v>112635</v>
      </c>
      <c r="HG45" s="1134">
        <f t="shared" si="23"/>
        <v>303207.99681246281</v>
      </c>
      <c r="HH45" s="2981">
        <f t="shared" si="108"/>
        <v>4</v>
      </c>
      <c r="HI45" s="2927">
        <f t="shared" si="109"/>
        <v>3450000</v>
      </c>
      <c r="HJ45" s="2931">
        <f t="shared" si="110"/>
        <v>0</v>
      </c>
      <c r="HK45" s="2931">
        <f t="shared" si="111"/>
        <v>0</v>
      </c>
      <c r="HL45" s="2931" t="str">
        <f t="shared" si="112"/>
        <v/>
      </c>
      <c r="HM45" s="2934">
        <f t="shared" si="113"/>
        <v>3450000</v>
      </c>
      <c r="HN45" s="2911">
        <f>+IF(ISERROR(HM45/IF(T45="",IF(T44="",IF(T43="",1,T43),T44),T45)),"",IF(FR45="","",HM45/IF(T45="",IF(T44="",IF(T43="",1,T43),T44),T45)))</f>
        <v>172500</v>
      </c>
      <c r="HO45" s="2955" t="str">
        <f t="shared" si="114"/>
        <v/>
      </c>
      <c r="HP45" s="2931">
        <f t="shared" si="115"/>
        <v>0</v>
      </c>
      <c r="HQ45" s="3110" t="str">
        <f t="shared" si="116"/>
        <v/>
      </c>
      <c r="HR45" s="2956" t="str">
        <f t="shared" si="117"/>
        <v/>
      </c>
      <c r="HS45" s="2956">
        <f t="shared" si="118"/>
        <v>0</v>
      </c>
      <c r="HT45" s="1204" t="str">
        <f t="shared" si="119"/>
        <v/>
      </c>
      <c r="HU45" s="1205" t="str">
        <f t="shared" si="120"/>
        <v/>
      </c>
      <c r="HV45" s="1204" t="str">
        <f t="shared" si="121"/>
        <v/>
      </c>
      <c r="HW45" s="1205" t="str">
        <f t="shared" si="122"/>
        <v/>
      </c>
      <c r="HX45" s="2909">
        <f t="shared" si="24"/>
        <v>3450000</v>
      </c>
      <c r="HY45" s="2931" t="str">
        <f>+IF(EZ45="","",EZ45/IF(R45="",IF(R44="",1,R44),R45))</f>
        <v/>
      </c>
      <c r="HZ45" s="2956">
        <f>+IF(FA45="","",FA45/IF(R45="",IF(R44="",1,R44),R45))</f>
        <v>180000</v>
      </c>
      <c r="IA45" s="2927">
        <f t="shared" si="123"/>
        <v>3630000</v>
      </c>
      <c r="IB45" s="3040" t="str">
        <f t="shared" si="25"/>
        <v>same TCC</v>
      </c>
      <c r="IC45" s="2911">
        <f>+IF(IA45="","",IA45/IF(T45="",IF(T44="",1,T44),T45))</f>
        <v>181500</v>
      </c>
      <c r="ID45" s="1204"/>
      <c r="IE45" s="4097"/>
      <c r="IF45" s="2909" t="str">
        <f t="shared" si="124"/>
        <v/>
      </c>
      <c r="IG45" s="6766"/>
      <c r="IH45" s="4164" t="str">
        <f t="shared" si="125"/>
        <v/>
      </c>
      <c r="II45" s="4165"/>
      <c r="IJ45" s="4165" t="str">
        <f t="shared" si="126"/>
        <v/>
      </c>
      <c r="IK45" s="4127">
        <v>1</v>
      </c>
      <c r="IL45" s="2069" t="str">
        <f t="shared" si="127"/>
        <v/>
      </c>
      <c r="IM45" s="1805">
        <f t="shared" si="128"/>
        <v>145200</v>
      </c>
      <c r="IN45" s="4225">
        <f t="shared" si="129"/>
        <v>145200</v>
      </c>
      <c r="IO45" s="4225">
        <f t="shared" si="130"/>
        <v>145200</v>
      </c>
      <c r="IP45" s="4225" t="str">
        <f t="shared" si="131"/>
        <v/>
      </c>
      <c r="IQ45" s="6839" t="str">
        <f t="shared" si="132"/>
        <v/>
      </c>
      <c r="IR45" s="4225">
        <f t="shared" si="133"/>
        <v>145200</v>
      </c>
      <c r="IS45" s="6839">
        <f t="shared" si="134"/>
        <v>0.29763471387188944</v>
      </c>
      <c r="IT45" s="4225">
        <f t="shared" si="135"/>
        <v>145200</v>
      </c>
      <c r="IU45" s="6839">
        <f t="shared" si="136"/>
        <v>0.29763471387188944</v>
      </c>
      <c r="IV45" s="4127">
        <f t="shared" si="137"/>
        <v>1</v>
      </c>
      <c r="IW45" s="1805">
        <f t="shared" si="138"/>
        <v>342646.3204480182</v>
      </c>
      <c r="IX45" s="2911">
        <f t="shared" si="139"/>
        <v>487846.3204480182</v>
      </c>
      <c r="IY45" s="4244">
        <f t="shared" si="140"/>
        <v>487846</v>
      </c>
      <c r="IZ45" s="4274">
        <f t="shared" si="141"/>
        <v>-6.5686306375992383E-7</v>
      </c>
      <c r="JA45" s="4275">
        <f t="shared" si="142"/>
        <v>-6.5686306375992383E-7</v>
      </c>
      <c r="JB45" s="1205"/>
      <c r="JC45" s="4322"/>
      <c r="JD45" s="1518">
        <f t="shared" si="143"/>
        <v>112505.22375668195</v>
      </c>
      <c r="JE45" s="4357">
        <f t="shared" si="144"/>
        <v>303208.19597859652</v>
      </c>
      <c r="JF45" s="7028">
        <f>+IF(D45="","",IF(T45="",IF(T44="",T43/IF(Y43="TP",2,1),T44/IF(Y44="TP",2,1)),T45/IF(Y45="TP",2,1)))</f>
        <v>20</v>
      </c>
      <c r="JG45" s="2069" t="s">
        <v>2437</v>
      </c>
      <c r="JH45" s="6959">
        <f t="shared" si="145"/>
        <v>3450000</v>
      </c>
      <c r="JI45" s="6959">
        <f>+JH46</f>
        <v>2550000</v>
      </c>
      <c r="JJ45" s="6959">
        <f>+JI48</f>
        <v>700000</v>
      </c>
      <c r="JK45" s="6959">
        <f>+JH45-(JI45+JJ45)</f>
        <v>200000</v>
      </c>
      <c r="JL45" s="6996"/>
      <c r="JM45" s="1804" t="str">
        <f t="shared" si="146"/>
        <v>N/A</v>
      </c>
      <c r="JN45" s="2069" t="str">
        <f t="shared" si="147"/>
        <v/>
      </c>
      <c r="JO45" s="2069">
        <f>+JO46</f>
        <v>2513690</v>
      </c>
      <c r="JP45" s="3010">
        <f>+JO48</f>
        <v>1725675</v>
      </c>
      <c r="JQ45" s="3010">
        <f>+JK45</f>
        <v>200000</v>
      </c>
      <c r="JR45" s="2069"/>
      <c r="JS45" s="1805">
        <f t="shared" si="148"/>
        <v>4439365</v>
      </c>
      <c r="JT45" s="7130">
        <f t="shared" si="54"/>
        <v>2</v>
      </c>
      <c r="JU45" s="7131">
        <f t="shared" ref="JU45:JU51" si="188">+JU44</f>
        <v>20</v>
      </c>
      <c r="JV45" s="8366">
        <f t="shared" ref="JV45:JV51" si="189">+JV44</f>
        <v>4575</v>
      </c>
      <c r="JW45" s="8393">
        <f t="shared" si="149"/>
        <v>1.6089483296238314</v>
      </c>
      <c r="JX45" s="8422">
        <f t="shared" si="150"/>
        <v>1200</v>
      </c>
      <c r="JY45" s="8457">
        <f t="shared" si="151"/>
        <v>7.0000000000000007E-2</v>
      </c>
      <c r="JZ45" s="7132">
        <f t="shared" si="152"/>
        <v>1489.1566265060242</v>
      </c>
      <c r="KA45" s="7130" t="str">
        <f t="shared" si="153"/>
        <v/>
      </c>
      <c r="KB45" s="7131" t="str">
        <f t="shared" si="154"/>
        <v/>
      </c>
      <c r="KC45" s="7132" t="str">
        <f t="shared" si="155"/>
        <v/>
      </c>
      <c r="KD45" s="7130">
        <f t="shared" si="156"/>
        <v>848.88</v>
      </c>
      <c r="KE45" s="8330">
        <f t="shared" si="157"/>
        <v>1002.0530196897222</v>
      </c>
      <c r="KF45" s="8330">
        <f t="shared" si="158"/>
        <v>671.96496614487239</v>
      </c>
      <c r="KG45" s="7131">
        <f t="shared" si="159"/>
        <v>2705.0530120481931</v>
      </c>
      <c r="KH45" s="7131">
        <f t="shared" si="160"/>
        <v>776.32</v>
      </c>
      <c r="KI45" s="7131">
        <f t="shared" si="161"/>
        <v>77.632000000000005</v>
      </c>
      <c r="KJ45" s="7131">
        <f t="shared" si="162"/>
        <v>6081.9029978827875</v>
      </c>
      <c r="KK45" s="7131">
        <f>+KK46+KK48</f>
        <v>4196.2880000000005</v>
      </c>
      <c r="KL45" s="7131">
        <f t="shared" si="163"/>
        <v>332.95237499999996</v>
      </c>
      <c r="KM45" s="7131">
        <f t="shared" si="164"/>
        <v>4529.2403750000003</v>
      </c>
      <c r="KN45" s="7131" t="str">
        <f t="shared" si="165"/>
        <v/>
      </c>
      <c r="KO45" s="7131">
        <f t="shared" si="166"/>
        <v>4529.2403750000003</v>
      </c>
      <c r="KP45" s="7132">
        <f t="shared" si="167"/>
        <v>10611.143372882787</v>
      </c>
      <c r="KQ45" s="1806">
        <f>+IF(D45="","",VLOOKUP(MATCH(BE45,ac_id,0),ad,ac!$F$8,FALSE)*JV45)</f>
        <v>1372.5</v>
      </c>
      <c r="KR45" s="3010">
        <f>+IF(D45="","",IF(JT45=1,VLOOKUP(MATCH(BE45,ac_id,0),ad,ac!$H$8,FALSE)*JU45, (VLOOKUP(MATCH(BE45,ac_id,0),ad,ac!$H$8,FALSE)*JU45^(1+VLOOKUP(MATCH(BE45,ac_id,0),ad,ac!$I$8,FALSE)))))</f>
        <v>16603.564643237693</v>
      </c>
      <c r="KS45" s="1805">
        <f t="shared" si="168"/>
        <v>17976.064643237693</v>
      </c>
      <c r="KT45" s="1806">
        <f t="shared" si="169"/>
        <v>2717.5442250000001</v>
      </c>
      <c r="KU45" s="2069">
        <f t="shared" si="170"/>
        <v>177574.6</v>
      </c>
      <c r="KV45" s="7374">
        <f t="shared" si="171"/>
        <v>1</v>
      </c>
      <c r="KW45" s="7280">
        <f t="shared" si="172"/>
        <v>380944.20678132022</v>
      </c>
      <c r="KX45" s="1805">
        <f t="shared" si="173"/>
        <v>561236.35100632021</v>
      </c>
      <c r="KY45" s="2505">
        <f t="shared" si="174"/>
        <v>571847.49437920295</v>
      </c>
      <c r="KZ45" s="7375"/>
      <c r="LA45" s="7280">
        <f t="shared" si="175"/>
        <v>131877.24825052844</v>
      </c>
      <c r="LB45" s="7291">
        <f t="shared" si="176"/>
        <v>355416.94152036542</v>
      </c>
      <c r="LC45" s="5133"/>
      <c r="LD45" s="5132"/>
      <c r="LE45" s="5132"/>
      <c r="LF45" s="5132"/>
      <c r="LG45" s="5132"/>
      <c r="LH45" s="5132"/>
      <c r="LI45" s="5132"/>
      <c r="LJ45" s="5132"/>
    </row>
    <row r="46" spans="1:322" s="645" customFormat="1" ht="27.95" customHeight="1">
      <c r="A46" s="10539"/>
      <c r="B46" s="9819" t="str">
        <f>+IF(A46="","",VLOOKUP(MATCH(A46,tid,0),tao,'12(id)'!$J$20,FALSE))</f>
        <v/>
      </c>
      <c r="C46" s="10561"/>
      <c r="D46" s="1114" t="str">
        <f t="shared" si="48"/>
        <v>8303-01-03</v>
      </c>
      <c r="E46" s="738" t="str">
        <f t="shared" si="91"/>
        <v>Selective Catalytic Reduction (SCR)</v>
      </c>
      <c r="F46" s="738" t="str">
        <f t="shared" si="49"/>
        <v>SCR</v>
      </c>
      <c r="G46" s="5133"/>
      <c r="H46" s="5132"/>
      <c r="I46" s="5133"/>
      <c r="J46" s="719">
        <f t="shared" si="68"/>
        <v>12</v>
      </c>
      <c r="K46" s="9663"/>
      <c r="L46" s="9648"/>
      <c r="M46" s="9650"/>
      <c r="N46" s="9648"/>
      <c r="O46" s="9648"/>
      <c r="P46" s="9648"/>
      <c r="Q46" s="9680" t="str">
        <f>+IF(ISERROR(MATCH(O46,tid,0)),"",VLOOKUP(MATCH(O46,tid,0),tao,'12(id)'!$Q$20,FALSE))</f>
        <v/>
      </c>
      <c r="R46" s="9648"/>
      <c r="S46" s="9648"/>
      <c r="T46" s="10716" t="str">
        <f>+IF(ISERROR(MATCH(O46,tid,0)),"",IF(VLOOKUP(MATCH(O46,tid,0),tao,'12(id)'!$CT$20,FALSE)="","",VLOOKUP(MATCH(O46,tid,0),tao,'12(id)'!$CT$20,FALSE)))</f>
        <v/>
      </c>
      <c r="U46" s="10716" t="str">
        <f>+IF(ISERROR(MATCH(O46,tid,0)),"",IF(VLOOKUP(MATCH(O46,tid,0),tao,'12(id)'!$CU$20,FALSE)="","",VLOOKUP(MATCH(O46,tid,0),tao,'12(id)'!$CU$20,FALSE)))</f>
        <v/>
      </c>
      <c r="V46" s="9504" t="str">
        <f>+IF(O46="","",IF(VLOOKUP(MATCH(O46,tid,0),tao,'12(id)'!$T$20,FALSE)="","",VLOOKUP(MATCH(O46,tid,0),tao,'12(id)'!$T$20,FALSE)))</f>
        <v/>
      </c>
      <c r="W46" s="9504" t="str">
        <f>+IF(ISERROR(MATCH(O46,tid,0)),"",IF(VLOOKUP(MATCH(O46,tid,0),tao,'12(id)'!$CO$20,FALSE)="","",VLOOKUP(MATCH(O46,tid,0),tao,'12(id)'!$CO$20,FALSE)))</f>
        <v/>
      </c>
      <c r="X46" s="9504" t="str">
        <f>+IF(ISERROR(MATCH(O46,tid,0)),"",IF(VLOOKUP(MATCH(O46,tid,0),tao,'12(id)'!$CP$20,FALSE)="","",VLOOKUP(MATCH(O46,tid,0),tao,'12(id)'!$CP$20,FALSE)))</f>
        <v/>
      </c>
      <c r="Y46" s="9504"/>
      <c r="Z46" s="9518" t="str">
        <f>+IF(ISERROR(MATCH(O46,tid,0)),"",VLOOKUP(MATCH(O46,tid,0),tao,'12(id)'!$DB$20,FALSE)&amp;" "&amp;VLOOKUP(MATCH(O46,tid,0),tao,'12(id)'!$DC$20,FALSE))</f>
        <v/>
      </c>
      <c r="AA46" s="9518" t="str">
        <f>+IF(ISERROR(MATCH(O46,tid,0)),"",IF(VLOOKUP(MATCH(O46,tid,0),tao,'12(id)'!$DE$20,FALSE)="","",ROUND(VLOOKUP(MATCH(O46,tid,0),tao,'12(id)'!$DE$20,FALSE),0)&amp;" yrs"))</f>
        <v/>
      </c>
      <c r="AB46" s="9648" t="str">
        <f>+IF(ISERROR(MATCH(O46,tid,0)),"",VLOOKUP(MATCH(O46,tid,0),tao,'12(id)'!$DI$20,FALSE))</f>
        <v/>
      </c>
      <c r="AC46" s="9648" t="str">
        <f>+IF(ISERROR(MATCH(O46,tid,0)),"",IF(VLOOKUP(MATCH(O46,tid,0),tao,'12(id)'!$DQ$20,FALSE)="","",VLOOKUP(MATCH(O46,tid,0),tao,'12(id)'!$DQ$20,FALSE)))</f>
        <v/>
      </c>
      <c r="AD46" s="10671" t="str">
        <f>+IF(ISERROR(MATCH(O46,tid,0)),"",IF(VLOOKUP(MATCH(O46,tid,0),tao,'12(id)'!$EI$20,FALSE)="","",VLOOKUP(MATCH(O46,tid,0),tao,'12(id)'!$EI$20,FALSE)))</f>
        <v/>
      </c>
      <c r="AE46" s="10766"/>
      <c r="AF46" s="10671" t="str">
        <f>+IF(ISERROR(MATCH(O46,tid,0)),"",IF(VLOOKUP(MATCH(O46,tid,0),tao,'12(id)'!$EL$20,FALSE)="","",VLOOKUP(MATCH(O46,tid,0),tao,'12(id)'!$EL$20,FALSE)))</f>
        <v/>
      </c>
      <c r="AG46" s="10691" t="str">
        <f>+IF(ISERROR(MATCH(O46,tid,0)),"",IF(VLOOKUP(MATCH(O46,tid,0),tao,'12(id)'!$EM$20,FALSE)="","",VLOOKUP(MATCH(O46,tid,0),tao,'12(id)'!$EM$20,FALSE)))</f>
        <v/>
      </c>
      <c r="AH46" s="10757"/>
      <c r="AI46" s="10682"/>
      <c r="AJ46" s="10682"/>
      <c r="AK46" s="10682"/>
      <c r="AL46" s="10682"/>
      <c r="AM46" s="10676"/>
      <c r="AN46" s="10679"/>
      <c r="AO46" s="10342" t="str">
        <f>+IF(ISERROR(MATCH(O46,tid,0)),"",IF(VLOOKUP(MATCH(O46,tid,0),tao,'12(id)'!$GY$20,FALSE)="","",VLOOKUP(MATCH(O46,tid,0),tao,'12(id)'!$GY$20,FALSE)))</f>
        <v/>
      </c>
      <c r="AP46" s="10292" t="e">
        <f>+IF($BB46="","",IF(VLOOKUP(MATCH(O46,tid,0),tao,'12(id)'!$HE$20,FALSE)="","",VLOOKUP(MATCH(O46,tid,0),tao,'12(id)'!$HE$20,FALSE)))</f>
        <v>#N/A</v>
      </c>
      <c r="AQ46" s="10342" t="str">
        <f>+IF(ISERROR(VLOOKUP(MATCH(O46,tid,0),tao,'12(id)'!$HF$20,FALSE)),"",VLOOKUP(MATCH(O46,tid,0),tao,'12(id)'!$HF$20,FALSE))</f>
        <v/>
      </c>
      <c r="AR46" s="10336" t="str">
        <f>+IF(ISERROR(MATCH(O46,tid,0)),"",IF(VLOOKUP(MATCH(O46,tid,0),tao,'12(id)'!$HJ$20,FALSE)="","",VLOOKUP(MATCH(O46,tid,0),tao,'12(id)'!$HJ$20,FALSE)))</f>
        <v/>
      </c>
      <c r="AS46" s="10339" t="str">
        <f>+IF(ISERROR(MATCH(O46,tid,0)),"",IF(VLOOKUP(MATCH(O46,tid,0),tao,'12(id)'!$HK$20,FALSE)="","",VLOOKUP(MATCH(O46,tid,0),tao,'12(id)'!$HK$20,FALSE)))</f>
        <v/>
      </c>
      <c r="AT46" s="10694" t="str">
        <f>+IF(ISERROR(MATCH(O46,tid,0)),"",IF(VLOOKUP(MATCH(O46,tid,0),tao,'12(id)'!$HM$20,FALSE)="","",VLOOKUP(MATCH(O46,tid,0),tao,'12(id)'!$HM$20,FALSE)))</f>
        <v/>
      </c>
      <c r="AU46" s="10359"/>
      <c r="AV46" s="10325" t="str">
        <f>+IF(ISERROR(MATCH(O46,em_id,0)),"",IF(VLOOKUP(MATCH(O46,em_id,0),em,'5(em)'!$CX$18,FALSE)="","",VLOOKUP(MATCH(O46,em_id,0),em,'5(em)'!$CX$18,FALSE)))</f>
        <v/>
      </c>
      <c r="AW46" s="10392" t="str">
        <f>+IF(ISERROR(MATCH(O46,em_id,0)),"",IF(VLOOKUP(MATCH(O46,em_id,0),em,'5(em)'!$CZ$18,FALSE)="","",VLOOKUP(MATCH(O46,em_id,0),em,'5(em)'!$CZ$18,FALSE)))</f>
        <v/>
      </c>
      <c r="AX46" s="10330" t="str">
        <f t="shared" si="50"/>
        <v/>
      </c>
      <c r="AY46" s="10325"/>
      <c r="AZ46" s="10400" t="str">
        <f>+IF(ISERROR(MATCH(O46,em_id,0)),"",IF(VLOOKUP(MATCH(O46,em_id,0),em,'5(em)'!$DA$18,FALSE)="","",VLOOKUP(MATCH(O46,em_id,0),em,'5(em)'!$DA$18,FALSE)))</f>
        <v/>
      </c>
      <c r="BA46" s="737"/>
      <c r="BB46" s="738" t="str">
        <f t="shared" si="11"/>
        <v>8303-01-03</v>
      </c>
      <c r="BC46" s="739">
        <f t="shared" ref="BC46:BC51" si="190">1+BC45</f>
        <v>3</v>
      </c>
      <c r="BD46" s="738" t="str">
        <f>+IF(OR(D46="",VLOOKUP(MATCH(D46,op_id,0),op,'7(op)'!$T$18,FALSE)=""),"",VLOOKUP(MATCH(D46,op_id,0),op,'7(op)'!$T$18,FALSE))</f>
        <v>Selective Catalytic Reduction (SCR)</v>
      </c>
      <c r="BE46" s="738" t="s">
        <v>1093</v>
      </c>
      <c r="BF46" s="738" t="s">
        <v>1862</v>
      </c>
      <c r="BG46" s="740" t="s">
        <v>1614</v>
      </c>
      <c r="BH46" s="906"/>
      <c r="BI46" s="907"/>
      <c r="BJ46" s="908"/>
      <c r="BK46" s="3481">
        <v>25</v>
      </c>
      <c r="BL46" s="908"/>
      <c r="BM46" s="908"/>
      <c r="BN46" s="908" t="str">
        <f t="shared" si="12"/>
        <v/>
      </c>
      <c r="BO46" s="909" t="str">
        <f t="shared" si="13"/>
        <v/>
      </c>
      <c r="BP46" s="908" t="str">
        <f t="shared" si="14"/>
        <v/>
      </c>
      <c r="BQ46" s="908" t="str">
        <f t="shared" si="15"/>
        <v/>
      </c>
      <c r="BR46" s="910"/>
      <c r="BS46" s="911"/>
      <c r="BT46" s="912"/>
      <c r="BU46" s="3722">
        <f>+IF(BB46="","",IF(VLOOKUP(MATCH(BB46,ef_id,0),ef,'11(eff)'!$Z$23,FALSE)="","",VLOOKUP(MATCH(BB46,ef_id,0),ef,'11(eff)'!$Z$23,FALSE)))</f>
        <v>9.855004323067651E-2</v>
      </c>
      <c r="BV46" s="3743">
        <f>+IF(BB46="","",IF(VLOOKUP(MATCH(BB46,ef_id,0),ef,'11(eff)'!$AA$23,FALSE)="","",VLOOKUP(MATCH(BB46,ef_id,0),ef,'11(eff)'!$AA$23,FALSE)))</f>
        <v>25</v>
      </c>
      <c r="BW46" s="3767">
        <f>+'A3(trc)'!I26</f>
        <v>0.61347401911096167</v>
      </c>
      <c r="BX46" s="3789">
        <f>+IF(OR(BB46="",BW46=""),"",BW46/IF(R46="",IF(R45="",R44,R45),R46))</f>
        <v>0.61347401911096167</v>
      </c>
      <c r="BY46" s="3811">
        <f>+IF($BB46="","",IF(BU46="","",BU46/2000*IF(AQ46="",IF(AQ45="",AQ44,AQ45),AQ46)))</f>
        <v>0.61347401911096122</v>
      </c>
      <c r="BZ46" s="3772"/>
      <c r="CA46" s="3722"/>
      <c r="CB46" s="3843">
        <f t="shared" ref="CB46:CB51" si="191">+IF(OR(BX46="",BX46=0),IF(CA46="",IF(GJ46="","",GI46/GJ46/$R$44),CA46),$AT$44-BX46)</f>
        <v>3.968125980889039</v>
      </c>
      <c r="CC46" s="3862">
        <f t="shared" si="177"/>
        <v>0.8661004847409286</v>
      </c>
      <c r="CD46" s="3862">
        <f t="shared" si="178"/>
        <v>0.8661004847409286</v>
      </c>
      <c r="CE46" s="2732">
        <f>+IF(BB46="","",IF(VLOOKUP(MATCH(BB46,ef_id,0),ef,'11(eff)'!$AE$23,FALSE)="","",VLOOKUP(MATCH(BB46,ef_id,0),ef,'11(eff)'!$AE$23,FALSE)))</f>
        <v>0.8661004847409286</v>
      </c>
      <c r="CF46" s="911"/>
      <c r="CG46" s="912"/>
      <c r="CH46" s="2398"/>
      <c r="CI46" s="3843">
        <f t="shared" si="179"/>
        <v>9.9510022269036658E-2</v>
      </c>
      <c r="CJ46" s="4054">
        <f t="shared" si="180"/>
        <v>25.237771739130441</v>
      </c>
      <c r="CK46" s="3843">
        <f t="shared" si="181"/>
        <v>0.22762917594042137</v>
      </c>
      <c r="CL46" s="3919">
        <f t="shared" si="182"/>
        <v>1.4723708240595785</v>
      </c>
      <c r="CM46" s="3941">
        <f t="shared" si="183"/>
        <v>0.8661004847409286</v>
      </c>
      <c r="CN46" s="3941">
        <f t="shared" si="184"/>
        <v>0.86606995656926422</v>
      </c>
      <c r="CO46" s="3942">
        <f>+IF(BB46="","",IF(VLOOKUP(MATCH(BB46,ef_id,0),ef,'11(eff)'!$AE$23,FALSE)="","",VLOOKUP(MATCH(BB46,ef_id,0),ef,'11(eff)'!$AE$23,FALSE)))</f>
        <v>0.8661004847409286</v>
      </c>
      <c r="CP46" s="3943" t="str">
        <f>+IF(OR(BB46="",VLOOKUP(MATCH(BB46,ef_id,0),ef,'11(eff)'!$AG$23,FALSE)=""),"",IF(VLOOKUP(MATCH(BB46,ef_id,0),ef,'11(eff)'!$AG$23,FALSE)/100=VLOOKUP(MATCH(BB46,ef_id,0),ef,'11(eff)'!$AE$23,FALSE),VLOOKUP(MATCH(BB46,ef_id,0),ef,'11(eff)'!$AE$23,FALSE),""))</f>
        <v/>
      </c>
      <c r="CQ46" s="737" t="str">
        <f t="shared" si="51"/>
        <v>Selective Catalytic Reduction (SCR)</v>
      </c>
      <c r="CR46" s="913"/>
      <c r="CS46" s="2753">
        <v>2730000</v>
      </c>
      <c r="CT46" s="1581">
        <v>2550000</v>
      </c>
      <c r="CU46" s="1489">
        <v>2550000</v>
      </c>
      <c r="CV46" s="1810">
        <f t="shared" si="16"/>
        <v>0</v>
      </c>
      <c r="CW46" s="1811"/>
      <c r="CX46" s="1811"/>
      <c r="CY46" s="1812"/>
      <c r="CZ46" s="2466"/>
      <c r="DA46" s="2440"/>
      <c r="DB46" s="2440"/>
      <c r="DC46" s="1810"/>
      <c r="DD46" s="1814"/>
      <c r="DE46" s="1815"/>
      <c r="DF46" s="1816"/>
      <c r="DG46" s="1816"/>
      <c r="DH46" s="1814"/>
      <c r="DI46" s="1685">
        <f t="shared" si="185"/>
        <v>2550000</v>
      </c>
      <c r="DJ46" s="1931"/>
      <c r="DK46" s="1581"/>
      <c r="DL46" s="1489"/>
      <c r="DM46" s="1810" t="str">
        <f t="shared" si="17"/>
        <v/>
      </c>
      <c r="DN46" s="1811"/>
      <c r="DO46" s="1811"/>
      <c r="DP46" s="1812"/>
      <c r="DQ46" s="2466"/>
      <c r="DR46" s="2440"/>
      <c r="DS46" s="2440"/>
      <c r="DT46" s="1810"/>
      <c r="DU46" s="1814"/>
      <c r="DV46" s="1815"/>
      <c r="DW46" s="1816"/>
      <c r="DX46" s="1816"/>
      <c r="DY46" s="1814"/>
      <c r="DZ46" s="1685" t="str">
        <f t="shared" si="18"/>
        <v/>
      </c>
      <c r="EA46" s="1931"/>
      <c r="EB46" s="1489">
        <f t="shared" si="19"/>
        <v>2550000</v>
      </c>
      <c r="EC46" s="1955">
        <v>1</v>
      </c>
      <c r="ED46" s="1409">
        <f t="shared" si="20"/>
        <v>2550000</v>
      </c>
      <c r="EE46" s="1813"/>
      <c r="EF46" s="2440"/>
      <c r="EG46" s="1812"/>
      <c r="EH46" s="1685"/>
      <c r="EI46" s="1815"/>
      <c r="EJ46" s="1816"/>
      <c r="EK46" s="2000"/>
      <c r="EL46" s="1449"/>
      <c r="EM46" s="1815"/>
      <c r="EN46" s="1816"/>
      <c r="EO46" s="2000"/>
      <c r="EP46" s="1685">
        <f t="shared" si="21"/>
        <v>0</v>
      </c>
      <c r="EQ46" s="1685"/>
      <c r="ER46" s="1685"/>
      <c r="ES46" s="1685"/>
      <c r="ET46" s="1449"/>
      <c r="EU46" s="1422"/>
      <c r="EV46" s="1384"/>
      <c r="EW46" s="2573"/>
      <c r="EX46" s="2573"/>
      <c r="EY46" s="2680">
        <f t="shared" si="92"/>
        <v>2550000</v>
      </c>
      <c r="EZ46" s="2709"/>
      <c r="FA46" s="1384">
        <v>180000</v>
      </c>
      <c r="FB46" s="1471">
        <f t="shared" si="93"/>
        <v>2730000</v>
      </c>
      <c r="FC46" s="1489">
        <f>+IF(OR(ED46="",IF(R46="",R44,R46)=""),"",ED46/IF(R46="",R44,R46))</f>
        <v>2550000</v>
      </c>
      <c r="FD46" s="2601">
        <f>+IF(OR(BB46="",IF(R46="",R44,R46)="",(CU46+DL46)=0),"",(CU46+DL46)/IF(R46="",R44,R46))</f>
        <v>2550000</v>
      </c>
      <c r="FE46" s="2605">
        <f t="shared" si="94"/>
        <v>1</v>
      </c>
      <c r="FF46" s="2601">
        <f>+IF(OR(BB46="",CT46="",IF(R46="",R44,R46)=""),"",(SUM(CV46:CZ46)+(IF(DM46="",0,DM46)+SUM(DN46:DQ46)))/IF(R46="",R44,R46))</f>
        <v>0</v>
      </c>
      <c r="FG46" s="2605">
        <f t="shared" si="95"/>
        <v>0</v>
      </c>
      <c r="FH46" s="2601">
        <f>+IF(OR(BB46="",IF(R46="",R44,R46)="",),"",(DA46+DR46)/IF(R46="",R44,R46))</f>
        <v>0</v>
      </c>
      <c r="FI46" s="2605">
        <f t="shared" si="96"/>
        <v>0</v>
      </c>
      <c r="FJ46" s="2606">
        <f>+IF(OR(BB46="",CT46=""),"",IF(FD46="",0,FD46)+IF(FF46="",0,FF46)+IF(FH46="",0,FH46))</f>
        <v>2550000</v>
      </c>
      <c r="FK46" s="2605">
        <f t="shared" ref="FK46:FK51" si="192">+IF(OR(BB46="",ISERROR(FJ46/FC46)),"",FJ46/FC46)</f>
        <v>1</v>
      </c>
      <c r="FL46" s="2634">
        <f>+IF(OR(BB46="",CT46="",IF(R46="",R44,R46)=""),"",(DB46+DC46+DS46+DT46)/IF(R46="",R44,R46))</f>
        <v>0</v>
      </c>
      <c r="FM46" s="2605">
        <f t="shared" si="97"/>
        <v>0</v>
      </c>
      <c r="FN46" s="2601">
        <f>+IF(OR(BB46="",CT46="",IF(R46="",R44,R46)=""),"",(DD46+DU46)/IF(R46="",R44,R46))</f>
        <v>0</v>
      </c>
      <c r="FO46" s="2605">
        <f t="shared" si="98"/>
        <v>0</v>
      </c>
      <c r="FP46" s="2601">
        <f>+IF(OR(BB46="",CT46="",IF(R46="",R44,R46)=""),"",(DG46+DH46+DX46+DY46)/IF(R46="",R44,R46))</f>
        <v>0</v>
      </c>
      <c r="FQ46" s="2605">
        <f t="shared" si="99"/>
        <v>0</v>
      </c>
      <c r="FR46" s="2838">
        <f>+IF(OR(BB46="",IF(R46="",R44,R46)="",(IF(DI46="",0,DI46)+IF(DZ46="",0,DZ46))=0),"",(IF(DI46="",0,DI46)+IF(DZ46="",0,DZ46))/IF(R46="",R44,R46))</f>
        <v>2550000</v>
      </c>
      <c r="FS46" s="1811" t="str">
        <f>+IF(OR(DJ46="",IF(R46="",R44,R46)=""),"",(DJ46+EA46)/IF(R46="",R44,R46))</f>
        <v/>
      </c>
      <c r="FT46" s="2732" t="str">
        <f t="shared" si="100"/>
        <v/>
      </c>
      <c r="FU46" s="2882">
        <f>+IF(OR(BB46="",ISERROR(1-(FR46+IF(FS46="",0,FS46)+FN46+FP46)*IF(R46="",R44,R46)/(CT46+DK46))),"",1-(FR46+IF(FS46="",0,FS46)+FN46+FP46)*IF(R46="",R44,R46)/(CT46+DK46))</f>
        <v>0</v>
      </c>
      <c r="FV46" s="2620">
        <f>+IF(FC46="","",FC46/IF(T46="",IF(T44="",1,T44),T46))</f>
        <v>127500</v>
      </c>
      <c r="FW46" s="2634" t="str">
        <f>+IF(OR(EH46="",IF(R46="",R44,R46)=""),"",EH46/IF(R46="",R44,R46))</f>
        <v/>
      </c>
      <c r="FX46" s="2668" t="str">
        <f t="shared" si="101"/>
        <v/>
      </c>
      <c r="FY46" s="2601">
        <f>+IF(OR(EP46="",IF(R46="",R44,R46)=""),"",EP46/IF(R46="",R44,R46))</f>
        <v>0</v>
      </c>
      <c r="FZ46" s="2668">
        <f t="shared" si="102"/>
        <v>0</v>
      </c>
      <c r="GA46" s="2668" t="str">
        <f>+IF(IF(V46="",V44,V46)="Utility Boiler",IF(ISERR(FY46/(FC46+FW46)),"",FY46/(FC46+FW46)),"")</f>
        <v/>
      </c>
      <c r="GB46" s="2601" t="str">
        <f>+IF(OR(ET46="",IF(R46="",R44,R46)=""),"",ET46/IF(R46="",R44,R46))</f>
        <v/>
      </c>
      <c r="GC46" s="2668" t="str">
        <f t="shared" si="103"/>
        <v/>
      </c>
      <c r="GD46" s="2668" t="str">
        <f>+IF(IF(V46="",V44,V46)="Utility Boiler",IF(ISERR(GB46/($FC46)),"",GB46/(FC46+FW46+FY46)),"")</f>
        <v/>
      </c>
      <c r="GE46" s="1611">
        <f>+IF(OR(FB46="",IF(R46="",R44,R46)=""),"",FB46/IF(R46="",R44,R46))</f>
        <v>2730000</v>
      </c>
      <c r="GF46" s="2137">
        <f t="shared" si="186"/>
        <v>2730000</v>
      </c>
      <c r="GG46" s="2160">
        <f>+IF(OR(CS46="",IF(R46="",R44,R46)=""),"",1-(CS46/IF(R46="",R44,R46))/GF46)</f>
        <v>0</v>
      </c>
      <c r="GH46" s="1750">
        <f>+IF(IF(T46="",T44,T46)="","",IF(GF46="","",GF46/IF(T46="",T44,T46)))</f>
        <v>136500</v>
      </c>
      <c r="GI46" s="1611">
        <v>366893</v>
      </c>
      <c r="GJ46" s="2606">
        <v>92753</v>
      </c>
      <c r="GK46" s="3441">
        <f>+IF(OR(BB46="",GJ46=""),"",IF(CB46="",1,CB46*IF(R46="",IF(R45="",R44,R45),R46)))</f>
        <v>3.968125980889039</v>
      </c>
      <c r="GL46" s="3216">
        <f t="shared" si="104"/>
        <v>3.1587323757990464E-3</v>
      </c>
      <c r="GM46" s="1136"/>
      <c r="GN46" s="1138"/>
      <c r="GO46" s="2285"/>
      <c r="GP46" s="2286"/>
      <c r="GQ46" s="2214"/>
      <c r="GR46" s="2214"/>
      <c r="GS46" s="2214">
        <f t="shared" si="105"/>
        <v>109200</v>
      </c>
      <c r="GT46" s="2214">
        <v>257693</v>
      </c>
      <c r="GU46" s="2737">
        <f t="shared" si="187"/>
        <v>366893</v>
      </c>
      <c r="GV46" s="1137" t="str">
        <f>+IF(OR(GO46="",IF(R46="",R44,R46)=""),"",GO46/IF(R46="",R44,R46))</f>
        <v/>
      </c>
      <c r="GW46" s="2244" t="str">
        <f>+IF(OR(GP46="",IF(R46="",R44,R46)=""),"",GP46/IF(R46="",R44,R46))</f>
        <v/>
      </c>
      <c r="GX46" s="2214" t="str">
        <f>+IF(OR(GQ46="",IF(R46="",R44,R46)=""),"",GQ46/IF(R46="",R44,R46))</f>
        <v/>
      </c>
      <c r="GY46" s="2214" t="str">
        <f>+IF(OR(GR46="",IF(R46="",R44,R46)=""),"",GR46/IF(R46="",R44,R46))</f>
        <v/>
      </c>
      <c r="GZ46" s="2214">
        <f>+IF(OR(GS46="",IF(R46="",R44,R46)=""),"",GS46/IF(R46="",R44,R46))</f>
        <v>109200</v>
      </c>
      <c r="HA46" s="2214">
        <f>+IF(OR(GT46="",IF(R46="",R44,R46)=""),"",GT46/IF(R46="",R44,R46))</f>
        <v>257693</v>
      </c>
      <c r="HB46" s="1334">
        <f t="shared" si="22"/>
        <v>366893</v>
      </c>
      <c r="HC46" s="1137">
        <f>+IF(OR(GU46="",IF(R46="",R44,R46)=""),"",GU46/IF(R46="",R44,R46))</f>
        <v>366893</v>
      </c>
      <c r="HD46" s="3467">
        <f t="shared" si="106"/>
        <v>0</v>
      </c>
      <c r="HE46" s="1136"/>
      <c r="HF46" s="2554">
        <f t="shared" si="107"/>
        <v>92753</v>
      </c>
      <c r="HG46" s="1138">
        <f t="shared" si="23"/>
        <v>249185.18759317245</v>
      </c>
      <c r="HH46" s="2982">
        <f t="shared" si="108"/>
        <v>4</v>
      </c>
      <c r="HI46" s="3062">
        <f t="shared" si="109"/>
        <v>2550000</v>
      </c>
      <c r="HJ46" s="3075">
        <f t="shared" si="110"/>
        <v>0</v>
      </c>
      <c r="HK46" s="3075">
        <f t="shared" si="111"/>
        <v>0</v>
      </c>
      <c r="HL46" s="3075" t="str">
        <f t="shared" si="112"/>
        <v/>
      </c>
      <c r="HM46" s="3088">
        <f t="shared" si="113"/>
        <v>2550000</v>
      </c>
      <c r="HN46" s="3097">
        <f>+IF(FR46="","",HM46/IF(T46="",IF(T44="",1,T44),T46))</f>
        <v>127500</v>
      </c>
      <c r="HO46" s="3111" t="str">
        <f t="shared" si="114"/>
        <v/>
      </c>
      <c r="HP46" s="3075">
        <f t="shared" si="115"/>
        <v>0</v>
      </c>
      <c r="HQ46" s="3112" t="str">
        <f t="shared" si="116"/>
        <v/>
      </c>
      <c r="HR46" s="3113" t="str">
        <f t="shared" si="117"/>
        <v/>
      </c>
      <c r="HS46" s="3113">
        <f t="shared" si="118"/>
        <v>0</v>
      </c>
      <c r="HT46" s="1206" t="str">
        <f t="shared" si="119"/>
        <v/>
      </c>
      <c r="HU46" s="1207" t="str">
        <f t="shared" si="120"/>
        <v/>
      </c>
      <c r="HV46" s="1206" t="str">
        <f t="shared" si="121"/>
        <v/>
      </c>
      <c r="HW46" s="1207" t="str">
        <f t="shared" si="122"/>
        <v/>
      </c>
      <c r="HX46" s="3004">
        <f t="shared" si="24"/>
        <v>2550000</v>
      </c>
      <c r="HY46" s="3075" t="str">
        <f>+IF(EZ46="","",EZ46/IF(R46="",IF(R44="",1,R44),R46))</f>
        <v/>
      </c>
      <c r="HZ46" s="3113">
        <f>+IF(FA46="","",FA46/IF(R46="",IF(R44="",1,R44),R46))</f>
        <v>180000</v>
      </c>
      <c r="IA46" s="3062">
        <f t="shared" si="123"/>
        <v>2730000</v>
      </c>
      <c r="IB46" s="3104" t="str">
        <f t="shared" si="25"/>
        <v>same TCC</v>
      </c>
      <c r="IC46" s="3097">
        <f>+IF(IA46="","",IA46/IF(T46="",IF(T44="",1,T44),T46))</f>
        <v>136500</v>
      </c>
      <c r="ID46" s="1206"/>
      <c r="IE46" s="4098"/>
      <c r="IF46" s="3004" t="str">
        <f t="shared" si="124"/>
        <v/>
      </c>
      <c r="IG46" s="6767"/>
      <c r="IH46" s="4166" t="str">
        <f t="shared" si="125"/>
        <v/>
      </c>
      <c r="II46" s="4167"/>
      <c r="IJ46" s="4167" t="str">
        <f t="shared" si="126"/>
        <v/>
      </c>
      <c r="IK46" s="4128">
        <v>1</v>
      </c>
      <c r="IL46" s="2440" t="str">
        <f t="shared" si="127"/>
        <v/>
      </c>
      <c r="IM46" s="1812">
        <f t="shared" si="128"/>
        <v>109200</v>
      </c>
      <c r="IN46" s="4226">
        <f t="shared" si="129"/>
        <v>109200</v>
      </c>
      <c r="IO46" s="4226">
        <f t="shared" si="130"/>
        <v>109200</v>
      </c>
      <c r="IP46" s="4226" t="str">
        <f t="shared" si="131"/>
        <v/>
      </c>
      <c r="IQ46" s="6840" t="str">
        <f t="shared" si="132"/>
        <v/>
      </c>
      <c r="IR46" s="4226">
        <f t="shared" si="133"/>
        <v>109200</v>
      </c>
      <c r="IS46" s="6840">
        <f t="shared" si="134"/>
        <v>0.29763471387188944</v>
      </c>
      <c r="IT46" s="4226">
        <f t="shared" si="135"/>
        <v>109200</v>
      </c>
      <c r="IU46" s="6840">
        <f t="shared" si="136"/>
        <v>0.29763471387188944</v>
      </c>
      <c r="IV46" s="4128">
        <f t="shared" si="137"/>
        <v>1</v>
      </c>
      <c r="IW46" s="1812">
        <f t="shared" si="138"/>
        <v>257692.68727908804</v>
      </c>
      <c r="IX46" s="3097">
        <f t="shared" si="139"/>
        <v>366892.68727908807</v>
      </c>
      <c r="IY46" s="4245">
        <f t="shared" si="140"/>
        <v>366893</v>
      </c>
      <c r="IZ46" s="4276">
        <f t="shared" si="141"/>
        <v>8.5234908250250043E-7</v>
      </c>
      <c r="JA46" s="4277" t="str">
        <f t="shared" si="142"/>
        <v>stk added + 0%</v>
      </c>
      <c r="JB46" s="1207"/>
      <c r="JC46" s="4323"/>
      <c r="JD46" s="2554">
        <f t="shared" si="143"/>
        <v>92459.939287735921</v>
      </c>
      <c r="JE46" s="4358">
        <f t="shared" si="144"/>
        <v>249184.97520040645</v>
      </c>
      <c r="JF46" s="7029">
        <f>+IF(D46="","",IF(T46="",IF(T45="",T44/IF(Y44="TP",2,1),T45/IF(Y45="TP",2,1)),T46/IF(Y46="TP",2,1)))</f>
        <v>20</v>
      </c>
      <c r="JG46" s="2440" t="s">
        <v>1093</v>
      </c>
      <c r="JH46" s="6960">
        <f t="shared" si="145"/>
        <v>2550000</v>
      </c>
      <c r="JI46" s="6960">
        <f>+JH46</f>
        <v>2550000</v>
      </c>
      <c r="JJ46" s="6960"/>
      <c r="JK46" s="6960"/>
      <c r="JL46" s="6997"/>
      <c r="JM46" s="1811">
        <f t="shared" si="146"/>
        <v>1453000</v>
      </c>
      <c r="JN46" s="2440">
        <f t="shared" si="147"/>
        <v>2513690</v>
      </c>
      <c r="JO46" s="2440">
        <f>+JN46</f>
        <v>2513690</v>
      </c>
      <c r="JP46" s="3382"/>
      <c r="JQ46" s="3382"/>
      <c r="JR46" s="2440"/>
      <c r="JS46" s="1812">
        <f t="shared" si="148"/>
        <v>2513690</v>
      </c>
      <c r="JT46" s="7133">
        <f t="shared" si="54"/>
        <v>2</v>
      </c>
      <c r="JU46" s="7134">
        <f t="shared" si="188"/>
        <v>20</v>
      </c>
      <c r="JV46" s="8367">
        <f t="shared" si="189"/>
        <v>4575</v>
      </c>
      <c r="JW46" s="8394">
        <f t="shared" si="149"/>
        <v>1.4723708240595785</v>
      </c>
      <c r="JX46" s="8423">
        <f t="shared" si="150"/>
        <v>1200</v>
      </c>
      <c r="JY46" s="8458">
        <f t="shared" si="151"/>
        <v>7.0000000000000007E-2</v>
      </c>
      <c r="JZ46" s="7135">
        <f t="shared" si="152"/>
        <v>1489.1566265060242</v>
      </c>
      <c r="KA46" s="7133" t="str">
        <f t="shared" si="153"/>
        <v/>
      </c>
      <c r="KB46" s="7134" t="str">
        <f t="shared" si="154"/>
        <v/>
      </c>
      <c r="KC46" s="7135" t="str">
        <f t="shared" si="155"/>
        <v/>
      </c>
      <c r="KD46" s="7133">
        <f t="shared" si="156"/>
        <v>848.88</v>
      </c>
      <c r="KE46" s="8331">
        <f t="shared" si="157"/>
        <v>916.99254922430555</v>
      </c>
      <c r="KF46" s="8331">
        <f t="shared" si="158"/>
        <v>614.92441536218121</v>
      </c>
      <c r="KG46" s="7134">
        <f t="shared" si="159"/>
        <v>2705.0530120481931</v>
      </c>
      <c r="KH46" s="7134">
        <f t="shared" si="160"/>
        <v>776.32</v>
      </c>
      <c r="KI46" s="7134">
        <f t="shared" si="161"/>
        <v>77.632000000000005</v>
      </c>
      <c r="KJ46" s="7134">
        <f t="shared" si="162"/>
        <v>5939.8019766346788</v>
      </c>
      <c r="KK46" s="7134">
        <f t="shared" ref="KK46:KK51" si="193">+IF(OR(D46="",JU46="",JV46=""),"",$KK$7*$KG$4*JU46)</f>
        <v>2098.1440000000002</v>
      </c>
      <c r="KL46" s="7134">
        <f t="shared" si="163"/>
        <v>188.52674999999999</v>
      </c>
      <c r="KM46" s="7134">
        <f t="shared" si="164"/>
        <v>2286.6707500000002</v>
      </c>
      <c r="KN46" s="7134" t="str">
        <f t="shared" si="165"/>
        <v/>
      </c>
      <c r="KO46" s="7134">
        <f t="shared" si="166"/>
        <v>2286.6707500000002</v>
      </c>
      <c r="KP46" s="7135">
        <f t="shared" si="167"/>
        <v>8226.4727266346781</v>
      </c>
      <c r="KQ46" s="1813">
        <f>+IF(D46="","",VLOOKUP(MATCH(BE46,ac_id,0),ad,ac!$F$8,FALSE)*JV46)</f>
        <v>1372.5</v>
      </c>
      <c r="KR46" s="3382">
        <f>+IF(D46="","",IF(JT46=1,VLOOKUP(MATCH(BE46,ac_id,0),ad,ac!$H$8,FALSE)*JU46, (VLOOKUP(MATCH(BE46,ac_id,0),ad,ac!$H$8,FALSE)*JU46^(1+VLOOKUP(MATCH(BE46,ac_id,0),ad,ac!$I$8,FALSE)))))</f>
        <v>16603.564643237693</v>
      </c>
      <c r="KS46" s="1812">
        <f t="shared" si="168"/>
        <v>17976.064643237693</v>
      </c>
      <c r="KT46" s="1813">
        <f t="shared" si="169"/>
        <v>1372.0024500000002</v>
      </c>
      <c r="KU46" s="2440">
        <f t="shared" si="170"/>
        <v>100547.6</v>
      </c>
      <c r="KV46" s="7376">
        <f t="shared" si="171"/>
        <v>1</v>
      </c>
      <c r="KW46" s="7281">
        <f t="shared" si="172"/>
        <v>215701.03903241493</v>
      </c>
      <c r="KX46" s="1812">
        <f t="shared" si="173"/>
        <v>317620.64148241491</v>
      </c>
      <c r="KY46" s="1750">
        <f t="shared" si="174"/>
        <v>325847.11420904961</v>
      </c>
      <c r="KZ46" s="7377"/>
      <c r="LA46" s="7281">
        <f t="shared" si="175"/>
        <v>82116.121256826926</v>
      </c>
      <c r="LB46" s="7292">
        <f t="shared" si="176"/>
        <v>221307.77714722254</v>
      </c>
      <c r="LC46" s="5133"/>
      <c r="LD46" s="5132"/>
      <c r="LE46" s="5132"/>
      <c r="LF46" s="5132"/>
      <c r="LG46" s="5132"/>
      <c r="LH46" s="5132"/>
      <c r="LI46" s="5132"/>
      <c r="LJ46" s="5132"/>
    </row>
    <row r="47" spans="1:322" s="645" customFormat="1" ht="27.95" customHeight="1">
      <c r="A47" s="10539"/>
      <c r="B47" s="9819" t="str">
        <f>+IF(A47="","",VLOOKUP(MATCH(A47,tid,0),tao,'12(id)'!$J$20,FALSE))</f>
        <v/>
      </c>
      <c r="C47" s="10561"/>
      <c r="D47" s="1107" t="str">
        <f t="shared" si="48"/>
        <v>8303-01-04</v>
      </c>
      <c r="E47" s="721" t="str">
        <f t="shared" si="91"/>
        <v>HPWI with Cookie Cutter Air Deflectors</v>
      </c>
      <c r="F47" s="721" t="str">
        <f t="shared" si="49"/>
        <v>HPWI</v>
      </c>
      <c r="G47" s="5133"/>
      <c r="H47" s="5132"/>
      <c r="I47" s="5133"/>
      <c r="J47" s="719">
        <f t="shared" si="68"/>
        <v>13</v>
      </c>
      <c r="K47" s="9663"/>
      <c r="L47" s="9648"/>
      <c r="M47" s="9650"/>
      <c r="N47" s="9648"/>
      <c r="O47" s="9648"/>
      <c r="P47" s="9648"/>
      <c r="Q47" s="9680" t="str">
        <f>+IF(ISERROR(MATCH(O47,tid,0)),"",VLOOKUP(MATCH(O47,tid,0),tao,'12(id)'!$Q$20,FALSE))</f>
        <v/>
      </c>
      <c r="R47" s="9648"/>
      <c r="S47" s="9648"/>
      <c r="T47" s="10716" t="str">
        <f>+IF(ISERROR(MATCH(O47,tid,0)),"",IF(VLOOKUP(MATCH(O47,tid,0),tao,'12(id)'!$CT$20,FALSE)="","",VLOOKUP(MATCH(O47,tid,0),tao,'12(id)'!$CT$20,FALSE)))</f>
        <v/>
      </c>
      <c r="U47" s="10716" t="str">
        <f>+IF(ISERROR(MATCH(O47,tid,0)),"",IF(VLOOKUP(MATCH(O47,tid,0),tao,'12(id)'!$CU$20,FALSE)="","",VLOOKUP(MATCH(O47,tid,0),tao,'12(id)'!$CU$20,FALSE)))</f>
        <v/>
      </c>
      <c r="V47" s="9504" t="str">
        <f>+IF(O47="","",IF(VLOOKUP(MATCH(O47,tid,0),tao,'12(id)'!$T$20,FALSE)="","",VLOOKUP(MATCH(O47,tid,0),tao,'12(id)'!$T$20,FALSE)))</f>
        <v/>
      </c>
      <c r="W47" s="9504" t="str">
        <f>+IF(ISERROR(MATCH(O47,tid,0)),"",IF(VLOOKUP(MATCH(O47,tid,0),tao,'12(id)'!$CO$20,FALSE)="","",VLOOKUP(MATCH(O47,tid,0),tao,'12(id)'!$CO$20,FALSE)))</f>
        <v/>
      </c>
      <c r="X47" s="9504" t="str">
        <f>+IF(ISERROR(MATCH(O47,tid,0)),"",IF(VLOOKUP(MATCH(O47,tid,0),tao,'12(id)'!$CP$20,FALSE)="","",VLOOKUP(MATCH(O47,tid,0),tao,'12(id)'!$CP$20,FALSE)))</f>
        <v/>
      </c>
      <c r="Y47" s="9504"/>
      <c r="Z47" s="9518" t="str">
        <f>+IF(ISERROR(MATCH(O47,tid,0)),"",VLOOKUP(MATCH(O47,tid,0),tao,'12(id)'!$DB$20,FALSE)&amp;" "&amp;VLOOKUP(MATCH(O47,tid,0),tao,'12(id)'!$DC$20,FALSE))</f>
        <v/>
      </c>
      <c r="AA47" s="9518" t="str">
        <f>+IF(ISERROR(MATCH(O47,tid,0)),"",IF(VLOOKUP(MATCH(O47,tid,0),tao,'12(id)'!$DE$20,FALSE)="","",ROUND(VLOOKUP(MATCH(O47,tid,0),tao,'12(id)'!$DE$20,FALSE),0)&amp;" yrs"))</f>
        <v/>
      </c>
      <c r="AB47" s="9648" t="str">
        <f>+IF(ISERROR(MATCH(O47,tid,0)),"",VLOOKUP(MATCH(O47,tid,0),tao,'12(id)'!$DI$20,FALSE))</f>
        <v/>
      </c>
      <c r="AC47" s="9648" t="str">
        <f>+IF(ISERROR(MATCH(O47,tid,0)),"",IF(VLOOKUP(MATCH(O47,tid,0),tao,'12(id)'!$DQ$20,FALSE)="","",VLOOKUP(MATCH(O47,tid,0),tao,'12(id)'!$DQ$20,FALSE)))</f>
        <v/>
      </c>
      <c r="AD47" s="10671" t="str">
        <f>+IF(ISERROR(MATCH(O47,tid,0)),"",IF(VLOOKUP(MATCH(O47,tid,0),tao,'12(id)'!$EI$20,FALSE)="","",VLOOKUP(MATCH(O47,tid,0),tao,'12(id)'!$EI$20,FALSE)))</f>
        <v/>
      </c>
      <c r="AE47" s="10766"/>
      <c r="AF47" s="10671" t="str">
        <f>+IF(ISERROR(MATCH(O47,tid,0)),"",IF(VLOOKUP(MATCH(O47,tid,0),tao,'12(id)'!$EL$20,FALSE)="","",VLOOKUP(MATCH(O47,tid,0),tao,'12(id)'!$EL$20,FALSE)))</f>
        <v/>
      </c>
      <c r="AG47" s="10691" t="str">
        <f>+IF(ISERROR(MATCH(O47,tid,0)),"",IF(VLOOKUP(MATCH(O47,tid,0),tao,'12(id)'!$EM$20,FALSE)="","",VLOOKUP(MATCH(O47,tid,0),tao,'12(id)'!$EM$20,FALSE)))</f>
        <v/>
      </c>
      <c r="AH47" s="10757"/>
      <c r="AI47" s="10682"/>
      <c r="AJ47" s="10682"/>
      <c r="AK47" s="10682"/>
      <c r="AL47" s="10682"/>
      <c r="AM47" s="10676"/>
      <c r="AN47" s="10679"/>
      <c r="AO47" s="10342" t="str">
        <f>+IF(ISERROR(MATCH(O47,tid,0)),"",IF(VLOOKUP(MATCH(O47,tid,0),tao,'12(id)'!$GY$20,FALSE)="","",VLOOKUP(MATCH(O47,tid,0),tao,'12(id)'!$GY$20,FALSE)))</f>
        <v/>
      </c>
      <c r="AP47" s="10292" t="e">
        <f>+IF($BB47="","",IF(VLOOKUP(MATCH(O47,tid,0),tao,'12(id)'!$HE$20,FALSE)="","",VLOOKUP(MATCH(O47,tid,0),tao,'12(id)'!$HE$20,FALSE)))</f>
        <v>#N/A</v>
      </c>
      <c r="AQ47" s="10342" t="str">
        <f>+IF(ISERROR(VLOOKUP(MATCH(O47,tid,0),tao,'12(id)'!$HF$20,FALSE)),"",VLOOKUP(MATCH(O47,tid,0),tao,'12(id)'!$HF$20,FALSE))</f>
        <v/>
      </c>
      <c r="AR47" s="10336" t="str">
        <f>+IF(ISERROR(MATCH(O47,tid,0)),"",IF(VLOOKUP(MATCH(O47,tid,0),tao,'12(id)'!$HJ$20,FALSE)="","",VLOOKUP(MATCH(O47,tid,0),tao,'12(id)'!$HJ$20,FALSE)))</f>
        <v/>
      </c>
      <c r="AS47" s="10339" t="str">
        <f>+IF(ISERROR(MATCH(O47,tid,0)),"",IF(VLOOKUP(MATCH(O47,tid,0),tao,'12(id)'!$HK$20,FALSE)="","",VLOOKUP(MATCH(O47,tid,0),tao,'12(id)'!$HK$20,FALSE)))</f>
        <v/>
      </c>
      <c r="AT47" s="10694" t="str">
        <f>+IF(ISERROR(MATCH(O47,tid,0)),"",IF(VLOOKUP(MATCH(O47,tid,0),tao,'12(id)'!$HM$20,FALSE)="","",VLOOKUP(MATCH(O47,tid,0),tao,'12(id)'!$HM$20,FALSE)))</f>
        <v/>
      </c>
      <c r="AU47" s="10359"/>
      <c r="AV47" s="10325" t="str">
        <f>+IF(ISERROR(MATCH(O47,em_id,0)),"",IF(VLOOKUP(MATCH(O47,em_id,0),em,'5(em)'!$CX$18,FALSE)="","",VLOOKUP(MATCH(O47,em_id,0),em,'5(em)'!$CX$18,FALSE)))</f>
        <v/>
      </c>
      <c r="AW47" s="10392" t="str">
        <f>+IF(ISERROR(MATCH(O47,em_id,0)),"",IF(VLOOKUP(MATCH(O47,em_id,0),em,'5(em)'!$CZ$18,FALSE)="","",VLOOKUP(MATCH(O47,em_id,0),em,'5(em)'!$CZ$18,FALSE)))</f>
        <v/>
      </c>
      <c r="AX47" s="10330" t="str">
        <f t="shared" si="50"/>
        <v/>
      </c>
      <c r="AY47" s="10325"/>
      <c r="AZ47" s="10400" t="str">
        <f>+IF(ISERROR(MATCH(O47,em_id,0)),"",IF(VLOOKUP(MATCH(O47,em_id,0),em,'5(em)'!$DA$18,FALSE)="","",VLOOKUP(MATCH(O47,em_id,0),em,'5(em)'!$DA$18,FALSE)))</f>
        <v/>
      </c>
      <c r="BA47" s="720"/>
      <c r="BB47" s="721" t="str">
        <f t="shared" si="11"/>
        <v>8303-01-04</v>
      </c>
      <c r="BC47" s="722">
        <f t="shared" si="190"/>
        <v>4</v>
      </c>
      <c r="BD47" s="721" t="str">
        <f>+IF(OR(D47="",VLOOKUP(MATCH(D47,op_id,0),op,'7(op)'!$T$18,FALSE)=""),"",VLOOKUP(MATCH(D47,op_id,0),op,'7(op)'!$T$18,FALSE))</f>
        <v>HPWI with Cookie Cutter Air Deflectors</v>
      </c>
      <c r="BE47" s="721" t="s">
        <v>93</v>
      </c>
      <c r="BF47" s="721" t="s">
        <v>1862</v>
      </c>
      <c r="BG47" s="723" t="s">
        <v>1614</v>
      </c>
      <c r="BH47" s="904"/>
      <c r="BI47" s="905"/>
      <c r="BJ47" s="669"/>
      <c r="BK47" s="3480">
        <v>50</v>
      </c>
      <c r="BL47" s="669"/>
      <c r="BM47" s="669"/>
      <c r="BN47" s="669" t="str">
        <f t="shared" si="12"/>
        <v/>
      </c>
      <c r="BO47" s="670" t="str">
        <f t="shared" si="13"/>
        <v/>
      </c>
      <c r="BP47" s="669" t="str">
        <f t="shared" si="14"/>
        <v/>
      </c>
      <c r="BQ47" s="669" t="str">
        <f t="shared" si="15"/>
        <v/>
      </c>
      <c r="BR47" s="671"/>
      <c r="BS47" s="672"/>
      <c r="BT47" s="673"/>
      <c r="BU47" s="3721">
        <f>+IF(BB47="","",IF(VLOOKUP(MATCH(BB47,ef_id,0),ef,'11(eff)'!$Z$23,FALSE)="","",VLOOKUP(MATCH(BB47,ef_id,0),ef,'11(eff)'!$Z$23,FALSE)))</f>
        <v>0.19710008646135302</v>
      </c>
      <c r="BV47" s="3742">
        <f>+IF(BB47="","",IF(VLOOKUP(MATCH(BB47,ef_id,0),ef,'11(eff)'!$AA$23,FALSE)="","",VLOOKUP(MATCH(BB47,ef_id,0),ef,'11(eff)'!$AA$23,FALSE)))</f>
        <v>50</v>
      </c>
      <c r="BW47" s="3766">
        <f>+'A3(trc)'!I27</f>
        <v>1.2269480382219227</v>
      </c>
      <c r="BX47" s="3788">
        <f>+IF(OR(BB47="",BW47=""),"",BW47/IF(R44="",IF(R43="",R42,R43),R44))</f>
        <v>1.2269480382219227</v>
      </c>
      <c r="BY47" s="3810">
        <f>+IF($BB47="","",IF(BU47="","",BU47/2000*IF(AQ44="",IF(AQ43="",AQ42,AQ43),AQ44)))</f>
        <v>1.2269480382219224</v>
      </c>
      <c r="BZ47" s="3771"/>
      <c r="CA47" s="3721"/>
      <c r="CB47" s="3842">
        <f t="shared" si="191"/>
        <v>3.3546519617780781</v>
      </c>
      <c r="CC47" s="3861">
        <f t="shared" si="177"/>
        <v>0.73220096948185731</v>
      </c>
      <c r="CD47" s="3861">
        <f t="shared" si="178"/>
        <v>0.73220096948185731</v>
      </c>
      <c r="CE47" s="2731">
        <f>+IF(BB47="","",IF(VLOOKUP(MATCH(BB47,ef_id,0),ef,'11(eff)'!$AE$23,FALSE)="","",VLOOKUP(MATCH(BB47,ef_id,0),ef,'11(eff)'!$AE$23,FALSE)))</f>
        <v>0.73220096948185731</v>
      </c>
      <c r="CF47" s="672"/>
      <c r="CG47" s="673"/>
      <c r="CH47" s="2397"/>
      <c r="CI47" s="3842">
        <f t="shared" si="179"/>
        <v>0.19902004453807323</v>
      </c>
      <c r="CJ47" s="4053">
        <f t="shared" si="180"/>
        <v>50.47554347826086</v>
      </c>
      <c r="CK47" s="3842">
        <f t="shared" si="181"/>
        <v>0.45525835188084252</v>
      </c>
      <c r="CL47" s="3918">
        <f t="shared" si="182"/>
        <v>1.2447416481191573</v>
      </c>
      <c r="CM47" s="3938">
        <f t="shared" si="183"/>
        <v>0.73220096948185731</v>
      </c>
      <c r="CN47" s="3938">
        <f t="shared" si="184"/>
        <v>0.73213991313852866</v>
      </c>
      <c r="CO47" s="3939">
        <f>+IF(BB47="","",IF(VLOOKUP(MATCH(BB47,ef_id,0),ef,'11(eff)'!$AE$23,FALSE)="","",VLOOKUP(MATCH(BB47,ef_id,0),ef,'11(eff)'!$AE$23,FALSE)))</f>
        <v>0.73220096948185731</v>
      </c>
      <c r="CP47" s="3940" t="str">
        <f>+IF(OR(BB47="",VLOOKUP(MATCH(BB47,ef_id,0),ef,'11(eff)'!$AG$23,FALSE)=""),"",IF(VLOOKUP(MATCH(BB47,ef_id,0),ef,'11(eff)'!$AG$23,FALSE)/100=VLOOKUP(MATCH(BB47,ef_id,0),ef,'11(eff)'!$AE$23,FALSE),VLOOKUP(MATCH(BB47,ef_id,0),ef,'11(eff)'!$AE$23,FALSE),""))</f>
        <v/>
      </c>
      <c r="CQ47" s="720" t="str">
        <f t="shared" si="51"/>
        <v>HPWI with Cookie Cutter Air Deflectors</v>
      </c>
      <c r="CR47" s="674"/>
      <c r="CS47" s="2752">
        <v>1005000</v>
      </c>
      <c r="CT47" s="1580">
        <v>700000</v>
      </c>
      <c r="CU47" s="1488">
        <v>600000</v>
      </c>
      <c r="CV47" s="1803">
        <f t="shared" si="16"/>
        <v>0</v>
      </c>
      <c r="CW47" s="1804"/>
      <c r="CX47" s="1804"/>
      <c r="CY47" s="1805"/>
      <c r="CZ47" s="2465">
        <v>100000</v>
      </c>
      <c r="DA47" s="2069"/>
      <c r="DB47" s="2069"/>
      <c r="DC47" s="1803"/>
      <c r="DD47" s="1807"/>
      <c r="DE47" s="1808"/>
      <c r="DF47" s="1809"/>
      <c r="DG47" s="1809"/>
      <c r="DH47" s="1807"/>
      <c r="DI47" s="1684">
        <f t="shared" si="185"/>
        <v>700000</v>
      </c>
      <c r="DJ47" s="1930"/>
      <c r="DK47" s="1580">
        <v>125000</v>
      </c>
      <c r="DL47" s="1488">
        <v>100000</v>
      </c>
      <c r="DM47" s="1803">
        <f t="shared" si="17"/>
        <v>0</v>
      </c>
      <c r="DN47" s="1804"/>
      <c r="DO47" s="1804"/>
      <c r="DP47" s="1805"/>
      <c r="DQ47" s="2465">
        <v>25000</v>
      </c>
      <c r="DR47" s="2069"/>
      <c r="DS47" s="2069"/>
      <c r="DT47" s="1803"/>
      <c r="DU47" s="1807"/>
      <c r="DV47" s="1808"/>
      <c r="DW47" s="1809"/>
      <c r="DX47" s="1809"/>
      <c r="DY47" s="1807"/>
      <c r="DZ47" s="1684">
        <f t="shared" si="18"/>
        <v>125000</v>
      </c>
      <c r="EA47" s="1930"/>
      <c r="EB47" s="1488">
        <f t="shared" si="19"/>
        <v>825000</v>
      </c>
      <c r="EC47" s="1954">
        <v>1</v>
      </c>
      <c r="ED47" s="1408">
        <f t="shared" si="20"/>
        <v>825000</v>
      </c>
      <c r="EE47" s="1806"/>
      <c r="EF47" s="2069"/>
      <c r="EG47" s="1805"/>
      <c r="EH47" s="1684"/>
      <c r="EI47" s="1808"/>
      <c r="EJ47" s="1809"/>
      <c r="EK47" s="1999"/>
      <c r="EL47" s="1448"/>
      <c r="EM47" s="1808"/>
      <c r="EN47" s="1809"/>
      <c r="EO47" s="1999"/>
      <c r="EP47" s="1684">
        <f t="shared" si="21"/>
        <v>0</v>
      </c>
      <c r="EQ47" s="1684"/>
      <c r="ER47" s="1684"/>
      <c r="ES47" s="1684"/>
      <c r="ET47" s="1448"/>
      <c r="EU47" s="1421"/>
      <c r="EV47" s="1383"/>
      <c r="EW47" s="2572"/>
      <c r="EX47" s="2572"/>
      <c r="EY47" s="2679">
        <f t="shared" si="92"/>
        <v>825000</v>
      </c>
      <c r="EZ47" s="2708"/>
      <c r="FA47" s="1383">
        <f>+FA46</f>
        <v>180000</v>
      </c>
      <c r="FB47" s="1470">
        <f t="shared" si="93"/>
        <v>1005000</v>
      </c>
      <c r="FC47" s="1488">
        <f>+IF(OR(ED47="",IF(R47="",R44,R47)=""),"",ED47/IF(R47="",R44,R47))</f>
        <v>825000</v>
      </c>
      <c r="FD47" s="2049">
        <f>+IF(OR(BB47="",IF(R47="",R44,R47)="",(CU47+DL47)=0),"",(CU47+DL47)/IF(R47="",R44,R47))</f>
        <v>700000</v>
      </c>
      <c r="FE47" s="2033">
        <f t="shared" si="94"/>
        <v>0.84848484848484851</v>
      </c>
      <c r="FF47" s="2049">
        <f>+IF(OR(BB47="",CT47="",IF(R47="",R44,R47)=""),"",(SUM(CV47:CZ47)+(IF(DM47="",0,DM47)+SUM(DN47:DQ47)))/IF(R47="",R44,R47))</f>
        <v>125000</v>
      </c>
      <c r="FG47" s="2033">
        <f t="shared" si="95"/>
        <v>0.15151515151515152</v>
      </c>
      <c r="FH47" s="2049">
        <f>+IF(OR(BB47="",IF(R47="",R44,R47)="",),"",(DA47+DR47)/IF(R47="",R44,R47))</f>
        <v>0</v>
      </c>
      <c r="FI47" s="2033">
        <f t="shared" si="96"/>
        <v>0</v>
      </c>
      <c r="FJ47" s="1507">
        <f t="shared" si="90"/>
        <v>825000</v>
      </c>
      <c r="FK47" s="2033">
        <f t="shared" si="192"/>
        <v>1</v>
      </c>
      <c r="FL47" s="2629">
        <f>+IF(OR(BB47="",CT47="",IF(R47="",R44,R47)=""),"",(DB47+DC47+DS47+DT47)/IF(R47="",R44,R47))</f>
        <v>0</v>
      </c>
      <c r="FM47" s="2033">
        <f t="shared" si="97"/>
        <v>0</v>
      </c>
      <c r="FN47" s="2049">
        <f>+IF(OR(BB47="",CT47="",IF(R47="",R44,R47)=""),"",(DD47+DU47)/IF(R47="",R44,R47))</f>
        <v>0</v>
      </c>
      <c r="FO47" s="2033">
        <f t="shared" si="98"/>
        <v>0</v>
      </c>
      <c r="FP47" s="2049">
        <f>+IF(OR(BB47="",CT47="",IF(R47="",R44,R47)=""),"",(DG47+DH47+DX47+DY47)/IF(R47="",R44,R47))</f>
        <v>0</v>
      </c>
      <c r="FQ47" s="2033">
        <f t="shared" si="99"/>
        <v>0</v>
      </c>
      <c r="FR47" s="2837">
        <f>+IF(OR(BB47="",IF(R47="",R44,R47)="",(IF(DI47="",0,DI47)+IF(DZ47="",0,DZ47))=0),"",(IF(DI47="",0,DI47)+IF(DZ47="",0,DZ47))/IF(R47="",R44,R47))</f>
        <v>825000</v>
      </c>
      <c r="FS47" s="1804" t="str">
        <f>+IF(OR(DJ47="",IF(R47="",R44,R47)=""),"",(DJ47+EA47)/IF(R47="",R44,R47))</f>
        <v/>
      </c>
      <c r="FT47" s="2731" t="str">
        <f t="shared" si="100"/>
        <v/>
      </c>
      <c r="FU47" s="2881">
        <f>+IF(OR(BB47="",ISERROR(1-(FR47+IF(FS47="",0,FS47)+FN47+FP47)*IF(R47="",R44,R47)/(CT47+DK47))),"",1-(FR47+IF(FS47="",0,FS47)+FN47+FP47)*IF(R47="",R44,R47)/(CT47+DK47))</f>
        <v>0</v>
      </c>
      <c r="FV47" s="1715">
        <f>+IF(FC47="","",FC47/IF(T47="",IF(T44="",1,T44),T47))</f>
        <v>41250</v>
      </c>
      <c r="FW47" s="2629" t="str">
        <f>+IF(OR(EH47="",IF(R47="",R44,R47)=""),"",EH47/IF(R47="",R44,R47))</f>
        <v/>
      </c>
      <c r="FX47" s="2667" t="str">
        <f t="shared" si="101"/>
        <v/>
      </c>
      <c r="FY47" s="2049">
        <f>+IF(OR(EP47="",IF(R47="",R44,R47)=""),"",EP47/IF(R47="",R44,R47))</f>
        <v>0</v>
      </c>
      <c r="FZ47" s="2667">
        <f t="shared" si="102"/>
        <v>0</v>
      </c>
      <c r="GA47" s="2667" t="str">
        <f>+IF(IF(V47="",V44,V47)="Utility Boiler",IF(ISERR(FY47/(FC47+FW47)),"",FY47/(FC47+FW47)),"")</f>
        <v/>
      </c>
      <c r="GB47" s="2049" t="str">
        <f>+IF(OR(ET47="",IF(R47="",R44,R47)=""),"",ET47/IF(R47="",R44,R47))</f>
        <v/>
      </c>
      <c r="GC47" s="2667" t="str">
        <f t="shared" si="103"/>
        <v/>
      </c>
      <c r="GD47" s="2667" t="str">
        <f>+IF(IF(V47="",V44,V47)="Utility Boiler",IF(ISERR(GB47/($FC47)),"",GB47/(FC47+FW47+FY47)),"")</f>
        <v/>
      </c>
      <c r="GE47" s="1610">
        <f>+IF(OR(FB47="",IF(R47="",R44,R47)=""),"",FB47/IF(R47="",R44,R47))</f>
        <v>1005000</v>
      </c>
      <c r="GF47" s="2136">
        <f t="shared" si="186"/>
        <v>1005000</v>
      </c>
      <c r="GG47" s="2159">
        <f>+IF(OR(CS47="",IF(R47="",R44,R47)=""),"",1-(CS47/IF(R47="",R44,R47))/GF47)</f>
        <v>0</v>
      </c>
      <c r="GH47" s="2505">
        <f>+IF(IF(T47="",T44,T47)="","",IF(GF47="","",GF47/IF(T47="",T44,T47)))</f>
        <v>50250</v>
      </c>
      <c r="GI47" s="1610">
        <v>135065</v>
      </c>
      <c r="GJ47" s="1507">
        <v>40565</v>
      </c>
      <c r="GK47" s="3440">
        <f>+IF(OR(BB47="",GJ47=""),"",IF(CB47="",1,CB47*IF(R47="",IF(R46="",$R$44,R46),R47)))</f>
        <v>3.3546519617780781</v>
      </c>
      <c r="GL47" s="3215">
        <f t="shared" si="104"/>
        <v>7.4694734551605064E-3</v>
      </c>
      <c r="GM47" s="1135"/>
      <c r="GN47" s="1134"/>
      <c r="GO47" s="2283"/>
      <c r="GP47" s="2284"/>
      <c r="GQ47" s="2213"/>
      <c r="GR47" s="2213"/>
      <c r="GS47" s="2213">
        <f t="shared" si="105"/>
        <v>40200</v>
      </c>
      <c r="GT47" s="2213">
        <v>94865</v>
      </c>
      <c r="GU47" s="2335">
        <f t="shared" si="187"/>
        <v>135065</v>
      </c>
      <c r="GV47" s="1133" t="str">
        <f>+IF(OR(GO47="",IF(R47="",R44,R47)=""),"",GO47/IF(R47="",R44,R47))</f>
        <v/>
      </c>
      <c r="GW47" s="2243" t="str">
        <f>+IF(OR(GP47="",IF(R47="",R44,R47)=""),"",GP47/IF(R47="",R44,R47))</f>
        <v/>
      </c>
      <c r="GX47" s="2213" t="str">
        <f>+IF(OR(GQ47="",IF(R47="",R44,R47)=""),"",GQ47/IF(R47="",R44,R47))</f>
        <v/>
      </c>
      <c r="GY47" s="2213" t="str">
        <f>+IF(OR(GR47="",IF(R47="",R44,R47)=""),"",GR47/IF(R47="",R44,R47))</f>
        <v/>
      </c>
      <c r="GZ47" s="2213">
        <f>+IF(OR(GS47="",IF(R47="",R44,R47)=""),"",GS47/IF(R47="",R44,R47))</f>
        <v>40200</v>
      </c>
      <c r="HA47" s="2213">
        <f>+IF(OR(GT47="",IF(R47="",R44,R47)=""),"",GT47/IF(R47="",R44,R47))</f>
        <v>94865</v>
      </c>
      <c r="HB47" s="1333">
        <f t="shared" si="22"/>
        <v>135065</v>
      </c>
      <c r="HC47" s="1133">
        <f>+IF(OR(GU47="",IF(R47="",R44,R47)=""),"",GU47/IF(R47="",R44,R47))</f>
        <v>135065</v>
      </c>
      <c r="HD47" s="2349">
        <f t="shared" si="106"/>
        <v>0</v>
      </c>
      <c r="HE47" s="1135"/>
      <c r="HF47" s="1518">
        <f t="shared" si="107"/>
        <v>40565</v>
      </c>
      <c r="HG47" s="1134">
        <f t="shared" si="23"/>
        <v>108508.46053402916</v>
      </c>
      <c r="HH47" s="2981">
        <f t="shared" si="108"/>
        <v>4</v>
      </c>
      <c r="HI47" s="2927">
        <f t="shared" si="109"/>
        <v>825000</v>
      </c>
      <c r="HJ47" s="2931">
        <f t="shared" si="110"/>
        <v>0</v>
      </c>
      <c r="HK47" s="2931">
        <f t="shared" si="111"/>
        <v>0</v>
      </c>
      <c r="HL47" s="2931" t="str">
        <f t="shared" si="112"/>
        <v/>
      </c>
      <c r="HM47" s="2934">
        <f t="shared" si="113"/>
        <v>825000</v>
      </c>
      <c r="HN47" s="2911">
        <f>+IF(FR47="","",HM47/IF(T47="",IF(T44="",1,T44),T47))</f>
        <v>41250</v>
      </c>
      <c r="HO47" s="2955" t="str">
        <f t="shared" si="114"/>
        <v/>
      </c>
      <c r="HP47" s="2931">
        <f t="shared" si="115"/>
        <v>0</v>
      </c>
      <c r="HQ47" s="3110" t="str">
        <f t="shared" si="116"/>
        <v/>
      </c>
      <c r="HR47" s="2956" t="str">
        <f t="shared" si="117"/>
        <v/>
      </c>
      <c r="HS47" s="2956">
        <f t="shared" si="118"/>
        <v>0</v>
      </c>
      <c r="HT47" s="1204" t="str">
        <f t="shared" si="119"/>
        <v/>
      </c>
      <c r="HU47" s="1205" t="str">
        <f t="shared" si="120"/>
        <v/>
      </c>
      <c r="HV47" s="1204" t="str">
        <f t="shared" si="121"/>
        <v/>
      </c>
      <c r="HW47" s="1205" t="str">
        <f t="shared" si="122"/>
        <v/>
      </c>
      <c r="HX47" s="2909">
        <f t="shared" si="24"/>
        <v>825000</v>
      </c>
      <c r="HY47" s="2931" t="str">
        <f>+IF(EZ47="","",EZ47/IF(R47="",IF(R44="",1,R44),R47))</f>
        <v/>
      </c>
      <c r="HZ47" s="2956">
        <f>+IF(FA47="","",FA47/IF(R47="",IF(R44="",1,R44),R47))</f>
        <v>180000</v>
      </c>
      <c r="IA47" s="2927">
        <f t="shared" si="123"/>
        <v>1005000</v>
      </c>
      <c r="IB47" s="3040" t="str">
        <f t="shared" si="25"/>
        <v>same TCC</v>
      </c>
      <c r="IC47" s="2911">
        <f>+IF(IA47="","",IA47/IF(T47="",IF(T44="",1,T44),T47))</f>
        <v>50250</v>
      </c>
      <c r="ID47" s="1204"/>
      <c r="IE47" s="4097"/>
      <c r="IF47" s="2909" t="str">
        <f t="shared" si="124"/>
        <v/>
      </c>
      <c r="IG47" s="6766"/>
      <c r="IH47" s="4164" t="str">
        <f t="shared" si="125"/>
        <v/>
      </c>
      <c r="II47" s="4165"/>
      <c r="IJ47" s="4165" t="str">
        <f t="shared" si="126"/>
        <v/>
      </c>
      <c r="IK47" s="4127">
        <v>1</v>
      </c>
      <c r="IL47" s="2069" t="str">
        <f t="shared" si="127"/>
        <v/>
      </c>
      <c r="IM47" s="1805">
        <f t="shared" si="128"/>
        <v>40200</v>
      </c>
      <c r="IN47" s="4225">
        <f t="shared" si="129"/>
        <v>40200</v>
      </c>
      <c r="IO47" s="4225">
        <f t="shared" si="130"/>
        <v>40200</v>
      </c>
      <c r="IP47" s="4225" t="str">
        <f t="shared" si="131"/>
        <v/>
      </c>
      <c r="IQ47" s="6839" t="str">
        <f t="shared" si="132"/>
        <v/>
      </c>
      <c r="IR47" s="4225">
        <f t="shared" si="133"/>
        <v>40200</v>
      </c>
      <c r="IS47" s="6839">
        <f t="shared" si="134"/>
        <v>0.2976347138718895</v>
      </c>
      <c r="IT47" s="4225">
        <f t="shared" si="135"/>
        <v>40200</v>
      </c>
      <c r="IU47" s="6839">
        <f t="shared" si="136"/>
        <v>0.2976347138718895</v>
      </c>
      <c r="IV47" s="4127">
        <f t="shared" si="137"/>
        <v>1</v>
      </c>
      <c r="IW47" s="1805">
        <f t="shared" si="138"/>
        <v>94864.890371971967</v>
      </c>
      <c r="IX47" s="2911">
        <f t="shared" si="139"/>
        <v>135064.89037197197</v>
      </c>
      <c r="IY47" s="4244">
        <f t="shared" si="140"/>
        <v>135065</v>
      </c>
      <c r="IZ47" s="4274">
        <f t="shared" si="141"/>
        <v>8.1166866347760517E-7</v>
      </c>
      <c r="JA47" s="4275" t="str">
        <f t="shared" si="142"/>
        <v>stk added + 0%</v>
      </c>
      <c r="JB47" s="1205"/>
      <c r="JC47" s="4322"/>
      <c r="JD47" s="1518">
        <f t="shared" si="143"/>
        <v>40261.968129887027</v>
      </c>
      <c r="JE47" s="4357">
        <f t="shared" si="144"/>
        <v>108508.37246111203</v>
      </c>
      <c r="JF47" s="7028">
        <f>+JF46</f>
        <v>20</v>
      </c>
      <c r="JG47" s="2069" t="s">
        <v>2437</v>
      </c>
      <c r="JH47" s="6959">
        <f t="shared" si="145"/>
        <v>825000</v>
      </c>
      <c r="JI47" s="6959">
        <f>+JH48</f>
        <v>700000</v>
      </c>
      <c r="JJ47" s="6959">
        <f>+JH47-JI47</f>
        <v>125000</v>
      </c>
      <c r="JK47" s="6959"/>
      <c r="JL47" s="6996"/>
      <c r="JM47" s="1804" t="str">
        <f t="shared" si="146"/>
        <v>N/A</v>
      </c>
      <c r="JN47" s="2069" t="str">
        <f t="shared" si="147"/>
        <v/>
      </c>
      <c r="JO47" s="2069">
        <f>+JO48</f>
        <v>1725675</v>
      </c>
      <c r="JP47" s="3010">
        <f>+JJ47</f>
        <v>125000</v>
      </c>
      <c r="JQ47" s="3010"/>
      <c r="JR47" s="2069"/>
      <c r="JS47" s="1805">
        <f t="shared" si="148"/>
        <v>1850675</v>
      </c>
      <c r="JT47" s="7130">
        <f t="shared" si="54"/>
        <v>1</v>
      </c>
      <c r="JU47" s="7131">
        <f t="shared" si="188"/>
        <v>20</v>
      </c>
      <c r="JV47" s="8366">
        <f t="shared" si="189"/>
        <v>4575</v>
      </c>
      <c r="JW47" s="8393">
        <f t="shared" si="149"/>
        <v>1.2447416481191573</v>
      </c>
      <c r="JX47" s="8422" t="str">
        <f t="shared" si="150"/>
        <v/>
      </c>
      <c r="JY47" s="8457" t="str">
        <f t="shared" si="151"/>
        <v/>
      </c>
      <c r="JZ47" s="7132" t="str">
        <f t="shared" si="152"/>
        <v/>
      </c>
      <c r="KA47" s="7130">
        <f t="shared" si="153"/>
        <v>12479.541734860884</v>
      </c>
      <c r="KB47" s="7131">
        <f t="shared" si="154"/>
        <v>8735.6792144026185</v>
      </c>
      <c r="KC47" s="7132">
        <f t="shared" si="155"/>
        <v>17.452692447577881</v>
      </c>
      <c r="KD47" s="7130">
        <f t="shared" si="156"/>
        <v>388.16</v>
      </c>
      <c r="KE47" s="8330" t="str">
        <f t="shared" si="157"/>
        <v/>
      </c>
      <c r="KF47" s="8330" t="str">
        <f t="shared" si="158"/>
        <v/>
      </c>
      <c r="KG47" s="7131">
        <f t="shared" si="159"/>
        <v>290.80358905482814</v>
      </c>
      <c r="KH47" s="7131" t="str">
        <f t="shared" si="160"/>
        <v/>
      </c>
      <c r="KI47" s="7131" t="str">
        <f t="shared" si="161"/>
        <v/>
      </c>
      <c r="KJ47" s="7131">
        <f t="shared" si="162"/>
        <v>678.96358905482816</v>
      </c>
      <c r="KK47" s="7131">
        <f t="shared" si="193"/>
        <v>2098.1440000000002</v>
      </c>
      <c r="KL47" s="7131">
        <f t="shared" si="163"/>
        <v>138.800625</v>
      </c>
      <c r="KM47" s="7131">
        <f t="shared" si="164"/>
        <v>2236.9446250000001</v>
      </c>
      <c r="KN47" s="7131" t="str">
        <f t="shared" si="165"/>
        <v/>
      </c>
      <c r="KO47" s="7131">
        <f t="shared" si="166"/>
        <v>2236.9446250000001</v>
      </c>
      <c r="KP47" s="7132">
        <f t="shared" si="167"/>
        <v>2915.908214054828</v>
      </c>
      <c r="KQ47" s="1806">
        <f>+IF(D47="","",VLOOKUP(MATCH(BE47,ac_id,0),ad,ac!$F$8,FALSE)*JV47)</f>
        <v>32025</v>
      </c>
      <c r="KR47" s="3010">
        <f>+IF(D47="","",IF(JT47=1,VLOOKUP(MATCH(BE47,ac_id,0),ad,ac!$H$8,FALSE)*JU47, (VLOOKUP(MATCH(BE47,ac_id,0),ad,ac!$H$8,FALSE)*JU47^(1+VLOOKUP(MATCH(BE47,ac_id,0),ad,ac!$I$8,FALSE)))))</f>
        <v>5000</v>
      </c>
      <c r="KS47" s="1805">
        <f t="shared" si="168"/>
        <v>37025</v>
      </c>
      <c r="KT47" s="1806">
        <f t="shared" si="169"/>
        <v>1342.1667749999999</v>
      </c>
      <c r="KU47" s="2069">
        <f t="shared" si="170"/>
        <v>74027</v>
      </c>
      <c r="KV47" s="7374">
        <f t="shared" si="171"/>
        <v>1</v>
      </c>
      <c r="KW47" s="7280">
        <f t="shared" si="172"/>
        <v>158807.37895735534</v>
      </c>
      <c r="KX47" s="1805">
        <f t="shared" si="173"/>
        <v>234176.54573235533</v>
      </c>
      <c r="KY47" s="2505">
        <f t="shared" si="174"/>
        <v>237092.45394641015</v>
      </c>
      <c r="KZ47" s="7375"/>
      <c r="LA47" s="7280">
        <f t="shared" si="175"/>
        <v>70675.723338150172</v>
      </c>
      <c r="LB47" s="7291">
        <f t="shared" si="176"/>
        <v>190475.23179180524</v>
      </c>
      <c r="LC47" s="5133"/>
      <c r="LD47" s="5132"/>
      <c r="LE47" s="5132"/>
      <c r="LF47" s="5132"/>
      <c r="LG47" s="5132"/>
      <c r="LH47" s="5132"/>
      <c r="LI47" s="5132"/>
      <c r="LJ47" s="5132"/>
    </row>
    <row r="48" spans="1:322" s="645" customFormat="1" ht="27.95" customHeight="1">
      <c r="A48" s="10539"/>
      <c r="B48" s="9819" t="str">
        <f>+IF(A48="","",VLOOKUP(MATCH(A48,tid,0),tao,'12(id)'!$J$20,FALSE))</f>
        <v/>
      </c>
      <c r="C48" s="10561"/>
      <c r="D48" s="5148" t="str">
        <f t="shared" si="48"/>
        <v>8303-01-05</v>
      </c>
      <c r="E48" s="726" t="str">
        <f t="shared" si="91"/>
        <v>High Pressure Water Injection (HPWI) - Oil Kerosene K1</v>
      </c>
      <c r="F48" s="726" t="str">
        <f t="shared" si="49"/>
        <v>HPWI</v>
      </c>
      <c r="G48" s="5133"/>
      <c r="H48" s="5132"/>
      <c r="I48" s="5133"/>
      <c r="J48" s="719">
        <f t="shared" si="68"/>
        <v>14</v>
      </c>
      <c r="K48" s="9663"/>
      <c r="L48" s="9648"/>
      <c r="M48" s="9650"/>
      <c r="N48" s="9648"/>
      <c r="O48" s="9648"/>
      <c r="P48" s="9648"/>
      <c r="Q48" s="9680" t="str">
        <f>+IF(ISERROR(MATCH(O48,tid,0)),"",VLOOKUP(MATCH(O48,tid,0),tao,'12(id)'!$Q$20,FALSE))</f>
        <v/>
      </c>
      <c r="R48" s="9648"/>
      <c r="S48" s="9648"/>
      <c r="T48" s="10716" t="str">
        <f>+IF(ISERROR(MATCH(O48,tid,0)),"",IF(VLOOKUP(MATCH(O48,tid,0),tao,'12(id)'!$CT$20,FALSE)="","",VLOOKUP(MATCH(O48,tid,0),tao,'12(id)'!$CT$20,FALSE)))</f>
        <v/>
      </c>
      <c r="U48" s="10716" t="str">
        <f>+IF(ISERROR(MATCH(O48,tid,0)),"",IF(VLOOKUP(MATCH(O48,tid,0),tao,'12(id)'!$CU$20,FALSE)="","",VLOOKUP(MATCH(O48,tid,0),tao,'12(id)'!$CU$20,FALSE)))</f>
        <v/>
      </c>
      <c r="V48" s="9504" t="str">
        <f>+IF(O48="","",IF(VLOOKUP(MATCH(O48,tid,0),tao,'12(id)'!$T$20,FALSE)="","",VLOOKUP(MATCH(O48,tid,0),tao,'12(id)'!$T$20,FALSE)))</f>
        <v/>
      </c>
      <c r="W48" s="9504" t="str">
        <f>+IF(ISERROR(MATCH(O48,tid,0)),"",IF(VLOOKUP(MATCH(O48,tid,0),tao,'12(id)'!$CO$20,FALSE)="","",VLOOKUP(MATCH(O48,tid,0),tao,'12(id)'!$CO$20,FALSE)))</f>
        <v/>
      </c>
      <c r="X48" s="9504" t="str">
        <f>+IF(ISERROR(MATCH(O48,tid,0)),"",IF(VLOOKUP(MATCH(O48,tid,0),tao,'12(id)'!$CP$20,FALSE)="","",VLOOKUP(MATCH(O48,tid,0),tao,'12(id)'!$CP$20,FALSE)))</f>
        <v/>
      </c>
      <c r="Y48" s="9504"/>
      <c r="Z48" s="9518" t="str">
        <f>+IF(ISERROR(MATCH(O48,tid,0)),"",VLOOKUP(MATCH(O48,tid,0),tao,'12(id)'!$DB$20,FALSE)&amp;" "&amp;VLOOKUP(MATCH(O48,tid,0),tao,'12(id)'!$DC$20,FALSE))</f>
        <v/>
      </c>
      <c r="AA48" s="9518" t="str">
        <f>+IF(ISERROR(MATCH(O48,tid,0)),"",IF(VLOOKUP(MATCH(O48,tid,0),tao,'12(id)'!$DE$20,FALSE)="","",ROUND(VLOOKUP(MATCH(O48,tid,0),tao,'12(id)'!$DE$20,FALSE),0)&amp;" yrs"))</f>
        <v/>
      </c>
      <c r="AB48" s="9648" t="str">
        <f>+IF(ISERROR(MATCH(O48,tid,0)),"",VLOOKUP(MATCH(O48,tid,0),tao,'12(id)'!$DI$20,FALSE))</f>
        <v/>
      </c>
      <c r="AC48" s="9648" t="str">
        <f>+IF(ISERROR(MATCH(O48,tid,0)),"",IF(VLOOKUP(MATCH(O48,tid,0),tao,'12(id)'!$DQ$20,FALSE)="","",VLOOKUP(MATCH(O48,tid,0),tao,'12(id)'!$DQ$20,FALSE)))</f>
        <v/>
      </c>
      <c r="AD48" s="10671" t="str">
        <f>+IF(ISERROR(MATCH(O48,tid,0)),"",IF(VLOOKUP(MATCH(O48,tid,0),tao,'12(id)'!$EI$20,FALSE)="","",VLOOKUP(MATCH(O48,tid,0),tao,'12(id)'!$EI$20,FALSE)))</f>
        <v/>
      </c>
      <c r="AE48" s="10766"/>
      <c r="AF48" s="10671" t="str">
        <f>+IF(ISERROR(MATCH(O48,tid,0)),"",IF(VLOOKUP(MATCH(O48,tid,0),tao,'12(id)'!$EL$20,FALSE)="","",VLOOKUP(MATCH(O48,tid,0),tao,'12(id)'!$EL$20,FALSE)))</f>
        <v/>
      </c>
      <c r="AG48" s="10691" t="str">
        <f>+IF(ISERROR(MATCH(O48,tid,0)),"",IF(VLOOKUP(MATCH(O48,tid,0),tao,'12(id)'!$EM$20,FALSE)="","",VLOOKUP(MATCH(O48,tid,0),tao,'12(id)'!$EM$20,FALSE)))</f>
        <v/>
      </c>
      <c r="AH48" s="10757"/>
      <c r="AI48" s="10682"/>
      <c r="AJ48" s="10682"/>
      <c r="AK48" s="10682"/>
      <c r="AL48" s="10682"/>
      <c r="AM48" s="10676"/>
      <c r="AN48" s="10679"/>
      <c r="AO48" s="10342" t="str">
        <f>+IF(ISERROR(MATCH(O48,tid,0)),"",IF(VLOOKUP(MATCH(O48,tid,0),tao,'12(id)'!$GY$20,FALSE)="","",VLOOKUP(MATCH(O48,tid,0),tao,'12(id)'!$GY$20,FALSE)))</f>
        <v/>
      </c>
      <c r="AP48" s="10292" t="e">
        <f>+IF($BB48="","",IF(VLOOKUP(MATCH(O48,tid,0),tao,'12(id)'!$HE$20,FALSE)="","",VLOOKUP(MATCH(O48,tid,0),tao,'12(id)'!$HE$20,FALSE)))</f>
        <v>#N/A</v>
      </c>
      <c r="AQ48" s="10342" t="str">
        <f>+IF(ISERROR(VLOOKUP(MATCH(O48,tid,0),tao,'12(id)'!$HF$20,FALSE)),"",VLOOKUP(MATCH(O48,tid,0),tao,'12(id)'!$HF$20,FALSE))</f>
        <v/>
      </c>
      <c r="AR48" s="10336" t="str">
        <f>+IF(ISERROR(MATCH(O48,tid,0)),"",IF(VLOOKUP(MATCH(O48,tid,0),tao,'12(id)'!$HJ$20,FALSE)="","",VLOOKUP(MATCH(O48,tid,0),tao,'12(id)'!$HJ$20,FALSE)))</f>
        <v/>
      </c>
      <c r="AS48" s="10339" t="str">
        <f>+IF(ISERROR(MATCH(O48,tid,0)),"",IF(VLOOKUP(MATCH(O48,tid,0),tao,'12(id)'!$HK$20,FALSE)="","",VLOOKUP(MATCH(O48,tid,0),tao,'12(id)'!$HK$20,FALSE)))</f>
        <v/>
      </c>
      <c r="AT48" s="10694" t="str">
        <f>+IF(ISERROR(MATCH(O48,tid,0)),"",IF(VLOOKUP(MATCH(O48,tid,0),tao,'12(id)'!$HM$20,FALSE)="","",VLOOKUP(MATCH(O48,tid,0),tao,'12(id)'!$HM$20,FALSE)))</f>
        <v/>
      </c>
      <c r="AU48" s="10359"/>
      <c r="AV48" s="10325" t="str">
        <f>+IF(ISERROR(MATCH(O48,em_id,0)),"",IF(VLOOKUP(MATCH(O48,em_id,0),em,'5(em)'!$CX$18,FALSE)="","",VLOOKUP(MATCH(O48,em_id,0),em,'5(em)'!$CX$18,FALSE)))</f>
        <v/>
      </c>
      <c r="AW48" s="10392" t="str">
        <f>+IF(ISERROR(MATCH(O48,em_id,0)),"",IF(VLOOKUP(MATCH(O48,em_id,0),em,'5(em)'!$CZ$18,FALSE)="","",VLOOKUP(MATCH(O48,em_id,0),em,'5(em)'!$CZ$18,FALSE)))</f>
        <v/>
      </c>
      <c r="AX48" s="10330" t="str">
        <f t="shared" si="50"/>
        <v/>
      </c>
      <c r="AY48" s="10325"/>
      <c r="AZ48" s="10400" t="str">
        <f>+IF(ISERROR(MATCH(O48,em_id,0)),"",IF(VLOOKUP(MATCH(O48,em_id,0),em,'5(em)'!$DA$18,FALSE)="","",VLOOKUP(MATCH(O48,em_id,0),em,'5(em)'!$DA$18,FALSE)))</f>
        <v/>
      </c>
      <c r="BA48" s="725"/>
      <c r="BB48" s="726" t="str">
        <f t="shared" si="11"/>
        <v>8303-01-05</v>
      </c>
      <c r="BC48" s="724">
        <f t="shared" si="190"/>
        <v>5</v>
      </c>
      <c r="BD48" s="726" t="str">
        <f>+IF(OR(D48="",VLOOKUP(MATCH(D48,op_id,0),op,'7(op)'!$T$18,FALSE)=""),"",VLOOKUP(MATCH(D48,op_id,0),op,'7(op)'!$T$18,FALSE))</f>
        <v>High Pressure Water Injection (HPWI) - Oil Kerosene K1</v>
      </c>
      <c r="BE48" s="726" t="s">
        <v>93</v>
      </c>
      <c r="BF48" s="726" t="s">
        <v>1862</v>
      </c>
      <c r="BG48" s="727" t="s">
        <v>1614</v>
      </c>
      <c r="BH48" s="914" t="s">
        <v>1122</v>
      </c>
      <c r="BI48" s="915"/>
      <c r="BJ48" s="916"/>
      <c r="BK48" s="3482">
        <v>75</v>
      </c>
      <c r="BL48" s="916"/>
      <c r="BM48" s="916"/>
      <c r="BN48" s="916" t="str">
        <f t="shared" si="12"/>
        <v/>
      </c>
      <c r="BO48" s="917" t="str">
        <f t="shared" si="13"/>
        <v/>
      </c>
      <c r="BP48" s="916" t="str">
        <f t="shared" si="14"/>
        <v/>
      </c>
      <c r="BQ48" s="916" t="str">
        <f t="shared" si="15"/>
        <v/>
      </c>
      <c r="BR48" s="918"/>
      <c r="BS48" s="919"/>
      <c r="BT48" s="920"/>
      <c r="BU48" s="3723">
        <f>+IF(BB48="","",IF(VLOOKUP(MATCH(BB48,ef_id,0),ef,'11(eff)'!$Z$23,FALSE)="","",VLOOKUP(MATCH(BB48,ef_id,0),ef,'11(eff)'!$Z$23,FALSE)))</f>
        <v>0.29565012969202958</v>
      </c>
      <c r="BV48" s="3744">
        <f>+IF(BB48="","",IF(VLOOKUP(MATCH(BB48,ef_id,0),ef,'11(eff)'!$AA$23,FALSE)="","",VLOOKUP(MATCH(BB48,ef_id,0),ef,'11(eff)'!$AA$23,FALSE)))</f>
        <v>75</v>
      </c>
      <c r="BW48" s="3768">
        <f>+'A3(trc)'!I28</f>
        <v>1.8404220573328844</v>
      </c>
      <c r="BX48" s="3790">
        <f>+IF(OR(BB48="",BW48=""),"",BW48/IF(R44="",IF(R43="",R42,R43),R44))</f>
        <v>1.8404220573328844</v>
      </c>
      <c r="BY48" s="3812">
        <f>+IF($BB48="","",IF(BU48="","",BU48/2000*IF(AQ44="",IF(AQ43="",AQ42,AQ43),AQ44)))</f>
        <v>1.8404220573328842</v>
      </c>
      <c r="BZ48" s="3773"/>
      <c r="CA48" s="3723"/>
      <c r="CB48" s="3844">
        <f t="shared" si="191"/>
        <v>2.7411779426671163</v>
      </c>
      <c r="CC48" s="3863">
        <f t="shared" si="177"/>
        <v>0.59830145422278591</v>
      </c>
      <c r="CD48" s="3863">
        <f t="shared" si="178"/>
        <v>0.59830145422278591</v>
      </c>
      <c r="CE48" s="2733">
        <f>+IF(BB48="","",IF(VLOOKUP(MATCH(BB48,ef_id,0),ef,'11(eff)'!$AE$23,FALSE)="","",VLOOKUP(MATCH(BB48,ef_id,0),ef,'11(eff)'!$AE$23,FALSE)))</f>
        <v>0.59830145422278591</v>
      </c>
      <c r="CF48" s="919" t="s">
        <v>1601</v>
      </c>
      <c r="CG48" s="920"/>
      <c r="CH48" s="2399"/>
      <c r="CI48" s="3844">
        <f t="shared" si="179"/>
        <v>0.29853006680710992</v>
      </c>
      <c r="CJ48" s="4055">
        <f t="shared" si="180"/>
        <v>75.713315217391298</v>
      </c>
      <c r="CK48" s="3844">
        <f t="shared" si="181"/>
        <v>0.68288752782126394</v>
      </c>
      <c r="CL48" s="3920">
        <f t="shared" si="182"/>
        <v>1.0171124721787361</v>
      </c>
      <c r="CM48" s="3944">
        <f t="shared" si="183"/>
        <v>0.59830145422278602</v>
      </c>
      <c r="CN48" s="3944">
        <f t="shared" si="184"/>
        <v>0.59820986970779289</v>
      </c>
      <c r="CO48" s="3945">
        <f>+IF(BB48="","",IF(VLOOKUP(MATCH(BB48,ef_id,0),ef,'11(eff)'!$AE$23,FALSE)="","",VLOOKUP(MATCH(BB48,ef_id,0),ef,'11(eff)'!$AE$23,FALSE)))</f>
        <v>0.59830145422278591</v>
      </c>
      <c r="CP48" s="3946" t="str">
        <f>+IF(OR(BB48="",VLOOKUP(MATCH(BB48,ef_id,0),ef,'11(eff)'!$AG$23,FALSE)=""),"",IF(VLOOKUP(MATCH(BB48,ef_id,0),ef,'11(eff)'!$AG$23,FALSE)/100=VLOOKUP(MATCH(BB48,ef_id,0),ef,'11(eff)'!$AE$23,FALSE),VLOOKUP(MATCH(BB48,ef_id,0),ef,'11(eff)'!$AE$23,FALSE),""))</f>
        <v/>
      </c>
      <c r="CQ48" s="725" t="str">
        <f t="shared" si="51"/>
        <v>High Pressure Water Injection (HPWI) - Oil Kerosene K1</v>
      </c>
      <c r="CR48" s="922"/>
      <c r="CS48" s="2754">
        <v>880000</v>
      </c>
      <c r="CT48" s="1582">
        <v>700000</v>
      </c>
      <c r="CU48" s="1490">
        <v>600000</v>
      </c>
      <c r="CV48" s="1817">
        <f t="shared" si="16"/>
        <v>0</v>
      </c>
      <c r="CW48" s="1818"/>
      <c r="CX48" s="1818"/>
      <c r="CY48" s="1819"/>
      <c r="CZ48" s="2467">
        <v>100000</v>
      </c>
      <c r="DA48" s="2441"/>
      <c r="DB48" s="2441"/>
      <c r="DC48" s="1817"/>
      <c r="DD48" s="1821"/>
      <c r="DE48" s="1822"/>
      <c r="DF48" s="1823"/>
      <c r="DG48" s="1823"/>
      <c r="DH48" s="1821"/>
      <c r="DI48" s="1686">
        <f t="shared" si="185"/>
        <v>700000</v>
      </c>
      <c r="DJ48" s="1932"/>
      <c r="DK48" s="1582"/>
      <c r="DL48" s="1490"/>
      <c r="DM48" s="1817" t="str">
        <f t="shared" si="17"/>
        <v/>
      </c>
      <c r="DN48" s="1818"/>
      <c r="DO48" s="1818"/>
      <c r="DP48" s="1819"/>
      <c r="DQ48" s="2467"/>
      <c r="DR48" s="2441"/>
      <c r="DS48" s="2441"/>
      <c r="DT48" s="1817"/>
      <c r="DU48" s="1821"/>
      <c r="DV48" s="1822"/>
      <c r="DW48" s="1823"/>
      <c r="DX48" s="1823"/>
      <c r="DY48" s="1821"/>
      <c r="DZ48" s="1686" t="str">
        <f t="shared" si="18"/>
        <v/>
      </c>
      <c r="EA48" s="1932"/>
      <c r="EB48" s="1490">
        <f t="shared" si="19"/>
        <v>700000</v>
      </c>
      <c r="EC48" s="1956">
        <v>1</v>
      </c>
      <c r="ED48" s="1410">
        <f t="shared" si="20"/>
        <v>700000</v>
      </c>
      <c r="EE48" s="1820"/>
      <c r="EF48" s="2441"/>
      <c r="EG48" s="1819"/>
      <c r="EH48" s="1686"/>
      <c r="EI48" s="1822"/>
      <c r="EJ48" s="1823"/>
      <c r="EK48" s="2001"/>
      <c r="EL48" s="1450"/>
      <c r="EM48" s="1822"/>
      <c r="EN48" s="1823"/>
      <c r="EO48" s="2001"/>
      <c r="EP48" s="1686">
        <f t="shared" si="21"/>
        <v>0</v>
      </c>
      <c r="EQ48" s="1686"/>
      <c r="ER48" s="1686"/>
      <c r="ES48" s="1686"/>
      <c r="ET48" s="1450"/>
      <c r="EU48" s="1423"/>
      <c r="EV48" s="1385"/>
      <c r="EW48" s="2574"/>
      <c r="EX48" s="2574"/>
      <c r="EY48" s="2681">
        <f t="shared" si="92"/>
        <v>700000</v>
      </c>
      <c r="EZ48" s="2710"/>
      <c r="FA48" s="1385">
        <f>+FA47</f>
        <v>180000</v>
      </c>
      <c r="FB48" s="1472">
        <f t="shared" si="93"/>
        <v>880000</v>
      </c>
      <c r="FC48" s="1490">
        <f>+IF(OR(ED48="",IF(R48="",R44,R48)=""),"",ED48/IF(R48="",R44,R48))</f>
        <v>700000</v>
      </c>
      <c r="FD48" s="2607">
        <f>+IF(OR(BB48="",IF(R48="",R44,R48)="",(CU48+DL48)=0),"",(CU48+DL48)/IF(R48="",R44,R48))</f>
        <v>600000</v>
      </c>
      <c r="FE48" s="2608">
        <f t="shared" si="94"/>
        <v>0.8571428571428571</v>
      </c>
      <c r="FF48" s="2607">
        <f>+IF(OR(BB48="",CT48="",IF(R48="",R44,R48)=""),"",(SUM(CV48:CZ48)+(IF(DM48="",0,DM48)+SUM(DN48:DQ48)))/IF(R48="",R44,R48))</f>
        <v>100000</v>
      </c>
      <c r="FG48" s="2608">
        <f t="shared" si="95"/>
        <v>0.14285714285714285</v>
      </c>
      <c r="FH48" s="2607">
        <f>+IF(OR(BB48="",IF(R48="",R44,R48)="",),"",(DA48+DR48)/IF(R48="",R44,R48))</f>
        <v>0</v>
      </c>
      <c r="FI48" s="2608">
        <f t="shared" si="96"/>
        <v>0</v>
      </c>
      <c r="FJ48" s="2609">
        <f t="shared" si="90"/>
        <v>700000</v>
      </c>
      <c r="FK48" s="2608">
        <f t="shared" si="192"/>
        <v>1</v>
      </c>
      <c r="FL48" s="2639">
        <f>+IF(OR(BB48="",CT48="",IF(R48="",R44,R48)=""),"",(DB48+DC48+DS48+DT48)/IF(R48="",R44,R48))</f>
        <v>0</v>
      </c>
      <c r="FM48" s="2608">
        <f t="shared" si="97"/>
        <v>0</v>
      </c>
      <c r="FN48" s="2607">
        <f>+IF(OR(BB48="",CT48="",IF(R48="",R44,R48)=""),"",(DD48+DU48)/IF(R48="",R44,R48))</f>
        <v>0</v>
      </c>
      <c r="FO48" s="2608">
        <f t="shared" si="98"/>
        <v>0</v>
      </c>
      <c r="FP48" s="2607">
        <f>+IF(OR(BB48="",CT48="",IF(R48="",R44,R48)=""),"",(DG48+DH48+DX48+DY48)/IF(R48="",R44,R48))</f>
        <v>0</v>
      </c>
      <c r="FQ48" s="2608">
        <f t="shared" si="99"/>
        <v>0</v>
      </c>
      <c r="FR48" s="2839">
        <f>+IF(OR(BB48="",IF(R48="",R44,R48)="",(IF(DI48="",0,DI48)+IF(DZ48="",0,DZ48))=0),"",(IF(DI48="",0,DI48)+IF(DZ48="",0,DZ48))/IF(R48="",R44,R48))</f>
        <v>700000</v>
      </c>
      <c r="FS48" s="1818" t="str">
        <f>+IF(OR(DJ48="",IF(R48="",R44,R48)=""),"",(DJ48+EA48)/IF(R48="",R44,R48))</f>
        <v/>
      </c>
      <c r="FT48" s="2733" t="str">
        <f t="shared" si="100"/>
        <v/>
      </c>
      <c r="FU48" s="2883">
        <f>+IF(OR(BB48="",ISERROR(1-(FR48+IF(FS48="",0,FS48)+FN48+FP48)*IF(R48="",R44,R48)/(CT48+DK48))),"",1-(FR48+IF(FS48="",0,FS48)+FN48+FP48)*IF(R48="",R44,R48)/(CT48+DK48))</f>
        <v>0</v>
      </c>
      <c r="FV48" s="2621">
        <f>+IF(FC48="","",FC48/IF(T48="",IF(T44="",1,T44),T48))</f>
        <v>35000</v>
      </c>
      <c r="FW48" s="2639" t="str">
        <f>+IF(OR(EH48="",IF(R48="",R44,R48)=""),"",EH48/IF(R48="",R44,R48))</f>
        <v/>
      </c>
      <c r="FX48" s="2669" t="str">
        <f t="shared" si="101"/>
        <v/>
      </c>
      <c r="FY48" s="2607">
        <f>+IF(OR(EP48="",IF(R48="",R44,R48)=""),"",EP48/IF(R48="",R44,R48))</f>
        <v>0</v>
      </c>
      <c r="FZ48" s="2669">
        <f t="shared" si="102"/>
        <v>0</v>
      </c>
      <c r="GA48" s="2669" t="str">
        <f>+IF(IF(V48="",V44,V48)="Utility Boiler",IF(ISERR(FY48/(FC48+FW48)),"",FY48/(FC48+FW48)),"")</f>
        <v/>
      </c>
      <c r="GB48" s="2607" t="str">
        <f>+IF(OR(ET48="",IF(R48="",R44,R48)=""),"",ET48/IF(R48="",R44,R48))</f>
        <v/>
      </c>
      <c r="GC48" s="2669" t="str">
        <f t="shared" si="103"/>
        <v/>
      </c>
      <c r="GD48" s="2669" t="str">
        <f>+IF(IF(V48="",V44,V48)="Utility Boiler",IF(ISERR(GB48/($FC48)),"",GB48/(FC48+FW48+FY48)),"")</f>
        <v/>
      </c>
      <c r="GE48" s="1612">
        <f>+IF(OR(FB48="",IF(R48="",R44,R48)=""),"",FB48/IF(R48="",R44,R48))</f>
        <v>880000</v>
      </c>
      <c r="GF48" s="2138">
        <f t="shared" si="186"/>
        <v>880000</v>
      </c>
      <c r="GG48" s="2161">
        <f>+IF(OR(CS48="",IF(R48="",R44,R48)=""),"",1-(CS48/IF(R48="",R44,R48))/GF48)</f>
        <v>0</v>
      </c>
      <c r="GH48" s="1751">
        <f>+IF(IF(T48="",T44,T48)="","",IF(GF48="","",GF48/IF(T48="",T44,T48)))</f>
        <v>44000</v>
      </c>
      <c r="GI48" s="1612">
        <v>118266</v>
      </c>
      <c r="GJ48" s="2609">
        <v>43744</v>
      </c>
      <c r="GK48" s="3442">
        <f>+IF(OR(BB48="",GJ48=""),"",IF(CB48="",1,CB48*IF(R48="",IF(R47="",$R$44,R47),R48)))</f>
        <v>2.7411779426671163</v>
      </c>
      <c r="GL48" s="3217">
        <f t="shared" si="104"/>
        <v>1.3711005908626794E-2</v>
      </c>
      <c r="GM48" s="1139"/>
      <c r="GN48" s="1141"/>
      <c r="GO48" s="2287"/>
      <c r="GP48" s="2288"/>
      <c r="GQ48" s="2215"/>
      <c r="GR48" s="2215"/>
      <c r="GS48" s="2215">
        <f t="shared" si="105"/>
        <v>35200</v>
      </c>
      <c r="GT48" s="2215">
        <v>83066</v>
      </c>
      <c r="GU48" s="2738">
        <f t="shared" si="187"/>
        <v>118266</v>
      </c>
      <c r="GV48" s="1140" t="str">
        <f>+IF(OR(GO48="",IF(R48="",R44,R48)=""),"",GO48/IF(R48="",R44,R48))</f>
        <v/>
      </c>
      <c r="GW48" s="2245" t="str">
        <f>+IF(OR(GP48="",IF(R48="",R44,R48)=""),"",GP48/IF(R48="",R44,R48))</f>
        <v/>
      </c>
      <c r="GX48" s="2215" t="str">
        <f>+IF(OR(GQ48="",IF(R48="",R44,R48)=""),"",GQ48/IF(R48="",R44,R48))</f>
        <v/>
      </c>
      <c r="GY48" s="2215" t="str">
        <f>+IF(OR(GR48="",IF(R48="",R44,R48)=""),"",GR48/IF(R48="",R44,R48))</f>
        <v/>
      </c>
      <c r="GZ48" s="2215">
        <f>+IF(OR(GS48="",IF(R48="",R44,R48)=""),"",GS48/IF(R48="",R44,R48))</f>
        <v>35200</v>
      </c>
      <c r="HA48" s="2215">
        <f>+IF(OR(GT48="",IF(R48="",R44,R48)=""),"",GT48/IF(R48="",R44,R48))</f>
        <v>83066</v>
      </c>
      <c r="HB48" s="1335">
        <f t="shared" si="22"/>
        <v>118266</v>
      </c>
      <c r="HC48" s="1140">
        <f>+IF(OR(GU48="",IF(R48="",R44,R48)=""),"",GU48/IF(R48="",R44,R48))</f>
        <v>118266</v>
      </c>
      <c r="HD48" s="3468">
        <f t="shared" si="106"/>
        <v>0</v>
      </c>
      <c r="HE48" s="1139"/>
      <c r="HF48" s="2555">
        <f t="shared" si="107"/>
        <v>43744</v>
      </c>
      <c r="HG48" s="1141">
        <f t="shared" si="23"/>
        <v>116276.22631218431</v>
      </c>
      <c r="HH48" s="2983">
        <f t="shared" si="108"/>
        <v>4</v>
      </c>
      <c r="HI48" s="3065">
        <f t="shared" si="109"/>
        <v>700000</v>
      </c>
      <c r="HJ48" s="3078">
        <f t="shared" si="110"/>
        <v>0</v>
      </c>
      <c r="HK48" s="3078">
        <f t="shared" si="111"/>
        <v>0</v>
      </c>
      <c r="HL48" s="3078" t="str">
        <f t="shared" si="112"/>
        <v/>
      </c>
      <c r="HM48" s="3091">
        <f t="shared" si="113"/>
        <v>700000</v>
      </c>
      <c r="HN48" s="3098">
        <f>+IF(FR48="","",HM48/IF(T48="",IF(T44="",1,T44),T48))</f>
        <v>35000</v>
      </c>
      <c r="HO48" s="3114" t="str">
        <f t="shared" si="114"/>
        <v/>
      </c>
      <c r="HP48" s="3078">
        <f t="shared" si="115"/>
        <v>0</v>
      </c>
      <c r="HQ48" s="3115" t="str">
        <f t="shared" si="116"/>
        <v/>
      </c>
      <c r="HR48" s="3116" t="str">
        <f t="shared" si="117"/>
        <v/>
      </c>
      <c r="HS48" s="3116">
        <f t="shared" si="118"/>
        <v>0</v>
      </c>
      <c r="HT48" s="1210" t="str">
        <f t="shared" si="119"/>
        <v/>
      </c>
      <c r="HU48" s="1211" t="str">
        <f t="shared" si="120"/>
        <v/>
      </c>
      <c r="HV48" s="1210" t="str">
        <f t="shared" si="121"/>
        <v/>
      </c>
      <c r="HW48" s="1211" t="str">
        <f t="shared" si="122"/>
        <v/>
      </c>
      <c r="HX48" s="3135">
        <f t="shared" si="24"/>
        <v>700000</v>
      </c>
      <c r="HY48" s="3078" t="str">
        <f>+IF(EZ48="","",EZ48/IF(R48="",IF(R44="",1,R44),R48))</f>
        <v/>
      </c>
      <c r="HZ48" s="3116">
        <f>+IF(FA48="","",FA48/IF(R48="",IF(R44="",1,R44),R48))</f>
        <v>180000</v>
      </c>
      <c r="IA48" s="3065">
        <f t="shared" si="123"/>
        <v>880000</v>
      </c>
      <c r="IB48" s="3105" t="str">
        <f t="shared" si="25"/>
        <v>same TCC</v>
      </c>
      <c r="IC48" s="3098">
        <f>+IF(IA48="","",IA48/IF(T48="",IF(T44="",1,T44),T48))</f>
        <v>44000</v>
      </c>
      <c r="ID48" s="1210"/>
      <c r="IE48" s="1209"/>
      <c r="IF48" s="3135" t="str">
        <f t="shared" si="124"/>
        <v/>
      </c>
      <c r="IG48" s="6768"/>
      <c r="IH48" s="4168" t="str">
        <f t="shared" si="125"/>
        <v/>
      </c>
      <c r="II48" s="4169"/>
      <c r="IJ48" s="4169" t="str">
        <f t="shared" si="126"/>
        <v/>
      </c>
      <c r="IK48" s="4129">
        <v>1</v>
      </c>
      <c r="IL48" s="2441" t="str">
        <f t="shared" si="127"/>
        <v/>
      </c>
      <c r="IM48" s="1819">
        <f t="shared" si="128"/>
        <v>35200</v>
      </c>
      <c r="IN48" s="4227">
        <f t="shared" si="129"/>
        <v>35200</v>
      </c>
      <c r="IO48" s="4227">
        <f t="shared" si="130"/>
        <v>35200</v>
      </c>
      <c r="IP48" s="4227" t="str">
        <f>+IF(BB48="","",IF(IJ48="","",IJ48/$R$44))</f>
        <v/>
      </c>
      <c r="IQ48" s="6841" t="str">
        <f t="shared" si="132"/>
        <v/>
      </c>
      <c r="IR48" s="4227">
        <f>+IF(BB48="","",IF(IN48="","",IN48/$R$44))</f>
        <v>35200</v>
      </c>
      <c r="IS48" s="6841">
        <f t="shared" si="134"/>
        <v>0.2976347138718895</v>
      </c>
      <c r="IT48" s="4227">
        <f t="shared" si="135"/>
        <v>35200</v>
      </c>
      <c r="IU48" s="6841">
        <f t="shared" si="136"/>
        <v>0.2976347138718895</v>
      </c>
      <c r="IV48" s="4129">
        <f t="shared" si="137"/>
        <v>1</v>
      </c>
      <c r="IW48" s="1819">
        <f t="shared" si="138"/>
        <v>83065.774654065011</v>
      </c>
      <c r="IX48" s="3098">
        <f t="shared" si="139"/>
        <v>118265.77465406501</v>
      </c>
      <c r="IY48" s="4246">
        <f t="shared" si="140"/>
        <v>118266</v>
      </c>
      <c r="IZ48" s="4278">
        <f t="shared" si="141"/>
        <v>1.9054160535452418E-6</v>
      </c>
      <c r="JA48" s="4279" t="str">
        <f t="shared" si="142"/>
        <v>stk added + 0%</v>
      </c>
      <c r="JB48" s="1211"/>
      <c r="JC48" s="4324"/>
      <c r="JD48" s="2555">
        <f t="shared" si="143"/>
        <v>43144.143549832654</v>
      </c>
      <c r="JE48" s="4359">
        <f t="shared" si="144"/>
        <v>116276.00475759606</v>
      </c>
      <c r="JF48" s="7030">
        <f>+JF47</f>
        <v>20</v>
      </c>
      <c r="JG48" s="2441" t="s">
        <v>93</v>
      </c>
      <c r="JH48" s="6961">
        <f t="shared" si="145"/>
        <v>700000</v>
      </c>
      <c r="JI48" s="6961">
        <f>+JH48</f>
        <v>700000</v>
      </c>
      <c r="JJ48" s="6961"/>
      <c r="JK48" s="6961"/>
      <c r="JL48" s="6998"/>
      <c r="JM48" s="1818">
        <f t="shared" si="146"/>
        <v>997500</v>
      </c>
      <c r="JN48" s="2441">
        <f t="shared" si="147"/>
        <v>1725675</v>
      </c>
      <c r="JO48" s="2441">
        <f>+JN48</f>
        <v>1725675</v>
      </c>
      <c r="JP48" s="7075"/>
      <c r="JQ48" s="7075"/>
      <c r="JR48" s="2441"/>
      <c r="JS48" s="1819">
        <f t="shared" si="148"/>
        <v>1725675</v>
      </c>
      <c r="JT48" s="7136">
        <f t="shared" si="54"/>
        <v>1</v>
      </c>
      <c r="JU48" s="7137">
        <f t="shared" si="188"/>
        <v>20</v>
      </c>
      <c r="JV48" s="8368">
        <f t="shared" si="189"/>
        <v>4575</v>
      </c>
      <c r="JW48" s="8395">
        <f t="shared" si="149"/>
        <v>1.0171124721787361</v>
      </c>
      <c r="JX48" s="8424" t="str">
        <f t="shared" si="150"/>
        <v/>
      </c>
      <c r="JY48" s="8459" t="str">
        <f t="shared" si="151"/>
        <v/>
      </c>
      <c r="JZ48" s="7138" t="str">
        <f t="shared" si="152"/>
        <v/>
      </c>
      <c r="KA48" s="7136">
        <f t="shared" si="153"/>
        <v>12479.541734860884</v>
      </c>
      <c r="KB48" s="7137">
        <f t="shared" si="154"/>
        <v>8735.6792144026185</v>
      </c>
      <c r="KC48" s="7138">
        <f t="shared" si="155"/>
        <v>17.452692447577881</v>
      </c>
      <c r="KD48" s="7136">
        <f t="shared" si="156"/>
        <v>388.16</v>
      </c>
      <c r="KE48" s="8332" t="str">
        <f t="shared" si="157"/>
        <v/>
      </c>
      <c r="KF48" s="8332" t="str">
        <f t="shared" si="158"/>
        <v/>
      </c>
      <c r="KG48" s="7137">
        <f t="shared" si="159"/>
        <v>290.80358905482814</v>
      </c>
      <c r="KH48" s="7137" t="str">
        <f t="shared" si="160"/>
        <v/>
      </c>
      <c r="KI48" s="7137" t="str">
        <f t="shared" si="161"/>
        <v/>
      </c>
      <c r="KJ48" s="7137">
        <f t="shared" si="162"/>
        <v>678.96358905482816</v>
      </c>
      <c r="KK48" s="7137">
        <f t="shared" si="193"/>
        <v>2098.1440000000002</v>
      </c>
      <c r="KL48" s="7137">
        <f t="shared" si="163"/>
        <v>129.425625</v>
      </c>
      <c r="KM48" s="7137">
        <f t="shared" si="164"/>
        <v>2227.5696250000001</v>
      </c>
      <c r="KN48" s="7137" t="str">
        <f t="shared" si="165"/>
        <v/>
      </c>
      <c r="KO48" s="7137">
        <f t="shared" si="166"/>
        <v>2227.5696250000001</v>
      </c>
      <c r="KP48" s="7138">
        <f t="shared" si="167"/>
        <v>2906.533214054828</v>
      </c>
      <c r="KQ48" s="1820">
        <f>+IF(D48="","",VLOOKUP(MATCH(BE48,ac_id,0),ad,ac!$F$8,FALSE)*JV48)</f>
        <v>32025</v>
      </c>
      <c r="KR48" s="7075">
        <f>+IF(D48="","",IF(JT48=1,VLOOKUP(MATCH(BE48,ac_id,0),ad,ac!$H$8,FALSE)*JU48, (VLOOKUP(MATCH(BE48,ac_id,0),ad,ac!$H$8,FALSE)*JU48^(1+VLOOKUP(MATCH(BE48,ac_id,0),ad,ac!$I$8,FALSE)))))</f>
        <v>5000</v>
      </c>
      <c r="KS48" s="1819">
        <f t="shared" si="168"/>
        <v>37025</v>
      </c>
      <c r="KT48" s="1820">
        <f t="shared" si="169"/>
        <v>1336.5417749999999</v>
      </c>
      <c r="KU48" s="2441">
        <f t="shared" si="170"/>
        <v>69027</v>
      </c>
      <c r="KV48" s="7378">
        <f t="shared" si="171"/>
        <v>1</v>
      </c>
      <c r="KW48" s="7282">
        <f t="shared" si="172"/>
        <v>148081.06430477212</v>
      </c>
      <c r="KX48" s="1819">
        <f t="shared" si="173"/>
        <v>218444.60607977211</v>
      </c>
      <c r="KY48" s="1751">
        <f t="shared" si="174"/>
        <v>221351.13929382694</v>
      </c>
      <c r="KZ48" s="7379"/>
      <c r="LA48" s="7282">
        <f t="shared" si="175"/>
        <v>80750.372257284514</v>
      </c>
      <c r="LB48" s="7293">
        <f t="shared" si="176"/>
        <v>217627.00325527927</v>
      </c>
      <c r="LC48" s="5133"/>
      <c r="LD48" s="5132"/>
      <c r="LE48" s="5132"/>
      <c r="LF48" s="5132"/>
      <c r="LG48" s="5132"/>
      <c r="LH48" s="5132"/>
      <c r="LI48" s="5132"/>
      <c r="LJ48" s="5132"/>
    </row>
    <row r="49" spans="1:322" s="717" customFormat="1" ht="27.95" customHeight="1">
      <c r="A49" s="10539"/>
      <c r="B49" s="9819" t="str">
        <f>+IF(A49="","",VLOOKUP(MATCH(A49,tid,0),tao,'12(id)'!$J$20,FALSE))</f>
        <v/>
      </c>
      <c r="C49" s="10561"/>
      <c r="D49" s="1107" t="str">
        <f t="shared" si="48"/>
        <v>8303-01-06</v>
      </c>
      <c r="E49" s="721" t="str">
        <f t="shared" si="91"/>
        <v>Dual Fuel (Natural Gas with Liquid Backup)</v>
      </c>
      <c r="F49" s="721" t="str">
        <f t="shared" si="49"/>
        <v>Nat Gas</v>
      </c>
      <c r="G49" s="5133"/>
      <c r="H49" s="5132"/>
      <c r="I49" s="5133"/>
      <c r="J49" s="719">
        <f t="shared" si="68"/>
        <v>15</v>
      </c>
      <c r="K49" s="9663"/>
      <c r="L49" s="9648"/>
      <c r="M49" s="9650"/>
      <c r="N49" s="9648"/>
      <c r="O49" s="9648"/>
      <c r="P49" s="9648"/>
      <c r="Q49" s="9680"/>
      <c r="R49" s="9648"/>
      <c r="S49" s="9648"/>
      <c r="T49" s="10716"/>
      <c r="U49" s="10716"/>
      <c r="V49" s="9504"/>
      <c r="W49" s="9504"/>
      <c r="X49" s="9504"/>
      <c r="Y49" s="9504"/>
      <c r="Z49" s="9518"/>
      <c r="AA49" s="9518"/>
      <c r="AB49" s="9648"/>
      <c r="AC49" s="9648" t="str">
        <f>+IF(ISERROR(MATCH(O49,tid,0)),"",IF(VLOOKUP(MATCH(O49,tid,0),tao,'12(id)'!$DQ$20,FALSE)="","",VLOOKUP(MATCH(O49,tid,0),tao,'12(id)'!$DQ$20,FALSE)))</f>
        <v/>
      </c>
      <c r="AD49" s="10671" t="str">
        <f>+IF(ISERROR(MATCH(O49,tid,0)),"",IF(VLOOKUP(MATCH(O49,tid,0),tao,'12(id)'!$EI$20,FALSE)="","",VLOOKUP(MATCH(O49,tid,0),tao,'12(id)'!$EI$20,FALSE)))</f>
        <v/>
      </c>
      <c r="AE49" s="10766"/>
      <c r="AF49" s="10671" t="str">
        <f>+IF(ISERROR(MATCH(O49,tid,0)),"",IF(VLOOKUP(MATCH(O49,tid,0),tao,'12(id)'!$EL$20,FALSE)="","",VLOOKUP(MATCH(O49,tid,0),tao,'12(id)'!$EL$20,FALSE)))</f>
        <v/>
      </c>
      <c r="AG49" s="10691" t="str">
        <f>+IF(ISERROR(MATCH(O49,tid,0)),"",IF(VLOOKUP(MATCH(O49,tid,0),tao,'12(id)'!$EM$20,FALSE)="","",VLOOKUP(MATCH(O49,tid,0),tao,'12(id)'!$EM$20,FALSE)))</f>
        <v/>
      </c>
      <c r="AH49" s="10757"/>
      <c r="AI49" s="10682"/>
      <c r="AJ49" s="10682"/>
      <c r="AK49" s="10682"/>
      <c r="AL49" s="10682"/>
      <c r="AM49" s="10676"/>
      <c r="AN49" s="10679"/>
      <c r="AO49" s="10342" t="str">
        <f>+IF(ISERROR(MATCH(O49,tid,0)),"",IF(VLOOKUP(MATCH(O49,tid,0),tao,'12(id)'!$GY$20,FALSE)="","",VLOOKUP(MATCH(O49,tid,0),tao,'12(id)'!$GY$20,FALSE)))</f>
        <v/>
      </c>
      <c r="AP49" s="10292" t="e">
        <f>+IF($BB49="","",IF(VLOOKUP(MATCH(O49,tid,0),tao,'12(id)'!$HE$20,FALSE)="","",VLOOKUP(MATCH(O49,tid,0),tao,'12(id)'!$HE$20,FALSE)))</f>
        <v>#N/A</v>
      </c>
      <c r="AQ49" s="10342" t="str">
        <f>+IF(ISERROR(VLOOKUP(MATCH(O49,tid,0),tao,'12(id)'!$HF$20,FALSE)),"",VLOOKUP(MATCH(O49,tid,0),tao,'12(id)'!$HF$20,FALSE))</f>
        <v/>
      </c>
      <c r="AR49" s="10336" t="str">
        <f>+IF(ISERROR(MATCH(O49,tid,0)),"",IF(VLOOKUP(MATCH(O49,tid,0),tao,'12(id)'!$HJ$20,FALSE)="","",VLOOKUP(MATCH(O49,tid,0),tao,'12(id)'!$HJ$20,FALSE)))</f>
        <v/>
      </c>
      <c r="AS49" s="10339" t="str">
        <f>+IF(ISERROR(MATCH(O49,tid,0)),"",IF(VLOOKUP(MATCH(O49,tid,0),tao,'12(id)'!$HK$20,FALSE)="","",VLOOKUP(MATCH(O49,tid,0),tao,'12(id)'!$HK$20,FALSE)))</f>
        <v/>
      </c>
      <c r="AT49" s="10694" t="str">
        <f>+IF(ISERROR(MATCH(O49,tid,0)),"",IF(VLOOKUP(MATCH(O49,tid,0),tao,'12(id)'!$HM$20,FALSE)="","",VLOOKUP(MATCH(O49,tid,0),tao,'12(id)'!$HM$20,FALSE)))</f>
        <v/>
      </c>
      <c r="AU49" s="10359"/>
      <c r="AV49" s="10325"/>
      <c r="AW49" s="10392"/>
      <c r="AX49" s="10330"/>
      <c r="AY49" s="10325"/>
      <c r="AZ49" s="10400"/>
      <c r="BA49" s="720"/>
      <c r="BB49" s="721" t="str">
        <f t="shared" si="11"/>
        <v>8303-01-06</v>
      </c>
      <c r="BC49" s="722">
        <f>1+BC48</f>
        <v>6</v>
      </c>
      <c r="BD49" s="721" t="str">
        <f>+IF(OR(D49="",VLOOKUP(MATCH(D49,op_id,0),op,'7(op)'!$T$18,FALSE)=""),"",VLOOKUP(MATCH(D49,op_id,0),op,'7(op)'!$T$18,FALSE))</f>
        <v>Dual Fuel (Natural Gas with Liquid Backup)</v>
      </c>
      <c r="BE49" s="721" t="s">
        <v>499</v>
      </c>
      <c r="BF49" s="721" t="s">
        <v>1862</v>
      </c>
      <c r="BG49" s="723" t="s">
        <v>1613</v>
      </c>
      <c r="BH49" s="904"/>
      <c r="BI49" s="905"/>
      <c r="BJ49" s="669"/>
      <c r="BK49" s="3480">
        <v>120</v>
      </c>
      <c r="BL49" s="669"/>
      <c r="BM49" s="669"/>
      <c r="BN49" s="669"/>
      <c r="BO49" s="670"/>
      <c r="BP49" s="669"/>
      <c r="BQ49" s="669"/>
      <c r="BR49" s="671"/>
      <c r="BS49" s="672"/>
      <c r="BT49" s="673"/>
      <c r="BU49" s="3721">
        <f>+IF(BB49="","",IF(VLOOKUP(MATCH(BB49,ef_id,0),ef,'11(eff)'!$Z$23,FALSE)="","",VLOOKUP(MATCH(BB49,ef_id,0),ef,'11(eff)'!$Z$23,FALSE)))</f>
        <v>0.47304020750724735</v>
      </c>
      <c r="BV49" s="3742">
        <f>+IF(BB49="","",IF(VLOOKUP(MATCH(BB49,ef_id,0),ef,'11(eff)'!$AA$23,FALSE)="","",VLOOKUP(MATCH(BB49,ef_id,0),ef,'11(eff)'!$AA$23,FALSE)))</f>
        <v>120</v>
      </c>
      <c r="BW49" s="3766">
        <f>+'A3(trc)'!I29</f>
        <v>2.9446752917326147</v>
      </c>
      <c r="BX49" s="3788">
        <f>+IF(OR(BB49="",BW49=""),"",BW49/IF(R44="",IF(R43="",R42,R43),R44))</f>
        <v>2.9446752917326147</v>
      </c>
      <c r="BY49" s="3810">
        <f>+IF($BB49="","",IF(BU49="","",BU49/2000*IF(AQ44="",IF(AQ43="",AQ42,AQ43),AQ44)))</f>
        <v>2.9446752917326151</v>
      </c>
      <c r="BZ49" s="3771"/>
      <c r="CA49" s="3721"/>
      <c r="CB49" s="3842">
        <f t="shared" si="191"/>
        <v>1.6369247082673861</v>
      </c>
      <c r="CC49" s="3861">
        <f t="shared" si="177"/>
        <v>0.35728232675645755</v>
      </c>
      <c r="CD49" s="3861">
        <f t="shared" si="178"/>
        <v>0.35728232675645744</v>
      </c>
      <c r="CE49" s="2731">
        <f>+IF(BB49="","",IF(VLOOKUP(MATCH(BB49,ef_id,0),ef,'11(eff)'!$AE$23,FALSE)="","",VLOOKUP(MATCH(BB49,ef_id,0),ef,'11(eff)'!$AE$23,FALSE)))</f>
        <v>0.35728232675645738</v>
      </c>
      <c r="CF49" s="672"/>
      <c r="CG49" s="673"/>
      <c r="CH49" s="2397"/>
      <c r="CI49" s="3842">
        <f t="shared" si="179"/>
        <v>0.47764810689137593</v>
      </c>
      <c r="CJ49" s="4053">
        <f t="shared" si="180"/>
        <v>121.14130434782611</v>
      </c>
      <c r="CK49" s="3842">
        <f t="shared" si="181"/>
        <v>1.0926200445140224</v>
      </c>
      <c r="CL49" s="3918">
        <f t="shared" si="182"/>
        <v>0.60737995548597756</v>
      </c>
      <c r="CM49" s="3938">
        <f t="shared" si="183"/>
        <v>0.35728232675645738</v>
      </c>
      <c r="CN49" s="3938">
        <f t="shared" si="184"/>
        <v>0.35713579153246844</v>
      </c>
      <c r="CO49" s="3939">
        <f>+IF(BB49="","",IF(VLOOKUP(MATCH(BB49,ef_id,0),ef,'11(eff)'!$AE$23,FALSE)="","",VLOOKUP(MATCH(BB49,ef_id,0),ef,'11(eff)'!$AE$23,FALSE)))</f>
        <v>0.35728232675645738</v>
      </c>
      <c r="CP49" s="3940" t="str">
        <f>+IF(OR(BB49="",VLOOKUP(MATCH(BB49,ef_id,0),ef,'11(eff)'!$AG$23,FALSE)=""),"",IF(VLOOKUP(MATCH(BB49,ef_id,0),ef,'11(eff)'!$AG$23,FALSE)/100=VLOOKUP(MATCH(BB49,ef_id,0),ef,'11(eff)'!$AE$23,FALSE),VLOOKUP(MATCH(BB49,ef_id,0),ef,'11(eff)'!$AE$23,FALSE),""))</f>
        <v/>
      </c>
      <c r="CQ49" s="720" t="str">
        <f t="shared" si="51"/>
        <v>Dual Fuel (Natural Gas with Liquid Backup)</v>
      </c>
      <c r="CR49" s="674"/>
      <c r="CS49" s="2752">
        <v>2860000</v>
      </c>
      <c r="CT49" s="1580">
        <v>2500000</v>
      </c>
      <c r="CU49" s="1488"/>
      <c r="CV49" s="1803">
        <f t="shared" si="16"/>
        <v>500000</v>
      </c>
      <c r="CW49" s="1804"/>
      <c r="CX49" s="1804"/>
      <c r="CY49" s="1805"/>
      <c r="CZ49" s="2465">
        <v>1000000</v>
      </c>
      <c r="DA49" s="2069">
        <v>1000000</v>
      </c>
      <c r="DB49" s="2069"/>
      <c r="DC49" s="1803"/>
      <c r="DD49" s="1807"/>
      <c r="DE49" s="1808"/>
      <c r="DF49" s="1809"/>
      <c r="DG49" s="1809"/>
      <c r="DH49" s="1807"/>
      <c r="DI49" s="1684">
        <f t="shared" si="185"/>
        <v>2500000</v>
      </c>
      <c r="DJ49" s="1930"/>
      <c r="DK49" s="1580"/>
      <c r="DL49" s="1488"/>
      <c r="DM49" s="1803"/>
      <c r="DN49" s="1804"/>
      <c r="DO49" s="1804"/>
      <c r="DP49" s="1805"/>
      <c r="DQ49" s="2465"/>
      <c r="DR49" s="2069"/>
      <c r="DS49" s="2069"/>
      <c r="DT49" s="1803"/>
      <c r="DU49" s="1807"/>
      <c r="DV49" s="1808"/>
      <c r="DW49" s="1809"/>
      <c r="DX49" s="1809"/>
      <c r="DY49" s="1807"/>
      <c r="DZ49" s="1684" t="str">
        <f t="shared" si="18"/>
        <v/>
      </c>
      <c r="EA49" s="1930"/>
      <c r="EB49" s="1488">
        <f t="shared" si="19"/>
        <v>2500000</v>
      </c>
      <c r="EC49" s="1954">
        <v>1</v>
      </c>
      <c r="ED49" s="1408">
        <f>+IF(EB49&gt;0,IF(ISERROR(EB49*EC49),"",EB49*EC49),"")</f>
        <v>2500000</v>
      </c>
      <c r="EE49" s="1806"/>
      <c r="EF49" s="2069"/>
      <c r="EG49" s="1805"/>
      <c r="EH49" s="1684"/>
      <c r="EI49" s="1808"/>
      <c r="EJ49" s="1809"/>
      <c r="EK49" s="1999"/>
      <c r="EL49" s="1448"/>
      <c r="EM49" s="1808"/>
      <c r="EN49" s="1809"/>
      <c r="EO49" s="1999"/>
      <c r="EP49" s="1684">
        <f t="shared" si="21"/>
        <v>0</v>
      </c>
      <c r="EQ49" s="1684"/>
      <c r="ER49" s="1684"/>
      <c r="ES49" s="1684"/>
      <c r="ET49" s="1448"/>
      <c r="EU49" s="1421"/>
      <c r="EV49" s="1383"/>
      <c r="EW49" s="2572"/>
      <c r="EX49" s="2572"/>
      <c r="EY49" s="2679">
        <f t="shared" si="92"/>
        <v>2500000</v>
      </c>
      <c r="EZ49" s="2708"/>
      <c r="FA49" s="1383">
        <f>2*FA48</f>
        <v>360000</v>
      </c>
      <c r="FB49" s="1470">
        <f t="shared" si="93"/>
        <v>2860000</v>
      </c>
      <c r="FC49" s="1488">
        <f>+IF(OR(ED49="",IF(R49="",R44,R49)=""),"",ED49/IF(R49="",R44,R49))</f>
        <v>2500000</v>
      </c>
      <c r="FD49" s="2049" t="str">
        <f>+IF(OR(BB49="",IF(R49="",R44,R49)="",(CU49+DL49)=0),"",(CU49+DL49)/IF(R49="",R44,R49))</f>
        <v/>
      </c>
      <c r="FE49" s="2033" t="str">
        <f t="shared" si="94"/>
        <v/>
      </c>
      <c r="FF49" s="2049">
        <f>+IF(OR(BB49="",CT49="",IF(R49="",R44,R49)=""),"",(SUM(CV49:CZ49)+(IF(DM49="",0,DM49)+SUM(DN49:DQ49)))/IF(R49="",R44,R49))</f>
        <v>1500000</v>
      </c>
      <c r="FG49" s="2033">
        <f t="shared" si="95"/>
        <v>0.6</v>
      </c>
      <c r="FH49" s="2049">
        <f>+IF(OR(BB49="",IF(R49="",R44,R49)="",),"",(DA49+DR49)/IF(R49="",R44,R49))</f>
        <v>1000000</v>
      </c>
      <c r="FI49" s="2033">
        <f t="shared" si="96"/>
        <v>0.4</v>
      </c>
      <c r="FJ49" s="1507">
        <f t="shared" si="90"/>
        <v>2500000</v>
      </c>
      <c r="FK49" s="2033">
        <f t="shared" si="192"/>
        <v>1</v>
      </c>
      <c r="FL49" s="2629">
        <f>+IF(OR(BB49="",CT49="",IF(R49="",R44,R49)=""),"",(DB49+DC49+DS49+DT49)/IF(R49="",R44,R49))</f>
        <v>0</v>
      </c>
      <c r="FM49" s="2033">
        <f t="shared" si="97"/>
        <v>0</v>
      </c>
      <c r="FN49" s="2049">
        <f>+IF(OR(BB49="",CT49="",IF(R49="",R44,R49)=""),"",(DD49+DU49)/IF(R49="",R44,R49))</f>
        <v>0</v>
      </c>
      <c r="FO49" s="2033">
        <f t="shared" si="98"/>
        <v>0</v>
      </c>
      <c r="FP49" s="2049">
        <f>+IF(OR(BB49="",CT49="",IF(R49="",R44,R49)=""),"",(DG49+DH49+DX49+DY49)/IF(R49="",R44,R49))</f>
        <v>0</v>
      </c>
      <c r="FQ49" s="2033">
        <f t="shared" si="99"/>
        <v>0</v>
      </c>
      <c r="FR49" s="2837">
        <f>+IF(OR(BB49="",IF(R49="",R44,R49)="",(IF(DI49="",0,DI49)+IF(DZ49="",0,DZ49))=0),"",(IF(DI49="",0,DI49)+IF(DZ49="",0,DZ49))/IF(R49="",R44,R49))</f>
        <v>2500000</v>
      </c>
      <c r="FS49" s="1804" t="str">
        <f>+IF(OR(DJ49="",IF(R49="",R44,R49)=""),"",(DJ49+EA49)/IF(R49="",R44,R49))</f>
        <v/>
      </c>
      <c r="FT49" s="2731" t="str">
        <f t="shared" si="100"/>
        <v/>
      </c>
      <c r="FU49" s="2881">
        <f>+IF(OR(BB49="",ISERROR(1-(FR49+IF(FS49="",0,FS49)+FN49+FP49)*IF(R49="",R44,R49)/(CT49+DK49))),"",1-(FR49+IF(FS49="",0,FS49)+FN49+FP49)*IF(R49="",R44,R49)/(CT49+DK49))</f>
        <v>0</v>
      </c>
      <c r="FV49" s="1715">
        <f>+IF(FC49="","",FC49/IF(T49="",IF(T44="",1,T44),T49))</f>
        <v>125000</v>
      </c>
      <c r="FW49" s="2629" t="str">
        <f>+IF(OR(EH49="",IF(R49="",R44,R49)=""),"",EH49/IF(R49="",R44,R49))</f>
        <v/>
      </c>
      <c r="FX49" s="2667" t="str">
        <f t="shared" si="101"/>
        <v/>
      </c>
      <c r="FY49" s="2049">
        <f>+IF(OR(EP49="",IF(R49="",R44,R49)=""),"",EP49/IF(R49="",R44,R49))</f>
        <v>0</v>
      </c>
      <c r="FZ49" s="2667">
        <f t="shared" si="102"/>
        <v>0</v>
      </c>
      <c r="GA49" s="2667" t="str">
        <f>+IF(IF(V49="",V44,V49)="Utility Boiler",IF(ISERR(FY49/(FC49+FW49)),"",FY49/(FC49+FW49)),"")</f>
        <v/>
      </c>
      <c r="GB49" s="2049" t="str">
        <f>+IF(OR(ET49="",IF(R49="",R44,R49)=""),"",ET49/IF(R49="",R44,R49))</f>
        <v/>
      </c>
      <c r="GC49" s="2667" t="str">
        <f t="shared" si="103"/>
        <v/>
      </c>
      <c r="GD49" s="2667" t="str">
        <f>+IF(IF(V49="",V44,V49)="Utility Boiler",IF(ISERR(GB49/($FC49)),"",GB49/(FC49+FW49+FY49)),"")</f>
        <v/>
      </c>
      <c r="GE49" s="1610">
        <f>+IF(OR(FB49="",IF(R49="",R44,R49)=""),"",FB49/IF(R49="",R44,R49))</f>
        <v>2860000</v>
      </c>
      <c r="GF49" s="2136">
        <f t="shared" si="186"/>
        <v>2860000</v>
      </c>
      <c r="GG49" s="2159">
        <f>+IF(OR(CS49="",IF(R49="",R44,R49)=""),"",1-(CS49/IF(R49="",R44,R49))/GF49)</f>
        <v>0</v>
      </c>
      <c r="GH49" s="2505">
        <f>+IF(IF(T49="",T44,T49)="","",IF(GF49="","",GF49/IF(T49="",T44,T49)))</f>
        <v>143000</v>
      </c>
      <c r="GI49" s="1610">
        <v>384364</v>
      </c>
      <c r="GJ49" s="1507">
        <v>234808</v>
      </c>
      <c r="GK49" s="3440">
        <f>+IF(OR(BB49="",GJ49=""),"",IF(CB49="",1,CB49*IF(R49="",IF(R48="",$R$44,R48),R49)))</f>
        <v>1.6369247082673861</v>
      </c>
      <c r="GL49" s="3215">
        <f t="shared" si="104"/>
        <v>-2.5577412715862501E-6</v>
      </c>
      <c r="GM49" s="1135"/>
      <c r="GN49" s="1134"/>
      <c r="GO49" s="2283"/>
      <c r="GP49" s="2284"/>
      <c r="GQ49" s="2213"/>
      <c r="GR49" s="2213"/>
      <c r="GS49" s="2213">
        <f t="shared" si="105"/>
        <v>114400</v>
      </c>
      <c r="GT49" s="2213">
        <v>269964</v>
      </c>
      <c r="GU49" s="2335">
        <f t="shared" si="187"/>
        <v>384364</v>
      </c>
      <c r="GV49" s="1133" t="str">
        <f>+IF(OR(GO49="",IF(R49="",R44,R49)=""),"",GO49/IF(R49="",R44,R49))</f>
        <v/>
      </c>
      <c r="GW49" s="2243" t="str">
        <f>+IF(OR(GP49="",IF(R49="",R44,R49)=""),"",GP49/IF(R49="",R44,R49))</f>
        <v/>
      </c>
      <c r="GX49" s="2213" t="str">
        <f>+IF(OR(GQ49="",IF(R49="",R44,R49)=""),"",GQ49/IF(R49="",R44,R49))</f>
        <v/>
      </c>
      <c r="GY49" s="2213" t="str">
        <f>+IF(OR(GR49="",IF(R49="",R44,R49)=""),"",GR49/IF(R49="",R379,R49))</f>
        <v/>
      </c>
      <c r="GZ49" s="2213">
        <f>+IF(OR(GS49="",IF(R49="",R44,R49)=""),"",GS49/IF(R49="",R44,R49))</f>
        <v>114400</v>
      </c>
      <c r="HA49" s="2213">
        <f>+IF(OR(GT49="",IF(R49="",R44,R49)=""),"",GT49/IF(R49="",R44,R49))</f>
        <v>269964</v>
      </c>
      <c r="HB49" s="1333">
        <f t="shared" si="22"/>
        <v>384364</v>
      </c>
      <c r="HC49" s="1133">
        <f>+IF(OR(GU49="",IF(R49="",R44,R49)=""),"",GU49/IF(R49="",R44,R49))</f>
        <v>384364</v>
      </c>
      <c r="HD49" s="2349">
        <f t="shared" si="106"/>
        <v>0</v>
      </c>
      <c r="HE49" s="1135"/>
      <c r="HF49" s="1518">
        <f t="shared" si="107"/>
        <v>234808</v>
      </c>
      <c r="HG49" s="1134"/>
      <c r="HH49" s="2981">
        <f t="shared" si="108"/>
        <v>4</v>
      </c>
      <c r="HI49" s="2927">
        <f t="shared" si="109"/>
        <v>2500000</v>
      </c>
      <c r="HJ49" s="2931">
        <f t="shared" si="110"/>
        <v>0</v>
      </c>
      <c r="HK49" s="2931">
        <f t="shared" si="111"/>
        <v>0</v>
      </c>
      <c r="HL49" s="2931" t="str">
        <f t="shared" si="112"/>
        <v/>
      </c>
      <c r="HM49" s="2934">
        <f t="shared" si="113"/>
        <v>2500000</v>
      </c>
      <c r="HN49" s="2911">
        <f>+IF(FR49="","",HM49/IF(T49="",IF(T44="",1,T44),T49))</f>
        <v>125000</v>
      </c>
      <c r="HO49" s="2955" t="str">
        <f t="shared" si="114"/>
        <v/>
      </c>
      <c r="HP49" s="2931">
        <f t="shared" si="115"/>
        <v>0</v>
      </c>
      <c r="HQ49" s="3110" t="str">
        <f t="shared" si="116"/>
        <v/>
      </c>
      <c r="HR49" s="2956" t="str">
        <f t="shared" si="117"/>
        <v/>
      </c>
      <c r="HS49" s="2956">
        <f t="shared" si="118"/>
        <v>0</v>
      </c>
      <c r="HT49" s="1204" t="str">
        <f t="shared" si="119"/>
        <v/>
      </c>
      <c r="HU49" s="1205" t="str">
        <f t="shared" si="120"/>
        <v/>
      </c>
      <c r="HV49" s="1204" t="str">
        <f t="shared" si="121"/>
        <v/>
      </c>
      <c r="HW49" s="1205" t="str">
        <f t="shared" si="122"/>
        <v/>
      </c>
      <c r="HX49" s="2909">
        <f t="shared" si="24"/>
        <v>2500000</v>
      </c>
      <c r="HY49" s="2931" t="str">
        <f>+IF(EZ49="","",EZ49/IF(R49="",IF(R44="",1,R44),R49))</f>
        <v/>
      </c>
      <c r="HZ49" s="2956">
        <f>+IF(FA49="","",FA49/IF(R49="",IF(R44="",1,R44),R49))</f>
        <v>360000</v>
      </c>
      <c r="IA49" s="2927">
        <f t="shared" si="123"/>
        <v>2860000</v>
      </c>
      <c r="IB49" s="3040" t="str">
        <f t="shared" si="25"/>
        <v>same TCC</v>
      </c>
      <c r="IC49" s="2911">
        <f>+IF(IA49="","",IA49/IF(T49="",IF(T44="",1,T44),T49))</f>
        <v>143000</v>
      </c>
      <c r="ID49" s="1204"/>
      <c r="IE49" s="4097"/>
      <c r="IF49" s="2909" t="str">
        <f t="shared" si="124"/>
        <v/>
      </c>
      <c r="IG49" s="6766"/>
      <c r="IH49" s="4164" t="str">
        <f t="shared" si="125"/>
        <v/>
      </c>
      <c r="II49" s="4165"/>
      <c r="IJ49" s="4165" t="str">
        <f t="shared" si="126"/>
        <v/>
      </c>
      <c r="IK49" s="4127">
        <v>1</v>
      </c>
      <c r="IL49" s="2069" t="str">
        <f t="shared" si="127"/>
        <v/>
      </c>
      <c r="IM49" s="1805">
        <f t="shared" si="128"/>
        <v>114400</v>
      </c>
      <c r="IN49" s="4225">
        <f t="shared" si="129"/>
        <v>114400</v>
      </c>
      <c r="IO49" s="4225">
        <f t="shared" si="130"/>
        <v>114400</v>
      </c>
      <c r="IP49" s="4225" t="str">
        <f t="shared" ref="IP49:IP51" si="194">+IF(BB49="","",IF(IJ49="","",IJ49/$R$44))</f>
        <v/>
      </c>
      <c r="IQ49" s="6839" t="str">
        <f t="shared" ref="IQ49:IQ51" si="195">+IF(IP49="","",IP49/IX49)</f>
        <v/>
      </c>
      <c r="IR49" s="4225">
        <f t="shared" ref="IR49:IR51" si="196">+IF(BB49="","",IF(IN49="","",IN49/$R$44))</f>
        <v>114400</v>
      </c>
      <c r="IS49" s="6839">
        <f t="shared" ref="IS49:IS51" si="197">+IF(IR49="","",IR49/IX49)</f>
        <v>0.2976347138718895</v>
      </c>
      <c r="IT49" s="4225">
        <f t="shared" si="135"/>
        <v>114400</v>
      </c>
      <c r="IU49" s="6839">
        <f t="shared" si="136"/>
        <v>0.2976347138718895</v>
      </c>
      <c r="IV49" s="4127">
        <f t="shared" si="137"/>
        <v>1</v>
      </c>
      <c r="IW49" s="1805">
        <f t="shared" si="138"/>
        <v>269963.76762571128</v>
      </c>
      <c r="IX49" s="2911">
        <f t="shared" si="139"/>
        <v>384363.76762571128</v>
      </c>
      <c r="IY49" s="4244">
        <f t="shared" si="140"/>
        <v>384364</v>
      </c>
      <c r="IZ49" s="4274">
        <f t="shared" si="141"/>
        <v>6.0456829652049633E-7</v>
      </c>
      <c r="JA49" s="4275" t="str">
        <f t="shared" si="142"/>
        <v>stk added + 0%</v>
      </c>
      <c r="JB49" s="1205"/>
      <c r="JC49" s="4322"/>
      <c r="JD49" s="1518">
        <f t="shared" si="143"/>
        <v>234808.45862027686</v>
      </c>
      <c r="JE49" s="4357">
        <f t="shared" si="144"/>
        <v>632822.60824391828</v>
      </c>
      <c r="JF49" s="7028">
        <f>+JF48</f>
        <v>20</v>
      </c>
      <c r="JG49" s="2069" t="s">
        <v>499</v>
      </c>
      <c r="JH49" s="6959">
        <f t="shared" si="145"/>
        <v>2500000</v>
      </c>
      <c r="JI49" s="6959">
        <f>+JH49</f>
        <v>2500000</v>
      </c>
      <c r="JJ49" s="6959"/>
      <c r="JK49" s="6959"/>
      <c r="JL49" s="6996"/>
      <c r="JM49" s="1804" t="str">
        <f t="shared" si="146"/>
        <v>N/A</v>
      </c>
      <c r="JN49" s="2069" t="str">
        <f t="shared" si="147"/>
        <v/>
      </c>
      <c r="JO49" s="2069">
        <f>+JI49</f>
        <v>2500000</v>
      </c>
      <c r="JP49" s="3010"/>
      <c r="JQ49" s="3010"/>
      <c r="JR49" s="2069"/>
      <c r="JS49" s="1805">
        <f t="shared" si="148"/>
        <v>2500000</v>
      </c>
      <c r="JT49" s="7130">
        <f t="shared" si="54"/>
        <v>1</v>
      </c>
      <c r="JU49" s="7131">
        <f t="shared" si="188"/>
        <v>20</v>
      </c>
      <c r="JV49" s="8366">
        <f t="shared" si="189"/>
        <v>4575</v>
      </c>
      <c r="JW49" s="8393">
        <f t="shared" si="149"/>
        <v>0.60737995548597756</v>
      </c>
      <c r="JX49" s="8422" t="str">
        <f t="shared" si="150"/>
        <v/>
      </c>
      <c r="JY49" s="8457" t="str">
        <f t="shared" si="151"/>
        <v/>
      </c>
      <c r="JZ49" s="7132" t="str">
        <f t="shared" si="152"/>
        <v/>
      </c>
      <c r="KA49" s="7130">
        <f t="shared" si="153"/>
        <v>12479.541734860884</v>
      </c>
      <c r="KB49" s="7131">
        <f t="shared" si="154"/>
        <v>8735.6792144026185</v>
      </c>
      <c r="KC49" s="7132">
        <f t="shared" si="155"/>
        <v>17.452692447577881</v>
      </c>
      <c r="KD49" s="7130">
        <f t="shared" si="156"/>
        <v>388.16</v>
      </c>
      <c r="KE49" s="8330" t="str">
        <f t="shared" si="157"/>
        <v/>
      </c>
      <c r="KF49" s="8330" t="str">
        <f t="shared" si="158"/>
        <v/>
      </c>
      <c r="KG49" s="7131">
        <f t="shared" si="159"/>
        <v>290.80358905482814</v>
      </c>
      <c r="KH49" s="7131" t="str">
        <f t="shared" si="160"/>
        <v/>
      </c>
      <c r="KI49" s="7131" t="str">
        <f t="shared" si="161"/>
        <v/>
      </c>
      <c r="KJ49" s="7131">
        <f t="shared" si="162"/>
        <v>678.96358905482816</v>
      </c>
      <c r="KK49" s="7131">
        <f t="shared" si="193"/>
        <v>2098.1440000000002</v>
      </c>
      <c r="KL49" s="7131">
        <f t="shared" si="163"/>
        <v>187.5</v>
      </c>
      <c r="KM49" s="7131">
        <f t="shared" si="164"/>
        <v>2285.6440000000002</v>
      </c>
      <c r="KN49" s="7131" t="str">
        <f t="shared" si="165"/>
        <v/>
      </c>
      <c r="KO49" s="7131">
        <f t="shared" si="166"/>
        <v>2285.6440000000002</v>
      </c>
      <c r="KP49" s="7132">
        <f t="shared" si="167"/>
        <v>2964.6075890548282</v>
      </c>
      <c r="KQ49" s="1806">
        <f>+IF(D49="","",VLOOKUP(MATCH(BE49,ac_id,0),ad,ac!$F$8,FALSE)*JV49)</f>
        <v>32025</v>
      </c>
      <c r="KR49" s="3010">
        <f>+IF(D49="","",IF(JT49=1,VLOOKUP(MATCH(BE49,ac_id,0),ad,ac!$H$8,FALSE)*JU49, (VLOOKUP(MATCH(BE49,ac_id,0),ad,ac!$H$8,FALSE)*JU49^(1+VLOOKUP(MATCH(BE49,ac_id,0),ad,ac!$I$8,FALSE)))))</f>
        <v>5000</v>
      </c>
      <c r="KS49" s="1805">
        <f t="shared" si="168"/>
        <v>37025</v>
      </c>
      <c r="KT49" s="1806">
        <f t="shared" si="169"/>
        <v>1371.3864000000001</v>
      </c>
      <c r="KU49" s="2069">
        <f t="shared" si="170"/>
        <v>100000</v>
      </c>
      <c r="KV49" s="7374">
        <f t="shared" si="171"/>
        <v>1</v>
      </c>
      <c r="KW49" s="7280">
        <f t="shared" si="172"/>
        <v>214526.29305166405</v>
      </c>
      <c r="KX49" s="1805">
        <f t="shared" si="173"/>
        <v>315897.67945166404</v>
      </c>
      <c r="KY49" s="2505">
        <f t="shared" si="174"/>
        <v>318862.28704071889</v>
      </c>
      <c r="KZ49" s="7375"/>
      <c r="LA49" s="7280">
        <f t="shared" si="175"/>
        <v>194793.49626179252</v>
      </c>
      <c r="LB49" s="7291">
        <f t="shared" si="176"/>
        <v>524979.93086648767</v>
      </c>
      <c r="LC49" s="5133"/>
      <c r="LD49" s="5132"/>
      <c r="LE49" s="5132"/>
      <c r="LF49" s="5132"/>
      <c r="LG49" s="5132"/>
      <c r="LH49" s="5132"/>
      <c r="LI49" s="5132"/>
      <c r="LJ49" s="5132"/>
    </row>
    <row r="50" spans="1:322" s="645" customFormat="1" ht="27.95" customHeight="1">
      <c r="A50" s="10539"/>
      <c r="B50" s="9819" t="str">
        <f>+IF(A50="","",VLOOKUP(MATCH(A50,tid,0),tao,'12(id)'!$J$20,FALSE))</f>
        <v/>
      </c>
      <c r="C50" s="10561"/>
      <c r="D50" s="1116" t="str">
        <f t="shared" si="48"/>
        <v>8303-01-07</v>
      </c>
      <c r="E50" s="925" t="str">
        <f t="shared" si="91"/>
        <v>LM2500 DLE - new gas fired GE turbine</v>
      </c>
      <c r="F50" s="925" t="str">
        <f t="shared" si="49"/>
        <v>New Eqp</v>
      </c>
      <c r="G50" s="5133"/>
      <c r="H50" s="5132"/>
      <c r="I50" s="5133"/>
      <c r="J50" s="719">
        <f t="shared" si="68"/>
        <v>16</v>
      </c>
      <c r="K50" s="9663"/>
      <c r="L50" s="9648"/>
      <c r="M50" s="9650"/>
      <c r="N50" s="9648"/>
      <c r="O50" s="9648"/>
      <c r="P50" s="9648"/>
      <c r="Q50" s="9680" t="str">
        <f>+IF(ISERROR(MATCH(O50,tid,0)),"",VLOOKUP(MATCH(O50,tid,0),tao,'12(id)'!$Q$20,FALSE))</f>
        <v/>
      </c>
      <c r="R50" s="9648"/>
      <c r="S50" s="9648"/>
      <c r="T50" s="10716" t="str">
        <f>+IF(ISERROR(MATCH(O50,tid,0)),"",IF(VLOOKUP(MATCH(O50,tid,0),tao,'12(id)'!$CT$20,FALSE)="","",VLOOKUP(MATCH(O50,tid,0),tao,'12(id)'!$CT$20,FALSE)))</f>
        <v/>
      </c>
      <c r="U50" s="10716" t="str">
        <f>+IF(ISERROR(MATCH(O50,tid,0)),"",IF(VLOOKUP(MATCH(O50,tid,0),tao,'12(id)'!$CU$20,FALSE)="","",VLOOKUP(MATCH(O50,tid,0),tao,'12(id)'!$CU$20,FALSE)))</f>
        <v/>
      </c>
      <c r="V50" s="9504" t="str">
        <f>+IF(O50="","",IF(VLOOKUP(MATCH(O50,tid,0),tao,'12(id)'!$T$20,FALSE)="","",VLOOKUP(MATCH(O50,tid,0),tao,'12(id)'!$T$20,FALSE)))</f>
        <v/>
      </c>
      <c r="W50" s="9504" t="str">
        <f>+IF(ISERROR(MATCH(O50,tid,0)),"",IF(VLOOKUP(MATCH(O50,tid,0),tao,'12(id)'!$CO$20,FALSE)="","",VLOOKUP(MATCH(O50,tid,0),tao,'12(id)'!$CO$20,FALSE)))</f>
        <v/>
      </c>
      <c r="X50" s="9504" t="str">
        <f>+IF(ISERROR(MATCH(O50,tid,0)),"",IF(VLOOKUP(MATCH(O50,tid,0),tao,'12(id)'!$CP$20,FALSE)="","",VLOOKUP(MATCH(O50,tid,0),tao,'12(id)'!$CP$20,FALSE)))</f>
        <v/>
      </c>
      <c r="Y50" s="9504"/>
      <c r="Z50" s="9518" t="str">
        <f>+IF(ISERROR(MATCH(O50,tid,0)),"",VLOOKUP(MATCH(O50,tid,0),tao,'12(id)'!$DB$20,FALSE)&amp;" "&amp;VLOOKUP(MATCH(O50,tid,0),tao,'12(id)'!$DC$20,FALSE))</f>
        <v/>
      </c>
      <c r="AA50" s="9518" t="str">
        <f>+IF(ISERROR(MATCH(O50,tid,0)),"",IF(VLOOKUP(MATCH(O50,tid,0),tao,'12(id)'!$DE$20,FALSE)="","",ROUND(VLOOKUP(MATCH(O50,tid,0),tao,'12(id)'!$DE$20,FALSE),0)&amp;" yrs"))</f>
        <v/>
      </c>
      <c r="AB50" s="9648" t="str">
        <f>+IF(ISERROR(MATCH(O50,tid,0)),"",VLOOKUP(MATCH(O50,tid,0),tao,'12(id)'!$DI$20,FALSE))</f>
        <v/>
      </c>
      <c r="AC50" s="9648" t="str">
        <f>+IF(ISERROR(MATCH(O50,tid,0)),"",IF(VLOOKUP(MATCH(O50,tid,0),tao,'12(id)'!$DQ$20,FALSE)="","",VLOOKUP(MATCH(O50,tid,0),tao,'12(id)'!$DQ$20,FALSE)))</f>
        <v/>
      </c>
      <c r="AD50" s="10671" t="str">
        <f>+IF(ISERROR(MATCH(O50,tid,0)),"",IF(VLOOKUP(MATCH(O50,tid,0),tao,'12(id)'!$EI$20,FALSE)="","",VLOOKUP(MATCH(O50,tid,0),tao,'12(id)'!$EI$20,FALSE)))</f>
        <v/>
      </c>
      <c r="AE50" s="10766"/>
      <c r="AF50" s="10671" t="str">
        <f>+IF(ISERROR(MATCH(O50,tid,0)),"",IF(VLOOKUP(MATCH(O50,tid,0),tao,'12(id)'!$EL$20,FALSE)="","",VLOOKUP(MATCH(O50,tid,0),tao,'12(id)'!$EL$20,FALSE)))</f>
        <v/>
      </c>
      <c r="AG50" s="10691" t="str">
        <f>+IF(ISERROR(MATCH(O50,tid,0)),"",IF(VLOOKUP(MATCH(O50,tid,0),tao,'12(id)'!$EM$20,FALSE)="","",VLOOKUP(MATCH(O50,tid,0),tao,'12(id)'!$EM$20,FALSE)))</f>
        <v/>
      </c>
      <c r="AH50" s="10757"/>
      <c r="AI50" s="10682"/>
      <c r="AJ50" s="10682"/>
      <c r="AK50" s="10682"/>
      <c r="AL50" s="10682"/>
      <c r="AM50" s="10676"/>
      <c r="AN50" s="10679"/>
      <c r="AO50" s="10342" t="str">
        <f>+IF(ISERROR(MATCH(O50,tid,0)),"",IF(VLOOKUP(MATCH(O50,tid,0),tao,'12(id)'!$GY$20,FALSE)="","",VLOOKUP(MATCH(O50,tid,0),tao,'12(id)'!$GY$20,FALSE)))</f>
        <v/>
      </c>
      <c r="AP50" s="10292" t="e">
        <f>+IF($BB50="","",IF(VLOOKUP(MATCH(O50,tid,0),tao,'12(id)'!$HE$20,FALSE)="","",VLOOKUP(MATCH(O50,tid,0),tao,'12(id)'!$HE$20,FALSE)))</f>
        <v>#N/A</v>
      </c>
      <c r="AQ50" s="10342" t="str">
        <f>+IF(ISERROR(VLOOKUP(MATCH(O50,tid,0),tao,'12(id)'!$HF$20,FALSE)),"",VLOOKUP(MATCH(O50,tid,0),tao,'12(id)'!$HF$20,FALSE))</f>
        <v/>
      </c>
      <c r="AR50" s="10336" t="str">
        <f>+IF(ISERROR(MATCH(O50,tid,0)),"",IF(VLOOKUP(MATCH(O50,tid,0),tao,'12(id)'!$HJ$20,FALSE)="","",VLOOKUP(MATCH(O50,tid,0),tao,'12(id)'!$HJ$20,FALSE)))</f>
        <v/>
      </c>
      <c r="AS50" s="10339" t="str">
        <f>+IF(ISERROR(MATCH(O50,tid,0)),"",IF(VLOOKUP(MATCH(O50,tid,0),tao,'12(id)'!$HK$20,FALSE)="","",VLOOKUP(MATCH(O50,tid,0),tao,'12(id)'!$HK$20,FALSE)))</f>
        <v/>
      </c>
      <c r="AT50" s="10694" t="str">
        <f>+IF(ISERROR(MATCH(O50,tid,0)),"",IF(VLOOKUP(MATCH(O50,tid,0),tao,'12(id)'!$HM$20,FALSE)="","",VLOOKUP(MATCH(O50,tid,0),tao,'12(id)'!$HM$20,FALSE)))</f>
        <v/>
      </c>
      <c r="AU50" s="10359"/>
      <c r="AV50" s="10325" t="str">
        <f>+IF(ISERROR(MATCH(O50,em_id,0)),"",IF(VLOOKUP(MATCH(O50,em_id,0),em,'5(em)'!$CX$18,FALSE)="","",VLOOKUP(MATCH(O50,em_id,0),em,'5(em)'!$CX$18,FALSE)))</f>
        <v/>
      </c>
      <c r="AW50" s="10392" t="str">
        <f>+IF(ISERROR(MATCH(O50,em_id,0)),"",IF(VLOOKUP(MATCH(O50,em_id,0),em,'5(em)'!$CZ$18,FALSE)="","",VLOOKUP(MATCH(O50,em_id,0),em,'5(em)'!$CZ$18,FALSE)))</f>
        <v/>
      </c>
      <c r="AX50" s="10330" t="str">
        <f t="shared" si="50"/>
        <v/>
      </c>
      <c r="AY50" s="10325"/>
      <c r="AZ50" s="10400" t="str">
        <f>+IF(ISERROR(MATCH(O50,em_id,0)),"",IF(VLOOKUP(MATCH(O50,em_id,0),em,'5(em)'!$DA$18,FALSE)="","",VLOOKUP(MATCH(O50,em_id,0),em,'5(em)'!$DA$18,FALSE)))</f>
        <v/>
      </c>
      <c r="BA50" s="924"/>
      <c r="BB50" s="925" t="str">
        <f t="shared" si="11"/>
        <v>8303-01-07</v>
      </c>
      <c r="BC50" s="662">
        <f>1+BC49</f>
        <v>7</v>
      </c>
      <c r="BD50" s="925" t="str">
        <f>+IF(OR(D50="",VLOOKUP(MATCH(D50,op_id,0),op,'7(op)'!$T$18,FALSE)=""),"",VLOOKUP(MATCH(D50,op_id,0),op,'7(op)'!$T$18,FALSE))</f>
        <v>LM2500 DLE - new gas fired GE turbine</v>
      </c>
      <c r="BE50" s="925" t="s">
        <v>1629</v>
      </c>
      <c r="BF50" s="925" t="s">
        <v>1862</v>
      </c>
      <c r="BG50" s="926" t="s">
        <v>1613</v>
      </c>
      <c r="BH50" s="923"/>
      <c r="BI50" s="927"/>
      <c r="BJ50" s="928"/>
      <c r="BK50" s="3483">
        <v>25</v>
      </c>
      <c r="BL50" s="928"/>
      <c r="BM50" s="928"/>
      <c r="BN50" s="928" t="str">
        <f t="shared" si="12"/>
        <v/>
      </c>
      <c r="BO50" s="929" t="str">
        <f t="shared" si="13"/>
        <v/>
      </c>
      <c r="BP50" s="928" t="str">
        <f t="shared" si="14"/>
        <v/>
      </c>
      <c r="BQ50" s="928" t="str">
        <f>+IF($BB50="","",IF(OR($AK50="",BJ50=""),"",(1-BJ48/$AK50)))</f>
        <v/>
      </c>
      <c r="BR50" s="930"/>
      <c r="BS50" s="931"/>
      <c r="BT50" s="932"/>
      <c r="BU50" s="3724">
        <f>+IF(BB50="","",IF(VLOOKUP(MATCH(BB50,ef_id,0),ef,'11(eff)'!$Z$23,FALSE)="","",VLOOKUP(MATCH(BB50,ef_id,0),ef,'11(eff)'!$Z$23,FALSE)))</f>
        <v>9.855004323067651E-2</v>
      </c>
      <c r="BV50" s="3745">
        <f>+IF(BB50="","",IF(VLOOKUP(MATCH(BB50,ef_id,0),ef,'11(eff)'!$AA$23,FALSE)="","",VLOOKUP(MATCH(BB50,ef_id,0),ef,'11(eff)'!$AA$23,FALSE)))</f>
        <v>25</v>
      </c>
      <c r="BW50" s="3769">
        <f>+'A3(trc)'!I30</f>
        <v>0.61347401911096167</v>
      </c>
      <c r="BX50" s="3791">
        <f>+IF(OR(BB50="",BW50=""),"",BW50/IF(R44="",IF(R43="",R42,R43),R44))</f>
        <v>0.61347401911096167</v>
      </c>
      <c r="BY50" s="3813">
        <f>+IF($BB50="","",IF(BU50="","",BU50/2000*IF(AQ44="",IF(AQ43="",AQ42,AQ43),AQ44)))</f>
        <v>0.61347401911096122</v>
      </c>
      <c r="BZ50" s="3774"/>
      <c r="CA50" s="3724"/>
      <c r="CB50" s="3845">
        <f t="shared" si="191"/>
        <v>3.968125980889039</v>
      </c>
      <c r="CC50" s="3864">
        <f t="shared" si="177"/>
        <v>0.8661004847409286</v>
      </c>
      <c r="CD50" s="3864">
        <f t="shared" si="178"/>
        <v>0.8661004847409286</v>
      </c>
      <c r="CE50" s="2734">
        <f>+IF(BB50="","",IF(VLOOKUP(MATCH(BB50,ef_id,0),ef,'11(eff)'!$AE$23,FALSE)="","",VLOOKUP(MATCH(BB50,ef_id,0),ef,'11(eff)'!$AE$23,FALSE)))</f>
        <v>0.8661004847409286</v>
      </c>
      <c r="CF50" s="931"/>
      <c r="CG50" s="932"/>
      <c r="CH50" s="2400"/>
      <c r="CI50" s="3845">
        <f t="shared" si="179"/>
        <v>9.9510022269036658E-2</v>
      </c>
      <c r="CJ50" s="4056">
        <f t="shared" si="180"/>
        <v>25.237771739130441</v>
      </c>
      <c r="CK50" s="3845">
        <f t="shared" si="181"/>
        <v>0.22762917594042137</v>
      </c>
      <c r="CL50" s="3921">
        <f t="shared" si="182"/>
        <v>1.4723708240595785</v>
      </c>
      <c r="CM50" s="3947">
        <f t="shared" si="183"/>
        <v>0.8661004847409286</v>
      </c>
      <c r="CN50" s="3947">
        <f t="shared" si="184"/>
        <v>0.86606995656926422</v>
      </c>
      <c r="CO50" s="3948">
        <f>+IF(BB50="","",IF(VLOOKUP(MATCH(BB50,ef_id,0),ef,'11(eff)'!$AE$23,FALSE)="","",VLOOKUP(MATCH(BB50,ef_id,0),ef,'11(eff)'!$AE$23,FALSE)))</f>
        <v>0.8661004847409286</v>
      </c>
      <c r="CP50" s="3949" t="str">
        <f>+IF(OR(BB50="",VLOOKUP(MATCH(BB50,ef_id,0),ef,'11(eff)'!$AG$23,FALSE)=""),"",IF(VLOOKUP(MATCH(BB50,ef_id,0),ef,'11(eff)'!$AG$23,FALSE)/100=VLOOKUP(MATCH(BB50,ef_id,0),ef,'11(eff)'!$AE$23,FALSE),VLOOKUP(MATCH(BB50,ef_id,0),ef,'11(eff)'!$AE$23,FALSE),""))</f>
        <v/>
      </c>
      <c r="CQ50" s="924" t="str">
        <f t="shared" si="51"/>
        <v>LM2500 DLE - new gas fired GE turbine</v>
      </c>
      <c r="CR50" s="933"/>
      <c r="CS50" s="2755">
        <v>12360000</v>
      </c>
      <c r="CT50" s="1583">
        <v>12000000</v>
      </c>
      <c r="CU50" s="1491">
        <v>12000000</v>
      </c>
      <c r="CV50" s="1824">
        <f t="shared" si="16"/>
        <v>0</v>
      </c>
      <c r="CW50" s="1825"/>
      <c r="CX50" s="1825"/>
      <c r="CY50" s="1826"/>
      <c r="CZ50" s="2468"/>
      <c r="DA50" s="2442"/>
      <c r="DB50" s="2442"/>
      <c r="DC50" s="1824"/>
      <c r="DD50" s="1828"/>
      <c r="DE50" s="1829"/>
      <c r="DF50" s="1830"/>
      <c r="DG50" s="1830"/>
      <c r="DH50" s="1828"/>
      <c r="DI50" s="1687">
        <f t="shared" si="185"/>
        <v>12000000</v>
      </c>
      <c r="DJ50" s="1933"/>
      <c r="DK50" s="1583">
        <v>1500000</v>
      </c>
      <c r="DL50" s="1491">
        <v>1000000</v>
      </c>
      <c r="DM50" s="1824">
        <f t="shared" ref="DM50:DM56" si="198">+IF(DK50="","",DK50-DL50-SUM(DN50:DY50)-EA50)</f>
        <v>500000</v>
      </c>
      <c r="DN50" s="1825"/>
      <c r="DO50" s="1825"/>
      <c r="DP50" s="1826"/>
      <c r="DQ50" s="2468"/>
      <c r="DR50" s="2442"/>
      <c r="DS50" s="2442"/>
      <c r="DT50" s="1824"/>
      <c r="DU50" s="1828"/>
      <c r="DV50" s="1829"/>
      <c r="DW50" s="1830"/>
      <c r="DX50" s="1830"/>
      <c r="DY50" s="1828"/>
      <c r="DZ50" s="1687">
        <f t="shared" si="18"/>
        <v>1500000</v>
      </c>
      <c r="EA50" s="1933"/>
      <c r="EB50" s="1491">
        <f t="shared" si="19"/>
        <v>13500000</v>
      </c>
      <c r="EC50" s="1957">
        <v>1</v>
      </c>
      <c r="ED50" s="1411">
        <f t="shared" si="20"/>
        <v>13500000</v>
      </c>
      <c r="EE50" s="1827"/>
      <c r="EF50" s="2442"/>
      <c r="EG50" s="1826"/>
      <c r="EH50" s="1687"/>
      <c r="EI50" s="1829"/>
      <c r="EJ50" s="1830"/>
      <c r="EK50" s="2002"/>
      <c r="EL50" s="1451"/>
      <c r="EM50" s="1829"/>
      <c r="EN50" s="1830"/>
      <c r="EO50" s="2002"/>
      <c r="EP50" s="1687">
        <f t="shared" si="21"/>
        <v>0</v>
      </c>
      <c r="EQ50" s="1687"/>
      <c r="ER50" s="1687"/>
      <c r="ES50" s="1687"/>
      <c r="ET50" s="1451"/>
      <c r="EU50" s="1424"/>
      <c r="EV50" s="1386"/>
      <c r="EW50" s="2575"/>
      <c r="EX50" s="2575"/>
      <c r="EY50" s="2682">
        <f t="shared" si="92"/>
        <v>13500000</v>
      </c>
      <c r="EZ50" s="2711">
        <v>1500000</v>
      </c>
      <c r="FA50" s="1386">
        <v>360000</v>
      </c>
      <c r="FB50" s="1473">
        <f t="shared" si="93"/>
        <v>12360000</v>
      </c>
      <c r="FC50" s="1491">
        <f>+IF(OR(ED50="",IF(R50="",R44,R50)=""),"",ED50/IF(R50="",R44,R50))</f>
        <v>13500000</v>
      </c>
      <c r="FD50" s="2610">
        <f>+IF(OR(BB50="",IF(R50="",R44,R50)="",(CU50+DL50)=0),"",(CU50+DL50)/IF(R50="",R44,R50))</f>
        <v>13000000</v>
      </c>
      <c r="FE50" s="2611">
        <f t="shared" si="94"/>
        <v>0.96296296296296291</v>
      </c>
      <c r="FF50" s="2610">
        <f>+IF(OR(BB50="",CT50="",IF(R50="",R44,R50)=""),"",(SUM(CV50:CZ50)+(IF(DM50="",0,DM50)+SUM(DN50:DQ50)))/IF(R50="",R44,R50))</f>
        <v>500000</v>
      </c>
      <c r="FG50" s="2611">
        <f t="shared" si="95"/>
        <v>3.7037037037037035E-2</v>
      </c>
      <c r="FH50" s="2610">
        <f>+IF(OR(BB50="",IF(R50="",R44,R50)="",),"",(DA50+DR50)/IF(R50="",R44,R50))</f>
        <v>0</v>
      </c>
      <c r="FI50" s="2611">
        <f t="shared" si="96"/>
        <v>0</v>
      </c>
      <c r="FJ50" s="2612">
        <f t="shared" si="90"/>
        <v>13500000</v>
      </c>
      <c r="FK50" s="2611">
        <f t="shared" si="192"/>
        <v>1</v>
      </c>
      <c r="FL50" s="2644">
        <f>+IF(OR(BB50="",CT50="",IF(R50="",R44,R50)=""),"",(DB50+DC50+DS50+DT50)/IF(R50="",R44,R50))</f>
        <v>0</v>
      </c>
      <c r="FM50" s="2611">
        <f t="shared" si="97"/>
        <v>0</v>
      </c>
      <c r="FN50" s="2610">
        <f>+IF(OR(BB50="",CT50="",IF(R50="",R44,R50)=""),"",(DD50+DU50)/IF(R50="",R44,R50))</f>
        <v>0</v>
      </c>
      <c r="FO50" s="2611">
        <f t="shared" si="98"/>
        <v>0</v>
      </c>
      <c r="FP50" s="2610">
        <f>+IF(OR(BB50="",CT50="",IF(R50="",R44,R50)=""),"",(DG50+DH50+DX50+DY50)/IF(R50="",R44,R50))</f>
        <v>0</v>
      </c>
      <c r="FQ50" s="2611">
        <f t="shared" si="99"/>
        <v>0</v>
      </c>
      <c r="FR50" s="2840">
        <f>+IF(OR(BB50="",IF(R50="",R44,R50)="",(IF(DI50="",0,DI50)+IF(DZ50="",0,DZ50))=0),"",(IF(DI50="",0,DI50)+IF(DZ50="",0,DZ50))/IF(R50="",R44,R50))</f>
        <v>13500000</v>
      </c>
      <c r="FS50" s="1825" t="str">
        <f>+IF(OR(DJ50="",IF(R50="",R44,R50)=""),"",(DJ50+EA50)/IF(R50="",R44,R50))</f>
        <v/>
      </c>
      <c r="FT50" s="2734" t="str">
        <f t="shared" si="100"/>
        <v/>
      </c>
      <c r="FU50" s="2884">
        <f>+IF(OR(BB50="",ISERROR(1-(FR50+IF(FS50="",0,FS50)+FN50+FP50)*IF(R50="",R44,R50)/(CT50+DK50))),"",1-(FR50+IF(FS50="",0,FS50)+FN50+FP50)*IF(R50="",R44,R50)/(CT50+DK50))</f>
        <v>0</v>
      </c>
      <c r="FV50" s="2622">
        <f>+IF(FC50="","",FC50/IF(T50="",IF(T44="",1,T44),T50))</f>
        <v>675000</v>
      </c>
      <c r="FW50" s="2644" t="str">
        <f>+IF(OR(EH50="",IF(R50="",R44,R50)=""),"",EH50/IF(R50="",R44,R50))</f>
        <v/>
      </c>
      <c r="FX50" s="2670" t="str">
        <f t="shared" si="101"/>
        <v/>
      </c>
      <c r="FY50" s="2610">
        <f>+IF(OR(EP50="",IF(R50="",R44,R50)=""),"",EP50/IF(R50="",R44,R50))</f>
        <v>0</v>
      </c>
      <c r="FZ50" s="2670">
        <f t="shared" si="102"/>
        <v>0</v>
      </c>
      <c r="GA50" s="2670" t="str">
        <f>+IF(IF(V50="",V44,V50)="Utility Boiler",IF(ISERR(FY50/(FC50+FW50)),"",FY50/(FC50+FW50)),"")</f>
        <v/>
      </c>
      <c r="GB50" s="2610" t="str">
        <f>+IF(OR(ET50="",IF(R50="",R44,R50)=""),"",ET50/IF(R50="",R44,R50))</f>
        <v/>
      </c>
      <c r="GC50" s="2670" t="str">
        <f t="shared" si="103"/>
        <v/>
      </c>
      <c r="GD50" s="2670" t="str">
        <f>+IF(IF(V50="",V44,V50)="Utility Boiler",IF(ISERR(GB50/($FC50)),"",GB50/(FC50+FW50+FY50)),"")</f>
        <v/>
      </c>
      <c r="GE50" s="1613">
        <f>+IF(OR(FB50="",IF(R50="",R44,R50)=""),"",FB50/IF(R50="",R44,R50))</f>
        <v>12360000</v>
      </c>
      <c r="GF50" s="2139">
        <f t="shared" si="186"/>
        <v>12360000</v>
      </c>
      <c r="GG50" s="2162">
        <f>+IF(OR(CS50="",IF(R50="",R44,R50)=""),"",1-(CS50/IF(R50="",R44,R50))/GF50)</f>
        <v>0</v>
      </c>
      <c r="GH50" s="1752">
        <f>+IF(IF(T50="",T44,T50)="","",IF(GF50="","",GF50/IF(T50="",T44,T50)))</f>
        <v>618000</v>
      </c>
      <c r="GI50" s="1613">
        <v>1661097</v>
      </c>
      <c r="GJ50" s="2612">
        <v>418610</v>
      </c>
      <c r="GK50" s="3443">
        <f>+IF(OR(BB50="",GJ50=""),"",IF(CB50="",1,CB50*IF(R50="",IF(R49="",$R$44,R49),R50)))</f>
        <v>3.968125980889039</v>
      </c>
      <c r="GL50" s="3218">
        <f t="shared" si="104"/>
        <v>1.305522388617307E-7</v>
      </c>
      <c r="GM50" s="1142"/>
      <c r="GN50" s="1144"/>
      <c r="GO50" s="2289"/>
      <c r="GP50" s="2290"/>
      <c r="GQ50" s="2216"/>
      <c r="GR50" s="2216"/>
      <c r="GS50" s="2216">
        <f t="shared" si="105"/>
        <v>494400</v>
      </c>
      <c r="GT50" s="2216">
        <v>1166697</v>
      </c>
      <c r="GU50" s="2739">
        <f t="shared" si="187"/>
        <v>1661097</v>
      </c>
      <c r="GV50" s="1143" t="str">
        <f>+IF(OR(GO50="",IF(R50="",R44,R50)=""),"",GO50/IF(R50="",R44,R50))</f>
        <v/>
      </c>
      <c r="GW50" s="2246" t="str">
        <f>+IF(OR(GP50="",IF(R50="",R44,R50)=""),"",GP50/IF(R50="",R44,R50))</f>
        <v/>
      </c>
      <c r="GX50" s="2216" t="str">
        <f>+IF(OR(GQ50="",IF(R50="",R44,R50)=""),"",GQ50/IF(R50="",R44,R50))</f>
        <v/>
      </c>
      <c r="GY50" s="2216" t="str">
        <f>+IF(OR(GR50="",IF(R50="",R44,R50)=""),"",GR50/IF(R50="",R44,R50))</f>
        <v/>
      </c>
      <c r="GZ50" s="2216">
        <f>+IF(OR(GS50="",IF(R50="",R44,R50)=""),"",GS50/IF(R50="",R44,R50))</f>
        <v>494400</v>
      </c>
      <c r="HA50" s="2216">
        <f>+IF(OR(GT50="",IF(R50="",R44,R50)=""),"",GT50/IF(R50="",R44,R50))</f>
        <v>1166697</v>
      </c>
      <c r="HB50" s="1336">
        <f t="shared" si="22"/>
        <v>1661097</v>
      </c>
      <c r="HC50" s="1143">
        <f>+IF(OR(GU50="",IF(R50="",R44,R50)=""),"",GU50/IF(R50="",R44,R50))</f>
        <v>1661097</v>
      </c>
      <c r="HD50" s="3469">
        <f t="shared" si="106"/>
        <v>0</v>
      </c>
      <c r="HE50" s="1142"/>
      <c r="HF50" s="2556">
        <f t="shared" si="107"/>
        <v>418610</v>
      </c>
      <c r="HG50" s="1144">
        <f t="shared" si="23"/>
        <v>1128178.4268314086</v>
      </c>
      <c r="HH50" s="2984">
        <f t="shared" si="108"/>
        <v>4</v>
      </c>
      <c r="HI50" s="3066">
        <f t="shared" si="109"/>
        <v>13500000</v>
      </c>
      <c r="HJ50" s="3079">
        <f t="shared" si="110"/>
        <v>0</v>
      </c>
      <c r="HK50" s="3079">
        <f t="shared" si="111"/>
        <v>0</v>
      </c>
      <c r="HL50" s="3079" t="str">
        <f t="shared" si="112"/>
        <v/>
      </c>
      <c r="HM50" s="3092">
        <f t="shared" si="113"/>
        <v>13500000</v>
      </c>
      <c r="HN50" s="3099">
        <f>+IF(FR50="","",HM50/IF(T50="",IF(T44="",1,T44),T50))</f>
        <v>675000</v>
      </c>
      <c r="HO50" s="3117" t="str">
        <f t="shared" si="114"/>
        <v/>
      </c>
      <c r="HP50" s="3079">
        <f t="shared" si="115"/>
        <v>0</v>
      </c>
      <c r="HQ50" s="3118" t="str">
        <f t="shared" si="116"/>
        <v/>
      </c>
      <c r="HR50" s="3119" t="str">
        <f t="shared" si="117"/>
        <v/>
      </c>
      <c r="HS50" s="3119">
        <f t="shared" si="118"/>
        <v>0</v>
      </c>
      <c r="HT50" s="1212" t="str">
        <f t="shared" si="119"/>
        <v/>
      </c>
      <c r="HU50" s="1213" t="str">
        <f t="shared" si="120"/>
        <v/>
      </c>
      <c r="HV50" s="1212" t="str">
        <f t="shared" si="121"/>
        <v/>
      </c>
      <c r="HW50" s="1213" t="str">
        <f t="shared" si="122"/>
        <v/>
      </c>
      <c r="HX50" s="3136">
        <f t="shared" si="24"/>
        <v>13500000</v>
      </c>
      <c r="HY50" s="3079">
        <f>+IF(EZ50="","",EZ50/IF(R50="",IF(R44="",1,R44),R50))</f>
        <v>1500000</v>
      </c>
      <c r="HZ50" s="3119">
        <f>+IF(FA50="","",FA50/IF(R50="",IF(R44="",1,R44),R50))</f>
        <v>360000</v>
      </c>
      <c r="IA50" s="3066">
        <f t="shared" si="123"/>
        <v>12360000</v>
      </c>
      <c r="IB50" s="3106" t="str">
        <f t="shared" si="25"/>
        <v>same TCC</v>
      </c>
      <c r="IC50" s="3099">
        <f>+IF(IA50="","",IA50/IF(T50="",IF(T44="",1,T44),T50))</f>
        <v>618000</v>
      </c>
      <c r="ID50" s="1212"/>
      <c r="IE50" s="4099"/>
      <c r="IF50" s="3136" t="str">
        <f t="shared" si="124"/>
        <v/>
      </c>
      <c r="IG50" s="6769"/>
      <c r="IH50" s="4170" t="str">
        <f t="shared" si="125"/>
        <v/>
      </c>
      <c r="II50" s="4171"/>
      <c r="IJ50" s="4171" t="str">
        <f t="shared" si="126"/>
        <v/>
      </c>
      <c r="IK50" s="4130">
        <v>1</v>
      </c>
      <c r="IL50" s="2442" t="str">
        <f t="shared" si="127"/>
        <v/>
      </c>
      <c r="IM50" s="1826">
        <f t="shared" si="128"/>
        <v>494400</v>
      </c>
      <c r="IN50" s="4228">
        <f t="shared" si="129"/>
        <v>494400</v>
      </c>
      <c r="IO50" s="4228">
        <f t="shared" si="130"/>
        <v>494400</v>
      </c>
      <c r="IP50" s="4228" t="str">
        <f t="shared" si="194"/>
        <v/>
      </c>
      <c r="IQ50" s="6842" t="str">
        <f t="shared" si="195"/>
        <v/>
      </c>
      <c r="IR50" s="4228">
        <f t="shared" si="196"/>
        <v>494400</v>
      </c>
      <c r="IS50" s="6842">
        <f t="shared" si="197"/>
        <v>0.2976347138718895</v>
      </c>
      <c r="IT50" s="4228">
        <f t="shared" si="135"/>
        <v>494400</v>
      </c>
      <c r="IU50" s="6842">
        <f t="shared" si="136"/>
        <v>0.2976347138718895</v>
      </c>
      <c r="IV50" s="4130">
        <f t="shared" si="137"/>
        <v>1</v>
      </c>
      <c r="IW50" s="1826">
        <f t="shared" si="138"/>
        <v>1166696.5621866405</v>
      </c>
      <c r="IX50" s="3099">
        <f t="shared" si="139"/>
        <v>1661096.5621866405</v>
      </c>
      <c r="IY50" s="4247">
        <f t="shared" si="140"/>
        <v>1661097</v>
      </c>
      <c r="IZ50" s="4280">
        <f t="shared" si="141"/>
        <v>2.6356880997650574E-7</v>
      </c>
      <c r="JA50" s="4281" t="str">
        <f t="shared" si="142"/>
        <v>stk added + 0%</v>
      </c>
      <c r="JB50" s="1213"/>
      <c r="JC50" s="4325"/>
      <c r="JD50" s="2556">
        <f t="shared" si="143"/>
        <v>418609.83501700213</v>
      </c>
      <c r="JE50" s="4360">
        <f t="shared" si="144"/>
        <v>1128178.1294787631</v>
      </c>
      <c r="JF50" s="7031">
        <f>+JF49</f>
        <v>20</v>
      </c>
      <c r="JG50" s="2442" t="s">
        <v>1629</v>
      </c>
      <c r="JH50" s="6962">
        <f t="shared" si="145"/>
        <v>13500000</v>
      </c>
      <c r="JI50" s="6962">
        <f>+JH50</f>
        <v>13500000</v>
      </c>
      <c r="JJ50" s="6962"/>
      <c r="JK50" s="6962"/>
      <c r="JL50" s="6999"/>
      <c r="JM50" s="1825" t="str">
        <f t="shared" si="146"/>
        <v>N/A</v>
      </c>
      <c r="JN50" s="2442" t="str">
        <f t="shared" si="147"/>
        <v/>
      </c>
      <c r="JO50" s="2442">
        <f>+JI50</f>
        <v>13500000</v>
      </c>
      <c r="JP50" s="7076"/>
      <c r="JQ50" s="7076"/>
      <c r="JR50" s="2442"/>
      <c r="JS50" s="1826">
        <f t="shared" si="148"/>
        <v>13500000</v>
      </c>
      <c r="JT50" s="7139">
        <f t="shared" si="54"/>
        <v>2</v>
      </c>
      <c r="JU50" s="7140">
        <f t="shared" si="188"/>
        <v>20</v>
      </c>
      <c r="JV50" s="8369">
        <f t="shared" si="189"/>
        <v>4575</v>
      </c>
      <c r="JW50" s="8396">
        <f t="shared" si="149"/>
        <v>1.4723708240595785</v>
      </c>
      <c r="JX50" s="8425">
        <f t="shared" si="150"/>
        <v>1200</v>
      </c>
      <c r="JY50" s="8460">
        <f t="shared" si="151"/>
        <v>7.0000000000000007E-2</v>
      </c>
      <c r="JZ50" s="7141">
        <f t="shared" si="152"/>
        <v>1489.1566265060242</v>
      </c>
      <c r="KA50" s="7139" t="str">
        <f t="shared" si="153"/>
        <v/>
      </c>
      <c r="KB50" s="7140" t="str">
        <f t="shared" si="154"/>
        <v/>
      </c>
      <c r="KC50" s="7141" t="str">
        <f t="shared" si="155"/>
        <v/>
      </c>
      <c r="KD50" s="7139">
        <f t="shared" si="156"/>
        <v>848.88</v>
      </c>
      <c r="KE50" s="8333">
        <f t="shared" si="157"/>
        <v>916.99254922430555</v>
      </c>
      <c r="KF50" s="8333">
        <f t="shared" si="158"/>
        <v>614.92441536218121</v>
      </c>
      <c r="KG50" s="7140">
        <f t="shared" si="159"/>
        <v>2705.0530120481931</v>
      </c>
      <c r="KH50" s="7140">
        <f t="shared" si="160"/>
        <v>776.32</v>
      </c>
      <c r="KI50" s="7140">
        <f t="shared" si="161"/>
        <v>77.632000000000005</v>
      </c>
      <c r="KJ50" s="7140">
        <f t="shared" si="162"/>
        <v>5939.8019766346788</v>
      </c>
      <c r="KK50" s="7140">
        <f t="shared" si="193"/>
        <v>2098.1440000000002</v>
      </c>
      <c r="KL50" s="7140">
        <f t="shared" si="163"/>
        <v>1012.5</v>
      </c>
      <c r="KM50" s="7140">
        <f t="shared" si="164"/>
        <v>3110.6440000000002</v>
      </c>
      <c r="KN50" s="7140" t="str">
        <f t="shared" si="165"/>
        <v/>
      </c>
      <c r="KO50" s="7140">
        <f t="shared" si="166"/>
        <v>3110.6440000000002</v>
      </c>
      <c r="KP50" s="7141">
        <f t="shared" si="167"/>
        <v>9050.445976634679</v>
      </c>
      <c r="KQ50" s="1827">
        <f>+IF(D50="","",VLOOKUP(MATCH(BE50,ac_id,0),ad,ac!$F$8,FALSE)*JV50)</f>
        <v>1372.5</v>
      </c>
      <c r="KR50" s="7076">
        <f>+IF(D50="","",IF(JT50=1,VLOOKUP(MATCH(BE50,ac_id,0),ad,ac!$H$8,FALSE)*JU50, (VLOOKUP(MATCH(BE50,ac_id,0),ad,ac!$H$8,FALSE)*JU50^(1+VLOOKUP(MATCH(BE50,ac_id,0),ad,ac!$I$8,FALSE)))))</f>
        <v>16603.564643237693</v>
      </c>
      <c r="KS50" s="1826">
        <f t="shared" si="168"/>
        <v>17976.064643237693</v>
      </c>
      <c r="KT50" s="1827">
        <f t="shared" si="169"/>
        <v>1866.3864000000001</v>
      </c>
      <c r="KU50" s="2442">
        <f t="shared" si="170"/>
        <v>540000</v>
      </c>
      <c r="KV50" s="7380">
        <f t="shared" si="171"/>
        <v>1</v>
      </c>
      <c r="KW50" s="7283">
        <f t="shared" si="172"/>
        <v>1158441.9824789858</v>
      </c>
      <c r="KX50" s="1826">
        <f t="shared" si="173"/>
        <v>1700308.3688789858</v>
      </c>
      <c r="KY50" s="1752">
        <f t="shared" si="174"/>
        <v>1709358.8148556205</v>
      </c>
      <c r="KZ50" s="7381"/>
      <c r="LA50" s="7283">
        <f t="shared" si="175"/>
        <v>430772.31496381247</v>
      </c>
      <c r="LB50" s="7294">
        <f t="shared" si="176"/>
        <v>1160956.7283754139</v>
      </c>
      <c r="LC50" s="5133"/>
      <c r="LD50" s="5132"/>
      <c r="LE50" s="5132"/>
      <c r="LF50" s="5132"/>
      <c r="LG50" s="5132"/>
      <c r="LH50" s="5132"/>
      <c r="LI50" s="5132"/>
      <c r="LJ50" s="5132"/>
    </row>
    <row r="51" spans="1:322" s="645" customFormat="1" ht="27.95" customHeight="1">
      <c r="A51" s="10539"/>
      <c r="B51" s="9819" t="str">
        <f>+IF(A51="","",VLOOKUP(MATCH(A51,tid,0),tao,'12(id)'!$J$20,FALSE))</f>
        <v/>
      </c>
      <c r="C51" s="10561"/>
      <c r="D51" s="1116" t="str">
        <f t="shared" si="48"/>
        <v>8303-01-08</v>
      </c>
      <c r="E51" s="925" t="str">
        <f t="shared" si="91"/>
        <v>LM2500 - new oil fired GE turbine</v>
      </c>
      <c r="F51" s="925" t="str">
        <f t="shared" si="49"/>
        <v>New Eqp</v>
      </c>
      <c r="G51" s="5133"/>
      <c r="H51" s="5132"/>
      <c r="I51" s="5133"/>
      <c r="J51" s="719">
        <f t="shared" si="68"/>
        <v>17</v>
      </c>
      <c r="K51" s="9663"/>
      <c r="L51" s="9648"/>
      <c r="M51" s="9650"/>
      <c r="N51" s="9648"/>
      <c r="O51" s="9648"/>
      <c r="P51" s="9648"/>
      <c r="Q51" s="9680" t="str">
        <f>+IF(ISERROR(MATCH(O51,tid,0)),"",VLOOKUP(MATCH(O51,tid,0),tao,'12(id)'!$Q$20,FALSE))</f>
        <v/>
      </c>
      <c r="R51" s="9648"/>
      <c r="S51" s="9648"/>
      <c r="T51" s="10716" t="str">
        <f>+IF(ISERROR(MATCH(O51,tid,0)),"",IF(VLOOKUP(MATCH(O51,tid,0),tao,'12(id)'!$CT$20,FALSE)="","",VLOOKUP(MATCH(O51,tid,0),tao,'12(id)'!$CT$20,FALSE)))</f>
        <v/>
      </c>
      <c r="U51" s="10716" t="str">
        <f>+IF(ISERROR(MATCH(O51,tid,0)),"",IF(VLOOKUP(MATCH(O51,tid,0),tao,'12(id)'!$CU$20,FALSE)="","",VLOOKUP(MATCH(O51,tid,0),tao,'12(id)'!$CU$20,FALSE)))</f>
        <v/>
      </c>
      <c r="V51" s="9504" t="str">
        <f>+IF(O51="","",IF(VLOOKUP(MATCH(O51,tid,0),tao,'12(id)'!$T$20,FALSE)="","",VLOOKUP(MATCH(O51,tid,0),tao,'12(id)'!$T$20,FALSE)))</f>
        <v/>
      </c>
      <c r="W51" s="9504" t="str">
        <f>+IF(ISERROR(MATCH(O51,tid,0)),"",IF(VLOOKUP(MATCH(O51,tid,0),tao,'12(id)'!$CO$20,FALSE)="","",VLOOKUP(MATCH(O51,tid,0),tao,'12(id)'!$CO$20,FALSE)))</f>
        <v/>
      </c>
      <c r="X51" s="9504" t="str">
        <f>+IF(ISERROR(MATCH(O51,tid,0)),"",IF(VLOOKUP(MATCH(O51,tid,0),tao,'12(id)'!$CP$20,FALSE)="","",VLOOKUP(MATCH(O51,tid,0),tao,'12(id)'!$CP$20,FALSE)))</f>
        <v/>
      </c>
      <c r="Y51" s="9504"/>
      <c r="Z51" s="9518" t="str">
        <f>+IF(ISERROR(MATCH(O51,tid,0)),"",VLOOKUP(MATCH(O51,tid,0),tao,'12(id)'!$DB$20,FALSE)&amp;" "&amp;VLOOKUP(MATCH(O51,tid,0),tao,'12(id)'!$DC$20,FALSE))</f>
        <v/>
      </c>
      <c r="AA51" s="9518" t="str">
        <f>+IF(ISERROR(MATCH(O51,tid,0)),"",IF(VLOOKUP(MATCH(O51,tid,0),tao,'12(id)'!$DE$20,FALSE)="","",ROUND(VLOOKUP(MATCH(O51,tid,0),tao,'12(id)'!$DE$20,FALSE),0)&amp;" yrs"))</f>
        <v/>
      </c>
      <c r="AB51" s="9648" t="str">
        <f>+IF(ISERROR(MATCH(O51,tid,0)),"",VLOOKUP(MATCH(O51,tid,0),tao,'12(id)'!$DI$20,FALSE))</f>
        <v/>
      </c>
      <c r="AC51" s="9648" t="str">
        <f>+IF(ISERROR(MATCH(O51,tid,0)),"",IF(VLOOKUP(MATCH(O51,tid,0),tao,'12(id)'!$DQ$20,FALSE)="","",VLOOKUP(MATCH(O51,tid,0),tao,'12(id)'!$DQ$20,FALSE)))</f>
        <v/>
      </c>
      <c r="AD51" s="10671" t="str">
        <f>+IF(ISERROR(MATCH(O51,tid,0)),"",IF(VLOOKUP(MATCH(O51,tid,0),tao,'12(id)'!$EI$20,FALSE)="","",VLOOKUP(MATCH(O51,tid,0),tao,'12(id)'!$EI$20,FALSE)))</f>
        <v/>
      </c>
      <c r="AE51" s="10766"/>
      <c r="AF51" s="10671" t="str">
        <f>+IF(ISERROR(MATCH(O51,tid,0)),"",IF(VLOOKUP(MATCH(O51,tid,0),tao,'12(id)'!$EL$20,FALSE)="","",VLOOKUP(MATCH(O51,tid,0),tao,'12(id)'!$EL$20,FALSE)))</f>
        <v/>
      </c>
      <c r="AG51" s="10691" t="str">
        <f>+IF(ISERROR(MATCH(O51,tid,0)),"",IF(VLOOKUP(MATCH(O51,tid,0),tao,'12(id)'!$EM$20,FALSE)="","",VLOOKUP(MATCH(O51,tid,0),tao,'12(id)'!$EM$20,FALSE)))</f>
        <v/>
      </c>
      <c r="AH51" s="10757"/>
      <c r="AI51" s="10682"/>
      <c r="AJ51" s="10682"/>
      <c r="AK51" s="10682"/>
      <c r="AL51" s="10682"/>
      <c r="AM51" s="10676"/>
      <c r="AN51" s="10679"/>
      <c r="AO51" s="10342" t="str">
        <f>+IF(ISERROR(MATCH(O51,tid,0)),"",IF(VLOOKUP(MATCH(O51,tid,0),tao,'12(id)'!$GY$20,FALSE)="","",VLOOKUP(MATCH(O51,tid,0),tao,'12(id)'!$GY$20,FALSE)))</f>
        <v/>
      </c>
      <c r="AP51" s="10292" t="e">
        <f>+IF($BB51="","",IF(VLOOKUP(MATCH(O51,tid,0),tao,'12(id)'!$HE$20,FALSE)="","",VLOOKUP(MATCH(O51,tid,0),tao,'12(id)'!$HE$20,FALSE)))</f>
        <v>#N/A</v>
      </c>
      <c r="AQ51" s="10342" t="str">
        <f>+IF(ISERROR(VLOOKUP(MATCH(O51,tid,0),tao,'12(id)'!$HF$20,FALSE)),"",VLOOKUP(MATCH(O51,tid,0),tao,'12(id)'!$HF$20,FALSE))</f>
        <v/>
      </c>
      <c r="AR51" s="10336" t="str">
        <f>+IF(ISERROR(MATCH(O51,tid,0)),"",IF(VLOOKUP(MATCH(O51,tid,0),tao,'12(id)'!$HJ$20,FALSE)="","",VLOOKUP(MATCH(O51,tid,0),tao,'12(id)'!$HJ$20,FALSE)))</f>
        <v/>
      </c>
      <c r="AS51" s="10339" t="str">
        <f>+IF(ISERROR(MATCH(O51,tid,0)),"",IF(VLOOKUP(MATCH(O51,tid,0),tao,'12(id)'!$HK$20,FALSE)="","",VLOOKUP(MATCH(O51,tid,0),tao,'12(id)'!$HK$20,FALSE)))</f>
        <v/>
      </c>
      <c r="AT51" s="10694" t="str">
        <f>+IF(ISERROR(MATCH(O51,tid,0)),"",IF(VLOOKUP(MATCH(O51,tid,0),tao,'12(id)'!$HM$20,FALSE)="","",VLOOKUP(MATCH(O51,tid,0),tao,'12(id)'!$HM$20,FALSE)))</f>
        <v/>
      </c>
      <c r="AU51" s="10359"/>
      <c r="AV51" s="10325" t="str">
        <f>+IF(ISERROR(MATCH(O51,em_id,0)),"",IF(VLOOKUP(MATCH(O51,em_id,0),em,'5(em)'!$CX$18,FALSE)="","",VLOOKUP(MATCH(O51,em_id,0),em,'5(em)'!$CX$18,FALSE)))</f>
        <v/>
      </c>
      <c r="AW51" s="10392" t="str">
        <f>+IF(ISERROR(MATCH(O51,em_id,0)),"",IF(VLOOKUP(MATCH(O51,em_id,0),em,'5(em)'!$CZ$18,FALSE)="","",VLOOKUP(MATCH(O51,em_id,0),em,'5(em)'!$CZ$18,FALSE)))</f>
        <v/>
      </c>
      <c r="AX51" s="10330" t="str">
        <f t="shared" si="50"/>
        <v/>
      </c>
      <c r="AY51" s="10325"/>
      <c r="AZ51" s="10400" t="str">
        <f>+IF(ISERROR(MATCH(O51,em_id,0)),"",IF(VLOOKUP(MATCH(O51,em_id,0),em,'5(em)'!$DA$18,FALSE)="","",VLOOKUP(MATCH(O51,em_id,0),em,'5(em)'!$DA$18,FALSE)))</f>
        <v/>
      </c>
      <c r="BA51" s="924"/>
      <c r="BB51" s="925" t="str">
        <f t="shared" si="11"/>
        <v>8303-01-08</v>
      </c>
      <c r="BC51" s="662">
        <f t="shared" si="190"/>
        <v>8</v>
      </c>
      <c r="BD51" s="925" t="str">
        <f>+IF(OR(D51="",VLOOKUP(MATCH(D51,op_id,0),op,'7(op)'!$T$18,FALSE)=""),"",VLOOKUP(MATCH(D51,op_id,0),op,'7(op)'!$T$18,FALSE))</f>
        <v>LM2500 - new oil fired GE turbine</v>
      </c>
      <c r="BE51" s="925" t="s">
        <v>1629</v>
      </c>
      <c r="BF51" s="925" t="s">
        <v>1862</v>
      </c>
      <c r="BG51" s="926" t="s">
        <v>1614</v>
      </c>
      <c r="BH51" s="923"/>
      <c r="BI51" s="927"/>
      <c r="BJ51" s="928"/>
      <c r="BK51" s="3483">
        <v>42</v>
      </c>
      <c r="BL51" s="928"/>
      <c r="BM51" s="928"/>
      <c r="BN51" s="928" t="str">
        <f t="shared" si="12"/>
        <v/>
      </c>
      <c r="BO51" s="929" t="str">
        <f t="shared" si="13"/>
        <v/>
      </c>
      <c r="BP51" s="928" t="str">
        <f t="shared" si="14"/>
        <v/>
      </c>
      <c r="BQ51" s="928" t="str">
        <f t="shared" si="15"/>
        <v/>
      </c>
      <c r="BR51" s="930"/>
      <c r="BS51" s="931"/>
      <c r="BT51" s="932"/>
      <c r="BU51" s="3724">
        <f>+IF(BB51="","",IF(VLOOKUP(MATCH(BB51,ef_id,0),ef,'11(eff)'!$Z$23,FALSE)="","",VLOOKUP(MATCH(BB51,ef_id,0),ef,'11(eff)'!$Z$23,FALSE)))</f>
        <v>0.16556407262753656</v>
      </c>
      <c r="BV51" s="3745">
        <f>+IF(BB51="","",IF(VLOOKUP(MATCH(BB51,ef_id,0),ef,'11(eff)'!$AA$23,FALSE)="","",VLOOKUP(MATCH(BB51,ef_id,0),ef,'11(eff)'!$AA$23,FALSE)))</f>
        <v>42</v>
      </c>
      <c r="BW51" s="3769">
        <f>+'A3(trc)'!I31</f>
        <v>1.030636352106415</v>
      </c>
      <c r="BX51" s="3791">
        <f>+IF(OR(BB51="",BW51=""),"",BW51/IF(R44="",IF(R43="",R42,R43),R44))</f>
        <v>1.030636352106415</v>
      </c>
      <c r="BY51" s="3813">
        <f>+IF($BB51="","",IF(BU51="","",BU51/2000*IF(AQ44="",IF(AQ43="",AQ42,AQ43),AQ44)))</f>
        <v>1.0306363521064152</v>
      </c>
      <c r="BZ51" s="3774"/>
      <c r="CA51" s="3724"/>
      <c r="CB51" s="3845">
        <f t="shared" si="191"/>
        <v>3.5509636478935858</v>
      </c>
      <c r="CC51" s="3864">
        <f t="shared" si="177"/>
        <v>0.77504881436476014</v>
      </c>
      <c r="CD51" s="3864">
        <f t="shared" si="178"/>
        <v>0.77504881436476014</v>
      </c>
      <c r="CE51" s="2734">
        <f>+IF(BB51="","",IF(VLOOKUP(MATCH(BB51,ef_id,0),ef,'11(eff)'!$AE$23,FALSE)="","",VLOOKUP(MATCH(BB51,ef_id,0),ef,'11(eff)'!$AE$23,FALSE)))</f>
        <v>0.77504881436476003</v>
      </c>
      <c r="CF51" s="931"/>
      <c r="CG51" s="932"/>
      <c r="CH51" s="2400"/>
      <c r="CI51" s="3845">
        <f t="shared" si="179"/>
        <v>0.16717683741198161</v>
      </c>
      <c r="CJ51" s="4056">
        <f t="shared" si="180"/>
        <v>42.399456521739147</v>
      </c>
      <c r="CK51" s="3845">
        <f t="shared" si="181"/>
        <v>0.38241701557990793</v>
      </c>
      <c r="CL51" s="3921">
        <f t="shared" si="182"/>
        <v>1.3175829844200919</v>
      </c>
      <c r="CM51" s="3947">
        <f t="shared" si="183"/>
        <v>0.77504881436475992</v>
      </c>
      <c r="CN51" s="3947">
        <f t="shared" si="184"/>
        <v>0.77499752703636393</v>
      </c>
      <c r="CO51" s="3948">
        <f>+IF(BB51="","",IF(VLOOKUP(MATCH(BB51,ef_id,0),ef,'11(eff)'!$AE$23,FALSE)="","",VLOOKUP(MATCH(BB51,ef_id,0),ef,'11(eff)'!$AE$23,FALSE)))</f>
        <v>0.77504881436476003</v>
      </c>
      <c r="CP51" s="3949" t="str">
        <f>+IF(OR(BB51="",VLOOKUP(MATCH(BB51,ef_id,0),ef,'11(eff)'!$AG$23,FALSE)=""),"",IF(VLOOKUP(MATCH(BB51,ef_id,0),ef,'11(eff)'!$AG$23,FALSE)/100=VLOOKUP(MATCH(BB51,ef_id,0),ef,'11(eff)'!$AE$23,FALSE),VLOOKUP(MATCH(BB51,ef_id,0),ef,'11(eff)'!$AE$23,FALSE),""))</f>
        <v/>
      </c>
      <c r="CQ51" s="924" t="str">
        <f t="shared" si="51"/>
        <v>LM2500 - new oil fired GE turbine</v>
      </c>
      <c r="CR51" s="933"/>
      <c r="CS51" s="2755">
        <v>10860000</v>
      </c>
      <c r="CT51" s="1583">
        <v>12000000</v>
      </c>
      <c r="CU51" s="1491">
        <v>12000000</v>
      </c>
      <c r="CV51" s="1824">
        <f t="shared" si="16"/>
        <v>0</v>
      </c>
      <c r="CW51" s="1825"/>
      <c r="CX51" s="1825"/>
      <c r="CY51" s="1826"/>
      <c r="CZ51" s="2468"/>
      <c r="DA51" s="2442"/>
      <c r="DB51" s="2442"/>
      <c r="DC51" s="1824"/>
      <c r="DD51" s="1828"/>
      <c r="DE51" s="1829"/>
      <c r="DF51" s="1830"/>
      <c r="DG51" s="1830"/>
      <c r="DH51" s="1828"/>
      <c r="DI51" s="1687">
        <f t="shared" si="185"/>
        <v>12000000</v>
      </c>
      <c r="DJ51" s="1933"/>
      <c r="DK51" s="1583"/>
      <c r="DL51" s="1491"/>
      <c r="DM51" s="1824" t="str">
        <f t="shared" si="198"/>
        <v/>
      </c>
      <c r="DN51" s="1825"/>
      <c r="DO51" s="1825"/>
      <c r="DP51" s="1826"/>
      <c r="DQ51" s="2468"/>
      <c r="DR51" s="2442"/>
      <c r="DS51" s="2442"/>
      <c r="DT51" s="1824"/>
      <c r="DU51" s="1828"/>
      <c r="DV51" s="1829"/>
      <c r="DW51" s="1830"/>
      <c r="DX51" s="1830"/>
      <c r="DY51" s="1828"/>
      <c r="DZ51" s="1687" t="str">
        <f t="shared" si="18"/>
        <v/>
      </c>
      <c r="EA51" s="1933"/>
      <c r="EB51" s="1491">
        <f t="shared" si="19"/>
        <v>12000000</v>
      </c>
      <c r="EC51" s="1957">
        <v>1</v>
      </c>
      <c r="ED51" s="1411">
        <f t="shared" si="20"/>
        <v>12000000</v>
      </c>
      <c r="EE51" s="1827"/>
      <c r="EF51" s="2442"/>
      <c r="EG51" s="1826"/>
      <c r="EH51" s="1687"/>
      <c r="EI51" s="1829"/>
      <c r="EJ51" s="1830"/>
      <c r="EK51" s="2002"/>
      <c r="EL51" s="1451"/>
      <c r="EM51" s="1829"/>
      <c r="EN51" s="1830"/>
      <c r="EO51" s="2002"/>
      <c r="EP51" s="1687">
        <f t="shared" si="21"/>
        <v>0</v>
      </c>
      <c r="EQ51" s="1687"/>
      <c r="ER51" s="1687"/>
      <c r="ES51" s="1687"/>
      <c r="ET51" s="1451"/>
      <c r="EU51" s="1424"/>
      <c r="EV51" s="1386"/>
      <c r="EW51" s="2575"/>
      <c r="EX51" s="2575"/>
      <c r="EY51" s="2682">
        <f t="shared" si="92"/>
        <v>12000000</v>
      </c>
      <c r="EZ51" s="2711">
        <v>1500000</v>
      </c>
      <c r="FA51" s="1386">
        <v>360000</v>
      </c>
      <c r="FB51" s="1473">
        <f t="shared" si="93"/>
        <v>10860000</v>
      </c>
      <c r="FC51" s="1491">
        <f>+IF(OR(ED51="",IF(R51="",R44,R51)=""),"",ED51/IF(R51="",R44,R51))</f>
        <v>12000000</v>
      </c>
      <c r="FD51" s="2610">
        <f>+IF(OR(BB51="",IF(R51="",R44,R51)="",(CU51+DL51)=0),"",(CU51+DL51)/IF(R51="",R44,R51))</f>
        <v>12000000</v>
      </c>
      <c r="FE51" s="2027">
        <f t="shared" si="94"/>
        <v>1</v>
      </c>
      <c r="FF51" s="2610">
        <f>+IF(OR(BB51="",CT51="",IF(R51="",R44,R51)=""),"",(SUM(CV51:CZ51)+(IF(DM51="",0,DM51)+SUM(DN51:DQ51)))/IF(R51="",R44,R51))</f>
        <v>0</v>
      </c>
      <c r="FG51" s="2611">
        <f t="shared" si="95"/>
        <v>0</v>
      </c>
      <c r="FH51" s="2610">
        <f>+IF(OR(BB51="",IF(R51="",R44,R51)="",),"",(DA51+DR51)/IF(R51="",R44,R51))</f>
        <v>0</v>
      </c>
      <c r="FI51" s="2611">
        <f t="shared" si="96"/>
        <v>0</v>
      </c>
      <c r="FJ51" s="2433">
        <f t="shared" si="90"/>
        <v>12000000</v>
      </c>
      <c r="FK51" s="2611">
        <f t="shared" si="192"/>
        <v>1</v>
      </c>
      <c r="FL51" s="2644">
        <f>+IF(OR(BB51="",CT51="",IF(R51="",R44,R51)=""),"",(DB51+DC51+DS51+DT51)/IF(R51="",R44,R51))</f>
        <v>0</v>
      </c>
      <c r="FM51" s="2611">
        <f t="shared" si="97"/>
        <v>0</v>
      </c>
      <c r="FN51" s="2610">
        <f>+IF(OR(BB51="",CT51="",IF(R51="",R44,R51)=""),"",(DD51+DU51)/IF(R51="",R44,R51))</f>
        <v>0</v>
      </c>
      <c r="FO51" s="2611">
        <f t="shared" si="98"/>
        <v>0</v>
      </c>
      <c r="FP51" s="2610">
        <f>+IF(OR(BB51="",CT51="",IF(R51="",R44,R51)=""),"",(DG51+DH51+DX51+DY51)/IF(R51="",R44,R51))</f>
        <v>0</v>
      </c>
      <c r="FQ51" s="2611">
        <f t="shared" si="99"/>
        <v>0</v>
      </c>
      <c r="FR51" s="2840">
        <f>+IF(OR(BB51="",IF(R51="",R44,R51)="",(IF(DI51="",0,DI51)+IF(DZ51="",0,DZ51))=0),"",(IF(DI51="",0,DI51)+IF(DZ51="",0,DZ51))/IF(R51="",R44,R51))</f>
        <v>12000000</v>
      </c>
      <c r="FS51" s="2865" t="str">
        <f>+IF(OR(DJ51="",IF(R51="",R44,R51)=""),"",(DJ51+EA51)/IF(R51="",R44,R51))</f>
        <v/>
      </c>
      <c r="FT51" s="2064" t="str">
        <f t="shared" si="100"/>
        <v/>
      </c>
      <c r="FU51" s="2884">
        <f>+IF(OR(BB51="",ISERROR(1-(FR51+IF(FS51="",0,FS51)+FN51+FP51)*IF(R51="",R44,R51)/(CT51+DK51))),"",1-(FR51+IF(FS51="",0,FS51)+FN51+FP51)*IF(R51="",R44,R51)/(CT51+DK51))</f>
        <v>0</v>
      </c>
      <c r="FV51" s="2622">
        <f>+IF(FC51="","",FC51/IF(T51="",IF(T44="",1,T44),T51))</f>
        <v>600000</v>
      </c>
      <c r="FW51" s="2089" t="str">
        <f>+IF(OR(EH51="",IF(R51="",R44,R51)=""),"",EH51/IF(R51="",R44,R51))</f>
        <v/>
      </c>
      <c r="FX51" s="2090" t="str">
        <f t="shared" si="101"/>
        <v/>
      </c>
      <c r="FY51" s="2610">
        <f>+IF(OR(EP51="",IF(R51="",R44,R51)=""),"",EP51/IF(R51="",R44,R51))</f>
        <v>0</v>
      </c>
      <c r="FZ51" s="2670">
        <f t="shared" si="102"/>
        <v>0</v>
      </c>
      <c r="GA51" s="2090" t="str">
        <f>+IF(IF(V51="",V44,V51)="Utility Boiler",IF(ISERR(FY51/(FC51+FW51)),"",FY51/(FC51+FW51)),"")</f>
        <v/>
      </c>
      <c r="GB51" s="2091" t="str">
        <f>+IF(OR(ET51="",IF(R51="",R44,R51)=""),"",ET51/IF(R51="",R44,R51))</f>
        <v/>
      </c>
      <c r="GC51" s="2090" t="str">
        <f t="shared" si="103"/>
        <v/>
      </c>
      <c r="GD51" s="2090" t="str">
        <f>+IF(IF(V51="",V44,V51)="Utility Boiler",IF(ISERR(GB51/($FC51)),"",GB51/(FC51+FW51+FY51)),"")</f>
        <v/>
      </c>
      <c r="GE51" s="1613">
        <f>+IF(OR(FB51="",IF(R51="",R44,R51)=""),"",FB51/IF(R51="",R44,R51))</f>
        <v>10860000</v>
      </c>
      <c r="GF51" s="2139">
        <f t="shared" si="186"/>
        <v>10860000</v>
      </c>
      <c r="GG51" s="2162">
        <f>+IF(OR(CS51="",IF(R51="",R44,R51)=""),"",1-(CS51/IF(R51="",R44,R51))/GF51)</f>
        <v>0</v>
      </c>
      <c r="GH51" s="1752">
        <f>+IF(IF(T51="",T44,T51)="","",IF(GF51="","",GF51/IF(T51="",T44,T51)))</f>
        <v>543000</v>
      </c>
      <c r="GI51" s="1613">
        <v>1459507</v>
      </c>
      <c r="GJ51" s="2612">
        <v>411017</v>
      </c>
      <c r="GK51" s="3443">
        <f>+IF(OR(BB51="",GJ51=""),"",IF(CB51="",1,CB51*IF(R51="",IF(R50="",$R$44,R50),R51)))</f>
        <v>3.5509636478935858</v>
      </c>
      <c r="GL51" s="3218">
        <f t="shared" si="104"/>
        <v>-3.9351229432896064E-7</v>
      </c>
      <c r="GM51" s="1142"/>
      <c r="GN51" s="1144"/>
      <c r="GO51" s="2289"/>
      <c r="GP51" s="2290"/>
      <c r="GQ51" s="2216"/>
      <c r="GR51" s="2216"/>
      <c r="GS51" s="2216">
        <f t="shared" si="105"/>
        <v>434400</v>
      </c>
      <c r="GT51" s="2216">
        <v>1025107</v>
      </c>
      <c r="GU51" s="2739">
        <f t="shared" si="187"/>
        <v>1459507</v>
      </c>
      <c r="GV51" s="1143" t="str">
        <f>+IF(OR(GO51="",IF(R51="",R44,R51)=""),"",GO51/IF(R51="",R44,R51))</f>
        <v/>
      </c>
      <c r="GW51" s="2246" t="str">
        <f>+IF(OR(GP51="",IF(R51="",R44,R51)=""),"",GP51/IF(R51="",R44,R51))</f>
        <v/>
      </c>
      <c r="GX51" s="2216" t="str">
        <f>+IF(OR(GQ51="",IF(R51="",R44,R51)=""),"",GQ51/IF(R51="",R44,R51))</f>
        <v/>
      </c>
      <c r="GY51" s="2216" t="str">
        <f>+IF(OR(GR51="",IF(R51="",R44,R51)=""),"",GR51/IF(R51="",R44,R51))</f>
        <v/>
      </c>
      <c r="GZ51" s="2216">
        <f>+IF(OR(GS51="",IF(R51="",R44,R51)=""),"",GS51/IF(R51="",R44,R51))</f>
        <v>434400</v>
      </c>
      <c r="HA51" s="2216">
        <f>+IF(OR(GT51="",IF(R51="",R44,R51)=""),"",GT51/IF(R51="",R44,R51))</f>
        <v>1025107</v>
      </c>
      <c r="HB51" s="1336">
        <f t="shared" si="22"/>
        <v>1459507</v>
      </c>
      <c r="HC51" s="1143">
        <f>+IF(OR(GU51="",IF(R51="",R44,R51)=""),"",GU51/IF(R51="",R44,R51))</f>
        <v>1459507</v>
      </c>
      <c r="HD51" s="3469">
        <f t="shared" si="106"/>
        <v>0</v>
      </c>
      <c r="HE51" s="1142"/>
      <c r="HF51" s="2556">
        <f t="shared" si="107"/>
        <v>411017</v>
      </c>
      <c r="HG51" s="1144">
        <f t="shared" si="23"/>
        <v>1107715.4283700569</v>
      </c>
      <c r="HH51" s="2984">
        <f t="shared" si="108"/>
        <v>4</v>
      </c>
      <c r="HI51" s="3066">
        <f t="shared" si="109"/>
        <v>12000000</v>
      </c>
      <c r="HJ51" s="3079">
        <f t="shared" si="110"/>
        <v>0</v>
      </c>
      <c r="HK51" s="3079">
        <f t="shared" si="111"/>
        <v>0</v>
      </c>
      <c r="HL51" s="3079" t="str">
        <f t="shared" si="112"/>
        <v/>
      </c>
      <c r="HM51" s="3092">
        <f t="shared" si="113"/>
        <v>12000000</v>
      </c>
      <c r="HN51" s="3099">
        <f>+IF(FR51="","",HM51/IF(T51="",IF(T44="",1,T44),T51))</f>
        <v>600000</v>
      </c>
      <c r="HO51" s="3117" t="str">
        <f t="shared" si="114"/>
        <v/>
      </c>
      <c r="HP51" s="3079">
        <f t="shared" si="115"/>
        <v>0</v>
      </c>
      <c r="HQ51" s="3118" t="str">
        <f t="shared" si="116"/>
        <v/>
      </c>
      <c r="HR51" s="3119" t="str">
        <f t="shared" si="117"/>
        <v/>
      </c>
      <c r="HS51" s="3119">
        <f t="shared" si="118"/>
        <v>0</v>
      </c>
      <c r="HT51" s="1212" t="str">
        <f t="shared" si="119"/>
        <v/>
      </c>
      <c r="HU51" s="1213" t="str">
        <f t="shared" si="120"/>
        <v/>
      </c>
      <c r="HV51" s="1212" t="str">
        <f t="shared" si="121"/>
        <v/>
      </c>
      <c r="HW51" s="1213" t="str">
        <f t="shared" si="122"/>
        <v/>
      </c>
      <c r="HX51" s="3136">
        <f t="shared" ref="HX51:HX113" si="199">+IF(HM51="","",IF(HM51="",0,HM51)+IF(HO51="",0,HO51)+IF(HP51="",0,HP51)+IF(HS51="",0,HS51)+IF(HT51="",0,HT51)+IF(HU51="",0,HU51)+IF(HV51="",0,HV51)+IF(HW51="",0,HW51))</f>
        <v>12000000</v>
      </c>
      <c r="HY51" s="3079">
        <f>+IF(EZ51="","",EZ51/IF(R51="",IF(R44="",1,R44),R51))</f>
        <v>1500000</v>
      </c>
      <c r="HZ51" s="3119">
        <f>+IF(FA51="","",FA51/IF(R51="",IF(R44="",1,R44),R51))</f>
        <v>360000</v>
      </c>
      <c r="IA51" s="3066">
        <f t="shared" si="123"/>
        <v>10860000</v>
      </c>
      <c r="IB51" s="3106" t="str">
        <f t="shared" si="25"/>
        <v>same TCC</v>
      </c>
      <c r="IC51" s="3099">
        <f>+IF(IA51="","",IA51/IF(T51="",IF(T44="",1,T44),T51))</f>
        <v>543000</v>
      </c>
      <c r="ID51" s="1212"/>
      <c r="IE51" s="4099"/>
      <c r="IF51" s="3136" t="str">
        <f t="shared" si="124"/>
        <v/>
      </c>
      <c r="IG51" s="6769"/>
      <c r="IH51" s="4170" t="str">
        <f t="shared" si="125"/>
        <v/>
      </c>
      <c r="II51" s="4171"/>
      <c r="IJ51" s="4171" t="str">
        <f t="shared" si="126"/>
        <v/>
      </c>
      <c r="IK51" s="4130">
        <v>1</v>
      </c>
      <c r="IL51" s="2442" t="str">
        <f t="shared" si="127"/>
        <v/>
      </c>
      <c r="IM51" s="1826">
        <f t="shared" si="128"/>
        <v>434400</v>
      </c>
      <c r="IN51" s="4228">
        <f t="shared" si="129"/>
        <v>434400</v>
      </c>
      <c r="IO51" s="4228">
        <f t="shared" si="130"/>
        <v>434400</v>
      </c>
      <c r="IP51" s="4228" t="str">
        <f t="shared" si="194"/>
        <v/>
      </c>
      <c r="IQ51" s="6842" t="str">
        <f t="shared" si="195"/>
        <v/>
      </c>
      <c r="IR51" s="4228">
        <f t="shared" si="196"/>
        <v>434400</v>
      </c>
      <c r="IS51" s="6842">
        <f t="shared" si="197"/>
        <v>0.2976347138718895</v>
      </c>
      <c r="IT51" s="4228">
        <f t="shared" si="135"/>
        <v>434400</v>
      </c>
      <c r="IU51" s="6842">
        <f t="shared" si="136"/>
        <v>0.2976347138718895</v>
      </c>
      <c r="IV51" s="4130">
        <f t="shared" si="137"/>
        <v>1</v>
      </c>
      <c r="IW51" s="1826">
        <f t="shared" si="138"/>
        <v>1025107.1735717568</v>
      </c>
      <c r="IX51" s="3099">
        <f t="shared" si="139"/>
        <v>1459507.1735717568</v>
      </c>
      <c r="IY51" s="4247">
        <f t="shared" si="140"/>
        <v>1459507</v>
      </c>
      <c r="IZ51" s="4280">
        <f t="shared" si="141"/>
        <v>-1.1892492246223363E-7</v>
      </c>
      <c r="JA51" s="4281">
        <f t="shared" si="142"/>
        <v>-1.1892492246223363E-7</v>
      </c>
      <c r="JB51" s="1213"/>
      <c r="JC51" s="4325"/>
      <c r="JD51" s="2556">
        <f t="shared" si="143"/>
        <v>411017.21062042675</v>
      </c>
      <c r="JE51" s="4360">
        <f t="shared" si="144"/>
        <v>1107715.5601050283</v>
      </c>
      <c r="JF51" s="7031">
        <f>+JF50</f>
        <v>20</v>
      </c>
      <c r="JG51" s="2442" t="s">
        <v>1629</v>
      </c>
      <c r="JH51" s="6962">
        <f t="shared" si="145"/>
        <v>12000000</v>
      </c>
      <c r="JI51" s="6962">
        <f>+JH51</f>
        <v>12000000</v>
      </c>
      <c r="JJ51" s="6962"/>
      <c r="JK51" s="6962"/>
      <c r="JL51" s="6999"/>
      <c r="JM51" s="1825" t="str">
        <f t="shared" si="146"/>
        <v>N/A</v>
      </c>
      <c r="JN51" s="2442" t="str">
        <f t="shared" si="147"/>
        <v/>
      </c>
      <c r="JO51" s="2442">
        <f>+JI51</f>
        <v>12000000</v>
      </c>
      <c r="JP51" s="7076"/>
      <c r="JQ51" s="7076"/>
      <c r="JR51" s="2442"/>
      <c r="JS51" s="1826">
        <f t="shared" si="148"/>
        <v>12000000</v>
      </c>
      <c r="JT51" s="7139">
        <f t="shared" si="54"/>
        <v>2</v>
      </c>
      <c r="JU51" s="7140">
        <f t="shared" si="188"/>
        <v>20</v>
      </c>
      <c r="JV51" s="8369">
        <f t="shared" si="189"/>
        <v>4575</v>
      </c>
      <c r="JW51" s="8396">
        <f t="shared" si="149"/>
        <v>1.3175829844200919</v>
      </c>
      <c r="JX51" s="8425">
        <f t="shared" si="150"/>
        <v>1200</v>
      </c>
      <c r="JY51" s="8460">
        <f t="shared" si="151"/>
        <v>7.0000000000000007E-2</v>
      </c>
      <c r="JZ51" s="7141">
        <f t="shared" si="152"/>
        <v>1489.1566265060242</v>
      </c>
      <c r="KA51" s="7139" t="str">
        <f t="shared" si="153"/>
        <v/>
      </c>
      <c r="KB51" s="7140" t="str">
        <f t="shared" si="154"/>
        <v/>
      </c>
      <c r="KC51" s="7141" t="str">
        <f t="shared" si="155"/>
        <v/>
      </c>
      <c r="KD51" s="7139">
        <f t="shared" si="156"/>
        <v>848.88</v>
      </c>
      <c r="KE51" s="8333">
        <f t="shared" si="157"/>
        <v>820.59068269683326</v>
      </c>
      <c r="KF51" s="8333">
        <f t="shared" si="158"/>
        <v>550.27845780846462</v>
      </c>
      <c r="KG51" s="7140">
        <f t="shared" si="159"/>
        <v>2705.0530120481931</v>
      </c>
      <c r="KH51" s="7140">
        <f t="shared" si="160"/>
        <v>776.32</v>
      </c>
      <c r="KI51" s="7140">
        <f t="shared" si="161"/>
        <v>77.632000000000005</v>
      </c>
      <c r="KJ51" s="7140">
        <f t="shared" si="162"/>
        <v>5778.7541525534907</v>
      </c>
      <c r="KK51" s="7140">
        <f t="shared" si="193"/>
        <v>2098.1440000000002</v>
      </c>
      <c r="KL51" s="7140">
        <f t="shared" si="163"/>
        <v>900</v>
      </c>
      <c r="KM51" s="7140">
        <f t="shared" si="164"/>
        <v>2998.1440000000002</v>
      </c>
      <c r="KN51" s="7140" t="str">
        <f t="shared" si="165"/>
        <v/>
      </c>
      <c r="KO51" s="7140">
        <f t="shared" si="166"/>
        <v>2998.1440000000002</v>
      </c>
      <c r="KP51" s="7141">
        <f t="shared" si="167"/>
        <v>8776.8981525534909</v>
      </c>
      <c r="KQ51" s="1827">
        <f>+IF(D51="","",VLOOKUP(MATCH(BE51,ac_id,0),ad,ac!$F$8,FALSE)*JV51)</f>
        <v>1372.5</v>
      </c>
      <c r="KR51" s="7076">
        <f>+IF(D51="","",IF(JT51=1,VLOOKUP(MATCH(BE51,ac_id,0),ad,ac!$H$8,FALSE)*JU51, (VLOOKUP(MATCH(BE51,ac_id,0),ad,ac!$H$8,FALSE)*JU51^(1+VLOOKUP(MATCH(BE51,ac_id,0),ad,ac!$I$8,FALSE)))))</f>
        <v>16603.564643237693</v>
      </c>
      <c r="KS51" s="1826">
        <f t="shared" si="168"/>
        <v>17976.064643237693</v>
      </c>
      <c r="KT51" s="1827">
        <f t="shared" si="169"/>
        <v>1798.8864000000001</v>
      </c>
      <c r="KU51" s="2442">
        <f t="shared" si="170"/>
        <v>480000</v>
      </c>
      <c r="KV51" s="7380">
        <f t="shared" si="171"/>
        <v>1</v>
      </c>
      <c r="KW51" s="7283">
        <f t="shared" si="172"/>
        <v>1029726.2066479874</v>
      </c>
      <c r="KX51" s="1826">
        <f t="shared" si="173"/>
        <v>1511525.0930479874</v>
      </c>
      <c r="KY51" s="1752">
        <f t="shared" si="174"/>
        <v>1520301.9912005409</v>
      </c>
      <c r="KZ51" s="7381"/>
      <c r="LA51" s="7283">
        <f t="shared" si="175"/>
        <v>428137.86395768274</v>
      </c>
      <c r="LB51" s="7294">
        <f t="shared" si="176"/>
        <v>1153856.7279461883</v>
      </c>
      <c r="LC51" s="5133"/>
      <c r="LD51" s="5132"/>
      <c r="LE51" s="5132"/>
      <c r="LF51" s="5132"/>
      <c r="LG51" s="5132"/>
      <c r="LH51" s="5132"/>
      <c r="LI51" s="5132"/>
      <c r="LJ51" s="5132"/>
    </row>
    <row r="52" spans="1:322" s="645" customFormat="1" ht="27.95" customHeight="1" thickBot="1">
      <c r="A52" s="10563"/>
      <c r="B52" s="10718" t="str">
        <f>+IF(A52="","",VLOOKUP(MATCH(A52,tid,0),tao,'12(id)'!$J$20,FALSE))</f>
        <v/>
      </c>
      <c r="C52" s="10717"/>
      <c r="D52" s="1112" t="str">
        <f t="shared" si="48"/>
        <v/>
      </c>
      <c r="E52" s="883"/>
      <c r="F52" s="883" t="str">
        <f t="shared" si="49"/>
        <v/>
      </c>
      <c r="G52" s="5133"/>
      <c r="H52" s="5132"/>
      <c r="I52" s="5133"/>
      <c r="J52" s="719">
        <f t="shared" si="68"/>
        <v>18</v>
      </c>
      <c r="K52" s="9664"/>
      <c r="L52" s="9645"/>
      <c r="M52" s="9647"/>
      <c r="N52" s="9645"/>
      <c r="O52" s="9645"/>
      <c r="P52" s="9645"/>
      <c r="Q52" s="9681" t="str">
        <f>+IF(ISERROR(MATCH(O52,tid,0)),"",VLOOKUP(MATCH(O52,tid,0),tao,'12(id)'!$Q$20,FALSE))</f>
        <v/>
      </c>
      <c r="R52" s="9645"/>
      <c r="S52" s="9645"/>
      <c r="T52" s="10317" t="str">
        <f>+IF(ISERROR(MATCH(O52,tid,0)),"",IF(VLOOKUP(MATCH(O52,tid,0),tao,'12(id)'!$CT$20,FALSE)="","",VLOOKUP(MATCH(O52,tid,0),tao,'12(id)'!$CT$20,FALSE)))</f>
        <v/>
      </c>
      <c r="U52" s="10317" t="str">
        <f>+IF(ISERROR(MATCH(O52,tid,0)),"",IF(VLOOKUP(MATCH(O52,tid,0),tao,'12(id)'!$CU$20,FALSE)="","",VLOOKUP(MATCH(O52,tid,0),tao,'12(id)'!$CU$20,FALSE)))</f>
        <v/>
      </c>
      <c r="V52" s="9487" t="str">
        <f>+IF(O52="","",IF(VLOOKUP(MATCH(O52,tid,0),tao,'12(id)'!$T$20,FALSE)="","",VLOOKUP(MATCH(O52,tid,0),tao,'12(id)'!$T$20,FALSE)))</f>
        <v/>
      </c>
      <c r="W52" s="9487" t="str">
        <f>+IF(ISERROR(MATCH(O52,tid,0)),"",IF(VLOOKUP(MATCH(O52,tid,0),tao,'12(id)'!$CO$20,FALSE)="","",VLOOKUP(MATCH(O52,tid,0),tao,'12(id)'!$CO$20,FALSE)))</f>
        <v/>
      </c>
      <c r="X52" s="9487" t="str">
        <f>+IF(ISERROR(MATCH(O52,tid,0)),"",IF(VLOOKUP(MATCH(O52,tid,0),tao,'12(id)'!$CP$20,FALSE)="","",VLOOKUP(MATCH(O52,tid,0),tao,'12(id)'!$CP$20,FALSE)))</f>
        <v/>
      </c>
      <c r="Y52" s="9487"/>
      <c r="Z52" s="9519" t="str">
        <f>+IF(ISERROR(MATCH(O52,tid,0)),"",VLOOKUP(MATCH(O52,tid,0),tao,'12(id)'!$DB$20,FALSE)&amp;" "&amp;VLOOKUP(MATCH(O52,tid,0),tao,'12(id)'!$DC$20,FALSE))</f>
        <v/>
      </c>
      <c r="AA52" s="9519" t="str">
        <f>+IF(ISERROR(MATCH(O52,tid,0)),"",IF(VLOOKUP(MATCH(O52,tid,0),tao,'12(id)'!$DE$20,FALSE)="","",ROUND(VLOOKUP(MATCH(O52,tid,0),tao,'12(id)'!$DE$20,FALSE),0)&amp;" yrs"))</f>
        <v/>
      </c>
      <c r="AB52" s="9645" t="str">
        <f>+IF(ISERROR(MATCH(O52,tid,0)),"",VLOOKUP(MATCH(O52,tid,0),tao,'12(id)'!$DI$20,FALSE))</f>
        <v/>
      </c>
      <c r="AC52" s="9645" t="str">
        <f>+IF(ISERROR(MATCH(O52,tid,0)),"",IF(VLOOKUP(MATCH(O52,tid,0),tao,'12(id)'!$DQ$20,FALSE)="","",VLOOKUP(MATCH(O52,tid,0),tao,'12(id)'!$DQ$20,FALSE)))</f>
        <v/>
      </c>
      <c r="AD52" s="10672" t="str">
        <f>+IF(ISERROR(MATCH(O52,tid,0)),"",IF(VLOOKUP(MATCH(O52,tid,0),tao,'12(id)'!$EI$20,FALSE)="","",VLOOKUP(MATCH(O52,tid,0),tao,'12(id)'!$EI$20,FALSE)))</f>
        <v/>
      </c>
      <c r="AE52" s="10767"/>
      <c r="AF52" s="10672" t="str">
        <f>+IF(ISERROR(MATCH(O52,tid,0)),"",IF(VLOOKUP(MATCH(O52,tid,0),tao,'12(id)'!$EL$20,FALSE)="","",VLOOKUP(MATCH(O52,tid,0),tao,'12(id)'!$EL$20,FALSE)))</f>
        <v/>
      </c>
      <c r="AG52" s="10692" t="str">
        <f>+IF(ISERROR(MATCH(O52,tid,0)),"",IF(VLOOKUP(MATCH(O52,tid,0),tao,'12(id)'!$EM$20,FALSE)="","",VLOOKUP(MATCH(O52,tid,0),tao,'12(id)'!$EM$20,FALSE)))</f>
        <v/>
      </c>
      <c r="AH52" s="10758"/>
      <c r="AI52" s="10683"/>
      <c r="AJ52" s="10683"/>
      <c r="AK52" s="10683"/>
      <c r="AL52" s="10683"/>
      <c r="AM52" s="10677"/>
      <c r="AN52" s="10680"/>
      <c r="AO52" s="10343" t="str">
        <f>+IF(ISERROR(MATCH(O52,tid,0)),"",IF(VLOOKUP(MATCH(O52,tid,0),tao,'12(id)'!$GY$20,FALSE)="","",VLOOKUP(MATCH(O52,tid,0),tao,'12(id)'!$GY$20,FALSE)))</f>
        <v/>
      </c>
      <c r="AP52" s="10293" t="str">
        <f>+IF($BB52="","",IF(VLOOKUP(MATCH(O52,tid,0),tao,'12(id)'!$HE$20,FALSE)="","",VLOOKUP(MATCH(O52,tid,0),tao,'12(id)'!$HE$20,FALSE)))</f>
        <v/>
      </c>
      <c r="AQ52" s="10343" t="str">
        <f>+IF(ISERROR(VLOOKUP(MATCH(O52,tid,0),tao,'12(id)'!$HF$20,FALSE)),"",VLOOKUP(MATCH(O52,tid,0),tao,'12(id)'!$HF$20,FALSE))</f>
        <v/>
      </c>
      <c r="AR52" s="10337" t="str">
        <f>+IF(ISERROR(MATCH(O52,tid,0)),"",IF(VLOOKUP(MATCH(O52,tid,0),tao,'12(id)'!$HJ$20,FALSE)="","",VLOOKUP(MATCH(O52,tid,0),tao,'12(id)'!$HJ$20,FALSE)))</f>
        <v/>
      </c>
      <c r="AS52" s="10340" t="str">
        <f>+IF(ISERROR(MATCH(O52,tid,0)),"",IF(VLOOKUP(MATCH(O52,tid,0),tao,'12(id)'!$HK$20,FALSE)="","",VLOOKUP(MATCH(O52,tid,0),tao,'12(id)'!$HK$20,FALSE)))</f>
        <v/>
      </c>
      <c r="AT52" s="10695" t="str">
        <f>+IF(ISERROR(MATCH(O52,tid,0)),"",IF(VLOOKUP(MATCH(O52,tid,0),tao,'12(id)'!$HM$20,FALSE)="","",VLOOKUP(MATCH(O52,tid,0),tao,'12(id)'!$HM$20,FALSE)))</f>
        <v/>
      </c>
      <c r="AU52" s="10360"/>
      <c r="AV52" s="10396" t="str">
        <f>+IF(ISERROR(MATCH(O52,em_id,0)),"",IF(VLOOKUP(MATCH(O52,em_id,0),em,'5(em)'!$CX$18,FALSE)="","",VLOOKUP(MATCH(O52,em_id,0),em,'5(em)'!$CX$18,FALSE)))</f>
        <v/>
      </c>
      <c r="AW52" s="10393" t="str">
        <f>+IF(ISERROR(MATCH(O52,em_id,0)),"",IF(VLOOKUP(MATCH(O52,em_id,0),em,'5(em)'!$CZ$18,FALSE)="","",VLOOKUP(MATCH(O52,em_id,0),em,'5(em)'!$CZ$18,FALSE)))</f>
        <v/>
      </c>
      <c r="AX52" s="10331" t="str">
        <f t="shared" si="50"/>
        <v/>
      </c>
      <c r="AY52" s="10396"/>
      <c r="AZ52" s="10401" t="str">
        <f>+IF(ISERROR(MATCH(O52,em_id,0)),"",IF(VLOOKUP(MATCH(O52,em_id,0),em,'5(em)'!$DA$18,FALSE)="","",VLOOKUP(MATCH(O52,em_id,0),em,'5(em)'!$DA$18,FALSE)))</f>
        <v/>
      </c>
      <c r="BA52" s="882"/>
      <c r="BB52" s="883" t="str">
        <f t="shared" si="11"/>
        <v/>
      </c>
      <c r="BC52" s="861"/>
      <c r="BD52" s="883" t="str">
        <f>+IF(OR(D52="",VLOOKUP(MATCH(D52,op_id,0),op,'7(op)'!$T$18,FALSE)=""),"",VLOOKUP(MATCH(D52,op_id,0),op,'7(op)'!$T$18,FALSE))</f>
        <v/>
      </c>
      <c r="BE52" s="883"/>
      <c r="BF52" s="883"/>
      <c r="BG52" s="884"/>
      <c r="BH52" s="885"/>
      <c r="BI52" s="886"/>
      <c r="BJ52" s="887"/>
      <c r="BK52" s="887"/>
      <c r="BL52" s="887"/>
      <c r="BM52" s="887"/>
      <c r="BN52" s="887" t="str">
        <f t="shared" si="12"/>
        <v/>
      </c>
      <c r="BO52" s="888" t="str">
        <f t="shared" si="13"/>
        <v/>
      </c>
      <c r="BP52" s="887" t="str">
        <f t="shared" si="14"/>
        <v/>
      </c>
      <c r="BQ52" s="887" t="str">
        <f t="shared" si="15"/>
        <v/>
      </c>
      <c r="BR52" s="889"/>
      <c r="BS52" s="890"/>
      <c r="BT52" s="891"/>
      <c r="BU52" s="3725"/>
      <c r="BV52" s="3740"/>
      <c r="BW52" s="892"/>
      <c r="BX52" s="3792"/>
      <c r="BY52" s="3814" t="str">
        <f>+IF($BB52="","",IF(OR(BU52="",$AQ52=""),"",BU52/2000*$AQ52))</f>
        <v/>
      </c>
      <c r="BZ52" s="3775"/>
      <c r="CA52" s="3725"/>
      <c r="CB52" s="3840" t="str">
        <f>+IF($BB52="","",IF(BX52="","",$AT52-BX52))</f>
        <v/>
      </c>
      <c r="CC52" s="3865" t="str">
        <f>+IF($BB52="","",IF(CB52="","",CB52/$AT52))</f>
        <v/>
      </c>
      <c r="CD52" s="3865" t="str">
        <f>+IF($BB52="","",IF(BU52="","",(1-BU52/$AR52)))</f>
        <v/>
      </c>
      <c r="CE52" s="3899" t="str">
        <f>+IF(BB52="","",IF(VLOOKUP(MATCH(BB52,ef_id,0),ef,'11(eff)'!$AE$23,FALSE)="","",VLOOKUP(MATCH(BB52,ef_id,0),ef,'11(eff)'!$AE$23,FALSE)))</f>
        <v/>
      </c>
      <c r="CF52" s="890"/>
      <c r="CG52" s="891"/>
      <c r="CH52" s="2401"/>
      <c r="CI52" s="3840"/>
      <c r="CJ52" s="892"/>
      <c r="CK52" s="3840" t="str">
        <f>+IF($BB52="","",IF(OR($AW52="",CI52=""),"",CI52/2000*$AW52))</f>
        <v/>
      </c>
      <c r="CL52" s="3406" t="str">
        <f>+IF($BB52="","",IF(CK52="","",$AZ52-CK52))</f>
        <v/>
      </c>
      <c r="CM52" s="3950" t="str">
        <f>+IF($BB52="","",IF(CL52="","",CL52/$AZ52))</f>
        <v/>
      </c>
      <c r="CN52" s="3950" t="str">
        <f>+IF($BB52="","",IF(CI52="","",(1-CI52/$AX52)))</f>
        <v/>
      </c>
      <c r="CO52" s="3951"/>
      <c r="CP52" s="3952"/>
      <c r="CQ52" s="882" t="str">
        <f t="shared" si="51"/>
        <v/>
      </c>
      <c r="CR52" s="893"/>
      <c r="CS52" s="2750"/>
      <c r="CT52" s="1578"/>
      <c r="CU52" s="1486"/>
      <c r="CV52" s="1789" t="str">
        <f t="shared" si="16"/>
        <v/>
      </c>
      <c r="CW52" s="1790"/>
      <c r="CX52" s="1790"/>
      <c r="CY52" s="1791"/>
      <c r="CZ52" s="2463"/>
      <c r="DA52" s="2438"/>
      <c r="DB52" s="2438"/>
      <c r="DC52" s="1789"/>
      <c r="DD52" s="1793"/>
      <c r="DE52" s="1794"/>
      <c r="DF52" s="1795"/>
      <c r="DG52" s="1795"/>
      <c r="DH52" s="1793"/>
      <c r="DI52" s="1682" t="str">
        <f>+IF(CT52="","",SUM(CU52:DC52))</f>
        <v/>
      </c>
      <c r="DJ52" s="1928"/>
      <c r="DK52" s="1578"/>
      <c r="DL52" s="1486"/>
      <c r="DM52" s="1789" t="str">
        <f t="shared" si="198"/>
        <v/>
      </c>
      <c r="DN52" s="1790"/>
      <c r="DO52" s="1790"/>
      <c r="DP52" s="1791"/>
      <c r="DQ52" s="2463"/>
      <c r="DR52" s="2438"/>
      <c r="DS52" s="2438"/>
      <c r="DT52" s="1789"/>
      <c r="DU52" s="1793"/>
      <c r="DV52" s="1794"/>
      <c r="DW52" s="1795"/>
      <c r="DX52" s="1795"/>
      <c r="DY52" s="1793"/>
      <c r="DZ52" s="1682" t="str">
        <f t="shared" si="18"/>
        <v/>
      </c>
      <c r="EA52" s="1928"/>
      <c r="EB52" s="1486" t="str">
        <f t="shared" si="19"/>
        <v/>
      </c>
      <c r="EC52" s="1952"/>
      <c r="ED52" s="1406" t="str">
        <f t="shared" si="20"/>
        <v/>
      </c>
      <c r="EE52" s="1792"/>
      <c r="EF52" s="2438"/>
      <c r="EG52" s="1791"/>
      <c r="EH52" s="1682"/>
      <c r="EI52" s="1794"/>
      <c r="EJ52" s="1795"/>
      <c r="EK52" s="1997"/>
      <c r="EL52" s="1446"/>
      <c r="EM52" s="1794"/>
      <c r="EN52" s="1795"/>
      <c r="EO52" s="1997"/>
      <c r="EP52" s="1682" t="str">
        <f t="shared" si="21"/>
        <v/>
      </c>
      <c r="EQ52" s="1682"/>
      <c r="ER52" s="1682"/>
      <c r="ES52" s="1682"/>
      <c r="ET52" s="1446"/>
      <c r="EU52" s="1193"/>
      <c r="EV52" s="1381"/>
      <c r="EW52" s="2570"/>
      <c r="EX52" s="2570"/>
      <c r="EY52" s="2677" t="str">
        <f t="shared" si="92"/>
        <v/>
      </c>
      <c r="EZ52" s="2706"/>
      <c r="FA52" s="1381"/>
      <c r="FB52" s="1468"/>
      <c r="FC52" s="1486" t="str">
        <f>+IF(OR(ED52="",IF(R52="",R51,R52)=""),"",ED52/IF(R52="",R51,R52))</f>
        <v/>
      </c>
      <c r="FD52" s="2044" t="str">
        <f>+IF(ISERR(FC52-(#REF!+#REF!+FS52)),"",FC52-(#REF!+#REF!+FS52))</f>
        <v/>
      </c>
      <c r="FE52" s="2028"/>
      <c r="FF52" s="2044"/>
      <c r="FG52" s="2028"/>
      <c r="FH52" s="2044"/>
      <c r="FI52" s="2028"/>
      <c r="FJ52" s="2434"/>
      <c r="FK52" s="2028"/>
      <c r="FL52" s="2778"/>
      <c r="FM52" s="2028"/>
      <c r="FN52" s="2044"/>
      <c r="FO52" s="2028"/>
      <c r="FP52" s="2044"/>
      <c r="FQ52" s="2028"/>
      <c r="FR52" s="2841"/>
      <c r="FS52" s="2866"/>
      <c r="FT52" s="2065"/>
      <c r="FU52" s="2819"/>
      <c r="FV52" s="2450"/>
      <c r="FW52" s="2085"/>
      <c r="FX52" s="2092"/>
      <c r="FY52" s="2093"/>
      <c r="FZ52" s="2092"/>
      <c r="GA52" s="2092"/>
      <c r="GB52" s="2093"/>
      <c r="GC52" s="2092"/>
      <c r="GD52" s="2092"/>
      <c r="GE52" s="1608"/>
      <c r="GF52" s="2134"/>
      <c r="GG52" s="2163"/>
      <c r="GH52" s="3166"/>
      <c r="GI52" s="1608" t="s">
        <v>939</v>
      </c>
      <c r="GJ52" s="3236"/>
      <c r="GK52" s="3438"/>
      <c r="GL52" s="3219"/>
      <c r="GM52" s="1197"/>
      <c r="GN52" s="1196"/>
      <c r="GO52" s="2279"/>
      <c r="GP52" s="2280"/>
      <c r="GQ52" s="2211"/>
      <c r="GR52" s="2211"/>
      <c r="GS52" s="2211" t="str">
        <f t="shared" si="105"/>
        <v/>
      </c>
      <c r="GT52" s="2211"/>
      <c r="GU52" s="2740" t="str">
        <f t="shared" si="187"/>
        <v/>
      </c>
      <c r="GV52" s="1195"/>
      <c r="GW52" s="2241"/>
      <c r="GX52" s="2211"/>
      <c r="GY52" s="2211"/>
      <c r="GZ52" s="2211"/>
      <c r="HA52" s="2211"/>
      <c r="HB52" s="1331" t="str">
        <f t="shared" si="22"/>
        <v/>
      </c>
      <c r="HC52" s="1195"/>
      <c r="HD52" s="3465"/>
      <c r="HE52" s="1197"/>
      <c r="HF52" s="3193" t="str">
        <f t="shared" si="107"/>
        <v/>
      </c>
      <c r="HG52" s="1196" t="str">
        <f t="shared" si="23"/>
        <v/>
      </c>
      <c r="HH52" s="2979"/>
      <c r="HI52" s="3061"/>
      <c r="HJ52" s="3074"/>
      <c r="HK52" s="3074"/>
      <c r="HL52" s="3074"/>
      <c r="HM52" s="3087"/>
      <c r="HN52" s="3100"/>
      <c r="HO52" s="1216"/>
      <c r="HP52" s="1214"/>
      <c r="HQ52" s="1215"/>
      <c r="HR52" s="1217"/>
      <c r="HS52" s="1217"/>
      <c r="HT52" s="1216"/>
      <c r="HU52" s="1217"/>
      <c r="HV52" s="1216"/>
      <c r="HW52" s="1217"/>
      <c r="HX52" s="3133" t="str">
        <f t="shared" si="199"/>
        <v/>
      </c>
      <c r="HY52" s="3074"/>
      <c r="HZ52" s="3125"/>
      <c r="IA52" s="3061"/>
      <c r="IB52" s="1215"/>
      <c r="IC52" s="3100"/>
      <c r="ID52" s="1216"/>
      <c r="IE52" s="1215"/>
      <c r="IF52" s="3133"/>
      <c r="IG52" s="6770"/>
      <c r="IH52" s="4172"/>
      <c r="II52" s="4173"/>
      <c r="IJ52" s="4173"/>
      <c r="IK52" s="4131"/>
      <c r="IL52" s="2438"/>
      <c r="IM52" s="1791"/>
      <c r="IN52" s="4229"/>
      <c r="IO52" s="4229"/>
      <c r="IP52" s="4229"/>
      <c r="IQ52" s="6843"/>
      <c r="IR52" s="4229"/>
      <c r="IS52" s="6843"/>
      <c r="IT52" s="4229"/>
      <c r="IU52" s="6843"/>
      <c r="IV52" s="4131"/>
      <c r="IW52" s="1791"/>
      <c r="IX52" s="3100"/>
      <c r="IY52" s="4242"/>
      <c r="IZ52" s="4282"/>
      <c r="JA52" s="4283"/>
      <c r="JB52" s="1217"/>
      <c r="JC52" s="4326"/>
      <c r="JD52" s="3193" t="str">
        <f>+IF(OR(IX52="",$CB52=""),"",IX52/$CB52)</f>
        <v/>
      </c>
      <c r="JE52" s="4355" t="str">
        <f>+IF(OR(IX52="",$CL52=""),"",IX52/$CL52)</f>
        <v/>
      </c>
      <c r="JF52" s="7026"/>
      <c r="JG52" s="2438"/>
      <c r="JH52" s="6957"/>
      <c r="JI52" s="6957"/>
      <c r="JJ52" s="6957"/>
      <c r="JK52" s="6957"/>
      <c r="JL52" s="6994"/>
      <c r="JM52" s="1790"/>
      <c r="JN52" s="2438"/>
      <c r="JO52" s="2438"/>
      <c r="JP52" s="7072"/>
      <c r="JQ52" s="7072"/>
      <c r="JR52" s="2438"/>
      <c r="JS52" s="1791"/>
      <c r="JT52" s="7124" t="str">
        <f t="shared" ref="JT52" si="200">+IF(A52="","",IF(OR(BE52="SCR",BE52="New Eqp"),2,1))</f>
        <v/>
      </c>
      <c r="JU52" s="7125"/>
      <c r="JV52" s="8364"/>
      <c r="JW52" s="8391"/>
      <c r="JX52" s="8420"/>
      <c r="JY52" s="8455"/>
      <c r="JZ52" s="7126"/>
      <c r="KA52" s="7124" t="str">
        <f>+IF(OR(D52="",JV52=""),"",IF(JT52=1,JV52*10^6/#REF!/JU52,""))</f>
        <v/>
      </c>
      <c r="KB52" s="7125" t="str">
        <f>+IF(OR(D52="",KA52=""),"",IF(JT52=1,KA52*#REF!,""))</f>
        <v/>
      </c>
      <c r="KC52" s="7126" t="str">
        <f t="shared" ref="KC52:KC64" si="201">+IF(OR(D52="",KB52=""),"",IF(JT52=1,KB52*7.48/62.4/60,""))</f>
        <v/>
      </c>
      <c r="KD52" s="7124"/>
      <c r="KE52" s="8328"/>
      <c r="KF52" s="8328"/>
      <c r="KG52" s="7125"/>
      <c r="KH52" s="7125"/>
      <c r="KI52" s="7125"/>
      <c r="KJ52" s="7125"/>
      <c r="KK52" s="7125"/>
      <c r="KL52" s="7125"/>
      <c r="KM52" s="7125"/>
      <c r="KN52" s="7125"/>
      <c r="KO52" s="7125"/>
      <c r="KP52" s="7126"/>
      <c r="KQ52" s="7218"/>
      <c r="KR52" s="7329"/>
      <c r="KS52" s="7219"/>
      <c r="KT52" s="1792"/>
      <c r="KU52" s="2438"/>
      <c r="KV52" s="7313"/>
      <c r="KW52" s="7208"/>
      <c r="KX52" s="1791"/>
      <c r="KY52" s="3166"/>
      <c r="KZ52" s="7346"/>
      <c r="LA52" s="7277"/>
      <c r="LB52" s="7347" t="str">
        <f>+IF(OR(KY52="",$CL52=""),"",KY52/$CL52)</f>
        <v/>
      </c>
      <c r="LC52" s="5133"/>
      <c r="LD52" s="5132"/>
      <c r="LE52" s="5132"/>
      <c r="LF52" s="5132"/>
      <c r="LG52" s="5132"/>
      <c r="LH52" s="5132"/>
      <c r="LI52" s="5132"/>
      <c r="LJ52" s="5132"/>
    </row>
    <row r="53" spans="1:322" s="13" customFormat="1" ht="27.95" customHeight="1">
      <c r="A53" s="10543" t="str">
        <f>+O53</f>
        <v>8304-01</v>
      </c>
      <c r="B53" s="9842" t="str">
        <f>+IF(A53="","",VLOOKUP(MATCH(A53,tid,0),tao,'12(id)'!$J$20,FALSE))</f>
        <v>NPU</v>
      </c>
      <c r="C53" s="10560" t="str">
        <f t="shared" si="47"/>
        <v>TRBINE</v>
      </c>
      <c r="D53" s="1113" t="str">
        <f t="shared" si="48"/>
        <v>8304-01-01</v>
      </c>
      <c r="E53" s="899" t="str">
        <f t="shared" ref="E53:E59" si="202">+IF(BD53="","",BD53)</f>
        <v>SCR + HPWI + Dual Fuel (Nat Gas - oil backup)</v>
      </c>
      <c r="F53" s="899" t="str">
        <f t="shared" si="49"/>
        <v>SCR</v>
      </c>
      <c r="G53" s="5133"/>
      <c r="H53" s="5132"/>
      <c r="I53" s="5133"/>
      <c r="J53" s="719">
        <f t="shared" si="68"/>
        <v>19</v>
      </c>
      <c r="K53" s="9662">
        <f>1+K44</f>
        <v>11</v>
      </c>
      <c r="L53" s="9644">
        <v>4</v>
      </c>
      <c r="M53" s="9646" t="str">
        <f>+IF(O53="","",VLOOKUP(MATCH(O53,tid,0),tao,'12(id)'!$I$20,FALSE))</f>
        <v>Norwich Public Utilities</v>
      </c>
      <c r="N53" s="9644" t="s">
        <v>288</v>
      </c>
      <c r="O53" s="9644" t="s">
        <v>289</v>
      </c>
      <c r="P53" s="9644" t="str">
        <f>+IF(O53="","",VLOOKUP(MATCH(O53,tid,0),tao,'12(id)'!$L$20,FALSE))</f>
        <v>Norwich</v>
      </c>
      <c r="Q53" s="9679" t="str">
        <f>+IF(ISERROR(MATCH(O53,tid,0)),"",VLOOKUP(MATCH(O53,tid,0),tao,'12(id)'!$Q$20,FALSE))</f>
        <v>TRBINE</v>
      </c>
      <c r="R53" s="9644">
        <f>+IF(O53="","",VLOOKUP(MATCH(O53,tid,0),tao,'12(id)'!$U$20,FALSE))</f>
        <v>1</v>
      </c>
      <c r="S53" s="9644"/>
      <c r="T53" s="10319">
        <f>+IF(ISERROR(MATCH(O53,tid,0)),"",IF(VLOOKUP(MATCH(O53,tid,0),tao,'12(id)'!$CT$20,FALSE)="","",VLOOKUP(MATCH(O53,tid,0),tao,'12(id)'!$CT$20,FALSE)))</f>
        <v>18.8</v>
      </c>
      <c r="U53" s="10319">
        <f>+IF(ISERROR(MATCH(O53,tid,0)),"",IF(VLOOKUP(MATCH(O53,tid,0),tao,'12(id)'!$CU$20,FALSE)="","",VLOOKUP(MATCH(O53,tid,0),tao,'12(id)'!$CU$20,FALSE)))</f>
        <v>18.8</v>
      </c>
      <c r="V53" s="9486" t="str">
        <f>+IF(O53="","",IF(VLOOKUP(MATCH(O53,tid,0),tao,'12(id)'!$T$20,FALSE)="","",VLOOKUP(MATCH(O53,tid,0),tao,'12(id)'!$T$20,FALSE)))</f>
        <v>Combustion Turbine</v>
      </c>
      <c r="W53" s="9486" t="str">
        <f>+IF(ISERROR(MATCH(O53,tid,0)),"",IF(VLOOKUP(MATCH(O53,tid,0),tao,'12(id)'!$CO$20,FALSE)="","",VLOOKUP(MATCH(O53,tid,0),tao,'12(id)'!$CO$20,FALSE)))</f>
        <v>Rolls Royce</v>
      </c>
      <c r="X53" s="9486" t="str">
        <f>+IF(ISERROR(MATCH(O53,tid,0)),"",IF(VLOOKUP(MATCH(O53,tid,0),tao,'12(id)'!$CP$20,FALSE)="","",VLOOKUP(MATCH(O53,tid,0),tao,'12(id)'!$CP$20,FALSE)))</f>
        <v>Olympus B</v>
      </c>
      <c r="Y53" s="9486" t="str">
        <f>+IF(ISERROR(MATCH(O53,tid,0)),"",IF(VLOOKUP(MATCH(O53,tid,0),tao,'12(id)'!$CQ$20,FALSE)="","",VLOOKUP(MATCH(O53,tid,0),tao,'12(id)'!$CQ$20,FALSE)))</f>
        <v/>
      </c>
      <c r="Z53" s="9517" t="str">
        <f>+IF(ISERROR(MATCH(O53,tid,0)),"",VLOOKUP(MATCH(O53,tid,0),tao,'12(id)'!$DB$20,FALSE)&amp;" "&amp;VLOOKUP(MATCH(O53,tid,0),tao,'12(id)'!$DC$20,FALSE))</f>
        <v xml:space="preserve"> 1972</v>
      </c>
      <c r="AA53" s="9517" t="str">
        <f ca="1">+IF(ISERROR(MATCH(O53,tid,0)),"",IF(VLOOKUP(MATCH(O53,tid,0),tao,'12(id)'!$DE$20,FALSE)="","",ROUND(VLOOKUP(MATCH(O53,tid,0),tao,'12(id)'!$DE$20,FALSE),0)&amp;" yrs"))</f>
        <v>43 yrs</v>
      </c>
      <c r="AB53" s="9644" t="str">
        <f>+IF(ISERROR(MATCH(O53,tid,0)),"",VLOOKUP(MATCH(O53,tid,0),tao,'12(id)'!$DI$20,FALSE))</f>
        <v>No. 2 oil</v>
      </c>
      <c r="AC53" s="9644" t="str">
        <f>+IF(ISERROR(MATCH(O53,tid,0)),"",IF(VLOOKUP(MATCH(O53,tid,0),tao,'12(id)'!$DQ$20,FALSE)="","",VLOOKUP(MATCH(O53,tid,0),tao,'12(id)'!$DQ$20,FALSE)))</f>
        <v/>
      </c>
      <c r="AD53" s="10670">
        <f>+IF(ISERROR(MATCH(O53,tid,0)),"",IF(VLOOKUP(MATCH(O53,tid,0),tao,'12(id)'!$EI$20,FALSE)="","",VLOOKUP(MATCH(O53,tid,0),tao,'12(id)'!$EI$20,FALSE)))</f>
        <v>0.55300000000000005</v>
      </c>
      <c r="AE53" s="10765">
        <f>+IF(ISERROR(MATCH(O53,tid,0)),"",IF(VLOOKUP(MATCH(O53,tid,0),tao,'12(id)'!$EJ$20,FALSE)="","",VLOOKUP(MATCH(O53,tid,0),tao,'12(id)'!$EJ$20,FALSE)))</f>
        <v>141.31</v>
      </c>
      <c r="AF53" s="10670">
        <f>+IF(ISERROR(MATCH(O53,tid,0)),"",IF(VLOOKUP(MATCH(O53,tid,0),tao,'12(id)'!$EL$20,FALSE)="","",VLOOKUP(MATCH(O53,tid,0),tao,'12(id)'!$EL$20,FALSE)))</f>
        <v>0.62</v>
      </c>
      <c r="AG53" s="10690" t="str">
        <f>+IF(ISERROR(MATCH(O53,tid,0)),"",IF(VLOOKUP(MATCH(O53,tid,0),tao,'12(id)'!$EM$20,FALSE)="","",VLOOKUP(MATCH(O53,tid,0),tao,'12(id)'!$EM$20,FALSE)))</f>
        <v/>
      </c>
      <c r="AH53" s="10684" t="s">
        <v>1121</v>
      </c>
      <c r="AI53" s="10681">
        <v>50</v>
      </c>
      <c r="AJ53" s="10687"/>
      <c r="AK53" s="10687"/>
      <c r="AL53" s="10687"/>
      <c r="AM53" s="10675"/>
      <c r="AN53" s="10678"/>
      <c r="AO53" s="10341">
        <f>+IF(ISERROR(MATCH(O53,tid,0)),"",IF(VLOOKUP(MATCH(O53,tid,0),tao,'12(id)'!$GY$20,FALSE)="","",VLOOKUP(MATCH(O53,tid,0),tao,'12(id)'!$GY$20,FALSE)))</f>
        <v>50</v>
      </c>
      <c r="AP53" s="10291">
        <f>+IF($BB53="","",IF(VLOOKUP(MATCH(O53,tid,0),tao,'12(id)'!$HE$20,FALSE)="","",VLOOKUP(MATCH(O53,tid,0),tao,'12(id)'!$HE$20,FALSE)))</f>
        <v>9900</v>
      </c>
      <c r="AQ53" s="10341">
        <f>+IF(ISERROR(VLOOKUP(MATCH(O53,tid,0),tao,'12(id)'!$HF$20,FALSE)),"",VLOOKUP(MATCH(O53,tid,0),tao,'12(id)'!$HF$20,FALSE))</f>
        <v>9900</v>
      </c>
      <c r="AR53" s="10335">
        <f>+IF(ISERROR(MATCH(O53,tid,0)),"",IF(VLOOKUP(MATCH(O53,tid,0),tao,'12(id)'!$HJ$20,FALSE)="","",VLOOKUP(MATCH(O53,tid,0),tao,'12(id)'!$HJ$20,FALSE)))</f>
        <v>0.55300000000000005</v>
      </c>
      <c r="AS53" s="10338">
        <f>+IF(ISERROR(MATCH(O53,tid,0)),"",IF(VLOOKUP(MATCH(O53,tid,0),tao,'12(id)'!$HK$20,FALSE)="","",VLOOKUP(MATCH(O53,tid,0),tao,'12(id)'!$HK$20,FALSE)))</f>
        <v>141.31</v>
      </c>
      <c r="AT53" s="10693">
        <f>+IF(ISERROR(MATCH(O53,tid,0)),"",IF(VLOOKUP(MATCH(O53,tid,0),tao,'12(id)'!$HM$20,FALSE)="","",VLOOKUP(MATCH(O53,tid,0),tao,'12(id)'!$HM$20,FALSE)))</f>
        <v>2.7373500000000002</v>
      </c>
      <c r="AU53" s="10358" t="str">
        <f>+AU44</f>
        <v>CAIR-OS (max last 3 yrs)</v>
      </c>
      <c r="AV53" s="10395">
        <f>+IF(ISERROR(MATCH(O53,em_id,0)),"",IF(VLOOKUP(MATCH(O53,em_id,0),em,'5(em)'!$CX$18,FALSE)="","",VLOOKUP(MATCH(O53,em_id,0),em,'5(em)'!$CX$18,FALSE)))</f>
        <v>19</v>
      </c>
      <c r="AW53" s="10391">
        <f>+IF(ISERROR(MATCH(O53,em_id,0)),"",IF(VLOOKUP(MATCH(O53,em_id,0),em,'5(em)'!$CZ$18,FALSE)="","",VLOOKUP(MATCH(O53,em_id,0),em,'5(em)'!$CZ$18,FALSE)))</f>
        <v>4811</v>
      </c>
      <c r="AX53" s="10394">
        <f t="shared" si="50"/>
        <v>0.62</v>
      </c>
      <c r="AY53" s="10395">
        <f>+AX53*AS53/AR53</f>
        <v>158.43074141048822</v>
      </c>
      <c r="AZ53" s="10389">
        <f>+IF(ISERROR(MATCH(O53,em_id,0)),"",IF(VLOOKUP(MATCH(O53,em_id,0),em,'5(em)'!$DA$18,FALSE)="","",VLOOKUP(MATCH(O53,em_id,0),em,'5(em)'!$DA$18,FALSE)))</f>
        <v>1.5</v>
      </c>
      <c r="BA53" s="898"/>
      <c r="BB53" s="899" t="str">
        <f t="shared" si="11"/>
        <v>8304-01-01</v>
      </c>
      <c r="BC53" s="900">
        <v>1</v>
      </c>
      <c r="BD53" s="899" t="str">
        <f>+IF(OR(D53="",VLOOKUP(MATCH(D53,op_id,0),op,'7(op)'!$T$18,FALSE)=""),"",VLOOKUP(MATCH(D53,op_id,0),op,'7(op)'!$T$18,FALSE))</f>
        <v>SCR + HPWI + Dual Fuel (Nat Gas - oil backup)</v>
      </c>
      <c r="BE53" s="899" t="s">
        <v>1093</v>
      </c>
      <c r="BF53" s="899" t="s">
        <v>1863</v>
      </c>
      <c r="BG53" s="901" t="s">
        <v>1613</v>
      </c>
      <c r="BH53" s="675"/>
      <c r="BI53" s="676"/>
      <c r="BJ53" s="663"/>
      <c r="BK53" s="663"/>
      <c r="BL53" s="663"/>
      <c r="BM53" s="663"/>
      <c r="BN53" s="663" t="str">
        <f t="shared" si="12"/>
        <v/>
      </c>
      <c r="BO53" s="663" t="str">
        <f t="shared" si="13"/>
        <v/>
      </c>
      <c r="BP53" s="663" t="str">
        <f t="shared" si="14"/>
        <v/>
      </c>
      <c r="BQ53" s="663" t="str">
        <f t="shared" si="15"/>
        <v/>
      </c>
      <c r="BR53" s="665"/>
      <c r="BS53" s="666"/>
      <c r="BT53" s="667"/>
      <c r="BU53" s="3720">
        <f>+IF(BB53="","",IF(VLOOKUP(MATCH(BB53,ef_id,0),ef,'11(eff)'!$Z$23,FALSE)="","",VLOOKUP(MATCH(BB53,ef_id,0),ef,'11(eff)'!$Z$23,FALSE)))</f>
        <v>2.3480291557568471E-2</v>
      </c>
      <c r="BV53" s="3741">
        <f>+IF(BB53="","",IF(VLOOKUP(MATCH(BB53,ef_id,0),ef,'11(eff)'!$AA$23,FALSE)="","",VLOOKUP(MATCH(BB53,ef_id,0),ef,'11(eff)'!$AA$23,FALSE)))</f>
        <v>6</v>
      </c>
      <c r="BW53" s="3765">
        <f>+'A3(trc)'!I69</f>
        <v>0.11622744320996406</v>
      </c>
      <c r="BX53" s="3787">
        <f>+IF(OR(BB53="",BW53=""),"",BW53/IF(R53="",IF(R52="",R51,R52),R53))</f>
        <v>0.11622744320996406</v>
      </c>
      <c r="BY53" s="3809">
        <f>+IF($BB53="","",IF(BU53="","",BU53/2000*IF(AQ53="",IF(AQ52="",AQ51,AQ52),AQ53)))</f>
        <v>0.11622744320996393</v>
      </c>
      <c r="BZ53" s="1054"/>
      <c r="CA53" s="3407"/>
      <c r="CB53" s="3841">
        <f>+IF(OR(BX53="",BX53=0),IF(CA53="",IF(GJ53="","",GI53/GJ53/IF(R53="",IF(R52="",R51,R52),R53)),CA53),IF(AT53="",IF(AT52="",AT51,AT52),AT53)-BX53)</f>
        <v>2.621122556790036</v>
      </c>
      <c r="CC53" s="3860">
        <f>+IF($BB53="","",IF(CB53="",IF(CD53="",IF(CD53="",IF(CE53="","",CE53)),CD53),CB53/IF($AT53="",IF($AT52="",$AT51,$AT52),$AT53)))</f>
        <v>0.95754015993206421</v>
      </c>
      <c r="CD53" s="3860">
        <f>+IF($BB53="","",IF(BU53="","",(1-BU53/IF(AR53="",IF(AR52="",AR51,AR52),AR53))))</f>
        <v>0.95754015993206421</v>
      </c>
      <c r="CE53" s="2730">
        <f>+IF(BB53="","",IF(VLOOKUP(MATCH(BB53,ef_id,0),ef,'11(eff)'!$AE$23,FALSE)="","",VLOOKUP(MATCH(BB53,ef_id,0),ef,'11(eff)'!$AE$23,FALSE)))</f>
        <v>0.95754015993206421</v>
      </c>
      <c r="CF53" s="666" t="s">
        <v>1601</v>
      </c>
      <c r="CG53" s="667"/>
      <c r="CH53" s="2396"/>
      <c r="CI53" s="3841">
        <f>+IF(BB53="","",$AZ$53/$AW$53*2000*(1-CO53))</f>
        <v>2.6476724216131238E-2</v>
      </c>
      <c r="CJ53" s="4052">
        <f>+IF($AY$53="","",$AY$53*(1-CO53))</f>
        <v>6.7269439421338229</v>
      </c>
      <c r="CK53" s="3841">
        <f>+IF($BB53="","",IF(CI53="",$AZ$53-CL53,CI53/2000*$AW$53))</f>
        <v>6.3689760101903692E-2</v>
      </c>
      <c r="CL53" s="3917">
        <f>+IF($BB53="","",IF(CI53="",CO53*$AZ$53,IF(CK53="","",$AZ$53-CK53)))</f>
        <v>1.4363102398980963</v>
      </c>
      <c r="CM53" s="3935">
        <f>+IF($BB53="","",IF(CL53="","",CL53/$AZ$53))</f>
        <v>0.95754015993206421</v>
      </c>
      <c r="CN53" s="3935">
        <f>+IF($BB53="","",IF(CI53="","",(1-CI53/$AX$53)))</f>
        <v>0.95729560610301412</v>
      </c>
      <c r="CO53" s="3936">
        <f>+IF(BB53="","",IF(VLOOKUP(MATCH(BB53,ef_id,0),ef,'11(eff)'!$AE$23,FALSE)="","",VLOOKUP(MATCH(BB53,ef_id,0),ef,'11(eff)'!$AE$23,FALSE)))</f>
        <v>0.95754015993206421</v>
      </c>
      <c r="CP53" s="3937" t="str">
        <f>+IF(OR(BB53="",VLOOKUP(MATCH(BB53,ef_id,0),ef,'11(eff)'!$AG$23,FALSE)=""),"",IF(VLOOKUP(MATCH(BB53,ef_id,0),ef,'11(eff)'!$AG$23,FALSE)/100=VLOOKUP(MATCH(BB53,ef_id,0),ef,'11(eff)'!$AE$23,FALSE),VLOOKUP(MATCH(BB53,ef_id,0),ef,'11(eff)'!$AE$23,FALSE),""))</f>
        <v/>
      </c>
      <c r="CQ53" s="898" t="str">
        <f t="shared" si="51"/>
        <v>SCR + HPWI + Dual Fuel (Nat Gas - oil backup)</v>
      </c>
      <c r="CR53" s="668"/>
      <c r="CS53" s="2751">
        <v>7319263</v>
      </c>
      <c r="CT53" s="1579">
        <v>1801351</v>
      </c>
      <c r="CU53" s="1487">
        <v>1801351</v>
      </c>
      <c r="CV53" s="1796">
        <f t="shared" ref="CV53:CV59" si="203">+IF(CT53="","",CT53-CU53-SUM(CW53:DH53)-DJ53)</f>
        <v>0</v>
      </c>
      <c r="CW53" s="1797"/>
      <c r="CX53" s="1797"/>
      <c r="CY53" s="1798"/>
      <c r="CZ53" s="2464"/>
      <c r="DA53" s="2439"/>
      <c r="DB53" s="2439"/>
      <c r="DC53" s="1796"/>
      <c r="DD53" s="1800"/>
      <c r="DE53" s="1801"/>
      <c r="DF53" s="1802"/>
      <c r="DG53" s="1802"/>
      <c r="DH53" s="1800"/>
      <c r="DI53" s="1683">
        <f t="shared" ref="DI53:DI59" si="204">+IF(CT53="","",SUM(CU53:DC53)+SUM(DE53:DF53))</f>
        <v>1801351</v>
      </c>
      <c r="DJ53" s="1929"/>
      <c r="DK53" s="1579">
        <f>+CT56+CT57</f>
        <v>1782826</v>
      </c>
      <c r="DL53" s="1487">
        <f>+CT56+CT57</f>
        <v>1782826</v>
      </c>
      <c r="DM53" s="1796">
        <f t="shared" si="198"/>
        <v>0</v>
      </c>
      <c r="DN53" s="1797"/>
      <c r="DO53" s="1797"/>
      <c r="DP53" s="1798"/>
      <c r="DQ53" s="2464"/>
      <c r="DR53" s="2439"/>
      <c r="DS53" s="2439"/>
      <c r="DT53" s="1796"/>
      <c r="DU53" s="1800"/>
      <c r="DV53" s="1801"/>
      <c r="DW53" s="1802"/>
      <c r="DX53" s="1802"/>
      <c r="DY53" s="1800"/>
      <c r="DZ53" s="1683">
        <f t="shared" si="18"/>
        <v>1782826</v>
      </c>
      <c r="EA53" s="1929"/>
      <c r="EB53" s="1487">
        <f t="shared" si="19"/>
        <v>3584177</v>
      </c>
      <c r="EC53" s="1953">
        <v>1</v>
      </c>
      <c r="ED53" s="2553">
        <f t="shared" si="20"/>
        <v>3584177</v>
      </c>
      <c r="EE53" s="1799"/>
      <c r="EF53" s="2439">
        <f>+EF55+EF56+EF57</f>
        <v>1396073</v>
      </c>
      <c r="EG53" s="1974"/>
      <c r="EH53" s="1683">
        <f t="shared" ref="EH53:EH62" si="205">+IF(OR(BB53="",EB53=""),"",SUM(EE53:EG53))</f>
        <v>1396073</v>
      </c>
      <c r="EI53" s="1801"/>
      <c r="EJ53" s="1802"/>
      <c r="EK53" s="1998"/>
      <c r="EL53" s="1447"/>
      <c r="EM53" s="1801"/>
      <c r="EN53" s="1802">
        <f>+EN55+EN56+EN57</f>
        <v>384621</v>
      </c>
      <c r="EO53" s="1998">
        <f>+EO55+EO56+EO57</f>
        <v>545647</v>
      </c>
      <c r="EP53" s="1683">
        <f t="shared" si="21"/>
        <v>930268</v>
      </c>
      <c r="EQ53" s="2665">
        <f>+IF(BB53="","",(ED53+EH53+EP53)*0.08)</f>
        <v>472841.44</v>
      </c>
      <c r="ER53" s="2665">
        <f>+IF(BB53="","",0.1*EF53)</f>
        <v>139607.30000000002</v>
      </c>
      <c r="ES53" s="1683"/>
      <c r="ET53" s="1447">
        <f t="shared" ref="ET53:ET59" si="206">+IF(OR(BB53="",EB53=""),"",SUM(EQ53:ES53))</f>
        <v>612448.74</v>
      </c>
      <c r="EU53" s="1420"/>
      <c r="EV53" s="1382"/>
      <c r="EW53" s="2571">
        <f t="shared" ref="EW53:EW59" si="207">+IF(BB53="","",(ED53+EH53+EP53+ET53)*5/100)</f>
        <v>326148.33700000006</v>
      </c>
      <c r="EX53" s="2571">
        <f t="shared" ref="EX53:EX59" si="208">+IF(BB53="","",(ED53+EH53+EP53+ET53)*5/100)</f>
        <v>326148.33700000006</v>
      </c>
      <c r="EY53" s="2678">
        <f t="shared" si="92"/>
        <v>7175263.4140000008</v>
      </c>
      <c r="EZ53" s="2707"/>
      <c r="FA53" s="1382">
        <f>+FA54</f>
        <v>144000</v>
      </c>
      <c r="FB53" s="1469">
        <f t="shared" ref="FB53:FB59" si="209">+IF(BB53="","",(IF(EY53="",0,EY53)+IF(FA53="",0,FA53)-IF(EZ53="",0,EZ53)))</f>
        <v>7319263.4140000008</v>
      </c>
      <c r="FC53" s="2594">
        <f>+IF(OR(ED53="",IF(R53="",R52,R53)=""),"",ED53/IF(R53="",R52,R53))</f>
        <v>3584177</v>
      </c>
      <c r="FD53" s="2602">
        <f>+IF(OR(BB53="",IF(R53="",R52,R53)="",(CU53+DL53)=0),"",(CU53+DL53)/IF(R53="",R52,R53))</f>
        <v>3584177</v>
      </c>
      <c r="FE53" s="2603">
        <f t="shared" ref="FE53:FE59" si="210">+IF(OR(FC53="",FD53=""),"",FD53/FC53)</f>
        <v>1</v>
      </c>
      <c r="FF53" s="2602">
        <f>+IF(OR(BB53="",CT53="",IF(R53="",R52,R53)=""),"",(SUM(CV53:CZ53)+(IF(DM53="",0,DM53)+SUM(DN53:DQ53)))/IF(R53="",R52,R53))</f>
        <v>0</v>
      </c>
      <c r="FG53" s="2603">
        <f t="shared" ref="FG53:FG59" si="211">+IF(OR(BB53="",ISERROR(FF53/FC53)),"",FF53/FC53)</f>
        <v>0</v>
      </c>
      <c r="FH53" s="2602">
        <f>+IF(OR(BB53="",IF(R53="",R52,R53)="",),"",(DA53+DR53)/IF(R53="",R52,R53))</f>
        <v>0</v>
      </c>
      <c r="FI53" s="2603">
        <f t="shared" ref="FI53:FI59" si="212">+IF(OR(FC53="",FH53=""),"",FH53/FC53)</f>
        <v>0</v>
      </c>
      <c r="FJ53" s="2604">
        <f t="shared" ref="FJ53:FJ59" si="213">+IF(OR(BB53="",CT53=""),"",IF(FD53="",0,FD53)+IF(FF53="",0,FF53)+IF(FH53="",0,FH53))</f>
        <v>3584177</v>
      </c>
      <c r="FK53" s="2603">
        <f t="shared" ref="FK53:FK59" si="214">+IF(OR(BB53="",ISERROR(FJ53/FC53)),"",FJ53/FC53)</f>
        <v>1</v>
      </c>
      <c r="FL53" s="2624">
        <f>+IF(OR(BB53="",CT53="",IF(R53="",R52,R53)=""),"",(DB53+DC53+DS53+DT53)/IF(R53="",R52,R53))</f>
        <v>0</v>
      </c>
      <c r="FM53" s="2603">
        <f t="shared" ref="FM53:FM59" si="215">+IF(OR(BB53="",ISERROR(FL53/FC53)),"",FL53/FC53)</f>
        <v>0</v>
      </c>
      <c r="FN53" s="2602">
        <f>+IF(OR(BB53="",CT53="",IF(R53="",R52,R53)=""),"",(DD53+DU53)/IF(R53="",R52,R53))</f>
        <v>0</v>
      </c>
      <c r="FO53" s="2603">
        <f>+IF(OR(BB53="",ISERROR(FN53/FC53)),"",FN53/FC53)</f>
        <v>0</v>
      </c>
      <c r="FP53" s="2602">
        <f>+IF(OR(BB53="",CT53="",IF(R53="",R52,R53)=""),"",(DG53+DH53+DX53+DY53)/IF(R53="",R52,R53))</f>
        <v>0</v>
      </c>
      <c r="FQ53" s="2603">
        <f>+IF(OR(BB53="",ISERROR(FL53/FC53)),"",FP53/FC53)</f>
        <v>0</v>
      </c>
      <c r="FR53" s="3143">
        <f>+IF(OR(BB53="",IF(R53="",R52,R53)="",(IF(DI53="",0,DI53)+IF(DZ53="",0,DZ53))=0),"",(IF(DI53="",0,DI53)+IF(DZ53="",0,DZ53))/IF(R53="",R52,R53))</f>
        <v>3584177</v>
      </c>
      <c r="FS53" s="2867" t="str">
        <f>+IF(OR(DJ53="",IF(R53="",R52,R53)=""),"",(DJ53+EA53)/IF(R53="",R52,R53))</f>
        <v/>
      </c>
      <c r="FT53" s="2060" t="str">
        <f>+IF(OR(BB53="",ISERROR(FS53/FR53)),"",FS53/FR53)</f>
        <v/>
      </c>
      <c r="FU53" s="2880">
        <f>+IF(OR(BB53="",ISERROR(1-(FR53+IF(FS53="",0,FS53)+FN53+FP53)*IF(R53="",R52,R53)/(CT53+DK53))),"",1-(FR53+IF(FS53="",0,FS53)+FN53+FP53)*IF(R53="",R52,R53)/(CT53+DK53))</f>
        <v>0</v>
      </c>
      <c r="FV53" s="2619">
        <f>+IF(FC53="","",FC53/IF(T53="",IF(T52="",1,T52),T53))</f>
        <v>190647.71276595743</v>
      </c>
      <c r="FW53" s="2624">
        <f>+IF(OR(EH53="",IF(R53="",R52,R53)=""),"",EH53/IF(R53="",R52,R53))</f>
        <v>1396073</v>
      </c>
      <c r="FX53" s="2666">
        <f t="shared" ref="FX53:FX64" si="216">+IF(ISERR(FW53/$FC53),"",FW53/$FC53)</f>
        <v>0.38951006046855385</v>
      </c>
      <c r="FY53" s="2602">
        <f>+IF(OR(EP53="",IF(R53="",R52,R53)=""),"",EP53/IF(R53="",R52,R53))</f>
        <v>930268</v>
      </c>
      <c r="FZ53" s="2666">
        <f t="shared" ref="FZ53:FZ64" si="217">+IF(ISERR(FY53/$FC53),"",FY53/$FC53)</f>
        <v>0.25954856582138663</v>
      </c>
      <c r="GA53" s="2625" t="str">
        <f>+IF(IF(V53="",V52,V53)="Utility Boiler",IF(ISERR(FY53/(FC53+FW53)),"",FY53/(FC53+FW53)),"")</f>
        <v/>
      </c>
      <c r="GB53" s="2602">
        <f>+IF(OR(ET53="",IF(R53="",R52,R53)=""),"",ET53/IF(R53="",R52,R53))</f>
        <v>612448.74</v>
      </c>
      <c r="GC53" s="2625">
        <f t="shared" ref="GC53:GC59" si="218">+IF(ISERR(GB53/$FC53),"",GB53/$FC53)</f>
        <v>0.17087569615005063</v>
      </c>
      <c r="GD53" s="2625" t="str">
        <f>+IF(IF(V53="",V52,V53)="Utility Boiler",IF(ISERR(GB53/($FC53)),"",GB53/(FC53+FW53+FY53)),"")</f>
        <v/>
      </c>
      <c r="GE53" s="2626">
        <f>+IF(OR(FB53="",IF(R53="",R52,R53)=""),"",FB53/IF(R53="",R52,R53))</f>
        <v>7319263.4140000008</v>
      </c>
      <c r="GF53" s="2627">
        <f>+IF(FB53="","",(IF(FA53="",0,FA53)-IF(EZ53="",0,EZ53))+(IF(EU53="",0,EU53)+IF(EV53="",0,EV53)+(IF(EW53="",0,EW53)+IF(EX53="",0,EX53))/$R$53+IF(FC53="",0,FC53)+IF(FW53="",0,FW53)+IF(FY53="",0,FY53)+IF(GB53="",0,GB53)))</f>
        <v>7319263.4140000008</v>
      </c>
      <c r="GG53" s="2628">
        <f>+IF(OR(CS53="",IF(R53="",R52,R53)=""),"",1-(CS53/IF(R53="",R52,R53))/GF53)</f>
        <v>5.6563068895343349E-8</v>
      </c>
      <c r="GH53" s="3165">
        <f>+IF(IF(T53="",T52,T53)="","",IF(GF53="","",GF53/IF(T53="",T52,T53)))</f>
        <v>389322.52202127664</v>
      </c>
      <c r="GI53" s="1609">
        <v>910464.90242000006</v>
      </c>
      <c r="GJ53" s="2604">
        <v>347672</v>
      </c>
      <c r="GK53" s="3439">
        <f>+IF(OR(BB53="",GJ53=""),"",IF(CB53="",1,CB53*IF(R53="",IF(R52="",R51,R52),R53)))</f>
        <v>2.621122556790036</v>
      </c>
      <c r="GL53" s="3214">
        <f t="shared" ref="GL53:GL64" si="219">+IF(OR(BB53="",GI53="",GJ53=""),"",(GJ53-GI53/GK53)/GJ53)</f>
        <v>9.0642749176897679E-4</v>
      </c>
      <c r="GM53" s="1221"/>
      <c r="GN53" s="1220"/>
      <c r="GO53" s="2281"/>
      <c r="GP53" s="2282"/>
      <c r="GQ53" s="2217"/>
      <c r="GR53" s="2217"/>
      <c r="GS53" s="2212">
        <f>+IF(GE53="","",GE53*3/100)</f>
        <v>219577.90242000003</v>
      </c>
      <c r="GT53" s="2212">
        <v>690887</v>
      </c>
      <c r="GU53" s="2736">
        <f t="shared" si="187"/>
        <v>910464.90242000006</v>
      </c>
      <c r="GV53" s="1218" t="str">
        <f>+IF(OR(GO53="",IF(R53="",R52,R53)=""),"",GO53/IF(R53="",R52,R53))</f>
        <v/>
      </c>
      <c r="GW53" s="2247" t="str">
        <f>+IF(OR(GP53="",IF(R53="",R52,R53)=""),"",GP53/IF(R53="",R52,R53))</f>
        <v/>
      </c>
      <c r="GX53" s="2217" t="str">
        <f>+IF(OR(GQ53="",IF(R53="",R52,R53)=""),"",GQ53/IF(R53="",R52,R53))</f>
        <v/>
      </c>
      <c r="GY53" s="2217" t="str">
        <f>+IF(OR(GR53="",IF(R53="",R52,R53)=""),"",GR53/IF(R53="",R52,R53))</f>
        <v/>
      </c>
      <c r="GZ53" s="2217">
        <f>+IF(OR(GS53="",IF(R53="",R52,R53)=""),"",GS53/IF(R53="",R52,R53))</f>
        <v>219577.90242000003</v>
      </c>
      <c r="HA53" s="2217">
        <f>+IF(OR(GT53="",IF(R53="",R52,R53)=""),"",GT53/IF(R53="",R52,R53))</f>
        <v>690887</v>
      </c>
      <c r="HB53" s="1332">
        <f t="shared" si="22"/>
        <v>910464.90242000006</v>
      </c>
      <c r="HC53" s="1219">
        <f>+IF(OR(GU53="",IF(R53="",R52,R53)=""),"",GU53/IF(R53="",R52,R53))</f>
        <v>910464.90242000006</v>
      </c>
      <c r="HD53" s="3466">
        <f t="shared" ref="HD53:HD64" si="220">+IF(ISERR((HB53-HC53)/HB53),"",(HB53-HC53)/HB53)</f>
        <v>0</v>
      </c>
      <c r="HE53" s="1221"/>
      <c r="HF53" s="2553">
        <f t="shared" si="107"/>
        <v>347672</v>
      </c>
      <c r="HG53" s="1220">
        <f t="shared" si="23"/>
        <v>633891.53480142006</v>
      </c>
      <c r="HH53" s="2980">
        <f t="shared" ref="HH53:HH59" si="221">+IF(BF53="","",VALUE(LEFT(BF53,1)))</f>
        <v>3</v>
      </c>
      <c r="HI53" s="3064">
        <f t="shared" ref="HI53:HI59" si="222">+IF(FR53="","",FR53)</f>
        <v>3584177</v>
      </c>
      <c r="HJ53" s="3077">
        <f t="shared" ref="HJ53:HJ59" si="223">+IF(FP53="","",FP53)</f>
        <v>0</v>
      </c>
      <c r="HK53" s="3077">
        <f t="shared" ref="HK53:HK59" si="224">+IF(FN53="","",FN53)</f>
        <v>0</v>
      </c>
      <c r="HL53" s="3077" t="str">
        <f t="shared" ref="HL53:HL59" si="225">+IF(FR53="","",IF(HH53="","",IF(HH53=4,FS53,IF(HH53=3,FS53,IF(HH53=2,$HL$7*HI53,IF(HH53=1,$HL$6*HI53,""))))))</f>
        <v/>
      </c>
      <c r="HM53" s="3090">
        <f t="shared" ref="HM53:HM59" si="226">IF(FR53="","",SUM(HI53:HL53))</f>
        <v>3584177</v>
      </c>
      <c r="HN53" s="3096">
        <f>+IF(ISERROR(HM53/IF(T53="",IF(T52="",IF(T51="",1,T51),T52),T53)),"",IF(FR53="","",HM53/IF(T53="",IF(T52="",IF(T51="",1,T51),T52),T53)))</f>
        <v>190647.71276595743</v>
      </c>
      <c r="HO53" s="3107">
        <f t="shared" ref="HO53:HO59" si="227">+IF(FR53="","",IF(HH53="","",IF(HH53=4,FW53,IF(HH53=3,FW53,IF(HH53=2,$HO$7*HM53,IF(HH53=1,$HO$6*HM53,""))))))</f>
        <v>1396073</v>
      </c>
      <c r="HP53" s="3077">
        <f t="shared" ref="HP53:HP59" si="228">+IF(FR53="","",IF(HH53="","",IF(HH53=4,FY53,IF(HH53=3,FY53,IF(HH53=2,$HP$7*(HM53+HO53),IF(HH53=1,$HP$6*HM53,""))))))</f>
        <v>930268</v>
      </c>
      <c r="HQ53" s="3108">
        <f t="shared" ref="HQ53:HQ59" si="229">+IF(FR53="","",IF(HH53="","",IF(HH53=3,$HQ$8*(HI53+HO53+HP53),"")))</f>
        <v>472841.44</v>
      </c>
      <c r="HR53" s="3109">
        <f t="shared" ref="HR53:HR59" si="230">+IF(FR53="","",IF(HH53="","",IF(HH53=4,GB53,IF(HH53=3,$HR$8*HO53,IF(HH53=2,$HR$7*(HM53+HO53+HP53),IF(HH53=1,$HR$6*HM53,""))))))</f>
        <v>139607.30000000002</v>
      </c>
      <c r="HS53" s="3109">
        <f t="shared" ref="HS53:HS59" si="231">IF(FR53="","",SUM(HQ53:HR53))</f>
        <v>612448.74</v>
      </c>
      <c r="HT53" s="1202" t="str">
        <f t="shared" ref="HT53:HT59" si="232">+IF(FR53="","",IF(HH53="","",IF(HH53=2,$HT$7*(HP53+HR53),"")))</f>
        <v/>
      </c>
      <c r="HU53" s="1203" t="str">
        <f t="shared" ref="HU53:HU59" si="233">+IF(FR53="","",IF(HH53="","",IF(HH53=2,$HU$7*(HP53+HR53),"")))</f>
        <v/>
      </c>
      <c r="HV53" s="3134">
        <f t="shared" ref="HV53:HV59" si="234">+IF(FR53="","",IF(HH53="","",IF(HH53=3,$HV$8*(HI53+HO53+HP53+HS53),"")))</f>
        <v>326148.33700000006</v>
      </c>
      <c r="HW53" s="3120">
        <f t="shared" ref="HW53:HW59" si="235">+IF(FR53="","",IF(HH53="","",IF(HH53=3,$HW$8*(HI53+HO53+HP53+HS53),"")))</f>
        <v>326148.33700000006</v>
      </c>
      <c r="HX53" s="3134">
        <f t="shared" si="199"/>
        <v>7175263.4140000008</v>
      </c>
      <c r="HY53" s="3077" t="str">
        <f>+IF(EZ53="","",EZ53/IF(R53="",IF(R52="",1,R52),R53))</f>
        <v/>
      </c>
      <c r="HZ53" s="3109">
        <f>+IF(FA53="","",FA53/IF(R53="",IF(R52="",1,R52),R53))</f>
        <v>144000</v>
      </c>
      <c r="IA53" s="3064">
        <f t="shared" ref="IA53:IA59" si="236">+IF(HM53="","",HX53-IF(HY53="",0,HY53)+IF(HZ53="",0,HZ53))</f>
        <v>7319263.4140000008</v>
      </c>
      <c r="IB53" s="3103" t="str">
        <f t="shared" ref="IB53:IB76" si="237">+IF(BB53="","",IF(ISERROR(GF53-IA53),"",IF((GF53-IA53)&gt;0,"stk added + "&amp;ROUND((GF53-IA53)/GF53*100,0)&amp;"%",IF(GF53=IA53,"same TCC",(GF53-IA53)/GF53))))</f>
        <v>same TCC</v>
      </c>
      <c r="IC53" s="3096">
        <f>+IF(IA53="","",IA53/IF(T53="",IF(T52="",1,T52),T53))</f>
        <v>389322.52202127664</v>
      </c>
      <c r="ID53" s="1202"/>
      <c r="IE53" s="4096"/>
      <c r="IF53" s="3134" t="str">
        <f t="shared" ref="IF53:IF59" si="238">+IF(GO53="","",GO53)</f>
        <v/>
      </c>
      <c r="IG53" s="6765"/>
      <c r="IH53" s="4162" t="str">
        <f t="shared" ref="IH53:IH59" si="239">+IF(GP53="","",GP53)</f>
        <v/>
      </c>
      <c r="II53" s="4163"/>
      <c r="IJ53" s="4163" t="str">
        <f t="shared" ref="IJ53:IJ59" si="240">+IF(SUM(IF(IH53="",0,IH53)+IF(IF53="",0,IF53))=0,"",IF(IH53="",0,IH53)+IF(IF53="",0,IF53))</f>
        <v/>
      </c>
      <c r="IK53" s="4126">
        <v>1</v>
      </c>
      <c r="IL53" s="2439" t="str">
        <f t="shared" ref="IL53:IL59" si="241">+IF(IF53="","",IK53*$IL$8*IF53)</f>
        <v/>
      </c>
      <c r="IM53" s="1798">
        <f t="shared" ref="IM53:IM59" si="242">IF(HM53="","",IK53*$IM$8*IA53)</f>
        <v>292770.53656000004</v>
      </c>
      <c r="IN53" s="4224">
        <f t="shared" ref="IN53:IN59" si="243">+IF(SUM(IF(IM53="",0,IM53)+IF(IL53="",0,IL53))=0,"",IF(IM53="",0,IM53)+IF(IL53="",0,IL53))</f>
        <v>292770.53656000004</v>
      </c>
      <c r="IO53" s="4224">
        <f t="shared" ref="IO53:IO59" si="244">+IF(SUM(IF(IN53="",0,IN53)+IF(IJ53="",0,IJ53))=0,"",IF(IN53="",0,IN53)+IF(IJ53="",0,IJ53))</f>
        <v>292770.53656000004</v>
      </c>
      <c r="IP53" s="4224" t="str">
        <f t="shared" ref="IP53:IP56" si="245">+IF(BB53="","",IF(IJ53="","",IJ53/IF(R53="",IF(R52="",IF(R51="",R50,R51),R52),R53)))</f>
        <v/>
      </c>
      <c r="IQ53" s="6838" t="str">
        <f t="shared" ref="IQ53:IQ57" si="246">+IF(IP53="","",IP53/IX53)</f>
        <v/>
      </c>
      <c r="IR53" s="4224">
        <f t="shared" ref="IR53:IR56" si="247">+IF(BB53="","",IF(IN53="","",IN53/IF(R53="",IF(R52="",IF(R51="",R50,R51),R52),R53)))</f>
        <v>292770.53656000004</v>
      </c>
      <c r="IS53" s="6838">
        <f t="shared" ref="IS53:IS57" si="248">+IF(IR53="","",IR53/IX53)</f>
        <v>0.2976347138718895</v>
      </c>
      <c r="IT53" s="4224">
        <f t="shared" ref="IT53:IT59" si="249">+IF(BB53="","",IF(IO53="","",IO53/$R$53))</f>
        <v>292770.53656000004</v>
      </c>
      <c r="IU53" s="6838">
        <f t="shared" ref="IU53:IU59" si="250">+IF(IT53="","",IT53/IX53)</f>
        <v>0.2976347138718895</v>
      </c>
      <c r="IV53" s="4126">
        <f t="shared" ref="IV53:IV59" si="251">+IF(D53="","",IF(IF(V53="",IF(V52="",IF(V51="",V50,V51),V52),V53)="Utility Boiler",2,1))</f>
        <v>1</v>
      </c>
      <c r="IW53" s="1798">
        <f t="shared" ref="IW53:IW59" si="252">IF(IA53="","",IF(IV53=1,$IW$5,IF(IV53=2,$IW$8,""))*IA53)</f>
        <v>690886.68793303019</v>
      </c>
      <c r="IX53" s="3096">
        <f t="shared" ref="IX53:IX59" si="253">+IF(SUM(IF(IW53="",0,IW53)+IF(IT53="",0,IT53))=0,IY53,IF(IW53="",0,IW53)+IF(IT53="",0,IT53))</f>
        <v>983657.22449303023</v>
      </c>
      <c r="IY53" s="4243">
        <f t="shared" ref="IY53:IY59" si="254">+HC53</f>
        <v>910464.90242000006</v>
      </c>
      <c r="IZ53" s="4272">
        <f t="shared" ref="IZ53:IZ59" si="255">+IF(IY53="","",(IY53-IX53)/IY53)</f>
        <v>-8.0390053343611864E-2</v>
      </c>
      <c r="JA53" s="4273">
        <f t="shared" ref="JA53:JA59" si="256">+IF(BB53="","",IF(ISERROR(IY53-IX53),"",IF((IY53-IX53)&gt;0,"stk added + "&amp;ROUND((IY53-IX53)/IY53*100,0)&amp;"%",IF(IY53=IX53,"same TAC",(IY53-IX53)/IY53))))</f>
        <v>-8.0390053343611864E-2</v>
      </c>
      <c r="JB53" s="1203"/>
      <c r="JC53" s="4321"/>
      <c r="JD53" s="2553">
        <f t="shared" ref="JD53:JD59" si="257">+IF(OR(IX53="",$CB53=""),"",IX53/$CB53)</f>
        <v>375280.89708924881</v>
      </c>
      <c r="JE53" s="4356">
        <f t="shared" ref="JE53:JE59" si="258">+IF(OR(IX53="",$CL53=""),"",IX53/$CL53)</f>
        <v>684850.10909817019</v>
      </c>
      <c r="JF53" s="7027">
        <f>+IF(D53="","",IF(T53="",IF(T52="",T51/IF(Y51="TP",2,1),T52/IF(Y52="TP",2,1)),T53/IF(Y53="TP",2,1)))</f>
        <v>18.8</v>
      </c>
      <c r="JG53" s="2439" t="s">
        <v>2437</v>
      </c>
      <c r="JH53" s="6958">
        <f t="shared" ref="JH53:JH59" si="259">+IF(D53="","",IF(HX53="","",HX53))</f>
        <v>7175263.4140000008</v>
      </c>
      <c r="JI53" s="6958">
        <f>+JI55</f>
        <v>3362772.9959999998</v>
      </c>
      <c r="JJ53" s="6958">
        <f>+JI56</f>
        <v>1047551.5820000001</v>
      </c>
      <c r="JK53" s="6958">
        <f>+JH53-(JI53+JJ53)</f>
        <v>2764938.8360000011</v>
      </c>
      <c r="JL53" s="6995"/>
      <c r="JM53" s="1797" t="str">
        <f t="shared" ref="JM53:JM59" si="260">+IF(D53="","",IF(JG53="SCR",(JF53*49700+459000),IF(JG53="HPWI",(0.0353*JF53+0.2915)*(10^6),"N/A")))</f>
        <v>N/A</v>
      </c>
      <c r="JN53" s="2439" t="str">
        <f t="shared" ref="JN53:JN59" si="261">+IF(D53="","",IF(JM53="N/A","",JM53*$JN$27))</f>
        <v/>
      </c>
      <c r="JO53" s="2439">
        <f>+JO55</f>
        <v>2410512.7999999998</v>
      </c>
      <c r="JP53" s="7074">
        <f>+JO56</f>
        <v>1652392.2</v>
      </c>
      <c r="JQ53" s="7074">
        <f>+JO57</f>
        <v>2764938.8360000001</v>
      </c>
      <c r="JR53" s="2439"/>
      <c r="JS53" s="1798">
        <f t="shared" ref="JS53:JS59" si="262">+IF(D53="","",SUM(JO53:JR53))</f>
        <v>6827843.8360000001</v>
      </c>
      <c r="JT53" s="7127">
        <f t="shared" ref="JT53:JT64" si="263">+IF(BE53="","",IF(OR(BE53="SCR",BE53="New Eqp"),2,1))</f>
        <v>2</v>
      </c>
      <c r="JU53" s="7128">
        <f>+IF(D53="","",AV53)</f>
        <v>19</v>
      </c>
      <c r="JV53" s="8365">
        <f>+IF(D53="","",AW53)</f>
        <v>4811</v>
      </c>
      <c r="JW53" s="8392">
        <f t="shared" si="149"/>
        <v>1.4363102398980963</v>
      </c>
      <c r="JX53" s="8421">
        <f t="shared" ref="JX53:JX59" si="264">+IF(OR(D53="",JU53=""),"",IF(JT53=2,24000/JU53,""))</f>
        <v>1263.1578947368421</v>
      </c>
      <c r="JY53" s="8456">
        <f t="shared" ref="JY53:JY59" si="265">+IF(D53="","",IF(JT53=2,($JY$8*(1+$JY$8)^JX53)/((1+$JY$8)^JX53-1),""))</f>
        <v>7.0000000000000007E-2</v>
      </c>
      <c r="JZ53" s="7129">
        <f t="shared" ref="JZ53:JZ59" si="266">+IF(OR(D53="",JU53="",ISERROR(JF53)),"",IF(JT53=2,JF53*6180/83,""))</f>
        <v>1399.8072289156626</v>
      </c>
      <c r="KA53" s="7127" t="str">
        <f t="shared" ref="KA53:KA59" si="267">+IF(OR(D53="",JV53=""),"",IF(JT53=1,JV53*10^6/$KA$8/JU53,""))</f>
        <v/>
      </c>
      <c r="KB53" s="7128" t="str">
        <f t="shared" ref="KB53:KB59" si="268">+IF(OR(D53="",KA53=""),"",IF(JT53=1,KA53*$KB$8,""))</f>
        <v/>
      </c>
      <c r="KC53" s="7129" t="str">
        <f t="shared" si="201"/>
        <v/>
      </c>
      <c r="KD53" s="7127">
        <f t="shared" ref="KD53:KD59" si="269">+IF(OR(D53="",JV53=""),"",IF(JT53=1,$KD$5*JU53*$KD$6/1000,$KD$7*JU53*$KD$8/1000))</f>
        <v>806.43600000000004</v>
      </c>
      <c r="KE53" s="8329">
        <f t="shared" ref="KE53:KE59" si="270">+IF(OR(D53="",JW53="",JW53=0),"",IF(JT53=2,JW53*$KE$8*$KG$4,""))</f>
        <v>894.53401740853428</v>
      </c>
      <c r="KF53" s="8329">
        <f t="shared" ref="KF53:KF59" si="271">+IF(OR(D53="",JW53="",JW53=0),"",IF(JT53=2,JW53*(0.95/0.05)*(18/17)*($KF$8/1000)*(2000)*$KG$4,""))</f>
        <v>599.86398814454651</v>
      </c>
      <c r="KG53" s="7128">
        <f t="shared" ref="KG53:KG59" si="272">+IF(D53="","",IF(JT53=1,$KG$2*KC53/1000*60*JU53*$KG$4*$KG$6,IF(OR(JZ53="",JY53=""),"",JZ53*$KG$8*JY53*$KG$4)))</f>
        <v>2542.7498313253013</v>
      </c>
      <c r="KH53" s="7128">
        <f t="shared" ref="KH53:KH59" si="273">IF(D53="","",IF(JT53=2,0.005*JF53*$KD$6/1000*1000*JU53,""))</f>
        <v>693.25376000000006</v>
      </c>
      <c r="KI53" s="7128">
        <f t="shared" ref="KI53:KI59" si="274">IF(D53="","",IF(JT53=2,0.1*0.005*JF53*$KD$6/1000*1000*JU53,""))</f>
        <v>69.325376000000006</v>
      </c>
      <c r="KJ53" s="7128">
        <f t="shared" ref="KJ53:KJ59" si="275">+IF(OR(D53="",JU53="",JV53=""),"",IF(JT53=1,KD53+KG53,KD53+KE53+KF53+KG53+KH53+KI53))</f>
        <v>5606.1629728783819</v>
      </c>
      <c r="KK53" s="7128">
        <f>+KK55+KK56</f>
        <v>3986.4736000000003</v>
      </c>
      <c r="KL53" s="7128">
        <f t="shared" ref="KL53:KL59" si="276">+IF(OR(D53="",JU53="",JV53="",JS53=""),"",IF(JT53=1,$KL$7*JS53*JU53/$KL$8,$KL$7*IF(JN53="",JS53,JN53)*JU53/$KL$8))</f>
        <v>486.48387331499998</v>
      </c>
      <c r="KM53" s="7128">
        <f t="shared" ref="KM53:KM59" si="277">+IF(D53="","",IF(KK53="",0,KK53)+IF(KL53="",0,KL53))</f>
        <v>4472.9574733150002</v>
      </c>
      <c r="KN53" s="7128" t="str">
        <f t="shared" ref="KN53:KN59" si="278">+IF(D53="","",IF(JX53&lt;41,$KN$8*JZ53*JY53,""))</f>
        <v/>
      </c>
      <c r="KO53" s="7128">
        <f t="shared" ref="KO53:KO59" si="279">+IF(OR(D53="",JU53="",JV53=""),"",IF(KM53="",0,KM53)+IF(KN53="",0,KN53))</f>
        <v>4472.9574733150002</v>
      </c>
      <c r="KP53" s="7129">
        <f t="shared" ref="KP53:KP59" si="280">+IF(OR(D53="",JU53="",JV53=""),"",IF(KJ53="",0,KJ53)+IF(KO53="",0,KO53))</f>
        <v>10079.120446193381</v>
      </c>
      <c r="KQ53" s="1799">
        <f>+IF(D53="","",VLOOKUP(MATCH(BE53,ac_id,0),ad,ac!$F$8,FALSE)*JV53)</f>
        <v>1443.3</v>
      </c>
      <c r="KR53" s="7074">
        <f>+IF(D53="","",IF(JT53=1,VLOOKUP(MATCH(BE53,ac_id,0),ad,ac!$H$8,FALSE)*JU53, (VLOOKUP(MATCH(BE53,ac_id,0),ad,ac!$H$8,FALSE)*JU53^(1+VLOOKUP(MATCH(BE53,ac_id,0),ad,ac!$I$8,FALSE)))))</f>
        <v>16544.904554946788</v>
      </c>
      <c r="KS53" s="1798">
        <f t="shared" ref="KS53:KS59" si="281">+IF(D53="","",KQ53+KR53)</f>
        <v>17988.204554946788</v>
      </c>
      <c r="KT53" s="1799">
        <f t="shared" ref="KT53:KT59" si="282">+IF(D53="","",IF(KK53="","",$KT$26*KM53))</f>
        <v>2683.7744839890001</v>
      </c>
      <c r="KU53" s="2439">
        <f t="shared" ref="KU53:KU59" si="283">+IF(D53="","",IF(JS53="","",$KU$26*IF(JN53="",JS53,JN53)))</f>
        <v>273113.75344</v>
      </c>
      <c r="KV53" s="7372">
        <f t="shared" ref="KV53:KV59" si="284">+IF(D53="","",IV53)</f>
        <v>1</v>
      </c>
      <c r="KW53" s="7279">
        <f t="shared" ref="KW53:KW59" si="285">IF(JS53="","",IF(KV53=1,$KW$5,IF(KV53=2,$KW$8,""))*JS53)</f>
        <v>585900.81106909353</v>
      </c>
      <c r="KX53" s="1798">
        <f t="shared" ref="KX53:KX59" si="286">+IF(D53="","",IF(KW53="","",IF(KT53="",0,KT53)+IF(KU53="",0,KU53)+KW53))</f>
        <v>861698.33899308252</v>
      </c>
      <c r="KY53" s="3165">
        <f t="shared" ref="KY53:KY59" si="287">+IF(D53="","",IF(KX53="","",IF(KP53="",0,KP53)+KX53))</f>
        <v>871777.4594392759</v>
      </c>
      <c r="KZ53" s="7373"/>
      <c r="LA53" s="7279">
        <f t="shared" ref="LA53:LA59" si="288">+IF(OR(KY53="",$CB53=""),"",KY53/$CB53)</f>
        <v>332596.98489905801</v>
      </c>
      <c r="LB53" s="7290">
        <f t="shared" ref="LB53:LB59" si="289">+IF(OR(KY53="",$CL53=""),"",KY53/$CL53)</f>
        <v>606956.23774229095</v>
      </c>
      <c r="LC53" s="5133"/>
      <c r="LD53" s="5132"/>
      <c r="LE53" s="5132"/>
      <c r="LF53" s="5132"/>
      <c r="LG53" s="5132"/>
      <c r="LH53" s="5132"/>
      <c r="LI53" s="5132"/>
      <c r="LJ53" s="5132"/>
    </row>
    <row r="54" spans="1:322" s="645" customFormat="1" ht="27.95" customHeight="1">
      <c r="A54" s="10539"/>
      <c r="B54" s="9819" t="str">
        <f>+IF(A54="","",VLOOKUP(MATCH(A54,tid,0),tao,'12(id)'!$J$20,FALSE))</f>
        <v/>
      </c>
      <c r="C54" s="10561"/>
      <c r="D54" s="1107" t="str">
        <f t="shared" si="48"/>
        <v>8304-01-02</v>
      </c>
      <c r="E54" s="721" t="str">
        <f t="shared" si="202"/>
        <v>SCR + Water Injection (HPWI) - oil # 2</v>
      </c>
      <c r="F54" s="721" t="str">
        <f t="shared" si="49"/>
        <v>SCR</v>
      </c>
      <c r="G54" s="5133"/>
      <c r="H54" s="5132"/>
      <c r="I54" s="5133"/>
      <c r="J54" s="719">
        <f t="shared" si="68"/>
        <v>20</v>
      </c>
      <c r="K54" s="9663"/>
      <c r="L54" s="9648"/>
      <c r="M54" s="9650"/>
      <c r="N54" s="9648"/>
      <c r="O54" s="9648"/>
      <c r="P54" s="9648"/>
      <c r="Q54" s="9680" t="str">
        <f>+IF(ISERROR(MATCH(O54,tid,0)),"",VLOOKUP(MATCH(O54,tid,0),tao,'12(id)'!$Q$20,FALSE))</f>
        <v/>
      </c>
      <c r="R54" s="9648"/>
      <c r="S54" s="9648"/>
      <c r="T54" s="10716" t="str">
        <f>+IF(ISERROR(MATCH(O54,tid,0)),"",IF(VLOOKUP(MATCH(O54,tid,0),tao,'12(id)'!$CT$20,FALSE)="","",VLOOKUP(MATCH(O54,tid,0),tao,'12(id)'!$CT$20,FALSE)))</f>
        <v/>
      </c>
      <c r="U54" s="10716" t="str">
        <f>+IF(ISERROR(MATCH(O54,tid,0)),"",IF(VLOOKUP(MATCH(O54,tid,0),tao,'12(id)'!$CU$20,FALSE)="","",VLOOKUP(MATCH(O54,tid,0),tao,'12(id)'!$CU$20,FALSE)))</f>
        <v/>
      </c>
      <c r="V54" s="9504" t="str">
        <f>+IF(O54="","",IF(VLOOKUP(MATCH(O54,tid,0),tao,'12(id)'!$T$20,FALSE)="","",VLOOKUP(MATCH(O54,tid,0),tao,'12(id)'!$T$20,FALSE)))</f>
        <v/>
      </c>
      <c r="W54" s="9504" t="str">
        <f>+IF(ISERROR(MATCH(O54,tid,0)),"",IF(VLOOKUP(MATCH(O54,tid,0),tao,'12(id)'!$CO$20,FALSE)="","",VLOOKUP(MATCH(O54,tid,0),tao,'12(id)'!$CO$20,FALSE)))</f>
        <v/>
      </c>
      <c r="X54" s="9504" t="str">
        <f>+IF(ISERROR(MATCH(O54,tid,0)),"",IF(VLOOKUP(MATCH(O54,tid,0),tao,'12(id)'!$CP$20,FALSE)="","",VLOOKUP(MATCH(O54,tid,0),tao,'12(id)'!$CP$20,FALSE)))</f>
        <v/>
      </c>
      <c r="Y54" s="9504"/>
      <c r="Z54" s="9518" t="str">
        <f>+IF(ISERROR(MATCH(O54,tid,0)),"",VLOOKUP(MATCH(O54,tid,0),tao,'12(id)'!$DB$20,FALSE)&amp;" "&amp;VLOOKUP(MATCH(O54,tid,0),tao,'12(id)'!$DC$20,FALSE))</f>
        <v/>
      </c>
      <c r="AA54" s="9518" t="str">
        <f>+IF(ISERROR(MATCH(O54,tid,0)),"",IF(VLOOKUP(MATCH(O54,tid,0),tao,'12(id)'!$DE$20,FALSE)="","",ROUND(VLOOKUP(MATCH(O54,tid,0),tao,'12(id)'!$DE$20,FALSE),0)&amp;" yrs"))</f>
        <v/>
      </c>
      <c r="AB54" s="9648" t="str">
        <f>+IF(ISERROR(MATCH(O54,tid,0)),"",VLOOKUP(MATCH(O54,tid,0),tao,'12(id)'!$DI$20,FALSE))</f>
        <v/>
      </c>
      <c r="AC54" s="9648" t="str">
        <f>+IF(ISERROR(MATCH(O54,tid,0)),"",IF(VLOOKUP(MATCH(O54,tid,0),tao,'12(id)'!$DQ$20,FALSE)="","",VLOOKUP(MATCH(O54,tid,0),tao,'12(id)'!$DQ$20,FALSE)))</f>
        <v/>
      </c>
      <c r="AD54" s="10671" t="str">
        <f>+IF(ISERROR(MATCH(O54,tid,0)),"",IF(VLOOKUP(MATCH(O54,tid,0),tao,'12(id)'!$EI$20,FALSE)="","",VLOOKUP(MATCH(O54,tid,0),tao,'12(id)'!$EI$20,FALSE)))</f>
        <v/>
      </c>
      <c r="AE54" s="10766"/>
      <c r="AF54" s="10671" t="str">
        <f>+IF(ISERROR(MATCH(O54,tid,0)),"",IF(VLOOKUP(MATCH(O54,tid,0),tao,'12(id)'!$EL$20,FALSE)="","",VLOOKUP(MATCH(O54,tid,0),tao,'12(id)'!$EL$20,FALSE)))</f>
        <v/>
      </c>
      <c r="AG54" s="10691" t="str">
        <f>+IF(ISERROR(MATCH(O54,tid,0)),"",IF(VLOOKUP(MATCH(O54,tid,0),tao,'12(id)'!$EM$20,FALSE)="","",VLOOKUP(MATCH(O54,tid,0),tao,'12(id)'!$EM$20,FALSE)))</f>
        <v/>
      </c>
      <c r="AH54" s="10685"/>
      <c r="AI54" s="10682"/>
      <c r="AJ54" s="10688"/>
      <c r="AK54" s="10688"/>
      <c r="AL54" s="10688"/>
      <c r="AM54" s="10676"/>
      <c r="AN54" s="10679"/>
      <c r="AO54" s="10342" t="str">
        <f>+IF(ISERROR(MATCH(O54,tid,0)),"",IF(VLOOKUP(MATCH(O54,tid,0),tao,'12(id)'!$GY$20,FALSE)="","",VLOOKUP(MATCH(O54,tid,0),tao,'12(id)'!$GY$20,FALSE)))</f>
        <v/>
      </c>
      <c r="AP54" s="10292" t="e">
        <f>+IF($BB54="","",IF(VLOOKUP(MATCH(O54,tid,0),tao,'12(id)'!$HE$20,FALSE)="","",VLOOKUP(MATCH(O54,tid,0),tao,'12(id)'!$HE$20,FALSE)))</f>
        <v>#N/A</v>
      </c>
      <c r="AQ54" s="10342" t="str">
        <f>+IF(ISERROR(VLOOKUP(MATCH(O54,tid,0),tao,'12(id)'!$HF$20,FALSE)),"",VLOOKUP(MATCH(O54,tid,0),tao,'12(id)'!$HF$20,FALSE))</f>
        <v/>
      </c>
      <c r="AR54" s="10336" t="str">
        <f>+IF(ISERROR(MATCH(O54,tid,0)),"",IF(VLOOKUP(MATCH(O54,tid,0),tao,'12(id)'!$HJ$20,FALSE)="","",VLOOKUP(MATCH(O54,tid,0),tao,'12(id)'!$HJ$20,FALSE)))</f>
        <v/>
      </c>
      <c r="AS54" s="10339" t="str">
        <f>+IF(ISERROR(MATCH(O54,tid,0)),"",IF(VLOOKUP(MATCH(O54,tid,0),tao,'12(id)'!$HK$20,FALSE)="","",VLOOKUP(MATCH(O54,tid,0),tao,'12(id)'!$HK$20,FALSE)))</f>
        <v/>
      </c>
      <c r="AT54" s="10694" t="str">
        <f>+IF(ISERROR(MATCH(O54,tid,0)),"",IF(VLOOKUP(MATCH(O54,tid,0),tao,'12(id)'!$HM$20,FALSE)="","",VLOOKUP(MATCH(O54,tid,0),tao,'12(id)'!$HM$20,FALSE)))</f>
        <v/>
      </c>
      <c r="AU54" s="10359"/>
      <c r="AV54" s="10325" t="str">
        <f>+IF(ISERROR(MATCH(O54,em_id,0)),"",IF(VLOOKUP(MATCH(O54,em_id,0),em,'5(em)'!$CX$18,FALSE)="","",VLOOKUP(MATCH(O54,em_id,0),em,'5(em)'!$CX$18,FALSE)))</f>
        <v/>
      </c>
      <c r="AW54" s="10392" t="str">
        <f>+IF(ISERROR(MATCH(O54,em_id,0)),"",IF(VLOOKUP(MATCH(O54,em_id,0),em,'5(em)'!$CZ$18,FALSE)="","",VLOOKUP(MATCH(O54,em_id,0),em,'5(em)'!$CZ$18,FALSE)))</f>
        <v/>
      </c>
      <c r="AX54" s="10330" t="str">
        <f t="shared" si="50"/>
        <v/>
      </c>
      <c r="AY54" s="10325"/>
      <c r="AZ54" s="10400" t="str">
        <f>+IF(ISERROR(MATCH(O54,em_id,0)),"",IF(VLOOKUP(MATCH(O54,em_id,0),em,'5(em)'!$DA$18,FALSE)="","",VLOOKUP(MATCH(O54,em_id,0),em,'5(em)'!$DA$18,FALSE)))</f>
        <v/>
      </c>
      <c r="BA54" s="720"/>
      <c r="BB54" s="721" t="str">
        <f t="shared" si="11"/>
        <v>8304-01-02</v>
      </c>
      <c r="BC54" s="722">
        <f t="shared" ref="BC54:BC59" si="290">1+BC53</f>
        <v>2</v>
      </c>
      <c r="BD54" s="721" t="str">
        <f>+IF(OR(D54="",VLOOKUP(MATCH(D54,op_id,0),op,'7(op)'!$T$18,FALSE)=""),"",VLOOKUP(MATCH(D54,op_id,0),op,'7(op)'!$T$18,FALSE))</f>
        <v>SCR + Water Injection (HPWI) - oil # 2</v>
      </c>
      <c r="BE54" s="721" t="s">
        <v>1093</v>
      </c>
      <c r="BF54" s="721" t="s">
        <v>1863</v>
      </c>
      <c r="BG54" s="723" t="s">
        <v>1615</v>
      </c>
      <c r="BH54" s="677"/>
      <c r="BI54" s="678"/>
      <c r="BJ54" s="669"/>
      <c r="BK54" s="669"/>
      <c r="BL54" s="669"/>
      <c r="BM54" s="669"/>
      <c r="BN54" s="669" t="str">
        <f t="shared" si="12"/>
        <v/>
      </c>
      <c r="BO54" s="669" t="str">
        <f t="shared" si="13"/>
        <v/>
      </c>
      <c r="BP54" s="669" t="str">
        <f t="shared" si="14"/>
        <v/>
      </c>
      <c r="BQ54" s="669" t="str">
        <f t="shared" si="15"/>
        <v/>
      </c>
      <c r="BR54" s="671"/>
      <c r="BS54" s="672"/>
      <c r="BT54" s="673"/>
      <c r="BU54" s="3721">
        <f>+IF(BB54="","",IF(VLOOKUP(MATCH(BB54,ef_id,0),ef,'11(eff)'!$Z$23,FALSE)="","",VLOOKUP(MATCH(BB54,ef_id,0),ef,'11(eff)'!$Z$23,FALSE)))</f>
        <v>3.5220437336352696E-2</v>
      </c>
      <c r="BV54" s="3742">
        <f>+IF(BB54="","",IF(VLOOKUP(MATCH(BB54,ef_id,0),ef,'11(eff)'!$AA$23,FALSE)="","",VLOOKUP(MATCH(BB54,ef_id,0),ef,'11(eff)'!$AA$23,FALSE)))</f>
        <v>9</v>
      </c>
      <c r="BW54" s="3766">
        <f>+'A3(trc)'!I70</f>
        <v>0.17434116481494594</v>
      </c>
      <c r="BX54" s="3788">
        <f>+IF(OR(BB54="",BW54=""),"",BW54/IF(R54="",IF(R53="",R52,R53),R54))</f>
        <v>0.17434116481494594</v>
      </c>
      <c r="BY54" s="3810">
        <f>+IF($BB54="","",IF(BU54="","",BU54/2000*IF(AQ54="",IF(AQ53="",AQ52,AQ53),AQ54)))</f>
        <v>0.17434116481494585</v>
      </c>
      <c r="BZ54" s="1055"/>
      <c r="CA54" s="3408"/>
      <c r="CB54" s="3842">
        <f t="shared" ref="CB54:CB59" si="291">+IF(OR(BX54="",BX54=0),IF(CA54="",IF(GJ54="","",GI54/GJ54/$R$53),CA54),$AT$53-BX54)</f>
        <v>2.5630088351850544</v>
      </c>
      <c r="CC54" s="3861">
        <f>+IF($BB54="","",IF(CB54="",IF(CD54="",IF(CD54="",IF(CE54="","",CE54)),CD54),CB54/IF($AT54="",IF($AT53="",$AT52,$AT53),$AT54)))</f>
        <v>0.93631023989809647</v>
      </c>
      <c r="CD54" s="3861">
        <f>+IF($BB54="","",IF(BU54="","",(1-BU54/IF(AR54="",IF(AR53="",AR52,AR53),AR54))))</f>
        <v>0.93631023989809636</v>
      </c>
      <c r="CE54" s="2731">
        <f>+IF(BB54="","",IF(VLOOKUP(MATCH(BB54,ef_id,0),ef,'11(eff)'!$AE$23,FALSE)="","",VLOOKUP(MATCH(BB54,ef_id,0),ef,'11(eff)'!$AE$23,FALSE)))</f>
        <v>0.93631023989809636</v>
      </c>
      <c r="CF54" s="672"/>
      <c r="CG54" s="673"/>
      <c r="CH54" s="2397"/>
      <c r="CI54" s="3842">
        <f t="shared" ref="CI54:CI59" si="292">+IF(BB54="","",$AZ$53/$AW$53*2000*(1-CO54))</f>
        <v>3.9715086324196826E-2</v>
      </c>
      <c r="CJ54" s="4053">
        <f t="shared" ref="CJ54:CJ59" si="293">+IF($AY$53="","",$AY$53*(1-CO54))</f>
        <v>10.090415913200726</v>
      </c>
      <c r="CK54" s="3842">
        <f t="shared" ref="CK54:CK59" si="294">+IF($BB54="","",IF(CI54="",$AZ$53-CL54,CI54/2000*$AW$53))</f>
        <v>9.5534640152855455E-2</v>
      </c>
      <c r="CL54" s="3918">
        <f t="shared" ref="CL54:CL59" si="295">+IF($BB54="","",IF(CI54="",CO54*$AZ$53,IF(CK54="","",$AZ$53-CK54)))</f>
        <v>1.4044653598471446</v>
      </c>
      <c r="CM54" s="3938">
        <f t="shared" ref="CM54:CM59" si="296">+IF($BB54="","",IF(CL54="","",CL54/$AZ$53))</f>
        <v>0.93631023989809636</v>
      </c>
      <c r="CN54" s="3938">
        <f t="shared" ref="CN54:CN59" si="297">+IF($BB54="","",IF(CI54="","",(1-CI54/$AX$53)))</f>
        <v>0.93594340915452123</v>
      </c>
      <c r="CO54" s="3939">
        <f>+IF(BB54="","",IF(VLOOKUP(MATCH(BB54,ef_id,0),ef,'11(eff)'!$AE$23,FALSE)="","",VLOOKUP(MATCH(BB54,ef_id,0),ef,'11(eff)'!$AE$23,FALSE)))</f>
        <v>0.93631023989809636</v>
      </c>
      <c r="CP54" s="3940" t="str">
        <f>+IF(OR(BB54="",VLOOKUP(MATCH(BB54,ef_id,0),ef,'11(eff)'!$AG$23,FALSE)=""),"",IF(VLOOKUP(MATCH(BB54,ef_id,0),ef,'11(eff)'!$AG$23,FALSE)/100=VLOOKUP(MATCH(BB54,ef_id,0),ef,'11(eff)'!$AE$23,FALSE),VLOOKUP(MATCH(BB54,ef_id,0),ef,'11(eff)'!$AE$23,FALSE),""))</f>
        <v/>
      </c>
      <c r="CQ54" s="720" t="str">
        <f t="shared" si="51"/>
        <v>SCR + Water Injection (HPWI) - oil # 2</v>
      </c>
      <c r="CR54" s="674"/>
      <c r="CS54" s="2752">
        <v>4554325</v>
      </c>
      <c r="CT54" s="1580">
        <v>1801351</v>
      </c>
      <c r="CU54" s="1488">
        <v>1801351</v>
      </c>
      <c r="CV54" s="1803">
        <f t="shared" si="203"/>
        <v>0</v>
      </c>
      <c r="CW54" s="1804"/>
      <c r="CX54" s="1804"/>
      <c r="CY54" s="1805"/>
      <c r="CZ54" s="2465"/>
      <c r="DA54" s="2069"/>
      <c r="DB54" s="2069"/>
      <c r="DC54" s="1803"/>
      <c r="DD54" s="1807"/>
      <c r="DE54" s="1808"/>
      <c r="DF54" s="1809"/>
      <c r="DG54" s="1809"/>
      <c r="DH54" s="1807"/>
      <c r="DI54" s="1684">
        <f t="shared" si="204"/>
        <v>1801351</v>
      </c>
      <c r="DJ54" s="1930"/>
      <c r="DK54" s="1580">
        <v>303165</v>
      </c>
      <c r="DL54" s="1488">
        <v>303165</v>
      </c>
      <c r="DM54" s="1803">
        <f t="shared" si="198"/>
        <v>0</v>
      </c>
      <c r="DN54" s="1804"/>
      <c r="DO54" s="1804"/>
      <c r="DP54" s="1805"/>
      <c r="DQ54" s="2465"/>
      <c r="DR54" s="2069"/>
      <c r="DS54" s="2069"/>
      <c r="DT54" s="1803"/>
      <c r="DU54" s="1807"/>
      <c r="DV54" s="1808"/>
      <c r="DW54" s="1809"/>
      <c r="DX54" s="1809"/>
      <c r="DY54" s="1807"/>
      <c r="DZ54" s="1684">
        <f t="shared" si="18"/>
        <v>303165</v>
      </c>
      <c r="EA54" s="1930"/>
      <c r="EB54" s="1488">
        <f t="shared" si="19"/>
        <v>2104516</v>
      </c>
      <c r="EC54" s="1954">
        <v>1</v>
      </c>
      <c r="ED54" s="1518">
        <f t="shared" si="20"/>
        <v>2104516</v>
      </c>
      <c r="EE54" s="1806"/>
      <c r="EF54" s="2069">
        <f>+EF55+EF56</f>
        <v>948871</v>
      </c>
      <c r="EG54" s="1975"/>
      <c r="EH54" s="1684">
        <f t="shared" si="205"/>
        <v>948871</v>
      </c>
      <c r="EI54" s="1808"/>
      <c r="EJ54" s="1809"/>
      <c r="EK54" s="1999"/>
      <c r="EL54" s="1448"/>
      <c r="EM54" s="1808"/>
      <c r="EN54" s="1809">
        <f>+EN55+EN56</f>
        <v>230472</v>
      </c>
      <c r="EO54" s="1999">
        <f>+EO55+EO56</f>
        <v>340677</v>
      </c>
      <c r="EP54" s="1684">
        <f t="shared" si="21"/>
        <v>571149</v>
      </c>
      <c r="EQ54" s="2662">
        <f>+EQ55+EQ56</f>
        <v>289962.88</v>
      </c>
      <c r="ER54" s="2662">
        <f>+ER55+ER56</f>
        <v>94887.1</v>
      </c>
      <c r="ES54" s="1684"/>
      <c r="ET54" s="1448">
        <f t="shared" si="206"/>
        <v>384849.98</v>
      </c>
      <c r="EU54" s="1421"/>
      <c r="EV54" s="1383"/>
      <c r="EW54" s="2572">
        <f t="shared" si="207"/>
        <v>200469.299</v>
      </c>
      <c r="EX54" s="2572">
        <f t="shared" si="208"/>
        <v>200469.299</v>
      </c>
      <c r="EY54" s="2679">
        <f t="shared" si="92"/>
        <v>4410324.5779999997</v>
      </c>
      <c r="EZ54" s="2708"/>
      <c r="FA54" s="1383">
        <f>+FA56</f>
        <v>144000</v>
      </c>
      <c r="FB54" s="1470">
        <f t="shared" si="209"/>
        <v>4554324.5779999997</v>
      </c>
      <c r="FC54" s="2595">
        <f>+IF(OR(ED54="",IF(R54="",R53,R54)=""),"",ED54/IF(R54="",R53,R54))</f>
        <v>2104516</v>
      </c>
      <c r="FD54" s="2049">
        <f>+IF(OR(BB54="",IF(R54="",R53,R54)="",(CU54+DL54)=0),"",(CU54+DL54)/IF(R54="",R53,R54))</f>
        <v>2104516</v>
      </c>
      <c r="FE54" s="2033">
        <f t="shared" si="210"/>
        <v>1</v>
      </c>
      <c r="FF54" s="2049">
        <f>+IF(OR(BB54="",CT54="",IF(R54="",R53,R54)=""),"",(SUM(CV54:CZ54)+(IF(DM54="",0,DM54)+SUM(DN54:DQ54)))/IF(R54="",R53,R54))</f>
        <v>0</v>
      </c>
      <c r="FG54" s="2033">
        <f t="shared" si="211"/>
        <v>0</v>
      </c>
      <c r="FH54" s="2049">
        <f>+IF(OR(BB54="",IF(R54="",R53,R54)="",),"",(DA54+DR54)/IF(R54="",R53,R54))</f>
        <v>0</v>
      </c>
      <c r="FI54" s="2033">
        <f t="shared" si="212"/>
        <v>0</v>
      </c>
      <c r="FJ54" s="1507">
        <f t="shared" si="213"/>
        <v>2104516</v>
      </c>
      <c r="FK54" s="2033">
        <f t="shared" si="214"/>
        <v>1</v>
      </c>
      <c r="FL54" s="2629">
        <f>+IF(OR(BB54="",CT54="",IF(R54="",R53,R54)=""),"",(DB54+DC54+DS54+DT54)/IF(R54="",R53,R54))</f>
        <v>0</v>
      </c>
      <c r="FM54" s="2033">
        <f t="shared" si="215"/>
        <v>0</v>
      </c>
      <c r="FN54" s="2049">
        <f>+IF(OR(BB54="",CT54="",IF(R54="",R53,R54)=""),"",(DD54+DU54)/IF(R54="",R53,R54))</f>
        <v>0</v>
      </c>
      <c r="FO54" s="2033">
        <f>+IF(OR(BB54="",ISERROR(FN54/FC54)),"",FN54/FC54)</f>
        <v>0</v>
      </c>
      <c r="FP54" s="2049">
        <f>+IF(OR(BB54="",CT54="",IF(R54="",R53,R54)=""),"",(DG54+DH54+DX54+DY54)/IF(R54="",R53,R54))</f>
        <v>0</v>
      </c>
      <c r="FQ54" s="2033">
        <f>+IF(OR(BB54="",ISERROR(FL54/FC54)),"",FP54/FC54)</f>
        <v>0</v>
      </c>
      <c r="FR54" s="3049">
        <f>+IF(OR(BB54="",IF(R54="",R53,R54)="",(IF(DI54="",0,DI54)+IF(DZ54="",0,DZ54))=0),"",(IF(DI54="",0,DI54)+IF(DZ54="",0,DZ54))/IF(R54="",R53,R54))</f>
        <v>2104516</v>
      </c>
      <c r="FS54" s="2868" t="str">
        <f>+IF(OR(DJ54="",IF(R54="",R53,R54)=""),"",(DJ54+EA54)/IF(R54="",R53,R54))</f>
        <v/>
      </c>
      <c r="FT54" s="2061" t="str">
        <f>+IF(OR(BB54="",ISERROR(FS54/FR54)),"",FS54/FR54)</f>
        <v/>
      </c>
      <c r="FU54" s="2881">
        <f>+IF(OR(BB54="",ISERROR(1-(FR54+IF(FS54="",0,FS54)+FN54+FP54)*IF(R54="",R53,R54)/(CT54+DK54))),"",1-(FR54+IF(FS54="",0,FS54)+FN54+FP54)*IF(R54="",R53,R54)/(CT54+DK54))</f>
        <v>0</v>
      </c>
      <c r="FV54" s="1715">
        <f>+IF(FC54="","",FC54/IF(T54="",IF(T53="",1,T53),T54))</f>
        <v>111942.3404255319</v>
      </c>
      <c r="FW54" s="2629">
        <f>+IF(OR(EH54="",IF(R54="",R53,R54)=""),"",EH54/IF(R54="",R53,R54))</f>
        <v>948871</v>
      </c>
      <c r="FX54" s="2667">
        <f t="shared" si="216"/>
        <v>0.45087374009035808</v>
      </c>
      <c r="FY54" s="2049">
        <f>+IF(OR(EP54="",IF(R54="",R53,R54)=""),"",EP54/IF(R54="",R53,R54))</f>
        <v>571149</v>
      </c>
      <c r="FZ54" s="2667">
        <f t="shared" si="217"/>
        <v>0.27139209205346976</v>
      </c>
      <c r="GA54" s="2630" t="str">
        <f>+IF(IF(V54="",V53,V54)="Utility Boiler",IF(ISERR(FY54/(FC54+FW54)),"",FY54/(FC54+FW54)),"")</f>
        <v/>
      </c>
      <c r="GB54" s="2049">
        <f>+IF(OR(ET54="",IF(R54="",R53,R54)=""),"",ET54/IF(R54="",R53,R54))</f>
        <v>384849.98</v>
      </c>
      <c r="GC54" s="2630">
        <f t="shared" si="218"/>
        <v>0.18286864058054203</v>
      </c>
      <c r="GD54" s="2630" t="str">
        <f>+IF(IF(V54="",V53,V54)="Utility Boiler",IF(ISERR(GB54/($FC54)),"",GB54/(FC54+FW54+FY54)),"")</f>
        <v/>
      </c>
      <c r="GE54" s="2631">
        <f>+IF(OR(FB54="",IF(R54="",R53,R54)=""),"",FB54/IF(R54="",R53,R54))</f>
        <v>4554324.5779999997</v>
      </c>
      <c r="GF54" s="2632">
        <f t="shared" ref="GF54:GF59" si="298">+IF(FB54="","",(IF(FA54="",0,FA54)-IF(EZ54="",0,EZ54))+(IF(EU54="",0,EU54)+IF(EV54="",0,EV54)+(IF(EW54="",0,EW54)+IF(EX54="",0,EX54))/$R$53+IF(FC54="",0,FC54)+IF(FW54="",0,FW54)+IF(FY54="",0,FY54)+IF(GB54="",0,GB54)))</f>
        <v>4554324.5779999997</v>
      </c>
      <c r="GG54" s="2633">
        <f>+IF(OR(CS54="",IF(R54="",R53,R54)=""),"",1-(CS54/IF(R54="",R53,R54))/GF54)</f>
        <v>-9.2659184325327715E-8</v>
      </c>
      <c r="GH54" s="2505">
        <f>+IF(IF(T54="",T53,T54)="","",IF(GF54="","",GF54/IF(T54="",T53,T54)))</f>
        <v>242251.3073404255</v>
      </c>
      <c r="GI54" s="1610">
        <v>566525.73733999999</v>
      </c>
      <c r="GJ54" s="1507">
        <v>221348</v>
      </c>
      <c r="GK54" s="3440">
        <f>+IF(OR(BB54="",GJ54=""),"",IF(CB54="",1,CB54*IF(R54="",IF(R53="",R52,R53),R54)))</f>
        <v>2.5630088351850544</v>
      </c>
      <c r="GL54" s="3215">
        <f t="shared" si="219"/>
        <v>1.3945333532624615E-3</v>
      </c>
      <c r="GM54" s="1225"/>
      <c r="GN54" s="1224"/>
      <c r="GO54" s="2283"/>
      <c r="GP54" s="2284"/>
      <c r="GQ54" s="2218"/>
      <c r="GR54" s="2218"/>
      <c r="GS54" s="2213">
        <f t="shared" ref="GS54:GS59" si="299">+IF(GE54="","",GE54*3/100)</f>
        <v>136629.73733999999</v>
      </c>
      <c r="GT54" s="2213">
        <v>429896</v>
      </c>
      <c r="GU54" s="2335">
        <f t="shared" si="187"/>
        <v>566525.73733999999</v>
      </c>
      <c r="GV54" s="1222" t="str">
        <f>+IF(OR(GO54="",IF(R54="",R53,R54)=""),"",GO54/IF(R54="",R53,R54))</f>
        <v/>
      </c>
      <c r="GW54" s="2248" t="str">
        <f>+IF(OR(GP54="",IF(R54="",R53,R54)=""),"",GP54/IF(R54="",R53,R54))</f>
        <v/>
      </c>
      <c r="GX54" s="2218" t="str">
        <f>+IF(OR(GQ54="",IF(R54="",R53,R54)=""),"",GQ54/IF(R54="",R53,R54))</f>
        <v/>
      </c>
      <c r="GY54" s="2218" t="str">
        <f>+IF(OR(GR54="",IF(R54="",R53,R54)=""),"",GR54/IF(R54="",R53,R54))</f>
        <v/>
      </c>
      <c r="GZ54" s="2218">
        <f>+IF(OR(GS54="",IF(R54="",R53,R54)=""),"",GS54/IF(R54="",R53,R54))</f>
        <v>136629.73733999999</v>
      </c>
      <c r="HA54" s="2218">
        <f>+IF(OR(GT54="",IF(R54="",R53,R54)=""),"",GT54/IF(R54="",R53,R54))</f>
        <v>429896</v>
      </c>
      <c r="HB54" s="1333">
        <f t="shared" si="22"/>
        <v>566525.73733999999</v>
      </c>
      <c r="HC54" s="1223">
        <f>+IF(OR(GU54="",IF(R54="",R53,R54)=""),"",GU54/IF(R54="",R53,R54))</f>
        <v>566525.73733999999</v>
      </c>
      <c r="HD54" s="2349">
        <f t="shared" si="220"/>
        <v>0</v>
      </c>
      <c r="HE54" s="1225"/>
      <c r="HF54" s="1518">
        <f t="shared" si="107"/>
        <v>221348</v>
      </c>
      <c r="HG54" s="1224">
        <f t="shared" si="23"/>
        <v>403374.6602348797</v>
      </c>
      <c r="HH54" s="2981">
        <f t="shared" si="221"/>
        <v>3</v>
      </c>
      <c r="HI54" s="2927">
        <f t="shared" si="222"/>
        <v>2104516</v>
      </c>
      <c r="HJ54" s="2931">
        <f t="shared" si="223"/>
        <v>0</v>
      </c>
      <c r="HK54" s="2931">
        <f t="shared" si="224"/>
        <v>0</v>
      </c>
      <c r="HL54" s="2931" t="str">
        <f t="shared" si="225"/>
        <v/>
      </c>
      <c r="HM54" s="2934">
        <f t="shared" si="226"/>
        <v>2104516</v>
      </c>
      <c r="HN54" s="2911">
        <f>+IF(ISERROR(HM54/IF(T54="",IF(T53="",IF(T52="",1,T52),T53),T54)),"",IF(FR54="","",HM54/IF(T54="",IF(T53="",IF(T52="",1,T52),T53),T54)))</f>
        <v>111942.3404255319</v>
      </c>
      <c r="HO54" s="2955">
        <f t="shared" si="227"/>
        <v>948871</v>
      </c>
      <c r="HP54" s="2931">
        <f t="shared" si="228"/>
        <v>571149</v>
      </c>
      <c r="HQ54" s="3110">
        <f t="shared" si="229"/>
        <v>289962.88</v>
      </c>
      <c r="HR54" s="2956">
        <f t="shared" si="230"/>
        <v>94887.1</v>
      </c>
      <c r="HS54" s="2956">
        <f t="shared" si="231"/>
        <v>384849.98</v>
      </c>
      <c r="HT54" s="1204" t="str">
        <f t="shared" si="232"/>
        <v/>
      </c>
      <c r="HU54" s="1205" t="str">
        <f t="shared" si="233"/>
        <v/>
      </c>
      <c r="HV54" s="2909">
        <f t="shared" si="234"/>
        <v>200469.299</v>
      </c>
      <c r="HW54" s="2910">
        <f t="shared" si="235"/>
        <v>200469.299</v>
      </c>
      <c r="HX54" s="2909">
        <f t="shared" si="199"/>
        <v>4410324.5779999997</v>
      </c>
      <c r="HY54" s="2931" t="str">
        <f>+IF(EZ54="","",EZ54/IF(R54="",IF(R53="",1,R53),R54))</f>
        <v/>
      </c>
      <c r="HZ54" s="2956">
        <f>+IF(FA54="","",FA54/IF(R54="",IF(R53="",1,R53),R54))</f>
        <v>144000</v>
      </c>
      <c r="IA54" s="2927">
        <f t="shared" si="236"/>
        <v>4554324.5779999997</v>
      </c>
      <c r="IB54" s="3040" t="str">
        <f t="shared" si="237"/>
        <v>same TCC</v>
      </c>
      <c r="IC54" s="2911">
        <f>+IF(IA54="","",IA54/IF(T54="",IF(T53="",1,T53),T54))</f>
        <v>242251.3073404255</v>
      </c>
      <c r="ID54" s="1204"/>
      <c r="IE54" s="4097"/>
      <c r="IF54" s="2909" t="str">
        <f t="shared" si="238"/>
        <v/>
      </c>
      <c r="IG54" s="6766"/>
      <c r="IH54" s="4164" t="str">
        <f t="shared" si="239"/>
        <v/>
      </c>
      <c r="II54" s="4165"/>
      <c r="IJ54" s="4165" t="str">
        <f t="shared" si="240"/>
        <v/>
      </c>
      <c r="IK54" s="4127">
        <v>1</v>
      </c>
      <c r="IL54" s="2069" t="str">
        <f t="shared" si="241"/>
        <v/>
      </c>
      <c r="IM54" s="1805">
        <f t="shared" si="242"/>
        <v>182172.98311999999</v>
      </c>
      <c r="IN54" s="4225">
        <f t="shared" si="243"/>
        <v>182172.98311999999</v>
      </c>
      <c r="IO54" s="4225">
        <f t="shared" si="244"/>
        <v>182172.98311999999</v>
      </c>
      <c r="IP54" s="4225" t="str">
        <f t="shared" si="245"/>
        <v/>
      </c>
      <c r="IQ54" s="6839" t="str">
        <f t="shared" si="246"/>
        <v/>
      </c>
      <c r="IR54" s="4225">
        <f t="shared" si="247"/>
        <v>182172.98311999999</v>
      </c>
      <c r="IS54" s="6839">
        <f t="shared" si="248"/>
        <v>0.29763471387188944</v>
      </c>
      <c r="IT54" s="4225">
        <f t="shared" si="249"/>
        <v>182172.98311999999</v>
      </c>
      <c r="IU54" s="6839">
        <f t="shared" si="250"/>
        <v>0.29763471387188944</v>
      </c>
      <c r="IV54" s="4127">
        <f t="shared" si="251"/>
        <v>1</v>
      </c>
      <c r="IW54" s="1805">
        <f t="shared" si="252"/>
        <v>429896.0217018383</v>
      </c>
      <c r="IX54" s="2911">
        <f t="shared" si="253"/>
        <v>612069.00482183835</v>
      </c>
      <c r="IY54" s="4244">
        <f t="shared" si="254"/>
        <v>566525.73733999999</v>
      </c>
      <c r="IZ54" s="4274">
        <f t="shared" si="255"/>
        <v>-8.0390465039906198E-2</v>
      </c>
      <c r="JA54" s="4275">
        <f t="shared" si="256"/>
        <v>-8.0390465039906198E-2</v>
      </c>
      <c r="JB54" s="1205"/>
      <c r="JC54" s="4322"/>
      <c r="JD54" s="1518">
        <f t="shared" si="257"/>
        <v>238808.77678583801</v>
      </c>
      <c r="JE54" s="4357">
        <f t="shared" si="258"/>
        <v>435802.13675647584</v>
      </c>
      <c r="JF54" s="7028">
        <f>+IF(D54="","",IF(T54="",IF(T53="",T52/IF(Y52="TP",2,1),T53/IF(Y53="TP",2,1)),T54/IF(Y54="TP",2,1)))</f>
        <v>18.8</v>
      </c>
      <c r="JG54" s="2069" t="s">
        <v>2437</v>
      </c>
      <c r="JH54" s="6959">
        <f t="shared" si="259"/>
        <v>4410324.5779999997</v>
      </c>
      <c r="JI54" s="6959">
        <f>+JI53</f>
        <v>3362772.9959999998</v>
      </c>
      <c r="JJ54" s="6959">
        <f>+JH54-JI54</f>
        <v>1047551.5819999999</v>
      </c>
      <c r="JK54" s="6959"/>
      <c r="JL54" s="6996"/>
      <c r="JM54" s="1804" t="str">
        <f t="shared" si="260"/>
        <v>N/A</v>
      </c>
      <c r="JN54" s="2069" t="str">
        <f t="shared" si="261"/>
        <v/>
      </c>
      <c r="JO54" s="2069">
        <f>+JO55</f>
        <v>2410512.7999999998</v>
      </c>
      <c r="JP54" s="3010">
        <f>+JO56</f>
        <v>1652392.2</v>
      </c>
      <c r="JQ54" s="3010"/>
      <c r="JR54" s="2069"/>
      <c r="JS54" s="1805">
        <f t="shared" si="262"/>
        <v>4062905</v>
      </c>
      <c r="JT54" s="7130">
        <f t="shared" si="263"/>
        <v>2</v>
      </c>
      <c r="JU54" s="7131">
        <f>+JU53</f>
        <v>19</v>
      </c>
      <c r="JV54" s="8366">
        <f>+JV53</f>
        <v>4811</v>
      </c>
      <c r="JW54" s="8393">
        <f t="shared" si="149"/>
        <v>1.4044653598471446</v>
      </c>
      <c r="JX54" s="8422">
        <f t="shared" si="264"/>
        <v>1263.1578947368421</v>
      </c>
      <c r="JY54" s="8457">
        <f t="shared" si="265"/>
        <v>7.0000000000000007E-2</v>
      </c>
      <c r="JZ54" s="7132">
        <f t="shared" si="266"/>
        <v>1399.8072289156626</v>
      </c>
      <c r="KA54" s="7130" t="str">
        <f t="shared" si="267"/>
        <v/>
      </c>
      <c r="KB54" s="7131" t="str">
        <f t="shared" si="268"/>
        <v/>
      </c>
      <c r="KC54" s="7132" t="str">
        <f t="shared" si="201"/>
        <v/>
      </c>
      <c r="KD54" s="7130">
        <f t="shared" si="269"/>
        <v>806.43600000000004</v>
      </c>
      <c r="KE54" s="8330">
        <f t="shared" si="270"/>
        <v>874.70102611280163</v>
      </c>
      <c r="KF54" s="8330">
        <f t="shared" si="271"/>
        <v>586.56421751093751</v>
      </c>
      <c r="KG54" s="7131">
        <f t="shared" si="272"/>
        <v>2542.7498313253013</v>
      </c>
      <c r="KH54" s="7131">
        <f t="shared" si="273"/>
        <v>693.25376000000006</v>
      </c>
      <c r="KI54" s="7131">
        <f t="shared" si="274"/>
        <v>69.325376000000006</v>
      </c>
      <c r="KJ54" s="7131">
        <f t="shared" si="275"/>
        <v>5573.0302109490394</v>
      </c>
      <c r="KK54" s="7131">
        <f>+KK55+KK56</f>
        <v>3986.4736000000003</v>
      </c>
      <c r="KL54" s="7131">
        <f t="shared" si="276"/>
        <v>289.48198124999999</v>
      </c>
      <c r="KM54" s="7131">
        <f t="shared" si="277"/>
        <v>4275.9555812500003</v>
      </c>
      <c r="KN54" s="7131" t="str">
        <f t="shared" si="278"/>
        <v/>
      </c>
      <c r="KO54" s="7131">
        <f t="shared" si="279"/>
        <v>4275.9555812500003</v>
      </c>
      <c r="KP54" s="7132">
        <f t="shared" si="280"/>
        <v>9848.9857921990406</v>
      </c>
      <c r="KQ54" s="1806">
        <f>+IF(D54="","",VLOOKUP(MATCH(BE54,ac_id,0),ad,ac!$F$8,FALSE)*JV54)</f>
        <v>1443.3</v>
      </c>
      <c r="KR54" s="3010">
        <f>+IF(D54="","",IF(JT54=1,VLOOKUP(MATCH(BE54,ac_id,0),ad,ac!$H$8,FALSE)*JU54, (VLOOKUP(MATCH(BE54,ac_id,0),ad,ac!$H$8,FALSE)*JU54^(1+VLOOKUP(MATCH(BE54,ac_id,0),ad,ac!$I$8,FALSE)))))</f>
        <v>16544.904554946788</v>
      </c>
      <c r="KS54" s="1805">
        <f t="shared" si="281"/>
        <v>17988.204554946788</v>
      </c>
      <c r="KT54" s="1806">
        <f t="shared" si="282"/>
        <v>2565.5733487500002</v>
      </c>
      <c r="KU54" s="2069">
        <f t="shared" si="283"/>
        <v>162516.20000000001</v>
      </c>
      <c r="KV54" s="7374">
        <f t="shared" si="284"/>
        <v>1</v>
      </c>
      <c r="KW54" s="7280">
        <f t="shared" si="285"/>
        <v>348639.97946842841</v>
      </c>
      <c r="KX54" s="1805">
        <f t="shared" si="286"/>
        <v>513721.75281717844</v>
      </c>
      <c r="KY54" s="2505">
        <f t="shared" si="287"/>
        <v>523570.73860937747</v>
      </c>
      <c r="KZ54" s="7375"/>
      <c r="LA54" s="7280">
        <f t="shared" si="288"/>
        <v>204279.7244479942</v>
      </c>
      <c r="LB54" s="7291">
        <f t="shared" si="289"/>
        <v>372790.0691451446</v>
      </c>
      <c r="LC54" s="5133"/>
      <c r="LD54" s="5132"/>
      <c r="LE54" s="5132"/>
      <c r="LF54" s="5132"/>
      <c r="LG54" s="5132"/>
      <c r="LH54" s="5132"/>
      <c r="LI54" s="5132"/>
      <c r="LJ54" s="5132"/>
    </row>
    <row r="55" spans="1:322" s="645" customFormat="1" ht="27.95" customHeight="1">
      <c r="A55" s="10539"/>
      <c r="B55" s="9819" t="str">
        <f>+IF(A55="","",VLOOKUP(MATCH(A55,tid,0),tao,'12(id)'!$J$20,FALSE))</f>
        <v/>
      </c>
      <c r="C55" s="10561"/>
      <c r="D55" s="1114" t="str">
        <f t="shared" si="48"/>
        <v>8304-01-03</v>
      </c>
      <c r="E55" s="738" t="str">
        <f t="shared" si="202"/>
        <v>Selective Catalytic Reduction (SCR)</v>
      </c>
      <c r="F55" s="738" t="str">
        <f t="shared" si="49"/>
        <v>SCR</v>
      </c>
      <c r="G55" s="5133"/>
      <c r="H55" s="5132"/>
      <c r="I55" s="5133"/>
      <c r="J55" s="719">
        <f t="shared" si="68"/>
        <v>21</v>
      </c>
      <c r="K55" s="9663"/>
      <c r="L55" s="9648"/>
      <c r="M55" s="9650"/>
      <c r="N55" s="9648"/>
      <c r="O55" s="9648"/>
      <c r="P55" s="9648"/>
      <c r="Q55" s="9680" t="str">
        <f>+IF(ISERROR(MATCH(O55,tid,0)),"",VLOOKUP(MATCH(O55,tid,0),tao,'12(id)'!$Q$20,FALSE))</f>
        <v/>
      </c>
      <c r="R55" s="9648"/>
      <c r="S55" s="9648"/>
      <c r="T55" s="10716" t="str">
        <f>+IF(ISERROR(MATCH(O55,tid,0)),"",IF(VLOOKUP(MATCH(O55,tid,0),tao,'12(id)'!$CT$20,FALSE)="","",VLOOKUP(MATCH(O55,tid,0),tao,'12(id)'!$CT$20,FALSE)))</f>
        <v/>
      </c>
      <c r="U55" s="10716" t="str">
        <f>+IF(ISERROR(MATCH(O55,tid,0)),"",IF(VLOOKUP(MATCH(O55,tid,0),tao,'12(id)'!$CU$20,FALSE)="","",VLOOKUP(MATCH(O55,tid,0),tao,'12(id)'!$CU$20,FALSE)))</f>
        <v/>
      </c>
      <c r="V55" s="9504" t="str">
        <f>+IF(O55="","",IF(VLOOKUP(MATCH(O55,tid,0),tao,'12(id)'!$T$20,FALSE)="","",VLOOKUP(MATCH(O55,tid,0),tao,'12(id)'!$T$20,FALSE)))</f>
        <v/>
      </c>
      <c r="W55" s="9504" t="str">
        <f>+IF(ISERROR(MATCH(O55,tid,0)),"",IF(VLOOKUP(MATCH(O55,tid,0),tao,'12(id)'!$CO$20,FALSE)="","",VLOOKUP(MATCH(O55,tid,0),tao,'12(id)'!$CO$20,FALSE)))</f>
        <v/>
      </c>
      <c r="X55" s="9504" t="str">
        <f>+IF(ISERROR(MATCH(O55,tid,0)),"",IF(VLOOKUP(MATCH(O55,tid,0),tao,'12(id)'!$CP$20,FALSE)="","",VLOOKUP(MATCH(O55,tid,0),tao,'12(id)'!$CP$20,FALSE)))</f>
        <v/>
      </c>
      <c r="Y55" s="9504"/>
      <c r="Z55" s="9518" t="str">
        <f>+IF(ISERROR(MATCH(O55,tid,0)),"",VLOOKUP(MATCH(O55,tid,0),tao,'12(id)'!$DB$20,FALSE)&amp;" "&amp;VLOOKUP(MATCH(O55,tid,0),tao,'12(id)'!$DC$20,FALSE))</f>
        <v/>
      </c>
      <c r="AA55" s="9518" t="str">
        <f>+IF(ISERROR(MATCH(O55,tid,0)),"",IF(VLOOKUP(MATCH(O55,tid,0),tao,'12(id)'!$DE$20,FALSE)="","",ROUND(VLOOKUP(MATCH(O55,tid,0),tao,'12(id)'!$DE$20,FALSE),0)&amp;" yrs"))</f>
        <v/>
      </c>
      <c r="AB55" s="9648" t="str">
        <f>+IF(ISERROR(MATCH(O55,tid,0)),"",VLOOKUP(MATCH(O55,tid,0),tao,'12(id)'!$DI$20,FALSE))</f>
        <v/>
      </c>
      <c r="AC55" s="9648" t="str">
        <f>+IF(ISERROR(MATCH(O55,tid,0)),"",IF(VLOOKUP(MATCH(O55,tid,0),tao,'12(id)'!$DQ$20,FALSE)="","",VLOOKUP(MATCH(O55,tid,0),tao,'12(id)'!$DQ$20,FALSE)))</f>
        <v/>
      </c>
      <c r="AD55" s="10671" t="str">
        <f>+IF(ISERROR(MATCH(O55,tid,0)),"",IF(VLOOKUP(MATCH(O55,tid,0),tao,'12(id)'!$EI$20,FALSE)="","",VLOOKUP(MATCH(O55,tid,0),tao,'12(id)'!$EI$20,FALSE)))</f>
        <v/>
      </c>
      <c r="AE55" s="10766"/>
      <c r="AF55" s="10671" t="str">
        <f>+IF(ISERROR(MATCH(O55,tid,0)),"",IF(VLOOKUP(MATCH(O55,tid,0),tao,'12(id)'!$EL$20,FALSE)="","",VLOOKUP(MATCH(O55,tid,0),tao,'12(id)'!$EL$20,FALSE)))</f>
        <v/>
      </c>
      <c r="AG55" s="10691" t="str">
        <f>+IF(ISERROR(MATCH(O55,tid,0)),"",IF(VLOOKUP(MATCH(O55,tid,0),tao,'12(id)'!$EM$20,FALSE)="","",VLOOKUP(MATCH(O55,tid,0),tao,'12(id)'!$EM$20,FALSE)))</f>
        <v/>
      </c>
      <c r="AH55" s="10685"/>
      <c r="AI55" s="10682"/>
      <c r="AJ55" s="10688"/>
      <c r="AK55" s="10688"/>
      <c r="AL55" s="10688"/>
      <c r="AM55" s="10676"/>
      <c r="AN55" s="10679"/>
      <c r="AO55" s="10342" t="str">
        <f>+IF(ISERROR(MATCH(O55,tid,0)),"",IF(VLOOKUP(MATCH(O55,tid,0),tao,'12(id)'!$GY$20,FALSE)="","",VLOOKUP(MATCH(O55,tid,0),tao,'12(id)'!$GY$20,FALSE)))</f>
        <v/>
      </c>
      <c r="AP55" s="10292" t="e">
        <f>+IF($BB55="","",IF(VLOOKUP(MATCH(O55,tid,0),tao,'12(id)'!$HE$20,FALSE)="","",VLOOKUP(MATCH(O55,tid,0),tao,'12(id)'!$HE$20,FALSE)))</f>
        <v>#N/A</v>
      </c>
      <c r="AQ55" s="10342" t="str">
        <f>+IF(ISERROR(VLOOKUP(MATCH(O55,tid,0),tao,'12(id)'!$HF$20,FALSE)),"",VLOOKUP(MATCH(O55,tid,0),tao,'12(id)'!$HF$20,FALSE))</f>
        <v/>
      </c>
      <c r="AR55" s="10336" t="str">
        <f>+IF(ISERROR(MATCH(O55,tid,0)),"",IF(VLOOKUP(MATCH(O55,tid,0),tao,'12(id)'!$HJ$20,FALSE)="","",VLOOKUP(MATCH(O55,tid,0),tao,'12(id)'!$HJ$20,FALSE)))</f>
        <v/>
      </c>
      <c r="AS55" s="10339" t="str">
        <f>+IF(ISERROR(MATCH(O55,tid,0)),"",IF(VLOOKUP(MATCH(O55,tid,0),tao,'12(id)'!$HK$20,FALSE)="","",VLOOKUP(MATCH(O55,tid,0),tao,'12(id)'!$HK$20,FALSE)))</f>
        <v/>
      </c>
      <c r="AT55" s="10694" t="str">
        <f>+IF(ISERROR(MATCH(O55,tid,0)),"",IF(VLOOKUP(MATCH(O55,tid,0),tao,'12(id)'!$HM$20,FALSE)="","",VLOOKUP(MATCH(O55,tid,0),tao,'12(id)'!$HM$20,FALSE)))</f>
        <v/>
      </c>
      <c r="AU55" s="10359"/>
      <c r="AV55" s="10325" t="str">
        <f>+IF(ISERROR(MATCH(O55,em_id,0)),"",IF(VLOOKUP(MATCH(O55,em_id,0),em,'5(em)'!$CX$18,FALSE)="","",VLOOKUP(MATCH(O55,em_id,0),em,'5(em)'!$CX$18,FALSE)))</f>
        <v/>
      </c>
      <c r="AW55" s="10392" t="str">
        <f>+IF(ISERROR(MATCH(O55,em_id,0)),"",IF(VLOOKUP(MATCH(O55,em_id,0),em,'5(em)'!$CZ$18,FALSE)="","",VLOOKUP(MATCH(O55,em_id,0),em,'5(em)'!$CZ$18,FALSE)))</f>
        <v/>
      </c>
      <c r="AX55" s="10330" t="str">
        <f t="shared" si="50"/>
        <v/>
      </c>
      <c r="AY55" s="10325"/>
      <c r="AZ55" s="10400" t="str">
        <f>+IF(ISERROR(MATCH(O55,em_id,0)),"",IF(VLOOKUP(MATCH(O55,em_id,0),em,'5(em)'!$DA$18,FALSE)="","",VLOOKUP(MATCH(O55,em_id,0),em,'5(em)'!$DA$18,FALSE)))</f>
        <v/>
      </c>
      <c r="BA55" s="737"/>
      <c r="BB55" s="738" t="str">
        <f t="shared" si="11"/>
        <v>8304-01-03</v>
      </c>
      <c r="BC55" s="739">
        <f t="shared" si="290"/>
        <v>3</v>
      </c>
      <c r="BD55" s="738" t="str">
        <f>+IF(OR(D55="",VLOOKUP(MATCH(D55,op_id,0),op,'7(op)'!$T$18,FALSE)=""),"",VLOOKUP(MATCH(D55,op_id,0),op,'7(op)'!$T$18,FALSE))</f>
        <v>Selective Catalytic Reduction (SCR)</v>
      </c>
      <c r="BE55" s="738" t="s">
        <v>1093</v>
      </c>
      <c r="BF55" s="738" t="s">
        <v>1863</v>
      </c>
      <c r="BG55" s="740" t="s">
        <v>1615</v>
      </c>
      <c r="BH55" s="938"/>
      <c r="BI55" s="939"/>
      <c r="BJ55" s="908"/>
      <c r="BK55" s="908"/>
      <c r="BL55" s="908"/>
      <c r="BM55" s="908"/>
      <c r="BN55" s="908" t="str">
        <f t="shared" si="12"/>
        <v/>
      </c>
      <c r="BO55" s="908" t="str">
        <f t="shared" si="13"/>
        <v/>
      </c>
      <c r="BP55" s="908" t="str">
        <f t="shared" si="14"/>
        <v/>
      </c>
      <c r="BQ55" s="908" t="str">
        <f t="shared" si="15"/>
        <v/>
      </c>
      <c r="BR55" s="910"/>
      <c r="BS55" s="911"/>
      <c r="BT55" s="912"/>
      <c r="BU55" s="3722">
        <f>+IF(BB55="","",IF(VLOOKUP(MATCH(BB55,ef_id,0),ef,'11(eff)'!$Z$23,FALSE)="","",VLOOKUP(MATCH(BB55,ef_id,0),ef,'11(eff)'!$Z$23,FALSE)))</f>
        <v>9.7834548156535278E-2</v>
      </c>
      <c r="BV55" s="3743">
        <f>+IF(BB55="","",IF(VLOOKUP(MATCH(BB55,ef_id,0),ef,'11(eff)'!$AA$23,FALSE)="","",VLOOKUP(MATCH(BB55,ef_id,0),ef,'11(eff)'!$AA$23,FALSE)))</f>
        <v>25</v>
      </c>
      <c r="BW55" s="3767">
        <f>+'A3(trc)'!I71</f>
        <v>0.48428101337484974</v>
      </c>
      <c r="BX55" s="3789">
        <f>+IF(OR(BB55="",BW55=""),"",BW55/IF(R55="",IF(R54="",R53,R54),R55))</f>
        <v>0.48428101337484974</v>
      </c>
      <c r="BY55" s="3811">
        <f>+IF($BB55="","",IF(BU55="","",BU55/2000*IF(AQ55="",IF(AQ54="",AQ53,AQ54),AQ55)))</f>
        <v>0.48428101337484963</v>
      </c>
      <c r="BZ55" s="1056"/>
      <c r="CA55" s="3409"/>
      <c r="CB55" s="3843">
        <f t="shared" si="291"/>
        <v>2.2530689866251503</v>
      </c>
      <c r="CC55" s="3862">
        <f>+IF($BB55="","",IF(CB55="",IF(CD55="",IF(CD55="",IF(CE55="","",CE55)),CD55),CB55/$AT$53))</f>
        <v>0.82308399971693436</v>
      </c>
      <c r="CD55" s="3862">
        <f>+IF($BB55="","",IF(BU55="","",(1-BU55/$AR$53)))</f>
        <v>0.82308399971693436</v>
      </c>
      <c r="CE55" s="2732">
        <f>+IF(BB55="","",IF(VLOOKUP(MATCH(BB55,ef_id,0),ef,'11(eff)'!$AE$23,FALSE)="","",VLOOKUP(MATCH(BB55,ef_id,0),ef,'11(eff)'!$AE$23,FALSE)))</f>
        <v>0.9</v>
      </c>
      <c r="CF55" s="911"/>
      <c r="CG55" s="912"/>
      <c r="CH55" s="2398"/>
      <c r="CI55" s="3843">
        <f t="shared" si="292"/>
        <v>6.2357098316358335E-2</v>
      </c>
      <c r="CJ55" s="4054">
        <f t="shared" si="293"/>
        <v>15.843074141048819</v>
      </c>
      <c r="CK55" s="3843">
        <f t="shared" si="294"/>
        <v>0.14999999999999997</v>
      </c>
      <c r="CL55" s="3919">
        <f t="shared" si="295"/>
        <v>1.35</v>
      </c>
      <c r="CM55" s="3941">
        <f t="shared" si="296"/>
        <v>0.9</v>
      </c>
      <c r="CN55" s="3941">
        <f t="shared" si="297"/>
        <v>0.89942403497361556</v>
      </c>
      <c r="CO55" s="3942">
        <f>+IF(BB55="","",IF(VLOOKUP(MATCH(BB55,ef_id,0),ef,'11(eff)'!$AE$23,FALSE)="","",VLOOKUP(MATCH(BB55,ef_id,0),ef,'11(eff)'!$AE$23,FALSE)))</f>
        <v>0.9</v>
      </c>
      <c r="CP55" s="3943">
        <f>+IF(OR(BB55="",VLOOKUP(MATCH(BB55,ef_id,0),ef,'11(eff)'!$AG$23,FALSE)=""),"",IF(VLOOKUP(MATCH(BB55,ef_id,0),ef,'11(eff)'!$AG$23,FALSE)/100=VLOOKUP(MATCH(BB55,ef_id,0),ef,'11(eff)'!$AE$23,FALSE),VLOOKUP(MATCH(BB55,ef_id,0),ef,'11(eff)'!$AE$23,FALSE),""))</f>
        <v>0.9</v>
      </c>
      <c r="CQ55" s="737" t="str">
        <f t="shared" si="51"/>
        <v>Selective Catalytic Reduction (SCR)</v>
      </c>
      <c r="CR55" s="913"/>
      <c r="CS55" s="2753">
        <v>3386773</v>
      </c>
      <c r="CT55" s="1581">
        <v>1801351</v>
      </c>
      <c r="CU55" s="1489">
        <v>1801351</v>
      </c>
      <c r="CV55" s="1810">
        <f t="shared" si="203"/>
        <v>0</v>
      </c>
      <c r="CW55" s="1811"/>
      <c r="CX55" s="1811"/>
      <c r="CY55" s="1812"/>
      <c r="CZ55" s="2466"/>
      <c r="DA55" s="2440"/>
      <c r="DB55" s="2440"/>
      <c r="DC55" s="1810"/>
      <c r="DD55" s="1814"/>
      <c r="DE55" s="1815"/>
      <c r="DF55" s="1816"/>
      <c r="DG55" s="1816"/>
      <c r="DH55" s="1814"/>
      <c r="DI55" s="1685">
        <f t="shared" si="204"/>
        <v>1801351</v>
      </c>
      <c r="DJ55" s="1931"/>
      <c r="DK55" s="1581"/>
      <c r="DL55" s="1489"/>
      <c r="DM55" s="1810" t="str">
        <f t="shared" si="198"/>
        <v/>
      </c>
      <c r="DN55" s="1811"/>
      <c r="DO55" s="1811"/>
      <c r="DP55" s="1812"/>
      <c r="DQ55" s="2466"/>
      <c r="DR55" s="2440"/>
      <c r="DS55" s="2440"/>
      <c r="DT55" s="1810"/>
      <c r="DU55" s="1814"/>
      <c r="DV55" s="1815"/>
      <c r="DW55" s="1816"/>
      <c r="DX55" s="1816"/>
      <c r="DY55" s="1814"/>
      <c r="DZ55" s="1685" t="str">
        <f t="shared" si="18"/>
        <v/>
      </c>
      <c r="EA55" s="1931"/>
      <c r="EB55" s="1489">
        <f t="shared" si="19"/>
        <v>1801351</v>
      </c>
      <c r="EC55" s="1955">
        <v>1</v>
      </c>
      <c r="ED55" s="2554">
        <f t="shared" si="20"/>
        <v>1801351</v>
      </c>
      <c r="EE55" s="1813"/>
      <c r="EF55" s="2440">
        <v>562086</v>
      </c>
      <c r="EG55" s="1976"/>
      <c r="EH55" s="1685">
        <f t="shared" si="205"/>
        <v>562086</v>
      </c>
      <c r="EI55" s="1815"/>
      <c r="EJ55" s="1816"/>
      <c r="EK55" s="2000"/>
      <c r="EL55" s="1449"/>
      <c r="EM55" s="1815"/>
      <c r="EN55" s="1816">
        <v>189075</v>
      </c>
      <c r="EO55" s="2000">
        <f>73012+153048</f>
        <v>226060</v>
      </c>
      <c r="EP55" s="1685">
        <f t="shared" si="21"/>
        <v>415135</v>
      </c>
      <c r="EQ55" s="2563">
        <f>+IF(BB55="","",(ED55+EH55+EP55)*0.08)</f>
        <v>222285.76</v>
      </c>
      <c r="ER55" s="2563">
        <f>+IF(BB55="","",0.1*EF55)</f>
        <v>56208.600000000006</v>
      </c>
      <c r="ES55" s="1685"/>
      <c r="ET55" s="1449">
        <f t="shared" si="206"/>
        <v>278494.36</v>
      </c>
      <c r="EU55" s="1422"/>
      <c r="EV55" s="1384"/>
      <c r="EW55" s="2573">
        <f t="shared" si="207"/>
        <v>152853.318</v>
      </c>
      <c r="EX55" s="2573">
        <f t="shared" si="208"/>
        <v>152853.318</v>
      </c>
      <c r="EY55" s="2680">
        <f t="shared" si="92"/>
        <v>3362772.9959999998</v>
      </c>
      <c r="EZ55" s="2709"/>
      <c r="FA55" s="1384">
        <v>24000</v>
      </c>
      <c r="FB55" s="1471">
        <f t="shared" si="209"/>
        <v>3386772.9959999998</v>
      </c>
      <c r="FC55" s="2596">
        <f>+IF(OR(ED55="",IF(R55="",R53,R55)=""),"",ED55/IF(R55="",R53,R55))</f>
        <v>1801351</v>
      </c>
      <c r="FD55" s="2601">
        <f>+IF(OR(BB55="",IF(R55="",R53,R55)="",(CU55+DL55)=0),"",(CU55+DL55)/IF(R55="",R53,R55))</f>
        <v>1801351</v>
      </c>
      <c r="FE55" s="2605">
        <f t="shared" si="210"/>
        <v>1</v>
      </c>
      <c r="FF55" s="2601">
        <f>+IF(OR(BB55="",CT55="",IF(R55="",R53,R55)=""),"",(SUM(CV55:CZ55)+(IF(DM55="",0,DM55)+SUM(DN55:DQ55)))/IF(R55="",R53,R55))</f>
        <v>0</v>
      </c>
      <c r="FG55" s="2605">
        <f t="shared" si="211"/>
        <v>0</v>
      </c>
      <c r="FH55" s="2601">
        <f>+IF(OR(BB55="",IF(R55="",R53,R55)="",),"",(DA55+DR55)/IF(R55="",R53,R55))</f>
        <v>0</v>
      </c>
      <c r="FI55" s="2605">
        <f t="shared" si="212"/>
        <v>0</v>
      </c>
      <c r="FJ55" s="2606">
        <f t="shared" si="213"/>
        <v>1801351</v>
      </c>
      <c r="FK55" s="2605">
        <f t="shared" si="214"/>
        <v>1</v>
      </c>
      <c r="FL55" s="2634">
        <f>+IF(OR(BB55="",CT55="",IF(R55="",R53,R55)=""),"",(DB55+DC55+DS55+DT55)/IF(R55="",R53,R55))</f>
        <v>0</v>
      </c>
      <c r="FM55" s="2605">
        <f t="shared" si="215"/>
        <v>0</v>
      </c>
      <c r="FN55" s="2601">
        <f>+IF(OR(BB55="",CT55="",IF(R55="",R53,R55)=""),"",(DD55+DU55)/IF(R55="",R53,R55))</f>
        <v>0</v>
      </c>
      <c r="FO55" s="2605">
        <f>+IF(OR(BB55="",ISERROR(FN55/FC55)),"",FN55/FC55)</f>
        <v>0</v>
      </c>
      <c r="FP55" s="2601">
        <f>+IF(OR(BB55="",CT55="",IF(R55="",R53,R55)=""),"",(DG55+DH55+DX55+DY55)/IF(R55="",R53,R55))</f>
        <v>0</v>
      </c>
      <c r="FQ55" s="2605">
        <f>+IF(OR(BB55="",ISERROR(FL55/FC55)),"",FP55/FC55)</f>
        <v>0</v>
      </c>
      <c r="FR55" s="3144">
        <f>+IF(OR(BB55="",IF(R55="",R53,R55)="",(IF(DI55="",0,DI55)+IF(DZ55="",0,DZ55))=0),"",(IF(DI55="",0,DI55)+IF(DZ55="",0,DZ55))/IF(R55="",R53,R55))</f>
        <v>1801351</v>
      </c>
      <c r="FS55" s="2869" t="str">
        <f>+IF(OR(DJ55="",IF(R55="",R53,R55)=""),"",(DJ55+EA55)/IF(R55="",R53,R55))</f>
        <v/>
      </c>
      <c r="FT55" s="2062" t="str">
        <f>+IF(OR(BB55="",ISERROR(FS55/FR55)),"",FS55/FR55)</f>
        <v/>
      </c>
      <c r="FU55" s="2882">
        <f>+IF(OR(BB55="",ISERROR(1-(FR55+IF(FS55="",0,FS55)+FN55+FP55)*IF(R55="",R53,R55)/(CT55+DK55))),"",1-(FR55+IF(FS55="",0,FS55)+FN55+FP55)*IF(R55="",R53,R55)/(CT55+DK55))</f>
        <v>0</v>
      </c>
      <c r="FV55" s="2620">
        <f>+IF(FC55="","",FC55/IF(T55="",IF(T53="",1,T53),T55))</f>
        <v>95816.542553191481</v>
      </c>
      <c r="FW55" s="2634">
        <f>+IF(OR(EH55="",IF(R55="",R53,R55)=""),"",EH55/IF(R55="",R53,R55))</f>
        <v>562086</v>
      </c>
      <c r="FX55" s="2668">
        <f t="shared" si="216"/>
        <v>0.31203579979693019</v>
      </c>
      <c r="FY55" s="2601">
        <f>+IF(OR(EP55="",IF(R55="",R53,R55)=""),"",EP55/IF(R55="",R53,R55))</f>
        <v>415135</v>
      </c>
      <c r="FZ55" s="2668">
        <f t="shared" si="217"/>
        <v>0.23045758433531277</v>
      </c>
      <c r="GA55" s="2635" t="str">
        <f>+IF(IF(V55="",V53,V55)="Utility Boiler",IF(ISERR(FY55/(FC55+FW55)),"",FY55/(FC55+FW55)),"")</f>
        <v/>
      </c>
      <c r="GB55" s="2601">
        <f>+IF(OR(ET55="",IF(R55="",R53,R55)=""),"",ET55/IF(R55="",R53,R55))</f>
        <v>278494.36</v>
      </c>
      <c r="GC55" s="2635">
        <f t="shared" si="218"/>
        <v>0.15460305071027244</v>
      </c>
      <c r="GD55" s="2635" t="str">
        <f>+IF(IF(V55="",V53,V55)="Utility Boiler",IF(ISERR(GB55/($FC55)),"",GB55/(FC55+FW55+FY55)),"")</f>
        <v/>
      </c>
      <c r="GE55" s="2636">
        <f>+IF(OR(FB55="",IF(R55="",R53,R55)=""),"",FB55/IF(R55="",R53,R55))</f>
        <v>3386772.9959999998</v>
      </c>
      <c r="GF55" s="2637">
        <f t="shared" si="298"/>
        <v>3386772.9959999998</v>
      </c>
      <c r="GG55" s="2638">
        <f>+IF(OR(CS55="",IF(R55="",R53,R55)=""),"",1-(CS55/IF(R55="",R53,R55))/GF55)</f>
        <v>-1.1810652456034632E-9</v>
      </c>
      <c r="GH55" s="1750">
        <f>+IF(IF(T55="",T53,T55)="","",IF(GF55="","",GF55/IF(T55="",T53,T55)))</f>
        <v>180147.49978723403</v>
      </c>
      <c r="GI55" s="1611">
        <v>421290.18988000002</v>
      </c>
      <c r="GJ55" s="2606">
        <v>187812</v>
      </c>
      <c r="GK55" s="3441">
        <f>+IF(OR(BB55="",GJ55=""),"",IF(CB55="",1,CB55*IF(R55="",IF(R54="",R53,R54),R55)))</f>
        <v>2.2530689866251503</v>
      </c>
      <c r="GL55" s="3216">
        <f t="shared" si="219"/>
        <v>4.4031376540885391E-3</v>
      </c>
      <c r="GM55" s="1226"/>
      <c r="GN55" s="1229"/>
      <c r="GO55" s="2285"/>
      <c r="GP55" s="2286"/>
      <c r="GQ55" s="2219"/>
      <c r="GR55" s="2219"/>
      <c r="GS55" s="2214">
        <f t="shared" si="299"/>
        <v>101603.18988000001</v>
      </c>
      <c r="GT55" s="2214">
        <v>319687</v>
      </c>
      <c r="GU55" s="2737">
        <f t="shared" si="187"/>
        <v>421290.18988000002</v>
      </c>
      <c r="GV55" s="1227" t="str">
        <f>+IF(OR(GO55="",IF(R55="",R53,R55)=""),"",GO55/IF(R55="",R53,R55))</f>
        <v/>
      </c>
      <c r="GW55" s="2249" t="str">
        <f>+IF(OR(GP55="",IF(R55="",R53,R55)=""),"",GP55/IF(R55="",R53,R55))</f>
        <v/>
      </c>
      <c r="GX55" s="2219" t="str">
        <f>+IF(OR(GQ55="",IF(R55="",R53,R55)=""),"",GQ55/IF(R55="",R53,R55))</f>
        <v/>
      </c>
      <c r="GY55" s="2219" t="str">
        <f>+IF(OR(GR55="",IF(R55="",R53,R55)=""),"",GR55/IF(R55="",R53,R55))</f>
        <v/>
      </c>
      <c r="GZ55" s="2219">
        <f>+IF(OR(GS55="",IF(R55="",R53,R55)=""),"",GS55/IF(R55="",R53,R55))</f>
        <v>101603.18988000001</v>
      </c>
      <c r="HA55" s="2219">
        <f>+IF(OR(GT55="",IF(R55="",R53,R55)=""),"",GT55/IF(R55="",R53,R55))</f>
        <v>319687</v>
      </c>
      <c r="HB55" s="1334">
        <f t="shared" si="22"/>
        <v>421290.18988000002</v>
      </c>
      <c r="HC55" s="1228">
        <f>+IF(OR(GU55="",IF(R55="",R53,R55)=""),"",GU55/IF(R55="",R53,R55))</f>
        <v>421290.18988000002</v>
      </c>
      <c r="HD55" s="3467">
        <f t="shared" si="220"/>
        <v>0</v>
      </c>
      <c r="HE55" s="1226"/>
      <c r="HF55" s="2554">
        <f t="shared" si="107"/>
        <v>187812</v>
      </c>
      <c r="HG55" s="1229">
        <f t="shared" si="23"/>
        <v>312066.80731851852</v>
      </c>
      <c r="HH55" s="2982">
        <f t="shared" si="221"/>
        <v>3</v>
      </c>
      <c r="HI55" s="3062">
        <f t="shared" si="222"/>
        <v>1801351</v>
      </c>
      <c r="HJ55" s="3075">
        <f t="shared" si="223"/>
        <v>0</v>
      </c>
      <c r="HK55" s="3075">
        <f t="shared" si="224"/>
        <v>0</v>
      </c>
      <c r="HL55" s="3075" t="str">
        <f t="shared" si="225"/>
        <v/>
      </c>
      <c r="HM55" s="3088">
        <f t="shared" si="226"/>
        <v>1801351</v>
      </c>
      <c r="HN55" s="3097">
        <f>+IF(FR55="","",HM55/IF(T55="",IF(T53="",1,T53),T55))</f>
        <v>95816.542553191481</v>
      </c>
      <c r="HO55" s="3111">
        <f t="shared" si="227"/>
        <v>562086</v>
      </c>
      <c r="HP55" s="3075">
        <f t="shared" si="228"/>
        <v>415135</v>
      </c>
      <c r="HQ55" s="3112">
        <f t="shared" si="229"/>
        <v>222285.76</v>
      </c>
      <c r="HR55" s="3113">
        <f t="shared" si="230"/>
        <v>56208.600000000006</v>
      </c>
      <c r="HS55" s="3113">
        <f t="shared" si="231"/>
        <v>278494.36</v>
      </c>
      <c r="HT55" s="1206" t="str">
        <f t="shared" si="232"/>
        <v/>
      </c>
      <c r="HU55" s="1207" t="str">
        <f t="shared" si="233"/>
        <v/>
      </c>
      <c r="HV55" s="3004">
        <f t="shared" si="234"/>
        <v>152853.318</v>
      </c>
      <c r="HW55" s="3005">
        <f t="shared" si="235"/>
        <v>152853.318</v>
      </c>
      <c r="HX55" s="3004">
        <f t="shared" si="199"/>
        <v>3362772.9959999998</v>
      </c>
      <c r="HY55" s="3075" t="str">
        <f>+IF(EZ55="","",EZ55/IF(R55="",IF(R53="",1,R53),R55))</f>
        <v/>
      </c>
      <c r="HZ55" s="3113">
        <f>+IF(FA55="","",FA55/IF(R55="",IF(R53="",1,R53),R55))</f>
        <v>24000</v>
      </c>
      <c r="IA55" s="3062">
        <f t="shared" si="236"/>
        <v>3386772.9959999998</v>
      </c>
      <c r="IB55" s="3104" t="str">
        <f t="shared" si="237"/>
        <v>same TCC</v>
      </c>
      <c r="IC55" s="3097">
        <f>+IF(IA55="","",IA55/IF(T55="",IF(T53="",1,T53),T55))</f>
        <v>180147.49978723403</v>
      </c>
      <c r="ID55" s="1206"/>
      <c r="IE55" s="4098"/>
      <c r="IF55" s="3004" t="str">
        <f t="shared" si="238"/>
        <v/>
      </c>
      <c r="IG55" s="6767"/>
      <c r="IH55" s="4166" t="str">
        <f t="shared" si="239"/>
        <v/>
      </c>
      <c r="II55" s="4167"/>
      <c r="IJ55" s="4167" t="str">
        <f t="shared" si="240"/>
        <v/>
      </c>
      <c r="IK55" s="4128">
        <v>1</v>
      </c>
      <c r="IL55" s="2440" t="str">
        <f t="shared" si="241"/>
        <v/>
      </c>
      <c r="IM55" s="1812">
        <f t="shared" si="242"/>
        <v>135470.91983999999</v>
      </c>
      <c r="IN55" s="4226">
        <f t="shared" si="243"/>
        <v>135470.91983999999</v>
      </c>
      <c r="IO55" s="4226">
        <f t="shared" si="244"/>
        <v>135470.91983999999</v>
      </c>
      <c r="IP55" s="4226" t="str">
        <f t="shared" si="245"/>
        <v/>
      </c>
      <c r="IQ55" s="6840" t="str">
        <f t="shared" si="246"/>
        <v/>
      </c>
      <c r="IR55" s="4226">
        <f t="shared" si="247"/>
        <v>135470.91983999999</v>
      </c>
      <c r="IS55" s="6840">
        <f t="shared" si="248"/>
        <v>0.2976347138718895</v>
      </c>
      <c r="IT55" s="4226">
        <f t="shared" si="249"/>
        <v>135470.91983999999</v>
      </c>
      <c r="IU55" s="6840">
        <f t="shared" si="250"/>
        <v>0.2976347138718895</v>
      </c>
      <c r="IV55" s="4128">
        <f t="shared" si="251"/>
        <v>1</v>
      </c>
      <c r="IW55" s="1812">
        <f t="shared" si="252"/>
        <v>319687.41192069161</v>
      </c>
      <c r="IX55" s="3097">
        <f t="shared" si="253"/>
        <v>455158.3317606916</v>
      </c>
      <c r="IY55" s="4245">
        <f t="shared" si="254"/>
        <v>421290.18988000002</v>
      </c>
      <c r="IZ55" s="4276">
        <f t="shared" si="255"/>
        <v>-8.0391480016039657E-2</v>
      </c>
      <c r="JA55" s="4277">
        <f t="shared" si="256"/>
        <v>-8.0391480016039657E-2</v>
      </c>
      <c r="JB55" s="1207"/>
      <c r="JC55" s="4323"/>
      <c r="JD55" s="2554">
        <f t="shared" si="257"/>
        <v>202017.04184942369</v>
      </c>
      <c r="JE55" s="4358">
        <f t="shared" si="258"/>
        <v>337154.31982273451</v>
      </c>
      <c r="JF55" s="7029">
        <f>+IF(D55="","",IF(T55="",IF(T54="",T53/IF(Y53="TP",2,1),T54/IF(Y54="TP",2,1)),T55/IF(Y55="TP",2,1)))</f>
        <v>18.8</v>
      </c>
      <c r="JG55" s="2440" t="s">
        <v>1093</v>
      </c>
      <c r="JH55" s="6960">
        <f t="shared" si="259"/>
        <v>3362772.9959999998</v>
      </c>
      <c r="JI55" s="6960">
        <f>+JH55</f>
        <v>3362772.9959999998</v>
      </c>
      <c r="JJ55" s="6960"/>
      <c r="JK55" s="6960"/>
      <c r="JL55" s="6997"/>
      <c r="JM55" s="1811">
        <f t="shared" si="260"/>
        <v>1393360</v>
      </c>
      <c r="JN55" s="2440">
        <f t="shared" si="261"/>
        <v>2410512.7999999998</v>
      </c>
      <c r="JO55" s="2440">
        <f>+JN55</f>
        <v>2410512.7999999998</v>
      </c>
      <c r="JP55" s="3382"/>
      <c r="JQ55" s="3382"/>
      <c r="JR55" s="2440"/>
      <c r="JS55" s="1812">
        <f t="shared" si="262"/>
        <v>2410512.7999999998</v>
      </c>
      <c r="JT55" s="7133">
        <f t="shared" si="263"/>
        <v>2</v>
      </c>
      <c r="JU55" s="7134">
        <f t="shared" ref="JU55:JU59" si="300">+JU54</f>
        <v>19</v>
      </c>
      <c r="JV55" s="8367">
        <f t="shared" ref="JV55:JV59" si="301">+JV54</f>
        <v>4811</v>
      </c>
      <c r="JW55" s="8394">
        <f t="shared" si="149"/>
        <v>1.35</v>
      </c>
      <c r="JX55" s="8423">
        <f t="shared" si="264"/>
        <v>1263.1578947368421</v>
      </c>
      <c r="JY55" s="8458">
        <f t="shared" si="265"/>
        <v>7.0000000000000007E-2</v>
      </c>
      <c r="JZ55" s="7135">
        <f t="shared" si="266"/>
        <v>1399.8072289156626</v>
      </c>
      <c r="KA55" s="7133" t="str">
        <f t="shared" si="267"/>
        <v/>
      </c>
      <c r="KB55" s="7134" t="str">
        <f t="shared" si="268"/>
        <v/>
      </c>
      <c r="KC55" s="7135" t="str">
        <f t="shared" si="201"/>
        <v/>
      </c>
      <c r="KD55" s="7133">
        <f t="shared" si="269"/>
        <v>806.43600000000004</v>
      </c>
      <c r="KE55" s="8331">
        <f t="shared" si="270"/>
        <v>840.78000000000009</v>
      </c>
      <c r="KF55" s="8331">
        <f t="shared" si="271"/>
        <v>563.81717647058815</v>
      </c>
      <c r="KG55" s="7134">
        <f t="shared" si="272"/>
        <v>2542.7498313253013</v>
      </c>
      <c r="KH55" s="7134">
        <f t="shared" si="273"/>
        <v>693.25376000000006</v>
      </c>
      <c r="KI55" s="7134">
        <f t="shared" si="274"/>
        <v>69.325376000000006</v>
      </c>
      <c r="KJ55" s="7134">
        <f t="shared" si="275"/>
        <v>5516.3621437958891</v>
      </c>
      <c r="KK55" s="7134">
        <f>+IF(OR(D55="",JU55="",JV55=""),"",$KK$7*$KG$4*JU55)</f>
        <v>1993.2368000000001</v>
      </c>
      <c r="KL55" s="7134">
        <f t="shared" si="276"/>
        <v>171.74903699999999</v>
      </c>
      <c r="KM55" s="7134">
        <f t="shared" si="277"/>
        <v>2164.9858370000002</v>
      </c>
      <c r="KN55" s="7134" t="str">
        <f t="shared" si="278"/>
        <v/>
      </c>
      <c r="KO55" s="7134">
        <f t="shared" si="279"/>
        <v>2164.9858370000002</v>
      </c>
      <c r="KP55" s="7135">
        <f t="shared" si="280"/>
        <v>7681.3479807958893</v>
      </c>
      <c r="KQ55" s="1813">
        <f>+IF(D55="","",VLOOKUP(MATCH(BE55,ac_id,0),ad,ac!$F$8,FALSE)*JV55)</f>
        <v>1443.3</v>
      </c>
      <c r="KR55" s="3382">
        <f>+IF(D55="","",IF(JT55=1,VLOOKUP(MATCH(BE55,ac_id,0),ad,ac!$H$8,FALSE)*JU55, (VLOOKUP(MATCH(BE55,ac_id,0),ad,ac!$H$8,FALSE)*JU55^(1+VLOOKUP(MATCH(BE55,ac_id,0),ad,ac!$I$8,FALSE)))))</f>
        <v>16544.904554946788</v>
      </c>
      <c r="KS55" s="1812">
        <f t="shared" si="281"/>
        <v>17988.204554946788</v>
      </c>
      <c r="KT55" s="1813">
        <f t="shared" si="282"/>
        <v>1298.9915022</v>
      </c>
      <c r="KU55" s="2440">
        <f t="shared" si="283"/>
        <v>96420.511999999988</v>
      </c>
      <c r="KV55" s="7376">
        <f t="shared" si="284"/>
        <v>1</v>
      </c>
      <c r="KW55" s="7281">
        <f t="shared" si="285"/>
        <v>206847.35013503488</v>
      </c>
      <c r="KX55" s="1812">
        <f t="shared" si="286"/>
        <v>304566.85363723489</v>
      </c>
      <c r="KY55" s="1750">
        <f t="shared" si="287"/>
        <v>312248.20161803078</v>
      </c>
      <c r="KZ55" s="7377"/>
      <c r="LA55" s="7281">
        <f t="shared" si="288"/>
        <v>138587.9453632462</v>
      </c>
      <c r="LB55" s="7292">
        <f t="shared" si="289"/>
        <v>231294.96416150426</v>
      </c>
      <c r="LC55" s="5133"/>
      <c r="LD55" s="5132"/>
      <c r="LE55" s="5132"/>
      <c r="LF55" s="5132"/>
      <c r="LG55" s="5132"/>
      <c r="LH55" s="5132"/>
      <c r="LI55" s="5132"/>
      <c r="LJ55" s="5132"/>
    </row>
    <row r="56" spans="1:322" s="645" customFormat="1" ht="27.95" customHeight="1">
      <c r="A56" s="10539"/>
      <c r="B56" s="9819" t="str">
        <f>+IF(A56="","",VLOOKUP(MATCH(A56,tid,0),tao,'12(id)'!$J$20,FALSE))</f>
        <v/>
      </c>
      <c r="C56" s="10561"/>
      <c r="D56" s="1115" t="str">
        <f t="shared" si="48"/>
        <v>8304-01-04</v>
      </c>
      <c r="E56" s="726" t="str">
        <f t="shared" si="202"/>
        <v>High Pressure Water Injection (HPWI)</v>
      </c>
      <c r="F56" s="726" t="str">
        <f t="shared" si="49"/>
        <v>HPWI</v>
      </c>
      <c r="G56" s="5133"/>
      <c r="H56" s="5132"/>
      <c r="I56" s="5133"/>
      <c r="J56" s="719">
        <f t="shared" si="68"/>
        <v>22</v>
      </c>
      <c r="K56" s="9663"/>
      <c r="L56" s="9648"/>
      <c r="M56" s="9650"/>
      <c r="N56" s="9648"/>
      <c r="O56" s="9648"/>
      <c r="P56" s="9648"/>
      <c r="Q56" s="9680" t="str">
        <f>+IF(ISERROR(MATCH(O56,tid,0)),"",VLOOKUP(MATCH(O56,tid,0),tao,'12(id)'!$Q$20,FALSE))</f>
        <v/>
      </c>
      <c r="R56" s="9648"/>
      <c r="S56" s="9648"/>
      <c r="T56" s="10716" t="str">
        <f>+IF(ISERROR(MATCH(O56,tid,0)),"",IF(VLOOKUP(MATCH(O56,tid,0),tao,'12(id)'!$CT$20,FALSE)="","",VLOOKUP(MATCH(O56,tid,0),tao,'12(id)'!$CT$20,FALSE)))</f>
        <v/>
      </c>
      <c r="U56" s="10716" t="str">
        <f>+IF(ISERROR(MATCH(O56,tid,0)),"",IF(VLOOKUP(MATCH(O56,tid,0),tao,'12(id)'!$CU$20,FALSE)="","",VLOOKUP(MATCH(O56,tid,0),tao,'12(id)'!$CU$20,FALSE)))</f>
        <v/>
      </c>
      <c r="V56" s="9504" t="str">
        <f>+IF(O56="","",IF(VLOOKUP(MATCH(O56,tid,0),tao,'12(id)'!$T$20,FALSE)="","",VLOOKUP(MATCH(O56,tid,0),tao,'12(id)'!$T$20,FALSE)))</f>
        <v/>
      </c>
      <c r="W56" s="9504" t="str">
        <f>+IF(ISERROR(MATCH(O56,tid,0)),"",IF(VLOOKUP(MATCH(O56,tid,0),tao,'12(id)'!$CO$20,FALSE)="","",VLOOKUP(MATCH(O56,tid,0),tao,'12(id)'!$CO$20,FALSE)))</f>
        <v/>
      </c>
      <c r="X56" s="9504" t="str">
        <f>+IF(ISERROR(MATCH(O56,tid,0)),"",IF(VLOOKUP(MATCH(O56,tid,0),tao,'12(id)'!$CP$20,FALSE)="","",VLOOKUP(MATCH(O56,tid,0),tao,'12(id)'!$CP$20,FALSE)))</f>
        <v/>
      </c>
      <c r="Y56" s="9504"/>
      <c r="Z56" s="9518" t="str">
        <f>+IF(ISERROR(MATCH(O56,tid,0)),"",VLOOKUP(MATCH(O56,tid,0),tao,'12(id)'!$DB$20,FALSE)&amp;" "&amp;VLOOKUP(MATCH(O56,tid,0),tao,'12(id)'!$DC$20,FALSE))</f>
        <v/>
      </c>
      <c r="AA56" s="9518" t="str">
        <f>+IF(ISERROR(MATCH(O56,tid,0)),"",IF(VLOOKUP(MATCH(O56,tid,0),tao,'12(id)'!$DE$20,FALSE)="","",ROUND(VLOOKUP(MATCH(O56,tid,0),tao,'12(id)'!$DE$20,FALSE),0)&amp;" yrs"))</f>
        <v/>
      </c>
      <c r="AB56" s="9648" t="str">
        <f>+IF(ISERROR(MATCH(O56,tid,0)),"",VLOOKUP(MATCH(O56,tid,0),tao,'12(id)'!$DI$20,FALSE))</f>
        <v/>
      </c>
      <c r="AC56" s="9648" t="str">
        <f>+IF(ISERROR(MATCH(O56,tid,0)),"",IF(VLOOKUP(MATCH(O56,tid,0),tao,'12(id)'!$DQ$20,FALSE)="","",VLOOKUP(MATCH(O56,tid,0),tao,'12(id)'!$DQ$20,FALSE)))</f>
        <v/>
      </c>
      <c r="AD56" s="10671" t="str">
        <f>+IF(ISERROR(MATCH(O56,tid,0)),"",IF(VLOOKUP(MATCH(O56,tid,0),tao,'12(id)'!$EI$20,FALSE)="","",VLOOKUP(MATCH(O56,tid,0),tao,'12(id)'!$EI$20,FALSE)))</f>
        <v/>
      </c>
      <c r="AE56" s="10766"/>
      <c r="AF56" s="10671" t="str">
        <f>+IF(ISERROR(MATCH(O56,tid,0)),"",IF(VLOOKUP(MATCH(O56,tid,0),tao,'12(id)'!$EL$20,FALSE)="","",VLOOKUP(MATCH(O56,tid,0),tao,'12(id)'!$EL$20,FALSE)))</f>
        <v/>
      </c>
      <c r="AG56" s="10691" t="str">
        <f>+IF(ISERROR(MATCH(O56,tid,0)),"",IF(VLOOKUP(MATCH(O56,tid,0),tao,'12(id)'!$EM$20,FALSE)="","",VLOOKUP(MATCH(O56,tid,0),tao,'12(id)'!$EM$20,FALSE)))</f>
        <v/>
      </c>
      <c r="AH56" s="10685"/>
      <c r="AI56" s="10682"/>
      <c r="AJ56" s="10688"/>
      <c r="AK56" s="10688"/>
      <c r="AL56" s="10688"/>
      <c r="AM56" s="10676"/>
      <c r="AN56" s="10679"/>
      <c r="AO56" s="10342" t="str">
        <f>+IF(ISERROR(MATCH(O56,tid,0)),"",IF(VLOOKUP(MATCH(O56,tid,0),tao,'12(id)'!$GY$20,FALSE)="","",VLOOKUP(MATCH(O56,tid,0),tao,'12(id)'!$GY$20,FALSE)))</f>
        <v/>
      </c>
      <c r="AP56" s="10292" t="e">
        <f>+IF($BB56="","",IF(VLOOKUP(MATCH(O56,tid,0),tao,'12(id)'!$HE$20,FALSE)="","",VLOOKUP(MATCH(O56,tid,0),tao,'12(id)'!$HE$20,FALSE)))</f>
        <v>#N/A</v>
      </c>
      <c r="AQ56" s="10342" t="str">
        <f>+IF(ISERROR(VLOOKUP(MATCH(O56,tid,0),tao,'12(id)'!$HF$20,FALSE)),"",VLOOKUP(MATCH(O56,tid,0),tao,'12(id)'!$HF$20,FALSE))</f>
        <v/>
      </c>
      <c r="AR56" s="10336" t="str">
        <f>+IF(ISERROR(MATCH(O56,tid,0)),"",IF(VLOOKUP(MATCH(O56,tid,0),tao,'12(id)'!$HJ$20,FALSE)="","",VLOOKUP(MATCH(O56,tid,0),tao,'12(id)'!$HJ$20,FALSE)))</f>
        <v/>
      </c>
      <c r="AS56" s="10339" t="str">
        <f>+IF(ISERROR(MATCH(O56,tid,0)),"",IF(VLOOKUP(MATCH(O56,tid,0),tao,'12(id)'!$HK$20,FALSE)="","",VLOOKUP(MATCH(O56,tid,0),tao,'12(id)'!$HK$20,FALSE)))</f>
        <v/>
      </c>
      <c r="AT56" s="10694" t="str">
        <f>+IF(ISERROR(MATCH(O56,tid,0)),"",IF(VLOOKUP(MATCH(O56,tid,0),tao,'12(id)'!$HM$20,FALSE)="","",VLOOKUP(MATCH(O56,tid,0),tao,'12(id)'!$HM$20,FALSE)))</f>
        <v/>
      </c>
      <c r="AU56" s="10359"/>
      <c r="AV56" s="10325" t="str">
        <f>+IF(ISERROR(MATCH(O56,em_id,0)),"",IF(VLOOKUP(MATCH(O56,em_id,0),em,'5(em)'!$CX$18,FALSE)="","",VLOOKUP(MATCH(O56,em_id,0),em,'5(em)'!$CX$18,FALSE)))</f>
        <v/>
      </c>
      <c r="AW56" s="10392" t="str">
        <f>+IF(ISERROR(MATCH(O56,em_id,0)),"",IF(VLOOKUP(MATCH(O56,em_id,0),em,'5(em)'!$CZ$18,FALSE)="","",VLOOKUP(MATCH(O56,em_id,0),em,'5(em)'!$CZ$18,FALSE)))</f>
        <v/>
      </c>
      <c r="AX56" s="10330" t="str">
        <f t="shared" si="50"/>
        <v/>
      </c>
      <c r="AY56" s="10325"/>
      <c r="AZ56" s="10400" t="str">
        <f>+IF(ISERROR(MATCH(O56,em_id,0)),"",IF(VLOOKUP(MATCH(O56,em_id,0),em,'5(em)'!$DA$18,FALSE)="","",VLOOKUP(MATCH(O56,em_id,0),em,'5(em)'!$DA$18,FALSE)))</f>
        <v/>
      </c>
      <c r="BA56" s="725"/>
      <c r="BB56" s="726" t="str">
        <f t="shared" si="11"/>
        <v>8304-01-04</v>
      </c>
      <c r="BC56" s="724">
        <f t="shared" si="290"/>
        <v>4</v>
      </c>
      <c r="BD56" s="726" t="str">
        <f>+IF(OR(D56="",VLOOKUP(MATCH(D56,op_id,0),op,'7(op)'!$T$18,FALSE)=""),"",VLOOKUP(MATCH(D56,op_id,0),op,'7(op)'!$T$18,FALSE))</f>
        <v>High Pressure Water Injection (HPWI)</v>
      </c>
      <c r="BE56" s="726" t="s">
        <v>93</v>
      </c>
      <c r="BF56" s="726" t="s">
        <v>1863</v>
      </c>
      <c r="BG56" s="727" t="s">
        <v>1613</v>
      </c>
      <c r="BH56" s="942"/>
      <c r="BI56" s="943"/>
      <c r="BJ56" s="916"/>
      <c r="BK56" s="916"/>
      <c r="BL56" s="916"/>
      <c r="BM56" s="916"/>
      <c r="BN56" s="916" t="str">
        <f t="shared" si="12"/>
        <v/>
      </c>
      <c r="BO56" s="916" t="str">
        <f t="shared" si="13"/>
        <v/>
      </c>
      <c r="BP56" s="916" t="str">
        <f t="shared" si="14"/>
        <v/>
      </c>
      <c r="BQ56" s="916" t="str">
        <f t="shared" si="15"/>
        <v/>
      </c>
      <c r="BR56" s="918"/>
      <c r="BS56" s="919"/>
      <c r="BT56" s="920"/>
      <c r="BU56" s="3723">
        <f>+IF(BB56="","",IF(VLOOKUP(MATCH(BB56,ef_id,0),ef,'11(eff)'!$Z$23,FALSE)="","",VLOOKUP(MATCH(BB56,ef_id,0),ef,'11(eff)'!$Z$23,FALSE)))</f>
        <v>0.18392895053428635</v>
      </c>
      <c r="BV56" s="3744">
        <f>+IF(BB56="","",IF(VLOOKUP(MATCH(BB56,ef_id,0),ef,'11(eff)'!$AA$23,FALSE)="","",VLOOKUP(MATCH(BB56,ef_id,0),ef,'11(eff)'!$AA$23,FALSE)))</f>
        <v>47</v>
      </c>
      <c r="BW56" s="3768">
        <f>+'A3(trc)'!I72</f>
        <v>0.91044830514471742</v>
      </c>
      <c r="BX56" s="3790">
        <f>+IF(OR(BB56="",BW56=""),"",BW56/IF(R53="",IF(R52="",R51,R52),R53))</f>
        <v>0.91044830514471742</v>
      </c>
      <c r="BY56" s="3812">
        <f>+IF($BB56="","",IF(BU56="","",BU56/2000*IF(AQ53="",IF(AQ52="",AQ51,AQ52),AQ53)))</f>
        <v>0.91044830514471742</v>
      </c>
      <c r="BZ56" s="1057"/>
      <c r="CA56" s="3410"/>
      <c r="CB56" s="3844">
        <f t="shared" si="291"/>
        <v>1.8269016948552828</v>
      </c>
      <c r="CC56" s="3863">
        <f>+IF($BB56="","",IF(CB56="",IF(CD56="",IF(CD56="",IF(CE56="","",CE56)),CD56),CB56/$AT$53))</f>
        <v>0.66739791946783666</v>
      </c>
      <c r="CD56" s="3863">
        <f>+IF($BB56="","",IF(BU56="","",(1-BU56/$AR$53)))</f>
        <v>0.66739791946783666</v>
      </c>
      <c r="CE56" s="2733">
        <f>+IF(BB56="","",IF(VLOOKUP(MATCH(BB56,ef_id,0),ef,'11(eff)'!$AE$23,FALSE)="","",VLOOKUP(MATCH(BB56,ef_id,0),ef,'11(eff)'!$AE$23,FALSE)))</f>
        <v>0.66739791946783655</v>
      </c>
      <c r="CF56" s="919" t="s">
        <v>1601</v>
      </c>
      <c r="CG56" s="920"/>
      <c r="CH56" s="2399"/>
      <c r="CI56" s="3844">
        <f t="shared" si="292"/>
        <v>0.20740100635969455</v>
      </c>
      <c r="CJ56" s="4055">
        <f t="shared" si="293"/>
        <v>52.694394213381564</v>
      </c>
      <c r="CK56" s="3844">
        <f t="shared" si="294"/>
        <v>0.49890312079824523</v>
      </c>
      <c r="CL56" s="3920">
        <f t="shared" si="295"/>
        <v>1.0010968792017547</v>
      </c>
      <c r="CM56" s="3944">
        <f t="shared" si="296"/>
        <v>0.66739791946783644</v>
      </c>
      <c r="CN56" s="3944">
        <f t="shared" si="297"/>
        <v>0.6654822478069442</v>
      </c>
      <c r="CO56" s="3945">
        <f>+IF(BB56="","",IF(VLOOKUP(MATCH(BB56,ef_id,0),ef,'11(eff)'!$AE$23,FALSE)="","",VLOOKUP(MATCH(BB56,ef_id,0),ef,'11(eff)'!$AE$23,FALSE)))</f>
        <v>0.66739791946783655</v>
      </c>
      <c r="CP56" s="3946" t="str">
        <f>+IF(OR(BB56="",VLOOKUP(MATCH(BB56,ef_id,0),ef,'11(eff)'!$AG$23,FALSE)=""),"",IF(VLOOKUP(MATCH(BB56,ef_id,0),ef,'11(eff)'!$AG$23,FALSE)/100=VLOOKUP(MATCH(BB56,ef_id,0),ef,'11(eff)'!$AE$23,FALSE),VLOOKUP(MATCH(BB56,ef_id,0),ef,'11(eff)'!$AE$23,FALSE),""))</f>
        <v/>
      </c>
      <c r="CQ56" s="725" t="str">
        <f t="shared" si="51"/>
        <v>High Pressure Water Injection (HPWI)</v>
      </c>
      <c r="CR56" s="922"/>
      <c r="CS56" s="2754">
        <v>1191552</v>
      </c>
      <c r="CT56" s="1582">
        <v>303165</v>
      </c>
      <c r="CU56" s="1490">
        <v>303165</v>
      </c>
      <c r="CV56" s="1817">
        <f t="shared" si="203"/>
        <v>0</v>
      </c>
      <c r="CW56" s="1818"/>
      <c r="CX56" s="1818"/>
      <c r="CY56" s="1819"/>
      <c r="CZ56" s="2467"/>
      <c r="DA56" s="2441"/>
      <c r="DB56" s="2441"/>
      <c r="DC56" s="1817"/>
      <c r="DD56" s="1821"/>
      <c r="DE56" s="1822"/>
      <c r="DF56" s="1823"/>
      <c r="DG56" s="1823"/>
      <c r="DH56" s="1821"/>
      <c r="DI56" s="1686">
        <f t="shared" si="204"/>
        <v>303165</v>
      </c>
      <c r="DJ56" s="1932"/>
      <c r="DK56" s="1582"/>
      <c r="DL56" s="1490"/>
      <c r="DM56" s="1817" t="str">
        <f t="shared" si="198"/>
        <v/>
      </c>
      <c r="DN56" s="1818"/>
      <c r="DO56" s="1818"/>
      <c r="DP56" s="1819"/>
      <c r="DQ56" s="2467"/>
      <c r="DR56" s="2441"/>
      <c r="DS56" s="2441"/>
      <c r="DT56" s="1817"/>
      <c r="DU56" s="1821"/>
      <c r="DV56" s="1822"/>
      <c r="DW56" s="1823"/>
      <c r="DX56" s="1823"/>
      <c r="DY56" s="1821"/>
      <c r="DZ56" s="1686" t="str">
        <f t="shared" si="18"/>
        <v/>
      </c>
      <c r="EA56" s="1932"/>
      <c r="EB56" s="1490">
        <f t="shared" si="19"/>
        <v>303165</v>
      </c>
      <c r="EC56" s="1956">
        <v>1</v>
      </c>
      <c r="ED56" s="2555">
        <f t="shared" si="20"/>
        <v>303165</v>
      </c>
      <c r="EE56" s="1820"/>
      <c r="EF56" s="2441">
        <v>386785</v>
      </c>
      <c r="EG56" s="1977"/>
      <c r="EH56" s="1686">
        <f t="shared" si="205"/>
        <v>386785</v>
      </c>
      <c r="EI56" s="1822"/>
      <c r="EJ56" s="1823"/>
      <c r="EK56" s="2001"/>
      <c r="EL56" s="1450"/>
      <c r="EM56" s="1822"/>
      <c r="EN56" s="1823">
        <v>41397</v>
      </c>
      <c r="EO56" s="2001">
        <f>65484+49133</f>
        <v>114617</v>
      </c>
      <c r="EP56" s="1686">
        <f t="shared" si="21"/>
        <v>156014</v>
      </c>
      <c r="EQ56" s="2661">
        <f>+IF(BB56="","",(ED56+EH56+EP56)*0.08)</f>
        <v>67677.119999999995</v>
      </c>
      <c r="ER56" s="2661">
        <f>+IF(BB56="","",0.1*EF56)</f>
        <v>38678.5</v>
      </c>
      <c r="ES56" s="1686"/>
      <c r="ET56" s="1450">
        <f t="shared" si="206"/>
        <v>106355.62</v>
      </c>
      <c r="EU56" s="1423"/>
      <c r="EV56" s="1385"/>
      <c r="EW56" s="2574">
        <f t="shared" si="207"/>
        <v>47615.981</v>
      </c>
      <c r="EX56" s="2574">
        <f t="shared" si="208"/>
        <v>47615.981</v>
      </c>
      <c r="EY56" s="2681">
        <f t="shared" si="92"/>
        <v>1047551.5820000001</v>
      </c>
      <c r="EZ56" s="2710"/>
      <c r="FA56" s="1385">
        <v>144000</v>
      </c>
      <c r="FB56" s="1472">
        <f t="shared" si="209"/>
        <v>1191551.5819999999</v>
      </c>
      <c r="FC56" s="2597">
        <f>+IF(OR(ED56="",IF(R56="",R53,R56)=""),"",ED56/IF(R56="",R53,R56))</f>
        <v>303165</v>
      </c>
      <c r="FD56" s="2607">
        <f>+IF(OR(BB56="",IF(R56="",R53,R56)="",(CU56+DL56)=0),"",(CU56+DL56)/IF(R56="",R53,R56))</f>
        <v>303165</v>
      </c>
      <c r="FE56" s="2608">
        <f t="shared" si="210"/>
        <v>1</v>
      </c>
      <c r="FF56" s="2607">
        <f>+IF(OR(BB56="",CT56="",IF(R56="",R53,R56)=""),"",(SUM(CV56:CZ56)+(IF(DM56="",0,DM56)+SUM(DN56:DQ56)))/IF(R56="",R53,R56))</f>
        <v>0</v>
      </c>
      <c r="FG56" s="2608">
        <f t="shared" si="211"/>
        <v>0</v>
      </c>
      <c r="FH56" s="2607">
        <f>+IF(OR(BB56="",IF(R56="",R53,R56)="",),"",(DA56+DR56)/IF(R56="",R53,R56))</f>
        <v>0</v>
      </c>
      <c r="FI56" s="2608">
        <f t="shared" si="212"/>
        <v>0</v>
      </c>
      <c r="FJ56" s="2609">
        <f t="shared" si="213"/>
        <v>303165</v>
      </c>
      <c r="FK56" s="2608">
        <f t="shared" si="214"/>
        <v>1</v>
      </c>
      <c r="FL56" s="2639">
        <f>+IF(OR(BB56="",CT56="",IF(R56="",R53,R56)=""),"",(DB56+DC56+DS56+DT56)/IF(R56="",R53,R56))</f>
        <v>0</v>
      </c>
      <c r="FM56" s="2608">
        <f t="shared" si="215"/>
        <v>0</v>
      </c>
      <c r="FN56" s="2607">
        <f>+IF(OR(BB56="",CT56="",IF(R56="",R53,R56)=""),"",(DD56+DU56)/IF(R56="",R53,R56))</f>
        <v>0</v>
      </c>
      <c r="FO56" s="2608">
        <f t="shared" ref="FO56:FO64" si="302">+IF(OR(BB56="",ISERROR(FN56/FC56)),"",FN56/FC56)</f>
        <v>0</v>
      </c>
      <c r="FP56" s="2607">
        <f>+IF(OR(BB56="",CT56="",IF(R56="",R53,R56)=""),"",(DG56+DH56+DX56+DY56)/IF(R56="",R53,R56))</f>
        <v>0</v>
      </c>
      <c r="FQ56" s="2608">
        <f t="shared" ref="FQ56:FQ64" si="303">+IF(OR(BB56="",ISERROR(FL56/FC56)),"",FP56/FC56)</f>
        <v>0</v>
      </c>
      <c r="FR56" s="3145">
        <f>+IF(OR(BB56="",IF(R56="",R53,R56)="",(IF(DI56="",0,DI56)+IF(DZ56="",0,DZ56))=0),"",(IF(DI56="",0,DI56)+IF(DZ56="",0,DZ56))/IF(R56="",R53,R56))</f>
        <v>303165</v>
      </c>
      <c r="FS56" s="2870" t="str">
        <f>+IF(OR(DJ56="",IF(R56="",R53,R56)=""),"",(DJ56+EA56)/IF(R56="",R53,R56))</f>
        <v/>
      </c>
      <c r="FT56" s="2063" t="str">
        <f t="shared" ref="FT56:FT64" si="304">+IF(OR(BB56="",ISERROR(FS56/FR56)),"",FS56/FR56)</f>
        <v/>
      </c>
      <c r="FU56" s="2883">
        <f>+IF(OR(BB56="",ISERROR(1-(FR56+IF(FS56="",0,FS56)+FN56+FP56)*IF(R56="",R53,R56)/(CT56+DK56))),"",1-(FR56+IF(FS56="",0,FS56)+FN56+FP56)*IF(R56="",R53,R56)/(CT56+DK56))</f>
        <v>0</v>
      </c>
      <c r="FV56" s="2621">
        <f>+IF(FC56="","",FC56/IF(T56="",IF(T53="",1,T53),T56))</f>
        <v>16125.797872340425</v>
      </c>
      <c r="FW56" s="2639">
        <f>+IF(OR(EH56="",IF(R56="",R53,R56)=""),"",EH56/IF(R56="",R53,R56))</f>
        <v>386785</v>
      </c>
      <c r="FX56" s="2669">
        <f t="shared" si="216"/>
        <v>1.2758233965002557</v>
      </c>
      <c r="FY56" s="2607">
        <f>+IF(OR(EP56="",IF(R56="",R53,R56)=""),"",EP56/IF(R56="",R53,R56))</f>
        <v>156014</v>
      </c>
      <c r="FZ56" s="2669">
        <f t="shared" si="217"/>
        <v>0.51461745254234492</v>
      </c>
      <c r="GA56" s="2640" t="str">
        <f>+IF(IF(V56="",V53,V56)="Utility Boiler",IF(ISERR(FY56/(FC56+FW56)),"",FY56/(FC56+FW56)),"")</f>
        <v/>
      </c>
      <c r="GB56" s="2607">
        <f>+IF(OR(ET56="",IF(R56="",R53,R56)=""),"",ET56/IF(R56="",R53,R56))</f>
        <v>106355.62</v>
      </c>
      <c r="GC56" s="2640">
        <f t="shared" si="218"/>
        <v>0.35081760757343361</v>
      </c>
      <c r="GD56" s="2640" t="str">
        <f>+IF(IF(V56="",V53,V56)="Utility Boiler",IF(ISERR(GB56/($FC56)),"",GB56/(FC56+FW56+FY56)),"")</f>
        <v/>
      </c>
      <c r="GE56" s="2641">
        <f>+IF(OR(FB56="",IF(R56="",R53,R56)=""),"",FB56/IF(R56="",R53,R56))</f>
        <v>1191551.5819999999</v>
      </c>
      <c r="GF56" s="2642">
        <f t="shared" si="298"/>
        <v>1191551.5819999999</v>
      </c>
      <c r="GG56" s="2643">
        <f>+IF(OR(CS56="",IF(R56="",R53,R56)=""),"",1-(CS56/IF(R56="",R53,R56))/GF56)</f>
        <v>-3.5080310945012627E-7</v>
      </c>
      <c r="GH56" s="1751">
        <f>+IF(IF(T56="",T53,T56)="","",IF(GF56="","",GF56/IF(T56="",T53,T56)))</f>
        <v>63380.403297872333</v>
      </c>
      <c r="GI56" s="1612">
        <v>148220.54746</v>
      </c>
      <c r="GJ56" s="2609">
        <v>81969</v>
      </c>
      <c r="GK56" s="3442">
        <f>+IF(OR(BB56="",GJ56=""),"",IF(CB56="",1,CB56*IF(R56="",IF(R55="",$R$53,R55),R56)))</f>
        <v>1.8269016948552828</v>
      </c>
      <c r="GL56" s="3217">
        <f t="shared" si="219"/>
        <v>1.0208779034609844E-2</v>
      </c>
      <c r="GM56" s="1230"/>
      <c r="GN56" s="1233"/>
      <c r="GO56" s="2287"/>
      <c r="GP56" s="2288"/>
      <c r="GQ56" s="2220"/>
      <c r="GR56" s="2220"/>
      <c r="GS56" s="2215">
        <f t="shared" si="299"/>
        <v>35746.547460000002</v>
      </c>
      <c r="GT56" s="2215">
        <v>112474</v>
      </c>
      <c r="GU56" s="2738">
        <f t="shared" si="187"/>
        <v>148220.54746</v>
      </c>
      <c r="GV56" s="1231" t="str">
        <f>+IF(OR(GO56="",IF(R56="",R53,R56)=""),"",GO56/IF(R56="",R53,R56))</f>
        <v/>
      </c>
      <c r="GW56" s="2250" t="str">
        <f>+IF(OR(GP56="",IF(R56="",R53,R56)=""),"",GP56/IF(R56="",R53,R56))</f>
        <v/>
      </c>
      <c r="GX56" s="2220" t="str">
        <f>+IF(OR(GQ56="",IF(R56="",R53,R56)=""),"",GQ56/IF(R56="",R53,R56))</f>
        <v/>
      </c>
      <c r="GY56" s="2220" t="str">
        <f>+IF(OR(GR56="",IF(R56="",R53,R56)=""),"",GR56/IF(R56="",R53,R56))</f>
        <v/>
      </c>
      <c r="GZ56" s="2220">
        <f>+IF(OR(GS56="",IF(R56="",R53,R56)=""),"",GS56/IF(R56="",R53,R56))</f>
        <v>35746.547460000002</v>
      </c>
      <c r="HA56" s="2220">
        <f>+IF(OR(GT56="",IF(R56="",R53,R56)=""),"",GT56/IF(R56="",R53,R56))</f>
        <v>112474</v>
      </c>
      <c r="HB56" s="1335">
        <f t="shared" si="22"/>
        <v>148220.54746</v>
      </c>
      <c r="HC56" s="1232">
        <f>+IF(OR(GU56="",IF(R56="",R53,R56)=""),"",GU56/IF(R56="",R53,R56))</f>
        <v>148220.54746</v>
      </c>
      <c r="HD56" s="3468">
        <f t="shared" si="220"/>
        <v>0</v>
      </c>
      <c r="HE56" s="1230"/>
      <c r="HF56" s="2555">
        <f t="shared" si="107"/>
        <v>81969</v>
      </c>
      <c r="HG56" s="1233">
        <f t="shared" si="23"/>
        <v>148058.14555948542</v>
      </c>
      <c r="HH56" s="2983">
        <f t="shared" si="221"/>
        <v>3</v>
      </c>
      <c r="HI56" s="3065">
        <f t="shared" si="222"/>
        <v>303165</v>
      </c>
      <c r="HJ56" s="3078">
        <f t="shared" si="223"/>
        <v>0</v>
      </c>
      <c r="HK56" s="3078">
        <f t="shared" si="224"/>
        <v>0</v>
      </c>
      <c r="HL56" s="3078" t="str">
        <f t="shared" si="225"/>
        <v/>
      </c>
      <c r="HM56" s="3091">
        <f t="shared" si="226"/>
        <v>303165</v>
      </c>
      <c r="HN56" s="3098">
        <f>+IF(FR56="","",HM56/IF(T56="",IF(T53="",1,T53),T56))</f>
        <v>16125.797872340425</v>
      </c>
      <c r="HO56" s="3114">
        <f t="shared" si="227"/>
        <v>386785</v>
      </c>
      <c r="HP56" s="3078">
        <f t="shared" si="228"/>
        <v>156014</v>
      </c>
      <c r="HQ56" s="3115">
        <f t="shared" si="229"/>
        <v>67677.119999999995</v>
      </c>
      <c r="HR56" s="3116">
        <f t="shared" si="230"/>
        <v>38678.5</v>
      </c>
      <c r="HS56" s="3116">
        <f t="shared" si="231"/>
        <v>106355.62</v>
      </c>
      <c r="HT56" s="1210" t="str">
        <f t="shared" si="232"/>
        <v/>
      </c>
      <c r="HU56" s="1211" t="str">
        <f t="shared" si="233"/>
        <v/>
      </c>
      <c r="HV56" s="3135">
        <f t="shared" si="234"/>
        <v>47615.981</v>
      </c>
      <c r="HW56" s="3121">
        <f t="shared" si="235"/>
        <v>47615.981</v>
      </c>
      <c r="HX56" s="3135">
        <f t="shared" si="199"/>
        <v>1047551.5820000001</v>
      </c>
      <c r="HY56" s="3078" t="str">
        <f>+IF(EZ56="","",EZ56/IF(R56="",IF(R53="",1,R53),R56))</f>
        <v/>
      </c>
      <c r="HZ56" s="3116">
        <f>+IF(FA56="","",FA56/IF(R56="",IF(R53="",1,R53),R56))</f>
        <v>144000</v>
      </c>
      <c r="IA56" s="3065">
        <f t="shared" si="236"/>
        <v>1191551.5819999999</v>
      </c>
      <c r="IB56" s="3105" t="str">
        <f t="shared" si="237"/>
        <v>same TCC</v>
      </c>
      <c r="IC56" s="3098">
        <f>+IF(IA56="","",IA56/IF(T56="",IF(T53="",1,T53),T56))</f>
        <v>63380.403297872333</v>
      </c>
      <c r="ID56" s="1210"/>
      <c r="IE56" s="1209"/>
      <c r="IF56" s="3135" t="str">
        <f t="shared" si="238"/>
        <v/>
      </c>
      <c r="IG56" s="6768"/>
      <c r="IH56" s="4168" t="str">
        <f t="shared" si="239"/>
        <v/>
      </c>
      <c r="II56" s="4169"/>
      <c r="IJ56" s="4169" t="str">
        <f t="shared" si="240"/>
        <v/>
      </c>
      <c r="IK56" s="4129">
        <v>1</v>
      </c>
      <c r="IL56" s="2441" t="str">
        <f t="shared" si="241"/>
        <v/>
      </c>
      <c r="IM56" s="1819">
        <f t="shared" si="242"/>
        <v>47662.063279999995</v>
      </c>
      <c r="IN56" s="4227">
        <f t="shared" si="243"/>
        <v>47662.063279999995</v>
      </c>
      <c r="IO56" s="4227">
        <f t="shared" si="244"/>
        <v>47662.063279999995</v>
      </c>
      <c r="IP56" s="4227" t="str">
        <f t="shared" si="245"/>
        <v/>
      </c>
      <c r="IQ56" s="6841" t="str">
        <f t="shared" si="246"/>
        <v/>
      </c>
      <c r="IR56" s="4227">
        <f t="shared" si="247"/>
        <v>47662.063279999995</v>
      </c>
      <c r="IS56" s="6841">
        <f t="shared" si="248"/>
        <v>0.2976347138718895</v>
      </c>
      <c r="IT56" s="4227">
        <f t="shared" si="249"/>
        <v>47662.063279999995</v>
      </c>
      <c r="IU56" s="6841">
        <f t="shared" si="250"/>
        <v>0.2976347138718895</v>
      </c>
      <c r="IV56" s="4129">
        <f t="shared" si="251"/>
        <v>1</v>
      </c>
      <c r="IW56" s="1819">
        <f t="shared" si="252"/>
        <v>112474.03999898484</v>
      </c>
      <c r="IX56" s="3098">
        <f t="shared" si="253"/>
        <v>160136.10327898484</v>
      </c>
      <c r="IY56" s="4246">
        <f t="shared" si="254"/>
        <v>148220.54746</v>
      </c>
      <c r="IZ56" s="4278">
        <f t="shared" si="255"/>
        <v>-8.039071520903987E-2</v>
      </c>
      <c r="JA56" s="4279">
        <f t="shared" si="256"/>
        <v>-8.039071520903987E-2</v>
      </c>
      <c r="JB56" s="1211"/>
      <c r="JC56" s="4324"/>
      <c r="JD56" s="2555">
        <f t="shared" si="257"/>
        <v>87654.471901768062</v>
      </c>
      <c r="JE56" s="4359">
        <f t="shared" si="258"/>
        <v>159960.64577353658</v>
      </c>
      <c r="JF56" s="7030">
        <f>+JF55</f>
        <v>18.8</v>
      </c>
      <c r="JG56" s="2441" t="s">
        <v>93</v>
      </c>
      <c r="JH56" s="6961">
        <f t="shared" si="259"/>
        <v>1047551.5820000001</v>
      </c>
      <c r="JI56" s="6961">
        <f>+JH56</f>
        <v>1047551.5820000001</v>
      </c>
      <c r="JJ56" s="6961"/>
      <c r="JK56" s="6961"/>
      <c r="JL56" s="6998"/>
      <c r="JM56" s="1818">
        <f t="shared" si="260"/>
        <v>955140</v>
      </c>
      <c r="JN56" s="2441">
        <f t="shared" si="261"/>
        <v>1652392.2</v>
      </c>
      <c r="JO56" s="2441">
        <f>+JN56</f>
        <v>1652392.2</v>
      </c>
      <c r="JP56" s="7075"/>
      <c r="JQ56" s="7075"/>
      <c r="JR56" s="2441"/>
      <c r="JS56" s="1819">
        <f t="shared" si="262"/>
        <v>1652392.2</v>
      </c>
      <c r="JT56" s="7136">
        <f t="shared" si="263"/>
        <v>1</v>
      </c>
      <c r="JU56" s="7137">
        <f t="shared" si="300"/>
        <v>19</v>
      </c>
      <c r="JV56" s="8368">
        <f t="shared" si="301"/>
        <v>4811</v>
      </c>
      <c r="JW56" s="8395">
        <f t="shared" si="149"/>
        <v>1.0010968792017547</v>
      </c>
      <c r="JX56" s="8424" t="str">
        <f t="shared" si="264"/>
        <v/>
      </c>
      <c r="JY56" s="8459" t="str">
        <f t="shared" si="265"/>
        <v/>
      </c>
      <c r="JZ56" s="7138" t="str">
        <f t="shared" si="266"/>
        <v/>
      </c>
      <c r="KA56" s="7136">
        <f t="shared" si="267"/>
        <v>13813.994889022884</v>
      </c>
      <c r="KB56" s="7137">
        <f t="shared" si="268"/>
        <v>9669.7964223160179</v>
      </c>
      <c r="KC56" s="7138">
        <f t="shared" si="201"/>
        <v>19.318930886464692</v>
      </c>
      <c r="KD56" s="7136">
        <f t="shared" si="269"/>
        <v>368.75200000000001</v>
      </c>
      <c r="KE56" s="8332" t="str">
        <f t="shared" si="270"/>
        <v/>
      </c>
      <c r="KF56" s="8332" t="str">
        <f t="shared" si="271"/>
        <v/>
      </c>
      <c r="KG56" s="7137">
        <f t="shared" si="272"/>
        <v>305.80460479623559</v>
      </c>
      <c r="KH56" s="7137" t="str">
        <f t="shared" si="273"/>
        <v/>
      </c>
      <c r="KI56" s="7137" t="str">
        <f t="shared" si="274"/>
        <v/>
      </c>
      <c r="KJ56" s="7137">
        <f t="shared" si="275"/>
        <v>674.55660479623566</v>
      </c>
      <c r="KK56" s="7137">
        <f>+IF(OR(D56="",JU56="",JV56=""),"",$KK$7*$KG$4*JU56)</f>
        <v>1993.2368000000001</v>
      </c>
      <c r="KL56" s="7137">
        <f t="shared" si="276"/>
        <v>117.73294424999999</v>
      </c>
      <c r="KM56" s="7137">
        <f t="shared" si="277"/>
        <v>2110.9697442500001</v>
      </c>
      <c r="KN56" s="7137" t="str">
        <f t="shared" si="278"/>
        <v/>
      </c>
      <c r="KO56" s="7137">
        <f t="shared" si="279"/>
        <v>2110.9697442500001</v>
      </c>
      <c r="KP56" s="7138">
        <f t="shared" si="280"/>
        <v>2785.5263490462357</v>
      </c>
      <c r="KQ56" s="1820">
        <f>+IF(D56="","",VLOOKUP(MATCH(BE56,ac_id,0),ad,ac!$F$8,FALSE)*JV56)</f>
        <v>33677</v>
      </c>
      <c r="KR56" s="7075">
        <f>+IF(D56="","",IF(JT56=1,VLOOKUP(MATCH(BE56,ac_id,0),ad,ac!$H$8,FALSE)*JU56, (VLOOKUP(MATCH(BE56,ac_id,0),ad,ac!$H$8,FALSE)*JU56^(1+VLOOKUP(MATCH(BE56,ac_id,0),ad,ac!$I$8,FALSE)))))</f>
        <v>4750</v>
      </c>
      <c r="KS56" s="1819">
        <f t="shared" si="281"/>
        <v>38427</v>
      </c>
      <c r="KT56" s="1820">
        <f t="shared" si="282"/>
        <v>1266.5818465499999</v>
      </c>
      <c r="KU56" s="2441">
        <f t="shared" si="283"/>
        <v>66095.687999999995</v>
      </c>
      <c r="KV56" s="7378">
        <f t="shared" si="284"/>
        <v>1</v>
      </c>
      <c r="KW56" s="7282">
        <f t="shared" si="285"/>
        <v>141792.62933339353</v>
      </c>
      <c r="KX56" s="1819">
        <f t="shared" si="286"/>
        <v>209154.89917994355</v>
      </c>
      <c r="KY56" s="1751">
        <f t="shared" si="287"/>
        <v>211940.42552898978</v>
      </c>
      <c r="KZ56" s="7379"/>
      <c r="LA56" s="7282">
        <f t="shared" si="288"/>
        <v>116010.85385482581</v>
      </c>
      <c r="LB56" s="7293">
        <f t="shared" si="289"/>
        <v>211708.20719967168</v>
      </c>
      <c r="LC56" s="5133"/>
      <c r="LD56" s="5132"/>
      <c r="LE56" s="5132"/>
      <c r="LF56" s="5132"/>
      <c r="LG56" s="5132"/>
      <c r="LH56" s="5132"/>
      <c r="LI56" s="5132"/>
      <c r="LJ56" s="5132"/>
    </row>
    <row r="57" spans="1:322" s="717" customFormat="1" ht="27.95" customHeight="1">
      <c r="A57" s="10539"/>
      <c r="B57" s="9819" t="str">
        <f>+IF(A57="","",VLOOKUP(MATCH(A57,tid,0),tao,'12(id)'!$J$20,FALSE))</f>
        <v/>
      </c>
      <c r="C57" s="10561"/>
      <c r="D57" s="1107" t="str">
        <f t="shared" si="48"/>
        <v>8304-01-05</v>
      </c>
      <c r="E57" s="721" t="str">
        <f t="shared" si="202"/>
        <v>Dual Fuel (Natural Gas with Liquid Backup)</v>
      </c>
      <c r="F57" s="721" t="str">
        <f t="shared" si="49"/>
        <v>Nat Gas</v>
      </c>
      <c r="G57" s="5133"/>
      <c r="H57" s="5132"/>
      <c r="I57" s="5133"/>
      <c r="J57" s="719">
        <f t="shared" si="68"/>
        <v>23</v>
      </c>
      <c r="K57" s="9663"/>
      <c r="L57" s="9648"/>
      <c r="M57" s="9650"/>
      <c r="N57" s="9648"/>
      <c r="O57" s="9648"/>
      <c r="P57" s="9648"/>
      <c r="Q57" s="9680"/>
      <c r="R57" s="9648"/>
      <c r="S57" s="9648"/>
      <c r="T57" s="10716"/>
      <c r="U57" s="10716"/>
      <c r="V57" s="9504"/>
      <c r="W57" s="9504"/>
      <c r="X57" s="9504"/>
      <c r="Y57" s="9504"/>
      <c r="Z57" s="9518"/>
      <c r="AA57" s="9518"/>
      <c r="AB57" s="9648"/>
      <c r="AC57" s="9648"/>
      <c r="AD57" s="10671"/>
      <c r="AE57" s="10766"/>
      <c r="AF57" s="10671" t="str">
        <f>+IF(ISERROR(MATCH(O57,tid,0)),"",IF(VLOOKUP(MATCH(O57,tid,0),tao,'12(id)'!$EL$20,FALSE)="","",VLOOKUP(MATCH(O57,tid,0),tao,'12(id)'!$EL$20,FALSE)))</f>
        <v/>
      </c>
      <c r="AG57" s="10691" t="str">
        <f>+IF(ISERROR(MATCH(O57,tid,0)),"",IF(VLOOKUP(MATCH(O57,tid,0),tao,'12(id)'!$EM$20,FALSE)="","",VLOOKUP(MATCH(O57,tid,0),tao,'12(id)'!$EM$20,FALSE)))</f>
        <v/>
      </c>
      <c r="AH57" s="10685"/>
      <c r="AI57" s="10682"/>
      <c r="AJ57" s="10688"/>
      <c r="AK57" s="10688"/>
      <c r="AL57" s="10688"/>
      <c r="AM57" s="10676"/>
      <c r="AN57" s="10679"/>
      <c r="AO57" s="10342" t="str">
        <f>+IF(ISERROR(MATCH(O57,tid,0)),"",IF(VLOOKUP(MATCH(O57,tid,0),tao,'12(id)'!$GY$20,FALSE)="","",VLOOKUP(MATCH(O57,tid,0),tao,'12(id)'!$GY$20,FALSE)))</f>
        <v/>
      </c>
      <c r="AP57" s="10292" t="e">
        <f>+IF($BB57="","",IF(VLOOKUP(MATCH(O57,tid,0),tao,'12(id)'!$HE$20,FALSE)="","",VLOOKUP(MATCH(O57,tid,0),tao,'12(id)'!$HE$20,FALSE)))</f>
        <v>#N/A</v>
      </c>
      <c r="AQ57" s="10342" t="str">
        <f>+IF(ISERROR(VLOOKUP(MATCH(O57,tid,0),tao,'12(id)'!$HF$20,FALSE)),"",VLOOKUP(MATCH(O57,tid,0),tao,'12(id)'!$HF$20,FALSE))</f>
        <v/>
      </c>
      <c r="AR57" s="10336" t="str">
        <f>+IF(ISERROR(MATCH(O57,tid,0)),"",IF(VLOOKUP(MATCH(O57,tid,0),tao,'12(id)'!$HJ$20,FALSE)="","",VLOOKUP(MATCH(O57,tid,0),tao,'12(id)'!$HJ$20,FALSE)))</f>
        <v/>
      </c>
      <c r="AS57" s="10339" t="str">
        <f>+IF(ISERROR(MATCH(O57,tid,0)),"",IF(VLOOKUP(MATCH(O57,tid,0),tao,'12(id)'!$HK$20,FALSE)="","",VLOOKUP(MATCH(O57,tid,0),tao,'12(id)'!$HK$20,FALSE)))</f>
        <v/>
      </c>
      <c r="AT57" s="10694" t="str">
        <f>+IF(ISERROR(MATCH(O57,tid,0)),"",IF(VLOOKUP(MATCH(O57,tid,0),tao,'12(id)'!$HM$20,FALSE)="","",VLOOKUP(MATCH(O57,tid,0),tao,'12(id)'!$HM$20,FALSE)))</f>
        <v/>
      </c>
      <c r="AU57" s="10359"/>
      <c r="AV57" s="10325"/>
      <c r="AW57" s="10392"/>
      <c r="AX57" s="10330"/>
      <c r="AY57" s="10325"/>
      <c r="AZ57" s="10400"/>
      <c r="BA57" s="720"/>
      <c r="BB57" s="721" t="str">
        <f t="shared" si="11"/>
        <v>8304-01-05</v>
      </c>
      <c r="BC57" s="722">
        <f t="shared" si="290"/>
        <v>5</v>
      </c>
      <c r="BD57" s="721" t="str">
        <f>+IF(OR(D57="",VLOOKUP(MATCH(D57,op_id,0),op,'7(op)'!$T$18,FALSE)=""),"",VLOOKUP(MATCH(D57,op_id,0),op,'7(op)'!$T$18,FALSE))</f>
        <v>Dual Fuel (Natural Gas with Liquid Backup)</v>
      </c>
      <c r="BE57" s="721" t="s">
        <v>499</v>
      </c>
      <c r="BF57" s="721" t="s">
        <v>1863</v>
      </c>
      <c r="BG57" s="723" t="s">
        <v>1613</v>
      </c>
      <c r="BH57" s="677"/>
      <c r="BI57" s="678"/>
      <c r="BJ57" s="669"/>
      <c r="BK57" s="669"/>
      <c r="BL57" s="669"/>
      <c r="BM57" s="669"/>
      <c r="BN57" s="669"/>
      <c r="BO57" s="669"/>
      <c r="BP57" s="669"/>
      <c r="BQ57" s="669"/>
      <c r="BR57" s="671"/>
      <c r="BS57" s="672"/>
      <c r="BT57" s="673"/>
      <c r="BU57" s="3721">
        <f>+IF(BB57="","",IF(VLOOKUP(MATCH(BB57,ef_id,0),ef,'11(eff)'!$Z$23,FALSE)="","",VLOOKUP(MATCH(BB57,ef_id,0),ef,'11(eff)'!$Z$23,FALSE)))</f>
        <v>0.352204373363527</v>
      </c>
      <c r="BV57" s="3742">
        <f>+IF(BB57="","",IF(VLOOKUP(MATCH(BB57,ef_id,0),ef,'11(eff)'!$AA$23,FALSE)="","",VLOOKUP(MATCH(BB57,ef_id,0),ef,'11(eff)'!$AA$23,FALSE)))</f>
        <v>90</v>
      </c>
      <c r="BW57" s="3766">
        <f>+'A3(trc)'!I73</f>
        <v>1.7434116481494586</v>
      </c>
      <c r="BX57" s="3788">
        <f>+IF(OR(BB57="",BW57=""),"",BW57/IF(R53="",IF(R52="",R51,R52),R53))</f>
        <v>1.7434116481494586</v>
      </c>
      <c r="BY57" s="3810">
        <f>+IF($BB57="","",IF(BU57="","",BU57/2000*IF(AQ53="",IF(AQ52="",AQ51,AQ52),AQ53)))</f>
        <v>1.7434116481494586</v>
      </c>
      <c r="BZ57" s="1055"/>
      <c r="CA57" s="3408"/>
      <c r="CB57" s="3842">
        <f t="shared" si="291"/>
        <v>0.99393835185054158</v>
      </c>
      <c r="CC57" s="3861">
        <f>+IF($BB57="","",IF(CB57="",IF(CD57="",IF(CD57="",IF(CE57="","",CE57)),CD57),CB57/$AT$53))</f>
        <v>0.36310239898096391</v>
      </c>
      <c r="CD57" s="3861">
        <f>+IF($BB57="","",IF(BU57="","",(1-BU57/$AR$53)))</f>
        <v>0.36310239898096386</v>
      </c>
      <c r="CE57" s="2731">
        <f>+IF(BB57="","",IF(VLOOKUP(MATCH(BB57,ef_id,0),ef,'11(eff)'!$AE$23,FALSE)="","",VLOOKUP(MATCH(BB57,ef_id,0),ef,'11(eff)'!$AE$23,FALSE)))</f>
        <v>0.36310239898096386</v>
      </c>
      <c r="CF57" s="672"/>
      <c r="CG57" s="673"/>
      <c r="CH57" s="2397"/>
      <c r="CI57" s="3842">
        <f t="shared" si="292"/>
        <v>0.39715086324196813</v>
      </c>
      <c r="CJ57" s="4053">
        <f t="shared" si="293"/>
        <v>100.90415913200722</v>
      </c>
      <c r="CK57" s="3842">
        <f t="shared" si="294"/>
        <v>0.95534640152855432</v>
      </c>
      <c r="CL57" s="3918">
        <f t="shared" si="295"/>
        <v>0.54465359847144568</v>
      </c>
      <c r="CM57" s="3938">
        <f t="shared" si="296"/>
        <v>0.3631023989809638</v>
      </c>
      <c r="CN57" s="3938">
        <f t="shared" si="297"/>
        <v>0.35943409154521266</v>
      </c>
      <c r="CO57" s="3939">
        <f>+IF(BB57="","",IF(VLOOKUP(MATCH(BB57,ef_id,0),ef,'11(eff)'!$AE$23,FALSE)="","",VLOOKUP(MATCH(BB57,ef_id,0),ef,'11(eff)'!$AE$23,FALSE)))</f>
        <v>0.36310239898096386</v>
      </c>
      <c r="CP57" s="3940" t="str">
        <f>+IF(OR(BB57="",VLOOKUP(MATCH(BB57,ef_id,0),ef,'11(eff)'!$AG$23,FALSE)=""),"",IF(VLOOKUP(MATCH(BB57,ef_id,0),ef,'11(eff)'!$AG$23,FALSE)/100=VLOOKUP(MATCH(BB57,ef_id,0),ef,'11(eff)'!$AE$23,FALSE),VLOOKUP(MATCH(BB57,ef_id,0),ef,'11(eff)'!$AE$23,FALSE),""))</f>
        <v/>
      </c>
      <c r="CQ57" s="720" t="str">
        <f t="shared" si="51"/>
        <v>Dual Fuel (Natural Gas with Liquid Backup)</v>
      </c>
      <c r="CR57" s="674"/>
      <c r="CS57" s="2752">
        <v>2908939</v>
      </c>
      <c r="CT57" s="1580">
        <v>1479661</v>
      </c>
      <c r="CU57" s="1488">
        <v>1479661</v>
      </c>
      <c r="CV57" s="1803">
        <f t="shared" si="203"/>
        <v>0</v>
      </c>
      <c r="CW57" s="1804"/>
      <c r="CX57" s="1804"/>
      <c r="CY57" s="1805"/>
      <c r="CZ57" s="2465"/>
      <c r="DA57" s="2069"/>
      <c r="DB57" s="2069"/>
      <c r="DC57" s="1803"/>
      <c r="DD57" s="1807"/>
      <c r="DE57" s="1808"/>
      <c r="DF57" s="1809"/>
      <c r="DG57" s="1809"/>
      <c r="DH57" s="1807"/>
      <c r="DI57" s="1684">
        <f t="shared" si="204"/>
        <v>1479661</v>
      </c>
      <c r="DJ57" s="1930"/>
      <c r="DK57" s="1580"/>
      <c r="DL57" s="1488"/>
      <c r="DM57" s="1803"/>
      <c r="DN57" s="1804"/>
      <c r="DO57" s="1804"/>
      <c r="DP57" s="1805"/>
      <c r="DQ57" s="2465"/>
      <c r="DR57" s="2069"/>
      <c r="DS57" s="2069"/>
      <c r="DT57" s="1803"/>
      <c r="DU57" s="1807"/>
      <c r="DV57" s="1808"/>
      <c r="DW57" s="1809"/>
      <c r="DX57" s="1809"/>
      <c r="DY57" s="1807"/>
      <c r="DZ57" s="1684" t="str">
        <f t="shared" si="18"/>
        <v/>
      </c>
      <c r="EA57" s="1930"/>
      <c r="EB57" s="1488">
        <f t="shared" si="19"/>
        <v>1479661</v>
      </c>
      <c r="EC57" s="1954">
        <v>1</v>
      </c>
      <c r="ED57" s="1518">
        <f>+IF(EB57&gt;0,IF(ISERROR(EB57*EC57),"",EB57*EC57),"")</f>
        <v>1479661</v>
      </c>
      <c r="EE57" s="1806"/>
      <c r="EF57" s="2069">
        <v>447202</v>
      </c>
      <c r="EG57" s="1975"/>
      <c r="EH57" s="1684">
        <f t="shared" si="205"/>
        <v>447202</v>
      </c>
      <c r="EI57" s="1808"/>
      <c r="EJ57" s="1809"/>
      <c r="EK57" s="1999"/>
      <c r="EL57" s="1448"/>
      <c r="EM57" s="1808"/>
      <c r="EN57" s="1809">
        <v>154149</v>
      </c>
      <c r="EO57" s="1999">
        <f>80414+124556</f>
        <v>204970</v>
      </c>
      <c r="EP57" s="1684">
        <f t="shared" si="21"/>
        <v>359119</v>
      </c>
      <c r="EQ57" s="2662">
        <f>+IF(BB57="","",(ED57+EH57+EP57)*0.08)</f>
        <v>182878.56</v>
      </c>
      <c r="ER57" s="2662">
        <f>+IF(BB57="","",0.1*EF57)</f>
        <v>44720.200000000004</v>
      </c>
      <c r="ES57" s="1684"/>
      <c r="ET57" s="1448">
        <f t="shared" si="206"/>
        <v>227598.76</v>
      </c>
      <c r="EU57" s="1421"/>
      <c r="EV57" s="1383"/>
      <c r="EW57" s="2572">
        <f t="shared" si="207"/>
        <v>125679.03799999999</v>
      </c>
      <c r="EX57" s="2572">
        <f t="shared" si="208"/>
        <v>125679.03799999999</v>
      </c>
      <c r="EY57" s="2679">
        <f t="shared" si="92"/>
        <v>2764938.8360000001</v>
      </c>
      <c r="EZ57" s="2708"/>
      <c r="FA57" s="1383">
        <f>+FA56</f>
        <v>144000</v>
      </c>
      <c r="FB57" s="1470">
        <f t="shared" si="209"/>
        <v>2908938.8360000001</v>
      </c>
      <c r="FC57" s="2595">
        <f>+IF(OR(ED57="",IF(R57="",R53,R57)=""),"",ED57/IF(R57="",R53,R57))</f>
        <v>1479661</v>
      </c>
      <c r="FD57" s="2049">
        <f>+IF(OR(BB57="",IF(R57="",R53,R57)="",(CU57+DL57)=0),"",(CU57+DL57)/IF(R57="",R53,R57))</f>
        <v>1479661</v>
      </c>
      <c r="FE57" s="2033">
        <f t="shared" si="210"/>
        <v>1</v>
      </c>
      <c r="FF57" s="2049">
        <f>+IF(OR(BB57="",CT57="",IF(R57="",R53,R57)=""),"",(SUM(CV57:CZ57)+(IF(DM57="",0,DM57)+SUM(DN57:DQ57)))/IF(R57="",R53,R57))</f>
        <v>0</v>
      </c>
      <c r="FG57" s="2033">
        <f t="shared" si="211"/>
        <v>0</v>
      </c>
      <c r="FH57" s="2049">
        <f>+IF(OR(BB57="",IF(R57="",R53,R57)="",),"",(DA57+DR57)/IF(R57="",R53,R57))</f>
        <v>0</v>
      </c>
      <c r="FI57" s="2033">
        <f t="shared" si="212"/>
        <v>0</v>
      </c>
      <c r="FJ57" s="1507">
        <f t="shared" si="213"/>
        <v>1479661</v>
      </c>
      <c r="FK57" s="2033">
        <f t="shared" si="214"/>
        <v>1</v>
      </c>
      <c r="FL57" s="2629">
        <f>+IF(OR(BB57="",CT57="",IF(R57="",R53,R57)=""),"",(DB57+DC57+DS57+DT57)/IF(R57="",R53,R57))</f>
        <v>0</v>
      </c>
      <c r="FM57" s="2033">
        <f t="shared" si="215"/>
        <v>0</v>
      </c>
      <c r="FN57" s="2049">
        <f>+IF(OR(BB57="",CT57="",IF(R57="",R53,R57)=""),"",(DD57+DU57)/IF(R57="",R53,R57))</f>
        <v>0</v>
      </c>
      <c r="FO57" s="2033">
        <f t="shared" si="302"/>
        <v>0</v>
      </c>
      <c r="FP57" s="2049">
        <f>+IF(OR(BB57="",CT57="",IF(R57="",R53,R57)=""),"",(DG57+DH57+DX57+DY57)/IF(R57="",R53,R57))</f>
        <v>0</v>
      </c>
      <c r="FQ57" s="2033">
        <f t="shared" si="303"/>
        <v>0</v>
      </c>
      <c r="FR57" s="3049">
        <f>+IF(OR(BB57="",IF(R57="",R53,R57)="",(IF(DI57="",0,DI57)+IF(DZ57="",0,DZ57))=0),"",(IF(DI57="",0,DI57)+IF(DZ57="",0,DZ57))/IF(R57="",R53,R57))</f>
        <v>1479661</v>
      </c>
      <c r="FS57" s="2868" t="str">
        <f>+IF(OR(DJ57="",IF(R57="",R53,R57)=""),"",(DJ57+EA57)/IF(R57="",R53,R57))</f>
        <v/>
      </c>
      <c r="FT57" s="2061" t="str">
        <f t="shared" si="304"/>
        <v/>
      </c>
      <c r="FU57" s="2881">
        <f>+IF(OR(BB57="",ISERROR(1-(FR57+IF(FS57="",0,FS57)+FN57+FP57)*IF(R57="",R53,R57)/(CT57+DK57))),"",1-(FR57+IF(FS57="",0,FS57)+FN57+FP57)*IF(R57="",R53,R57)/(CT57+DK57))</f>
        <v>0</v>
      </c>
      <c r="FV57" s="1715">
        <f>+IF(FC57="","",FC57/IF(T57="",IF(T53="",1,T53),T57))</f>
        <v>78705.372340425529</v>
      </c>
      <c r="FW57" s="2629">
        <f>+IF(OR(EH57="",IF(R57="",R53,R57)=""),"",EH57/IF(R57="",R53,R57))</f>
        <v>447202</v>
      </c>
      <c r="FX57" s="2667">
        <f t="shared" si="216"/>
        <v>0.30223274114814136</v>
      </c>
      <c r="FY57" s="2049">
        <f>+IF(OR(EP57="",IF(R57="",R53,R57)=""),"",EP57/IF(R57="",R53,R57))</f>
        <v>359119</v>
      </c>
      <c r="FZ57" s="2667">
        <f t="shared" si="217"/>
        <v>0.24270356520851735</v>
      </c>
      <c r="GA57" s="2630" t="str">
        <f>+IF(IF(V57="",V53,V57)="Utility Boiler",IF(ISERR(FY57/(FC57+FW57)),"",FY57/(FC57+FW57)),"")</f>
        <v/>
      </c>
      <c r="GB57" s="2049">
        <f>+IF(OR(ET57="",IF(R57="",R53,R57)=""),"",ET57/IF(R57="",R53,R57))</f>
        <v>227598.76</v>
      </c>
      <c r="GC57" s="2630">
        <f t="shared" si="218"/>
        <v>0.15381817862334685</v>
      </c>
      <c r="GD57" s="2630" t="str">
        <f>+IF(IF(V57="",V53,V57)="Utility Boiler",IF(ISERR(GB57/($FC57)),"",GB57/(FC57+FW57+FY57)),"")</f>
        <v/>
      </c>
      <c r="GE57" s="2631">
        <f>+IF(OR(FB57="",IF(R57="",R53,R57)=""),"",FB57/IF(R57="",R53,R57))</f>
        <v>2908938.8360000001</v>
      </c>
      <c r="GF57" s="2632">
        <f t="shared" si="298"/>
        <v>2908938.8360000001</v>
      </c>
      <c r="GG57" s="2633">
        <f>+IF(OR(CS57="",IF(R57="",R53,R57)=""),"",1-(CS57/IF(R57="",R53,R57))/GF57)</f>
        <v>-5.6377947199592882E-8</v>
      </c>
      <c r="GH57" s="2505">
        <f>+IF(IF(T57="",T53,T57)="","",IF(GF57="","",GF57/IF(T57="",T53,T57)))</f>
        <v>154730.78914893616</v>
      </c>
      <c r="GI57" s="1610">
        <v>361851.16508000001</v>
      </c>
      <c r="GJ57" s="1507">
        <v>364103</v>
      </c>
      <c r="GK57" s="3440">
        <f>+IF(OR(BB57="",GJ57=""),"",IF(CB57="",1,CB57*IF(R57="",IF(R56="",$R$53,R56),R57)))</f>
        <v>0.99393835185054158</v>
      </c>
      <c r="GL57" s="3215">
        <f t="shared" si="219"/>
        <v>1.2371137506201008E-4</v>
      </c>
      <c r="GM57" s="1225"/>
      <c r="GN57" s="1224"/>
      <c r="GO57" s="2283"/>
      <c r="GP57" s="2284"/>
      <c r="GQ57" s="2218"/>
      <c r="GR57" s="2218"/>
      <c r="GS57" s="2213">
        <f t="shared" si="299"/>
        <v>87268.165080000006</v>
      </c>
      <c r="GT57" s="2213">
        <v>274583</v>
      </c>
      <c r="GU57" s="2335">
        <f t="shared" si="187"/>
        <v>361851.16508000001</v>
      </c>
      <c r="GV57" s="1222" t="str">
        <f>+IF(OR(GO57="",IF(R57="",R53,R57)=""),"",GO57/IF(R57="",R53,R57))</f>
        <v/>
      </c>
      <c r="GW57" s="2248" t="str">
        <f>+IF(OR(GP57="",IF(R57="",R53,R57)=""),"",GP57/IF(R57="",R53,R57))</f>
        <v/>
      </c>
      <c r="GX57" s="2218" t="str">
        <f>+IF(OR(GQ57="",IF(R57="",R53,R57)=""),"",GQ57/IF(R57="",R53,R57))</f>
        <v/>
      </c>
      <c r="GY57" s="2218" t="str">
        <f>+IF(OR(GR57="",IF(R57="",R53,R57)=""),"",GR57/IF(R57="",R53,R57))</f>
        <v/>
      </c>
      <c r="GZ57" s="2218">
        <f>+IF(OR(GS57="",IF(R57="",R53,R57)=""),"",GS57/IF(R57="",R53,R57))</f>
        <v>87268.165080000006</v>
      </c>
      <c r="HA57" s="2218">
        <f>+IF(OR(GT57="",IF(R57="",R53,R57)=""),"",GT57/IF(R57="",R53,R57))</f>
        <v>274583</v>
      </c>
      <c r="HB57" s="1333">
        <f t="shared" si="22"/>
        <v>361851.16508000001</v>
      </c>
      <c r="HC57" s="1223">
        <f>+IF(OR(GU57="",IF(R57="",R53,R57)=""),"",GU57/IF(R57="",R53,R57))</f>
        <v>361851.16508000001</v>
      </c>
      <c r="HD57" s="2349">
        <f t="shared" si="220"/>
        <v>0</v>
      </c>
      <c r="HE57" s="1225"/>
      <c r="HF57" s="1518">
        <f t="shared" si="107"/>
        <v>364103</v>
      </c>
      <c r="HG57" s="1224"/>
      <c r="HH57" s="2981">
        <f t="shared" si="221"/>
        <v>3</v>
      </c>
      <c r="HI57" s="2927">
        <f t="shared" si="222"/>
        <v>1479661</v>
      </c>
      <c r="HJ57" s="2931">
        <f t="shared" si="223"/>
        <v>0</v>
      </c>
      <c r="HK57" s="2931">
        <f t="shared" si="224"/>
        <v>0</v>
      </c>
      <c r="HL57" s="2931" t="str">
        <f t="shared" si="225"/>
        <v/>
      </c>
      <c r="HM57" s="2934">
        <f t="shared" si="226"/>
        <v>1479661</v>
      </c>
      <c r="HN57" s="2911">
        <f>+IF(FR57="","",HM57/IF(T57="",IF(T53="",1,T53),T57))</f>
        <v>78705.372340425529</v>
      </c>
      <c r="HO57" s="2955">
        <f t="shared" si="227"/>
        <v>447202</v>
      </c>
      <c r="HP57" s="2931">
        <f t="shared" si="228"/>
        <v>359119</v>
      </c>
      <c r="HQ57" s="3110">
        <f t="shared" si="229"/>
        <v>182878.56</v>
      </c>
      <c r="HR57" s="2956">
        <f t="shared" si="230"/>
        <v>44720.200000000004</v>
      </c>
      <c r="HS57" s="2956">
        <f t="shared" si="231"/>
        <v>227598.76</v>
      </c>
      <c r="HT57" s="1204" t="str">
        <f t="shared" si="232"/>
        <v/>
      </c>
      <c r="HU57" s="1205" t="str">
        <f t="shared" si="233"/>
        <v/>
      </c>
      <c r="HV57" s="2909">
        <f t="shared" si="234"/>
        <v>125679.038</v>
      </c>
      <c r="HW57" s="2910">
        <f t="shared" si="235"/>
        <v>125679.038</v>
      </c>
      <c r="HX57" s="2909">
        <f t="shared" si="199"/>
        <v>2764938.8360000001</v>
      </c>
      <c r="HY57" s="2931" t="str">
        <f>+IF(EZ57="","",EZ57/IF(R57="",IF(R53="",1,R53),R57))</f>
        <v/>
      </c>
      <c r="HZ57" s="2956">
        <f>+IF(FA57="","",FA57/IF(R57="",IF(R53="",1,R53),R57))</f>
        <v>144000</v>
      </c>
      <c r="IA57" s="2927">
        <f t="shared" si="236"/>
        <v>2908938.8360000001</v>
      </c>
      <c r="IB57" s="3040" t="str">
        <f t="shared" si="237"/>
        <v>same TCC</v>
      </c>
      <c r="IC57" s="2911">
        <f>+IF(IA57="","",IA57/IF(T57="",IF(T53="",1,T53),T57))</f>
        <v>154730.78914893616</v>
      </c>
      <c r="ID57" s="1204"/>
      <c r="IE57" s="4097"/>
      <c r="IF57" s="2909" t="str">
        <f t="shared" si="238"/>
        <v/>
      </c>
      <c r="IG57" s="6766"/>
      <c r="IH57" s="4164" t="str">
        <f t="shared" si="239"/>
        <v/>
      </c>
      <c r="II57" s="4165"/>
      <c r="IJ57" s="4165" t="str">
        <f t="shared" si="240"/>
        <v/>
      </c>
      <c r="IK57" s="4127">
        <v>1</v>
      </c>
      <c r="IL57" s="2069" t="str">
        <f t="shared" si="241"/>
        <v/>
      </c>
      <c r="IM57" s="1805">
        <f t="shared" si="242"/>
        <v>116357.55344</v>
      </c>
      <c r="IN57" s="4225">
        <f t="shared" si="243"/>
        <v>116357.55344</v>
      </c>
      <c r="IO57" s="4225">
        <f t="shared" si="244"/>
        <v>116357.55344</v>
      </c>
      <c r="IP57" s="4225" t="str">
        <f>+IF(BB57="","",IF(IJ57="","",IJ57/$R$53))</f>
        <v/>
      </c>
      <c r="IQ57" s="6839" t="str">
        <f t="shared" si="246"/>
        <v/>
      </c>
      <c r="IR57" s="4225">
        <f>+IF(BB57="","",IF(IN57="","",IN57/$R$53))</f>
        <v>116357.55344</v>
      </c>
      <c r="IS57" s="6839">
        <f t="shared" si="248"/>
        <v>0.2976347138718895</v>
      </c>
      <c r="IT57" s="4225">
        <f t="shared" si="249"/>
        <v>116357.55344</v>
      </c>
      <c r="IU57" s="6839">
        <f t="shared" si="250"/>
        <v>0.2976347138718895</v>
      </c>
      <c r="IV57" s="4127">
        <f t="shared" si="251"/>
        <v>1</v>
      </c>
      <c r="IW57" s="1805">
        <f t="shared" si="252"/>
        <v>274583.24753822066</v>
      </c>
      <c r="IX57" s="2911">
        <f t="shared" si="253"/>
        <v>390940.80097822065</v>
      </c>
      <c r="IY57" s="4244">
        <f t="shared" si="254"/>
        <v>361851.16508000001</v>
      </c>
      <c r="IZ57" s="4274">
        <f t="shared" si="255"/>
        <v>-8.0391162736174554E-2</v>
      </c>
      <c r="JA57" s="4275">
        <f t="shared" si="256"/>
        <v>-8.0391162736174554E-2</v>
      </c>
      <c r="JB57" s="1205"/>
      <c r="JC57" s="4322"/>
      <c r="JD57" s="1518">
        <f t="shared" si="257"/>
        <v>393324.99872890144</v>
      </c>
      <c r="JE57" s="4357">
        <f t="shared" si="258"/>
        <v>717778.79018037254</v>
      </c>
      <c r="JF57" s="7028">
        <f>+JF56</f>
        <v>18.8</v>
      </c>
      <c r="JG57" s="2069" t="s">
        <v>499</v>
      </c>
      <c r="JH57" s="6959">
        <f t="shared" si="259"/>
        <v>2764938.8360000001</v>
      </c>
      <c r="JI57" s="6959">
        <f>+JH57</f>
        <v>2764938.8360000001</v>
      </c>
      <c r="JJ57" s="6959"/>
      <c r="JK57" s="6959"/>
      <c r="JL57" s="6996"/>
      <c r="JM57" s="1804" t="str">
        <f t="shared" si="260"/>
        <v>N/A</v>
      </c>
      <c r="JN57" s="2069" t="str">
        <f t="shared" si="261"/>
        <v/>
      </c>
      <c r="JO57" s="2069">
        <f>+JI57</f>
        <v>2764938.8360000001</v>
      </c>
      <c r="JP57" s="3010"/>
      <c r="JQ57" s="3010"/>
      <c r="JR57" s="2069"/>
      <c r="JS57" s="1805">
        <f t="shared" si="262"/>
        <v>2764938.8360000001</v>
      </c>
      <c r="JT57" s="7130">
        <f t="shared" si="263"/>
        <v>1</v>
      </c>
      <c r="JU57" s="7131">
        <f t="shared" si="300"/>
        <v>19</v>
      </c>
      <c r="JV57" s="8366">
        <f t="shared" si="301"/>
        <v>4811</v>
      </c>
      <c r="JW57" s="8393">
        <f t="shared" si="149"/>
        <v>0.54465359847144568</v>
      </c>
      <c r="JX57" s="8422" t="str">
        <f t="shared" si="264"/>
        <v/>
      </c>
      <c r="JY57" s="8457" t="str">
        <f t="shared" si="265"/>
        <v/>
      </c>
      <c r="JZ57" s="7132" t="str">
        <f t="shared" si="266"/>
        <v/>
      </c>
      <c r="KA57" s="7130">
        <f t="shared" si="267"/>
        <v>13813.994889022884</v>
      </c>
      <c r="KB57" s="7131">
        <f t="shared" si="268"/>
        <v>9669.7964223160179</v>
      </c>
      <c r="KC57" s="7132">
        <f t="shared" si="201"/>
        <v>19.318930886464692</v>
      </c>
      <c r="KD57" s="7130">
        <f t="shared" si="269"/>
        <v>368.75200000000001</v>
      </c>
      <c r="KE57" s="8330" t="str">
        <f t="shared" si="270"/>
        <v/>
      </c>
      <c r="KF57" s="8330" t="str">
        <f t="shared" si="271"/>
        <v/>
      </c>
      <c r="KG57" s="7131">
        <f t="shared" si="272"/>
        <v>305.80460479623559</v>
      </c>
      <c r="KH57" s="7131" t="str">
        <f t="shared" si="273"/>
        <v/>
      </c>
      <c r="KI57" s="7131" t="str">
        <f t="shared" si="274"/>
        <v/>
      </c>
      <c r="KJ57" s="7131">
        <f t="shared" si="275"/>
        <v>674.55660479623566</v>
      </c>
      <c r="KK57" s="7131">
        <f>+IF(OR(D57="",JU57="",JV57=""),"",$KK$7*$KG$4*JU57)</f>
        <v>1993.2368000000001</v>
      </c>
      <c r="KL57" s="7131">
        <f t="shared" si="276"/>
        <v>197.00189206500002</v>
      </c>
      <c r="KM57" s="7131">
        <f t="shared" si="277"/>
        <v>2190.2386920650001</v>
      </c>
      <c r="KN57" s="7131" t="str">
        <f t="shared" si="278"/>
        <v/>
      </c>
      <c r="KO57" s="7131">
        <f t="shared" si="279"/>
        <v>2190.2386920650001</v>
      </c>
      <c r="KP57" s="7132">
        <f t="shared" si="280"/>
        <v>2864.7952968612358</v>
      </c>
      <c r="KQ57" s="1806">
        <f>+IF(D57="","",VLOOKUP(MATCH(BE57,ac_id,0),ad,ac!$F$8,FALSE)*JV57)</f>
        <v>33677</v>
      </c>
      <c r="KR57" s="3010">
        <f>+IF(D57="","",IF(JT57=1,VLOOKUP(MATCH(BE57,ac_id,0),ad,ac!$H$8,FALSE)*JU57, (VLOOKUP(MATCH(BE57,ac_id,0),ad,ac!$H$8,FALSE)*JU57^(1+VLOOKUP(MATCH(BE57,ac_id,0),ad,ac!$I$8,FALSE)))))</f>
        <v>4750</v>
      </c>
      <c r="KS57" s="1805">
        <f t="shared" si="281"/>
        <v>38427</v>
      </c>
      <c r="KT57" s="1806">
        <f t="shared" si="282"/>
        <v>1314.143215239</v>
      </c>
      <c r="KU57" s="2069">
        <f t="shared" si="283"/>
        <v>110597.55344</v>
      </c>
      <c r="KV57" s="7374">
        <f t="shared" si="284"/>
        <v>1</v>
      </c>
      <c r="KW57" s="7280">
        <f t="shared" si="285"/>
        <v>237260.83160066514</v>
      </c>
      <c r="KX57" s="1805">
        <f t="shared" si="286"/>
        <v>349172.52825590415</v>
      </c>
      <c r="KY57" s="2505">
        <f t="shared" si="287"/>
        <v>352037.32355276536</v>
      </c>
      <c r="KZ57" s="7375"/>
      <c r="LA57" s="7280">
        <f t="shared" si="288"/>
        <v>354184.26394084969</v>
      </c>
      <c r="LB57" s="7291">
        <f t="shared" si="289"/>
        <v>646350.86326565687</v>
      </c>
      <c r="LC57" s="5133"/>
      <c r="LD57" s="5132"/>
      <c r="LE57" s="5132"/>
      <c r="LF57" s="5132"/>
      <c r="LG57" s="5132"/>
      <c r="LH57" s="5132"/>
      <c r="LI57" s="5132"/>
      <c r="LJ57" s="5132"/>
    </row>
    <row r="58" spans="1:322" s="645" customFormat="1" ht="27.95" customHeight="1">
      <c r="A58" s="10539"/>
      <c r="B58" s="9819" t="str">
        <f>+IF(A58="","",VLOOKUP(MATCH(A58,tid,0),tao,'12(id)'!$J$20,FALSE))</f>
        <v/>
      </c>
      <c r="C58" s="10561"/>
      <c r="D58" s="1116" t="str">
        <f t="shared" si="48"/>
        <v>8304-01-06</v>
      </c>
      <c r="E58" s="925" t="str">
        <f t="shared" si="202"/>
        <v>Solar Titan 130 - new dual fuel w/ SoLoNOx</v>
      </c>
      <c r="F58" s="925" t="str">
        <f t="shared" si="49"/>
        <v>New Eqp</v>
      </c>
      <c r="G58" s="5133"/>
      <c r="H58" s="5132"/>
      <c r="I58" s="5133"/>
      <c r="J58" s="719">
        <f t="shared" si="68"/>
        <v>24</v>
      </c>
      <c r="K58" s="9663"/>
      <c r="L58" s="9648"/>
      <c r="M58" s="9650"/>
      <c r="N58" s="9648"/>
      <c r="O58" s="9648"/>
      <c r="P58" s="9648"/>
      <c r="Q58" s="9680" t="str">
        <f>+IF(ISERROR(MATCH(O58,tid,0)),"",VLOOKUP(MATCH(O58,tid,0),tao,'12(id)'!$Q$20,FALSE))</f>
        <v/>
      </c>
      <c r="R58" s="9648"/>
      <c r="S58" s="9648"/>
      <c r="T58" s="10716" t="str">
        <f>+IF(ISERROR(MATCH(O58,tid,0)),"",IF(VLOOKUP(MATCH(O58,tid,0),tao,'12(id)'!$CT$20,FALSE)="","",VLOOKUP(MATCH(O58,tid,0),tao,'12(id)'!$CT$20,FALSE)))</f>
        <v/>
      </c>
      <c r="U58" s="10716" t="str">
        <f>+IF(ISERROR(MATCH(O58,tid,0)),"",IF(VLOOKUP(MATCH(O58,tid,0),tao,'12(id)'!$CU$20,FALSE)="","",VLOOKUP(MATCH(O58,tid,0),tao,'12(id)'!$CU$20,FALSE)))</f>
        <v/>
      </c>
      <c r="V58" s="9504" t="str">
        <f>+IF(O58="","",IF(VLOOKUP(MATCH(O58,tid,0),tao,'12(id)'!$T$20,FALSE)="","",VLOOKUP(MATCH(O58,tid,0),tao,'12(id)'!$T$20,FALSE)))</f>
        <v/>
      </c>
      <c r="W58" s="9504" t="str">
        <f>+IF(ISERROR(MATCH(O58,tid,0)),"",IF(VLOOKUP(MATCH(O58,tid,0),tao,'12(id)'!$CO$20,FALSE)="","",VLOOKUP(MATCH(O58,tid,0),tao,'12(id)'!$CO$20,FALSE)))</f>
        <v/>
      </c>
      <c r="X58" s="9504" t="str">
        <f>+IF(ISERROR(MATCH(O58,tid,0)),"",IF(VLOOKUP(MATCH(O58,tid,0),tao,'12(id)'!$CP$20,FALSE)="","",VLOOKUP(MATCH(O58,tid,0),tao,'12(id)'!$CP$20,FALSE)))</f>
        <v/>
      </c>
      <c r="Y58" s="9504"/>
      <c r="Z58" s="9518" t="str">
        <f>+IF(ISERROR(MATCH(O58,tid,0)),"",VLOOKUP(MATCH(O58,tid,0),tao,'12(id)'!$DB$20,FALSE)&amp;" "&amp;VLOOKUP(MATCH(O58,tid,0),tao,'12(id)'!$DC$20,FALSE))</f>
        <v/>
      </c>
      <c r="AA58" s="9518" t="str">
        <f>+IF(ISERROR(MATCH(O58,tid,0)),"",IF(VLOOKUP(MATCH(O58,tid,0),tao,'12(id)'!$DE$20,FALSE)="","",ROUND(VLOOKUP(MATCH(O58,tid,0),tao,'12(id)'!$DE$20,FALSE),0)&amp;" yrs"))</f>
        <v/>
      </c>
      <c r="AB58" s="9648" t="str">
        <f>+IF(ISERROR(MATCH(O58,tid,0)),"",VLOOKUP(MATCH(O58,tid,0),tao,'12(id)'!$DI$20,FALSE))</f>
        <v/>
      </c>
      <c r="AC58" s="9648" t="str">
        <f>+IF(ISERROR(MATCH(O58,tid,0)),"",IF(VLOOKUP(MATCH(O58,tid,0),tao,'12(id)'!$DQ$20,FALSE)="","",VLOOKUP(MATCH(O58,tid,0),tao,'12(id)'!$DQ$20,FALSE)))</f>
        <v/>
      </c>
      <c r="AD58" s="10671" t="str">
        <f>+IF(ISERROR(MATCH(O58,tid,0)),"",IF(VLOOKUP(MATCH(O58,tid,0),tao,'12(id)'!$EI$20,FALSE)="","",VLOOKUP(MATCH(O58,tid,0),tao,'12(id)'!$EI$20,FALSE)))</f>
        <v/>
      </c>
      <c r="AE58" s="10766"/>
      <c r="AF58" s="10671" t="str">
        <f>+IF(ISERROR(MATCH(O58,tid,0)),"",IF(VLOOKUP(MATCH(O58,tid,0),tao,'12(id)'!$EL$20,FALSE)="","",VLOOKUP(MATCH(O58,tid,0),tao,'12(id)'!$EL$20,FALSE)))</f>
        <v/>
      </c>
      <c r="AG58" s="10691" t="str">
        <f>+IF(ISERROR(MATCH(O58,tid,0)),"",IF(VLOOKUP(MATCH(O58,tid,0),tao,'12(id)'!$EM$20,FALSE)="","",VLOOKUP(MATCH(O58,tid,0),tao,'12(id)'!$EM$20,FALSE)))</f>
        <v/>
      </c>
      <c r="AH58" s="10685"/>
      <c r="AI58" s="10682"/>
      <c r="AJ58" s="10688"/>
      <c r="AK58" s="10688"/>
      <c r="AL58" s="10688"/>
      <c r="AM58" s="10676"/>
      <c r="AN58" s="10679"/>
      <c r="AO58" s="10342" t="str">
        <f>+IF(ISERROR(MATCH(O58,tid,0)),"",IF(VLOOKUP(MATCH(O58,tid,0),tao,'12(id)'!$GY$20,FALSE)="","",VLOOKUP(MATCH(O58,tid,0),tao,'12(id)'!$GY$20,FALSE)))</f>
        <v/>
      </c>
      <c r="AP58" s="10292" t="e">
        <f>+IF($BB58="","",IF(VLOOKUP(MATCH(O58,tid,0),tao,'12(id)'!$HE$20,FALSE)="","",VLOOKUP(MATCH(O58,tid,0),tao,'12(id)'!$HE$20,FALSE)))</f>
        <v>#N/A</v>
      </c>
      <c r="AQ58" s="10342" t="str">
        <f>+IF(ISERROR(VLOOKUP(MATCH(O58,tid,0),tao,'12(id)'!$HF$20,FALSE)),"",VLOOKUP(MATCH(O58,tid,0),tao,'12(id)'!$HF$20,FALSE))</f>
        <v/>
      </c>
      <c r="AR58" s="10336" t="str">
        <f>+IF(ISERROR(MATCH(O58,tid,0)),"",IF(VLOOKUP(MATCH(O58,tid,0),tao,'12(id)'!$HJ$20,FALSE)="","",VLOOKUP(MATCH(O58,tid,0),tao,'12(id)'!$HJ$20,FALSE)))</f>
        <v/>
      </c>
      <c r="AS58" s="10339" t="str">
        <f>+IF(ISERROR(MATCH(O58,tid,0)),"",IF(VLOOKUP(MATCH(O58,tid,0),tao,'12(id)'!$HK$20,FALSE)="","",VLOOKUP(MATCH(O58,tid,0),tao,'12(id)'!$HK$20,FALSE)))</f>
        <v/>
      </c>
      <c r="AT58" s="10694" t="str">
        <f>+IF(ISERROR(MATCH(O58,tid,0)),"",IF(VLOOKUP(MATCH(O58,tid,0),tao,'12(id)'!$HM$20,FALSE)="","",VLOOKUP(MATCH(O58,tid,0),tao,'12(id)'!$HM$20,FALSE)))</f>
        <v/>
      </c>
      <c r="AU58" s="10359"/>
      <c r="AV58" s="10325" t="str">
        <f>+IF(ISERROR(MATCH(O58,em_id,0)),"",IF(VLOOKUP(MATCH(O58,em_id,0),em,'5(em)'!$CX$18,FALSE)="","",VLOOKUP(MATCH(O58,em_id,0),em,'5(em)'!$CX$18,FALSE)))</f>
        <v/>
      </c>
      <c r="AW58" s="10392" t="str">
        <f>+IF(ISERROR(MATCH(O58,em_id,0)),"",IF(VLOOKUP(MATCH(O58,em_id,0),em,'5(em)'!$CZ$18,FALSE)="","",VLOOKUP(MATCH(O58,em_id,0),em,'5(em)'!$CZ$18,FALSE)))</f>
        <v/>
      </c>
      <c r="AX58" s="10330" t="str">
        <f t="shared" si="50"/>
        <v/>
      </c>
      <c r="AY58" s="10325"/>
      <c r="AZ58" s="10400" t="str">
        <f>+IF(ISERROR(MATCH(O58,em_id,0)),"",IF(VLOOKUP(MATCH(O58,em_id,0),em,'5(em)'!$DA$18,FALSE)="","",VLOOKUP(MATCH(O58,em_id,0),em,'5(em)'!$DA$18,FALSE)))</f>
        <v/>
      </c>
      <c r="BA58" s="924"/>
      <c r="BB58" s="925" t="str">
        <f t="shared" si="11"/>
        <v>8304-01-06</v>
      </c>
      <c r="BC58" s="662">
        <f t="shared" si="290"/>
        <v>6</v>
      </c>
      <c r="BD58" s="925" t="str">
        <f>+IF(OR(D58="",VLOOKUP(MATCH(D58,op_id,0),op,'7(op)'!$T$18,FALSE)=""),"",VLOOKUP(MATCH(D58,op_id,0),op,'7(op)'!$T$18,FALSE))</f>
        <v>Solar Titan 130 - new dual fuel w/ SoLoNOx</v>
      </c>
      <c r="BE58" s="925" t="s">
        <v>1629</v>
      </c>
      <c r="BF58" s="925" t="s">
        <v>1863</v>
      </c>
      <c r="BG58" s="926" t="s">
        <v>1613</v>
      </c>
      <c r="BH58" s="940"/>
      <c r="BI58" s="941"/>
      <c r="BJ58" s="928"/>
      <c r="BK58" s="928"/>
      <c r="BL58" s="928"/>
      <c r="BM58" s="928"/>
      <c r="BN58" s="928" t="str">
        <f t="shared" si="12"/>
        <v/>
      </c>
      <c r="BO58" s="928" t="str">
        <f t="shared" si="13"/>
        <v/>
      </c>
      <c r="BP58" s="928" t="str">
        <f t="shared" si="14"/>
        <v/>
      </c>
      <c r="BQ58" s="928" t="str">
        <f>+IF($BB58="","",IF(OR($AK58="",BJ58=""),"",(1-BJ56/$AK58)))</f>
        <v/>
      </c>
      <c r="BR58" s="930"/>
      <c r="BS58" s="931"/>
      <c r="BT58" s="932"/>
      <c r="BU58" s="3724">
        <f>+IF(BB58="","",IF(VLOOKUP(MATCH(BB58,ef_id,0),ef,'11(eff)'!$Z$23,FALSE)="","",VLOOKUP(MATCH(BB58,ef_id,0),ef,'11(eff)'!$Z$23,FALSE)))</f>
        <v>5.8700728893921174E-2</v>
      </c>
      <c r="BV58" s="3745">
        <f>+IF(BB58="","",IF(VLOOKUP(MATCH(BB58,ef_id,0),ef,'11(eff)'!$AA$23,FALSE)="","",VLOOKUP(MATCH(BB58,ef_id,0),ef,'11(eff)'!$AA$23,FALSE)))</f>
        <v>15</v>
      </c>
      <c r="BW58" s="3769">
        <f>+'A3(trc)'!I74</f>
        <v>0.29056860802490969</v>
      </c>
      <c r="BX58" s="3791">
        <f>+IF(OR(BB58="",BW58=""),"",BW58/IF(R53="",IF(R52="",R51,R52),R53))</f>
        <v>0.29056860802490969</v>
      </c>
      <c r="BY58" s="3813">
        <f>+IF($BB58="","",IF(BU58="","",BU58/2000*IF(AQ53="",IF(AQ52="",AQ51,AQ52),AQ53)))</f>
        <v>0.2905686080249098</v>
      </c>
      <c r="BZ58" s="1058"/>
      <c r="CA58" s="3411"/>
      <c r="CB58" s="3845">
        <f t="shared" si="291"/>
        <v>2.4467813919750903</v>
      </c>
      <c r="CC58" s="3864">
        <f>+IF($BB58="","",IF(CB58="",IF(CD58="",IF(CD58="",IF(CE58="","",CE58)),CD58),CB58/$AT$53))</f>
        <v>0.89385039983016057</v>
      </c>
      <c r="CD58" s="3864">
        <f>+IF($BB58="","",IF(BU58="","",(1-BU58/$AR$53)))</f>
        <v>0.89385039983016068</v>
      </c>
      <c r="CE58" s="2734">
        <f>+IF(BB58="","",IF(VLOOKUP(MATCH(BB58,ef_id,0),ef,'11(eff)'!$AE$23,FALSE)="","",VLOOKUP(MATCH(BB58,ef_id,0),ef,'11(eff)'!$AE$23,FALSE)))</f>
        <v>0.89385039983016057</v>
      </c>
      <c r="CF58" s="931"/>
      <c r="CG58" s="932"/>
      <c r="CH58" s="2400"/>
      <c r="CI58" s="3845">
        <f t="shared" si="292"/>
        <v>6.6191810540328064E-2</v>
      </c>
      <c r="CJ58" s="4056">
        <f t="shared" si="293"/>
        <v>16.817359855334548</v>
      </c>
      <c r="CK58" s="3845">
        <f t="shared" si="294"/>
        <v>0.15922440025475917</v>
      </c>
      <c r="CL58" s="3921">
        <f t="shared" si="295"/>
        <v>1.3407755997452409</v>
      </c>
      <c r="CM58" s="3947">
        <f t="shared" si="296"/>
        <v>0.89385039983016057</v>
      </c>
      <c r="CN58" s="3947">
        <f t="shared" si="297"/>
        <v>0.89323901525753535</v>
      </c>
      <c r="CO58" s="3948">
        <f>+IF(BB58="","",IF(VLOOKUP(MATCH(BB58,ef_id,0),ef,'11(eff)'!$AE$23,FALSE)="","",VLOOKUP(MATCH(BB58,ef_id,0),ef,'11(eff)'!$AE$23,FALSE)))</f>
        <v>0.89385039983016057</v>
      </c>
      <c r="CP58" s="3949" t="str">
        <f>+IF(OR(BB58="",VLOOKUP(MATCH(BB58,ef_id,0),ef,'11(eff)'!$AG$23,FALSE)=""),"",IF(VLOOKUP(MATCH(BB58,ef_id,0),ef,'11(eff)'!$AG$23,FALSE)/100=VLOOKUP(MATCH(BB58,ef_id,0),ef,'11(eff)'!$AE$23,FALSE),VLOOKUP(MATCH(BB58,ef_id,0),ef,'11(eff)'!$AE$23,FALSE),""))</f>
        <v/>
      </c>
      <c r="CQ58" s="924" t="str">
        <f t="shared" si="51"/>
        <v>Solar Titan 130 - new dual fuel w/ SoLoNOx</v>
      </c>
      <c r="CR58" s="933"/>
      <c r="CS58" s="2755">
        <v>13622600</v>
      </c>
      <c r="CT58" s="1583">
        <v>9750000</v>
      </c>
      <c r="CU58" s="1491">
        <v>9750000</v>
      </c>
      <c r="CV58" s="1824">
        <f t="shared" si="203"/>
        <v>0</v>
      </c>
      <c r="CW58" s="1825"/>
      <c r="CX58" s="1825"/>
      <c r="CY58" s="1826"/>
      <c r="CZ58" s="2468"/>
      <c r="DA58" s="2442"/>
      <c r="DB58" s="2442"/>
      <c r="DC58" s="1824"/>
      <c r="DD58" s="1828"/>
      <c r="DE58" s="1829"/>
      <c r="DF58" s="1830"/>
      <c r="DG58" s="1830"/>
      <c r="DH58" s="1828"/>
      <c r="DI58" s="1687">
        <f t="shared" si="204"/>
        <v>9750000</v>
      </c>
      <c r="DJ58" s="1933"/>
      <c r="DK58" s="1583"/>
      <c r="DL58" s="1491"/>
      <c r="DM58" s="1824" t="str">
        <f>+IF(DK58="","",DK58-DL58-SUM(DN58:DY58)-EA58)</f>
        <v/>
      </c>
      <c r="DN58" s="1825"/>
      <c r="DO58" s="1825"/>
      <c r="DP58" s="1826"/>
      <c r="DQ58" s="2468"/>
      <c r="DR58" s="2442"/>
      <c r="DS58" s="2442"/>
      <c r="DT58" s="1824"/>
      <c r="DU58" s="1828"/>
      <c r="DV58" s="1829"/>
      <c r="DW58" s="1830"/>
      <c r="DX58" s="1830"/>
      <c r="DY58" s="1828"/>
      <c r="DZ58" s="1687" t="str">
        <f t="shared" si="18"/>
        <v/>
      </c>
      <c r="EA58" s="1933"/>
      <c r="EB58" s="1491">
        <f t="shared" si="19"/>
        <v>9750000</v>
      </c>
      <c r="EC58" s="1957">
        <v>1</v>
      </c>
      <c r="ED58" s="2556">
        <f t="shared" si="20"/>
        <v>9750000</v>
      </c>
      <c r="EE58" s="1827"/>
      <c r="EF58" s="2442">
        <v>940000</v>
      </c>
      <c r="EG58" s="1978"/>
      <c r="EH58" s="1687">
        <f t="shared" si="205"/>
        <v>940000</v>
      </c>
      <c r="EI58" s="1829"/>
      <c r="EJ58" s="1830"/>
      <c r="EK58" s="2002"/>
      <c r="EL58" s="1451"/>
      <c r="EM58" s="1829"/>
      <c r="EN58" s="1830">
        <v>750000</v>
      </c>
      <c r="EO58" s="2002">
        <f>300000+660000</f>
        <v>960000</v>
      </c>
      <c r="EP58" s="1687">
        <f t="shared" si="21"/>
        <v>1710000</v>
      </c>
      <c r="EQ58" s="2663">
        <f>+IF(BB58="","",(ED58+EH58+EP58)*0.08)</f>
        <v>992000</v>
      </c>
      <c r="ER58" s="2663">
        <f>+IF(BB58="","",0.1*EF58)</f>
        <v>94000</v>
      </c>
      <c r="ES58" s="1687"/>
      <c r="ET58" s="1451">
        <f t="shared" si="206"/>
        <v>1086000</v>
      </c>
      <c r="EU58" s="1424"/>
      <c r="EV58" s="1386"/>
      <c r="EW58" s="2575">
        <f t="shared" si="207"/>
        <v>674300</v>
      </c>
      <c r="EX58" s="2575">
        <f t="shared" si="208"/>
        <v>674300</v>
      </c>
      <c r="EY58" s="2682">
        <f t="shared" si="92"/>
        <v>14834600</v>
      </c>
      <c r="EZ58" s="2711">
        <v>1500000</v>
      </c>
      <c r="FA58" s="1386">
        <f>2*FA57</f>
        <v>288000</v>
      </c>
      <c r="FB58" s="1473">
        <f t="shared" si="209"/>
        <v>13622600</v>
      </c>
      <c r="FC58" s="2598">
        <f>+IF(OR(ED58="",IF(R58="",R53,R58)=""),"",ED58/IF(R58="",R53,R58))</f>
        <v>9750000</v>
      </c>
      <c r="FD58" s="2610">
        <f>+IF(OR(BB58="",IF(R58="",R53,R58)="",(CU58+DL58)=0),"",(CU58+DL58)/IF(R58="",R53,R58))</f>
        <v>9750000</v>
      </c>
      <c r="FE58" s="2611">
        <f t="shared" si="210"/>
        <v>1</v>
      </c>
      <c r="FF58" s="2610">
        <f>+IF(OR(BB58="",CT58="",IF(R58="",R53,R58)=""),"",(SUM(CV58:CZ58)+(IF(DM58="",0,DM58)+SUM(DN58:DQ58)))/IF(R58="",R53,R58))</f>
        <v>0</v>
      </c>
      <c r="FG58" s="2611">
        <f t="shared" si="211"/>
        <v>0</v>
      </c>
      <c r="FH58" s="2610">
        <f>+IF(OR(BB58="",IF(R58="",R53,R58)="",),"",(DA58+DR58)/IF(R58="",R53,R58))</f>
        <v>0</v>
      </c>
      <c r="FI58" s="2611">
        <f t="shared" si="212"/>
        <v>0</v>
      </c>
      <c r="FJ58" s="2612">
        <f t="shared" si="213"/>
        <v>9750000</v>
      </c>
      <c r="FK58" s="2611">
        <f t="shared" si="214"/>
        <v>1</v>
      </c>
      <c r="FL58" s="2644">
        <f>+IF(OR(BB58="",CT58="",IF(R58="",R53,R58)=""),"",(DB58+DC58+DS58+DT58)/IF(R58="",R53,R58))</f>
        <v>0</v>
      </c>
      <c r="FM58" s="2611">
        <f t="shared" si="215"/>
        <v>0</v>
      </c>
      <c r="FN58" s="2610">
        <f>+IF(OR(BB58="",CT58="",IF(R58="",R53,R58)=""),"",(DD58+DU58)/IF(R58="",R53,R58))</f>
        <v>0</v>
      </c>
      <c r="FO58" s="2611">
        <f t="shared" si="302"/>
        <v>0</v>
      </c>
      <c r="FP58" s="2610">
        <f>+IF(OR(BB58="",CT58="",IF(R58="",R53,R58)=""),"",(DG58+DH58+DX58+DY58)/IF(R58="",R53,R58))</f>
        <v>0</v>
      </c>
      <c r="FQ58" s="2611">
        <f t="shared" si="303"/>
        <v>0</v>
      </c>
      <c r="FR58" s="3146">
        <f>+IF(OR(BB58="",IF(R58="",R53,R58)="",(IF(DI58="",0,DI58)+IF(DZ58="",0,DZ58))=0),"",(IF(DI58="",0,DI58)+IF(DZ58="",0,DZ58))/IF(R58="",R53,R58))</f>
        <v>9750000</v>
      </c>
      <c r="FS58" s="2865" t="str">
        <f>+IF(OR(DJ58="",IF(R58="",R53,R58)=""),"",(DJ58+EA58)/IF(R58="",R53,R58))</f>
        <v/>
      </c>
      <c r="FT58" s="2064" t="str">
        <f t="shared" si="304"/>
        <v/>
      </c>
      <c r="FU58" s="2884">
        <f>+IF(OR(BB58="",ISERROR(1-(FR58+IF(FS58="",0,FS58)+FN58+FP58)*IF(R58="",R53,R58)/(CT58+DK58))),"",1-(FR58+IF(FS58="",0,FS58)+FN58+FP58)*IF(R58="",R53,R58)/(CT58+DK58))</f>
        <v>0</v>
      </c>
      <c r="FV58" s="2622">
        <f>+IF(FC58="","",FC58/IF(T58="",IF(T53="",1,T53),T58))</f>
        <v>518617.02127659571</v>
      </c>
      <c r="FW58" s="2644">
        <f>+IF(OR(EH58="",IF(R58="",R53,R58)=""),"",EH58/IF(R58="",R53,R58))</f>
        <v>940000</v>
      </c>
      <c r="FX58" s="2670">
        <f t="shared" si="216"/>
        <v>9.6410256410256412E-2</v>
      </c>
      <c r="FY58" s="2610">
        <f>+IF(OR(EP58="",IF(R58="",R53,R58)=""),"",EP58/IF(R58="",R53,R58))</f>
        <v>1710000</v>
      </c>
      <c r="FZ58" s="2670">
        <f t="shared" si="217"/>
        <v>0.17538461538461539</v>
      </c>
      <c r="GA58" s="2645" t="str">
        <f>+IF(IF(V58="",V53,V58)="Utility Boiler",IF(ISERR(FY58/(FC58+FW58)),"",FY58/(FC58+FW58)),"")</f>
        <v/>
      </c>
      <c r="GB58" s="2610">
        <f>+IF(OR(ET58="",IF(R58="",R53,R58)=""),"",ET58/IF(R58="",R53,R58))</f>
        <v>1086000</v>
      </c>
      <c r="GC58" s="2645">
        <f t="shared" si="218"/>
        <v>0.11138461538461539</v>
      </c>
      <c r="GD58" s="2645" t="str">
        <f>+IF(IF(V58="",V53,V58)="Utility Boiler",IF(ISERR(GB58/($FC58)),"",GB58/(FC58+FW58+FY58)),"")</f>
        <v/>
      </c>
      <c r="GE58" s="2646">
        <f>+IF(OR(FB58="",IF(R58="",R53,R58)=""),"",FB58/IF(R58="",R53,R58))</f>
        <v>13622600</v>
      </c>
      <c r="GF58" s="2647">
        <f t="shared" si="298"/>
        <v>13622600</v>
      </c>
      <c r="GG58" s="2648">
        <f>+IF(OR(CS58="",IF(R58="",R53,R58)=""),"",1-(CS58/IF(R58="",R53,R58))/GF58)</f>
        <v>0</v>
      </c>
      <c r="GH58" s="1752">
        <f>+IF(IF(T58="",T53,T58)="","",IF(GF58="","",GF58/IF(T58="",T53,T58)))</f>
        <v>724606.38297872338</v>
      </c>
      <c r="GI58" s="1613">
        <v>1694555</v>
      </c>
      <c r="GJ58" s="2612">
        <v>692571</v>
      </c>
      <c r="GK58" s="3443">
        <f>+IF(OR(BB58="",GJ58=""),"",IF(CB58="",1,CB58*IF(R58="",IF(R57="",$R$53,R57),R58)))</f>
        <v>2.4467813919750903</v>
      </c>
      <c r="GL58" s="3218">
        <f t="shared" si="219"/>
        <v>8.7546829114213546E-6</v>
      </c>
      <c r="GM58" s="1234"/>
      <c r="GN58" s="1237"/>
      <c r="GO58" s="2289"/>
      <c r="GP58" s="2290"/>
      <c r="GQ58" s="2221"/>
      <c r="GR58" s="2221"/>
      <c r="GS58" s="2216">
        <f t="shared" si="299"/>
        <v>408678</v>
      </c>
      <c r="GT58" s="2216">
        <v>1285877</v>
      </c>
      <c r="GU58" s="2739">
        <f t="shared" si="187"/>
        <v>1694555</v>
      </c>
      <c r="GV58" s="1235" t="str">
        <f>+IF(OR(GO58="",IF(R58="",R53,R58)=""),"",GO58/IF(R58="",R53,R58))</f>
        <v/>
      </c>
      <c r="GW58" s="2251" t="str">
        <f>+IF(OR(GP58="",IF(R58="",R53,R58)=""),"",GP58/IF(R58="",R53,R58))</f>
        <v/>
      </c>
      <c r="GX58" s="2221" t="str">
        <f>+IF(OR(GQ58="",IF(R58="",R53,R58)=""),"",GQ58/IF(R58="",R53,R58))</f>
        <v/>
      </c>
      <c r="GY58" s="2221" t="str">
        <f>+IF(OR(GR58="",IF(R58="",R53,R58)=""),"",GR58/IF(R58="",R388,R58))</f>
        <v/>
      </c>
      <c r="GZ58" s="2221">
        <f>+IF(OR(GS58="",IF(R58="",R53,R58)=""),"",GS58/IF(R58="",R53,R58))</f>
        <v>408678</v>
      </c>
      <c r="HA58" s="2221">
        <f>+IF(OR(GT58="",IF(R58="",R53,R58)=""),"",GT58/IF(R58="",R53,R58))</f>
        <v>1285877</v>
      </c>
      <c r="HB58" s="1336">
        <f t="shared" si="22"/>
        <v>1694555</v>
      </c>
      <c r="HC58" s="1236">
        <f>+IF(OR(GU58="",IF(R58="",R53,R58)=""),"",GU58/IF(R58="",R53,R58))</f>
        <v>1694555</v>
      </c>
      <c r="HD58" s="3469">
        <f t="shared" si="220"/>
        <v>0</v>
      </c>
      <c r="HE58" s="1234"/>
      <c r="HF58" s="2556">
        <f t="shared" si="107"/>
        <v>692571</v>
      </c>
      <c r="HG58" s="1237">
        <f t="shared" si="23"/>
        <v>1263861.7530942392</v>
      </c>
      <c r="HH58" s="2984">
        <f t="shared" si="221"/>
        <v>3</v>
      </c>
      <c r="HI58" s="3066">
        <f t="shared" si="222"/>
        <v>9750000</v>
      </c>
      <c r="HJ58" s="3079">
        <f t="shared" si="223"/>
        <v>0</v>
      </c>
      <c r="HK58" s="3079">
        <f t="shared" si="224"/>
        <v>0</v>
      </c>
      <c r="HL58" s="3079" t="str">
        <f t="shared" si="225"/>
        <v/>
      </c>
      <c r="HM58" s="3092">
        <f t="shared" si="226"/>
        <v>9750000</v>
      </c>
      <c r="HN58" s="3099">
        <f>+IF(FR58="","",HM58/IF(T58="",IF(T53="",1,T53),T58))</f>
        <v>518617.02127659571</v>
      </c>
      <c r="HO58" s="3117">
        <f t="shared" si="227"/>
        <v>940000</v>
      </c>
      <c r="HP58" s="3079">
        <f t="shared" si="228"/>
        <v>1710000</v>
      </c>
      <c r="HQ58" s="3118">
        <f t="shared" si="229"/>
        <v>992000</v>
      </c>
      <c r="HR58" s="3119">
        <f t="shared" si="230"/>
        <v>94000</v>
      </c>
      <c r="HS58" s="3119">
        <f t="shared" si="231"/>
        <v>1086000</v>
      </c>
      <c r="HT58" s="1212" t="str">
        <f t="shared" si="232"/>
        <v/>
      </c>
      <c r="HU58" s="1213" t="str">
        <f t="shared" si="233"/>
        <v/>
      </c>
      <c r="HV58" s="3136">
        <f t="shared" si="234"/>
        <v>674300</v>
      </c>
      <c r="HW58" s="3122">
        <f t="shared" si="235"/>
        <v>674300</v>
      </c>
      <c r="HX58" s="3136">
        <f t="shared" si="199"/>
        <v>14834600</v>
      </c>
      <c r="HY58" s="3079">
        <f>+IF(EZ58="","",EZ58/IF(R58="",IF(R53="",1,R53),R58))</f>
        <v>1500000</v>
      </c>
      <c r="HZ58" s="3119">
        <f>+IF(FA58="","",FA58/IF(R58="",IF(R53="",1,R53),R58))</f>
        <v>288000</v>
      </c>
      <c r="IA58" s="3066">
        <f t="shared" si="236"/>
        <v>13622600</v>
      </c>
      <c r="IB58" s="3106" t="str">
        <f t="shared" si="237"/>
        <v>same TCC</v>
      </c>
      <c r="IC58" s="3099">
        <f>+IF(IA58="","",IA58/IF(T58="",IF(T53="",1,T53),T58))</f>
        <v>724606.38297872338</v>
      </c>
      <c r="ID58" s="1212"/>
      <c r="IE58" s="4099"/>
      <c r="IF58" s="3136" t="str">
        <f t="shared" si="238"/>
        <v/>
      </c>
      <c r="IG58" s="6769"/>
      <c r="IH58" s="4170" t="str">
        <f t="shared" si="239"/>
        <v/>
      </c>
      <c r="II58" s="4171"/>
      <c r="IJ58" s="4171" t="str">
        <f t="shared" si="240"/>
        <v/>
      </c>
      <c r="IK58" s="4130">
        <v>1</v>
      </c>
      <c r="IL58" s="2442" t="str">
        <f t="shared" si="241"/>
        <v/>
      </c>
      <c r="IM58" s="1826">
        <f t="shared" si="242"/>
        <v>544904</v>
      </c>
      <c r="IN58" s="4228">
        <f t="shared" si="243"/>
        <v>544904</v>
      </c>
      <c r="IO58" s="4228">
        <f t="shared" si="244"/>
        <v>544904</v>
      </c>
      <c r="IP58" s="4228" t="str">
        <f t="shared" ref="IP58:IP59" si="305">+IF(BB58="","",IF(IJ58="","",IJ58/$R$53))</f>
        <v/>
      </c>
      <c r="IQ58" s="6842" t="str">
        <f t="shared" ref="IQ58:IQ59" si="306">+IF(IP58="","",IP58/IX58)</f>
        <v/>
      </c>
      <c r="IR58" s="4228">
        <f t="shared" ref="IR58:IR59" si="307">+IF(BB58="","",IF(IN58="","",IN58/$R$53))</f>
        <v>544904</v>
      </c>
      <c r="IS58" s="6842">
        <f t="shared" ref="IS58:IS59" si="308">+IF(IR58="","",IR58/IX58)</f>
        <v>0.2976347138718895</v>
      </c>
      <c r="IT58" s="4228">
        <f t="shared" si="249"/>
        <v>544904</v>
      </c>
      <c r="IU58" s="6842">
        <f t="shared" si="250"/>
        <v>0.2976347138718895</v>
      </c>
      <c r="IV58" s="4130">
        <f t="shared" si="251"/>
        <v>1</v>
      </c>
      <c r="IW58" s="1826">
        <f t="shared" si="252"/>
        <v>1285877.0702300749</v>
      </c>
      <c r="IX58" s="3099">
        <f t="shared" si="253"/>
        <v>1830781.0702300749</v>
      </c>
      <c r="IY58" s="4247">
        <f t="shared" si="254"/>
        <v>1694555</v>
      </c>
      <c r="IZ58" s="4280">
        <f t="shared" si="255"/>
        <v>-8.0390468429808959E-2</v>
      </c>
      <c r="JA58" s="4281">
        <f t="shared" si="256"/>
        <v>-8.0390468429808959E-2</v>
      </c>
      <c r="JB58" s="1213"/>
      <c r="JC58" s="4325"/>
      <c r="JD58" s="2556">
        <f t="shared" si="257"/>
        <v>748240.55644473911</v>
      </c>
      <c r="JE58" s="4360">
        <f t="shared" si="258"/>
        <v>1365464.1914560045</v>
      </c>
      <c r="JF58" s="7031">
        <f>+JF57</f>
        <v>18.8</v>
      </c>
      <c r="JG58" s="2442" t="s">
        <v>2437</v>
      </c>
      <c r="JH58" s="6962">
        <f t="shared" si="259"/>
        <v>14834600</v>
      </c>
      <c r="JI58" s="6962">
        <f>+JH58</f>
        <v>14834600</v>
      </c>
      <c r="JJ58" s="6962"/>
      <c r="JK58" s="6962"/>
      <c r="JL58" s="6999"/>
      <c r="JM58" s="1825" t="str">
        <f t="shared" si="260"/>
        <v>N/A</v>
      </c>
      <c r="JN58" s="2442" t="str">
        <f t="shared" si="261"/>
        <v/>
      </c>
      <c r="JO58" s="2442">
        <f>+JI58</f>
        <v>14834600</v>
      </c>
      <c r="JP58" s="7076"/>
      <c r="JQ58" s="7076"/>
      <c r="JR58" s="2442"/>
      <c r="JS58" s="1826">
        <f t="shared" si="262"/>
        <v>14834600</v>
      </c>
      <c r="JT58" s="7139">
        <f t="shared" si="263"/>
        <v>2</v>
      </c>
      <c r="JU58" s="7140">
        <f t="shared" si="300"/>
        <v>19</v>
      </c>
      <c r="JV58" s="8369">
        <f t="shared" si="301"/>
        <v>4811</v>
      </c>
      <c r="JW58" s="8396">
        <f t="shared" si="149"/>
        <v>1.3407755997452409</v>
      </c>
      <c r="JX58" s="8425">
        <f t="shared" si="264"/>
        <v>1263.1578947368421</v>
      </c>
      <c r="JY58" s="8460">
        <f t="shared" si="265"/>
        <v>7.0000000000000007E-2</v>
      </c>
      <c r="JZ58" s="7141">
        <f t="shared" si="266"/>
        <v>1399.8072289156626</v>
      </c>
      <c r="KA58" s="7139" t="str">
        <f t="shared" si="267"/>
        <v/>
      </c>
      <c r="KB58" s="7140" t="str">
        <f t="shared" si="268"/>
        <v/>
      </c>
      <c r="KC58" s="7141" t="str">
        <f t="shared" si="201"/>
        <v/>
      </c>
      <c r="KD58" s="7139">
        <f t="shared" si="269"/>
        <v>806.43600000000004</v>
      </c>
      <c r="KE58" s="8333">
        <f t="shared" si="270"/>
        <v>835.03504352133598</v>
      </c>
      <c r="KF58" s="8333">
        <f t="shared" si="271"/>
        <v>559.96467624371928</v>
      </c>
      <c r="KG58" s="7140">
        <f t="shared" si="272"/>
        <v>2542.7498313253013</v>
      </c>
      <c r="KH58" s="7140">
        <f t="shared" si="273"/>
        <v>693.25376000000006</v>
      </c>
      <c r="KI58" s="7140">
        <f t="shared" si="274"/>
        <v>69.325376000000006</v>
      </c>
      <c r="KJ58" s="7140">
        <f t="shared" si="275"/>
        <v>5506.7646870903563</v>
      </c>
      <c r="KK58" s="7140">
        <f>+IF(OR(D58="",JU58="",JV58=""),"",$KK$7*$KG$4*JU58)</f>
        <v>1993.2368000000001</v>
      </c>
      <c r="KL58" s="7140">
        <f t="shared" si="276"/>
        <v>1056.96525</v>
      </c>
      <c r="KM58" s="7140">
        <f t="shared" si="277"/>
        <v>3050.2020499999999</v>
      </c>
      <c r="KN58" s="7140" t="str">
        <f t="shared" si="278"/>
        <v/>
      </c>
      <c r="KO58" s="7140">
        <f t="shared" si="279"/>
        <v>3050.2020499999999</v>
      </c>
      <c r="KP58" s="7141">
        <f t="shared" si="280"/>
        <v>8556.9667370903553</v>
      </c>
      <c r="KQ58" s="1827">
        <f>+IF(D58="","",VLOOKUP(MATCH(BE58,ac_id,0),ad,ac!$F$8,FALSE)*JV58)</f>
        <v>1443.3</v>
      </c>
      <c r="KR58" s="7076">
        <f>+IF(D58="","",IF(JT58=1,VLOOKUP(MATCH(BE58,ac_id,0),ad,ac!$H$8,FALSE)*JU58, (VLOOKUP(MATCH(BE58,ac_id,0),ad,ac!$H$8,FALSE)*JU58^(1+VLOOKUP(MATCH(BE58,ac_id,0),ad,ac!$I$8,FALSE)))))</f>
        <v>16544.904554946788</v>
      </c>
      <c r="KS58" s="1826">
        <f t="shared" si="281"/>
        <v>17988.204554946788</v>
      </c>
      <c r="KT58" s="1827">
        <f t="shared" si="282"/>
        <v>1830.12123</v>
      </c>
      <c r="KU58" s="2442">
        <f t="shared" si="283"/>
        <v>593384</v>
      </c>
      <c r="KV58" s="7380">
        <f t="shared" si="284"/>
        <v>1</v>
      </c>
      <c r="KW58" s="7283">
        <f t="shared" si="285"/>
        <v>1272964.6987616862</v>
      </c>
      <c r="KX58" s="1826">
        <f t="shared" si="286"/>
        <v>1868178.8199916864</v>
      </c>
      <c r="KY58" s="1752">
        <f t="shared" si="287"/>
        <v>1876735.7867287768</v>
      </c>
      <c r="KZ58" s="7381"/>
      <c r="LA58" s="7283">
        <f t="shared" si="288"/>
        <v>767022.25743748958</v>
      </c>
      <c r="LB58" s="7294">
        <f t="shared" si="289"/>
        <v>1399738.9175976748</v>
      </c>
      <c r="LC58" s="5133"/>
      <c r="LD58" s="5132"/>
      <c r="LE58" s="5132"/>
      <c r="LF58" s="5132"/>
      <c r="LG58" s="5132"/>
      <c r="LH58" s="5132"/>
      <c r="LI58" s="5132"/>
      <c r="LJ58" s="5132"/>
    </row>
    <row r="59" spans="1:322" s="717" customFormat="1" ht="27.95" customHeight="1">
      <c r="A59" s="10539"/>
      <c r="B59" s="9819" t="str">
        <f>+IF(A59="","",VLOOKUP(MATCH(A59,tid,0),tao,'12(id)'!$J$20,FALSE))</f>
        <v/>
      </c>
      <c r="C59" s="10561"/>
      <c r="D59" s="2506" t="str">
        <f t="shared" si="48"/>
        <v>8304-01-07</v>
      </c>
      <c r="E59" s="2508" t="str">
        <f t="shared" si="202"/>
        <v>Solar Titan 130 - new oil fired turbine</v>
      </c>
      <c r="F59" s="2508" t="str">
        <f t="shared" si="49"/>
        <v>New Eqp</v>
      </c>
      <c r="G59" s="5133"/>
      <c r="H59" s="5132"/>
      <c r="I59" s="5133"/>
      <c r="J59" s="719">
        <f t="shared" si="68"/>
        <v>25</v>
      </c>
      <c r="K59" s="9663"/>
      <c r="L59" s="9648"/>
      <c r="M59" s="9650"/>
      <c r="N59" s="9648"/>
      <c r="O59" s="9648"/>
      <c r="P59" s="9648"/>
      <c r="Q59" s="9680"/>
      <c r="R59" s="9648"/>
      <c r="S59" s="9648"/>
      <c r="T59" s="10716"/>
      <c r="U59" s="10716"/>
      <c r="V59" s="9504"/>
      <c r="W59" s="9504"/>
      <c r="X59" s="9504"/>
      <c r="Y59" s="9504"/>
      <c r="Z59" s="9518"/>
      <c r="AA59" s="9518"/>
      <c r="AB59" s="9648"/>
      <c r="AC59" s="9648"/>
      <c r="AD59" s="10671"/>
      <c r="AE59" s="10766"/>
      <c r="AF59" s="10671" t="str">
        <f>+IF(ISERROR(MATCH(O59,tid,0)),"",IF(VLOOKUP(MATCH(O59,tid,0),tao,'12(id)'!$EL$20,FALSE)="","",VLOOKUP(MATCH(O59,tid,0),tao,'12(id)'!$EL$20,FALSE)))</f>
        <v/>
      </c>
      <c r="AG59" s="10691" t="str">
        <f>+IF(ISERROR(MATCH(O59,tid,0)),"",IF(VLOOKUP(MATCH(O59,tid,0),tao,'12(id)'!$EM$20,FALSE)="","",VLOOKUP(MATCH(O59,tid,0),tao,'12(id)'!$EM$20,FALSE)))</f>
        <v/>
      </c>
      <c r="AH59" s="10685"/>
      <c r="AI59" s="10682"/>
      <c r="AJ59" s="10688"/>
      <c r="AK59" s="10688"/>
      <c r="AL59" s="10688"/>
      <c r="AM59" s="10676"/>
      <c r="AN59" s="10679"/>
      <c r="AO59" s="10342" t="str">
        <f>+IF(ISERROR(MATCH(O59,tid,0)),"",IF(VLOOKUP(MATCH(O59,tid,0),tao,'12(id)'!$GY$20,FALSE)="","",VLOOKUP(MATCH(O59,tid,0),tao,'12(id)'!$GY$20,FALSE)))</f>
        <v/>
      </c>
      <c r="AP59" s="10292" t="e">
        <f>+IF($BB59="","",IF(VLOOKUP(MATCH(O59,tid,0),tao,'12(id)'!$HE$20,FALSE)="","",VLOOKUP(MATCH(O59,tid,0),tao,'12(id)'!$HE$20,FALSE)))</f>
        <v>#N/A</v>
      </c>
      <c r="AQ59" s="10342" t="str">
        <f>+IF(ISERROR(VLOOKUP(MATCH(O59,tid,0),tao,'12(id)'!$HF$20,FALSE)),"",VLOOKUP(MATCH(O59,tid,0),tao,'12(id)'!$HF$20,FALSE))</f>
        <v/>
      </c>
      <c r="AR59" s="10336" t="str">
        <f>+IF(ISERROR(MATCH(O59,tid,0)),"",IF(VLOOKUP(MATCH(O59,tid,0),tao,'12(id)'!$HJ$20,FALSE)="","",VLOOKUP(MATCH(O59,tid,0),tao,'12(id)'!$HJ$20,FALSE)))</f>
        <v/>
      </c>
      <c r="AS59" s="10339" t="str">
        <f>+IF(ISERROR(MATCH(O59,tid,0)),"",IF(VLOOKUP(MATCH(O59,tid,0),tao,'12(id)'!$HK$20,FALSE)="","",VLOOKUP(MATCH(O59,tid,0),tao,'12(id)'!$HK$20,FALSE)))</f>
        <v/>
      </c>
      <c r="AT59" s="10694" t="str">
        <f>+IF(ISERROR(MATCH(O59,tid,0)),"",IF(VLOOKUP(MATCH(O59,tid,0),tao,'12(id)'!$HM$20,FALSE)="","",VLOOKUP(MATCH(O59,tid,0),tao,'12(id)'!$HM$20,FALSE)))</f>
        <v/>
      </c>
      <c r="AU59" s="10359"/>
      <c r="AV59" s="10325"/>
      <c r="AW59" s="10392"/>
      <c r="AX59" s="10330"/>
      <c r="AY59" s="10325"/>
      <c r="AZ59" s="10400"/>
      <c r="BA59" s="2507"/>
      <c r="BB59" s="2508" t="str">
        <f t="shared" si="11"/>
        <v>8304-01-07</v>
      </c>
      <c r="BC59" s="2509">
        <f t="shared" si="290"/>
        <v>7</v>
      </c>
      <c r="BD59" s="2508" t="str">
        <f>+IF(OR(D59="",VLOOKUP(MATCH(D59,op_id,0),op,'7(op)'!$T$18,FALSE)=""),"",VLOOKUP(MATCH(D59,op_id,0),op,'7(op)'!$T$18,FALSE))</f>
        <v>Solar Titan 130 - new oil fired turbine</v>
      </c>
      <c r="BE59" s="2510" t="s">
        <v>1629</v>
      </c>
      <c r="BF59" s="2510" t="s">
        <v>1863</v>
      </c>
      <c r="BG59" s="2511" t="s">
        <v>1615</v>
      </c>
      <c r="BH59" s="2512"/>
      <c r="BI59" s="2513"/>
      <c r="BJ59" s="2514"/>
      <c r="BK59" s="2514"/>
      <c r="BL59" s="2514"/>
      <c r="BM59" s="2514"/>
      <c r="BN59" s="2514"/>
      <c r="BO59" s="2514"/>
      <c r="BP59" s="2514"/>
      <c r="BQ59" s="2514"/>
      <c r="BR59" s="2515"/>
      <c r="BS59" s="2516"/>
      <c r="BT59" s="2517"/>
      <c r="BU59" s="3726">
        <f>+IF(BB59="","",IF(VLOOKUP(MATCH(BB59,ef_id,0),ef,'11(eff)'!$Z$23,FALSE)="","",VLOOKUP(MATCH(BB59,ef_id,0),ef,'11(eff)'!$Z$23,FALSE)))</f>
        <v>0.25436982520699175</v>
      </c>
      <c r="BV59" s="3746">
        <f>+IF(BB59="","",IF(VLOOKUP(MATCH(BB59,ef_id,0),ef,'11(eff)'!$AA$23,FALSE)="","",VLOOKUP(MATCH(BB59,ef_id,0),ef,'11(eff)'!$AA$23,FALSE)))</f>
        <v>65</v>
      </c>
      <c r="BW59" s="3776">
        <f>+'A3(trc)'!I75</f>
        <v>1.2591306347746092</v>
      </c>
      <c r="BX59" s="3833">
        <f>+IF(OR(BB59="",BW59=""),"",BW59/IF(R53="",IF(R52="",R51,R52),R53))</f>
        <v>1.2591306347746092</v>
      </c>
      <c r="BY59" s="3829">
        <f>+IF($BB59="","",IF(BU59="","",BU59/2000*IF(AQ53="",IF(AQ52="",AQ51,AQ52),AQ53)))</f>
        <v>1.2591306347746092</v>
      </c>
      <c r="BZ59" s="2518"/>
      <c r="CA59" s="3412"/>
      <c r="CB59" s="3846">
        <f t="shared" si="291"/>
        <v>1.478219365225391</v>
      </c>
      <c r="CC59" s="3881">
        <f>+IF($BB59="","",IF(CB59="",IF(CD59="",IF(CD59="",IF(CE59="","",CE59)),CD59),CB59/$AT$53))</f>
        <v>0.54001839926402939</v>
      </c>
      <c r="CD59" s="3881">
        <f>+IF($BB59="","",IF(BU59="","",(1-BU59/$AR$53)))</f>
        <v>0.5400183992640295</v>
      </c>
      <c r="CE59" s="3900">
        <f>+IF(BB59="","",IF(VLOOKUP(MATCH(BB59,ef_id,0),ef,'11(eff)'!$AE$23,FALSE)="","",VLOOKUP(MATCH(BB59,ef_id,0),ef,'11(eff)'!$AE$23,FALSE)))</f>
        <v>0.54001839926402939</v>
      </c>
      <c r="CF59" s="2516"/>
      <c r="CG59" s="2517"/>
      <c r="CH59" s="2520"/>
      <c r="CI59" s="3846">
        <f t="shared" si="292"/>
        <v>0.28683117900808813</v>
      </c>
      <c r="CJ59" s="4060">
        <f t="shared" si="293"/>
        <v>72.875226039783001</v>
      </c>
      <c r="CK59" s="3846">
        <f t="shared" si="294"/>
        <v>0.68997240110395597</v>
      </c>
      <c r="CL59" s="3922">
        <f t="shared" si="295"/>
        <v>0.81002759889604403</v>
      </c>
      <c r="CM59" s="3953">
        <f t="shared" si="296"/>
        <v>0.54001839926402939</v>
      </c>
      <c r="CN59" s="3953">
        <f t="shared" si="297"/>
        <v>0.53736906611598689</v>
      </c>
      <c r="CO59" s="3954">
        <f>+IF(BB59="","",IF(VLOOKUP(MATCH(BB59,ef_id,0),ef,'11(eff)'!$AE$23,FALSE)="","",VLOOKUP(MATCH(BB59,ef_id,0),ef,'11(eff)'!$AE$23,FALSE)))</f>
        <v>0.54001839926402939</v>
      </c>
      <c r="CP59" s="3955" t="str">
        <f>+IF(OR(BB59="",VLOOKUP(MATCH(BB59,ef_id,0),ef,'11(eff)'!$AG$23,FALSE)=""),"",IF(VLOOKUP(MATCH(BB59,ef_id,0),ef,'11(eff)'!$AG$23,FALSE)/100=VLOOKUP(MATCH(BB59,ef_id,0),ef,'11(eff)'!$AE$23,FALSE),VLOOKUP(MATCH(BB59,ef_id,0),ef,'11(eff)'!$AE$23,FALSE),""))</f>
        <v/>
      </c>
      <c r="CQ59" s="2507" t="str">
        <f t="shared" si="51"/>
        <v>Solar Titan 130 - new oil fired turbine</v>
      </c>
      <c r="CR59" s="2519"/>
      <c r="CS59" s="2756">
        <v>9997875</v>
      </c>
      <c r="CT59" s="2521">
        <v>7263410</v>
      </c>
      <c r="CU59" s="2522">
        <v>7263410</v>
      </c>
      <c r="CV59" s="2523">
        <f t="shared" si="203"/>
        <v>0</v>
      </c>
      <c r="CW59" s="2524"/>
      <c r="CX59" s="2524"/>
      <c r="CY59" s="2525"/>
      <c r="CZ59" s="2526"/>
      <c r="DA59" s="2527"/>
      <c r="DB59" s="2527"/>
      <c r="DC59" s="2523"/>
      <c r="DD59" s="2528"/>
      <c r="DE59" s="2529"/>
      <c r="DF59" s="2530"/>
      <c r="DG59" s="2530"/>
      <c r="DH59" s="2528"/>
      <c r="DI59" s="2531">
        <f t="shared" si="204"/>
        <v>7263410</v>
      </c>
      <c r="DJ59" s="2532"/>
      <c r="DK59" s="2521"/>
      <c r="DL59" s="2522"/>
      <c r="DM59" s="2523"/>
      <c r="DN59" s="2524"/>
      <c r="DO59" s="2524"/>
      <c r="DP59" s="2525"/>
      <c r="DQ59" s="2526"/>
      <c r="DR59" s="2527"/>
      <c r="DS59" s="2527"/>
      <c r="DT59" s="2523"/>
      <c r="DU59" s="2528"/>
      <c r="DV59" s="2529"/>
      <c r="DW59" s="2530"/>
      <c r="DX59" s="2530"/>
      <c r="DY59" s="2528"/>
      <c r="DZ59" s="2531" t="str">
        <f t="shared" si="18"/>
        <v/>
      </c>
      <c r="EA59" s="2532"/>
      <c r="EB59" s="2522">
        <f t="shared" si="19"/>
        <v>7263410</v>
      </c>
      <c r="EC59" s="2533">
        <v>1</v>
      </c>
      <c r="ED59" s="2557">
        <f>+IF(EB59&gt;0,IF(ISERROR(EB59*EC59),"",EB59*EC59),"")</f>
        <v>7263410</v>
      </c>
      <c r="EE59" s="2534"/>
      <c r="EF59" s="2527">
        <v>714287</v>
      </c>
      <c r="EG59" s="2535"/>
      <c r="EH59" s="2531">
        <f t="shared" si="205"/>
        <v>714287</v>
      </c>
      <c r="EI59" s="2529"/>
      <c r="EJ59" s="2530"/>
      <c r="EK59" s="2536"/>
      <c r="EL59" s="2537"/>
      <c r="EM59" s="2529"/>
      <c r="EN59" s="2530">
        <v>652501</v>
      </c>
      <c r="EO59" s="2536">
        <f>246638+492948</f>
        <v>739586</v>
      </c>
      <c r="EP59" s="2531">
        <f t="shared" si="21"/>
        <v>1392087</v>
      </c>
      <c r="EQ59" s="2664">
        <f>+IF(BB59="","",(ED59+EH59+EP59)*0.08)</f>
        <v>749582.72</v>
      </c>
      <c r="ER59" s="2664">
        <f>+IF(BB59="","",0.1*EF59)</f>
        <v>71428.7</v>
      </c>
      <c r="ES59" s="2531"/>
      <c r="ET59" s="2537">
        <f t="shared" si="206"/>
        <v>821011.41999999993</v>
      </c>
      <c r="EU59" s="2538"/>
      <c r="EV59" s="2539"/>
      <c r="EW59" s="2576">
        <f t="shared" si="207"/>
        <v>509539.77100000001</v>
      </c>
      <c r="EX59" s="2576">
        <f t="shared" si="208"/>
        <v>509539.77100000001</v>
      </c>
      <c r="EY59" s="2683">
        <f t="shared" si="92"/>
        <v>11209874.961999999</v>
      </c>
      <c r="EZ59" s="2712">
        <f>+EZ58</f>
        <v>1500000</v>
      </c>
      <c r="FA59" s="2539">
        <f>+FA58</f>
        <v>288000</v>
      </c>
      <c r="FB59" s="2540">
        <f t="shared" si="209"/>
        <v>9997874.9619999994</v>
      </c>
      <c r="FC59" s="2599">
        <f>+IF(OR(ED59="",IF(R59="",R53,R59)=""),"",ED59/IF(R59="",R53,R59))</f>
        <v>7263410</v>
      </c>
      <c r="FD59" s="2613">
        <f>+IF(OR(BB59="",IF(R59="",R53,R59)="",(CU59+DL59)=0),"",(CU59+DL59)/IF(R59="",R53,R59))</f>
        <v>7263410</v>
      </c>
      <c r="FE59" s="2614">
        <f t="shared" si="210"/>
        <v>1</v>
      </c>
      <c r="FF59" s="2613">
        <f>+IF(OR(BB59="",CT59="",IF(R59="",R53,R59)=""),"",(SUM(CV59:CZ59)+(IF(DM59="",0,DM59)+SUM(DN59:DQ59)))/IF(R59="",R53,R59))</f>
        <v>0</v>
      </c>
      <c r="FG59" s="2614">
        <f t="shared" si="211"/>
        <v>0</v>
      </c>
      <c r="FH59" s="2613">
        <f>+IF(OR(BB59="",IF(R59="",R53,R59)="",),"",(DA59+DR59)/IF(R59="",R53,R59))</f>
        <v>0</v>
      </c>
      <c r="FI59" s="2614">
        <f t="shared" si="212"/>
        <v>0</v>
      </c>
      <c r="FJ59" s="2615">
        <f t="shared" si="213"/>
        <v>7263410</v>
      </c>
      <c r="FK59" s="2614">
        <f t="shared" si="214"/>
        <v>1</v>
      </c>
      <c r="FL59" s="2649">
        <f>+IF(OR(BB59="",CT59="",IF(R59="",R53,R59)=""),"",(DB59+DC59+DS59+DT59)/IF(R59="",R53,R59))</f>
        <v>0</v>
      </c>
      <c r="FM59" s="2614">
        <f t="shared" si="215"/>
        <v>0</v>
      </c>
      <c r="FN59" s="2613">
        <f>+IF(OR(BB59="",CT59="",IF(R59="",R53,R59)=""),"",(DD59+DU59)/IF(R59="",R53,R59))</f>
        <v>0</v>
      </c>
      <c r="FO59" s="2614">
        <f t="shared" si="302"/>
        <v>0</v>
      </c>
      <c r="FP59" s="2613">
        <f>+IF(OR(BB59="",CT59="",IF(R59="",R53,R59)=""),"",(DG59+DH59+DX59+DY59)/IF(R59="",R53,R59))</f>
        <v>0</v>
      </c>
      <c r="FQ59" s="2614">
        <f t="shared" si="303"/>
        <v>0</v>
      </c>
      <c r="FR59" s="3147">
        <f>+IF(OR(BB59="",IF(R59="",R53,R59)="",(IF(DI59="",0,DI59)+IF(DZ59="",0,DZ59))=0),"",(IF(DI59="",0,DI59)+IF(DZ59="",0,DZ59))/IF(R59="",R53,R59))</f>
        <v>7263410</v>
      </c>
      <c r="FS59" s="2871" t="str">
        <f>+IF(OR(DJ59="",IF(R59="",R53,R59)=""),"",(DJ59+EA59)/IF(R59="",R53,R59))</f>
        <v/>
      </c>
      <c r="FT59" s="2541" t="str">
        <f t="shared" si="304"/>
        <v/>
      </c>
      <c r="FU59" s="2885">
        <f>+IF(OR(BB59="",ISERROR(1-(FR59+IF(FS59="",0,FS59)+FN59+FP59)*IF(R59="",R53,R59)/(CT59+DK59))),"",1-(FR59+IF(FS59="",0,FS59)+FN59+FP59)*IF(R59="",R53,R59)/(CT59+DK59))</f>
        <v>0</v>
      </c>
      <c r="FV59" s="2623">
        <f>+IF(FC59="","",FC59/IF(T59="",IF(T53="",1,T53),T59))</f>
        <v>386351.59574468085</v>
      </c>
      <c r="FW59" s="2649">
        <f>+IF(OR(EH59="",IF(R59="",R53,R59)=""),"",EH59/IF(R59="",R53,R59))</f>
        <v>714287</v>
      </c>
      <c r="FX59" s="2671">
        <f t="shared" si="216"/>
        <v>9.8340448907606764E-2</v>
      </c>
      <c r="FY59" s="2613">
        <f>+IF(OR(EP59="",IF(R59="",R53,R59)=""),"",EP59/IF(R59="",R53,R59))</f>
        <v>1392087</v>
      </c>
      <c r="FZ59" s="2671">
        <f t="shared" si="217"/>
        <v>0.1916574997143215</v>
      </c>
      <c r="GA59" s="2650" t="str">
        <f>+IF(IF(V59="",V53,V59)="Utility Boiler",IF(ISERR(FY59/(FC59+FW59)),"",FY59/(FC59+FW59)),"")</f>
        <v/>
      </c>
      <c r="GB59" s="2613">
        <f>+IF(OR(ET59="",IF(R59="",R53,R59)=""),"",ET59/IF(R59="",R53,R59))</f>
        <v>821011.41999999993</v>
      </c>
      <c r="GC59" s="2650">
        <f t="shared" si="218"/>
        <v>0.11303388078051493</v>
      </c>
      <c r="GD59" s="2650" t="str">
        <f>+IF(IF(V59="",V53,V59)="Utility Boiler",IF(ISERR(GB59/($FC59)),"",GB59/(FC59+FW59+FY59)),"")</f>
        <v/>
      </c>
      <c r="GE59" s="2651">
        <f>+IF(OR(FB59="",IF(R59="",R53,R59)=""),"",FB59/IF(R59="",R53,R59))</f>
        <v>9997874.9619999994</v>
      </c>
      <c r="GF59" s="2652">
        <f t="shared" si="298"/>
        <v>9997874.9619999994</v>
      </c>
      <c r="GG59" s="2653">
        <f>+IF(OR(CS59="",IF(R59="",R53,R59)=""),"",1-(CS59/IF(R59="",R53,R59))/GF59)</f>
        <v>-3.8008076685969172E-9</v>
      </c>
      <c r="GH59" s="2542">
        <f>+IF(IF(T59="",T53,T59)="","",IF(GF59="","",GF59/IF(T59="",T53,T59)))</f>
        <v>531801.85968085099</v>
      </c>
      <c r="GI59" s="3194">
        <v>1243665.2488599999</v>
      </c>
      <c r="GJ59" s="2615">
        <v>841377</v>
      </c>
      <c r="GK59" s="3444">
        <f>+IF(OR(BB59="",GJ59=""),"",IF(CB59="",1,CB59*IF(R59="",IF(R58="",$R$53,R58),R59)))</f>
        <v>1.478219365225391</v>
      </c>
      <c r="GL59" s="3220">
        <f t="shared" si="219"/>
        <v>5.99208908089609E-5</v>
      </c>
      <c r="GM59" s="2543"/>
      <c r="GN59" s="2544"/>
      <c r="GO59" s="2545"/>
      <c r="GP59" s="2546"/>
      <c r="GQ59" s="2547"/>
      <c r="GR59" s="2547"/>
      <c r="GS59" s="2735">
        <f t="shared" si="299"/>
        <v>299936.24885999999</v>
      </c>
      <c r="GT59" s="2735">
        <v>943729</v>
      </c>
      <c r="GU59" s="2741">
        <f t="shared" si="187"/>
        <v>1243665.2488599999</v>
      </c>
      <c r="GV59" s="2548" t="str">
        <f>+IF(OR(GO59="",IF(R59="",R53,R59)=""),"",GO59/IF(R59="",R53,R59))</f>
        <v/>
      </c>
      <c r="GW59" s="2549" t="str">
        <f>+IF(OR(GP59="",IF(R59="",R53,R59)=""),"",GP59/IF(R59="",R53,R59))</f>
        <v/>
      </c>
      <c r="GX59" s="2547" t="str">
        <f>+IF(OR(GQ59="",IF(R59="",R53,R59)=""),"",GQ59/IF(R59="",R53,R59))</f>
        <v/>
      </c>
      <c r="GY59" s="2547" t="str">
        <f>+IF(OR(GR59="",IF(R59="",R53,R59)=""),"",GR59/IF(R59="",R53,R59))</f>
        <v/>
      </c>
      <c r="GZ59" s="2547">
        <f>+IF(OR(GS59="",IF(R59="",R53,R59)=""),"",GS59/IF(R59="",R53,R59))</f>
        <v>299936.24885999999</v>
      </c>
      <c r="HA59" s="2547">
        <f>+IF(OR(GT59="",IF(R59="",R53,R59)=""),"",GT59/IF(R59="",R53,R59))</f>
        <v>943729</v>
      </c>
      <c r="HB59" s="3243">
        <f t="shared" si="22"/>
        <v>1243665.2488599999</v>
      </c>
      <c r="HC59" s="2550">
        <f>+IF(OR(GU59="",IF(R59="",R53,R59)=""),"",GU59/IF(R59="",R53,R59))</f>
        <v>1243665.2488599999</v>
      </c>
      <c r="HD59" s="3470">
        <f t="shared" si="220"/>
        <v>0</v>
      </c>
      <c r="HE59" s="2543"/>
      <c r="HF59" s="2557">
        <f t="shared" si="107"/>
        <v>841377</v>
      </c>
      <c r="HG59" s="2544"/>
      <c r="HH59" s="2985">
        <f t="shared" si="221"/>
        <v>3</v>
      </c>
      <c r="HI59" s="3067">
        <f t="shared" si="222"/>
        <v>7263410</v>
      </c>
      <c r="HJ59" s="3080">
        <f t="shared" si="223"/>
        <v>0</v>
      </c>
      <c r="HK59" s="3080">
        <f t="shared" si="224"/>
        <v>0</v>
      </c>
      <c r="HL59" s="3080" t="str">
        <f t="shared" si="225"/>
        <v/>
      </c>
      <c r="HM59" s="3093">
        <f t="shared" si="226"/>
        <v>7263410</v>
      </c>
      <c r="HN59" s="3101">
        <f>+IF(FR59="","",HM59/IF(T59="",IF(T53="",1,T53),T59))</f>
        <v>386351.59574468085</v>
      </c>
      <c r="HO59" s="3148">
        <f t="shared" si="227"/>
        <v>714287</v>
      </c>
      <c r="HP59" s="3080">
        <f t="shared" si="228"/>
        <v>1392087</v>
      </c>
      <c r="HQ59" s="3149">
        <f t="shared" si="229"/>
        <v>749582.72</v>
      </c>
      <c r="HR59" s="3126">
        <f t="shared" si="230"/>
        <v>71428.7</v>
      </c>
      <c r="HS59" s="3126">
        <f t="shared" si="231"/>
        <v>821011.41999999993</v>
      </c>
      <c r="HT59" s="2551" t="str">
        <f t="shared" si="232"/>
        <v/>
      </c>
      <c r="HU59" s="2552" t="str">
        <f t="shared" si="233"/>
        <v/>
      </c>
      <c r="HV59" s="3137">
        <f t="shared" si="234"/>
        <v>509539.77100000001</v>
      </c>
      <c r="HW59" s="3123">
        <f t="shared" si="235"/>
        <v>509539.77100000001</v>
      </c>
      <c r="HX59" s="3137">
        <f t="shared" si="199"/>
        <v>11209874.961999999</v>
      </c>
      <c r="HY59" s="3080">
        <f>+IF(EZ59="","",EZ59/IF(R59="",IF(R53="",1,R53),R59))</f>
        <v>1500000</v>
      </c>
      <c r="HZ59" s="3126">
        <f>+IF(FA59="","",FA59/IF(R59="",IF(R53="",1,R53),R59))</f>
        <v>288000</v>
      </c>
      <c r="IA59" s="3067">
        <f t="shared" si="236"/>
        <v>9997874.9619999994</v>
      </c>
      <c r="IB59" s="3521" t="str">
        <f t="shared" si="237"/>
        <v>same TCC</v>
      </c>
      <c r="IC59" s="3101">
        <f>+IF(IA59="","",IA59/IF(T59="",IF(T53="",1,T53),T59))</f>
        <v>531801.85968085099</v>
      </c>
      <c r="ID59" s="2551"/>
      <c r="IE59" s="4100"/>
      <c r="IF59" s="3137" t="str">
        <f t="shared" si="238"/>
        <v/>
      </c>
      <c r="IG59" s="6771"/>
      <c r="IH59" s="4174" t="str">
        <f t="shared" si="239"/>
        <v/>
      </c>
      <c r="II59" s="4175"/>
      <c r="IJ59" s="4175" t="str">
        <f t="shared" si="240"/>
        <v/>
      </c>
      <c r="IK59" s="4132">
        <v>1</v>
      </c>
      <c r="IL59" s="2527" t="str">
        <f t="shared" si="241"/>
        <v/>
      </c>
      <c r="IM59" s="2525">
        <f t="shared" si="242"/>
        <v>399914.99848000001</v>
      </c>
      <c r="IN59" s="4230">
        <f t="shared" si="243"/>
        <v>399914.99848000001</v>
      </c>
      <c r="IO59" s="4230">
        <f t="shared" si="244"/>
        <v>399914.99848000001</v>
      </c>
      <c r="IP59" s="4230" t="str">
        <f t="shared" si="305"/>
        <v/>
      </c>
      <c r="IQ59" s="6844" t="str">
        <f t="shared" si="306"/>
        <v/>
      </c>
      <c r="IR59" s="4230">
        <f t="shared" si="307"/>
        <v>399914.99848000001</v>
      </c>
      <c r="IS59" s="6844">
        <f t="shared" si="308"/>
        <v>0.2976347138718895</v>
      </c>
      <c r="IT59" s="4230">
        <f t="shared" si="249"/>
        <v>399914.99848000001</v>
      </c>
      <c r="IU59" s="6844">
        <f t="shared" si="250"/>
        <v>0.2976347138718895</v>
      </c>
      <c r="IV59" s="4132">
        <f t="shared" si="251"/>
        <v>1</v>
      </c>
      <c r="IW59" s="2525">
        <f t="shared" si="252"/>
        <v>943728.6688784213</v>
      </c>
      <c r="IX59" s="3101">
        <f t="shared" si="253"/>
        <v>1343643.6673584213</v>
      </c>
      <c r="IY59" s="4248">
        <f t="shared" si="254"/>
        <v>1243665.2488599999</v>
      </c>
      <c r="IZ59" s="4284">
        <f t="shared" si="255"/>
        <v>-8.0390136003290341E-2</v>
      </c>
      <c r="JA59" s="4285">
        <f t="shared" si="256"/>
        <v>-8.0390136003290341E-2</v>
      </c>
      <c r="JB59" s="2552"/>
      <c r="JC59" s="4327"/>
      <c r="JD59" s="2557">
        <f t="shared" si="257"/>
        <v>908960.94244682661</v>
      </c>
      <c r="JE59" s="4361">
        <f t="shared" si="258"/>
        <v>1658762.8238712142</v>
      </c>
      <c r="JF59" s="7032">
        <f>+JF58</f>
        <v>18.8</v>
      </c>
      <c r="JG59" s="2527" t="s">
        <v>2437</v>
      </c>
      <c r="JH59" s="6963">
        <f t="shared" si="259"/>
        <v>11209874.961999999</v>
      </c>
      <c r="JI59" s="6963">
        <f>+JH59</f>
        <v>11209874.961999999</v>
      </c>
      <c r="JJ59" s="6963"/>
      <c r="JK59" s="6963"/>
      <c r="JL59" s="7000"/>
      <c r="JM59" s="2524" t="str">
        <f t="shared" si="260"/>
        <v>N/A</v>
      </c>
      <c r="JN59" s="2527" t="str">
        <f t="shared" si="261"/>
        <v/>
      </c>
      <c r="JO59" s="2527">
        <f>+JI59</f>
        <v>11209874.961999999</v>
      </c>
      <c r="JP59" s="7077"/>
      <c r="JQ59" s="7077"/>
      <c r="JR59" s="2527"/>
      <c r="JS59" s="2525">
        <f t="shared" si="262"/>
        <v>11209874.961999999</v>
      </c>
      <c r="JT59" s="7142">
        <f t="shared" si="263"/>
        <v>2</v>
      </c>
      <c r="JU59" s="7143">
        <f t="shared" si="300"/>
        <v>19</v>
      </c>
      <c r="JV59" s="8370">
        <f t="shared" si="301"/>
        <v>4811</v>
      </c>
      <c r="JW59" s="8397">
        <f t="shared" si="149"/>
        <v>0.81002759889604403</v>
      </c>
      <c r="JX59" s="8426">
        <f t="shared" si="264"/>
        <v>1263.1578947368421</v>
      </c>
      <c r="JY59" s="8461">
        <f t="shared" si="265"/>
        <v>7.0000000000000007E-2</v>
      </c>
      <c r="JZ59" s="7144">
        <f t="shared" si="266"/>
        <v>1399.8072289156626</v>
      </c>
      <c r="KA59" s="7142" t="str">
        <f t="shared" si="267"/>
        <v/>
      </c>
      <c r="KB59" s="7143" t="str">
        <f t="shared" si="268"/>
        <v/>
      </c>
      <c r="KC59" s="7144" t="str">
        <f t="shared" si="201"/>
        <v/>
      </c>
      <c r="KD59" s="7142">
        <f t="shared" si="269"/>
        <v>806.43600000000004</v>
      </c>
      <c r="KE59" s="8334">
        <f t="shared" si="270"/>
        <v>504.48518859245615</v>
      </c>
      <c r="KF59" s="8334">
        <f t="shared" si="271"/>
        <v>338.30183235023532</v>
      </c>
      <c r="KG59" s="7143">
        <f t="shared" si="272"/>
        <v>2542.7498313253013</v>
      </c>
      <c r="KH59" s="7143">
        <f t="shared" si="273"/>
        <v>693.25376000000006</v>
      </c>
      <c r="KI59" s="7143">
        <f t="shared" si="274"/>
        <v>69.325376000000006</v>
      </c>
      <c r="KJ59" s="7143">
        <f t="shared" si="275"/>
        <v>4954.5519882679919</v>
      </c>
      <c r="KK59" s="7143">
        <f>+IF(OR(D59="",JU59="",JV59=""),"",$KK$7*$KG$4*JU59)</f>
        <v>1993.2368000000001</v>
      </c>
      <c r="KL59" s="7143">
        <f t="shared" si="276"/>
        <v>798.70359104249997</v>
      </c>
      <c r="KM59" s="7143">
        <f t="shared" si="277"/>
        <v>2791.9403910424999</v>
      </c>
      <c r="KN59" s="7143" t="str">
        <f t="shared" si="278"/>
        <v/>
      </c>
      <c r="KO59" s="7143">
        <f t="shared" si="279"/>
        <v>2791.9403910424999</v>
      </c>
      <c r="KP59" s="7144">
        <f t="shared" si="280"/>
        <v>7746.4923793104917</v>
      </c>
      <c r="KQ59" s="2534">
        <f>+IF(D59="","",VLOOKUP(MATCH(BE59,ac_id,0),ad,ac!$F$8,FALSE)*JV59)</f>
        <v>1443.3</v>
      </c>
      <c r="KR59" s="7077">
        <f>+IF(D59="","",IF(JT59=1,VLOOKUP(MATCH(BE59,ac_id,0),ad,ac!$H$8,FALSE)*JU59, (VLOOKUP(MATCH(BE59,ac_id,0),ad,ac!$H$8,FALSE)*JU59^(1+VLOOKUP(MATCH(BE59,ac_id,0),ad,ac!$I$8,FALSE)))))</f>
        <v>16544.904554946788</v>
      </c>
      <c r="KS59" s="2525">
        <f t="shared" si="281"/>
        <v>17988.204554946788</v>
      </c>
      <c r="KT59" s="2534">
        <f t="shared" si="282"/>
        <v>1675.1642346254998</v>
      </c>
      <c r="KU59" s="2527">
        <f t="shared" si="283"/>
        <v>448394.99848000001</v>
      </c>
      <c r="KV59" s="7382">
        <f t="shared" si="284"/>
        <v>1</v>
      </c>
      <c r="KW59" s="7284">
        <f t="shared" si="285"/>
        <v>961925.16846820922</v>
      </c>
      <c r="KX59" s="2525">
        <f t="shared" si="286"/>
        <v>1411995.3311828347</v>
      </c>
      <c r="KY59" s="2542">
        <f t="shared" si="287"/>
        <v>1419741.8235621452</v>
      </c>
      <c r="KZ59" s="7383"/>
      <c r="LA59" s="7284">
        <f t="shared" si="288"/>
        <v>960440.5523030546</v>
      </c>
      <c r="LB59" s="7295">
        <f t="shared" si="289"/>
        <v>1752707.9638978445</v>
      </c>
      <c r="LC59" s="5133"/>
      <c r="LD59" s="5132"/>
      <c r="LE59" s="5132"/>
      <c r="LF59" s="5132"/>
      <c r="LG59" s="5132"/>
      <c r="LH59" s="5132"/>
      <c r="LI59" s="5132"/>
      <c r="LJ59" s="5132"/>
    </row>
    <row r="60" spans="1:322" s="645" customFormat="1" ht="27.95" customHeight="1" thickBot="1">
      <c r="A60" s="10563"/>
      <c r="B60" s="10718" t="str">
        <f>+IF(A60="","",VLOOKUP(MATCH(A60,tid,0),tao,'12(id)'!$J$20,FALSE))</f>
        <v/>
      </c>
      <c r="C60" s="10717"/>
      <c r="D60" s="1117" t="str">
        <f t="shared" si="48"/>
        <v/>
      </c>
      <c r="E60" s="874"/>
      <c r="F60" s="874" t="str">
        <f t="shared" si="49"/>
        <v/>
      </c>
      <c r="G60" s="5133"/>
      <c r="H60" s="5132"/>
      <c r="I60" s="5133"/>
      <c r="J60" s="719">
        <f t="shared" si="68"/>
        <v>26</v>
      </c>
      <c r="K60" s="9664"/>
      <c r="L60" s="9645"/>
      <c r="M60" s="9647"/>
      <c r="N60" s="9645"/>
      <c r="O60" s="9645"/>
      <c r="P60" s="9645"/>
      <c r="Q60" s="9681" t="str">
        <f>+IF(ISERROR(MATCH(O60,tid,0)),"",VLOOKUP(MATCH(O60,tid,0),tao,'12(id)'!$Q$20,FALSE))</f>
        <v/>
      </c>
      <c r="R60" s="9645"/>
      <c r="S60" s="9645"/>
      <c r="T60" s="10317" t="str">
        <f>+IF(ISERROR(MATCH(O60,tid,0)),"",IF(VLOOKUP(MATCH(O60,tid,0),tao,'12(id)'!$CT$20,FALSE)="","",VLOOKUP(MATCH(O60,tid,0),tao,'12(id)'!$CT$20,FALSE)))</f>
        <v/>
      </c>
      <c r="U60" s="10317" t="str">
        <f>+IF(ISERROR(MATCH(O60,tid,0)),"",IF(VLOOKUP(MATCH(O60,tid,0),tao,'12(id)'!$CU$20,FALSE)="","",VLOOKUP(MATCH(O60,tid,0),tao,'12(id)'!$CU$20,FALSE)))</f>
        <v/>
      </c>
      <c r="V60" s="9487" t="str">
        <f>+IF(O60="","",IF(VLOOKUP(MATCH(O60,tid,0),tao,'12(id)'!$T$20,FALSE)="","",VLOOKUP(MATCH(O60,tid,0),tao,'12(id)'!$T$20,FALSE)))</f>
        <v/>
      </c>
      <c r="W60" s="9487" t="str">
        <f>+IF(ISERROR(MATCH(O60,tid,0)),"",IF(VLOOKUP(MATCH(O60,tid,0),tao,'12(id)'!$CO$20,FALSE)="","",VLOOKUP(MATCH(O60,tid,0),tao,'12(id)'!$CO$20,FALSE)))</f>
        <v/>
      </c>
      <c r="X60" s="9487" t="str">
        <f>+IF(ISERROR(MATCH(O60,tid,0)),"",IF(VLOOKUP(MATCH(O60,tid,0),tao,'12(id)'!$CP$20,FALSE)="","",VLOOKUP(MATCH(O60,tid,0),tao,'12(id)'!$CP$20,FALSE)))</f>
        <v/>
      </c>
      <c r="Y60" s="9487"/>
      <c r="Z60" s="9519" t="str">
        <f>+IF(ISERROR(MATCH(O60,tid,0)),"",VLOOKUP(MATCH(O60,tid,0),tao,'12(id)'!$DB$20,FALSE)&amp;" "&amp;VLOOKUP(MATCH(O60,tid,0),tao,'12(id)'!$DC$20,FALSE))</f>
        <v/>
      </c>
      <c r="AA60" s="9519" t="str">
        <f>+IF(ISERROR(MATCH(O60,tid,0)),"",IF(VLOOKUP(MATCH(O60,tid,0),tao,'12(id)'!$DE$20,FALSE)="","",ROUND(VLOOKUP(MATCH(O60,tid,0),tao,'12(id)'!$DE$20,FALSE),0)&amp;" yrs"))</f>
        <v/>
      </c>
      <c r="AB60" s="9645" t="str">
        <f>+IF(ISERROR(MATCH(O60,tid,0)),"",VLOOKUP(MATCH(O60,tid,0),tao,'12(id)'!$DI$20,FALSE))</f>
        <v/>
      </c>
      <c r="AC60" s="9645" t="str">
        <f>+IF(ISERROR(MATCH(O60,tid,0)),"",IF(VLOOKUP(MATCH(O60,tid,0),tao,'12(id)'!$DQ$20,FALSE)="","",VLOOKUP(MATCH(O60,tid,0),tao,'12(id)'!$DQ$20,FALSE)))</f>
        <v/>
      </c>
      <c r="AD60" s="10672" t="str">
        <f>+IF(ISERROR(MATCH(O60,tid,0)),"",IF(VLOOKUP(MATCH(O60,tid,0),tao,'12(id)'!$EI$20,FALSE)="","",VLOOKUP(MATCH(O60,tid,0),tao,'12(id)'!$EI$20,FALSE)))</f>
        <v/>
      </c>
      <c r="AE60" s="10767"/>
      <c r="AF60" s="10672" t="str">
        <f>+IF(ISERROR(MATCH(O60,tid,0)),"",IF(VLOOKUP(MATCH(O60,tid,0),tao,'12(id)'!$EL$20,FALSE)="","",VLOOKUP(MATCH(O60,tid,0),tao,'12(id)'!$EL$20,FALSE)))</f>
        <v/>
      </c>
      <c r="AG60" s="10692" t="str">
        <f>+IF(ISERROR(MATCH(O60,tid,0)),"",IF(VLOOKUP(MATCH(O60,tid,0),tao,'12(id)'!$EM$20,FALSE)="","",VLOOKUP(MATCH(O60,tid,0),tao,'12(id)'!$EM$20,FALSE)))</f>
        <v/>
      </c>
      <c r="AH60" s="10686"/>
      <c r="AI60" s="10683"/>
      <c r="AJ60" s="10689"/>
      <c r="AK60" s="10689"/>
      <c r="AL60" s="10689"/>
      <c r="AM60" s="10677"/>
      <c r="AN60" s="10680"/>
      <c r="AO60" s="10343" t="str">
        <f>+IF(ISERROR(MATCH(O60,tid,0)),"",IF(VLOOKUP(MATCH(O60,tid,0),tao,'12(id)'!$GY$20,FALSE)="","",VLOOKUP(MATCH(O60,tid,0),tao,'12(id)'!$GY$20,FALSE)))</f>
        <v/>
      </c>
      <c r="AP60" s="10293" t="str">
        <f>+IF($BB60="","",IF(VLOOKUP(MATCH(O60,tid,0),tao,'12(id)'!$HE$20,FALSE)="","",VLOOKUP(MATCH(O60,tid,0),tao,'12(id)'!$HE$20,FALSE)))</f>
        <v/>
      </c>
      <c r="AQ60" s="10343" t="str">
        <f>+IF(ISERROR(VLOOKUP(MATCH(O60,tid,0),tao,'12(id)'!$HF$20,FALSE)),"",VLOOKUP(MATCH(O60,tid,0),tao,'12(id)'!$HF$20,FALSE))</f>
        <v/>
      </c>
      <c r="AR60" s="10337" t="str">
        <f>+IF(ISERROR(MATCH(O60,tid,0)),"",IF(VLOOKUP(MATCH(O60,tid,0),tao,'12(id)'!$HJ$20,FALSE)="","",VLOOKUP(MATCH(O60,tid,0),tao,'12(id)'!$HJ$20,FALSE)))</f>
        <v/>
      </c>
      <c r="AS60" s="10340" t="str">
        <f>+IF(ISERROR(MATCH(O60,tid,0)),"",IF(VLOOKUP(MATCH(O60,tid,0),tao,'12(id)'!$HK$20,FALSE)="","",VLOOKUP(MATCH(O60,tid,0),tao,'12(id)'!$HK$20,FALSE)))</f>
        <v/>
      </c>
      <c r="AT60" s="10695" t="str">
        <f>+IF(ISERROR(MATCH(O60,tid,0)),"",IF(VLOOKUP(MATCH(O60,tid,0),tao,'12(id)'!$HM$20,FALSE)="","",VLOOKUP(MATCH(O60,tid,0),tao,'12(id)'!$HM$20,FALSE)))</f>
        <v/>
      </c>
      <c r="AU60" s="10360"/>
      <c r="AV60" s="10396" t="str">
        <f>+IF(ISERROR(MATCH(O60,em_id,0)),"",IF(VLOOKUP(MATCH(O60,em_id,0),em,'5(em)'!$CX$18,FALSE)="","",VLOOKUP(MATCH(O60,em_id,0),em,'5(em)'!$CX$18,FALSE)))</f>
        <v/>
      </c>
      <c r="AW60" s="10393" t="str">
        <f>+IF(ISERROR(MATCH(O60,em_id,0)),"",IF(VLOOKUP(MATCH(O60,em_id,0),em,'5(em)'!$CZ$18,FALSE)="","",VLOOKUP(MATCH(O60,em_id,0),em,'5(em)'!$CZ$18,FALSE)))</f>
        <v/>
      </c>
      <c r="AX60" s="10331" t="str">
        <f t="shared" si="50"/>
        <v/>
      </c>
      <c r="AY60" s="10396"/>
      <c r="AZ60" s="10401" t="str">
        <f>+IF(ISERROR(MATCH(O60,em_id,0)),"",IF(VLOOKUP(MATCH(O60,em_id,0),em,'5(em)'!$DA$18,FALSE)="","",VLOOKUP(MATCH(O60,em_id,0),em,'5(em)'!$DA$18,FALSE)))</f>
        <v/>
      </c>
      <c r="BA60" s="873"/>
      <c r="BB60" s="874" t="str">
        <f>+IF(BC60="","",IF(R60=1,(IF(O60="",LEFT(BB58,7),O60)&amp;"-0"&amp;BC60),IF(AND(LEFT(O60,4)=LEFT(O58,4),R60&gt;1),IF(LEFT(C60,1)=LEFT(C58,1),LEFT(BB58,9),O60&amp;"-0")&amp;BC60,IF(O60="",LEFT(BB58,9)&amp;BC60,O60&amp;"-0"&amp;BC60))))</f>
        <v/>
      </c>
      <c r="BC60" s="820"/>
      <c r="BD60" s="874"/>
      <c r="BE60" s="883"/>
      <c r="BF60" s="883"/>
      <c r="BG60" s="875"/>
      <c r="BH60" s="894"/>
      <c r="BI60" s="895"/>
      <c r="BJ60" s="876"/>
      <c r="BK60" s="876"/>
      <c r="BL60" s="876"/>
      <c r="BM60" s="876"/>
      <c r="BN60" s="876" t="str">
        <f t="shared" si="12"/>
        <v/>
      </c>
      <c r="BO60" s="876" t="str">
        <f t="shared" si="13"/>
        <v/>
      </c>
      <c r="BP60" s="876" t="str">
        <f t="shared" si="14"/>
        <v/>
      </c>
      <c r="BQ60" s="876" t="str">
        <f>+IF($BB60="","",IF(OR($AK60="",BJ60=""),"",(1-BJ58/$AK60)))</f>
        <v/>
      </c>
      <c r="BR60" s="877"/>
      <c r="BS60" s="878"/>
      <c r="BT60" s="879"/>
      <c r="BU60" s="3727"/>
      <c r="BV60" s="3747"/>
      <c r="BW60" s="880"/>
      <c r="BX60" s="3834"/>
      <c r="BY60" s="3830" t="str">
        <f>+IF($BB60="","",IF(OR(BU60="",$AQ60=""),"",BU60/2000*$AQ60))</f>
        <v/>
      </c>
      <c r="BZ60" s="1059"/>
      <c r="CA60" s="3413"/>
      <c r="CB60" s="3847" t="str">
        <f>+IF($BB60="","",IF(BX60="","",$AT60-BX60))</f>
        <v/>
      </c>
      <c r="CC60" s="3882" t="str">
        <f>+IF($BB60="","",IF(CB60="","",CB60/$AT60))</f>
        <v/>
      </c>
      <c r="CD60" s="3882" t="str">
        <f>+IF($BB60="","",IF(BU60="","",(1-BU60/$AR60)))</f>
        <v/>
      </c>
      <c r="CE60" s="3901" t="str">
        <f>+IF(BB60="","",IF(VLOOKUP(MATCH(BB60,ef_id,0),ef,'11(eff)'!$AE$23,FALSE)="","",VLOOKUP(MATCH(BB60,ef_id,0),ef,'11(eff)'!$AE$23,FALSE)))</f>
        <v/>
      </c>
      <c r="CF60" s="878"/>
      <c r="CG60" s="879"/>
      <c r="CH60" s="2402"/>
      <c r="CI60" s="3847"/>
      <c r="CJ60" s="4061"/>
      <c r="CK60" s="3847" t="str">
        <f>+IF($BB60="","",IF(OR($AW60="",CI60=""),"",CI60/2000*$AW60))</f>
        <v/>
      </c>
      <c r="CL60" s="3923" t="str">
        <f>+IF($BB60="","",IF(CK60="","",$AZ60-CK60))</f>
        <v/>
      </c>
      <c r="CM60" s="3956" t="str">
        <f>+IF($BB60="","",IF(CL60="","",CL60/$AZ60))</f>
        <v/>
      </c>
      <c r="CN60" s="3956" t="str">
        <f>+IF($BB60="","",IF(CI60="","",(1-CI60/$AX60)))</f>
        <v/>
      </c>
      <c r="CO60" s="3957"/>
      <c r="CP60" s="3958"/>
      <c r="CQ60" s="873" t="str">
        <f t="shared" si="51"/>
        <v/>
      </c>
      <c r="CR60" s="881"/>
      <c r="CS60" s="2757"/>
      <c r="CT60" s="1584"/>
      <c r="CU60" s="1492"/>
      <c r="CV60" s="1831" t="str">
        <f t="shared" ref="CV60:CV91" si="309">+IF(CT60="","",CT60-CU60-SUM(CW60:DH60)-DJ60)</f>
        <v/>
      </c>
      <c r="CW60" s="1832"/>
      <c r="CX60" s="1832"/>
      <c r="CY60" s="1833"/>
      <c r="CZ60" s="2469"/>
      <c r="DA60" s="2443"/>
      <c r="DB60" s="2443"/>
      <c r="DC60" s="1831"/>
      <c r="DD60" s="1835"/>
      <c r="DE60" s="1836"/>
      <c r="DF60" s="1837"/>
      <c r="DG60" s="1837"/>
      <c r="DH60" s="1835"/>
      <c r="DI60" s="1688" t="str">
        <f>+IF(CT60="","",SUM(CU60:DC60))</f>
        <v/>
      </c>
      <c r="DJ60" s="1934"/>
      <c r="DK60" s="1584"/>
      <c r="DL60" s="1492"/>
      <c r="DM60" s="1831" t="str">
        <f t="shared" ref="DM60:DM91" si="310">+IF(DK60="","",DK60-DL60-SUM(DN60:DY60)-EA60)</f>
        <v/>
      </c>
      <c r="DN60" s="1832"/>
      <c r="DO60" s="1832"/>
      <c r="DP60" s="1833"/>
      <c r="DQ60" s="2469"/>
      <c r="DR60" s="2443"/>
      <c r="DS60" s="2443"/>
      <c r="DT60" s="1831"/>
      <c r="DU60" s="1835"/>
      <c r="DV60" s="1836"/>
      <c r="DW60" s="1837"/>
      <c r="DX60" s="1837"/>
      <c r="DY60" s="1835"/>
      <c r="DZ60" s="1688" t="str">
        <f t="shared" si="18"/>
        <v/>
      </c>
      <c r="EA60" s="1934"/>
      <c r="EB60" s="1492" t="str">
        <f t="shared" si="19"/>
        <v/>
      </c>
      <c r="EC60" s="1958"/>
      <c r="ED60" s="2558" t="str">
        <f t="shared" si="20"/>
        <v/>
      </c>
      <c r="EE60" s="1834"/>
      <c r="EF60" s="2443"/>
      <c r="EG60" s="1979"/>
      <c r="EH60" s="1688" t="str">
        <f t="shared" si="205"/>
        <v/>
      </c>
      <c r="EI60" s="1836"/>
      <c r="EJ60" s="1837"/>
      <c r="EK60" s="2003"/>
      <c r="EL60" s="1452"/>
      <c r="EM60" s="1836"/>
      <c r="EN60" s="1837"/>
      <c r="EO60" s="2003"/>
      <c r="EP60" s="1688" t="str">
        <f t="shared" si="21"/>
        <v/>
      </c>
      <c r="EQ60" s="1688"/>
      <c r="ER60" s="1688"/>
      <c r="ES60" s="1688"/>
      <c r="ET60" s="1452"/>
      <c r="EU60" s="1425"/>
      <c r="EV60" s="1387"/>
      <c r="EW60" s="2577"/>
      <c r="EX60" s="2577"/>
      <c r="EY60" s="2684" t="str">
        <f t="shared" si="92"/>
        <v/>
      </c>
      <c r="EZ60" s="2713"/>
      <c r="FA60" s="1387"/>
      <c r="FB60" s="1474"/>
      <c r="FC60" s="2600" t="str">
        <f>+IF(OR(ED60="",IF(R60="",R58,R60)=""),"",ED60/IF(R60="",R58,R60))</f>
        <v/>
      </c>
      <c r="FD60" s="2616" t="str">
        <f>+IF(ISERR(FC60-(#REF!+#REF!+FS60)),"",FC60-(#REF!+#REF!+FS60))</f>
        <v/>
      </c>
      <c r="FE60" s="2617"/>
      <c r="FF60" s="2616"/>
      <c r="FG60" s="2617"/>
      <c r="FH60" s="2616"/>
      <c r="FI60" s="2617"/>
      <c r="FJ60" s="2618"/>
      <c r="FK60" s="2617"/>
      <c r="FL60" s="2655"/>
      <c r="FM60" s="2617"/>
      <c r="FN60" s="2616" t="str">
        <f>+IF(OR(BB60="",CT60="",IF(R60="",R53,R60)=""),"",(DD60+DU60)/IF(R60="",R53,R60))</f>
        <v/>
      </c>
      <c r="FO60" s="2617" t="str">
        <f t="shared" si="302"/>
        <v/>
      </c>
      <c r="FP60" s="2616" t="str">
        <f>+IF(OR(BB60="",CT60="",IF(R60="",R53,R60)=""),"",(DG60+DH60+DX60+DY60)/IF(R60="",R53,R60))</f>
        <v/>
      </c>
      <c r="FQ60" s="2617" t="str">
        <f t="shared" si="303"/>
        <v/>
      </c>
      <c r="FR60" s="2842" t="str">
        <f>+IF(OR(BB60="",IF(R60="",R53,R60)="",(IF(DI60="",0,DI60)+IF(DZ60="",0,DZ60))=0),"",(IF(DI60="",0,DI60)+IF(DZ60="",0,DZ60))/IF(R60="",R53,R60))</f>
        <v/>
      </c>
      <c r="FS60" s="2872" t="str">
        <f>+IF(OR(DJ60="",IF(R60="",R53,R60)=""),"",(DJ60+EA60)/IF(R60="",R53,R60))</f>
        <v/>
      </c>
      <c r="FT60" s="2066" t="str">
        <f t="shared" si="304"/>
        <v/>
      </c>
      <c r="FU60" s="2886" t="str">
        <f>+IF(OR(BB60="",ISERROR(1-(FR60+IF(FS60="",0,FS60)+FN60+FP60)*IF(R60="",R53,R60)/(CT60+DK60))),"",1-(FR60+IF(FS60="",0,FS60)+FN60+FP60)*IF(R60="",R53,R60)/(CT60+DK60))</f>
        <v/>
      </c>
      <c r="FV60" s="2654" t="str">
        <f>+IF(FC60="","",FC60/IF(T60="",IF(T53="",1,T53),T60))</f>
        <v/>
      </c>
      <c r="FW60" s="2655" t="str">
        <f>+IF(OR(EH60="",IF(R60="",R53,R60)=""),"",EH60/IF(R60="",R53,R60))</f>
        <v/>
      </c>
      <c r="FX60" s="2656" t="str">
        <f t="shared" si="216"/>
        <v/>
      </c>
      <c r="FY60" s="2616" t="str">
        <f>+IF(OR(EP60="",IF(R60="",R53,R60)=""),"",EP60/IF(R60="",R53,R60))</f>
        <v/>
      </c>
      <c r="FZ60" s="2656" t="str">
        <f t="shared" si="217"/>
        <v/>
      </c>
      <c r="GA60" s="2656"/>
      <c r="GB60" s="2616"/>
      <c r="GC60" s="2656"/>
      <c r="GD60" s="2656"/>
      <c r="GE60" s="2657"/>
      <c r="GF60" s="2658"/>
      <c r="GG60" s="2659" t="str">
        <f>+IF(OR(CS60="",IF(R60="",R53,R60)=""),"",1-(CS60/IF(R60="",R53,R60))/GF60)</f>
        <v/>
      </c>
      <c r="GH60" s="2660" t="str">
        <f>+IF(IF(T60="",T53,T60)="","",IF(GF60="","",GF60/IF(T60="",T53,T60)))</f>
        <v/>
      </c>
      <c r="GI60" s="2657"/>
      <c r="GJ60" s="3237"/>
      <c r="GK60" s="3445" t="str">
        <f>+IF(OR(BB60="",GJ60=""),"",IF(CB60="",1,CB60*IF(R60="",R59,R60)))</f>
        <v/>
      </c>
      <c r="GL60" s="3221" t="str">
        <f t="shared" si="219"/>
        <v/>
      </c>
      <c r="GM60" s="1240"/>
      <c r="GN60" s="1243"/>
      <c r="GO60" s="2301"/>
      <c r="GP60" s="2302"/>
      <c r="GQ60" s="2222"/>
      <c r="GR60" s="2222"/>
      <c r="GS60" s="2222"/>
      <c r="GT60" s="2222"/>
      <c r="GU60" s="2205"/>
      <c r="GV60" s="1241" t="str">
        <f>+IF(OR(GO60="",IF(R60="",R53,R60)=""),"",GO60/IF(R60="",R53,R60))</f>
        <v/>
      </c>
      <c r="GW60" s="2252" t="str">
        <f>+IF(OR(GP60="",IF(R60="",R53,R60)=""),"",GP60/IF(R60="",R53,R60))</f>
        <v/>
      </c>
      <c r="GX60" s="2222" t="str">
        <f>+IF(OR(GQ60="",IF(R60="",R53,R60)=""),"",GQ60/IF(R60="",R53,R60))</f>
        <v/>
      </c>
      <c r="GY60" s="2222" t="str">
        <f>+IF(OR(GR60="",IF(R60="",R53,R60)=""),"",GR60/IF(R60="",R53,R60))</f>
        <v/>
      </c>
      <c r="GZ60" s="2222" t="str">
        <f>+IF(OR(GS60="",IF(R60="",R53,R60)=""),"",GS60/IF(R60="",R53,R60))</f>
        <v/>
      </c>
      <c r="HA60" s="2222" t="str">
        <f>+IF(OR(GT60="",IF(R60="",R53,R60)=""),"",GT60/IF(R60="",R53,R60))</f>
        <v/>
      </c>
      <c r="HB60" s="3244" t="str">
        <f t="shared" si="22"/>
        <v/>
      </c>
      <c r="HC60" s="1242" t="str">
        <f>+IF(OR(GU60="",IF(R60="",R53,R60)=""),"",GU60/IF(R60="",R53,R60))</f>
        <v/>
      </c>
      <c r="HD60" s="3471" t="str">
        <f t="shared" si="220"/>
        <v/>
      </c>
      <c r="HE60" s="1240"/>
      <c r="HF60" s="3195" t="str">
        <f t="shared" si="107"/>
        <v/>
      </c>
      <c r="HG60" s="1243" t="str">
        <f t="shared" si="23"/>
        <v/>
      </c>
      <c r="HH60" s="2986"/>
      <c r="HI60" s="3068"/>
      <c r="HJ60" s="3081"/>
      <c r="HK60" s="3081"/>
      <c r="HL60" s="3081"/>
      <c r="HM60" s="3094"/>
      <c r="HN60" s="3102" t="str">
        <f>+IF(FR60="","",HM60/IF(T60="",IF(T53="",1,T53),T60))</f>
        <v/>
      </c>
      <c r="HO60" s="1244"/>
      <c r="HP60" s="1238"/>
      <c r="HQ60" s="1239"/>
      <c r="HR60" s="1245"/>
      <c r="HS60" s="1245"/>
      <c r="HT60" s="1244"/>
      <c r="HU60" s="1245"/>
      <c r="HV60" s="3138"/>
      <c r="HW60" s="3124"/>
      <c r="HX60" s="3138" t="str">
        <f t="shared" si="199"/>
        <v/>
      </c>
      <c r="HY60" s="3081"/>
      <c r="HZ60" s="3127"/>
      <c r="IA60" s="3068"/>
      <c r="IB60" s="1239" t="str">
        <f t="shared" si="237"/>
        <v/>
      </c>
      <c r="IC60" s="3102"/>
      <c r="ID60" s="1244"/>
      <c r="IE60" s="1239"/>
      <c r="IF60" s="3138"/>
      <c r="IG60" s="6772"/>
      <c r="IH60" s="4176"/>
      <c r="II60" s="4177"/>
      <c r="IJ60" s="4177"/>
      <c r="IK60" s="4133"/>
      <c r="IL60" s="2443"/>
      <c r="IM60" s="1833"/>
      <c r="IN60" s="4231"/>
      <c r="IO60" s="4231"/>
      <c r="IP60" s="4231"/>
      <c r="IQ60" s="6845"/>
      <c r="IR60" s="4231"/>
      <c r="IS60" s="6845"/>
      <c r="IT60" s="4231"/>
      <c r="IU60" s="6845"/>
      <c r="IV60" s="4133"/>
      <c r="IW60" s="1833"/>
      <c r="IX60" s="3102"/>
      <c r="IY60" s="4249"/>
      <c r="IZ60" s="4286"/>
      <c r="JA60" s="4287"/>
      <c r="JB60" s="1245"/>
      <c r="JC60" s="4328"/>
      <c r="JD60" s="2558" t="str">
        <f>+IF(OR(IX60="",$CB60=""),"",IX60/$CB60)</f>
        <v/>
      </c>
      <c r="JE60" s="4362" t="str">
        <f>+IF(OR(IX60="",$CL60=""),"",IX60/$CL60)</f>
        <v/>
      </c>
      <c r="JF60" s="7033"/>
      <c r="JG60" s="2443"/>
      <c r="JH60" s="6964"/>
      <c r="JI60" s="6964"/>
      <c r="JJ60" s="6964"/>
      <c r="JK60" s="6964"/>
      <c r="JL60" s="7001"/>
      <c r="JM60" s="1832"/>
      <c r="JN60" s="2443"/>
      <c r="JO60" s="2443"/>
      <c r="JP60" s="7078"/>
      <c r="JQ60" s="7078"/>
      <c r="JR60" s="2443"/>
      <c r="JS60" s="1833"/>
      <c r="JT60" s="7145" t="str">
        <f t="shared" si="263"/>
        <v/>
      </c>
      <c r="JU60" s="7146"/>
      <c r="JV60" s="8371"/>
      <c r="JW60" s="8398"/>
      <c r="JX60" s="8427"/>
      <c r="JY60" s="8462"/>
      <c r="JZ60" s="7147"/>
      <c r="KA60" s="7145" t="str">
        <f>+IF(OR(D60="",JV60=""),"",IF(JT60=1,JV60*10^6/#REF!/JU60,""))</f>
        <v/>
      </c>
      <c r="KB60" s="7146" t="str">
        <f>+IF(OR(D60="",KA60=""),"",IF(JT60=1,KA60*#REF!,""))</f>
        <v/>
      </c>
      <c r="KC60" s="7147" t="str">
        <f t="shared" si="201"/>
        <v/>
      </c>
      <c r="KD60" s="7145"/>
      <c r="KE60" s="8335"/>
      <c r="KF60" s="8335"/>
      <c r="KG60" s="7146"/>
      <c r="KH60" s="7146"/>
      <c r="KI60" s="7146"/>
      <c r="KJ60" s="7146"/>
      <c r="KK60" s="7146"/>
      <c r="KL60" s="7146"/>
      <c r="KM60" s="7146"/>
      <c r="KN60" s="7146"/>
      <c r="KO60" s="7146"/>
      <c r="KP60" s="7147"/>
      <c r="KQ60" s="7220"/>
      <c r="KR60" s="7330"/>
      <c r="KS60" s="7221"/>
      <c r="KT60" s="1834"/>
      <c r="KU60" s="2443"/>
      <c r="KV60" s="7314"/>
      <c r="KW60" s="7285"/>
      <c r="KX60" s="1833"/>
      <c r="KY60" s="7296"/>
      <c r="KZ60" s="7348"/>
      <c r="LA60" s="7278"/>
      <c r="LB60" s="7349" t="str">
        <f>+IF(OR(KY60="",$CL60=""),"",KY60/$CL60)</f>
        <v/>
      </c>
      <c r="LC60" s="5133"/>
      <c r="LD60" s="5132"/>
      <c r="LE60" s="5132"/>
      <c r="LF60" s="5132"/>
      <c r="LG60" s="5132"/>
      <c r="LH60" s="5132"/>
      <c r="LI60" s="5132"/>
      <c r="LJ60" s="5132"/>
    </row>
    <row r="61" spans="1:322" s="13" customFormat="1" ht="27.95" customHeight="1">
      <c r="A61" s="10543" t="str">
        <f>+O61</f>
        <v>8301-01</v>
      </c>
      <c r="B61" s="9842" t="str">
        <f>+IF(A61="","",VLOOKUP(MATCH(A61,tid,0),tao,'12(id)'!$J$20,FALSE))</f>
        <v>PSEG</v>
      </c>
      <c r="C61" s="10560" t="str">
        <f t="shared" si="47"/>
        <v>BHB4 </v>
      </c>
      <c r="D61" s="1118" t="str">
        <f t="shared" si="48"/>
        <v>8301-01-01</v>
      </c>
      <c r="E61" s="734" t="str">
        <f>+IF(BD61="","",BD61)</f>
        <v>Selective Catalytic Reduction (SCR)</v>
      </c>
      <c r="F61" s="734" t="str">
        <f t="shared" si="49"/>
        <v>SCR</v>
      </c>
      <c r="G61" s="5133"/>
      <c r="H61" s="5132"/>
      <c r="I61" s="5133"/>
      <c r="J61" s="719">
        <f t="shared" si="68"/>
        <v>27</v>
      </c>
      <c r="K61" s="9662">
        <f>1+K53</f>
        <v>12</v>
      </c>
      <c r="L61" s="9644">
        <f>1+L53</f>
        <v>5</v>
      </c>
      <c r="M61" s="9646" t="str">
        <f>+IF(O61="","",VLOOKUP(MATCH(O61,tid,0),tao,'12(id)'!$I$20,FALSE))</f>
        <v>PSEG Power LLC, PSEG Fossil LLC, PSEG Power Connecticut</v>
      </c>
      <c r="N61" s="9644">
        <v>8301</v>
      </c>
      <c r="O61" s="9644" t="s">
        <v>276</v>
      </c>
      <c r="P61" s="9644" t="str">
        <f>+IF(O61="","",VLOOKUP(MATCH(O61,tid,0),tao,'12(id)'!$L$20,FALSE))</f>
        <v>Bridgeport Harbor Station</v>
      </c>
      <c r="Q61" s="9679" t="str">
        <f>+IF(ISERROR(MATCH(O61,tid,0)),"",VLOOKUP(MATCH(O61,tid,0),tao,'12(id)'!$Q$20,FALSE))</f>
        <v>BHB4 </v>
      </c>
      <c r="R61" s="9644">
        <f>+IF(O61="","",VLOOKUP(MATCH(O61,tid,0),tao,'12(id)'!$U$20,FALSE))</f>
        <v>1</v>
      </c>
      <c r="S61" s="9644"/>
      <c r="T61" s="10319">
        <f>+IF(ISERROR(MATCH(O61,tid,0)),"",IF(VLOOKUP(MATCH(O61,tid,0),tao,'12(id)'!$CT$20,FALSE)="","",VLOOKUP(MATCH(O61,tid,0),tao,'12(id)'!$CT$20,FALSE)))</f>
        <v>22</v>
      </c>
      <c r="U61" s="10319">
        <f>+IF(ISERROR(MATCH(O61,tid,0)),"",IF(VLOOKUP(MATCH(O61,tid,0),tao,'12(id)'!$CU$20,FALSE)="","",VLOOKUP(MATCH(O61,tid,0),tao,'12(id)'!$CU$20,FALSE)))</f>
        <v>602</v>
      </c>
      <c r="V61" s="9486" t="str">
        <f>+IF(O61="","",IF(VLOOKUP(MATCH(O61,tid,0),tao,'12(id)'!$T$20,FALSE)="","",VLOOKUP(MATCH(O61,tid,0),tao,'12(id)'!$T$20,FALSE)))</f>
        <v>Combustion Turbine</v>
      </c>
      <c r="W61" s="9486" t="str">
        <f>+IF(ISERROR(MATCH(O61,tid,0)),"",IF(VLOOKUP(MATCH(O61,tid,0),tao,'12(id)'!$CO$20,FALSE)="","",VLOOKUP(MATCH(O61,tid,0),tao,'12(id)'!$CO$20,FALSE)))</f>
        <v>Pratt &amp; Whitney</v>
      </c>
      <c r="X61" s="9486" t="str">
        <f>+IF(ISERROR(MATCH(O61,tid,0)),"",IF(VLOOKUP(MATCH(O61,tid,0),tao,'12(id)'!$CP$20,FALSE)="","",VLOOKUP(MATCH(O61,tid,0),tao,'12(id)'!$CP$20,FALSE)))</f>
        <v>FT-4A-8LI</v>
      </c>
      <c r="Y61" s="9486" t="str">
        <f>+IF(ISERROR(MATCH(O61,tid,0)),"",IF(VLOOKUP(MATCH(O61,tid,0),tao,'12(id)'!$CQ$20,FALSE)="","",VLOOKUP(MATCH(O61,tid,0),tao,'12(id)'!$CQ$20,FALSE)))</f>
        <v>FT</v>
      </c>
      <c r="Z61" s="9517" t="str">
        <f>+IF(ISERROR(MATCH(O61,tid,0)),"",VLOOKUP(MATCH(O61,tid,0),tao,'12(id)'!$DB$20,FALSE)&amp;" "&amp;VLOOKUP(MATCH(O61,tid,0),tao,'12(id)'!$DC$20,FALSE))</f>
        <v>Jan 1967</v>
      </c>
      <c r="AA61" s="9517" t="str">
        <f ca="1">+IF(ISERROR(MATCH(O61,tid,0)),"",IF(VLOOKUP(MATCH(O61,tid,0),tao,'12(id)'!$DE$20,FALSE)="","",ROUND(VLOOKUP(MATCH(O61,tid,0),tao,'12(id)'!$DE$20,FALSE),0)&amp;" yrs"))</f>
        <v>47 yrs</v>
      </c>
      <c r="AB61" s="9644" t="str">
        <f>+IF(ISERROR(MATCH(O61,tid,0)),"",VLOOKUP(MATCH(O61,tid,0),tao,'12(id)'!$DI$20,FALSE))</f>
        <v>Jet Fuel A (Kerosene K1)</v>
      </c>
      <c r="AC61" s="9644" t="str">
        <f>+IF(ISERROR(MATCH(O61,tid,0)),"",IF(VLOOKUP(MATCH(O61,tid,0),tao,'12(id)'!$DQ$20,FALSE)="","",VLOOKUP(MATCH(O61,tid,0),tao,'12(id)'!$DQ$20,FALSE)))</f>
        <v/>
      </c>
      <c r="AD61" s="10442">
        <f>+IF(ISERROR(MATCH(O61,tid,0)),"",IF(VLOOKUP(MATCH(O61,tid,0),tao,'12(id)'!$EI$20,FALSE)="","",VLOOKUP(MATCH(O61,tid,0),tao,'12(id)'!$EI$20,FALSE)))</f>
        <v>0.70899999999999996</v>
      </c>
      <c r="AE61" s="10442">
        <f>+IF(ISERROR(MATCH(O61,tid,0)),"",IF(VLOOKUP(MATCH(O61,tid,0),tao,'12(id)'!$EJ$20,FALSE)="","",VLOOKUP(MATCH(O61,tid,0),tao,'12(id)'!$EJ$20,FALSE)))</f>
        <v>186.17</v>
      </c>
      <c r="AF61" s="10442">
        <f>+IF(ISERROR(MATCH(O61,tid,0)),"",IF(VLOOKUP(MATCH(O61,tid,0),tao,'12(id)'!$EL$20,FALSE)="","",VLOOKUP(MATCH(O61,tid,0),tao,'12(id)'!$EL$20,FALSE)))</f>
        <v>0.73</v>
      </c>
      <c r="AG61" s="10415" t="str">
        <f>+IF(ISERROR(MATCH(O61,tid,0)),"",IF(VLOOKUP(MATCH(O61,tid,0),tao,'12(id)'!$EM$20,FALSE)="","",VLOOKUP(MATCH(O61,tid,0),tao,'12(id)'!$EM$20,FALSE)))</f>
        <v/>
      </c>
      <c r="AH61" s="10792"/>
      <c r="AI61" s="10687"/>
      <c r="AJ61" s="10687"/>
      <c r="AK61" s="10687"/>
      <c r="AL61" s="10687"/>
      <c r="AM61" s="10675"/>
      <c r="AN61" s="10678"/>
      <c r="AO61" s="10341" t="str">
        <f>+IF(ISERROR(MATCH(O61,tid,0)),"",IF(VLOOKUP(MATCH(O61,tid,0),tao,'12(id)'!$GY$20,FALSE)="","",VLOOKUP(MATCH(O61,tid,0),tao,'12(id)'!$GY$20,FALSE)))</f>
        <v/>
      </c>
      <c r="AP61" s="10291" t="str">
        <f>+IF($BB61="","",IF(VLOOKUP(MATCH(O61,tid,0),tao,'12(id)'!$HE$20,FALSE)="","",VLOOKUP(MATCH(O61,tid,0),tao,'12(id)'!$HE$20,FALSE)))</f>
        <v/>
      </c>
      <c r="AQ61" s="10341" t="str">
        <f>+IF(ISERROR(VLOOKUP(MATCH(O61,tid,0),tao,'12(id)'!$HF$20,FALSE)),"",VLOOKUP(MATCH(O61,tid,0),tao,'12(id)'!$HF$20,FALSE))</f>
        <v/>
      </c>
      <c r="AR61" s="10335">
        <f>+IF(ISERROR(MATCH(O61,tid,0)),"",IF(VLOOKUP(MATCH(O61,tid,0),tao,'12(id)'!$HJ$20,FALSE)="","",VLOOKUP(MATCH(O61,tid,0),tao,'12(id)'!$HJ$20,FALSE)))</f>
        <v>0.73</v>
      </c>
      <c r="AS61" s="10338">
        <f>+IF(ISERROR(MATCH(O61,tid,0)),"",IF(VLOOKUP(MATCH(O61,tid,0),tao,'12(id)'!$HK$20,FALSE)="","",VLOOKUP(MATCH(O61,tid,0),tao,'12(id)'!$HK$20,FALSE)))</f>
        <v>186.17</v>
      </c>
      <c r="AT61" s="10693" t="str">
        <f>+IF(ISERROR(MATCH(O61,tid,0)),"",IF(VLOOKUP(MATCH(O61,tid,0),tao,'12(id)'!$HM$20,FALSE)="","",VLOOKUP(MATCH(O61,tid,0),tao,'12(id)'!$HM$20,FALSE)))</f>
        <v/>
      </c>
      <c r="AU61" s="10358" t="str">
        <f>+AU53</f>
        <v>CAIR-OS (max last 3 yrs)</v>
      </c>
      <c r="AV61" s="10395">
        <f>+IF(ISERROR(MATCH(O61,em_id,0)),"",IF(VLOOKUP(MATCH(O61,em_id,0),em,'5(em)'!$CX$18,FALSE)="","",VLOOKUP(MATCH(O61,em_id,0),em,'5(em)'!$CX$18,FALSE)))</f>
        <v>24</v>
      </c>
      <c r="AW61" s="10391">
        <f>+IF(ISERROR(MATCH(O61,em_id,0)),"",IF(VLOOKUP(MATCH(O61,em_id,0),em,'5(em)'!$CZ$18,FALSE)="","",VLOOKUP(MATCH(O61,em_id,0),em,'5(em)'!$CZ$18,FALSE)))</f>
        <v>2366</v>
      </c>
      <c r="AX61" s="10394">
        <f t="shared" si="50"/>
        <v>0.68</v>
      </c>
      <c r="AY61" s="10395">
        <f>+AX61*AS61/AR61</f>
        <v>173.41863013698631</v>
      </c>
      <c r="AZ61" s="10389">
        <f>+IF(ISERROR(MATCH(O61,em_id,0)),"",IF(VLOOKUP(MATCH(O61,em_id,0),em,'5(em)'!$DA$18,FALSE)="","",VLOOKUP(MATCH(O61,em_id,0),em,'5(em)'!$DA$18,FALSE)))</f>
        <v>0.8</v>
      </c>
      <c r="BA61" s="733"/>
      <c r="BB61" s="734" t="str">
        <f t="shared" ref="BB61:BB90" si="311">+IF(BC61="","",IF(R61=1,(IF(O61="",LEFT(BB60,7),O61)&amp;"-0"&amp;BC61),IF(AND(LEFT(O61,4)=LEFT(O60,4),R61&gt;1),IF(LEFT(C61,1)=LEFT(C60,1),LEFT(BB60,9),O61&amp;"-0")&amp;BC61,IF(O61="",LEFT(BB60,9)&amp;BC61,O61&amp;"-0"&amp;BC61))))</f>
        <v>8301-01-01</v>
      </c>
      <c r="BC61" s="735">
        <v>1</v>
      </c>
      <c r="BD61" s="734" t="str">
        <f>+IF(OR(D61="",VLOOKUP(MATCH(D61,op_id,0),op,'7(op)'!$T$18,FALSE)=""),"",VLOOKUP(MATCH(D61,op_id,0),op,'7(op)'!$T$18,FALSE))</f>
        <v>Selective Catalytic Reduction (SCR)</v>
      </c>
      <c r="BE61" s="734" t="s">
        <v>1093</v>
      </c>
      <c r="BF61" s="738" t="s">
        <v>1862</v>
      </c>
      <c r="BG61" s="736"/>
      <c r="BH61" s="946"/>
      <c r="BI61" s="947"/>
      <c r="BJ61" s="948"/>
      <c r="BK61" s="948"/>
      <c r="BL61" s="948"/>
      <c r="BM61" s="948"/>
      <c r="BN61" s="948" t="str">
        <f t="shared" si="12"/>
        <v/>
      </c>
      <c r="BO61" s="948" t="str">
        <f t="shared" si="13"/>
        <v/>
      </c>
      <c r="BP61" s="948" t="str">
        <f t="shared" si="14"/>
        <v/>
      </c>
      <c r="BQ61" s="948" t="str">
        <f t="shared" si="15"/>
        <v/>
      </c>
      <c r="BR61" s="949"/>
      <c r="BS61" s="950"/>
      <c r="BT61" s="951"/>
      <c r="BU61" s="3728" t="str">
        <f>+IF(BB61="","",IF(VLOOKUP(MATCH(BB61,ef_id,0),ef,'11(eff)'!$Z$23,FALSE)="","",VLOOKUP(MATCH(BB61,ef_id,0),ef,'11(eff)'!$Z$23,FALSE)))</f>
        <v/>
      </c>
      <c r="BV61" s="3748" t="str">
        <f>+IF(BB61="","",IF(VLOOKUP(MATCH(BB61,ef_id,0),ef,'11(eff)'!$AA$23,FALSE)="","",VLOOKUP(MATCH(BB61,ef_id,0),ef,'11(eff)'!$AA$23,FALSE)))</f>
        <v/>
      </c>
      <c r="BW61" s="952"/>
      <c r="BX61" s="3835" t="str">
        <f>+IF(OR(BB61="",BW61=""),"",BW61/IF(R61="",IF(R60="",R59,R60),R61))</f>
        <v/>
      </c>
      <c r="BY61" s="3831" t="str">
        <f>+IF($BB61="","",IF(BU61="","",BU61/2000*IF(AQ61="",IF(AQ60="",AQ59,AQ60),AQ61)))</f>
        <v/>
      </c>
      <c r="BZ61" s="1060"/>
      <c r="CA61" s="3414"/>
      <c r="CB61" s="3848" t="str">
        <f>+IF($BB61="","",IF(OR(BX61="",BX61=0),"",IF(AT61="",IF(AT60="",AT59,AT60),AT61)-BX61))</f>
        <v/>
      </c>
      <c r="CC61" s="3883">
        <f>+IF($BB61="","",IF(CB61="",IF(CD61="",IF(CD61="",IF(CE61="","",CE61)),CD61),CB61/IF($AT61="",IF($AT60="",$AT59,$AT60),$AT61)))</f>
        <v>0.9</v>
      </c>
      <c r="CD61" s="3883" t="str">
        <f>+IF($BB61="","",IF(BU61="","",(1-BU61/IF(AR61="",IF(AR60="",AR59,AR60),AR61))))</f>
        <v/>
      </c>
      <c r="CE61" s="3902">
        <f>+IF(BB61="","",IF(VLOOKUP(MATCH(BB61,ef_id,0),ef,'11(eff)'!$AE$23,FALSE)="","",VLOOKUP(MATCH(BB61,ef_id,0),ef,'11(eff)'!$AE$23,FALSE)))</f>
        <v>0.9</v>
      </c>
      <c r="CF61" s="950" t="s">
        <v>1601</v>
      </c>
      <c r="CG61" s="951"/>
      <c r="CH61" s="2403"/>
      <c r="CI61" s="3848">
        <f>+IF(BB61="","",AZ61/AW61*2000*(1-CO61))</f>
        <v>6.7624683009298373E-2</v>
      </c>
      <c r="CJ61" s="4063">
        <f>+IF($AY$61="","",$AY$61*(1-CO61))</f>
        <v>17.341863013698628</v>
      </c>
      <c r="CK61" s="3848">
        <f>+IF($BB61="","",IF(CI61="",IF($AZ61="",IF($AZ60="",$AZ59,$AZ60),$AZ61)-CL61,IF(OR(IF($AW61="",IF($AW60="",$AW59,$AW60),$AW61)="",CI61=""),"",CI61/2000*IF($AW61="",IF($AW60="",$AW59,$AW60),$AW61))))</f>
        <v>7.9999999999999974E-2</v>
      </c>
      <c r="CL61" s="3924">
        <f>+IF($BB61="","",IF(CI61="",CO61*IF($AZ61="",IF($AZ60="",$AZ59,$AZ60),$AZ61),IF(CK61="","",IF($AZ61="",IF($AZ60="",$AZ59,$AZ60),$AZ61)-CK61)))</f>
        <v>0.72000000000000008</v>
      </c>
      <c r="CM61" s="3959">
        <f>+IF($BB61="","",IF(CL61="","",CL61/IF($AZ61="",IF($AZ60="",$AZ59,$AZ60),$AZ61)))</f>
        <v>0.9</v>
      </c>
      <c r="CN61" s="3959">
        <f>+IF($BB61="","",IF(CI61="","",(1-CI61/IF($AX61="",IF($AX60="",$AX59,$AX60),$AX61))))</f>
        <v>0.90055193675103185</v>
      </c>
      <c r="CO61" s="3960">
        <f>+IF(BB61="","",IF(VLOOKUP(MATCH(BB61,ef_id,0),ef,'11(eff)'!$AE$23,FALSE)="","",VLOOKUP(MATCH(BB61,ef_id,0),ef,'11(eff)'!$AE$23,FALSE)))</f>
        <v>0.9</v>
      </c>
      <c r="CP61" s="3961">
        <f>+IF(OR(BB61="",VLOOKUP(MATCH(BB61,ef_id,0),ef,'11(eff)'!$AG$23,FALSE)=""),"",IF(VLOOKUP(MATCH(BB61,ef_id,0),ef,'11(eff)'!$AG$23,FALSE)/100=VLOOKUP(MATCH(BB61,ef_id,0),ef,'11(eff)'!$AE$23,FALSE),VLOOKUP(MATCH(BB61,ef_id,0),ef,'11(eff)'!$AE$23,FALSE),""))</f>
        <v>0.9</v>
      </c>
      <c r="CQ61" s="733" t="str">
        <f t="shared" si="51"/>
        <v>Selective Catalytic Reduction (SCR)</v>
      </c>
      <c r="CR61" s="953"/>
      <c r="CS61" s="2758">
        <v>8895118</v>
      </c>
      <c r="CT61" s="1585">
        <v>8895118</v>
      </c>
      <c r="CU61" s="1493">
        <v>8895118</v>
      </c>
      <c r="CV61" s="1838">
        <f t="shared" si="309"/>
        <v>0</v>
      </c>
      <c r="CW61" s="1839"/>
      <c r="CX61" s="1839"/>
      <c r="CY61" s="1840"/>
      <c r="CZ61" s="2470"/>
      <c r="DA61" s="2444"/>
      <c r="DB61" s="2444"/>
      <c r="DC61" s="1838"/>
      <c r="DD61" s="1842"/>
      <c r="DE61" s="1843"/>
      <c r="DF61" s="1844"/>
      <c r="DG61" s="1844"/>
      <c r="DH61" s="1842"/>
      <c r="DI61" s="1689">
        <f>+IF(CT61="","",SUM(CU61:DC61))</f>
        <v>8895118</v>
      </c>
      <c r="DJ61" s="1935"/>
      <c r="DK61" s="1585"/>
      <c r="DL61" s="1493"/>
      <c r="DM61" s="1838" t="str">
        <f t="shared" si="310"/>
        <v/>
      </c>
      <c r="DN61" s="1839"/>
      <c r="DO61" s="1839"/>
      <c r="DP61" s="1840"/>
      <c r="DQ61" s="2470"/>
      <c r="DR61" s="2444"/>
      <c r="DS61" s="2444"/>
      <c r="DT61" s="1838"/>
      <c r="DU61" s="1842"/>
      <c r="DV61" s="1843"/>
      <c r="DW61" s="1844"/>
      <c r="DX61" s="1844"/>
      <c r="DY61" s="1842"/>
      <c r="DZ61" s="1689" t="str">
        <f t="shared" si="18"/>
        <v/>
      </c>
      <c r="EA61" s="1935"/>
      <c r="EB61" s="1493">
        <f t="shared" si="19"/>
        <v>8895118</v>
      </c>
      <c r="EC61" s="1959">
        <v>1</v>
      </c>
      <c r="ED61" s="1676">
        <f t="shared" si="20"/>
        <v>8895118</v>
      </c>
      <c r="EE61" s="1841"/>
      <c r="EF61" s="2444"/>
      <c r="EG61" s="1980"/>
      <c r="EH61" s="1709">
        <f t="shared" si="205"/>
        <v>0</v>
      </c>
      <c r="EI61" s="1843"/>
      <c r="EJ61" s="1844"/>
      <c r="EK61" s="2004"/>
      <c r="EL61" s="1453"/>
      <c r="EM61" s="1843"/>
      <c r="EN61" s="1844"/>
      <c r="EO61" s="2004"/>
      <c r="EP61" s="1689">
        <f t="shared" si="21"/>
        <v>0</v>
      </c>
      <c r="EQ61" s="1689"/>
      <c r="ER61" s="1689"/>
      <c r="ES61" s="1689"/>
      <c r="ET61" s="1453">
        <f>+IF(OR(BB61="",EB61=""),"",SUM(EQ61:ES61))</f>
        <v>0</v>
      </c>
      <c r="EU61" s="1426"/>
      <c r="EV61" s="1388"/>
      <c r="EW61" s="2578"/>
      <c r="EX61" s="2578"/>
      <c r="EY61" s="2685">
        <f t="shared" si="92"/>
        <v>8895118</v>
      </c>
      <c r="EZ61" s="2714"/>
      <c r="FA61" s="1388"/>
      <c r="FB61" s="1475">
        <f>+IF(BB61="","",(IF(EY61="",0,EY61)+IF(FA61="",0,FA61)-IF(EZ61="",0,EZ61)))</f>
        <v>8895118</v>
      </c>
      <c r="FC61" s="1493">
        <f>+IF(OR(ED61="",IF(R61="",IF(R60="",R59,R60),R61)=""),"",ED61/IF(R61="",IF(R60="",R59,R60),R61))</f>
        <v>8895118</v>
      </c>
      <c r="FD61" s="3152">
        <f>+IF(OR(BB61="",IF(R61="",IF(R60="",R59,R60),R61)="",(CU61+DL61)=0),"",(CU61+DL61)/IF(R61="",IF(R60="",R59,R60),R61))</f>
        <v>8895118</v>
      </c>
      <c r="FE61" s="3153">
        <f>+IF(OR(FC61="",FC61=0,FD61=""),"",FD61/FC61)</f>
        <v>1</v>
      </c>
      <c r="FF61" s="3152">
        <f>+IF(OR(BB61="",CT61="",IF(R61="",IF(R60="",R59,R60),R61)=""),"",(SUM(CV61:CZ61)+(IF(DM61="",0,DM61)+SUM(DN61:DQ61)))/IF(R61="",IF(R60="",R59,R60),R61))</f>
        <v>0</v>
      </c>
      <c r="FG61" s="3153">
        <f>+IF(OR(BB61="",ISERROR(FF61/FC61)),"",FF61/FC61)</f>
        <v>0</v>
      </c>
      <c r="FH61" s="3152">
        <f>+IF(OR(BB61="",IF(R61="",IF(R60="",R59,R60),R61)="",),"",(DA61+DR61)/IF(R61="",IF(R60="",R59,R60),R61))</f>
        <v>0</v>
      </c>
      <c r="FI61" s="3153">
        <f>+IF(OR(FC61="",FC61=0,FH61=""),"",FH61/FC61)</f>
        <v>0</v>
      </c>
      <c r="FJ61" s="3154">
        <f>+IF(OR(BB61="",CT61=""),"",IF(FD61="",0,FD61)+IF(FF61="",0,FF61)+IF(FH61="",0,FH61))</f>
        <v>8895118</v>
      </c>
      <c r="FK61" s="3153">
        <f>+IF(OR(BB61="",ISERROR(FJ61/FC61)),"",FJ61/FC61)</f>
        <v>1</v>
      </c>
      <c r="FL61" s="3155">
        <f>+IF(OR(BB61="",CT61="",IF(R61="",IF(R60="",R59,R60),R61)=""),"",(DB61+DC61+DS61+DT61)/IF(R61="",IF(R60="",R59,R60),R61))</f>
        <v>0</v>
      </c>
      <c r="FM61" s="3153">
        <f>+IF(OR(BB61="",ISERROR(FL61/FC61)),"",FL61/FC61)</f>
        <v>0</v>
      </c>
      <c r="FN61" s="3152">
        <f>+IF(OR(BB61="",CT61="",IF(R61="",IF(R60="",R59,R60),R61)=""),"",(DD61+DU61)/IF(R61="",IF(R60="",R59,R60),R61))</f>
        <v>0</v>
      </c>
      <c r="FO61" s="3153">
        <f t="shared" si="302"/>
        <v>0</v>
      </c>
      <c r="FP61" s="3152">
        <f>+IF(OR(BB61="",CT61="",IF(R61="",IF(R60="",R59,R60),R61)=""),"",(DG61+DH61+DX61+DY61)/IF(R61="",IF(R60="",R59,R60),R61))</f>
        <v>0</v>
      </c>
      <c r="FQ61" s="3153">
        <f t="shared" si="303"/>
        <v>0</v>
      </c>
      <c r="FR61" s="3156">
        <f>+IF(OR(BB61="",IF(R61="",IF(R60="",R59,R60),R61)="",(IF(DI61="",0,DI61)+IF(DZ61="",0,DZ61))=0),"",(IF(DI61="",0,DI61)+IF(DZ61="",0,DZ61))/IF(R61="",IF(R60="",R59,R60),R61))</f>
        <v>8895118</v>
      </c>
      <c r="FS61" s="1839" t="str">
        <f>+IF(OR(DJ61="",IF(R61="",IF(R60="",R59,R60),R61)=""),"",(DJ61+EA61)/IF(R61="",IF(R60="",R59,R60),R61))</f>
        <v/>
      </c>
      <c r="FT61" s="3157" t="str">
        <f t="shared" si="304"/>
        <v/>
      </c>
      <c r="FU61" s="2887">
        <f>+IF(OR(BB61="",ISERROR(1-(FR61+IF(FS61="",0,FS61)+FN61+FP61)*IF(R61="",IF(R60="",R59,R60),R61)/(CT61+DK61))),"",1-(FR61+IF(FS61="",0,FS61)+FN61+FP61)*IF(R61="",IF(R60="",R59,R60),R61)/(CT61+DK61))</f>
        <v>0</v>
      </c>
      <c r="FV61" s="3158">
        <f>+IF(FC61="","",FC61/IF(OR(ISTEXT(T61),T61=""),IF(OR(ISTEXT(T60),T60=""),IF(OR(ISTEXT(T59),T59=""),1,T59),T60),T61))</f>
        <v>404323.54545454547</v>
      </c>
      <c r="FW61" s="3155">
        <f>+IF(OR(EH61="",IF(R61="",IF(R60="",R59,R60),R61)=""),"",EH61/IF(R61="",IF(R60="",R59,R60),R61))</f>
        <v>0</v>
      </c>
      <c r="FX61" s="3160">
        <f t="shared" si="216"/>
        <v>0</v>
      </c>
      <c r="FY61" s="3152">
        <f>+IF(OR(EP61="",IF(R61="",IF(R60="",R59,R60),R61)=""),"",EP61/IF(R61="",IF(R60="",R59,R60),R61))</f>
        <v>0</v>
      </c>
      <c r="FZ61" s="3160">
        <f t="shared" si="217"/>
        <v>0</v>
      </c>
      <c r="GA61" s="3160" t="str">
        <f>+IF(IF(V61="",V60,V61)="Utility Boiler",IF(ISERR(FY61/(FC61+FW61)),"",FY61/(FC61+FW61)),"")</f>
        <v/>
      </c>
      <c r="GB61" s="3152">
        <f>+IF(OR(ET61="",IF(R61="",IF(R60="",R59,R60),R61)=""),"",ET61/IF(R61="",IF(R60="",R59,R60),R61))</f>
        <v>0</v>
      </c>
      <c r="GC61" s="3160">
        <f>+IF(ISERR(GB61/$FC61),"",GB61/$FC61)</f>
        <v>0</v>
      </c>
      <c r="GD61" s="3160" t="str">
        <f>+IF(IF(V61="",V60,V61)="Utility Boiler",IF(ISERR(GB61/($FC61)),"",GB61/(FC61+FW61+FY61)),"")</f>
        <v/>
      </c>
      <c r="GE61" s="1615">
        <f>+IF(OR(FB61="",IF(R61="",IF(R60="",R59,R60),R61)=""),"",FB61/IF(R61="",IF(R60="",R59,R60),R61))</f>
        <v>8895118</v>
      </c>
      <c r="GF61" s="2141">
        <f>+IF(FB61="","",(IF(FA61="",0,FA61)-IF(EZ61="",0,EZ61))+(IF(EU61="",0,EU61)+IF(EV61="",0,EV61)+(IF(EW61="",0,EW61)+IF(EX61="",0,EX61))/IF(R61="",IF(R60="",R59,R60),R61)+IF(FC61="",0,FC61)+IF(FW61="",0,FW61)+IF(FY61="",0,FY61)+IF(GB61="",0,GB61)))</f>
        <v>8895118</v>
      </c>
      <c r="GG61" s="3162">
        <f>+IF(OR(CS61="",IF(R61="",IF(R60="",R59,R60),R61)="",GF61=0),"",1-(CS61/IF(R61="",IF(R60="",R59,R60),R61))/GF61)</f>
        <v>0</v>
      </c>
      <c r="GH61" s="3174">
        <f>+IF(ISERROR(GF61/IF(T61="",IF(T60="",T59,T60),T61)),"",IF(IF(T61="",IF(T60="",T59,T60),T61)="","",IF(GF61="","",GF61/IF(T61="",IF(T60="",T59,T60),T61))))</f>
        <v>404323.54545454547</v>
      </c>
      <c r="GI61" s="1615" t="s">
        <v>939</v>
      </c>
      <c r="GJ61" s="3154">
        <v>118997</v>
      </c>
      <c r="GK61" s="3446">
        <f>+IF(OR(BB61="",GJ61=""),"",IF(CB61="",1,CB61*IF(R61="",IF(R60="",R59,R60),R61)))</f>
        <v>1</v>
      </c>
      <c r="GL61" s="3222" t="str">
        <f t="shared" si="219"/>
        <v/>
      </c>
      <c r="GM61" s="1248"/>
      <c r="GN61" s="1251"/>
      <c r="GO61" s="2303"/>
      <c r="GP61" s="2304"/>
      <c r="GQ61" s="2223"/>
      <c r="GR61" s="2223"/>
      <c r="GS61" s="3163">
        <f>+IF(GE61="","",GE61*$GS$27)</f>
        <v>355804.72000000003</v>
      </c>
      <c r="GT61" s="2223"/>
      <c r="GU61" s="3238">
        <f>+IF(OR(SUM(GQ61:GT61)=0,GT61=""),IF(GK61=1,GJ61*GK61,IF(GI61="","",GI61)),SUM(GQ61:GT61))</f>
        <v>118997</v>
      </c>
      <c r="GV61" s="1249" t="str">
        <f>+IF(OR(GO61="",IF(R61="",IF(R60="",R59,R60),R61)=""),"",GO61/IF(R61="",IF(R60="",R59,R60),R61))</f>
        <v/>
      </c>
      <c r="GW61" s="2253" t="str">
        <f>+IF(OR(GP61="",IF(R61="",IF(R60="",R59,R60),R61)=""),"",GP61/IF(R61="",IF(R60="",R59,R60),R61))</f>
        <v/>
      </c>
      <c r="GX61" s="2223" t="str">
        <f>+IF(OR(GQ61="",IF(R61="",IF(R60="",R59,R60),R61)=""),"",GQ61/IF(R61="",IF(R60="",R59,R60),R61))</f>
        <v/>
      </c>
      <c r="GY61" s="2223" t="str">
        <f>+IF(OR(GR61="",IF(R61="",IF(R60="",R59,R60),R61)=""),"",GR61/IF(R61="",IF(R60="",R59,R60),R61))</f>
        <v/>
      </c>
      <c r="GZ61" s="3241">
        <f>+IF(OR(GS61="",IF(R61="",IF(R60="",R59,R60),R61)=""),"",GS61/IF(R61="",IF(R60="",R59,R60),R61))</f>
        <v>355804.72000000003</v>
      </c>
      <c r="HA61" s="2223" t="str">
        <f>+IF(OR(GT61="",IF(R61="",IF(R60="",R59,R60),R61)=""),"",GT61/IF(R61="",IF(R60="",R59,R60),R61))</f>
        <v/>
      </c>
      <c r="HB61" s="3239" t="str">
        <f t="shared" si="22"/>
        <v/>
      </c>
      <c r="HC61" s="1250">
        <f>+IF(OR(GU61="",IF(R61="",IF(R60="",R59,R60),R61)=""),"",GU61/IF(R61="",IF(R60="",R59,R60),R61))</f>
        <v>118997</v>
      </c>
      <c r="HD61" s="3472" t="str">
        <f t="shared" si="220"/>
        <v/>
      </c>
      <c r="HE61" s="1248"/>
      <c r="HF61" s="3196">
        <f t="shared" si="107"/>
        <v>118997</v>
      </c>
      <c r="HG61" s="1251">
        <f t="shared" si="23"/>
        <v>165273.61111111109</v>
      </c>
      <c r="HH61" s="2987"/>
      <c r="HI61" s="3069">
        <f>+IF(FR61="","",FR61)</f>
        <v>8895118</v>
      </c>
      <c r="HJ61" s="3082">
        <f>+IF(FP61="","",FP61)</f>
        <v>0</v>
      </c>
      <c r="HK61" s="3082">
        <f>+IF(FN61="","",FN61)</f>
        <v>0</v>
      </c>
      <c r="HL61" s="3082" t="str">
        <f>+IF(FR61="","",IF(HH61="","",IF(HH61=4,FS61,IF(HH61=3,FS61,IF(HH61=2,$HL$7*HI61,IF(HH61=1,$HL$6*HI61,""))))))</f>
        <v/>
      </c>
      <c r="HM61" s="3095">
        <f>IF(FR61="","",SUM(HI61:HL61))</f>
        <v>8895118</v>
      </c>
      <c r="HN61" s="3473">
        <f>+IF(ISERROR(HM61/IF(T61="",IF(T60="",IF(T59="",1,T59),T60),T61)),"",IF(FR61="","",HM61/IF(T61="",IF(T60="",IF(T59="",1,T59),T60),T61)))</f>
        <v>404323.54545454547</v>
      </c>
      <c r="HO61" s="1252" t="str">
        <f>+IF(FR61="","",IF(HH61="","",IF(HH61=4,FW61,IF(HH61=3,FW61,IF(HH61=2,$HO$7*HM61,IF(HH61=1,$HO$6*HM61,""))))))</f>
        <v/>
      </c>
      <c r="HP61" s="1246" t="str">
        <f>+IF(FR61="","",IF(HH61="","",IF(HH61=4,FY61,IF(HH61=3,FY61,IF(HH61=2,$HP$7*(HM61+HO61),IF(HH61=1,$HP$6*HM61,""))))))</f>
        <v/>
      </c>
      <c r="HQ61" s="1247" t="str">
        <f>+IF(FR61="","",IF(HH61="","",IF(HH61=3,$HQ$8*(HI61+HO61+HP61),"")))</f>
        <v/>
      </c>
      <c r="HR61" s="1253" t="str">
        <f>+IF(FR61="","",IF(HH61="","",IF(HH61=4,GB61,IF(HH61=3,$HR$8*HO61,IF(HH61=2,$HR$7*(HM61+HO61+HP61),IF(HH61=1,$HR$6*HM61,""))))))</f>
        <v/>
      </c>
      <c r="HS61" s="1253">
        <f>IF(FR61="","",SUM(HQ61:HR61))</f>
        <v>0</v>
      </c>
      <c r="HT61" s="1252" t="str">
        <f>+IF(FR61="","",IF(HH61="","",IF(HH61=2,$HT$7*(HP61+HR61),"")))</f>
        <v/>
      </c>
      <c r="HU61" s="1253" t="str">
        <f>+IF(FR61="","",IF(HH61="","",IF(HH61=2,$HU$7*(HP61+HR61),"")))</f>
        <v/>
      </c>
      <c r="HV61" s="1252" t="str">
        <f t="shared" ref="HV61:HV76" si="312">+IF(FR61="","",IF(HH61="","",IF(HH61=3,$HV$8*(HI61+HO61+HP61+HS61),"")))</f>
        <v/>
      </c>
      <c r="HW61" s="1253" t="str">
        <f t="shared" ref="HW61:HW76" si="313">+IF(FR61="","",IF(HH61="","",IF(HH61=3,$HW$8*(HI61+HO61+HP61+HS61),"")))</f>
        <v/>
      </c>
      <c r="HX61" s="3139">
        <f t="shared" si="199"/>
        <v>8895118</v>
      </c>
      <c r="HY61" s="3082" t="str">
        <f>+IF(EZ61="","",EZ61/IF(R61="",IF(R60="",IF(R59="",1,R59),R60),R61))</f>
        <v/>
      </c>
      <c r="HZ61" s="3128" t="str">
        <f>+IF(FA61="","",FA61/IF(R61="",IF(R60="",IF(R59="",1,R59),R60),R61))</f>
        <v/>
      </c>
      <c r="IA61" s="3069">
        <f>+IF(HM61="","",HX61-IF(HY61="",0,HY61)+IF(HZ61="",0,HZ61))</f>
        <v>8895118</v>
      </c>
      <c r="IB61" s="1247" t="str">
        <f t="shared" si="237"/>
        <v>same TCC</v>
      </c>
      <c r="IC61" s="4186">
        <f>+IF(OR(IA61="",ISERROR(IA61/IF(T61="",IF(T60="",IF(T59="",1,T59),T60),T61))),"",IA61/IF(T61="",IF(T60="",IF(T59="",1,T59),T60),T61))</f>
        <v>404323.54545454547</v>
      </c>
      <c r="ID61" s="1252"/>
      <c r="IE61" s="1247"/>
      <c r="IF61" s="3139" t="str">
        <f>+IF(GO61="","",GO61)</f>
        <v/>
      </c>
      <c r="IG61" s="6773"/>
      <c r="IH61" s="4178" t="str">
        <f>+IF(D60="","",IF(GP60="","",GP60))</f>
        <v/>
      </c>
      <c r="II61" s="4179"/>
      <c r="IJ61" s="4179" t="str">
        <f>+IF(SUM(IF(IH61="",0,IH61)+IF(IF61="",0,IF61))=0,"",IF(IH61="",0,IH61)+IF(IF61="",0,IF61))</f>
        <v/>
      </c>
      <c r="IK61" s="4134">
        <v>0</v>
      </c>
      <c r="IL61" s="2444" t="str">
        <f t="shared" ref="IL61:IL62" si="314">+IF(IF61="","",IK61*$IL$8*IF61)</f>
        <v/>
      </c>
      <c r="IM61" s="1840">
        <f t="shared" ref="IM61:IM62" si="315">IF(HM61="","",IK61*$IM$8*IA61)</f>
        <v>0</v>
      </c>
      <c r="IN61" s="4232" t="str">
        <f>+IF(SUM(IF(IM61="",0,IM61)+IF(IL61="",0,IL61))=0,"",IF(IM61="",0,IM61)+IF(IL61="",0,IL61))</f>
        <v/>
      </c>
      <c r="IO61" s="4232" t="str">
        <f>+IF(SUM(IF(IN61="",0,IN61)+IF(IJ61="",0,IJ61))=0,"",IF(IN61="",0,IN61)+IF(IJ61="",0,IJ61))</f>
        <v/>
      </c>
      <c r="IP61" s="4232" t="str">
        <f t="shared" ref="IP61:IP62" si="316">+IF(BB61="","",IF(IJ61="","",IJ61/IF(R61="",IF(R60="",IF(R59="",R58,R59),R60),R61)))</f>
        <v/>
      </c>
      <c r="IQ61" s="6846" t="str">
        <f t="shared" ref="IQ61:IQ62" si="317">+IF(IP61="","",IP61/IX61)</f>
        <v/>
      </c>
      <c r="IR61" s="4232" t="str">
        <f t="shared" ref="IR61:IR62" si="318">+IF(BB61="","",IF(IN61="","",IN61/IF(R61="",IF(R60="",IF(R59="",R58,R59),R60),R61)))</f>
        <v/>
      </c>
      <c r="IS61" s="6846" t="str">
        <f t="shared" ref="IS61:IS62" si="319">+IF(IR61="","",IR61/IX61)</f>
        <v/>
      </c>
      <c r="IT61" s="4232" t="str">
        <f>+IF(BB61="","",IF(IO61="","",IO61/IF(R61="",IF(R60="",IF(R59="",R58,R59),R60),R61)))</f>
        <v/>
      </c>
      <c r="IU61" s="6846" t="str">
        <f>+IF(IT61="","",IT61/IX61)</f>
        <v/>
      </c>
      <c r="IV61" s="4134">
        <f t="shared" ref="IV61:IV62" si="320">+IF(D61="","",IF(IF(V61="",IF(V60="",IF(V59="",V58,V59),V60),V61)="Utility Boiler",2,1))</f>
        <v>1</v>
      </c>
      <c r="IW61" s="1840">
        <f t="shared" ref="IW61:IW62" si="321">IF(IA61="","",IF(IV61=1,$IW$5,IF(IV61=2,$IW$8,""))*IA61)</f>
        <v>839636.21285149711</v>
      </c>
      <c r="IX61" s="4186">
        <f>+IF(D61="","",IF(SUM(IF(IW61="",0,IW61)+IF(IT61="",0,IT61))=0,IY61,IF(IW61="",0,IW61)+IF(IT61="",0,IT61)))</f>
        <v>839636.21285149711</v>
      </c>
      <c r="IY61" s="4250">
        <f>+IF(D61="","",HC61)</f>
        <v>118997</v>
      </c>
      <c r="IZ61" s="4288">
        <f>+IF(IY61="","",(IY61-IX61)/IY61)</f>
        <v>-6.0559443755010385</v>
      </c>
      <c r="JA61" s="4289">
        <f t="shared" ref="JA61:JA62" si="322">+IF(BB61="","",IF(ISERROR(IY61-IX61),"",IF((IY61-IX61)&gt;0,"stk added + "&amp;ROUND((IY61-IX61)/IY61*100,0)&amp;"%",IF(IY61=IX61,"same TAC",(IY61-IX61)/IY61))))</f>
        <v>-6.0559443755010385</v>
      </c>
      <c r="JB61" s="1253"/>
      <c r="JC61" s="4329"/>
      <c r="JD61" s="3196" t="str">
        <f>+IF(OR(IX61="",$CB61=""),"",IX61/$CB61)</f>
        <v/>
      </c>
      <c r="JE61" s="4363">
        <f>+IF(OR(IX61="",$CL61=""),"",IX61/$CL61)</f>
        <v>1166161.4067381902</v>
      </c>
      <c r="JF61" s="7034">
        <f>+IF(D61="","",IF(T61="",IF(T60="",T59/IF(Y59="TP",2,1),T60/IF(Y60="TP",2,1)),T61/IF(Y61="TP",2,1)))</f>
        <v>22</v>
      </c>
      <c r="JG61" s="2444" t="s">
        <v>1093</v>
      </c>
      <c r="JH61" s="6965">
        <f>+IF(D61="","",IF(HX61="","",HX61))</f>
        <v>8895118</v>
      </c>
      <c r="JI61" s="6965">
        <f>+JH61</f>
        <v>8895118</v>
      </c>
      <c r="JJ61" s="6965"/>
      <c r="JK61" s="6965"/>
      <c r="JL61" s="7002"/>
      <c r="JM61" s="1839">
        <f t="shared" ref="JM61:JM62" si="323">+IF(D61="","",IF(JG61="SCR",(JF61*49700+459000),IF(JG61="HPWI",(0.0353*JF61+0.2915)*(10^6),"N/A")))</f>
        <v>1552400</v>
      </c>
      <c r="JN61" s="2444">
        <f>+IF(D61="","",IF(JM61="N/A","",JM61*$JN$27))</f>
        <v>2685652</v>
      </c>
      <c r="JO61" s="2444">
        <f>+JN61</f>
        <v>2685652</v>
      </c>
      <c r="JP61" s="7079"/>
      <c r="JQ61" s="7079"/>
      <c r="JR61" s="2444"/>
      <c r="JS61" s="1840">
        <f>+IF(D61="","",SUM(JO61:JR61))</f>
        <v>2685652</v>
      </c>
      <c r="JT61" s="7148">
        <f t="shared" si="263"/>
        <v>2</v>
      </c>
      <c r="JU61" s="7149">
        <f>+IF(D61="","",IF(AV61="",IF(AV60="",IF(AV59="","",AV59),AV60),AV61))</f>
        <v>24</v>
      </c>
      <c r="JV61" s="8372">
        <f>+IF(D61="","",IF(AW61="",IF(AW60="",IF(AW59="","",AW59),AW60),AW61))</f>
        <v>2366</v>
      </c>
      <c r="JW61" s="8399">
        <f t="shared" si="149"/>
        <v>0.72000000000000008</v>
      </c>
      <c r="JX61" s="8428">
        <f t="shared" ref="JX61:JX64" si="324">+IF(OR(D61="",JU61=""),"",IF(JT61=2,24000/JU61,""))</f>
        <v>1000</v>
      </c>
      <c r="JY61" s="8463">
        <f>+IF(D61="","",IF(JT61=2,($JY$8*(1+$JY$8)^JX61)/((1+$JY$8)^JX61-1),""))</f>
        <v>7.0000000000000007E-2</v>
      </c>
      <c r="JZ61" s="7150">
        <f t="shared" ref="JZ61:JZ64" si="325">+IF(OR(D61="",JU61="",ISERROR(JF61)),"",IF(JT61=2,JF61*6180/83,""))</f>
        <v>1638.0722891566265</v>
      </c>
      <c r="KA61" s="7148" t="str">
        <f t="shared" ref="KA61:KA64" si="326">+IF(OR(D61="",JV61=""),"",IF(JT61=1,JV61*10^6/$KA$8/JU61,""))</f>
        <v/>
      </c>
      <c r="KB61" s="7149" t="str">
        <f t="shared" ref="KB61:KB64" si="327">+IF(OR(D61="",KA61=""),"",IF(JT61=1,KA61*$KB$8,""))</f>
        <v/>
      </c>
      <c r="KC61" s="7150" t="str">
        <f t="shared" si="201"/>
        <v/>
      </c>
      <c r="KD61" s="7148">
        <f t="shared" ref="KD61:KD62" si="328">+IF(OR(D61="",JV61=""),"",IF(JT61=1,$KD$5*JU61*$KD$6/1000,$KD$7*JU61*$KD$8/1000))</f>
        <v>1018.6559999999999</v>
      </c>
      <c r="KE61" s="8336">
        <f t="shared" ref="KE61:KE62" si="329">+IF(OR(D61="",JW61="",JW61=0),"",IF(JT61=2,JW61*$KE$8*$KG$4,""))</f>
        <v>448.41600000000005</v>
      </c>
      <c r="KF61" s="8336">
        <f t="shared" ref="KF61:KF62" si="330">+IF(OR(D61="",JW61="",JW61=0),"",IF(JT61=2,JW61*(0.95/0.05)*(18/17)*($KF$8/1000)*(2000)*$KG$4,""))</f>
        <v>300.70249411764706</v>
      </c>
      <c r="KG61" s="7149">
        <f t="shared" ref="KG61:KG62" si="331">+IF(D61="","",IF(JT61=1,$KG$2*KC61/1000*60*JU61*$KG$4*$KG$6,IF(OR(JZ61="",JY61=""),"",JZ61*$KG$8*JY61*$KG$4)))</f>
        <v>2975.5583132530123</v>
      </c>
      <c r="KH61" s="7149">
        <f>IF(D61="","",IF(JT61=2,0.005*JF61*$KD$6/1000*1000*JU61,""))</f>
        <v>1024.7424000000001</v>
      </c>
      <c r="KI61" s="7149">
        <f>IF(D61="","",IF(JT61=2,0.1*0.005*JF61*$KD$6/1000*1000*JU61,""))</f>
        <v>102.47423999999999</v>
      </c>
      <c r="KJ61" s="7149">
        <f t="shared" ref="KJ61:KJ62" si="332">+IF(OR(D61="",JU61="",JV61=""),"",IF(JT61=1,KD61+KG61,KD61+KE61+KF61+KG61+KH61+KI61))</f>
        <v>5870.5494473706594</v>
      </c>
      <c r="KK61" s="7149">
        <f>+IF(OR(D61="",JU61="",JV61=""),"",$KK$7*$KG$4*JU61)</f>
        <v>2517.7728000000002</v>
      </c>
      <c r="KL61" s="7149">
        <f t="shared" ref="KL61:KL62" si="333">+IF(OR(D61="",JU61="",JV61="",JS61=""),"",IF(JT61=1,$KL$7*JS61*JU61/$KL$8,$KL$7*IF(JN61="",JS61,JN61)*JU61/$KL$8))</f>
        <v>241.70867999999999</v>
      </c>
      <c r="KM61" s="7149">
        <f t="shared" ref="KM61:KM62" si="334">+IF(D61="","",IF(KK61="",0,KK61)+IF(KL61="",0,KL61))</f>
        <v>2759.4814800000004</v>
      </c>
      <c r="KN61" s="7149" t="str">
        <f>+IF(D61="","",IF(JX61&lt;41,$KN$8*JZ61*JY61,""))</f>
        <v/>
      </c>
      <c r="KO61" s="7149">
        <f t="shared" ref="KO61:KO62" si="335">+IF(OR(D61="",JU61="",JV61=""),"",IF(KM61="",0,KM61)+IF(KN61="",0,KN61))</f>
        <v>2759.4814800000004</v>
      </c>
      <c r="KP61" s="7150">
        <f t="shared" ref="KP61:KP62" si="336">+IF(OR(D61="",JU61="",JV61=""),"",IF(KJ61="",0,KJ61)+IF(KO61="",0,KO61))</f>
        <v>8630.0309273706589</v>
      </c>
      <c r="KQ61" s="1841">
        <f>+IF(D61="","",VLOOKUP(MATCH(BE61,ac_id,0),ad,ac!$F$8,FALSE)*JV61)</f>
        <v>709.8</v>
      </c>
      <c r="KR61" s="7079">
        <f>+IF(D61="","",IF(JT61=1,VLOOKUP(MATCH(BE61,ac_id,0),ad,ac!$H$8,FALSE)*JU61, (VLOOKUP(MATCH(BE61,ac_id,0),ad,ac!$H$8,FALSE)*JU61^(1+VLOOKUP(MATCH(BE61,ac_id,0),ad,ac!$I$8,FALSE)))))</f>
        <v>16813.759974461856</v>
      </c>
      <c r="KS61" s="1840">
        <f>+IF(D61="","",KQ61+KR61)</f>
        <v>17523.559974461856</v>
      </c>
      <c r="KT61" s="1841">
        <f t="shared" ref="KT61:KT62" si="337">+IF(D61="","",IF(KK61="","",$KT$26*KM61))</f>
        <v>1655.6888880000001</v>
      </c>
      <c r="KU61" s="2444">
        <f t="shared" ref="KU61:KU62" si="338">+IF(D61="","",IF(JS61="","",$KU$26*IF(JN61="",JS61,JN61)))</f>
        <v>107426.08</v>
      </c>
      <c r="KV61" s="7384">
        <f t="shared" ref="KV61:KV62" si="339">+IF(D61="","",IV61)</f>
        <v>1</v>
      </c>
      <c r="KW61" s="7286">
        <f t="shared" ref="KW61:KW62" si="340">IF(JS61="","",IF(KV61=1,$KW$5,IF(KV61=2,$KW$8,""))*JS61)</f>
        <v>230457.18719471505</v>
      </c>
      <c r="KX61" s="1840">
        <f t="shared" ref="KX61:KX62" si="341">+IF(D61="","",IF(KW61="","",IF(KT61="",0,KT61)+IF(KU61="",0,KU61)+KW61))</f>
        <v>339538.95608271507</v>
      </c>
      <c r="KY61" s="7298">
        <f t="shared" ref="KY61:KY62" si="342">+IF(D61="","",IF(KX61="","",IF(KP61="",0,KP61)+KX61))</f>
        <v>348168.98701008572</v>
      </c>
      <c r="KZ61" s="7385"/>
      <c r="LA61" s="7286" t="str">
        <f t="shared" ref="LA61:LA62" si="343">+IF(OR(KY61="",$CB61=""),"",KY61/$CB61)</f>
        <v/>
      </c>
      <c r="LB61" s="7299">
        <f t="shared" ref="LB61:LB62" si="344">+IF(OR(KY61="",$CL61=""),"",KY61/$CL61)</f>
        <v>483568.03751400788</v>
      </c>
      <c r="LC61" s="5133"/>
      <c r="LD61" s="5132"/>
      <c r="LE61" s="5132"/>
      <c r="LF61" s="5132"/>
      <c r="LG61" s="5132"/>
      <c r="LH61" s="5132"/>
      <c r="LI61" s="5132"/>
      <c r="LJ61" s="5132"/>
    </row>
    <row r="62" spans="1:322" s="645" customFormat="1" ht="27.95" customHeight="1">
      <c r="A62" s="10539"/>
      <c r="B62" s="9819" t="str">
        <f>+IF(A62="","",VLOOKUP(MATCH(A62,tid,0),tao,'12(id)'!$J$20,FALSE))</f>
        <v/>
      </c>
      <c r="C62" s="10561"/>
      <c r="D62" s="1115" t="str">
        <f t="shared" si="48"/>
        <v>8301-01-02</v>
      </c>
      <c r="E62" s="726" t="str">
        <f>+IF(BD62="","",BD62)</f>
        <v>High Pressure Water Injection (HPWI)</v>
      </c>
      <c r="F62" s="726" t="str">
        <f t="shared" si="49"/>
        <v>HPWI</v>
      </c>
      <c r="G62" s="5133"/>
      <c r="H62" s="5132"/>
      <c r="I62" s="5133"/>
      <c r="J62" s="719">
        <f t="shared" si="68"/>
        <v>28</v>
      </c>
      <c r="K62" s="9663"/>
      <c r="L62" s="9648"/>
      <c r="M62" s="9650"/>
      <c r="N62" s="9648"/>
      <c r="O62" s="9648"/>
      <c r="P62" s="9648"/>
      <c r="Q62" s="9680" t="str">
        <f>+IF(ISERROR(MATCH(O62,tid,0)),"",VLOOKUP(MATCH(O62,tid,0),tao,'12(id)'!$Q$20,FALSE))</f>
        <v/>
      </c>
      <c r="R62" s="9648"/>
      <c r="S62" s="9648"/>
      <c r="T62" s="10716" t="str">
        <f>+IF(ISERROR(MATCH(O62,tid,0)),"",IF(VLOOKUP(MATCH(O62,tid,0),tao,'12(id)'!$CT$20,FALSE)="","",VLOOKUP(MATCH(O62,tid,0),tao,'12(id)'!$CT$20,FALSE)))</f>
        <v/>
      </c>
      <c r="U62" s="10716" t="str">
        <f>+IF(ISERROR(MATCH(O62,tid,0)),"",IF(VLOOKUP(MATCH(O62,tid,0),tao,'12(id)'!$CU$20,FALSE)="","",VLOOKUP(MATCH(O62,tid,0),tao,'12(id)'!$CU$20,FALSE)))</f>
        <v/>
      </c>
      <c r="V62" s="9504" t="str">
        <f>+IF(O62="","",IF(VLOOKUP(MATCH(O62,tid,0),tao,'12(id)'!$T$20,FALSE)="","",VLOOKUP(MATCH(O62,tid,0),tao,'12(id)'!$T$20,FALSE)))</f>
        <v/>
      </c>
      <c r="W62" s="9504" t="str">
        <f>+IF(ISERROR(MATCH(O62,tid,0)),"",IF(VLOOKUP(MATCH(O62,tid,0),tao,'12(id)'!$CO$20,FALSE)="","",VLOOKUP(MATCH(O62,tid,0),tao,'12(id)'!$CO$20,FALSE)))</f>
        <v/>
      </c>
      <c r="X62" s="9504" t="str">
        <f>+IF(ISERROR(MATCH(O62,tid,0)),"",IF(VLOOKUP(MATCH(O62,tid,0),tao,'12(id)'!$CP$20,FALSE)="","",VLOOKUP(MATCH(O62,tid,0),tao,'12(id)'!$CP$20,FALSE)))</f>
        <v/>
      </c>
      <c r="Y62" s="9504"/>
      <c r="Z62" s="9518" t="str">
        <f>+IF(ISERROR(MATCH(O62,tid,0)),"",VLOOKUP(MATCH(O62,tid,0),tao,'12(id)'!$DB$20,FALSE)&amp;" "&amp;VLOOKUP(MATCH(O62,tid,0),tao,'12(id)'!$DC$20,FALSE))</f>
        <v/>
      </c>
      <c r="AA62" s="9518" t="str">
        <f>+IF(ISERROR(MATCH(O62,tid,0)),"",IF(VLOOKUP(MATCH(O62,tid,0),tao,'12(id)'!$DE$20,FALSE)="","",ROUND(VLOOKUP(MATCH(O62,tid,0),tao,'12(id)'!$DE$20,FALSE),0)&amp;" yrs"))</f>
        <v/>
      </c>
      <c r="AB62" s="9648" t="str">
        <f>+IF(ISERROR(MATCH(O62,tid,0)),"",VLOOKUP(MATCH(O62,tid,0),tao,'12(id)'!$DI$20,FALSE))</f>
        <v/>
      </c>
      <c r="AC62" s="9648" t="str">
        <f>+IF(ISERROR(MATCH(O62,tid,0)),"",IF(VLOOKUP(MATCH(O62,tid,0),tao,'12(id)'!$DQ$20,FALSE)="","",VLOOKUP(MATCH(O62,tid,0),tao,'12(id)'!$DQ$20,FALSE)))</f>
        <v/>
      </c>
      <c r="AD62" s="10412" t="str">
        <f>+IF(ISERROR(MATCH(O62,tid,0)),"",IF(VLOOKUP(MATCH(O62,tid,0),tao,'12(id)'!$EI$20,FALSE)="","",VLOOKUP(MATCH(O62,tid,0),tao,'12(id)'!$EI$20,FALSE)))</f>
        <v/>
      </c>
      <c r="AE62" s="10412" t="str">
        <f>+IF(ISERROR(MATCH(O62,tid,0)),"",IF(VLOOKUP(MATCH(O62,tid,0),tao,'12(id)'!$EJ$20,FALSE)="","",VLOOKUP(MATCH(O62,tid,0),tao,'12(id)'!$EJ$20,FALSE)))</f>
        <v/>
      </c>
      <c r="AF62" s="10412" t="str">
        <f>+IF(ISERROR(MATCH(O62,tid,0)),"",IF(VLOOKUP(MATCH(O62,tid,0),tao,'12(id)'!$EL$20,FALSE)="","",VLOOKUP(MATCH(O62,tid,0),tao,'12(id)'!$EL$20,FALSE)))</f>
        <v/>
      </c>
      <c r="AG62" s="10409" t="str">
        <f>+IF(ISERROR(MATCH(O62,tid,0)),"",IF(VLOOKUP(MATCH(O62,tid,0),tao,'12(id)'!$EM$20,FALSE)="","",VLOOKUP(MATCH(O62,tid,0),tao,'12(id)'!$EM$20,FALSE)))</f>
        <v/>
      </c>
      <c r="AH62" s="10793"/>
      <c r="AI62" s="10688"/>
      <c r="AJ62" s="10688"/>
      <c r="AK62" s="10688"/>
      <c r="AL62" s="10688"/>
      <c r="AM62" s="10676"/>
      <c r="AN62" s="10679"/>
      <c r="AO62" s="10342" t="str">
        <f>+IF(ISERROR(MATCH(O62,tid,0)),"",IF(VLOOKUP(MATCH(O62,tid,0),tao,'12(id)'!$GY$20,FALSE)="","",VLOOKUP(MATCH(O62,tid,0),tao,'12(id)'!$GY$20,FALSE)))</f>
        <v/>
      </c>
      <c r="AP62" s="10292" t="e">
        <f>+IF($BB62="","",IF(VLOOKUP(MATCH(O62,tid,0),tao,'12(id)'!$HE$20,FALSE)="","",VLOOKUP(MATCH(O62,tid,0),tao,'12(id)'!$HE$20,FALSE)))</f>
        <v>#N/A</v>
      </c>
      <c r="AQ62" s="10342" t="str">
        <f>+IF(ISERROR(VLOOKUP(MATCH(O62,tid,0),tao,'12(id)'!$HF$20,FALSE)),"",VLOOKUP(MATCH(O62,tid,0),tao,'12(id)'!$HF$20,FALSE))</f>
        <v/>
      </c>
      <c r="AR62" s="10336" t="str">
        <f>+IF(ISERROR(MATCH(O62,tid,0)),"",IF(VLOOKUP(MATCH(O62,tid,0),tao,'12(id)'!$HJ$20,FALSE)="","",VLOOKUP(MATCH(O62,tid,0),tao,'12(id)'!$HJ$20,FALSE)))</f>
        <v/>
      </c>
      <c r="AS62" s="10339" t="str">
        <f>+IF(ISERROR(MATCH(O62,tid,0)),"",IF(VLOOKUP(MATCH(O62,tid,0),tao,'12(id)'!$HK$20,FALSE)="","",VLOOKUP(MATCH(O62,tid,0),tao,'12(id)'!$HK$20,FALSE)))</f>
        <v/>
      </c>
      <c r="AT62" s="10694" t="str">
        <f>+IF(ISERROR(MATCH(O62,tid,0)),"",IF(VLOOKUP(MATCH(O62,tid,0),tao,'12(id)'!$HM$20,FALSE)="","",VLOOKUP(MATCH(O62,tid,0),tao,'12(id)'!$HM$20,FALSE)))</f>
        <v/>
      </c>
      <c r="AU62" s="10359"/>
      <c r="AV62" s="10325" t="str">
        <f>+IF(ISERROR(MATCH(O62,em_id,0)),"",IF(VLOOKUP(MATCH(O62,em_id,0),em,'5(em)'!$CX$18,FALSE)="","",VLOOKUP(MATCH(O62,em_id,0),em,'5(em)'!$CX$18,FALSE)))</f>
        <v/>
      </c>
      <c r="AW62" s="10392" t="str">
        <f>+IF(ISERROR(MATCH(O62,em_id,0)),"",IF(VLOOKUP(MATCH(O62,em_id,0),em,'5(em)'!$CZ$18,FALSE)="","",VLOOKUP(MATCH(O62,em_id,0),em,'5(em)'!$CZ$18,FALSE)))</f>
        <v/>
      </c>
      <c r="AX62" s="10330" t="str">
        <f t="shared" si="50"/>
        <v/>
      </c>
      <c r="AY62" s="10325"/>
      <c r="AZ62" s="10400" t="str">
        <f>+IF(ISERROR(MATCH(O62,em_id,0)),"",IF(VLOOKUP(MATCH(O62,em_id,0),em,'5(em)'!$DA$18,FALSE)="","",VLOOKUP(MATCH(O62,em_id,0),em,'5(em)'!$DA$18,FALSE)))</f>
        <v/>
      </c>
      <c r="BA62" s="725"/>
      <c r="BB62" s="726" t="str">
        <f t="shared" si="311"/>
        <v>8301-01-02</v>
      </c>
      <c r="BC62" s="724">
        <f>1+BC61</f>
        <v>2</v>
      </c>
      <c r="BD62" s="726" t="str">
        <f>+IF(OR(D62="",VLOOKUP(MATCH(D62,op_id,0),op,'7(op)'!$T$18,FALSE)=""),"",VLOOKUP(MATCH(D62,op_id,0),op,'7(op)'!$T$18,FALSE))</f>
        <v>High Pressure Water Injection (HPWI)</v>
      </c>
      <c r="BE62" s="726" t="s">
        <v>93</v>
      </c>
      <c r="BF62" s="726" t="s">
        <v>1862</v>
      </c>
      <c r="BG62" s="727"/>
      <c r="BH62" s="942"/>
      <c r="BI62" s="944"/>
      <c r="BJ62" s="916"/>
      <c r="BK62" s="916"/>
      <c r="BL62" s="916"/>
      <c r="BM62" s="916"/>
      <c r="BN62" s="916" t="str">
        <f t="shared" si="12"/>
        <v/>
      </c>
      <c r="BO62" s="916" t="str">
        <f t="shared" si="13"/>
        <v/>
      </c>
      <c r="BP62" s="916" t="str">
        <f t="shared" si="14"/>
        <v/>
      </c>
      <c r="BQ62" s="916" t="str">
        <f t="shared" si="15"/>
        <v/>
      </c>
      <c r="BR62" s="918"/>
      <c r="BS62" s="945"/>
      <c r="BT62" s="920"/>
      <c r="BU62" s="3729" t="str">
        <f>+IF(BB62="","",IF(VLOOKUP(MATCH(BB62,ef_id,0),ef,'11(eff)'!$Z$23,FALSE)="","",VLOOKUP(MATCH(BB62,ef_id,0),ef,'11(eff)'!$Z$23,FALSE)))</f>
        <v/>
      </c>
      <c r="BV62" s="3744" t="str">
        <f>+IF(BB62="","",IF(VLOOKUP(MATCH(BB62,ef_id,0),ef,'11(eff)'!$AA$23,FALSE)="","",VLOOKUP(MATCH(BB62,ef_id,0),ef,'11(eff)'!$AA$23,FALSE)))</f>
        <v/>
      </c>
      <c r="BW62" s="921"/>
      <c r="BX62" s="3790" t="str">
        <f>+IF(OR(BB62="",BW62=""),"",BW62/IF(R62="",IF(R61="",R60,R61),R62))</f>
        <v/>
      </c>
      <c r="BY62" s="3812" t="str">
        <f>+IF($BB62="","",IF(BU62="","",BU62/2000*IF(AQ62="",IF(AQ61="",AQ60,AQ61),AQ62)))</f>
        <v/>
      </c>
      <c r="BZ62" s="1057"/>
      <c r="CA62" s="3410"/>
      <c r="CB62" s="3844" t="str">
        <f>+IF($BB62="","",IF(OR(BX62="",BX62=0),"",IF(AT62="",IF(AT61="",AT60,AT61),AT62)-BX62))</f>
        <v/>
      </c>
      <c r="CC62" s="3863">
        <f>+IF($BB62="","",IF(CB62="",IF(CD62="",IF(CD62="",IF(CE62="","",CE62)),CD62),CB62/IF($AT62="",IF($AT61="",$AT60,$AT61),$AT62)))</f>
        <v>0.6</v>
      </c>
      <c r="CD62" s="3863" t="str">
        <f>+IF($BB62="","",IF(BU62="","",(1-BU62/IF(AR62="",IF(AR61="",AR60,AR61),AR62))))</f>
        <v/>
      </c>
      <c r="CE62" s="3892">
        <f>+IF(BB62="","",IF(VLOOKUP(MATCH(BB62,ef_id,0),ef,'11(eff)'!$AE$23,FALSE)="","",VLOOKUP(MATCH(BB62,ef_id,0),ef,'11(eff)'!$AE$23,FALSE)))</f>
        <v>0.6</v>
      </c>
      <c r="CF62" s="919" t="s">
        <v>1601</v>
      </c>
      <c r="CG62" s="920"/>
      <c r="CH62" s="2399"/>
      <c r="CI62" s="3844">
        <f>+IF(BB62="","",AZ61/AW61*2000*(1-CO62))</f>
        <v>0.2704987320371936</v>
      </c>
      <c r="CJ62" s="4055">
        <f>+IF($AY$61="","",$AY$61*(1-CO62))</f>
        <v>69.367452054794526</v>
      </c>
      <c r="CK62" s="3844">
        <f>+IF($BB62="","",IF(CI62="",IF($AZ62="",IF($AZ61="",$AZ60,$AZ61),$AZ62)-CL62,IF(OR(IF($AW62="",IF($AW61="",$AW60,$AW61),$AW62)="",CI62=""),"",CI62/2000*IF($AW62="",IF($AW61="",$AW60,$AW61),$AW62))))</f>
        <v>0.32</v>
      </c>
      <c r="CL62" s="3920">
        <f>+IF($BB62="","",IF(CI62="",CO62*IF($AZ62="",IF($AZ61="",$AZ60,$AZ61),$AZ62),IF(CK62="","",IF($AZ62="",IF($AZ61="",$AZ60,$AZ61),$AZ62)-CK62)))</f>
        <v>0.48000000000000004</v>
      </c>
      <c r="CM62" s="3944">
        <f>+IF($BB62="","",IF(CL62="","",CL62/IF($AZ62="",IF($AZ61="",$AZ60,$AZ61),$AZ62)))</f>
        <v>0.6</v>
      </c>
      <c r="CN62" s="3944">
        <f>+IF($BB62="","",IF(CI62="","",(1-CI62/IF($AX62="",IF($AX61="",$AX60,$AX61),$AX62))))</f>
        <v>0.60220774700412716</v>
      </c>
      <c r="CO62" s="3945">
        <f>+IF(BB62="","",IF(VLOOKUP(MATCH(BB62,ef_id,0),ef,'11(eff)'!$AE$23,FALSE)="","",VLOOKUP(MATCH(BB62,ef_id,0),ef,'11(eff)'!$AE$23,FALSE)))</f>
        <v>0.6</v>
      </c>
      <c r="CP62" s="3946">
        <f>+IF(OR(BB62="",VLOOKUP(MATCH(BB62,ef_id,0),ef,'11(eff)'!$AG$23,FALSE)=""),"",IF(VLOOKUP(MATCH(BB62,ef_id,0),ef,'11(eff)'!$AG$23,FALSE)/100=VLOOKUP(MATCH(BB62,ef_id,0),ef,'11(eff)'!$AE$23,FALSE),VLOOKUP(MATCH(BB62,ef_id,0),ef,'11(eff)'!$AE$23,FALSE),""))</f>
        <v>0.6</v>
      </c>
      <c r="CQ62" s="725" t="str">
        <f t="shared" si="51"/>
        <v>High Pressure Water Injection (HPWI)</v>
      </c>
      <c r="CR62" s="922"/>
      <c r="CS62" s="2754">
        <v>843728</v>
      </c>
      <c r="CT62" s="1582">
        <v>843728</v>
      </c>
      <c r="CU62" s="1490">
        <v>843728</v>
      </c>
      <c r="CV62" s="1817">
        <f t="shared" si="309"/>
        <v>0</v>
      </c>
      <c r="CW62" s="1818"/>
      <c r="CX62" s="1818"/>
      <c r="CY62" s="1819"/>
      <c r="CZ62" s="2467"/>
      <c r="DA62" s="2441"/>
      <c r="DB62" s="2441"/>
      <c r="DC62" s="1817"/>
      <c r="DD62" s="1821"/>
      <c r="DE62" s="1822"/>
      <c r="DF62" s="1823"/>
      <c r="DG62" s="1823"/>
      <c r="DH62" s="1821"/>
      <c r="DI62" s="1686">
        <f>+IF(CT62="","",SUM(CU62:DC62))</f>
        <v>843728</v>
      </c>
      <c r="DJ62" s="1932"/>
      <c r="DK62" s="1582"/>
      <c r="DL62" s="1490"/>
      <c r="DM62" s="1817" t="str">
        <f t="shared" si="310"/>
        <v/>
      </c>
      <c r="DN62" s="1818"/>
      <c r="DO62" s="1818"/>
      <c r="DP62" s="1819"/>
      <c r="DQ62" s="2467"/>
      <c r="DR62" s="2441"/>
      <c r="DS62" s="2441"/>
      <c r="DT62" s="1817"/>
      <c r="DU62" s="1821"/>
      <c r="DV62" s="1822"/>
      <c r="DW62" s="1823"/>
      <c r="DX62" s="1823"/>
      <c r="DY62" s="1821"/>
      <c r="DZ62" s="1686" t="str">
        <f t="shared" si="18"/>
        <v/>
      </c>
      <c r="EA62" s="1932"/>
      <c r="EB62" s="1490">
        <f t="shared" si="19"/>
        <v>843728</v>
      </c>
      <c r="EC62" s="1956">
        <v>1</v>
      </c>
      <c r="ED62" s="1410">
        <f t="shared" si="20"/>
        <v>843728</v>
      </c>
      <c r="EE62" s="1820"/>
      <c r="EF62" s="2441"/>
      <c r="EG62" s="1819"/>
      <c r="EH62" s="1686">
        <f t="shared" si="205"/>
        <v>0</v>
      </c>
      <c r="EI62" s="1822"/>
      <c r="EJ62" s="1823"/>
      <c r="EK62" s="2001"/>
      <c r="EL62" s="1450"/>
      <c r="EM62" s="1822"/>
      <c r="EN62" s="1823"/>
      <c r="EO62" s="2001"/>
      <c r="EP62" s="1686">
        <f t="shared" si="21"/>
        <v>0</v>
      </c>
      <c r="EQ62" s="1686"/>
      <c r="ER62" s="1686"/>
      <c r="ES62" s="1686"/>
      <c r="ET62" s="1450">
        <f>+IF(OR(BB62="",EB62=""),"",SUM(EQ62:ES62))</f>
        <v>0</v>
      </c>
      <c r="EU62" s="1423"/>
      <c r="EV62" s="1385"/>
      <c r="EW62" s="2574"/>
      <c r="EX62" s="2574"/>
      <c r="EY62" s="2681">
        <f t="shared" si="92"/>
        <v>843728</v>
      </c>
      <c r="EZ62" s="2710"/>
      <c r="FA62" s="1385"/>
      <c r="FB62" s="1472">
        <f>+IF(BB62="","",(IF(EY62="",0,EY62)+IF(FA62="",0,FA62)-IF(EZ62="",0,EZ62)))</f>
        <v>843728</v>
      </c>
      <c r="FC62" s="1490">
        <f>+IF(OR(ED62="",IF(R62="",IF(R61="",R60,R61),R62)=""),"",ED62/IF(R62="",IF(R61="",R60,R61),R62))</f>
        <v>843728</v>
      </c>
      <c r="FD62" s="2639">
        <f>+IF(OR(BB62="",IF(R62="",IF(R61="",R60,R61),R62)="",(CU62+DL62)=0),"",(CU62+DL62)/IF(R62="",IF(R61="",R60,R61),R62))</f>
        <v>843728</v>
      </c>
      <c r="FE62" s="3159">
        <f>+IF(OR(FC62="",FC62=0,FD62=""),"",FD62/FC62)</f>
        <v>1</v>
      </c>
      <c r="FF62" s="2639">
        <f>+IF(OR(BB62="",CT62="",IF(R62="",IF(R61="",R60,R61),R62)=""),"",(SUM(CV62:CZ62)+(IF(DM62="",0,DM62)+SUM(DN62:DQ62)))/IF(R62="",IF(R61="",R60,R61),R62))</f>
        <v>0</v>
      </c>
      <c r="FG62" s="3159">
        <f>+IF(OR(BB62="",ISERROR(FF62/FC62)),"",FF62/FC62)</f>
        <v>0</v>
      </c>
      <c r="FH62" s="2639">
        <f>+IF(OR(BB62="",IF(R62="",IF(R61="",R60,R61),R62)="",),"",(DA62+DR62)/IF(R62="",IF(R61="",R60,R61),R62))</f>
        <v>0</v>
      </c>
      <c r="FI62" s="3159">
        <f>+IF(OR(FC62="",FC62=0,FH62=""),"",FH62/FC62)</f>
        <v>0</v>
      </c>
      <c r="FJ62" s="2609">
        <f>+IF(OR(BB62="",CT62=""),"",IF(FD62="",0,FD62)+IF(FF62="",0,FF62)+IF(FH62="",0,FH62))</f>
        <v>843728</v>
      </c>
      <c r="FK62" s="2608">
        <f>+IF(OR(BB62="",ISERROR(FJ62/FC62)),"",FJ62/FC62)</f>
        <v>1</v>
      </c>
      <c r="FL62" s="2639">
        <f>+IF(OR(BB62="",CT62="",IF(R62="",IF(R61="",R60,R61),R62)=""),"",(DB62+DC62+DS62+DT62)/IF(R62="",IF(R61="",R60,R61),R62))</f>
        <v>0</v>
      </c>
      <c r="FM62" s="3159">
        <f>+IF(OR(BB62="",ISERROR(FL62/FC62)),"",FL62/FC62)</f>
        <v>0</v>
      </c>
      <c r="FN62" s="2639">
        <f>+IF(OR(BB62="",CT62="",IF(R62="",IF(R61="",R60,R61),R62)=""),"",(DD62+DU62)/IF(R62="",IF(R61="",R60,R61),R62))</f>
        <v>0</v>
      </c>
      <c r="FO62" s="3159">
        <f t="shared" si="302"/>
        <v>0</v>
      </c>
      <c r="FP62" s="2639">
        <f>+IF(OR(BB62="",CT62="",IF(R62="",IF(R61="",R60,R61),R62)=""),"",(DG62+DH62+DX62+DY62)/IF(R62="",IF(R61="",R60,R61),R62))</f>
        <v>0</v>
      </c>
      <c r="FQ62" s="3159">
        <f t="shared" si="303"/>
        <v>0</v>
      </c>
      <c r="FR62" s="2839">
        <f>+IF(OR(BB62="",IF(R62="",IF(R61="",R60,R61),R62)="",(IF(DI62="",0,DI62)+IF(DZ62="",0,DZ62))=0),"",(IF(DI62="",0,DI62)+IF(DZ62="",0,DZ62))/IF(R62="",IF(R61="",R60,R61),R62))</f>
        <v>843728</v>
      </c>
      <c r="FS62" s="1818" t="str">
        <f>+IF(OR(DJ62="",IF(R62="",IF(R61="",R60,R61),R62)=""),"",(DJ62+EA62)/IF(R62="",IF(R61="",R60,R61),R62))</f>
        <v/>
      </c>
      <c r="FT62" s="2733" t="str">
        <f t="shared" si="304"/>
        <v/>
      </c>
      <c r="FU62" s="2883">
        <f>+IF(OR(BB62="",ISERROR(1-(FR62+IF(FS62="",0,FS62)+FN62+FP62)*IF(R62="",IF(R61="",R60,R61),R62)/(CT62+DK62))),"",1-(FR62+IF(FS62="",0,FS62)+FN62+FP62)*IF(R62="",IF(R61="",R60,R61),R62)/(CT62+DK62))</f>
        <v>0</v>
      </c>
      <c r="FV62" s="2621">
        <f>+IF(FC62="","",FC62/IF(OR(ISTEXT(T62),T62=""),IF(OR(ISTEXT(T61),T61=""),IF(OR(ISTEXT(T60),T60=""),1,T60),T61),T62))</f>
        <v>38351.272727272728</v>
      </c>
      <c r="FW62" s="2639">
        <f>+IF(OR(EH62="",IF(R62="",IF(R61="",R60,R61),R62)=""),"",EH62/IF(R62="",IF(R61="",R60,R61),R62))</f>
        <v>0</v>
      </c>
      <c r="FX62" s="3161">
        <f t="shared" si="216"/>
        <v>0</v>
      </c>
      <c r="FY62" s="2607">
        <f>+IF(OR(EP62="",IF(R62="",IF(R61="",R60,R61),R62)=""),"",EP62/IF(R62="",IF(R61="",R60,R61),R62))</f>
        <v>0</v>
      </c>
      <c r="FZ62" s="3161">
        <f t="shared" si="217"/>
        <v>0</v>
      </c>
      <c r="GA62" s="3161" t="str">
        <f>+IF(IF(V62="",V61,V62)="Utility Boiler",IF(ISERR(FY62/(FC62+FW62)),"",FY62/(FC62+FW62)),"")</f>
        <v/>
      </c>
      <c r="GB62" s="2607">
        <f>+IF(OR(ET62="",IF(R62="",IF(R61="",R60,R61),R62)=""),"",ET62/IF(R62="",IF(R61="",R60,R61),R62))</f>
        <v>0</v>
      </c>
      <c r="GC62" s="3161">
        <f>+IF(ISERR(GB62/$FC62),"",GB62/$FC62)</f>
        <v>0</v>
      </c>
      <c r="GD62" s="3161" t="str">
        <f>+IF(IF(V62="",V61,V62)="Utility Boiler",IF(ISERR(GB62/($FC62)),"",GB62/(FC62+FW62+FY62)),"")</f>
        <v/>
      </c>
      <c r="GE62" s="1612">
        <f>+IF(OR(FB62="",IF(R62="",IF(R61="",R60,R61),R62)=""),"",FB62/IF(R62="",IF(R61="",R60,R61),R62))</f>
        <v>843728</v>
      </c>
      <c r="GF62" s="2138">
        <f>+IF(FB62="","",(IF(FA62="",0,FA62)-IF(EZ62="",0,EZ62))+(IF(EU62="",0,EU62)+IF(EV62="",0,EV62)+(IF(EW62="",0,EW62)+IF(EX62="",0,EX62))/IF(R62="",IF(R61="",R60,R61),R62)+IF(FC62="",0,FC62)+IF(FW62="",0,FW62)+IF(FY62="",0,FY62)+IF(GB62="",0,GB62)))</f>
        <v>843728</v>
      </c>
      <c r="GG62" s="2164">
        <f>+IF(OR(CS62="",IF(R62="",IF(R61="",R60,R61),R62)="",GF62=0),"",1-(CS62/IF(R62="",IF(R61="",R60,R61),R62))/GF62)</f>
        <v>0</v>
      </c>
      <c r="GH62" s="3175">
        <f>+IF(ISERROR(GF62/IF(T62="",IF(T61="",T60,T61),T62)),"",IF(IF(T62="",IF(T61="",T60,T61),T62)="","",IF(GF62="","",GF62/IF(T62="",IF(T61="",T60,T61),T62))))</f>
        <v>38351.272727272728</v>
      </c>
      <c r="GI62" s="1612" t="s">
        <v>939</v>
      </c>
      <c r="GJ62" s="2609">
        <v>839358</v>
      </c>
      <c r="GK62" s="3442">
        <f>+IF(OR(BB62="",GJ62=""),"",IF(CB62="",1,CB62*IF(R62="",IF(R61="",R60,R61),R62)))</f>
        <v>1</v>
      </c>
      <c r="GL62" s="3217" t="str">
        <f t="shared" si="219"/>
        <v/>
      </c>
      <c r="GM62" s="1230"/>
      <c r="GN62" s="1233"/>
      <c r="GO62" s="2287"/>
      <c r="GP62" s="2288"/>
      <c r="GQ62" s="2220"/>
      <c r="GR62" s="2220"/>
      <c r="GS62" s="2215">
        <f>+IF(GE62="","",GE62*$GS$27)</f>
        <v>33749.120000000003</v>
      </c>
      <c r="GT62" s="2220"/>
      <c r="GU62" s="2738">
        <f>+IF(OR(SUM(GQ62:GT62)=0,GT62=""),IF(GK62=1,GJ62*GK62,IF(GI62="","",GI62)),SUM(GQ62:GT62))</f>
        <v>839358</v>
      </c>
      <c r="GV62" s="1231" t="str">
        <f>+IF(OR(GO62="",IF(R62="",IF(R61="",R60,R61),R62)=""),"",GO62/IF(R62="",IF(R61="",R60,R61),R62))</f>
        <v/>
      </c>
      <c r="GW62" s="2250" t="str">
        <f>+IF(OR(GP62="",IF(R62="",IF(R61="",R60,R61),R62)=""),"",GP62/IF(R62="",IF(R61="",R60,R61),R62))</f>
        <v/>
      </c>
      <c r="GX62" s="2220" t="str">
        <f>+IF(OR(GQ62="",IF(R62="",IF(R61="",R60,R61),R62)=""),"",GQ62/IF(R62="",IF(R61="",R60,R61),R62))</f>
        <v/>
      </c>
      <c r="GY62" s="2220" t="str">
        <f>+IF(OR(GR62="",IF(R62="",IF(R61="",R60,R61),R62)=""),"",GR62/IF(R62="",IF(R61="",R60,R61),R62))</f>
        <v/>
      </c>
      <c r="GZ62" s="3242">
        <f>+IF(OR(GS62="",IF(R62="",IF(R61="",R60,R61),R62)=""),"",GS62/IF(R62="",IF(R61="",R60,R61),R62))</f>
        <v>33749.120000000003</v>
      </c>
      <c r="HA62" s="2220" t="str">
        <f>+IF(OR(GT62="",IF(R62="",IF(R61="",R60,R61),R62)=""),"",GT62/IF(R62="",IF(R61="",R60,R61),R62))</f>
        <v/>
      </c>
      <c r="HB62" s="3240" t="str">
        <f t="shared" si="22"/>
        <v/>
      </c>
      <c r="HC62" s="1232">
        <f>+IF(OR(GU62="",IF(R62="",IF(R61="",R60,R61),R62)=""),"",GU62/IF(R62="",IF(R61="",R60,R61),R62))</f>
        <v>839358</v>
      </c>
      <c r="HD62" s="3468" t="str">
        <f t="shared" si="220"/>
        <v/>
      </c>
      <c r="HE62" s="1230"/>
      <c r="HF62" s="2555">
        <f t="shared" si="107"/>
        <v>839358</v>
      </c>
      <c r="HG62" s="1233">
        <f t="shared" si="23"/>
        <v>1748662.4999999998</v>
      </c>
      <c r="HH62" s="2983"/>
      <c r="HI62" s="3065">
        <f>+IF(FR62="","",FR62)</f>
        <v>843728</v>
      </c>
      <c r="HJ62" s="3078">
        <f>+IF(FP62="","",FP62)</f>
        <v>0</v>
      </c>
      <c r="HK62" s="3078">
        <f>+IF(FN62="","",FN62)</f>
        <v>0</v>
      </c>
      <c r="HL62" s="3078" t="str">
        <f>+IF(FR62="","",IF(HH62="","",IF(HH62=4,FS62,IF(HH62=3,FS62,IF(HH62=2,$HL$7*HI62,IF(HH62=1,$HL$6*HI62,""))))))</f>
        <v/>
      </c>
      <c r="HM62" s="3091">
        <f>IF(FR62="","",SUM(HI62:HL62))</f>
        <v>843728</v>
      </c>
      <c r="HN62" s="3474">
        <f>+IF(ISERROR(HM62/IF(T62="",IF(T61="",IF(T60="",1,T60),T61),T62)),"",IF(FR62="","",HM62/IF(T62="",IF(T61="",IF(T60="",1,T60),T61),T62)))</f>
        <v>38351.272727272728</v>
      </c>
      <c r="HO62" s="1210" t="str">
        <f>+IF(FR62="","",IF(HH62="","",IF(HH62=4,FW62,IF(HH62=3,FW62,IF(HH62=2,$HO$7*HM62,IF(HH62=1,$HO$6*HM62,""))))))</f>
        <v/>
      </c>
      <c r="HP62" s="1208" t="str">
        <f>+IF(FR62="","",IF(HH62="","",IF(HH62=4,FY62,IF(HH62=3,FY62,IF(HH62=2,$HP$7*(HM62+HO62),IF(HH62=1,$HP$6*HM62,""))))))</f>
        <v/>
      </c>
      <c r="HQ62" s="1209" t="str">
        <f>+IF(FR62="","",IF(HH62="","",IF(HH62=3,$HQ$8*(HI62+HO62+HP62),"")))</f>
        <v/>
      </c>
      <c r="HR62" s="1211" t="str">
        <f>+IF(FR62="","",IF(HH62="","",IF(HH62=4,GB62,IF(HH62=3,$HR$8*HO62,IF(HH62=2,$HR$7*(HM62+HO62+HP62),IF(HH62=1,$HR$6*HM62,""))))))</f>
        <v/>
      </c>
      <c r="HS62" s="1211">
        <f>IF(FR62="","",SUM(HQ62:HR62))</f>
        <v>0</v>
      </c>
      <c r="HT62" s="1210" t="str">
        <f>+IF(FR62="","",IF(HH62="","",IF(HH62=2,$HT$7*(HP62+HR62),"")))</f>
        <v/>
      </c>
      <c r="HU62" s="1211" t="str">
        <f>+IF(FR62="","",IF(HH62="","",IF(HH62=2,$HU$7*(HP62+HR62),"")))</f>
        <v/>
      </c>
      <c r="HV62" s="1210" t="str">
        <f t="shared" si="312"/>
        <v/>
      </c>
      <c r="HW62" s="1211" t="str">
        <f t="shared" si="313"/>
        <v/>
      </c>
      <c r="HX62" s="3135">
        <f t="shared" si="199"/>
        <v>843728</v>
      </c>
      <c r="HY62" s="3078" t="str">
        <f>+IF(EZ62="","",EZ62/IF(R62="",IF(R61="",IF(R60="",1,R60),R61),R62))</f>
        <v/>
      </c>
      <c r="HZ62" s="3116" t="str">
        <f>+IF(FA62="","",FA62/IF(R62="",IF(R61="",IF(R60="",1,R60),R61),R62))</f>
        <v/>
      </c>
      <c r="IA62" s="3065">
        <f>+IF(HM62="","",HX62-IF(HY62="",0,HY62)+IF(HZ62="",0,HZ62))</f>
        <v>843728</v>
      </c>
      <c r="IB62" s="1209" t="str">
        <f t="shared" si="237"/>
        <v>same TCC</v>
      </c>
      <c r="IC62" s="3098">
        <f>+IF(OR(IA62="",ISERROR(IA62/IF(T62="",IF(T61="",IF(T60="",1,T60),T61),T62))),"",IA62/IF(T62="",IF(T61="",IF(T60="",1,T60),T61),T62))</f>
        <v>38351.272727272728</v>
      </c>
      <c r="ID62" s="1210"/>
      <c r="IE62" s="1209"/>
      <c r="IF62" s="3135" t="str">
        <f>+IF(GO62="","",GO62)</f>
        <v/>
      </c>
      <c r="IG62" s="6768"/>
      <c r="IH62" s="4168" t="str">
        <f>+IF(D61="","",IF(GP61="","",GP61))</f>
        <v/>
      </c>
      <c r="II62" s="4169"/>
      <c r="IJ62" s="4169" t="str">
        <f>+IF(SUM(IF(IH62="",0,IH62)+IF(IF62="",0,IF62))=0,"",IF(IH62="",0,IH62)+IF(IF62="",0,IF62))</f>
        <v/>
      </c>
      <c r="IK62" s="4129">
        <v>0</v>
      </c>
      <c r="IL62" s="2441" t="str">
        <f t="shared" si="314"/>
        <v/>
      </c>
      <c r="IM62" s="1819">
        <f t="shared" si="315"/>
        <v>0</v>
      </c>
      <c r="IN62" s="4227" t="str">
        <f>+IF(SUM(IF(IM62="",0,IM62)+IF(IL62="",0,IL62))=0,"",IF(IM62="",0,IM62)+IF(IL62="",0,IL62))</f>
        <v/>
      </c>
      <c r="IO62" s="4227" t="str">
        <f>+IF(SUM(IF(IN62="",0,IN62)+IF(IJ62="",0,IJ62))=0,"",IF(IN62="",0,IN62)+IF(IJ62="",0,IJ62))</f>
        <v/>
      </c>
      <c r="IP62" s="4227" t="str">
        <f t="shared" si="316"/>
        <v/>
      </c>
      <c r="IQ62" s="6841" t="str">
        <f t="shared" si="317"/>
        <v/>
      </c>
      <c r="IR62" s="4227" t="str">
        <f t="shared" si="318"/>
        <v/>
      </c>
      <c r="IS62" s="6841" t="str">
        <f t="shared" si="319"/>
        <v/>
      </c>
      <c r="IT62" s="4227" t="str">
        <f>+IF(BB62="","",IF(IO62="","",IO62/IF(R62="",IF(R61="",IF(R60="",R59,R60),R61),R62)))</f>
        <v/>
      </c>
      <c r="IU62" s="6841" t="str">
        <f>+IF(IT62="","",IT62/IX62)</f>
        <v/>
      </c>
      <c r="IV62" s="4129">
        <f t="shared" si="320"/>
        <v>1</v>
      </c>
      <c r="IW62" s="1819">
        <f t="shared" si="321"/>
        <v>79641.954451505648</v>
      </c>
      <c r="IX62" s="3098">
        <f>+IF(D62="","",IF(SUM(IF(IW62="",0,IW62)+IF(IT62="",0,IT62))=0,IY62,IF(IW62="",0,IW62)+IF(IT62="",0,IT62)))</f>
        <v>79641.954451505648</v>
      </c>
      <c r="IY62" s="4246">
        <f>+IF(D62="","",HC62)</f>
        <v>839358</v>
      </c>
      <c r="IZ62" s="4278">
        <f>+IF(IY62="","",(IY62-IX62)/IY62)</f>
        <v>0.90511563069452405</v>
      </c>
      <c r="JA62" s="4279" t="str">
        <f t="shared" si="322"/>
        <v>stk added + 91%</v>
      </c>
      <c r="JB62" s="1211"/>
      <c r="JC62" s="4324"/>
      <c r="JD62" s="2555" t="str">
        <f>+IF(OR(IX62="",$CB62=""),"",IX62/$CB62)</f>
        <v/>
      </c>
      <c r="JE62" s="4359">
        <f>+IF(OR(IX62="",$CL62=""),"",IX62/$CL62)</f>
        <v>165920.73844063675</v>
      </c>
      <c r="JF62" s="7030">
        <f>+IF(D62="","",IF(T62="",IF(T61="",T60/IF(Y60="TP",2,1),T61/IF(Y61="TP",2,1)),T62/IF(Y62="TP",2,1)))</f>
        <v>22</v>
      </c>
      <c r="JG62" s="2441" t="s">
        <v>93</v>
      </c>
      <c r="JH62" s="6961">
        <f>+IF(D62="","",IF(HX62="","",HX62))</f>
        <v>843728</v>
      </c>
      <c r="JI62" s="6961">
        <f>+JH62</f>
        <v>843728</v>
      </c>
      <c r="JJ62" s="6961"/>
      <c r="JK62" s="6961"/>
      <c r="JL62" s="6998"/>
      <c r="JM62" s="1818">
        <f t="shared" si="323"/>
        <v>1068099.9999999998</v>
      </c>
      <c r="JN62" s="2441">
        <f>+IF(D62="","",IF(JM62="N/A","",JM62*$JN$27))</f>
        <v>1847812.9999999995</v>
      </c>
      <c r="JO62" s="2441">
        <f>+JN62</f>
        <v>1847812.9999999995</v>
      </c>
      <c r="JP62" s="7075"/>
      <c r="JQ62" s="7075"/>
      <c r="JR62" s="2441"/>
      <c r="JS62" s="1819">
        <f>+IF(D62="","",SUM(JO62:JR62))</f>
        <v>1847812.9999999995</v>
      </c>
      <c r="JT62" s="7136">
        <f t="shared" si="263"/>
        <v>1</v>
      </c>
      <c r="JU62" s="7137">
        <f t="shared" ref="JU62:JU64" si="345">+IF(D62="","",IF(AV62="",IF(AV61="",IF(AV60="","",AV60),AV61),AV62))</f>
        <v>24</v>
      </c>
      <c r="JV62" s="8368">
        <f t="shared" ref="JV62:JV64" si="346">+IF(D62="","",IF(AW62="",IF(AW61="",IF(AW60="","",AW60),AW61),AW62))</f>
        <v>2366</v>
      </c>
      <c r="JW62" s="8395">
        <f t="shared" si="149"/>
        <v>0.48000000000000004</v>
      </c>
      <c r="JX62" s="8424" t="str">
        <f t="shared" si="324"/>
        <v/>
      </c>
      <c r="JY62" s="8459" t="str">
        <f>+IF(D62="","",IF(JT62=2,(#REF!*(1+#REF!)^JX62)/((1+#REF!)^JX62-1),""))</f>
        <v/>
      </c>
      <c r="JZ62" s="7138" t="str">
        <f t="shared" si="325"/>
        <v/>
      </c>
      <c r="KA62" s="7136">
        <f t="shared" si="326"/>
        <v>5378.2505910165482</v>
      </c>
      <c r="KB62" s="7137">
        <f t="shared" si="327"/>
        <v>3764.7754137115835</v>
      </c>
      <c r="KC62" s="7138">
        <f t="shared" si="201"/>
        <v>7.521506435513527</v>
      </c>
      <c r="KD62" s="7136">
        <f t="shared" si="328"/>
        <v>465.79200000000003</v>
      </c>
      <c r="KE62" s="8332" t="str">
        <f t="shared" si="329"/>
        <v/>
      </c>
      <c r="KF62" s="8332" t="str">
        <f t="shared" si="330"/>
        <v/>
      </c>
      <c r="KG62" s="7137">
        <f t="shared" si="331"/>
        <v>150.39153917021272</v>
      </c>
      <c r="KH62" s="7137" t="str">
        <f>IF(D62="","",IF(JT62=2,0.005*JF62*$KD$6/1000*1000*JU62,""))</f>
        <v/>
      </c>
      <c r="KI62" s="7137" t="str">
        <f>IF(D62="","",IF(JT62=2,0.1*0.005*JF62*$KD$6/1000*1000*JU62,""))</f>
        <v/>
      </c>
      <c r="KJ62" s="7137">
        <f t="shared" si="332"/>
        <v>616.18353917021273</v>
      </c>
      <c r="KK62" s="7137">
        <f>+IF(OR(D62="",JU62="",JV62=""),"",$KK$7*$KG$4*JU62)</f>
        <v>2517.7728000000002</v>
      </c>
      <c r="KL62" s="7137">
        <f t="shared" si="333"/>
        <v>166.30316999999997</v>
      </c>
      <c r="KM62" s="7137">
        <f t="shared" si="334"/>
        <v>2684.0759700000003</v>
      </c>
      <c r="KN62" s="7137" t="str">
        <f>+IF(D62="","",IF(JX62&lt;41,$KN$8*JZ62*JY62,""))</f>
        <v/>
      </c>
      <c r="KO62" s="7137">
        <f t="shared" si="335"/>
        <v>2684.0759700000003</v>
      </c>
      <c r="KP62" s="7138">
        <f t="shared" si="336"/>
        <v>3300.2595091702133</v>
      </c>
      <c r="KQ62" s="1820">
        <f>+IF(D62="","",VLOOKUP(MATCH(BE62,ac_id,0),ad,ac!$F$8,FALSE)*JV62)</f>
        <v>16562</v>
      </c>
      <c r="KR62" s="7075">
        <f>+IF(D62="","",IF(JT62=1,VLOOKUP(MATCH(BE62,ac_id,0),ad,ac!$H$8,FALSE)*JU62, (VLOOKUP(MATCH(BE62,ac_id,0),ad,ac!$H$8,FALSE)*JU62^(1+VLOOKUP(MATCH(BE62,ac_id,0),ad,ac!$I$8,FALSE)))))</f>
        <v>6000</v>
      </c>
      <c r="KS62" s="1819">
        <f>+IF(D62="","",KQ62+KR62)</f>
        <v>22562</v>
      </c>
      <c r="KT62" s="1820">
        <f t="shared" si="337"/>
        <v>1610.4455820000001</v>
      </c>
      <c r="KU62" s="2441">
        <f t="shared" si="338"/>
        <v>73912.51999999999</v>
      </c>
      <c r="KV62" s="7378">
        <f t="shared" si="339"/>
        <v>1</v>
      </c>
      <c r="KW62" s="7282">
        <f t="shared" si="340"/>
        <v>158561.78925706976</v>
      </c>
      <c r="KX62" s="1819">
        <f t="shared" si="341"/>
        <v>234084.75483906973</v>
      </c>
      <c r="KY62" s="1751">
        <f t="shared" si="342"/>
        <v>237385.01434823996</v>
      </c>
      <c r="KZ62" s="7379"/>
      <c r="LA62" s="7282" t="str">
        <f t="shared" si="343"/>
        <v/>
      </c>
      <c r="LB62" s="7293">
        <f t="shared" si="344"/>
        <v>494552.11322549987</v>
      </c>
      <c r="LC62" s="5133"/>
      <c r="LD62" s="5132"/>
      <c r="LE62" s="5132"/>
      <c r="LF62" s="5132"/>
      <c r="LG62" s="5132"/>
      <c r="LH62" s="5132"/>
      <c r="LI62" s="5132"/>
      <c r="LJ62" s="5132"/>
    </row>
    <row r="63" spans="1:322" s="645" customFormat="1" ht="27.95" customHeight="1" thickBot="1">
      <c r="A63" s="10563"/>
      <c r="B63" s="10718" t="str">
        <f>+IF(A63="","",VLOOKUP(MATCH(A63,tid,0),tao,'12(id)'!$J$20,FALSE))</f>
        <v/>
      </c>
      <c r="C63" s="10717"/>
      <c r="D63" s="1117" t="str">
        <f t="shared" si="48"/>
        <v/>
      </c>
      <c r="E63" s="874"/>
      <c r="F63" s="874" t="str">
        <f t="shared" si="49"/>
        <v/>
      </c>
      <c r="G63" s="5133"/>
      <c r="H63" s="5132"/>
      <c r="I63" s="5133"/>
      <c r="J63" s="719">
        <f t="shared" si="68"/>
        <v>29</v>
      </c>
      <c r="K63" s="9664"/>
      <c r="L63" s="9645"/>
      <c r="M63" s="9647"/>
      <c r="N63" s="9645"/>
      <c r="O63" s="9645"/>
      <c r="P63" s="9645"/>
      <c r="Q63" s="9681" t="str">
        <f>+IF(ISERROR(MATCH(O63,tid,0)),"",VLOOKUP(MATCH(O63,tid,0),tao,'12(id)'!$Q$20,FALSE))</f>
        <v/>
      </c>
      <c r="R63" s="9645"/>
      <c r="S63" s="9645"/>
      <c r="T63" s="10317" t="str">
        <f>+IF(ISERROR(MATCH(O63,tid,0)),"",IF(VLOOKUP(MATCH(O63,tid,0),tao,'12(id)'!$CT$20,FALSE)="","",VLOOKUP(MATCH(O63,tid,0),tao,'12(id)'!$CT$20,FALSE)))</f>
        <v/>
      </c>
      <c r="U63" s="10317" t="str">
        <f>+IF(ISERROR(MATCH(O63,tid,0)),"",IF(VLOOKUP(MATCH(O63,tid,0),tao,'12(id)'!$CU$20,FALSE)="","",VLOOKUP(MATCH(O63,tid,0),tao,'12(id)'!$CU$20,FALSE)))</f>
        <v/>
      </c>
      <c r="V63" s="9487" t="str">
        <f>+IF(O63="","",IF(VLOOKUP(MATCH(O63,tid,0),tao,'12(id)'!$T$20,FALSE)="","",VLOOKUP(MATCH(O63,tid,0),tao,'12(id)'!$T$20,FALSE)))</f>
        <v/>
      </c>
      <c r="W63" s="9487" t="str">
        <f>+IF(ISERROR(MATCH(O63,tid,0)),"",IF(VLOOKUP(MATCH(O63,tid,0),tao,'12(id)'!$CO$20,FALSE)="","",VLOOKUP(MATCH(O63,tid,0),tao,'12(id)'!$CO$20,FALSE)))</f>
        <v/>
      </c>
      <c r="X63" s="9487" t="str">
        <f>+IF(ISERROR(MATCH(O63,tid,0)),"",IF(VLOOKUP(MATCH(O63,tid,0),tao,'12(id)'!$CP$20,FALSE)="","",VLOOKUP(MATCH(O63,tid,0),tao,'12(id)'!$CP$20,FALSE)))</f>
        <v/>
      </c>
      <c r="Y63" s="9487"/>
      <c r="Z63" s="9519" t="str">
        <f>+IF(ISERROR(MATCH(O63,tid,0)),"",VLOOKUP(MATCH(O63,tid,0),tao,'12(id)'!$DB$20,FALSE)&amp;" "&amp;VLOOKUP(MATCH(O63,tid,0),tao,'12(id)'!$DC$20,FALSE))</f>
        <v/>
      </c>
      <c r="AA63" s="9519" t="str">
        <f>+IF(ISERROR(MATCH(O63,tid,0)),"",IF(VLOOKUP(MATCH(O63,tid,0),tao,'12(id)'!$DE$20,FALSE)="","",ROUND(VLOOKUP(MATCH(O63,tid,0),tao,'12(id)'!$DE$20,FALSE),0)&amp;" yrs"))</f>
        <v/>
      </c>
      <c r="AB63" s="9645" t="str">
        <f>+IF(ISERROR(MATCH(O63,tid,0)),"",VLOOKUP(MATCH(O63,tid,0),tao,'12(id)'!$DI$20,FALSE))</f>
        <v/>
      </c>
      <c r="AC63" s="9645" t="str">
        <f>+IF(ISERROR(MATCH(O63,tid,0)),"",IF(VLOOKUP(MATCH(O63,tid,0),tao,'12(id)'!$DQ$20,FALSE)="","",VLOOKUP(MATCH(O63,tid,0),tao,'12(id)'!$DQ$20,FALSE)))</f>
        <v/>
      </c>
      <c r="AD63" s="10413" t="str">
        <f>+IF(ISERROR(MATCH(O63,tid,0)),"",IF(VLOOKUP(MATCH(O63,tid,0),tao,'12(id)'!$EI$20,FALSE)="","",VLOOKUP(MATCH(O63,tid,0),tao,'12(id)'!$EI$20,FALSE)))</f>
        <v/>
      </c>
      <c r="AE63" s="10413" t="str">
        <f>+IF(ISERROR(MATCH(O63,tid,0)),"",IF(VLOOKUP(MATCH(O63,tid,0),tao,'12(id)'!$EJ$20,FALSE)="","",VLOOKUP(MATCH(O63,tid,0),tao,'12(id)'!$EJ$20,FALSE)))</f>
        <v/>
      </c>
      <c r="AF63" s="10413" t="str">
        <f>+IF(ISERROR(MATCH(O63,tid,0)),"",IF(VLOOKUP(MATCH(O63,tid,0),tao,'12(id)'!$EL$20,FALSE)="","",VLOOKUP(MATCH(O63,tid,0),tao,'12(id)'!$EL$20,FALSE)))</f>
        <v/>
      </c>
      <c r="AG63" s="10410" t="str">
        <f>+IF(ISERROR(MATCH(O63,tid,0)),"",IF(VLOOKUP(MATCH(O63,tid,0),tao,'12(id)'!$EM$20,FALSE)="","",VLOOKUP(MATCH(O63,tid,0),tao,'12(id)'!$EM$20,FALSE)))</f>
        <v/>
      </c>
      <c r="AH63" s="10794"/>
      <c r="AI63" s="10689"/>
      <c r="AJ63" s="10689"/>
      <c r="AK63" s="10689"/>
      <c r="AL63" s="10689"/>
      <c r="AM63" s="10677"/>
      <c r="AN63" s="10680"/>
      <c r="AO63" s="10343" t="str">
        <f>+IF(ISERROR(MATCH(O63,tid,0)),"",IF(VLOOKUP(MATCH(O63,tid,0),tao,'12(id)'!$GY$20,FALSE)="","",VLOOKUP(MATCH(O63,tid,0),tao,'12(id)'!$GY$20,FALSE)))</f>
        <v/>
      </c>
      <c r="AP63" s="10293" t="str">
        <f>+IF($BB63="","",IF(VLOOKUP(MATCH(O63,tid,0),tao,'12(id)'!$HE$20,FALSE)="","",VLOOKUP(MATCH(O63,tid,0),tao,'12(id)'!$HE$20,FALSE)))</f>
        <v/>
      </c>
      <c r="AQ63" s="10343" t="str">
        <f>+IF(ISERROR(VLOOKUP(MATCH(O63,tid,0),tao,'12(id)'!$HF$20,FALSE)),"",VLOOKUP(MATCH(O63,tid,0),tao,'12(id)'!$HF$20,FALSE))</f>
        <v/>
      </c>
      <c r="AR63" s="10337" t="str">
        <f>+IF(ISERROR(MATCH(O63,tid,0)),"",IF(VLOOKUP(MATCH(O63,tid,0),tao,'12(id)'!$HJ$20,FALSE)="","",VLOOKUP(MATCH(O63,tid,0),tao,'12(id)'!$HJ$20,FALSE)))</f>
        <v/>
      </c>
      <c r="AS63" s="10340" t="str">
        <f>+IF(ISERROR(MATCH(O63,tid,0)),"",IF(VLOOKUP(MATCH(O63,tid,0),tao,'12(id)'!$HK$20,FALSE)="","",VLOOKUP(MATCH(O63,tid,0),tao,'12(id)'!$HK$20,FALSE)))</f>
        <v/>
      </c>
      <c r="AT63" s="10695" t="str">
        <f>+IF(ISERROR(MATCH(O63,tid,0)),"",IF(VLOOKUP(MATCH(O63,tid,0),tao,'12(id)'!$HM$20,FALSE)="","",VLOOKUP(MATCH(O63,tid,0),tao,'12(id)'!$HM$20,FALSE)))</f>
        <v/>
      </c>
      <c r="AU63" s="10360"/>
      <c r="AV63" s="10396" t="str">
        <f>+IF(ISERROR(MATCH(O63,em_id,0)),"",IF(VLOOKUP(MATCH(O63,em_id,0),em,'5(em)'!$CX$18,FALSE)="","",VLOOKUP(MATCH(O63,em_id,0),em,'5(em)'!$CX$18,FALSE)))</f>
        <v/>
      </c>
      <c r="AW63" s="10393" t="str">
        <f>+IF(ISERROR(MATCH(O63,em_id,0)),"",IF(VLOOKUP(MATCH(O63,em_id,0),em,'5(em)'!$CZ$18,FALSE)="","",VLOOKUP(MATCH(O63,em_id,0),em,'5(em)'!$CZ$18,FALSE)))</f>
        <v/>
      </c>
      <c r="AX63" s="10331" t="str">
        <f t="shared" si="50"/>
        <v/>
      </c>
      <c r="AY63" s="10396"/>
      <c r="AZ63" s="10401" t="str">
        <f>+IF(ISERROR(MATCH(O63,em_id,0)),"",IF(VLOOKUP(MATCH(O63,em_id,0),em,'5(em)'!$DA$18,FALSE)="","",VLOOKUP(MATCH(O63,em_id,0),em,'5(em)'!$DA$18,FALSE)))</f>
        <v/>
      </c>
      <c r="BA63" s="873"/>
      <c r="BB63" s="874" t="str">
        <f t="shared" si="311"/>
        <v/>
      </c>
      <c r="BC63" s="820"/>
      <c r="BD63" s="874" t="str">
        <f>+IF(OR(D63="",VLOOKUP(MATCH(D63,op_id,0),op,'7(op)'!$T$18,FALSE)=""),"",VLOOKUP(MATCH(D63,op_id,0),op,'7(op)'!$T$18,FALSE))</f>
        <v/>
      </c>
      <c r="BE63" s="874"/>
      <c r="BF63" s="874"/>
      <c r="BG63" s="875"/>
      <c r="BH63" s="894"/>
      <c r="BI63" s="896"/>
      <c r="BJ63" s="876"/>
      <c r="BK63" s="876"/>
      <c r="BL63" s="876"/>
      <c r="BM63" s="876"/>
      <c r="BN63" s="876" t="str">
        <f t="shared" si="12"/>
        <v/>
      </c>
      <c r="BO63" s="876" t="str">
        <f t="shared" si="13"/>
        <v/>
      </c>
      <c r="BP63" s="876" t="str">
        <f t="shared" si="14"/>
        <v/>
      </c>
      <c r="BQ63" s="876" t="str">
        <f t="shared" si="15"/>
        <v/>
      </c>
      <c r="BR63" s="877"/>
      <c r="BS63" s="897"/>
      <c r="BT63" s="879"/>
      <c r="BU63" s="3730"/>
      <c r="BV63" s="3747"/>
      <c r="BW63" s="880"/>
      <c r="BX63" s="3834" t="str">
        <f>+IF(OR(BB63="",BW63=""),"",BW63/IF(R63="",IF(R62="",R61,R62),R63))</f>
        <v/>
      </c>
      <c r="BY63" s="3830" t="str">
        <f>+IF($BB63="","",IF(BU63="","",BU63/2000*IF(AQ63="",IF(AQ62="",AQ61,AQ62),AQ63)))</f>
        <v/>
      </c>
      <c r="BZ63" s="1059"/>
      <c r="CA63" s="3413"/>
      <c r="CB63" s="3847" t="str">
        <f>+IF($BB63="","",IF(OR(BX63="",BX63=0),"",IF(AT63="",IF(AT62="",AT61,AT62),AT63)-BX63))</f>
        <v/>
      </c>
      <c r="CC63" s="3882" t="str">
        <f>+IF($BB63="","",IF(CB63="",IF(CD63="",IF(CD63="",IF(CE63="","",CE63)),CD63),CB63/IF($AT63="",IF($AT62="",$AT61,$AT62),$AT63)))</f>
        <v/>
      </c>
      <c r="CD63" s="3882" t="str">
        <f>+IF($BB63="","",IF(BU63="","",(1-BU63/IF(AR63="",IF(AR62="",AR61,AR62),AR63))))</f>
        <v/>
      </c>
      <c r="CE63" s="3903" t="str">
        <f>+IF(BB63="","",IF(VLOOKUP(MATCH(BB63,ef_id,0),ef,'11(eff)'!$AE$23,FALSE)="","",VLOOKUP(MATCH(BB63,ef_id,0),ef,'11(eff)'!$AE$23,FALSE)))</f>
        <v/>
      </c>
      <c r="CF63" s="878"/>
      <c r="CG63" s="879"/>
      <c r="CH63" s="2402"/>
      <c r="CI63" s="3847"/>
      <c r="CJ63" s="4061"/>
      <c r="CK63" s="3847" t="str">
        <f>+IF($BB63="","",IF(OR($AW63="",CI63=""),"",CI63/2000*$AW63))</f>
        <v/>
      </c>
      <c r="CL63" s="3923" t="str">
        <f>+IF($BB63="","",IF(CK63="","",$AZ63-CK63))</f>
        <v/>
      </c>
      <c r="CM63" s="3956" t="str">
        <f>+IF($BB63="","",IF(CL63="","",CL63/$AZ63))</f>
        <v/>
      </c>
      <c r="CN63" s="3956" t="str">
        <f>+IF($BB63="","",IF(CI63="","",(1-CI63/$AX63)))</f>
        <v/>
      </c>
      <c r="CO63" s="3957"/>
      <c r="CP63" s="3958"/>
      <c r="CQ63" s="873" t="str">
        <f t="shared" si="51"/>
        <v/>
      </c>
      <c r="CR63" s="881"/>
      <c r="CS63" s="2757"/>
      <c r="CT63" s="1584"/>
      <c r="CU63" s="1492"/>
      <c r="CV63" s="1831" t="str">
        <f t="shared" si="309"/>
        <v/>
      </c>
      <c r="CW63" s="1832"/>
      <c r="CX63" s="1832"/>
      <c r="CY63" s="1833"/>
      <c r="CZ63" s="2469"/>
      <c r="DA63" s="2443"/>
      <c r="DB63" s="2443"/>
      <c r="DC63" s="1831"/>
      <c r="DD63" s="1835"/>
      <c r="DE63" s="1836"/>
      <c r="DF63" s="1837"/>
      <c r="DG63" s="1837"/>
      <c r="DH63" s="1835"/>
      <c r="DI63" s="1688" t="str">
        <f>+IF(CT63="","",SUM(CU63:DC63))</f>
        <v/>
      </c>
      <c r="DJ63" s="1934"/>
      <c r="DK63" s="1584"/>
      <c r="DL63" s="1492"/>
      <c r="DM63" s="1831" t="str">
        <f t="shared" si="310"/>
        <v/>
      </c>
      <c r="DN63" s="1832"/>
      <c r="DO63" s="1832"/>
      <c r="DP63" s="1833"/>
      <c r="DQ63" s="2469"/>
      <c r="DR63" s="2443"/>
      <c r="DS63" s="2443"/>
      <c r="DT63" s="1831"/>
      <c r="DU63" s="1835"/>
      <c r="DV63" s="1836"/>
      <c r="DW63" s="1837"/>
      <c r="DX63" s="1837"/>
      <c r="DY63" s="1835"/>
      <c r="DZ63" s="1688" t="str">
        <f t="shared" si="18"/>
        <v/>
      </c>
      <c r="EA63" s="1934"/>
      <c r="EB63" s="1492" t="str">
        <f t="shared" si="19"/>
        <v/>
      </c>
      <c r="EC63" s="1958"/>
      <c r="ED63" s="1412" t="str">
        <f t="shared" si="20"/>
        <v/>
      </c>
      <c r="EE63" s="1834"/>
      <c r="EF63" s="2443"/>
      <c r="EG63" s="1833"/>
      <c r="EH63" s="1688"/>
      <c r="EI63" s="1836"/>
      <c r="EJ63" s="1837"/>
      <c r="EK63" s="2003"/>
      <c r="EL63" s="1452"/>
      <c r="EM63" s="1836"/>
      <c r="EN63" s="1837"/>
      <c r="EO63" s="2003"/>
      <c r="EP63" s="1688" t="str">
        <f t="shared" si="21"/>
        <v/>
      </c>
      <c r="EQ63" s="1688"/>
      <c r="ER63" s="1688"/>
      <c r="ES63" s="1688"/>
      <c r="ET63" s="1452"/>
      <c r="EU63" s="1425"/>
      <c r="EV63" s="1387"/>
      <c r="EW63" s="2577"/>
      <c r="EX63" s="2577"/>
      <c r="EY63" s="2684"/>
      <c r="EZ63" s="2713"/>
      <c r="FA63" s="1387"/>
      <c r="FB63" s="1474" t="str">
        <f>+IF(BB63="","",(IF(EY63="",0,EY63)+IF(FA63="",0,FA63)-IF(EZ63="",0,EZ63)))</f>
        <v/>
      </c>
      <c r="FC63" s="2855" t="str">
        <f>+IF(OR(ED63="",IF(R63="",IF(R62="",R61,R62),R63)=""),"",ED63/IF(R63="",IF(R62="",R61,R62),R63))</f>
        <v/>
      </c>
      <c r="FD63" s="2045" t="str">
        <f>+IF(OR(BB63="",IF(R63="",IF(R62="",R61,R62),R63)="",(CU63+DL63)=0),"",(CU63+DL63)/IF(R63="",IF(R62="",R61,R62),R63))</f>
        <v/>
      </c>
      <c r="FE63" s="2029" t="str">
        <f>+IF(OR(FC63="",FC63=0,FD63=""),"",FD63/FC63)</f>
        <v/>
      </c>
      <c r="FF63" s="2045" t="str">
        <f>+IF(OR(BB63="",CT63="",IF(R63="",IF(R62="",R61,R62),R63)=""),"",(SUM(CV63:CZ63)+(IF(DM63="",0,DM63)+SUM(DN63:DQ63)))/IF(R63="",IF(R62="",R61,R62),R63))</f>
        <v/>
      </c>
      <c r="FG63" s="2029" t="str">
        <f>+IF(OR(BB63="",ISERROR(FF63/FC63)),"",FF63/FC63)</f>
        <v/>
      </c>
      <c r="FH63" s="2045" t="str">
        <f>+IF(OR(BB63="",IF(R63="",IF(R62="",R61,R62),R63)="",),"",(DA63+DR63)/IF(R63="",IF(R62="",R61,R62),R63))</f>
        <v/>
      </c>
      <c r="FI63" s="2029" t="str">
        <f>+IF(OR(FC63="",FC63=0,FH63=""),"",FH63/FC63)</f>
        <v/>
      </c>
      <c r="FJ63" s="2794" t="str">
        <f>+IF(OR(BB63="",CT63=""),"",IF(FD63="",0,FD63)+IF(FF63="",0,FF63)+IF(FH63="",0,FH63))</f>
        <v/>
      </c>
      <c r="FK63" s="2803" t="str">
        <f>+IF(OR(BB63="",ISERROR(FJ63/FC63)),"",FJ63/FC63)</f>
        <v/>
      </c>
      <c r="FL63" s="2045" t="str">
        <f>+IF(OR(BB63="",CT63="",IF(R63="",IF(R62="",R61,R62),R63)=""),"",(DB63+DC63+DS63+DT63)/IF(R63="",IF(R62="",R61,R62),R63))</f>
        <v/>
      </c>
      <c r="FM63" s="2029" t="str">
        <f>+IF(OR(BB63="",ISERROR(FL63/FC63)),"",FL63/FC63)</f>
        <v/>
      </c>
      <c r="FN63" s="2045" t="str">
        <f>+IF(OR(BB63="",CT63="",IF(R63="",IF(R62="",R61,R62),R63)=""),"",(DD63+DU63)/IF(R63="",IF(R62="",R61,R62),R63))</f>
        <v/>
      </c>
      <c r="FO63" s="2029" t="str">
        <f t="shared" si="302"/>
        <v/>
      </c>
      <c r="FP63" s="2045" t="str">
        <f>+IF(OR(BB63="",CT63="",IF(R63="",IF(R62="",R61,R62),R63)=""),"",(DG63+DH63+DX63+DY63)/IF(R63="",IF(R62="",R61,R62),R63))</f>
        <v/>
      </c>
      <c r="FQ63" s="2029" t="str">
        <f t="shared" si="303"/>
        <v/>
      </c>
      <c r="FR63" s="2842" t="str">
        <f>+IF(OR(BB63="",IF(R63="",IF(R62="",R61,R62),R63)="",(IF(DI63="",0,DI63)+IF(DZ63="",0,DZ63))=0),"",(IF(DI63="",0,DI63)+IF(DZ63="",0,DZ63))/IF(R63="",IF(R62="",R61,R62),R63))</f>
        <v/>
      </c>
      <c r="FS63" s="2872" t="str">
        <f>+IF(OR(DJ63="",IF(R63="",IF(R62="",R61,R62),R63)=""),"",(DJ63+EA63)/IF(R63="",IF(R62="",R61,R62),R63))</f>
        <v/>
      </c>
      <c r="FT63" s="2066" t="str">
        <f t="shared" si="304"/>
        <v/>
      </c>
      <c r="FU63" s="2886" t="str">
        <f>+IF(OR(BB63="",ISERROR(1-(FR63+IF(FS63="",0,FS63)+FN63+FP63)*IF(R63="",IF(R62="",R61,R62),R63)/(CT63+DK63))),"",1-(FR63+IF(FS63="",0,FS63)+FN63+FP63)*IF(R63="",IF(R62="",R61,R62),R63)/(CT63+DK63))</f>
        <v/>
      </c>
      <c r="FV63" s="2451" t="str">
        <f>+IF(FC63="","",FC63/IF(OR(ISTEXT(T63),T63=""),IF(OR(ISTEXT(T62),T62=""),IF(OR(ISTEXT(T61),T61=""),1,T61),T62),T63))</f>
        <v/>
      </c>
      <c r="FW63" s="2094" t="str">
        <f>+IF(OR(EH63="",IF(R63="",IF(R62="",R61,R62),R63)=""),"",EH63/IF(R63="",IF(R62="",R61,R62),R63))</f>
        <v/>
      </c>
      <c r="FX63" s="2096" t="str">
        <f t="shared" si="216"/>
        <v/>
      </c>
      <c r="FY63" s="2095" t="str">
        <f>+IF(OR(EP63="",IF(R63="",IF(R62="",R61,R62),R63)=""),"",EP63/IF(R63="",IF(R62="",R61,R62),R63))</f>
        <v/>
      </c>
      <c r="FZ63" s="2096" t="str">
        <f t="shared" si="217"/>
        <v/>
      </c>
      <c r="GA63" s="2096" t="str">
        <f>+IF(IF(V63="",V62,V63)="Utility Boiler",IF(ISERR(FY63/(FC63+FW63)),"",FY63/(FC63+FW63)),"")</f>
        <v/>
      </c>
      <c r="GB63" s="2095" t="str">
        <f>+IF(OR(ET63="",IF(R63="",IF(R62="",R61,R62),R63)=""),"",ET63/IF(R63="",IF(R62="",R61,R62),R63))</f>
        <v/>
      </c>
      <c r="GC63" s="2096" t="str">
        <f>+IF(ISERR(GB63/$FC63),"",GB63/$FC63)</f>
        <v/>
      </c>
      <c r="GD63" s="2096" t="str">
        <f>+IF(IF(V63="",V62,V63)="Utility Boiler",IF(ISERR(GB63/($FC63)),"",GB63/(FC63+FW63+FY63)),"")</f>
        <v/>
      </c>
      <c r="GE63" s="1614" t="str">
        <f>+IF(OR(FB63="",IF(R63="",IF(R62="",R61,R62),R63)=""),"",FB63/IF(R63="",IF(R62="",R61,R62),R63))</f>
        <v/>
      </c>
      <c r="GF63" s="2140" t="str">
        <f>+IF(FB63="","",(IF(FA63="",0,FA63)-IF(EZ63="",0,EZ63))+(IF(EU63="",0,EU63)+IF(EV63="",0,EV63)+(IF(EW63="",0,EW63)+IF(EX63="",0,EX63))+IF(FC63="",0,FC63)+IF(FW63="",0,FW63)+IF(FY63="",0,FY63)+IF(GB63="",0,GB63)))</f>
        <v/>
      </c>
      <c r="GG63" s="2165" t="str">
        <f>+IF(OR(CS63="",IF(R63="",IF(R62="",R61,R62),R63)="",GF63=0),"",1-(CS63/IF(R63="",IF(R62="",R61,R62),R63))/GF63)</f>
        <v/>
      </c>
      <c r="GH63" s="3176" t="str">
        <f>+IF(ISERROR(GF63/IF(T63="",IF(T62="",T61,T62),T63)),"",IF(IF(T63="",IF(T62="",T61,T62),T63)="","",IF(GF63="","",GF63/IF(T63="",IF(T62="",T61,T62),T63))))</f>
        <v/>
      </c>
      <c r="GI63" s="1614"/>
      <c r="GJ63" s="2618"/>
      <c r="GK63" s="3447" t="str">
        <f>+IF(OR(BB63="",GJ63=""),"",IF(CB63="",1,CB63*IF(R63="",IF(R62="",R61,R62),R63)))</f>
        <v/>
      </c>
      <c r="GL63" s="2660" t="str">
        <f t="shared" si="219"/>
        <v/>
      </c>
      <c r="GM63" s="1240"/>
      <c r="GN63" s="1243"/>
      <c r="GO63" s="2301"/>
      <c r="GP63" s="2302"/>
      <c r="GQ63" s="2222"/>
      <c r="GR63" s="2222"/>
      <c r="GS63" s="2222"/>
      <c r="GT63" s="2222"/>
      <c r="GU63" s="2205" t="str">
        <f>+IF(OR(SUM(GQ63:GT63)=0,GT63=""),IF(GK63=1,GJ63*GK63,IF(GI63="","",GI63)),SUM(GQ63:GT63))</f>
        <v/>
      </c>
      <c r="GV63" s="1241" t="str">
        <f>+IF(OR(GO63="",IF(R63="",IF(R62="",R61,R62),R63)=""),"",GO63/IF(R63="",IF(R62="",R61,R62),R63))</f>
        <v/>
      </c>
      <c r="GW63" s="2252" t="str">
        <f>+IF(OR(GP63="",IF(R63="",IF(R62="",R61,R62),R63)=""),"",GP63/IF(R63="",IF(R62="",R61,R62),R63))</f>
        <v/>
      </c>
      <c r="GX63" s="2222" t="str">
        <f>+IF(OR(GQ63="",IF(R63="",IF(R62="",R61,R62),R63)=""),"",GQ63/IF(R63="",IF(R62="",R61,R62),R63))</f>
        <v/>
      </c>
      <c r="GY63" s="2222" t="str">
        <f>+IF(OR(GR63="",IF(R63="",IF(R62="",R61,R62),R63)=""),"",GR63/IF(R63="",IF(R62="",R61,R62),R63))</f>
        <v/>
      </c>
      <c r="GZ63" s="2267" t="str">
        <f>+IF(OR(GS63="",IF(R63="",IF(R62="",R61,R62),R63)=""),"",GS63/IF(R63="",IF(R62="",R61,R62),R63))</f>
        <v/>
      </c>
      <c r="HA63" s="2222" t="str">
        <f>+IF(OR(GT63="",IF(R63="",IF(R62="",R61,R62),R63)=""),"",GT63/IF(R63="",IF(R62="",R61,R62),R63))</f>
        <v/>
      </c>
      <c r="HB63" s="2265" t="str">
        <f t="shared" si="22"/>
        <v/>
      </c>
      <c r="HC63" s="1242" t="str">
        <f>+IF(OR(GU63="",IF(R63="",IF(R62="",R61,R62),R63)=""),"",GU63/IF(R63="",IF(R62="",R61,R62),R63))</f>
        <v/>
      </c>
      <c r="HD63" s="3471" t="str">
        <f t="shared" si="220"/>
        <v/>
      </c>
      <c r="HE63" s="1240"/>
      <c r="HF63" s="2558" t="str">
        <f t="shared" si="107"/>
        <v/>
      </c>
      <c r="HG63" s="1243" t="str">
        <f t="shared" si="23"/>
        <v/>
      </c>
      <c r="HH63" s="2986"/>
      <c r="HI63" s="3068"/>
      <c r="HJ63" s="3081"/>
      <c r="HK63" s="3081"/>
      <c r="HL63" s="3081"/>
      <c r="HM63" s="3094"/>
      <c r="HN63" s="3475" t="str">
        <f t="shared" ref="HN63:HN104" si="347">+IF(ISERROR(HM63/IF(T63="",IF(T62="",IF(T61="",1,T61),T62),T63)),"",IF(FR63="","",HM63/IF(T63="",IF(T62="",IF(T61="",1,T61),T62),T63)))</f>
        <v/>
      </c>
      <c r="HO63" s="1244"/>
      <c r="HP63" s="1238"/>
      <c r="HQ63" s="1239"/>
      <c r="HR63" s="1245"/>
      <c r="HS63" s="1245"/>
      <c r="HT63" s="1244"/>
      <c r="HU63" s="1245"/>
      <c r="HV63" s="1244" t="str">
        <f t="shared" si="312"/>
        <v/>
      </c>
      <c r="HW63" s="1245" t="str">
        <f t="shared" si="313"/>
        <v/>
      </c>
      <c r="HX63" s="3138" t="str">
        <f t="shared" si="199"/>
        <v/>
      </c>
      <c r="HY63" s="3081" t="str">
        <f>+IF(EZ63="","",EZ63/IF(R63="",IF(R62="",IF(R61="",1,R61),R62),R63))</f>
        <v/>
      </c>
      <c r="HZ63" s="3127" t="str">
        <f>+IF(FA63="","",FA63/IF(R63="",IF(R62="",IF(R61="",1,R61),R62),R63))</f>
        <v/>
      </c>
      <c r="IA63" s="3068" t="str">
        <f>+IF(HM63="","",HX63-IF(HY63="",0,HY63)+IF(HZ63="",0,HZ63))</f>
        <v/>
      </c>
      <c r="IB63" s="1239" t="str">
        <f t="shared" si="237"/>
        <v/>
      </c>
      <c r="IC63" s="3102" t="str">
        <f>+IF(IA63="","",IA63/IF(T63="",IF(T62="",IF(T61="",1,T61),T62),T63))</f>
        <v/>
      </c>
      <c r="ID63" s="1244"/>
      <c r="IE63" s="1239"/>
      <c r="IF63" s="3138" t="str">
        <f>+IF(GO63="","",GO63)</f>
        <v/>
      </c>
      <c r="IG63" s="6772"/>
      <c r="IH63" s="4176" t="str">
        <f>+IF(GP63="","",GP63)</f>
        <v/>
      </c>
      <c r="II63" s="4177"/>
      <c r="IJ63" s="4177" t="str">
        <f>+IF(SUM(IF(IH63="",0,IH63)+IF(IF63="",0,IF63))=0,"",IF(IH63="",0,IH63)+IF(IF63="",0,IF63))</f>
        <v/>
      </c>
      <c r="IK63" s="4133"/>
      <c r="IL63" s="2443"/>
      <c r="IM63" s="1833"/>
      <c r="IN63" s="4231"/>
      <c r="IO63" s="4231"/>
      <c r="IP63" s="4231"/>
      <c r="IQ63" s="6845"/>
      <c r="IR63" s="4231"/>
      <c r="IS63" s="6845"/>
      <c r="IT63" s="4231"/>
      <c r="IU63" s="6845"/>
      <c r="IV63" s="4133"/>
      <c r="IW63" s="1833"/>
      <c r="IX63" s="3102"/>
      <c r="IY63" s="4249"/>
      <c r="IZ63" s="4286"/>
      <c r="JA63" s="4287"/>
      <c r="JB63" s="1245"/>
      <c r="JC63" s="4328"/>
      <c r="JD63" s="2558" t="str">
        <f t="shared" ref="JD63:JD69" si="348">+IF(OR(IX63="",$CB63=""),"",IX63/$CB63)</f>
        <v/>
      </c>
      <c r="JE63" s="4362" t="str">
        <f t="shared" ref="JE63:JE69" si="349">+IF(OR(IX63="",$CL63=""),"",IX63/$CL63)</f>
        <v/>
      </c>
      <c r="JF63" s="7033"/>
      <c r="JG63" s="2443"/>
      <c r="JH63" s="6964"/>
      <c r="JI63" s="6964"/>
      <c r="JJ63" s="6964"/>
      <c r="JK63" s="6964"/>
      <c r="JL63" s="7001"/>
      <c r="JM63" s="1832"/>
      <c r="JN63" s="2443" t="str">
        <f>+IF(D63="","",IF(JM63="N/A","",JM63*$JN$27))</f>
        <v/>
      </c>
      <c r="JO63" s="2443"/>
      <c r="JP63" s="7078"/>
      <c r="JQ63" s="7078"/>
      <c r="JR63" s="2443"/>
      <c r="JS63" s="1833"/>
      <c r="JT63" s="7145" t="str">
        <f t="shared" si="263"/>
        <v/>
      </c>
      <c r="JU63" s="7146" t="str">
        <f t="shared" si="345"/>
        <v/>
      </c>
      <c r="JV63" s="8371" t="str">
        <f t="shared" si="346"/>
        <v/>
      </c>
      <c r="JW63" s="8398"/>
      <c r="JX63" s="8427" t="str">
        <f t="shared" si="324"/>
        <v/>
      </c>
      <c r="JY63" s="8462" t="str">
        <f>+IF(D63="","",IF(JT63=2,(#REF!*(1+#REF!)^JX63)/((1+#REF!)^JX63-1),""))</f>
        <v/>
      </c>
      <c r="JZ63" s="7147" t="str">
        <f t="shared" si="325"/>
        <v/>
      </c>
      <c r="KA63" s="7145" t="str">
        <f t="shared" si="326"/>
        <v/>
      </c>
      <c r="KB63" s="7146" t="str">
        <f t="shared" si="327"/>
        <v/>
      </c>
      <c r="KC63" s="7147" t="str">
        <f t="shared" si="201"/>
        <v/>
      </c>
      <c r="KD63" s="7145"/>
      <c r="KE63" s="8335"/>
      <c r="KF63" s="8335"/>
      <c r="KG63" s="7146"/>
      <c r="KH63" s="7146"/>
      <c r="KI63" s="7146"/>
      <c r="KJ63" s="7146"/>
      <c r="KK63" s="7146"/>
      <c r="KL63" s="7146"/>
      <c r="KM63" s="7146"/>
      <c r="KN63" s="7146"/>
      <c r="KO63" s="7146"/>
      <c r="KP63" s="7147"/>
      <c r="KQ63" s="7220"/>
      <c r="KR63" s="7330"/>
      <c r="KS63" s="7221"/>
      <c r="KT63" s="1834" t="str">
        <f>+IF(D63="","",IF(KR63="","",$KT$26*KR63))</f>
        <v/>
      </c>
      <c r="KU63" s="2443" t="str">
        <f>+IF(D63="","",IF(JS63="","",$KU$26*JS63))</f>
        <v/>
      </c>
      <c r="KV63" s="7386" t="str">
        <f>+IF(D63="","",IV63)</f>
        <v/>
      </c>
      <c r="KW63" s="7285" t="str">
        <f>IF(JS63="","",IF(KV63=2,#REF!,$KW$5)*JS63)</f>
        <v/>
      </c>
      <c r="KX63" s="1833" t="str">
        <f>+IF(D63="","",IF(KW63="","",IF(KT63="",0,KT63)+IF(KU63="",0,KU63)+KW63))</f>
        <v/>
      </c>
      <c r="KY63" s="7296" t="str">
        <f>+IF(D63="","",IF(KW63="","",KQ63+KR63+KX63))</f>
        <v/>
      </c>
      <c r="KZ63" s="7387"/>
      <c r="LA63" s="7285" t="str">
        <f t="shared" ref="LA63" si="350">+IF(OR(KY63="",$CB63=""),"",KY63/$CB63)</f>
        <v/>
      </c>
      <c r="LB63" s="7297" t="str">
        <f t="shared" ref="LB63" si="351">+IF(OR(KY63="",$CL63=""),"",KY63/$CL63)</f>
        <v/>
      </c>
      <c r="LC63" s="5133"/>
      <c r="LD63" s="5132"/>
      <c r="LE63" s="5132"/>
      <c r="LF63" s="5132"/>
      <c r="LG63" s="5132"/>
      <c r="LH63" s="5132"/>
      <c r="LI63" s="5132"/>
      <c r="LJ63" s="5132"/>
    </row>
    <row r="64" spans="1:322" s="13" customFormat="1" ht="27.95" customHeight="1">
      <c r="A64" s="6367" t="str">
        <f t="shared" ref="A64:A74" si="352">+O64</f>
        <v>8300-01</v>
      </c>
      <c r="B64" s="9842" t="str">
        <f>+IF(A64="","",VLOOKUP(MATCH(A64,tid,0),tao,'12(id)'!$J$20,FALSE))</f>
        <v>NRG</v>
      </c>
      <c r="C64" s="6364" t="str">
        <f t="shared" si="47"/>
        <v>BR10</v>
      </c>
      <c r="D64" s="1119" t="str">
        <f t="shared" si="48"/>
        <v>8300-01-01</v>
      </c>
      <c r="E64" s="762" t="str">
        <f>+IF(BD64="","",BD64)</f>
        <v>High Pressure Water Injection (HPWI)</v>
      </c>
      <c r="F64" s="762" t="str">
        <f t="shared" si="49"/>
        <v>HPWI</v>
      </c>
      <c r="G64" s="5133"/>
      <c r="H64" s="5132"/>
      <c r="I64" s="5133"/>
      <c r="J64" s="719">
        <f t="shared" si="68"/>
        <v>30</v>
      </c>
      <c r="K64" s="8650">
        <f>1+K61</f>
        <v>13</v>
      </c>
      <c r="L64" s="9644">
        <f>1+L61</f>
        <v>6</v>
      </c>
      <c r="M64" s="9646" t="str">
        <f>+IF(O64="","",VLOOKUP(MATCH(O64,tid,0),tao,'12(id)'!$I$20,FALSE))</f>
        <v>NRG Energy, Inc</v>
      </c>
      <c r="N64" s="9644" t="s">
        <v>258</v>
      </c>
      <c r="O64" s="8643" t="s">
        <v>259</v>
      </c>
      <c r="P64" s="8642" t="str">
        <f>+IF(O64="","",VLOOKUP(MATCH(O64,tid,0),tao,'12(id)'!$L$20,FALSE))</f>
        <v>Branford</v>
      </c>
      <c r="Q64" s="207" t="str">
        <f>+IF(ISERROR(MATCH(O64,tid,0)),"",VLOOKUP(MATCH(O64,tid,0),tao,'12(id)'!$Q$20,FALSE))</f>
        <v>BR10</v>
      </c>
      <c r="R64" s="8643">
        <f>+IF(O64="","",VLOOKUP(MATCH(O64,tid,0),tao,'12(id)'!$U$20,FALSE))</f>
        <v>1</v>
      </c>
      <c r="S64" s="8643"/>
      <c r="T64" s="8652">
        <f>+IF(ISERROR(MATCH(O64,tid,0)),"",IF(VLOOKUP(MATCH(O64,tid,0),tao,'12(id)'!$CT$20,FALSE)="","",VLOOKUP(MATCH(O64,tid,0),tao,'12(id)'!$CT$20,FALSE)))</f>
        <v>20</v>
      </c>
      <c r="U64" s="409">
        <f>+IF(ISERROR(MATCH(O64,tid,0)),"",IF(VLOOKUP(MATCH(O64,tid,0),tao,'12(id)'!$CU$20,FALSE)="","",VLOOKUP(MATCH(O64,tid,0),tao,'12(id)'!$CU$20,FALSE)))</f>
        <v>20</v>
      </c>
      <c r="V64" s="8653" t="str">
        <f>+IF(O64="","",IF(VLOOKUP(MATCH(O64,tid,0),tao,'12(id)'!$T$20,FALSE)="","",VLOOKUP(MATCH(O64,tid,0),tao,'12(id)'!$T$20,FALSE)))</f>
        <v>Combustion Turbine</v>
      </c>
      <c r="W64" s="419" t="str">
        <f>+IF(ISERROR(MATCH(O64,tid,0)),"",IF(VLOOKUP(MATCH(O64,tid,0),tao,'12(id)'!$CO$20,FALSE)="","",VLOOKUP(MATCH(O64,tid,0),tao,'12(id)'!$CO$20,FALSE)))</f>
        <v>Pratt &amp; Whitney</v>
      </c>
      <c r="X64" s="8653" t="str">
        <f>+IF(ISERROR(MATCH(O64,tid,0)),"",IF(VLOOKUP(MATCH(O64,tid,0),tao,'12(id)'!$CP$20,FALSE)="","",VLOOKUP(MATCH(O64,tid,0),tao,'12(id)'!$CP$20,FALSE)))</f>
        <v>FT4-A8</v>
      </c>
      <c r="Y64" s="8654" t="str">
        <f>+IF(ISERROR(MATCH(O64,tid,0)),"",IF(VLOOKUP(MATCH(O64,tid,0),tao,'12(id)'!$CQ$20,FALSE)="","",VLOOKUP(MATCH(O64,tid,0),tao,'12(id)'!$CQ$20,FALSE)))</f>
        <v>FT</v>
      </c>
      <c r="Z64" s="76" t="str">
        <f>+IF(ISERROR(MATCH(O64,tid,0)),"",VLOOKUP(MATCH(O64,tid,0),tao,'12(id)'!$DB$20,FALSE)&amp;" "&amp;VLOOKUP(MATCH(O64,tid,0),tao,'12(id)'!$DC$20,FALSE))</f>
        <v>Jul 1969</v>
      </c>
      <c r="AA64" s="70" t="str">
        <f ca="1">+IF(ISERROR(MATCH(O64,tid,0)),"",IF(VLOOKUP(MATCH(O64,tid,0),tao,'12(id)'!$DE$20,FALSE)="","",ROUND(VLOOKUP(MATCH(O64,tid,0),tao,'12(id)'!$DE$20,FALSE),0)&amp;" yrs"))</f>
        <v>45 yrs</v>
      </c>
      <c r="AB64" s="8642" t="str">
        <f>+IF(ISERROR(MATCH(O64,tid,0)),"",VLOOKUP(MATCH(O64,tid,0),tao,'12(id)'!$DI$20,FALSE))</f>
        <v>Ultra low sulfur kerosene  oil (ULSD)</v>
      </c>
      <c r="AC64" s="8642" t="str">
        <f>+IF(ISERROR(MATCH(O64,tid,0)),"",IF(VLOOKUP(MATCH(O64,tid,0),tao,'12(id)'!$DQ$20,FALSE)="","",VLOOKUP(MATCH(O64,tid,0),tao,'12(id)'!$DQ$20,FALSE)))</f>
        <v/>
      </c>
      <c r="AD64" s="8651">
        <f>+IF(ISERROR(MATCH(O64,tid,0)),"",IF(VLOOKUP(MATCH(O64,tid,0),tao,'12(id)'!$EI$20,FALSE)="","",VLOOKUP(MATCH(O64,tid,0),tao,'12(id)'!$EI$20,FALSE)))</f>
        <v>0.72599999999999998</v>
      </c>
      <c r="AE64" s="441" t="str">
        <f>+IF(ISERROR(MATCH(O64,tid,0)),"",IF(VLOOKUP(MATCH(O64,tid,0),tao,'12(id)'!$EJ$20,FALSE)="","",VLOOKUP(MATCH(O64,tid,0),tao,'12(id)'!$EJ$20,FALSE)))</f>
        <v/>
      </c>
      <c r="AF64" s="441">
        <f>+IF(ISERROR(MATCH(O64,tid,0)),"",IF(VLOOKUP(MATCH(O64,tid,0),tao,'12(id)'!$EL$20,FALSE)="","",VLOOKUP(MATCH(O64,tid,0),tao,'12(id)'!$EL$20,FALSE)))</f>
        <v>0.8</v>
      </c>
      <c r="AG64" s="8657" t="str">
        <f>+IF(ISERROR(MATCH(O64,tid,0)),"",IF(VLOOKUP(MATCH(O64,tid,0),tao,'12(id)'!$EM$20,FALSE)="","",VLOOKUP(MATCH(O64,tid,0),tao,'12(id)'!$EM$20,FALSE)))</f>
        <v/>
      </c>
      <c r="AH64" s="964" t="s">
        <v>561</v>
      </c>
      <c r="AI64" s="8644">
        <v>48</v>
      </c>
      <c r="AJ64" s="960"/>
      <c r="AK64" s="960"/>
      <c r="AL64" s="960"/>
      <c r="AM64" s="965"/>
      <c r="AN64" s="8648" t="s">
        <v>559</v>
      </c>
      <c r="AO64" s="8647">
        <f>+IF(ISERROR(MATCH(O64,tid,0)),"",IF(VLOOKUP(MATCH(O64,tid,0),tao,'12(id)'!$GY$20,FALSE)="","",VLOOKUP(MATCH(O64,tid,0),tao,'12(id)'!$GY$20,FALSE)))</f>
        <v>29</v>
      </c>
      <c r="AP64" s="3531">
        <f>+IF($BB64="","",IF(VLOOKUP(MATCH(O64,tid,0),tao,'12(id)'!$HE$20,FALSE)="","",VLOOKUP(MATCH(O64,tid,0),tao,'12(id)'!$HE$20,FALSE)))</f>
        <v>7735</v>
      </c>
      <c r="AQ64" s="3531">
        <f>+IF(ISERROR(VLOOKUP(MATCH(O64,tid,0),tao,'12(id)'!$HF$20,FALSE)),"",VLOOKUP(MATCH(O64,tid,0),tao,'12(id)'!$HF$20,FALSE))</f>
        <v>7735</v>
      </c>
      <c r="AR64" s="3532">
        <f>+IF(ISERROR(MATCH(O64,tid,0)),"",IF(VLOOKUP(MATCH(O64,tid,0),tao,'12(id)'!$HJ$20,FALSE)="","",VLOOKUP(MATCH(O64,tid,0),tao,'12(id)'!$HJ$20,FALSE)))</f>
        <v>0.8</v>
      </c>
      <c r="AS64" s="4046" t="str">
        <f>+IF(ISERROR(MATCH(O64,tid,0)),"",IF(VLOOKUP(MATCH(O64,tid,0),tao,'12(id)'!$HK$20,FALSE)="","",VLOOKUP(MATCH(O64,tid,0),tao,'12(id)'!$HK$20,FALSE)))</f>
        <v/>
      </c>
      <c r="AT64" s="8649">
        <f>+IF(ISERROR(MATCH(O64,tid,0)),"",IF(VLOOKUP(MATCH(O64,tid,0),tao,'12(id)'!$HM$20,FALSE)="","",VLOOKUP(MATCH(O64,tid,0),tao,'12(id)'!$HM$20,FALSE)))</f>
        <v>3.4</v>
      </c>
      <c r="AU64" s="1003" t="str">
        <f>+AU61</f>
        <v>CAIR-OS (max last 3 yrs)</v>
      </c>
      <c r="AV64" s="8630">
        <f>+IF(ISERROR(MATCH(O64,em_id,0)),"",IF(VLOOKUP(MATCH(O64,em_id,0),em,'5(em)'!$CX$18,FALSE)="","",VLOOKUP(MATCH(O64,em_id,0),em,'5(em)'!$CX$18,FALSE)))</f>
        <v>39</v>
      </c>
      <c r="AW64" s="1004">
        <f>+IF(ISERROR(MATCH(O64,em_id,0)),"",IF(VLOOKUP(MATCH(O64,em_id,0),em,'5(em)'!$CZ$18,FALSE)="","",VLOOKUP(MATCH(O64,em_id,0),em,'5(em)'!$CZ$18,FALSE)))</f>
        <v>9750</v>
      </c>
      <c r="AX64" s="1005">
        <f t="shared" si="50"/>
        <v>0.73</v>
      </c>
      <c r="AY64" s="1006"/>
      <c r="AZ64" s="8631">
        <f>+IF(ISERROR(MATCH(O64,em_id,0)),"",IF(VLOOKUP(MATCH(O64,em_id,0),em,'5(em)'!$DA$18,FALSE)="","",VLOOKUP(MATCH(O64,em_id,0),em,'5(em)'!$DA$18,FALSE)))</f>
        <v>3.53925</v>
      </c>
      <c r="BA64" s="728"/>
      <c r="BB64" s="762" t="str">
        <f t="shared" si="311"/>
        <v>8300-01-01</v>
      </c>
      <c r="BC64" s="763">
        <v>1</v>
      </c>
      <c r="BD64" s="762" t="str">
        <f>+IF(OR(D64="",VLOOKUP(MATCH(D64,op_id,0),op,'7(op)'!$T$18,FALSE)=""),"",VLOOKUP(MATCH(D64,op_id,0),op,'7(op)'!$T$18,FALSE))</f>
        <v>High Pressure Water Injection (HPWI)</v>
      </c>
      <c r="BE64" s="762" t="s">
        <v>93</v>
      </c>
      <c r="BF64" s="762" t="s">
        <v>1860</v>
      </c>
      <c r="BG64" s="764"/>
      <c r="BH64" s="765" t="s">
        <v>561</v>
      </c>
      <c r="BI64" s="766" t="s">
        <v>566</v>
      </c>
      <c r="BJ64" s="767"/>
      <c r="BK64" s="767"/>
      <c r="BL64" s="767"/>
      <c r="BM64" s="767"/>
      <c r="BN64" s="767" t="str">
        <f t="shared" si="12"/>
        <v/>
      </c>
      <c r="BO64" s="767" t="str">
        <f t="shared" si="13"/>
        <v/>
      </c>
      <c r="BP64" s="767" t="str">
        <f t="shared" si="14"/>
        <v/>
      </c>
      <c r="BQ64" s="767" t="str">
        <f t="shared" si="15"/>
        <v/>
      </c>
      <c r="BR64" s="768"/>
      <c r="BS64" s="769" t="s">
        <v>559</v>
      </c>
      <c r="BT64" s="762" t="s">
        <v>1602</v>
      </c>
      <c r="BU64" s="3703">
        <f>+IF(BB64="","",IF(VLOOKUP(MATCH(BB64,ef_id,0),ef,'11(eff)'!$Z$23,FALSE)="","",VLOOKUP(MATCH(BB64,ef_id,0),ef,'11(eff)'!$Z$23,FALSE)))</f>
        <v>0.22</v>
      </c>
      <c r="BV64" s="3749" t="str">
        <f>+IF(BB64="","",IF(VLOOKUP(MATCH(BB64,ef_id,0),ef,'11(eff)'!$AA$23,FALSE)="","",VLOOKUP(MATCH(BB64,ef_id,0),ef,'11(eff)'!$AA$23,FALSE)))</f>
        <v/>
      </c>
      <c r="BW64" s="3777">
        <v>0.9</v>
      </c>
      <c r="BX64" s="1960">
        <f>+IF(OR(BB64="",BW64=""),"",BW64/IF(R64="",IF(R63="",R62,R63),R64))</f>
        <v>0.9</v>
      </c>
      <c r="BY64" s="1061">
        <f>+IF($BB64="","",IF(BU64="","",BU64/2000*IF(AQ64="",IF(AQ63="",AQ62,AQ63),AQ64)))</f>
        <v>0.85085</v>
      </c>
      <c r="BZ64" s="1061"/>
      <c r="CA64" s="774"/>
      <c r="CB64" s="773">
        <f>+IF(OR(BX64="",BX64=0),IF(CA64="",IF(GJ64="","",GI64/GJ64/IF(R64="",IF(R63="",R62,R63),R64)),CA64),IF(AT64="",IF(AT63="",AT62,AT63),AT64)-BX64)</f>
        <v>2.5</v>
      </c>
      <c r="CC64" s="3868">
        <f>+IF($BB64="","",IF(CB64="",IF(CD64="",IF(CD64="",IF(CE64="","",CE64)),CD64),CB64/IF($AT64="",IF($AT63="",$AT62,$AT63),$AT64)))</f>
        <v>0.73529411764705888</v>
      </c>
      <c r="CD64" s="3868">
        <f>+IF($BB64="","",IF(BU64="","",(1-BU64/IF(AR64="",IF(AR63="",AR62,AR63),AR64))))</f>
        <v>0.72500000000000009</v>
      </c>
      <c r="CE64" s="3904">
        <f>+IF(BB64="","",IF(VLOOKUP(MATCH(BB64,ef_id,0),ef,'11(eff)'!$AE$23,FALSE)="","",VLOOKUP(MATCH(BB64,ef_id,0),ef,'11(eff)'!$AE$23,FALSE)))</f>
        <v>0.72500000000000009</v>
      </c>
      <c r="CF64" s="771" t="s">
        <v>1601</v>
      </c>
      <c r="CG64" s="772" t="s">
        <v>1603</v>
      </c>
      <c r="CH64" s="2404">
        <v>103</v>
      </c>
      <c r="CI64" s="773">
        <f>+IF(BB64="","",AZ64/AW64*2000*(1-CO64))</f>
        <v>0.19964999999999994</v>
      </c>
      <c r="CJ64" s="4064" t="str">
        <f>+IF(AY64="","",AY64*(1-CO64))</f>
        <v/>
      </c>
      <c r="CK64" s="773">
        <f>+IF($BB64="","",IF(CI64="",IF($AZ64="",IF($AZ63="",$AZ62,$AZ63),$AZ64)-CL64,IF(OR(IF($AW64="",IF($AW63="",$AW62,$AW63),$AW64)="",CI64=""),"",CI64/2000*IF($AW64="",IF($AW63="",$AW62,$AW63),$AW64))))</f>
        <v>0.97329374999999974</v>
      </c>
      <c r="CL64" s="3925">
        <f>+IF($BB64="","",IF(CI64="",CO64*IF($AZ64="",IF($AZ63="",$AZ62,$AZ63),$AZ64),IF(CK64="","",IF($AZ64="",IF($AZ63="",$AZ62,$AZ63),$AZ64)-CK64)))</f>
        <v>2.5659562500000002</v>
      </c>
      <c r="CM64" s="775">
        <f>+IF($BB64="","",IF(CL64="","",CL64/IF($AZ64="",IF($AZ63="",$AZ62,$AZ63),$AZ64)))</f>
        <v>0.72500000000000009</v>
      </c>
      <c r="CN64" s="775">
        <f>+IF($BB64="","",IF(CI64="","",(1-CI64/IF($AX64="",IF($AX63="",$AX62,$AX63),$AX64))))</f>
        <v>0.72650684931506859</v>
      </c>
      <c r="CO64" s="2372">
        <f>+IF(BB64="","",IF(VLOOKUP(MATCH(BB64,ef_id,0),ef,'11(eff)'!$AE$23,FALSE)="","",VLOOKUP(MATCH(BB64,ef_id,0),ef,'11(eff)'!$AE$23,FALSE)))</f>
        <v>0.72500000000000009</v>
      </c>
      <c r="CP64" s="3909" t="str">
        <f>+IF(OR(BB64="",VLOOKUP(MATCH(BB64,ef_id,0),ef,'11(eff)'!$AG$23,FALSE)=""),"",IF(VLOOKUP(MATCH(BB64,ef_id,0),ef,'11(eff)'!$AG$23,FALSE)/100=VLOOKUP(MATCH(BB64,ef_id,0),ef,'11(eff)'!$AE$23,FALSE),VLOOKUP(MATCH(BB64,ef_id,0),ef,'11(eff)'!$AE$23,FALSE),""))</f>
        <v/>
      </c>
      <c r="CQ64" s="728" t="str">
        <f t="shared" si="51"/>
        <v>High Pressure Water Injection (HPWI)</v>
      </c>
      <c r="CR64" s="776"/>
      <c r="CS64" s="2759">
        <v>2409779</v>
      </c>
      <c r="CT64" s="1586">
        <v>1140994</v>
      </c>
      <c r="CU64" s="781">
        <v>360000</v>
      </c>
      <c r="CV64" s="1845">
        <f t="shared" si="309"/>
        <v>159400</v>
      </c>
      <c r="CW64" s="1846">
        <v>40000</v>
      </c>
      <c r="CX64" s="1846">
        <v>250000</v>
      </c>
      <c r="CY64" s="1847"/>
      <c r="CZ64" s="2471">
        <f>42000+2500+10000+40000+15000</f>
        <v>109500</v>
      </c>
      <c r="DA64" s="1871"/>
      <c r="DB64" s="1871">
        <v>16000</v>
      </c>
      <c r="DC64" s="1845"/>
      <c r="DD64" s="1849">
        <v>50000</v>
      </c>
      <c r="DE64" s="1850"/>
      <c r="DF64" s="1851"/>
      <c r="DG64" s="1846">
        <v>100000</v>
      </c>
      <c r="DH64" s="1847"/>
      <c r="DI64" s="784">
        <f>+IF(CT64="","",SUM(CU64:DC64)+SUM(DE64:DF64))</f>
        <v>934900</v>
      </c>
      <c r="DJ64" s="1847">
        <v>56094</v>
      </c>
      <c r="DK64" s="1586"/>
      <c r="DL64" s="781"/>
      <c r="DM64" s="1845" t="str">
        <f t="shared" si="310"/>
        <v/>
      </c>
      <c r="DN64" s="1846"/>
      <c r="DO64" s="1846"/>
      <c r="DP64" s="1847"/>
      <c r="DQ64" s="2471"/>
      <c r="DR64" s="1871"/>
      <c r="DS64" s="1871"/>
      <c r="DT64" s="1845"/>
      <c r="DU64" s="1849"/>
      <c r="DV64" s="1850"/>
      <c r="DW64" s="1851"/>
      <c r="DX64" s="1846"/>
      <c r="DY64" s="1847"/>
      <c r="DZ64" s="784" t="str">
        <f t="shared" si="18"/>
        <v/>
      </c>
      <c r="EA64" s="1847"/>
      <c r="EB64" s="781">
        <f t="shared" si="19"/>
        <v>1140994</v>
      </c>
      <c r="EC64" s="1960">
        <v>1</v>
      </c>
      <c r="ED64" s="783">
        <f t="shared" si="20"/>
        <v>1140994</v>
      </c>
      <c r="EE64" s="1866"/>
      <c r="EF64" s="1867"/>
      <c r="EG64" s="808">
        <v>513447</v>
      </c>
      <c r="EH64" s="784">
        <f t="shared" ref="EH64:EH95" si="353">+IF(OR(BB64="",EB64=""),"",SUM(EE64:EG64))</f>
        <v>513447</v>
      </c>
      <c r="EI64" s="1848"/>
      <c r="EJ64" s="1871"/>
      <c r="EK64" s="785"/>
      <c r="EL64" s="778">
        <v>376528</v>
      </c>
      <c r="EM64" s="1848"/>
      <c r="EN64" s="1871"/>
      <c r="EO64" s="785"/>
      <c r="EP64" s="784">
        <f t="shared" si="21"/>
        <v>376528</v>
      </c>
      <c r="EQ64" s="784"/>
      <c r="ER64" s="784"/>
      <c r="ES64" s="784"/>
      <c r="ET64" s="1454">
        <v>378810</v>
      </c>
      <c r="EU64" s="1344"/>
      <c r="EV64" s="1391"/>
      <c r="EW64" s="2579"/>
      <c r="EX64" s="2579"/>
      <c r="EY64" s="2686">
        <f>+IF(BB64="","",(IF(ED64="",0,ED64)+IF(EH64="",0,EH64)+IF(EP64="",0,EP64)+IF(ET64="",0,ET64)+IF(EW64="",0,EW64)+IF(EX64="",0,EX64)))</f>
        <v>2409779</v>
      </c>
      <c r="EZ64" s="2715"/>
      <c r="FA64" s="1391"/>
      <c r="FB64" s="1476">
        <f>+IF(BB64="","",(IF(EY64="",0,EY64)+IF(FA64="",0,FA64)-IF(EZ64="",0,EZ64)))</f>
        <v>2409779</v>
      </c>
      <c r="FC64" s="781">
        <f>+IF(OR(ED64="",IF(R64="",IF(R63="",R62,R63),R64)=""),"",ED64/IF(R64="",IF(R63="",R62,R63),R64))</f>
        <v>1140994</v>
      </c>
      <c r="FD64" s="2046">
        <f>+IF(OR(BB64="",IF(R64="",IF(R63="",R62,R63),R64)="",(CU64+DL64)=0),"",(CU64+DL64)/IF(R64="",IF(R63="",R62,R63),R64))</f>
        <v>360000</v>
      </c>
      <c r="FE64" s="2030">
        <f>+IF(OR(FC64="",FC64=0,FD64=""),"",FD64/FC64)</f>
        <v>0.31551436729728638</v>
      </c>
      <c r="FF64" s="2046">
        <f>+IF(OR(BB64="",CT64="",IF(R64="",IF(R63="",R62,R63),R64)=""),"",(SUM(CV64:CZ64)+(IF(DM64="",0,DM64)+SUM(DN64:DQ64)))/IF(R64="",IF(R63="",R62,R63),R64))</f>
        <v>558900</v>
      </c>
      <c r="FG64" s="2030">
        <f>+IF(OR(BB64="",ISERROR(FF64/FC64)),"",FF64/FC64)</f>
        <v>0.48983605522903712</v>
      </c>
      <c r="FH64" s="2046">
        <f>+IF(OR(BB64="",IF(R64="",IF(R63="",R62,R63),R64)="",),"",(DA64+DR64)/IF(R64="",IF(R63="",R62,R63),R64))</f>
        <v>0</v>
      </c>
      <c r="FI64" s="2030">
        <f>+IF(OR(FC64="",FC64=0,FH64=""),"",FH64/FC64)</f>
        <v>0</v>
      </c>
      <c r="FJ64" s="782">
        <f>+IF(OR(BB64="",CT64=""),"",IF(FD64="",0,FD64)+IF(FF64="",0,FF64)+IF(FH64="",0,FH64))</f>
        <v>918900</v>
      </c>
      <c r="FK64" s="2804">
        <f>+IF(OR(BB64="",ISERROR(FJ64/FC64)),"",FJ64/FC64)</f>
        <v>0.8053504225263235</v>
      </c>
      <c r="FL64" s="2046">
        <f>+IF(OR(BB64="",CT64="",IF(R64="",IF(R63="",R62,R63),R64)=""),"",(DB64+DC64+DS64+DT64)/IF(R64="",IF(R63="",R62,R63),R64))</f>
        <v>16000</v>
      </c>
      <c r="FM64" s="2030">
        <f>+IF(OR(BB64="",ISERROR(FL64/FC64)),"",FL64/FC64)</f>
        <v>1.4022860768768285E-2</v>
      </c>
      <c r="FN64" s="2046">
        <f>+IF(OR(BB64="",CT64="",IF(R64="",IF(R63="",R62,R63),R64)=""),"",(DD64+DU64)/IF(R64="",IF(R63="",R62,R63),R64))</f>
        <v>50000</v>
      </c>
      <c r="FO64" s="2030">
        <f t="shared" si="302"/>
        <v>4.3821439902400887E-2</v>
      </c>
      <c r="FP64" s="2046">
        <f>+IF(OR(BB64="",CT64="",IF(R64="",IF(R63="",R62,R63),R64)=""),"",(DG64+DH64+DX64+DY64)/IF(R64="",IF(R63="",R62,R63),R64))</f>
        <v>100000</v>
      </c>
      <c r="FQ64" s="2030">
        <f t="shared" si="303"/>
        <v>8.7642879804801774E-2</v>
      </c>
      <c r="FR64" s="784">
        <f>+IF(OR(BB64="",IF(R64="",IF(R63="",R62,R63),R64)="",(IF(DI64="",0,DI64)+IF(DZ64="",0,DZ64))=0),"",(IF(DI64="",0,DI64)+IF(DZ64="",0,DZ64))/IF(R64="",IF(R63="",R62,R63),R64))</f>
        <v>934900</v>
      </c>
      <c r="FS64" s="2828">
        <f>+IF(OR(DJ64="",IF(R64="",IF(R63="",R62,R63),R64)=""),"",(DJ64+EA64)/IF(R64="",IF(R63="",R62,R63),R64))</f>
        <v>56094</v>
      </c>
      <c r="FT64" s="2067">
        <f t="shared" si="304"/>
        <v>0.06</v>
      </c>
      <c r="FU64" s="2888">
        <f>+IF(OR(BB64="",ISERROR(1-(FR64+IF(FS64="",0,FS64)+FN64+FP64)*IF(R64="",IF(R63="",R62,R63),R64)/(CT64+DK64))),"",1-(FR64+IF(FS64="",0,FS64)+FN64+FP64)*IF(R64="",IF(R63="",R62,R63),R64)/(CT64+DK64))</f>
        <v>0</v>
      </c>
      <c r="FV64" s="778">
        <f>+IF(FC64="","",FC64/IF(OR(ISTEXT(T64),T64=""),IF(OR(ISTEXT(T63),T63=""),IF(OR(ISTEXT(T62),T62=""),1,T62),T63),T64))</f>
        <v>57049.7</v>
      </c>
      <c r="FW64" s="2097">
        <f>+IF(OR(EH64="",IF(R64="",IF(R63="",R62,R63),R64)=""),"",EH64/IF(R64="",IF(R63="",R62,R63),R64))</f>
        <v>513447</v>
      </c>
      <c r="FX64" s="2098">
        <f t="shared" si="216"/>
        <v>0.44999973707136059</v>
      </c>
      <c r="FY64" s="2099">
        <f>+IF(OR(EP64="",IF(R64="",IF(R63="",R62,R63),R64)=""),"",EP64/IF(R64="",IF(R63="",R62,R63),R64))</f>
        <v>376528</v>
      </c>
      <c r="FZ64" s="2098">
        <f t="shared" si="217"/>
        <v>0.32999998247142404</v>
      </c>
      <c r="GA64" s="2098" t="str">
        <f>+IF(IF(V64="",V63,V64)="Utility Boiler",IF(ISERR(FY64/(FC64+FW64)),"",FY64/(FC64+FW64)),"")</f>
        <v/>
      </c>
      <c r="GB64" s="2099">
        <f>+IF(OR(ET64="",IF(R64="",IF(R63="",R62,R63),R64)=""),"",ET64/IF(R64="",IF(R63="",R62,R63),R64))</f>
        <v>378810</v>
      </c>
      <c r="GC64" s="2098">
        <f>+IF(ISERR(GB64/$FC64),"",GB64/$FC64)</f>
        <v>0.33199999298856964</v>
      </c>
      <c r="GD64" s="2098" t="str">
        <f>+IF(IF(V64="",V63,V64)="Utility Boiler",IF(ISERR(GB64/($FC64)),"",GB64/(FC64+FW64+FY64)),"")</f>
        <v/>
      </c>
      <c r="GE64" s="1069">
        <f>+IF(OR(FB64="",IF(R64="",IF(R63="",R62,R63),R64)=""),"",FB64/IF(R64="",IF(R63="",R62,R63),R64))</f>
        <v>2409779</v>
      </c>
      <c r="GF64" s="2142">
        <f>+IF(FB64="","",(IF(FA64="",0,FA64)-IF(EZ64="",0,EZ64))+(IF(EU64="",0,EU64)+IF(EV64="",0,EV64)+(IF(EW64="",0,EW64)+IF(EX64="",0,EX64))/IF(R64="",IF(R63="",R62,R63),R64)+IF(FC64="",0,FC64)+IF(FW64="",0,FW64)+IF(FY64="",0,FY64)+IF(GB64="",0,GB64)))</f>
        <v>2409779</v>
      </c>
      <c r="GG64" s="2166">
        <f>+IF(OR(CS64="",IF(R64="",IF(R63="",R62,R63),R64)="",GF64=0),"",1-(CS64/IF(R64="",IF(R63="",R62,R63),R64))/GF64)</f>
        <v>0</v>
      </c>
      <c r="GH64" s="779">
        <f>+IF(ISERROR(GF64/IF(T64="",IF(T63="",T62,T63),T64)),"",IF(IF(T64="",IF(T63="",T62,T63),T64)="","",IF(GF64="","",GF64/IF(T64="",IF(T63="",T62,T63),T64))))</f>
        <v>120488.95</v>
      </c>
      <c r="GI64" s="1069">
        <v>401258</v>
      </c>
      <c r="GJ64" s="782">
        <v>162782</v>
      </c>
      <c r="GK64" s="3448">
        <f>+IF(OR(BB64="",GJ64=""),"",IF(CB64="",1,CB64*IF(R64="",IF(R63="",R62,R63),R64)))</f>
        <v>2.5</v>
      </c>
      <c r="GL64" s="3223">
        <f t="shared" si="219"/>
        <v>1.3999090808565985E-2</v>
      </c>
      <c r="GM64" s="1256"/>
      <c r="GN64" s="2194"/>
      <c r="GO64" s="2305">
        <v>7000</v>
      </c>
      <c r="GP64" s="2306">
        <f t="shared" ref="GP64:GP81" si="354">+IF(GQ64="","",GQ64-GO64)</f>
        <v>47464</v>
      </c>
      <c r="GQ64" s="2322">
        <v>54464</v>
      </c>
      <c r="GR64" s="2270">
        <v>2100</v>
      </c>
      <c r="GS64" s="2270">
        <v>45640</v>
      </c>
      <c r="GT64" s="784">
        <v>299054</v>
      </c>
      <c r="GU64" s="2309">
        <f>+IF(OR(SUM(GQ64:GT64)=0,GT64=""),IF(GK64=1,GJ64*GK64,IF(GI64="","",GI64)),SUM(GQ64:GT64))</f>
        <v>401258</v>
      </c>
      <c r="GV64" s="1255">
        <f>+IF(OR(GO64="",IF(R64="",IF(R63="",R62,R63),R64)=""),"",GO64/IF(R64="",IF(R63="",R62,R63),R64))</f>
        <v>7000</v>
      </c>
      <c r="GW64" s="2254">
        <f>+IF(OR(GP64="",IF(R64="",IF(R63="",R62,R63),R64)=""),"",GP64/IF(R64="",IF(R63="",R62,R63),R64))</f>
        <v>47464</v>
      </c>
      <c r="GX64" s="2224">
        <f>+IF(OR(GQ64="",IF(R64="",IF(R63="",R62,R63),R64)=""),"",GQ64/IF(R64="",IF(R63="",R62,R63),R64))</f>
        <v>54464</v>
      </c>
      <c r="GY64" s="2224">
        <f>+IF(OR(GR64="",IF(R64="",IF(R63="",R62,R63),R64)=""),"",GR64/IF(R64="",IF(R63="",R62,R63),R64))</f>
        <v>2100</v>
      </c>
      <c r="GZ64" s="2224">
        <f>+IF(OR(GS64="",IF(R64="",IF(R63="",R62,R63),R64)=""),"",GS64/IF(R64="",IF(R63="",R62,R63),R64))</f>
        <v>45640</v>
      </c>
      <c r="HA64" s="784">
        <f>+IF(OR(GT64="",IF(R64="",IF(R63="",R62,R63),R64)=""),"",GT64/IF(R64="",IF(R63="",R62,R63),R64))</f>
        <v>299054</v>
      </c>
      <c r="HB64" s="3245">
        <f t="shared" si="22"/>
        <v>401258</v>
      </c>
      <c r="HC64" s="1258">
        <f>+IF(OR(GU64="",IF(R64="",IF(R63="",R62,R63),R64)=""),"",GU64/IF(R64="",IF(R63="",R62,R63),R64))</f>
        <v>401258</v>
      </c>
      <c r="HD64" s="1259">
        <f t="shared" si="220"/>
        <v>0</v>
      </c>
      <c r="HE64" s="1260" t="str">
        <f>+IF(BO64="","",HC64/BO64)</f>
        <v/>
      </c>
      <c r="HF64" s="780">
        <f t="shared" si="107"/>
        <v>162782</v>
      </c>
      <c r="HG64" s="1261">
        <f t="shared" si="23"/>
        <v>156377.56879136187</v>
      </c>
      <c r="HH64" s="2973">
        <f>+IF(BF64="","",VALUE(LEFT(BF64,1)))</f>
        <v>1</v>
      </c>
      <c r="HI64" s="1262">
        <f t="shared" ref="HI64:HI83" si="355">+IF(FR64="","",FR64)</f>
        <v>934900</v>
      </c>
      <c r="HJ64" s="1871">
        <f t="shared" ref="HJ64:HJ83" si="356">+IF(FP64="","",FP64)</f>
        <v>100000</v>
      </c>
      <c r="HK64" s="2917">
        <f t="shared" ref="HK64:HK83" si="357">+IF(FN64="","",FN64)</f>
        <v>50000</v>
      </c>
      <c r="HL64" s="2918">
        <f>+IF(FR64="","",IF(HH64="","",IF(HH64=4,FS64,IF(HH64=3,FS64,IF(HH64=2,$HL$7*HI64,IF(HH64=1,$HL$6*HI64,""))))))</f>
        <v>56094</v>
      </c>
      <c r="HM64" s="1264">
        <f t="shared" ref="HM64:HM83" si="358">IF(FR64="","",SUM(HI64:HL64))</f>
        <v>1140994</v>
      </c>
      <c r="HN64" s="1454">
        <f t="shared" si="347"/>
        <v>57049.7</v>
      </c>
      <c r="HO64" s="1848">
        <f>+IF(FR64="","",IF(HH64="","",IF(HH64=4,FW64,IF(HH64=3,FW64,IF(HH64=2,$HO$7*HM64,IF(HH64=1,$HO$6*HM64,""))))))</f>
        <v>513447.3</v>
      </c>
      <c r="HP64" s="2918">
        <f>+IF(FR64="","",IF(HH64="","",IF(HH64=4,FY64,IF(HH64=3,FY64,IF(HH64=2,$HP$7*(HM64+HO64),IF(HH64=1,$HP$6*HM64,""))))))</f>
        <v>376528.02</v>
      </c>
      <c r="HQ64" s="1265" t="str">
        <f>+IF(FR64="","",IF(HH64="","",IF(HH64=3,$HQ$8*(HI64+HO64+HP64),"")))</f>
        <v/>
      </c>
      <c r="HR64" s="2938">
        <f>+IF(FR64="","",IF(HH64="","",IF(HH64=4,GB64,IF(HH64=3,$HR$8*HO64,IF(HH64=2,$HR$7*(HM64+HO64+HP64),IF(HH64=1,$HR$6*HM64,""))))))</f>
        <v>228198.80000000002</v>
      </c>
      <c r="HS64" s="2938">
        <f>IF(FR64="","",SUM(HQ64:HR64))</f>
        <v>228198.80000000002</v>
      </c>
      <c r="HT64" s="1262" t="str">
        <f>+IF(FR64="","",IF(HH64="","",IF(HH64=2,$HT$7*(HP64+HR64),"")))</f>
        <v/>
      </c>
      <c r="HU64" s="1261" t="str">
        <f>+IF(FR64="","",IF(HH64="","",IF(HH64=2,$HU$7*(HP64+HR64),"")))</f>
        <v/>
      </c>
      <c r="HV64" s="1262" t="str">
        <f t="shared" si="312"/>
        <v/>
      </c>
      <c r="HW64" s="1261" t="str">
        <f t="shared" si="313"/>
        <v/>
      </c>
      <c r="HX64" s="3031">
        <f t="shared" si="199"/>
        <v>2259168.12</v>
      </c>
      <c r="HY64" s="2918" t="str">
        <f>+IF(EZ64="","",EZ64/IF(R64="",IF(R63="",IF(R62="",1,R62),R63),R64))</f>
        <v/>
      </c>
      <c r="HZ64" s="2938" t="str">
        <f>+IF(FA64="","",FA64/IF(R64="",IF(R63="",IF(R62="",1,R62),R63),R64))</f>
        <v/>
      </c>
      <c r="IA64" s="1262">
        <f>+IF(HM64="","",HX64-IF(HY64="",0,HY64)+IF(HZ64="",0,HZ64))</f>
        <v>2259168.12</v>
      </c>
      <c r="IB64" s="1265" t="str">
        <f t="shared" si="237"/>
        <v>stk added + 6%</v>
      </c>
      <c r="IC64" s="2906">
        <f t="shared" ref="IC64:IC76" si="359">+IF(OR(IA64="",ISERROR(IA64/IF(T64="",IF(T63="",IF(T62="",1,T62),T63),T64))),"",IA64/IF(T64="",IF(T63="",IF(T62="",1,T62),T63),T64))</f>
        <v>112958.406</v>
      </c>
      <c r="ID64" s="1262"/>
      <c r="IE64" s="4101"/>
      <c r="IF64" s="1262">
        <f>+IF(GO64="","",GO64)</f>
        <v>7000</v>
      </c>
      <c r="IG64" s="6774">
        <f>+IF(AO64="","",IF(IF64="","",(IF64/AO64)))</f>
        <v>241.37931034482759</v>
      </c>
      <c r="IH64" s="1263">
        <f>+IF(GP64="","",GP64)</f>
        <v>47464</v>
      </c>
      <c r="II64" s="6790">
        <f>+IH64/AQ64</f>
        <v>6.1362637362637367</v>
      </c>
      <c r="IJ64" s="4101">
        <f>+IF(SUM(IF(IH64="",0,IH64)+IF(IF64="",0,IF64))=0,"",IF(IH64="",0,IH64)+IF(IF64="",0,IF64))</f>
        <v>54464</v>
      </c>
      <c r="IK64" s="4135">
        <v>1</v>
      </c>
      <c r="IL64" s="788">
        <f>+IF(IF64="","",IK64*$IL$8*IF64)</f>
        <v>2100</v>
      </c>
      <c r="IM64" s="787">
        <f>IF(HM64="","",IK64*$IM$8*IA64)</f>
        <v>90366.724800000011</v>
      </c>
      <c r="IN64" s="4233">
        <f>+IF(SUM(IF(IM64="",0,IM64)+IF(IL64="",0,IL64))=0,"",IF(IM64="",0,IM64)+IF(IL64="",0,IL64))</f>
        <v>92466.724800000011</v>
      </c>
      <c r="IO64" s="4233">
        <f>+IF(SUM(IF(IN64="",0,IN64)+IF(IJ64="",0,IJ64))=0,"",IF(IN64="",0,IN64)+IF(IJ64="",0,IJ64))</f>
        <v>146930.72480000003</v>
      </c>
      <c r="IP64" s="4233">
        <f t="shared" ref="IP64" si="360">+IF(BB64="","",IF(IJ64="","",IJ64/IF(R64="",IF(R63="",IF(R62="",R61,R62),R63),R64)))</f>
        <v>54464</v>
      </c>
      <c r="IQ64" s="6847">
        <f t="shared" ref="IQ64" si="361">+IF(IP64="","",IP64/IX64)</f>
        <v>0.15121319265980887</v>
      </c>
      <c r="IR64" s="4233">
        <f t="shared" ref="IR64" si="362">+IF(BB64="","",IF(IN64="","",IN64/IF(R64="",IF(R63="",IF(R62="",R61,R62),R63),R64)))</f>
        <v>92466.724800000011</v>
      </c>
      <c r="IS64" s="6847">
        <f t="shared" ref="IS64" si="363">+IF(IR64="","",IR64/IX64)</f>
        <v>0.25672349940885592</v>
      </c>
      <c r="IT64" s="4233">
        <f>+IF(BB64="","",IF(IO64="","",IO64/IF(R64="",IF(R63="",IF(R62="",R61,R62),R63),R64)))</f>
        <v>146930.72480000003</v>
      </c>
      <c r="IU64" s="6847">
        <f>+IF(IT64="","",IT64/IX64)</f>
        <v>0.40793669206866484</v>
      </c>
      <c r="IV64" s="4135">
        <f>+IF(D64="","",IF(IF(V64="",IF(V63="",IF(V62="",V61,V62),V63),V64)="Utility Boiler",2,1))</f>
        <v>1</v>
      </c>
      <c r="IW64" s="787">
        <f>IF(IA64="","",IF(IV64=1,$IW$5,IF(IV64=2,$IW$8,""))*IA64)</f>
        <v>213249.48859269058</v>
      </c>
      <c r="IX64" s="2906">
        <f>+IF(SUM(IF(IW64="",0,IW64)+IF(IT64="",0,IT64))=0,IY64,IF(IW64="",0,IW64)+IF(IT64="",0,IT64))</f>
        <v>360180.21339269064</v>
      </c>
      <c r="IY64" s="4251">
        <f>+HC64</f>
        <v>401258</v>
      </c>
      <c r="IZ64" s="4290">
        <f>+IF(IY64="","",(IY64-IX64)/IY64)</f>
        <v>0.1023725049900796</v>
      </c>
      <c r="JA64" s="4291" t="str">
        <f>+IF(BB64="","",IF(ISERROR(IY64-IX64),"",IF((IY64-IX64)&gt;0,"stk added + "&amp;ROUND((IY64-IX64)/IY64*100,0)&amp;"%",IF(IY64=IX64,"same TAC",(IY64-IX64)/IY64))))</f>
        <v>stk added + 10%</v>
      </c>
      <c r="JB64" s="1266"/>
      <c r="JC64" s="777"/>
      <c r="JD64" s="780">
        <f t="shared" si="348"/>
        <v>144072.08535707626</v>
      </c>
      <c r="JE64" s="786">
        <f t="shared" si="349"/>
        <v>140368.80534993167</v>
      </c>
      <c r="JF64" s="7035">
        <f>+IF(D64="","",IF(T64="",IF(T63="",T62/IF(Y62="TP",2,1),T63/IF(Y63="TP",2,1)),T64/IF(Y64="TP",2,1)))</f>
        <v>20</v>
      </c>
      <c r="JG64" s="1871" t="s">
        <v>93</v>
      </c>
      <c r="JH64" s="6966">
        <f>+IF(D64="","",IF(HX64="","",HX64))</f>
        <v>2259168.12</v>
      </c>
      <c r="JI64" s="6966">
        <f>+JH64</f>
        <v>2259168.12</v>
      </c>
      <c r="JJ64" s="6966"/>
      <c r="JK64" s="6966"/>
      <c r="JL64" s="7003"/>
      <c r="JM64" s="1846">
        <f>+IF(D64="","",IF(JG64="SCR",(JF64*49700+459000),IF(JG64="HPWI",(0.0353*JF64+0.2915)*(10^6),"N/A")))</f>
        <v>997500</v>
      </c>
      <c r="JN64" s="1871">
        <f>+IF(D64="","",IF(JM64="N/A","",JM64*$JN$27))</f>
        <v>1725675</v>
      </c>
      <c r="JO64" s="1871">
        <f>+JN64</f>
        <v>1725675</v>
      </c>
      <c r="JP64" s="785"/>
      <c r="JQ64" s="785"/>
      <c r="JR64" s="1871"/>
      <c r="JS64" s="1070">
        <f>+IF(D64="","",SUM(JO64:JR64))</f>
        <v>1725675</v>
      </c>
      <c r="JT64" s="7151">
        <f t="shared" si="263"/>
        <v>1</v>
      </c>
      <c r="JU64" s="7152">
        <f t="shared" si="345"/>
        <v>39</v>
      </c>
      <c r="JV64" s="8373">
        <f t="shared" si="346"/>
        <v>9750</v>
      </c>
      <c r="JW64" s="8400">
        <f t="shared" si="149"/>
        <v>2.5659562500000002</v>
      </c>
      <c r="JX64" s="8429" t="str">
        <f t="shared" si="324"/>
        <v/>
      </c>
      <c r="JY64" s="8464" t="str">
        <f>+IF(D64="","",IF(JT64=2,(#REF!*(1+#REF!)^JX64)/((1+#REF!)^JX64-1),""))</f>
        <v/>
      </c>
      <c r="JZ64" s="7153" t="str">
        <f t="shared" si="325"/>
        <v/>
      </c>
      <c r="KA64" s="7151">
        <f t="shared" si="326"/>
        <v>13638.843426077468</v>
      </c>
      <c r="KB64" s="7152">
        <f t="shared" si="327"/>
        <v>9547.1903982542281</v>
      </c>
      <c r="KC64" s="7153">
        <f t="shared" si="201"/>
        <v>19.073980817025006</v>
      </c>
      <c r="KD64" s="7151">
        <f>+IF(OR(D64="",JV64=""),"",IF(JT64=1,$KD$5*JU64*$KD$6/1000,$KD$7*JU64*$KD$8/1000))</f>
        <v>756.91200000000003</v>
      </c>
      <c r="KE64" s="8337" t="str">
        <f>+IF(OR(D64="",JW64="",JW64=0),"",IF(JT64=2,JW64*$KE$8*$KG$4,""))</f>
        <v/>
      </c>
      <c r="KF64" s="8337" t="str">
        <f>+IF(OR(D64="",JW64="",JW64=0),"",IF(JT64=2,JW64*(0.95/0.05)*(18/17)*($KF$8/1000)*(2000)*$KG$4,""))</f>
        <v/>
      </c>
      <c r="KG64" s="7152">
        <f>+IF(D64="","",IF(JT64=1,$KG$2*KC64/1000*60*JU64*$KG$4*$KG$6,IF(OR(JZ64="",JY64=""),"",JZ64*$KG$8*JY64*$KG$4)))</f>
        <v>619.74535372340415</v>
      </c>
      <c r="KH64" s="7152" t="str">
        <f>IF(D64="","",IF(JT64=2,0.005*JF64*$KD$6/1000*1000*JU64,""))</f>
        <v/>
      </c>
      <c r="KI64" s="7152" t="str">
        <f>IF(D64="","",IF(JT64=2,0.1*0.005*JF64*$KD$6/1000*1000*JU64,""))</f>
        <v/>
      </c>
      <c r="KJ64" s="7152">
        <f>+IF(OR(D64="",JU64="",JV64=""),"",IF(JT64=1,KD64+KG64,KD64+KE64+KF64+KG64+KH64+KI64))</f>
        <v>1376.6573537234042</v>
      </c>
      <c r="KK64" s="7152">
        <f>+IF(OR(D64="",JU64="",JV64=""),"",$KK$7*$KG$4*JU64)</f>
        <v>4091.3807999999999</v>
      </c>
      <c r="KL64" s="7152">
        <f>+IF(OR(D64="",JU64="",JV64="",JS64=""),"",IF(JT64=1,$KL$7*JS64*JU64/$KL$8,$KL$7*IF(JN64="",JS64,JN64)*JU64/$KL$8))</f>
        <v>252.37996874999999</v>
      </c>
      <c r="KM64" s="7152">
        <f t="shared" ref="KM64" si="364">+IF(D64="","",IF(KK64="",0,KK64)+IF(KL64="",0,KL64))</f>
        <v>4343.7607687500004</v>
      </c>
      <c r="KN64" s="7152" t="str">
        <f>+IF(D64="","",IF(JX64&lt;41,$KN$8*JZ64*JY64,""))</f>
        <v/>
      </c>
      <c r="KO64" s="7152">
        <f>+IF(OR(D64="",JU64="",JV64=""),"",IF(KM64="",0,KM64)+IF(KN64="",0,KN64))</f>
        <v>4343.7607687500004</v>
      </c>
      <c r="KP64" s="7153">
        <f t="shared" ref="KP64" si="365">+IF(OR(D64="",JU64="",JV64=""),"",IF(KJ64="",0,KJ64)+IF(KO64="",0,KO64))</f>
        <v>5720.4181224734048</v>
      </c>
      <c r="KQ64" s="1848">
        <f>+IF(D64="","",VLOOKUP(MATCH(BE64,ac_id,0),ad,ac!$F$8,FALSE)*JV64)</f>
        <v>68250</v>
      </c>
      <c r="KR64" s="785">
        <f>+IF(D64="","",IF(JT64=1,VLOOKUP(MATCH(BE64,ac_id,0),ad,ac!$H$8,FALSE)*JU64, (VLOOKUP(MATCH(BE64,ac_id,0),ad,ac!$H$8,FALSE)*JU64^(1+VLOOKUP(MATCH(BE64,ac_id,0),ad,ac!$I$8,FALSE)))))</f>
        <v>9750</v>
      </c>
      <c r="KS64" s="1070">
        <f>+IF(D64="","",KQ64+KR64)</f>
        <v>78000</v>
      </c>
      <c r="KT64" s="1848">
        <f t="shared" ref="KT64" si="366">+IF(D64="","",IF(KK64="","",$KT$26*KM64))</f>
        <v>2606.25646125</v>
      </c>
      <c r="KU64" s="1871">
        <f t="shared" ref="KU64" si="367">+IF(D64="","",IF(JS64="","",$KU$26*IF(JN64="",JS64,JN64)))</f>
        <v>69027</v>
      </c>
      <c r="KV64" s="7388">
        <f t="shared" ref="KV64" si="368">+IF(D64="","",IV64)</f>
        <v>1</v>
      </c>
      <c r="KW64" s="2715">
        <f>IF(JS64="","",IF(KV64=1,$KW$5,IF(KV64=2,$KW$8,""))*JS64)</f>
        <v>148081.06430477212</v>
      </c>
      <c r="KX64" s="1070">
        <f>+IF(D64="","",IF(KW64="","",IF(KT64="",0,KT64)+IF(KU64="",0,KU64)+KW64))</f>
        <v>219714.32076602214</v>
      </c>
      <c r="KY64" s="2686">
        <f>+IF(D64="","",IF(KX64="","",IF(KP64="",0,KP64)+KX64))</f>
        <v>225434.73888849554</v>
      </c>
      <c r="KZ64" s="1344"/>
      <c r="LA64" s="2715">
        <f>+IF(OR(KY64="",$CB64=""),"",KY64/$CB64)</f>
        <v>90173.895555398223</v>
      </c>
      <c r="LB64" s="1391">
        <f t="shared" ref="LB64:LB69" si="369">+IF(OR(KY64="",$CL64=""),"",KY64/$CL64)</f>
        <v>87856.033745117646</v>
      </c>
      <c r="LC64" s="5133"/>
      <c r="LD64" s="5132"/>
      <c r="LE64" s="5132"/>
      <c r="LF64" s="5132"/>
      <c r="LG64" s="5132"/>
      <c r="LH64" s="5132"/>
      <c r="LI64" s="5132"/>
      <c r="LJ64" s="5132"/>
    </row>
    <row r="65" spans="1:322" s="13" customFormat="1" ht="27.95" customHeight="1">
      <c r="A65" s="5954" t="str">
        <f t="shared" si="352"/>
        <v>8300-02</v>
      </c>
      <c r="B65" s="9819" t="str">
        <f>+IF(A65="","",VLOOKUP(MATCH(A65,tid,0),tao,'12(id)'!$J$20,FALSE))</f>
        <v>NRG</v>
      </c>
      <c r="C65" s="6365" t="str">
        <f t="shared" si="47"/>
        <v>CC10</v>
      </c>
      <c r="D65" s="1120" t="str">
        <f t="shared" si="48"/>
        <v/>
      </c>
      <c r="E65" s="683"/>
      <c r="F65" s="683" t="str">
        <f t="shared" si="49"/>
        <v/>
      </c>
      <c r="G65" s="5133"/>
      <c r="H65" s="5132"/>
      <c r="I65" s="5133"/>
      <c r="J65" s="719">
        <f t="shared" si="68"/>
        <v>31</v>
      </c>
      <c r="K65" s="649">
        <f t="shared" ref="K65:K74" si="370">1+K64</f>
        <v>14</v>
      </c>
      <c r="L65" s="9648"/>
      <c r="M65" s="9650"/>
      <c r="N65" s="9648"/>
      <c r="O65" s="8671" t="s">
        <v>260</v>
      </c>
      <c r="P65" s="9649" t="str">
        <f>+IF(O65="","",VLOOKUP(MATCH(O65,tid,0),tao,'12(id)'!$L$20,FALSE))</f>
        <v>Cos Cob</v>
      </c>
      <c r="Q65" s="8576" t="str">
        <f>+IF(ISERROR(MATCH(O65,tid,0)),"",VLOOKUP(MATCH(O65,tid,0),tao,'12(id)'!$Q$20,FALSE))</f>
        <v>CC10</v>
      </c>
      <c r="R65" s="8671">
        <f>+IF(O65="","",VLOOKUP(MATCH(O65,tid,0),tao,'12(id)'!$U$20,FALSE))</f>
        <v>3</v>
      </c>
      <c r="S65" s="8671"/>
      <c r="T65" s="45">
        <f>+IF(ISERROR(MATCH(O65,tid,0)),"",IF(VLOOKUP(MATCH(O65,tid,0),tao,'12(id)'!$CT$20,FALSE)="","",VLOOKUP(MATCH(O65,tid,0),tao,'12(id)'!$CT$20,FALSE)))</f>
        <v>20</v>
      </c>
      <c r="U65" s="10739">
        <f>+IF(ISERROR(MATCH(O65,tid,0)),"",IF(VLOOKUP(MATCH(O65,tid,0),tao,'12(id)'!$CU$20,FALSE)="","",VLOOKUP(MATCH(O65,tid,0),tao,'12(id)'!$CU$20,FALSE)))</f>
        <v>100</v>
      </c>
      <c r="V65" s="8625" t="str">
        <f>+IF(O65="","",IF(VLOOKUP(MATCH(O65,tid,0),tao,'12(id)'!$T$20,FALSE)="","",VLOOKUP(MATCH(O65,tid,0),tao,'12(id)'!$T$20,FALSE)))</f>
        <v>Combustion Turbine</v>
      </c>
      <c r="W65" s="417" t="str">
        <f>+IF(ISERROR(MATCH(O65,tid,0)),"",IF(VLOOKUP(MATCH(O65,tid,0),tao,'12(id)'!$CO$20,FALSE)="","",VLOOKUP(MATCH(O65,tid,0),tao,'12(id)'!$CO$20,FALSE)))</f>
        <v>Pratt &amp; Whitney</v>
      </c>
      <c r="X65" s="8625" t="str">
        <f>+IF(ISERROR(MATCH(O65,tid,0)),"",IF(VLOOKUP(MATCH(O65,tid,0),tao,'12(id)'!$CP$20,FALSE)="","",VLOOKUP(MATCH(O65,tid,0),tao,'12(id)'!$CP$20,FALSE)))</f>
        <v>FT4-A9</v>
      </c>
      <c r="Y65" s="2388" t="str">
        <f>+IF(ISERROR(MATCH(O65,tid,0)),"",IF(VLOOKUP(MATCH(O65,tid,0),tao,'12(id)'!$CQ$20,FALSE)="","",VLOOKUP(MATCH(O65,tid,0),tao,'12(id)'!$CQ$20,FALSE)))</f>
        <v>FT</v>
      </c>
      <c r="Z65" s="8563" t="str">
        <f>+IF(ISERROR(MATCH(O65,tid,0)),"",VLOOKUP(MATCH(O65,tid,0),tao,'12(id)'!$DB$20,FALSE)&amp;" "&amp;VLOOKUP(MATCH(O65,tid,0),tao,'12(id)'!$DC$20,FALSE))</f>
        <v xml:space="preserve"> 1969</v>
      </c>
      <c r="AA65" s="52" t="str">
        <f ca="1">+IF(ISERROR(MATCH(O65,tid,0)),"",IF(VLOOKUP(MATCH(O65,tid,0),tao,'12(id)'!$DE$20,FALSE)="","",ROUND(VLOOKUP(MATCH(O65,tid,0),tao,'12(id)'!$DE$20,FALSE),0)&amp;" yrs"))</f>
        <v>45 yrs</v>
      </c>
      <c r="AB65" s="282" t="str">
        <f>+IF(ISERROR(MATCH(O65,tid,0)),"",VLOOKUP(MATCH(O65,tid,0),tao,'12(id)'!$DI$20,FALSE))</f>
        <v>Ultra low sulfur kerosene  oil (ULSD)</v>
      </c>
      <c r="AC65" s="282" t="str">
        <f>+IF(ISERROR(MATCH(O65,tid,0)),"",IF(VLOOKUP(MATCH(O65,tid,0),tao,'12(id)'!$DQ$20,FALSE)="","",VLOOKUP(MATCH(O65,tid,0),tao,'12(id)'!$DQ$20,FALSE)))</f>
        <v/>
      </c>
      <c r="AD65" s="115">
        <f>+IF(ISERROR(MATCH(O65,tid,0)),"",IF(VLOOKUP(MATCH(O65,tid,0),tao,'12(id)'!$EI$20,FALSE)="","",VLOOKUP(MATCH(O65,tid,0),tao,'12(id)'!$EI$20,FALSE)))</f>
        <v>0.192</v>
      </c>
      <c r="AE65" s="115" t="str">
        <f>+IF(ISERROR(MATCH(O65,tid,0)),"",IF(VLOOKUP(MATCH(O65,tid,0),tao,'12(id)'!$EJ$20,FALSE)="","",VLOOKUP(MATCH(O65,tid,0),tao,'12(id)'!$EJ$20,FALSE)))</f>
        <v/>
      </c>
      <c r="AF65" s="10673">
        <f>+IF(ISERROR(MATCH(O65,tid,0)),"",IF(VLOOKUP(MATCH(O65,tid,0),tao,'12(id)'!$EL$20,FALSE)="","",VLOOKUP(MATCH(O65,tid,0),tao,'12(id)'!$EL$20,FALSE)))</f>
        <v>0.22</v>
      </c>
      <c r="AG65" s="10728" t="str">
        <f>+IF(ISERROR(MATCH(O65,tid,0)),"",IF(VLOOKUP(MATCH(O65,tid,0),tao,'12(id)'!$EM$20,FALSE)="","",VLOOKUP(MATCH(O65,tid,0),tao,'12(id)'!$EM$20,FALSE)))</f>
        <v/>
      </c>
      <c r="AH65" s="966"/>
      <c r="AI65" s="967"/>
      <c r="AJ65" s="968"/>
      <c r="AK65" s="968"/>
      <c r="AL65" s="968"/>
      <c r="AM65" s="969"/>
      <c r="AN65" s="3533"/>
      <c r="AO65" s="3534" t="str">
        <f>+IF(ISERROR(MATCH(O65,tid,0)),"",IF(VLOOKUP(MATCH(O65,tid,0),tao,'12(id)'!$GY$20,FALSE)="","",VLOOKUP(MATCH(O65,tid,0),tao,'12(id)'!$GY$20,FALSE)))</f>
        <v/>
      </c>
      <c r="AP65" s="4041" t="str">
        <f>+IF($BB65="","",IF(VLOOKUP(MATCH(O65,tid,0),tao,'12(id)'!$HE$20,FALSE)="","",VLOOKUP(MATCH(O65,tid,0),tao,'12(id)'!$HE$20,FALSE)))</f>
        <v/>
      </c>
      <c r="AQ65" s="3535">
        <f>+IF(ISERROR(VLOOKUP(MATCH(O65,tid,0),tao,'12(id)'!$HF$20,FALSE)),"",VLOOKUP(MATCH(O65,tid,0),tao,'12(id)'!$HF$20,FALSE))</f>
        <v>0</v>
      </c>
      <c r="AR65" s="3536">
        <f>+IF(ISERROR(MATCH(O65,tid,0)),"",IF(VLOOKUP(MATCH(O65,tid,0),tao,'12(id)'!$HJ$20,FALSE)="","",VLOOKUP(MATCH(O65,tid,0),tao,'12(id)'!$HJ$20,FALSE)))</f>
        <v>0.22</v>
      </c>
      <c r="AS65" s="4047" t="str">
        <f>+IF(ISERROR(MATCH(O65,tid,0)),"",IF(VLOOKUP(MATCH(O65,tid,0),tao,'12(id)'!$HK$20,FALSE)="","",VLOOKUP(MATCH(O65,tid,0),tao,'12(id)'!$HK$20,FALSE)))</f>
        <v/>
      </c>
      <c r="AT65" s="3537" t="str">
        <f>+IF(ISERROR(MATCH(O65,tid,0)),"",IF(VLOOKUP(MATCH(O65,tid,0),tao,'12(id)'!$HM$20,FALSE)="","",VLOOKUP(MATCH(O65,tid,0),tao,'12(id)'!$HM$20,FALSE)))</f>
        <v/>
      </c>
      <c r="AU65" s="1007" t="str">
        <f t="shared" ref="AU65:AU79" si="371">+AU64</f>
        <v>CAIR-OS (max last 3 yrs)</v>
      </c>
      <c r="AV65" s="10324">
        <f>+IF(ISERROR(MATCH(O65,em_id,0)),"",IF(VLOOKUP(MATCH(O65,em_id,0),em,'5(em)'!$CX$18,FALSE)="","",VLOOKUP(MATCH(O65,em_id,0),em,'5(em)'!$CX$18,FALSE)))</f>
        <v>51</v>
      </c>
      <c r="AW65" s="10403">
        <f>+IF(ISERROR(MATCH(O65,em_id,0)),"",IF(VLOOKUP(MATCH(O65,em_id,0),em,'5(em)'!$CZ$18,FALSE)="","",VLOOKUP(MATCH(O65,em_id,0),em,'5(em)'!$CZ$18,FALSE)))</f>
        <v>12848</v>
      </c>
      <c r="AX65" s="10329">
        <f t="shared" si="50"/>
        <v>0.19</v>
      </c>
      <c r="AY65" s="10324"/>
      <c r="AZ65" s="10327">
        <f>+IF(ISERROR(MATCH(O65,em_id,0)),"",IF(VLOOKUP(MATCH(O65,em_id,0),em,'5(em)'!$DA$18,FALSE)="","",VLOOKUP(MATCH(O65,em_id,0),em,'5(em)'!$DA$18,FALSE)))</f>
        <v>1.246256</v>
      </c>
      <c r="BA65" s="1674"/>
      <c r="BB65" s="683" t="str">
        <f t="shared" si="311"/>
        <v/>
      </c>
      <c r="BC65" s="684"/>
      <c r="BD65" s="683"/>
      <c r="BE65" s="683"/>
      <c r="BF65" s="683" t="s">
        <v>1860</v>
      </c>
      <c r="BG65" s="6368" t="s">
        <v>1184</v>
      </c>
      <c r="BH65" s="679"/>
      <c r="BI65" s="686"/>
      <c r="BJ65" s="680"/>
      <c r="BK65" s="680"/>
      <c r="BL65" s="680"/>
      <c r="BM65" s="680"/>
      <c r="BN65" s="680" t="str">
        <f t="shared" si="12"/>
        <v/>
      </c>
      <c r="BO65" s="680" t="str">
        <f t="shared" si="13"/>
        <v/>
      </c>
      <c r="BP65" s="680" t="str">
        <f t="shared" si="14"/>
        <v/>
      </c>
      <c r="BQ65" s="680" t="str">
        <f t="shared" si="15"/>
        <v/>
      </c>
      <c r="BR65" s="681"/>
      <c r="BS65" s="687"/>
      <c r="BT65" s="688"/>
      <c r="BU65" s="3704"/>
      <c r="BV65" s="3750"/>
      <c r="BW65" s="2365"/>
      <c r="BX65" s="1433"/>
      <c r="BY65" s="3815" t="str">
        <f>+IF($BB65="","",IF(OR(BU65="",$AQ65=""),"",BU65/2000*$AQ65))</f>
        <v/>
      </c>
      <c r="BZ65" s="3395"/>
      <c r="CA65" s="3415"/>
      <c r="CB65" s="690" t="str">
        <f>+IF($BB65="","",IF(BX65="","",$AT65-BX65))</f>
        <v/>
      </c>
      <c r="CC65" s="3884" t="str">
        <f t="shared" ref="CC65:CC76" si="372">+IF($BB65="","",IF(CB65="",IF(CD65="",IF(CD65="",IF(CE65="","",CE65)),CD65),CB65/IF($AT65="",IF($AT64="",$AT63,$AT64),$AT65)))</f>
        <v/>
      </c>
      <c r="CD65" s="3884" t="str">
        <f>+IF($BB65="","",IF(BU65="","",(1-BU65/$AR65)))</f>
        <v/>
      </c>
      <c r="CE65" s="3905" t="str">
        <f>+IF(BB65="","",IF(VLOOKUP(MATCH(BB65,ef_id,0),ef,'11(eff)'!$AE$23,FALSE)="","",VLOOKUP(MATCH(BB65,ef_id,0),ef,'11(eff)'!$AE$23,FALSE)))</f>
        <v/>
      </c>
      <c r="CF65" s="687"/>
      <c r="CG65" s="688"/>
      <c r="CH65" s="2405"/>
      <c r="CI65" s="690"/>
      <c r="CJ65" s="4065"/>
      <c r="CK65" s="690" t="str">
        <f>+IF($BB65="","",IF(OR($AW65="",CI65=""),"",CI65/2000*$AW65))</f>
        <v/>
      </c>
      <c r="CL65" s="3926" t="str">
        <f>+IF($BB65="","",IF(CK65="","",$AZ65-CK65))</f>
        <v/>
      </c>
      <c r="CM65" s="3962" t="str">
        <f>+IF($BB65="","",IF(CL65="","",CL65/$AZ65))</f>
        <v/>
      </c>
      <c r="CN65" s="3962" t="str">
        <f>+IF($BB65="","",IF(CI65="","",(1-CI65/$AX65)))</f>
        <v/>
      </c>
      <c r="CO65" s="3963"/>
      <c r="CP65" s="3964"/>
      <c r="CQ65" s="682" t="str">
        <f t="shared" si="51"/>
        <v/>
      </c>
      <c r="CR65" s="689"/>
      <c r="CS65" s="2760"/>
      <c r="CT65" s="1623"/>
      <c r="CU65" s="1624"/>
      <c r="CV65" s="1852" t="str">
        <f t="shared" si="309"/>
        <v/>
      </c>
      <c r="CW65" s="1853"/>
      <c r="CX65" s="1853"/>
      <c r="CY65" s="1389"/>
      <c r="CZ65" s="2472"/>
      <c r="DA65" s="2005"/>
      <c r="DB65" s="2005"/>
      <c r="DC65" s="1852"/>
      <c r="DD65" s="1389"/>
      <c r="DE65" s="1568"/>
      <c r="DF65" s="1341"/>
      <c r="DG65" s="1341"/>
      <c r="DH65" s="1389"/>
      <c r="DI65" s="1690" t="str">
        <f>+IF(CT65="","",SUM(CU65:DC65))</f>
        <v/>
      </c>
      <c r="DJ65" s="1389"/>
      <c r="DK65" s="1623"/>
      <c r="DL65" s="1624"/>
      <c r="DM65" s="1852" t="str">
        <f t="shared" si="310"/>
        <v/>
      </c>
      <c r="DN65" s="1853"/>
      <c r="DO65" s="1853"/>
      <c r="DP65" s="1389"/>
      <c r="DQ65" s="2472"/>
      <c r="DR65" s="2005"/>
      <c r="DS65" s="2005"/>
      <c r="DT65" s="1852"/>
      <c r="DU65" s="1389"/>
      <c r="DV65" s="1568"/>
      <c r="DW65" s="1341"/>
      <c r="DX65" s="1341"/>
      <c r="DY65" s="1389"/>
      <c r="DZ65" s="1690" t="str">
        <f t="shared" si="18"/>
        <v/>
      </c>
      <c r="EA65" s="1389"/>
      <c r="EB65" s="1494" t="str">
        <f t="shared" si="19"/>
        <v/>
      </c>
      <c r="EC65" s="1433"/>
      <c r="ED65" s="1413" t="str">
        <f t="shared" si="20"/>
        <v/>
      </c>
      <c r="EE65" s="1568"/>
      <c r="EF65" s="2009"/>
      <c r="EG65" s="1600"/>
      <c r="EH65" s="1710" t="str">
        <f t="shared" si="353"/>
        <v/>
      </c>
      <c r="EI65" s="1854"/>
      <c r="EJ65" s="2005"/>
      <c r="EK65" s="2006"/>
      <c r="EL65" s="1698"/>
      <c r="EM65" s="1854"/>
      <c r="EN65" s="2005"/>
      <c r="EO65" s="2006"/>
      <c r="EP65" s="1710" t="str">
        <f t="shared" si="21"/>
        <v/>
      </c>
      <c r="EQ65" s="1710"/>
      <c r="ER65" s="1710"/>
      <c r="ES65" s="1710"/>
      <c r="ET65" s="1625"/>
      <c r="EU65" s="1626"/>
      <c r="EV65" s="1627"/>
      <c r="EW65" s="2580"/>
      <c r="EX65" s="2580"/>
      <c r="EY65" s="2687"/>
      <c r="EZ65" s="2716"/>
      <c r="FA65" s="1627"/>
      <c r="FB65" s="1477"/>
      <c r="FC65" s="1724" t="str">
        <f>+IF(OR(ED65="",IF(R65="",R64,R65)=""),"",ED65/IF(R65="",R64,R65))</f>
        <v/>
      </c>
      <c r="FD65" s="692" t="str">
        <f>+IF(OR(BB65="",IF(R65="",R64,R65)="",(CU65+DL65)=0),"",(CU65+DL65)/IF(R65="",R64,R65))</f>
        <v/>
      </c>
      <c r="FE65" s="1530" t="str">
        <f>+IF(OR(FC65="",FD65=""),"",FD65/FC65)</f>
        <v/>
      </c>
      <c r="FF65" s="692" t="str">
        <f>+IF(OR(BB65="",CT65="",IF(R65="",R64,R65)=""),"",((CV65+CW65+CX65)+(IF(DM65="",0,DM65)+DN65+DO65))/IF(R65="",R64,R65))</f>
        <v/>
      </c>
      <c r="FG65" s="1530" t="str">
        <f>+IF(OR(BB65="",ISERROR(FF65/FD65)),"",FF65/FD65)</f>
        <v/>
      </c>
      <c r="FH65" s="692"/>
      <c r="FI65" s="1530"/>
      <c r="FJ65" s="694" t="str">
        <f>+IF(OR(BB65="",CT65=""),"",FD65+FF65)</f>
        <v/>
      </c>
      <c r="FK65" s="2805" t="str">
        <f t="shared" ref="FK65:FK76" si="373">+IF(OR(BB65="",ISERROR(FJ65/FC65)),"",FJ65/FC65)</f>
        <v/>
      </c>
      <c r="FL65" s="2779"/>
      <c r="FM65" s="1530"/>
      <c r="FN65" s="2779"/>
      <c r="FO65" s="2769"/>
      <c r="FP65" s="2779"/>
      <c r="FQ65" s="2769"/>
      <c r="FR65" s="695"/>
      <c r="FS65" s="2873" t="str">
        <f>+IF(OR(DJ65="",IF(R65="",R64,R65)=""),"",(DJ65+EA65)/IF(R65="",R64,R65))</f>
        <v/>
      </c>
      <c r="FT65" s="1511" t="str">
        <f>+IF(OR(BB65="",ISERROR(FS65/#REF!)),"",FS65/#REF!)</f>
        <v/>
      </c>
      <c r="FU65" s="2889"/>
      <c r="FV65" s="691" t="str">
        <f>+IF(FC65="","",FC65/IF(T65="",IF(T64="",1,T64),T65))</f>
        <v/>
      </c>
      <c r="FW65" s="2100"/>
      <c r="FX65" s="2101"/>
      <c r="FY65" s="1628"/>
      <c r="FZ65" s="2101"/>
      <c r="GA65" s="2101"/>
      <c r="GB65" s="1628"/>
      <c r="GC65" s="2101"/>
      <c r="GD65" s="2101"/>
      <c r="GE65" s="2123"/>
      <c r="GF65" s="2143"/>
      <c r="GG65" s="2167"/>
      <c r="GH65" s="3177" t="str">
        <f>+IF(T65="","",IF(GF65="","",GF65/T65))</f>
        <v/>
      </c>
      <c r="GI65" s="3197" t="s">
        <v>939</v>
      </c>
      <c r="GJ65" s="3183"/>
      <c r="GK65" s="3449"/>
      <c r="GL65" s="3224"/>
      <c r="GM65" s="1268"/>
      <c r="GN65" s="935"/>
      <c r="GO65" s="2291"/>
      <c r="GP65" s="2292" t="str">
        <f t="shared" si="354"/>
        <v/>
      </c>
      <c r="GQ65" s="2225"/>
      <c r="GR65" s="2225"/>
      <c r="GS65" s="2225"/>
      <c r="GT65" s="2225"/>
      <c r="GU65" s="2310" t="str">
        <f t="shared" ref="GU65:GU79" si="374">+IF(SUM(GQ65:GT65)=0,"",SUM(GQ65:GT65))</f>
        <v/>
      </c>
      <c r="GV65" s="934" t="str">
        <f>+IF(OR(GO65="",IF(R65="",R64,R65)=""),"",GO65/IF(R65="",R64,R65))</f>
        <v/>
      </c>
      <c r="GW65" s="2255" t="str">
        <f>+IF(OR(GP65="",IF(R65="",R64,R65)=""),"",GP65/IF(R65="",R64,R65))</f>
        <v/>
      </c>
      <c r="GX65" s="2225" t="str">
        <f>+IF(OR(GQ65="",IF(R65="",R64,R65)=""),"",GQ65/IF(R65="",R64,R65))</f>
        <v/>
      </c>
      <c r="GY65" s="2225" t="str">
        <f>+IF(OR(GR65="",IF(R65="",R64,R65)=""),"",GR65/IF(R65="",R64,R65))</f>
        <v/>
      </c>
      <c r="GZ65" s="2225" t="str">
        <f>+IF(OR(GS65="",IF(R65="",R64,R65)=""),"",GS65/IF(R65="",R64,R65))</f>
        <v/>
      </c>
      <c r="HA65" s="2225" t="str">
        <f>+IF(OR(GT65="",IF(R65="",R64,R65)=""),"",GT65/IF(R65="",R64,R65))</f>
        <v/>
      </c>
      <c r="HB65" s="1267" t="str">
        <f>+IF(OR(SUM(GX65:HA65)=0,ISERR(SUM(GX65:HA65))),"",SUM(GX65:HA65))</f>
        <v/>
      </c>
      <c r="HC65" s="693" t="str">
        <f>+IF(OR(GU65="",IF(R65="",R64,R65)=""),"",GU65/IF(R65="",R64,R65))</f>
        <v/>
      </c>
      <c r="HD65" s="935" t="str">
        <f t="shared" ref="HD65:HD114" si="375">+IF(ISERR((HB65-HC65)/HB65),"",(HB65-HC65)/HB65)</f>
        <v/>
      </c>
      <c r="HE65" s="1268"/>
      <c r="HF65" s="934"/>
      <c r="HG65" s="1269" t="str">
        <f t="shared" si="23"/>
        <v/>
      </c>
      <c r="HH65" s="2988"/>
      <c r="HI65" s="3015" t="str">
        <f t="shared" si="355"/>
        <v/>
      </c>
      <c r="HJ65" s="2009" t="str">
        <f t="shared" si="356"/>
        <v/>
      </c>
      <c r="HK65" s="2919" t="str">
        <f t="shared" si="357"/>
        <v/>
      </c>
      <c r="HL65" s="2920" t="str">
        <f>+IF(FR65="","",$HL$6*HI65)</f>
        <v/>
      </c>
      <c r="HM65" s="1271" t="str">
        <f t="shared" si="358"/>
        <v/>
      </c>
      <c r="HN65" s="1322" t="str">
        <f t="shared" si="347"/>
        <v/>
      </c>
      <c r="HO65" s="1863" t="str">
        <f>+IF(FR65="","",$HO$6*HM65)</f>
        <v/>
      </c>
      <c r="HP65" s="2920" t="str">
        <f>+IF(FR65="","",$HP$6*HM65)</f>
        <v/>
      </c>
      <c r="HQ65" s="1272"/>
      <c r="HR65" s="2939" t="str">
        <f>+IF(FR65="","",$HR$6*HM65)</f>
        <v/>
      </c>
      <c r="HS65" s="2939"/>
      <c r="HT65" s="1270" t="str">
        <f>+IF(EU65="","",#REF!/IF(#REF!="""",R64,R65))</f>
        <v/>
      </c>
      <c r="HU65" s="1271" t="str">
        <f>+IF(EV65="","",EV65/IF(R65="",R64,R65))</f>
        <v/>
      </c>
      <c r="HV65" s="1270" t="str">
        <f t="shared" si="312"/>
        <v/>
      </c>
      <c r="HW65" s="1271" t="str">
        <f t="shared" si="313"/>
        <v/>
      </c>
      <c r="HX65" s="3140" t="str">
        <f t="shared" si="199"/>
        <v/>
      </c>
      <c r="HY65" s="2920" t="str">
        <f>+IF(EZ65="","",EZ65/IF(R65="",R64,R65))</f>
        <v/>
      </c>
      <c r="HZ65" s="2939" t="str">
        <f>+IF(FA65="","",FA65/IF(R65="",R64,R65))</f>
        <v/>
      </c>
      <c r="IA65" s="1270" t="str">
        <f t="shared" ref="IA65:IA76" si="376">+IF(HM65="","",HX65-IF(HY65="",0,HY65)+IF(HZ65="",0,HZ65))</f>
        <v/>
      </c>
      <c r="IB65" s="1272" t="str">
        <f t="shared" si="237"/>
        <v/>
      </c>
      <c r="IC65" s="3050" t="str">
        <f t="shared" si="359"/>
        <v/>
      </c>
      <c r="ID65" s="1270"/>
      <c r="IE65" s="4102"/>
      <c r="IF65" s="4112"/>
      <c r="IG65" s="6775"/>
      <c r="IH65" s="4087"/>
      <c r="II65" s="6791"/>
      <c r="IJ65" s="4102"/>
      <c r="IK65" s="4136"/>
      <c r="IL65" s="4199"/>
      <c r="IM65" s="4200"/>
      <c r="IN65" s="4218"/>
      <c r="IO65" s="4218"/>
      <c r="IP65" s="4218"/>
      <c r="IQ65" s="6848"/>
      <c r="IR65" s="4218"/>
      <c r="IS65" s="6848"/>
      <c r="IT65" s="4218"/>
      <c r="IU65" s="6848"/>
      <c r="IV65" s="7264"/>
      <c r="IW65" s="7251"/>
      <c r="IX65" s="4217"/>
      <c r="IY65" s="4252"/>
      <c r="IZ65" s="4292"/>
      <c r="JA65" s="4293"/>
      <c r="JB65" s="4154"/>
      <c r="JC65" s="4330"/>
      <c r="JD65" s="4347" t="str">
        <f t="shared" si="348"/>
        <v/>
      </c>
      <c r="JE65" s="4331" t="str">
        <f t="shared" si="349"/>
        <v/>
      </c>
      <c r="JF65" s="7036"/>
      <c r="JG65" s="7054"/>
      <c r="JH65" s="6967"/>
      <c r="JI65" s="6967"/>
      <c r="JJ65" s="6967"/>
      <c r="JK65" s="6967"/>
      <c r="JL65" s="7004"/>
      <c r="JM65" s="7048"/>
      <c r="JN65" s="2009"/>
      <c r="JO65" s="2009"/>
      <c r="JP65" s="7060"/>
      <c r="JQ65" s="7060"/>
      <c r="JR65" s="7054"/>
      <c r="JS65" s="7061"/>
      <c r="JT65" s="7154"/>
      <c r="JU65" s="7155"/>
      <c r="JV65" s="8374"/>
      <c r="JW65" s="8401"/>
      <c r="JX65" s="8430"/>
      <c r="JY65" s="8465"/>
      <c r="JZ65" s="7156"/>
      <c r="KA65" s="7154"/>
      <c r="KB65" s="7155"/>
      <c r="KC65" s="7156"/>
      <c r="KD65" s="7154"/>
      <c r="KE65" s="8338"/>
      <c r="KF65" s="8338"/>
      <c r="KG65" s="7155"/>
      <c r="KH65" s="7155"/>
      <c r="KI65" s="7155"/>
      <c r="KJ65" s="7155"/>
      <c r="KK65" s="7155"/>
      <c r="KL65" s="7155"/>
      <c r="KM65" s="7155"/>
      <c r="KN65" s="7155"/>
      <c r="KO65" s="7155"/>
      <c r="KP65" s="7156"/>
      <c r="KQ65" s="7209"/>
      <c r="KR65" s="7060"/>
      <c r="KS65" s="7061"/>
      <c r="KT65" s="7209"/>
      <c r="KU65" s="7054"/>
      <c r="KV65" s="7304"/>
      <c r="KW65" s="7339"/>
      <c r="KX65" s="7316"/>
      <c r="KY65" s="2690"/>
      <c r="KZ65" s="1437"/>
      <c r="LA65" s="2719"/>
      <c r="LB65" s="1438" t="str">
        <f t="shared" si="369"/>
        <v/>
      </c>
      <c r="LC65" s="7405"/>
      <c r="LD65" s="5132"/>
      <c r="LE65" s="5132"/>
      <c r="LF65" s="5132"/>
      <c r="LG65" s="5132"/>
      <c r="LH65" s="5132"/>
      <c r="LI65" s="5132"/>
      <c r="LJ65" s="5132"/>
    </row>
    <row r="66" spans="1:322" s="13" customFormat="1" ht="27.95" customHeight="1">
      <c r="A66" s="5954" t="str">
        <f t="shared" si="352"/>
        <v>8300-03</v>
      </c>
      <c r="B66" s="9819" t="str">
        <f>+IF(A66="","",VLOOKUP(MATCH(A66,tid,0),tao,'12(id)'!$J$20,FALSE))</f>
        <v>NRG</v>
      </c>
      <c r="C66" s="6365" t="str">
        <f t="shared" si="47"/>
        <v>CC11</v>
      </c>
      <c r="D66" s="1121" t="str">
        <f t="shared" si="48"/>
        <v/>
      </c>
      <c r="E66" s="1629"/>
      <c r="F66" s="1629" t="str">
        <f t="shared" si="49"/>
        <v/>
      </c>
      <c r="G66" s="5133"/>
      <c r="H66" s="5132"/>
      <c r="I66" s="5133"/>
      <c r="J66" s="719">
        <f t="shared" si="68"/>
        <v>32</v>
      </c>
      <c r="K66" s="649">
        <f t="shared" si="370"/>
        <v>15</v>
      </c>
      <c r="L66" s="9648"/>
      <c r="M66" s="9650"/>
      <c r="N66" s="9648"/>
      <c r="O66" s="8671" t="s">
        <v>261</v>
      </c>
      <c r="P66" s="9650"/>
      <c r="Q66" s="8576" t="str">
        <f>+IF(ISERROR(MATCH(O66,tid,0)),"",VLOOKUP(MATCH(O66,tid,0),tao,'12(id)'!$Q$20,FALSE))</f>
        <v>CC11</v>
      </c>
      <c r="R66" s="8671">
        <f>+IF(O66="","",VLOOKUP(MATCH(O66,tid,0),tao,'12(id)'!$U$20,FALSE))</f>
        <v>3</v>
      </c>
      <c r="S66" s="8671"/>
      <c r="T66" s="45">
        <f>+IF(ISERROR(MATCH(O66,tid,0)),"",IF(VLOOKUP(MATCH(O66,tid,0),tao,'12(id)'!$CT$20,FALSE)="","",VLOOKUP(MATCH(O66,tid,0),tao,'12(id)'!$CT$20,FALSE)))</f>
        <v>20</v>
      </c>
      <c r="U66" s="10740" t="str">
        <f>+IF(ISERROR(MATCH(O66,tid,0)),"",IF(VLOOKUP(MATCH(O66,tid,0),tao,'12(id)'!$CU$20,FALSE)="","",VLOOKUP(MATCH(O66,tid,0),tao,'12(id)'!$CU$20,FALSE)))</f>
        <v/>
      </c>
      <c r="V66" s="8625" t="str">
        <f>+IF(O66="","",IF(VLOOKUP(MATCH(O66,tid,0),tao,'12(id)'!$T$20,FALSE)="","",VLOOKUP(MATCH(O66,tid,0),tao,'12(id)'!$T$20,FALSE)))</f>
        <v>Combustion Turbine</v>
      </c>
      <c r="W66" s="417" t="str">
        <f>+IF(ISERROR(MATCH(O66,tid,0)),"",IF(VLOOKUP(MATCH(O66,tid,0),tao,'12(id)'!$CO$20,FALSE)="","",VLOOKUP(MATCH(O66,tid,0),tao,'12(id)'!$CO$20,FALSE)))</f>
        <v>Pratt &amp; Whitney</v>
      </c>
      <c r="X66" s="8625" t="str">
        <f>+IF(ISERROR(MATCH(O66,tid,0)),"",IF(VLOOKUP(MATCH(O66,tid,0),tao,'12(id)'!$CP$20,FALSE)="","",VLOOKUP(MATCH(O66,tid,0),tao,'12(id)'!$CP$20,FALSE)))</f>
        <v>FT4-A9</v>
      </c>
      <c r="Y66" s="2388" t="str">
        <f>+IF(ISERROR(MATCH(O66,tid,0)),"",IF(VLOOKUP(MATCH(O66,tid,0),tao,'12(id)'!$CQ$20,FALSE)="","",VLOOKUP(MATCH(O66,tid,0),tao,'12(id)'!$CQ$20,FALSE)))</f>
        <v>FT</v>
      </c>
      <c r="Z66" s="8563" t="str">
        <f>+IF(ISERROR(MATCH(O66,tid,0)),"",VLOOKUP(MATCH(O66,tid,0),tao,'12(id)'!$DB$20,FALSE)&amp;" "&amp;VLOOKUP(MATCH(O66,tid,0),tao,'12(id)'!$DC$20,FALSE))</f>
        <v xml:space="preserve"> 1969</v>
      </c>
      <c r="AA66" s="52" t="str">
        <f ca="1">+IF(ISERROR(MATCH(O66,tid,0)),"",IF(VLOOKUP(MATCH(O66,tid,0),tao,'12(id)'!$DE$20,FALSE)="","",ROUND(VLOOKUP(MATCH(O66,tid,0),tao,'12(id)'!$DE$20,FALSE),0)&amp;" yrs"))</f>
        <v>45 yrs</v>
      </c>
      <c r="AB66" s="282" t="str">
        <f>+IF(ISERROR(MATCH(O66,tid,0)),"",VLOOKUP(MATCH(O66,tid,0),tao,'12(id)'!$DI$20,FALSE))</f>
        <v>Ultra low sulfur kerosene  oil (ULSD)</v>
      </c>
      <c r="AC66" s="282" t="str">
        <f>+IF(ISERROR(MATCH(O66,tid,0)),"",IF(VLOOKUP(MATCH(O66,tid,0),tao,'12(id)'!$DQ$20,FALSE)="","",VLOOKUP(MATCH(O66,tid,0),tao,'12(id)'!$DQ$20,FALSE)))</f>
        <v/>
      </c>
      <c r="AD66" s="115">
        <f>+IF(ISERROR(MATCH(O66,tid,0)),"",IF(VLOOKUP(MATCH(O66,tid,0),tao,'12(id)'!$EI$20,FALSE)="","",VLOOKUP(MATCH(O66,tid,0),tao,'12(id)'!$EI$20,FALSE)))</f>
        <v>0.185</v>
      </c>
      <c r="AE66" s="115" t="str">
        <f>+IF(ISERROR(MATCH(O66,tid,0)),"",IF(VLOOKUP(MATCH(O66,tid,0),tao,'12(id)'!$EJ$20,FALSE)="","",VLOOKUP(MATCH(O66,tid,0),tao,'12(id)'!$EJ$20,FALSE)))</f>
        <v/>
      </c>
      <c r="AF66" s="10674">
        <f>+IF(ISERROR(MATCH(O66,tid,0)),"",IF(VLOOKUP(MATCH(O66,tid,0),tao,'12(id)'!$EL$20,FALSE)="","",VLOOKUP(MATCH(O66,tid,0),tao,'12(id)'!$EL$20,FALSE)))</f>
        <v>0.22</v>
      </c>
      <c r="AG66" s="10691" t="str">
        <f>+IF(ISERROR(MATCH(O66,tid,0)),"",IF(VLOOKUP(MATCH(O66,tid,0),tao,'12(id)'!$EM$20,FALSE)="","",VLOOKUP(MATCH(O66,tid,0),tao,'12(id)'!$EM$20,FALSE)))</f>
        <v/>
      </c>
      <c r="AH66" s="966"/>
      <c r="AI66" s="967"/>
      <c r="AJ66" s="968"/>
      <c r="AK66" s="968"/>
      <c r="AL66" s="968"/>
      <c r="AM66" s="969"/>
      <c r="AN66" s="3533"/>
      <c r="AO66" s="3534" t="str">
        <f>+IF(ISERROR(MATCH(O66,tid,0)),"",IF(VLOOKUP(MATCH(O66,tid,0),tao,'12(id)'!$GY$20,FALSE)="","",VLOOKUP(MATCH(O66,tid,0),tao,'12(id)'!$GY$20,FALSE)))</f>
        <v/>
      </c>
      <c r="AP66" s="4041" t="str">
        <f>+IF($BB66="","",IF(VLOOKUP(MATCH(O66,tid,0),tao,'12(id)'!$HE$20,FALSE)="","",VLOOKUP(MATCH(O66,tid,0),tao,'12(id)'!$HE$20,FALSE)))</f>
        <v/>
      </c>
      <c r="AQ66" s="3535">
        <f>+IF(ISERROR(VLOOKUP(MATCH(O66,tid,0),tao,'12(id)'!$HF$20,FALSE)),"",VLOOKUP(MATCH(O66,tid,0),tao,'12(id)'!$HF$20,FALSE))</f>
        <v>0</v>
      </c>
      <c r="AR66" s="3536">
        <f>+IF(ISERROR(MATCH(O66,tid,0)),"",IF(VLOOKUP(MATCH(O66,tid,0),tao,'12(id)'!$HJ$20,FALSE)="","",VLOOKUP(MATCH(O66,tid,0),tao,'12(id)'!$HJ$20,FALSE)))</f>
        <v>0.22</v>
      </c>
      <c r="AS66" s="4047" t="str">
        <f>+IF(ISERROR(MATCH(O66,tid,0)),"",IF(VLOOKUP(MATCH(O66,tid,0),tao,'12(id)'!$HK$20,FALSE)="","",VLOOKUP(MATCH(O66,tid,0),tao,'12(id)'!$HK$20,FALSE)))</f>
        <v/>
      </c>
      <c r="AT66" s="3537" t="str">
        <f>+IF(ISERROR(MATCH(O66,tid,0)),"",IF(VLOOKUP(MATCH(O66,tid,0),tao,'12(id)'!$HM$20,FALSE)="","",VLOOKUP(MATCH(O66,tid,0),tao,'12(id)'!$HM$20,FALSE)))</f>
        <v/>
      </c>
      <c r="AU66" s="1007" t="str">
        <f t="shared" si="371"/>
        <v>CAIR-OS (max last 3 yrs)</v>
      </c>
      <c r="AV66" s="10325" t="str">
        <f>+IF(ISERROR(MATCH(O66,em_id,0)),"",IF(VLOOKUP(MATCH(O66,em_id,0),em,'5(em)'!$CX$18,FALSE)="","",VLOOKUP(MATCH(O66,em_id,0),em,'5(em)'!$CX$18,FALSE)))</f>
        <v/>
      </c>
      <c r="AW66" s="10392" t="str">
        <f>+IF(ISERROR(MATCH(O66,em_id,0)),"",IF(VLOOKUP(MATCH(O66,em_id,0),em,'5(em)'!$CZ$18,FALSE)="","",VLOOKUP(MATCH(O66,em_id,0),em,'5(em)'!$CZ$18,FALSE)))</f>
        <v/>
      </c>
      <c r="AX66" s="10330" t="str">
        <f t="shared" si="50"/>
        <v/>
      </c>
      <c r="AY66" s="10325"/>
      <c r="AZ66" s="10400">
        <f>+IF(ISERROR(MATCH(O66,em_id,0)),"",IF(VLOOKUP(MATCH(O66,em_id,0),em,'5(em)'!$DA$18,FALSE)="","",VLOOKUP(MATCH(O66,em_id,0),em,'5(em)'!$DA$18,FALSE)))</f>
        <v>0</v>
      </c>
      <c r="BA66" s="1640"/>
      <c r="BB66" s="1629" t="str">
        <f t="shared" si="311"/>
        <v/>
      </c>
      <c r="BC66" s="1675"/>
      <c r="BD66" s="1629"/>
      <c r="BE66" s="1629"/>
      <c r="BF66" s="1629" t="s">
        <v>1860</v>
      </c>
      <c r="BG66" s="1630"/>
      <c r="BH66" s="1631"/>
      <c r="BI66" s="1632"/>
      <c r="BJ66" s="1633"/>
      <c r="BK66" s="1633"/>
      <c r="BL66" s="1633"/>
      <c r="BM66" s="1633"/>
      <c r="BN66" s="1633" t="str">
        <f t="shared" si="12"/>
        <v/>
      </c>
      <c r="BO66" s="1633" t="str">
        <f t="shared" si="13"/>
        <v/>
      </c>
      <c r="BP66" s="1633" t="str">
        <f t="shared" si="14"/>
        <v/>
      </c>
      <c r="BQ66" s="1633" t="str">
        <f t="shared" si="15"/>
        <v/>
      </c>
      <c r="BR66" s="1634"/>
      <c r="BS66" s="1635"/>
      <c r="BT66" s="1636"/>
      <c r="BU66" s="3705"/>
      <c r="BV66" s="3751"/>
      <c r="BW66" s="2366"/>
      <c r="BX66" s="1648"/>
      <c r="BY66" s="3816" t="str">
        <f>+IF($BB66="","",IF(OR(BU66="",$AQ66=""),"",BU66/2000*$AQ66))</f>
        <v/>
      </c>
      <c r="BZ66" s="1637"/>
      <c r="CA66" s="3416"/>
      <c r="CB66" s="1639" t="str">
        <f>+IF($BB66="","",IF(BX66="","",$AT66-BX66))</f>
        <v/>
      </c>
      <c r="CC66" s="3885" t="str">
        <f t="shared" si="372"/>
        <v/>
      </c>
      <c r="CD66" s="3885" t="str">
        <f>+IF($BB66="","",IF(BU66="","",(1-BU66/$AR66)))</f>
        <v/>
      </c>
      <c r="CE66" s="3906" t="str">
        <f>+IF(BB66="","",IF(VLOOKUP(MATCH(BB66,ef_id,0),ef,'11(eff)'!$AE$23,FALSE)="","",VLOOKUP(MATCH(BB66,ef_id,0),ef,'11(eff)'!$AE$23,FALSE)))</f>
        <v/>
      </c>
      <c r="CF66" s="1635"/>
      <c r="CG66" s="1636"/>
      <c r="CH66" s="2406"/>
      <c r="CI66" s="1639"/>
      <c r="CJ66" s="4066"/>
      <c r="CK66" s="1639" t="str">
        <f>+IF($BB66="","",IF(OR($AW66="",CI66=""),"",CI66/2000*$AW66))</f>
        <v/>
      </c>
      <c r="CL66" s="3927" t="str">
        <f>+IF($BB66="","",IF(CK66="","",$AZ66-CK66))</f>
        <v/>
      </c>
      <c r="CM66" s="3965" t="str">
        <f>+IF($BB66="","",IF(CL66="","",CL66/$AZ66))</f>
        <v/>
      </c>
      <c r="CN66" s="3965" t="str">
        <f>+IF($BB66="","",IF(CI66="","",(1-CI66/$AX66)))</f>
        <v/>
      </c>
      <c r="CO66" s="3966"/>
      <c r="CP66" s="3967"/>
      <c r="CQ66" s="1640" t="str">
        <f t="shared" si="51"/>
        <v/>
      </c>
      <c r="CR66" s="1638"/>
      <c r="CS66" s="2761"/>
      <c r="CT66" s="1641"/>
      <c r="CU66" s="1642"/>
      <c r="CV66" s="1855" t="str">
        <f t="shared" si="309"/>
        <v/>
      </c>
      <c r="CW66" s="1856"/>
      <c r="CX66" s="1856"/>
      <c r="CY66" s="1643"/>
      <c r="CZ66" s="2473"/>
      <c r="DA66" s="2007"/>
      <c r="DB66" s="2007"/>
      <c r="DC66" s="1855"/>
      <c r="DD66" s="1643"/>
      <c r="DE66" s="1644"/>
      <c r="DF66" s="1645"/>
      <c r="DG66" s="1645"/>
      <c r="DH66" s="1643"/>
      <c r="DI66" s="1691" t="str">
        <f>+IF(CT66="","",SUM(CU66:DC66))</f>
        <v/>
      </c>
      <c r="DJ66" s="1643"/>
      <c r="DK66" s="1641"/>
      <c r="DL66" s="1642"/>
      <c r="DM66" s="1855" t="str">
        <f t="shared" si="310"/>
        <v/>
      </c>
      <c r="DN66" s="1856"/>
      <c r="DO66" s="1856"/>
      <c r="DP66" s="1643"/>
      <c r="DQ66" s="2473"/>
      <c r="DR66" s="2007"/>
      <c r="DS66" s="2007"/>
      <c r="DT66" s="1855"/>
      <c r="DU66" s="1643"/>
      <c r="DV66" s="1644"/>
      <c r="DW66" s="1645"/>
      <c r="DX66" s="1645"/>
      <c r="DY66" s="1643"/>
      <c r="DZ66" s="1691" t="str">
        <f t="shared" si="18"/>
        <v/>
      </c>
      <c r="EA66" s="1643"/>
      <c r="EB66" s="1647" t="str">
        <f t="shared" si="19"/>
        <v/>
      </c>
      <c r="EC66" s="1648"/>
      <c r="ED66" s="1649" t="str">
        <f t="shared" si="20"/>
        <v/>
      </c>
      <c r="EE66" s="1644"/>
      <c r="EF66" s="2007"/>
      <c r="EG66" s="1646"/>
      <c r="EH66" s="1711" t="str">
        <f t="shared" si="353"/>
        <v/>
      </c>
      <c r="EI66" s="1857"/>
      <c r="EJ66" s="2007"/>
      <c r="EK66" s="1672"/>
      <c r="EL66" s="1699"/>
      <c r="EM66" s="1857"/>
      <c r="EN66" s="2007"/>
      <c r="EO66" s="1672"/>
      <c r="EP66" s="1711" t="str">
        <f t="shared" si="21"/>
        <v/>
      </c>
      <c r="EQ66" s="1711"/>
      <c r="ER66" s="1711"/>
      <c r="ES66" s="1711"/>
      <c r="ET66" s="1650"/>
      <c r="EU66" s="1651"/>
      <c r="EV66" s="1652"/>
      <c r="EW66" s="2581"/>
      <c r="EX66" s="2581"/>
      <c r="EY66" s="2688"/>
      <c r="EZ66" s="2717"/>
      <c r="FA66" s="1652"/>
      <c r="FB66" s="1653"/>
      <c r="FC66" s="1725" t="str">
        <f>+IF(OR(ED66="",IF(R66="",R65,R66)=""),"",ED66/IF(R66="",R65,R66))</f>
        <v/>
      </c>
      <c r="FD66" s="1668" t="str">
        <f>+IF(OR(BB66="",IF(R66="",R65,R66)="",(CU66+DL66)=0),"",(CU66+DL66)/IF(R66="",R65,R66))</f>
        <v/>
      </c>
      <c r="FE66" s="1654" t="str">
        <f>+IF(OR(FC66="",FD66=""),"",FD66/FC66)</f>
        <v/>
      </c>
      <c r="FF66" s="1668" t="str">
        <f>+IF(OR(BB66="",CT66="",IF(R66="",R65,R66)=""),"",((CV66+CW66+CX66)+(IF(DM66="",0,DM66)+DN66+DO66))/IF(R66="",R65,R66))</f>
        <v/>
      </c>
      <c r="FG66" s="1654" t="str">
        <f>+IF(OR(BB66="",ISERROR(FF66/FD66)),"",FF66/FD66)</f>
        <v/>
      </c>
      <c r="FH66" s="1668"/>
      <c r="FI66" s="1654"/>
      <c r="FJ66" s="1664" t="str">
        <f>+IF(OR(BB66="",CT66=""),"",FD66+FF66)</f>
        <v/>
      </c>
      <c r="FK66" s="2806" t="str">
        <f t="shared" si="373"/>
        <v/>
      </c>
      <c r="FL66" s="1668"/>
      <c r="FM66" s="1654"/>
      <c r="FN66" s="1668"/>
      <c r="FO66" s="1654"/>
      <c r="FP66" s="1668"/>
      <c r="FQ66" s="1654"/>
      <c r="FR66" s="1671"/>
      <c r="FS66" s="2874" t="str">
        <f>+IF(OR(DJ66="",IF(R66="",R65,R66)=""),"",(DJ66+EA66)/IF(R66="",R65,R66))</f>
        <v/>
      </c>
      <c r="FT66" s="1655" t="str">
        <f>+IF(OR(BB66="",ISERROR(FS66/#REF!)),"",FS66/#REF!)</f>
        <v/>
      </c>
      <c r="FU66" s="2890"/>
      <c r="FV66" s="1656" t="str">
        <f>+IF(FC66="","",FC66/IF(T66="",IF(T65="",1,T65),T66))</f>
        <v/>
      </c>
      <c r="FW66" s="2102"/>
      <c r="FX66" s="2103"/>
      <c r="FY66" s="2104"/>
      <c r="FZ66" s="2103"/>
      <c r="GA66" s="2103"/>
      <c r="GB66" s="2104"/>
      <c r="GC66" s="2103"/>
      <c r="GD66" s="2103"/>
      <c r="GE66" s="2124"/>
      <c r="GF66" s="2144"/>
      <c r="GG66" s="2168"/>
      <c r="GH66" s="1747" t="str">
        <f>+IF(T66="","",IF(GF66="","",GF66/T66))</f>
        <v/>
      </c>
      <c r="GI66" s="2124" t="s">
        <v>939</v>
      </c>
      <c r="GJ66" s="3184"/>
      <c r="GK66" s="3450"/>
      <c r="GL66" s="3225"/>
      <c r="GM66" s="1657"/>
      <c r="GN66" s="1660"/>
      <c r="GO66" s="2293"/>
      <c r="GP66" s="2294" t="str">
        <f t="shared" si="354"/>
        <v/>
      </c>
      <c r="GQ66" s="2226"/>
      <c r="GR66" s="2226"/>
      <c r="GS66" s="2226"/>
      <c r="GT66" s="2226"/>
      <c r="GU66" s="2311" t="str">
        <f t="shared" si="374"/>
        <v/>
      </c>
      <c r="GV66" s="1659" t="str">
        <f>+IF(OR(GO66="",IF(R66="",R65,R66)=""),"",GO66/IF(R66="",R65,R66))</f>
        <v/>
      </c>
      <c r="GW66" s="2256" t="str">
        <f>+IF(OR(GP66="",IF(R66="",R65,R66)=""),"",GP66/IF(R66="",R65,R66))</f>
        <v/>
      </c>
      <c r="GX66" s="2226" t="str">
        <f>+IF(OR(GQ66="",IF(R66="",R65,R66)=""),"",GQ66/IF(R66="",R65,R66))</f>
        <v/>
      </c>
      <c r="GY66" s="2226" t="str">
        <f>+IF(OR(GR66="",IF(R66="",R65,R66)=""),"",GR66/IF(R66="",R65,R66))</f>
        <v/>
      </c>
      <c r="GZ66" s="2226" t="str">
        <f>+IF(OR(GS66="",IF(R66="",R65,R66)=""),"",GS66/IF(R66="",R65,R66))</f>
        <v/>
      </c>
      <c r="HA66" s="2226" t="str">
        <f>+IF(OR(GT66="",IF(R66="",R65,R66)=""),"",GT66/IF(R66="",R65,R66))</f>
        <v/>
      </c>
      <c r="HB66" s="1661" t="str">
        <f>+IF(OR(SUM(GX66:HA66)=0,ISERR(SUM(GX66:HA66))),"",SUM(GX66:HA66))</f>
        <v/>
      </c>
      <c r="HC66" s="1658" t="str">
        <f>+IF(OR(GU66="",IF(R66="",R65,R66)=""),"",GU66/IF(R66="",R65,R66))</f>
        <v/>
      </c>
      <c r="HD66" s="1660" t="str">
        <f t="shared" si="375"/>
        <v/>
      </c>
      <c r="HE66" s="1657"/>
      <c r="HF66" s="1659"/>
      <c r="HG66" s="1662" t="str">
        <f t="shared" si="23"/>
        <v/>
      </c>
      <c r="HH66" s="2989"/>
      <c r="HI66" s="3016" t="str">
        <f t="shared" si="355"/>
        <v/>
      </c>
      <c r="HJ66" s="2007" t="str">
        <f t="shared" si="356"/>
        <v/>
      </c>
      <c r="HK66" s="2921" t="str">
        <f t="shared" si="357"/>
        <v/>
      </c>
      <c r="HL66" s="2922" t="str">
        <f>+IF(FR66="","",$HL$6*HI66)</f>
        <v/>
      </c>
      <c r="HM66" s="1666" t="str">
        <f t="shared" si="358"/>
        <v/>
      </c>
      <c r="HN66" s="1667" t="str">
        <f t="shared" si="347"/>
        <v/>
      </c>
      <c r="HO66" s="1857" t="str">
        <f>+IF(FR66="","",$HO$6*HM66)</f>
        <v/>
      </c>
      <c r="HP66" s="2922" t="str">
        <f>+IF(FR66="","",$HP$6*HM66)</f>
        <v/>
      </c>
      <c r="HQ66" s="1670"/>
      <c r="HR66" s="2940" t="str">
        <f>+IF(FR66="","",$HR$6*HM66)</f>
        <v/>
      </c>
      <c r="HS66" s="2940"/>
      <c r="HT66" s="1663" t="str">
        <f>+IF(EU66="","",#REF!/IF(#REF!="""",R65,R66))</f>
        <v/>
      </c>
      <c r="HU66" s="1666" t="str">
        <f>+IF(EV66="","",EV66/IF(R66="",R65,R66))</f>
        <v/>
      </c>
      <c r="HV66" s="1663" t="str">
        <f t="shared" si="312"/>
        <v/>
      </c>
      <c r="HW66" s="1666" t="str">
        <f t="shared" si="313"/>
        <v/>
      </c>
      <c r="HX66" s="3141" t="str">
        <f t="shared" si="199"/>
        <v/>
      </c>
      <c r="HY66" s="2922" t="str">
        <f>+IF(EZ66="","",EZ66/IF(R66="",R65,R66))</f>
        <v/>
      </c>
      <c r="HZ66" s="2940" t="str">
        <f>+IF(FA66="","",FA66/IF(R66="",R65,R66))</f>
        <v/>
      </c>
      <c r="IA66" s="1663" t="str">
        <f t="shared" si="376"/>
        <v/>
      </c>
      <c r="IB66" s="1670" t="str">
        <f t="shared" si="237"/>
        <v/>
      </c>
      <c r="IC66" s="3051" t="str">
        <f t="shared" si="359"/>
        <v/>
      </c>
      <c r="ID66" s="1663"/>
      <c r="IE66" s="1669"/>
      <c r="IF66" s="1663"/>
      <c r="IG66" s="6776"/>
      <c r="IH66" s="1665"/>
      <c r="II66" s="6792"/>
      <c r="IJ66" s="1669"/>
      <c r="IK66" s="4137"/>
      <c r="IL66" s="4201"/>
      <c r="IM66" s="4202"/>
      <c r="IN66" s="4219"/>
      <c r="IO66" s="4219"/>
      <c r="IP66" s="4219"/>
      <c r="IQ66" s="6849"/>
      <c r="IR66" s="4219"/>
      <c r="IS66" s="6849"/>
      <c r="IT66" s="4219"/>
      <c r="IU66" s="6849"/>
      <c r="IV66" s="7265"/>
      <c r="IW66" s="4202"/>
      <c r="IX66" s="4215"/>
      <c r="IY66" s="4253"/>
      <c r="IZ66" s="4294"/>
      <c r="JA66" s="4295"/>
      <c r="JB66" s="1666"/>
      <c r="JC66" s="4332"/>
      <c r="JD66" s="4348" t="str">
        <f t="shared" si="348"/>
        <v/>
      </c>
      <c r="JE66" s="4333" t="str">
        <f t="shared" si="349"/>
        <v/>
      </c>
      <c r="JF66" s="7037"/>
      <c r="JG66" s="2007"/>
      <c r="JH66" s="6968"/>
      <c r="JI66" s="6968"/>
      <c r="JJ66" s="6968"/>
      <c r="JK66" s="6968"/>
      <c r="JL66" s="7005"/>
      <c r="JM66" s="1856"/>
      <c r="JN66" s="2007"/>
      <c r="JO66" s="2007"/>
      <c r="JP66" s="1672"/>
      <c r="JQ66" s="1672"/>
      <c r="JR66" s="2007"/>
      <c r="JS66" s="1673"/>
      <c r="JT66" s="7157"/>
      <c r="JU66" s="7158"/>
      <c r="JV66" s="8375"/>
      <c r="JW66" s="8402"/>
      <c r="JX66" s="8431"/>
      <c r="JY66" s="8466"/>
      <c r="JZ66" s="7159"/>
      <c r="KA66" s="7157"/>
      <c r="KB66" s="7158"/>
      <c r="KC66" s="7159"/>
      <c r="KD66" s="7157"/>
      <c r="KE66" s="8339"/>
      <c r="KF66" s="8339"/>
      <c r="KG66" s="7158"/>
      <c r="KH66" s="7158"/>
      <c r="KI66" s="7158"/>
      <c r="KJ66" s="7158"/>
      <c r="KK66" s="7158"/>
      <c r="KL66" s="7158"/>
      <c r="KM66" s="7158"/>
      <c r="KN66" s="7158"/>
      <c r="KO66" s="7158"/>
      <c r="KP66" s="7159"/>
      <c r="KQ66" s="1857"/>
      <c r="KR66" s="1672"/>
      <c r="KS66" s="1673"/>
      <c r="KT66" s="1857"/>
      <c r="KU66" s="2007"/>
      <c r="KV66" s="7305"/>
      <c r="KW66" s="7340"/>
      <c r="KX66" s="7317"/>
      <c r="KY66" s="2688"/>
      <c r="KZ66" s="1651"/>
      <c r="LA66" s="2717"/>
      <c r="LB66" s="1652" t="str">
        <f t="shared" si="369"/>
        <v/>
      </c>
      <c r="LC66" s="7405"/>
      <c r="LD66" s="5132"/>
      <c r="LE66" s="5132"/>
      <c r="LF66" s="5132"/>
      <c r="LG66" s="5132"/>
      <c r="LH66" s="5132"/>
      <c r="LI66" s="5132"/>
      <c r="LJ66" s="5132"/>
    </row>
    <row r="67" spans="1:322" s="13" customFormat="1" ht="27.95" customHeight="1">
      <c r="A67" s="5954" t="str">
        <f t="shared" si="352"/>
        <v>8300-04</v>
      </c>
      <c r="B67" s="9819" t="str">
        <f>+IF(A67="","",VLOOKUP(MATCH(A67,tid,0),tao,'12(id)'!$J$20,FALSE))</f>
        <v>NRG</v>
      </c>
      <c r="C67" s="6365" t="str">
        <f t="shared" si="47"/>
        <v>CC12</v>
      </c>
      <c r="D67" s="1122" t="str">
        <f t="shared" si="48"/>
        <v/>
      </c>
      <c r="E67" s="701"/>
      <c r="F67" s="701" t="str">
        <f t="shared" si="49"/>
        <v/>
      </c>
      <c r="G67" s="5133"/>
      <c r="H67" s="5132"/>
      <c r="I67" s="5133"/>
      <c r="J67" s="719">
        <f t="shared" si="68"/>
        <v>33</v>
      </c>
      <c r="K67" s="649">
        <f t="shared" si="370"/>
        <v>16</v>
      </c>
      <c r="L67" s="9648"/>
      <c r="M67" s="9650"/>
      <c r="N67" s="9648"/>
      <c r="O67" s="8671" t="s">
        <v>262</v>
      </c>
      <c r="P67" s="9650"/>
      <c r="Q67" s="8576" t="str">
        <f>+IF(ISERROR(MATCH(O67,tid,0)),"",VLOOKUP(MATCH(O67,tid,0),tao,'12(id)'!$Q$20,FALSE))</f>
        <v>CC12</v>
      </c>
      <c r="R67" s="8671">
        <f>+IF(O67="","",VLOOKUP(MATCH(O67,tid,0),tao,'12(id)'!$U$20,FALSE))</f>
        <v>3</v>
      </c>
      <c r="S67" s="8671"/>
      <c r="T67" s="45">
        <f>+IF(ISERROR(MATCH(O67,tid,0)),"",IF(VLOOKUP(MATCH(O67,tid,0),tao,'12(id)'!$CT$20,FALSE)="","",VLOOKUP(MATCH(O67,tid,0),tao,'12(id)'!$CT$20,FALSE)))</f>
        <v>20</v>
      </c>
      <c r="U67" s="10740" t="str">
        <f>+IF(ISERROR(MATCH(O67,tid,0)),"",IF(VLOOKUP(MATCH(O67,tid,0),tao,'12(id)'!$CU$20,FALSE)="","",VLOOKUP(MATCH(O67,tid,0),tao,'12(id)'!$CU$20,FALSE)))</f>
        <v/>
      </c>
      <c r="V67" s="8625" t="str">
        <f>+IF(O67="","",IF(VLOOKUP(MATCH(O67,tid,0),tao,'12(id)'!$T$20,FALSE)="","",VLOOKUP(MATCH(O67,tid,0),tao,'12(id)'!$T$20,FALSE)))</f>
        <v>Combustion Turbine</v>
      </c>
      <c r="W67" s="417" t="str">
        <f>+IF(ISERROR(MATCH(O67,tid,0)),"",IF(VLOOKUP(MATCH(O67,tid,0),tao,'12(id)'!$CO$20,FALSE)="","",VLOOKUP(MATCH(O67,tid,0),tao,'12(id)'!$CO$20,FALSE)))</f>
        <v>Pratt &amp; Whitney</v>
      </c>
      <c r="X67" s="8625" t="str">
        <f>+IF(ISERROR(MATCH(O67,tid,0)),"",IF(VLOOKUP(MATCH(O67,tid,0),tao,'12(id)'!$CP$20,FALSE)="","",VLOOKUP(MATCH(O67,tid,0),tao,'12(id)'!$CP$20,FALSE)))</f>
        <v>FT4-A9</v>
      </c>
      <c r="Y67" s="2388" t="str">
        <f>+IF(ISERROR(MATCH(O67,tid,0)),"",IF(VLOOKUP(MATCH(O67,tid,0),tao,'12(id)'!$CQ$20,FALSE)="","",VLOOKUP(MATCH(O67,tid,0),tao,'12(id)'!$CQ$20,FALSE)))</f>
        <v>FT</v>
      </c>
      <c r="Z67" s="8563" t="str">
        <f>+IF(ISERROR(MATCH(O67,tid,0)),"",VLOOKUP(MATCH(O67,tid,0),tao,'12(id)'!$DB$20,FALSE)&amp;" "&amp;VLOOKUP(MATCH(O67,tid,0),tao,'12(id)'!$DC$20,FALSE))</f>
        <v xml:space="preserve"> 1969</v>
      </c>
      <c r="AA67" s="52" t="str">
        <f ca="1">+IF(ISERROR(MATCH(O67,tid,0)),"",IF(VLOOKUP(MATCH(O67,tid,0),tao,'12(id)'!$DE$20,FALSE)="","",ROUND(VLOOKUP(MATCH(O67,tid,0),tao,'12(id)'!$DE$20,FALSE),0)&amp;" yrs"))</f>
        <v>45 yrs</v>
      </c>
      <c r="AB67" s="282" t="str">
        <f>+IF(ISERROR(MATCH(O67,tid,0)),"",VLOOKUP(MATCH(O67,tid,0),tao,'12(id)'!$DI$20,FALSE))</f>
        <v>Ultra low sulfur kerosene  oil (ULSD)</v>
      </c>
      <c r="AC67" s="282" t="str">
        <f>+IF(ISERROR(MATCH(O67,tid,0)),"",IF(VLOOKUP(MATCH(O67,tid,0),tao,'12(id)'!$DQ$20,FALSE)="","",VLOOKUP(MATCH(O67,tid,0),tao,'12(id)'!$DQ$20,FALSE)))</f>
        <v/>
      </c>
      <c r="AD67" s="115">
        <f>+IF(ISERROR(MATCH(O67,tid,0)),"",IF(VLOOKUP(MATCH(O67,tid,0),tao,'12(id)'!$EI$20,FALSE)="","",VLOOKUP(MATCH(O67,tid,0),tao,'12(id)'!$EI$20,FALSE)))</f>
        <v>0.19400000000000001</v>
      </c>
      <c r="AE67" s="115" t="str">
        <f>+IF(ISERROR(MATCH(O67,tid,0)),"",IF(VLOOKUP(MATCH(O67,tid,0),tao,'12(id)'!$EJ$20,FALSE)="","",VLOOKUP(MATCH(O67,tid,0),tao,'12(id)'!$EJ$20,FALSE)))</f>
        <v/>
      </c>
      <c r="AF67" s="10725">
        <f>+IF(ISERROR(MATCH(O67,tid,0)),"",IF(VLOOKUP(MATCH(O67,tid,0),tao,'12(id)'!$EL$20,FALSE)="","",VLOOKUP(MATCH(O67,tid,0),tao,'12(id)'!$EL$20,FALSE)))</f>
        <v>0.22</v>
      </c>
      <c r="AG67" s="10729" t="str">
        <f>+IF(ISERROR(MATCH(O67,tid,0)),"",IF(VLOOKUP(MATCH(O67,tid,0),tao,'12(id)'!$EM$20,FALSE)="","",VLOOKUP(MATCH(O67,tid,0),tao,'12(id)'!$EM$20,FALSE)))</f>
        <v/>
      </c>
      <c r="AH67" s="966"/>
      <c r="AI67" s="967"/>
      <c r="AJ67" s="968"/>
      <c r="AK67" s="968"/>
      <c r="AL67" s="968"/>
      <c r="AM67" s="969"/>
      <c r="AN67" s="3533"/>
      <c r="AO67" s="3534" t="str">
        <f>+IF(ISERROR(MATCH(O67,tid,0)),"",IF(VLOOKUP(MATCH(O67,tid,0),tao,'12(id)'!$GY$20,FALSE)="","",VLOOKUP(MATCH(O67,tid,0),tao,'12(id)'!$GY$20,FALSE)))</f>
        <v/>
      </c>
      <c r="AP67" s="4041" t="str">
        <f>+IF($BB67="","",IF(VLOOKUP(MATCH(O67,tid,0),tao,'12(id)'!$HE$20,FALSE)="","",VLOOKUP(MATCH(O67,tid,0),tao,'12(id)'!$HE$20,FALSE)))</f>
        <v/>
      </c>
      <c r="AQ67" s="3535">
        <f>+IF(ISERROR(VLOOKUP(MATCH(O67,tid,0),tao,'12(id)'!$HF$20,FALSE)),"",VLOOKUP(MATCH(O67,tid,0),tao,'12(id)'!$HF$20,FALSE))</f>
        <v>0</v>
      </c>
      <c r="AR67" s="3536">
        <f>+IF(ISERROR(MATCH(O67,tid,0)),"",IF(VLOOKUP(MATCH(O67,tid,0),tao,'12(id)'!$HJ$20,FALSE)="","",VLOOKUP(MATCH(O67,tid,0),tao,'12(id)'!$HJ$20,FALSE)))</f>
        <v>0.22</v>
      </c>
      <c r="AS67" s="4047" t="str">
        <f>+IF(ISERROR(MATCH(O67,tid,0)),"",IF(VLOOKUP(MATCH(O67,tid,0),tao,'12(id)'!$HK$20,FALSE)="","",VLOOKUP(MATCH(O67,tid,0),tao,'12(id)'!$HK$20,FALSE)))</f>
        <v/>
      </c>
      <c r="AT67" s="3537" t="str">
        <f>+IF(ISERROR(MATCH(O67,tid,0)),"",IF(VLOOKUP(MATCH(O67,tid,0),tao,'12(id)'!$HM$20,FALSE)="","",VLOOKUP(MATCH(O67,tid,0),tao,'12(id)'!$HM$20,FALSE)))</f>
        <v/>
      </c>
      <c r="AU67" s="1007" t="str">
        <f t="shared" si="371"/>
        <v>CAIR-OS (max last 3 yrs)</v>
      </c>
      <c r="AV67" s="10326" t="str">
        <f>+IF(ISERROR(MATCH(O67,em_id,0)),"",IF(VLOOKUP(MATCH(O67,em_id,0),em,'5(em)'!$CX$18,FALSE)="","",VLOOKUP(MATCH(O67,em_id,0),em,'5(em)'!$CX$18,FALSE)))</f>
        <v/>
      </c>
      <c r="AW67" s="10404" t="str">
        <f>+IF(ISERROR(MATCH(O67,em_id,0)),"",IF(VLOOKUP(MATCH(O67,em_id,0),em,'5(em)'!$CZ$18,FALSE)="","",VLOOKUP(MATCH(O67,em_id,0),em,'5(em)'!$CZ$18,FALSE)))</f>
        <v/>
      </c>
      <c r="AX67" s="10405" t="str">
        <f t="shared" si="50"/>
        <v/>
      </c>
      <c r="AY67" s="10326"/>
      <c r="AZ67" s="10328">
        <f>+IF(ISERROR(MATCH(O67,em_id,0)),"",IF(VLOOKUP(MATCH(O67,em_id,0),em,'5(em)'!$DA$18,FALSE)="","",VLOOKUP(MATCH(O67,em_id,0),em,'5(em)'!$DA$18,FALSE)))</f>
        <v>0</v>
      </c>
      <c r="BA67" s="700"/>
      <c r="BB67" s="701" t="str">
        <f t="shared" si="311"/>
        <v/>
      </c>
      <c r="BC67" s="702"/>
      <c r="BD67" s="701"/>
      <c r="BE67" s="701"/>
      <c r="BF67" s="701" t="s">
        <v>1860</v>
      </c>
      <c r="BG67" s="703"/>
      <c r="BH67" s="697"/>
      <c r="BI67" s="704"/>
      <c r="BJ67" s="698"/>
      <c r="BK67" s="698"/>
      <c r="BL67" s="698"/>
      <c r="BM67" s="698"/>
      <c r="BN67" s="698" t="str">
        <f t="shared" si="12"/>
        <v/>
      </c>
      <c r="BO67" s="698" t="str">
        <f t="shared" si="13"/>
        <v/>
      </c>
      <c r="BP67" s="698" t="str">
        <f t="shared" si="14"/>
        <v/>
      </c>
      <c r="BQ67" s="698" t="str">
        <f t="shared" si="15"/>
        <v/>
      </c>
      <c r="BR67" s="699"/>
      <c r="BS67" s="705"/>
      <c r="BT67" s="706"/>
      <c r="BU67" s="3706"/>
      <c r="BV67" s="3752"/>
      <c r="BW67" s="2367"/>
      <c r="BX67" s="1434"/>
      <c r="BY67" s="3817" t="str">
        <f>+IF($BB67="","",IF(OR(BU67="",$AQ67=""),"",BU67/2000*$AQ67))</f>
        <v/>
      </c>
      <c r="BZ67" s="1062"/>
      <c r="CA67" s="3417"/>
      <c r="CB67" s="708" t="str">
        <f>+IF($BB67="","",IF(BX67="","",$AT67-BX67))</f>
        <v/>
      </c>
      <c r="CC67" s="3886" t="str">
        <f t="shared" si="372"/>
        <v/>
      </c>
      <c r="CD67" s="3886" t="str">
        <f>+IF($BB67="","",IF(BU67="","",(1-BU67/$AR67)))</f>
        <v/>
      </c>
      <c r="CE67" s="3907" t="str">
        <f>+IF(BB67="","",IF(VLOOKUP(MATCH(BB67,ef_id,0),ef,'11(eff)'!$AE$23,FALSE)="","",VLOOKUP(MATCH(BB67,ef_id,0),ef,'11(eff)'!$AE$23,FALSE)))</f>
        <v/>
      </c>
      <c r="CF67" s="705"/>
      <c r="CG67" s="706"/>
      <c r="CH67" s="2407"/>
      <c r="CI67" s="708"/>
      <c r="CJ67" s="4067"/>
      <c r="CK67" s="708" t="str">
        <f>+IF($BB67="","",IF(OR($AW67="",CI67=""),"",CI67/2000*$AW67))</f>
        <v/>
      </c>
      <c r="CL67" s="3928" t="str">
        <f>+IF($BB67="","",IF(CK67="","",$AZ67-CK67))</f>
        <v/>
      </c>
      <c r="CM67" s="3968" t="str">
        <f>+IF($BB67="","",IF(CL67="","",CL67/$AZ67))</f>
        <v/>
      </c>
      <c r="CN67" s="3968" t="str">
        <f>+IF($BB67="","",IF(CI67="","",(1-CI67/$AX67)))</f>
        <v/>
      </c>
      <c r="CO67" s="3969"/>
      <c r="CP67" s="3970"/>
      <c r="CQ67" s="700" t="str">
        <f t="shared" si="51"/>
        <v/>
      </c>
      <c r="CR67" s="707"/>
      <c r="CS67" s="2762"/>
      <c r="CT67" s="1588"/>
      <c r="CU67" s="1599"/>
      <c r="CV67" s="1858" t="str">
        <f t="shared" si="309"/>
        <v/>
      </c>
      <c r="CW67" s="1859"/>
      <c r="CX67" s="1859"/>
      <c r="CY67" s="1390"/>
      <c r="CZ67" s="2474"/>
      <c r="DA67" s="2008"/>
      <c r="DB67" s="2008"/>
      <c r="DC67" s="1858"/>
      <c r="DD67" s="1390"/>
      <c r="DE67" s="1569"/>
      <c r="DF67" s="1342"/>
      <c r="DG67" s="1342"/>
      <c r="DH67" s="1390"/>
      <c r="DI67" s="1692" t="str">
        <f>+IF(CT67="","",SUM(CU67:DC67))</f>
        <v/>
      </c>
      <c r="DJ67" s="1390"/>
      <c r="DK67" s="1588"/>
      <c r="DL67" s="1599"/>
      <c r="DM67" s="1858" t="str">
        <f t="shared" si="310"/>
        <v/>
      </c>
      <c r="DN67" s="1859"/>
      <c r="DO67" s="1859"/>
      <c r="DP67" s="1390"/>
      <c r="DQ67" s="2474"/>
      <c r="DR67" s="2008"/>
      <c r="DS67" s="2008"/>
      <c r="DT67" s="1858"/>
      <c r="DU67" s="1390"/>
      <c r="DV67" s="1569"/>
      <c r="DW67" s="1342"/>
      <c r="DX67" s="1342"/>
      <c r="DY67" s="1390"/>
      <c r="DZ67" s="1692" t="str">
        <f t="shared" si="18"/>
        <v/>
      </c>
      <c r="EA67" s="1390"/>
      <c r="EB67" s="1495" t="str">
        <f t="shared" ref="EB67:EB98" si="377">+IF(CT67+DK67=0,"",CT67+DK67)</f>
        <v/>
      </c>
      <c r="EC67" s="1434"/>
      <c r="ED67" s="1414" t="str">
        <f t="shared" si="20"/>
        <v/>
      </c>
      <c r="EE67" s="1569"/>
      <c r="EF67" s="2008"/>
      <c r="EG67" s="1601"/>
      <c r="EH67" s="1712" t="str">
        <f t="shared" si="353"/>
        <v/>
      </c>
      <c r="EI67" s="1860"/>
      <c r="EJ67" s="2008"/>
      <c r="EK67" s="714"/>
      <c r="EL67" s="1700"/>
      <c r="EM67" s="1860"/>
      <c r="EN67" s="2008"/>
      <c r="EO67" s="714"/>
      <c r="EP67" s="1712" t="str">
        <f t="shared" ref="EP67:EP98" si="378">+IF(OR(BB67="",EB67=""),"",SUM(EI67:EO67))</f>
        <v/>
      </c>
      <c r="EQ67" s="1712"/>
      <c r="ER67" s="1712"/>
      <c r="ES67" s="1712"/>
      <c r="ET67" s="1456"/>
      <c r="EU67" s="1439"/>
      <c r="EV67" s="1440"/>
      <c r="EW67" s="2582"/>
      <c r="EX67" s="2582"/>
      <c r="EY67" s="2689"/>
      <c r="EZ67" s="2718"/>
      <c r="FA67" s="1440"/>
      <c r="FB67" s="1478"/>
      <c r="FC67" s="1726" t="str">
        <f>+IF(OR(ED67="",IF(R67="",R66,R67)=""),"",ED67/IF(R67="",R66,R67))</f>
        <v/>
      </c>
      <c r="FD67" s="710" t="str">
        <f>+IF(OR(BB67="",IF(R67="",R66,R67)="",(CU67+DL67)=0),"",(CU67+DL67)/IF(R67="",R66,R67))</f>
        <v/>
      </c>
      <c r="FE67" s="1531" t="str">
        <f>+IF(OR(FC67="",FD67=""),"",FD67/FC67)</f>
        <v/>
      </c>
      <c r="FF67" s="710" t="str">
        <f>+IF(OR(BB67="",CT67="",IF(R67="",R66,R67)=""),"",((CV67+CW67+CX67)+(IF(DM67="",0,DM67)+DN67+DO67))/IF(R67="",R66,R67))</f>
        <v/>
      </c>
      <c r="FG67" s="1531" t="str">
        <f>+IF(OR(BB67="",ISERROR(FF67/FD67)),"",FF67/FD67)</f>
        <v/>
      </c>
      <c r="FH67" s="710"/>
      <c r="FI67" s="1531"/>
      <c r="FJ67" s="712" t="str">
        <f>+IF(OR(BB67="",CT67=""),"",FD67+FF67)</f>
        <v/>
      </c>
      <c r="FK67" s="2807" t="str">
        <f t="shared" si="373"/>
        <v/>
      </c>
      <c r="FL67" s="710"/>
      <c r="FM67" s="1531"/>
      <c r="FN67" s="710"/>
      <c r="FO67" s="1531"/>
      <c r="FP67" s="710"/>
      <c r="FQ67" s="1531"/>
      <c r="FR67" s="713"/>
      <c r="FS67" s="2875" t="str">
        <f>+IF(OR(DJ67="",IF(R67="",R66,R67)=""),"",(DJ67+EA67)/IF(R67="",R66,R67))</f>
        <v/>
      </c>
      <c r="FT67" s="1512" t="str">
        <f>+IF(OR(BB67="",ISERROR(FS67/#REF!)),"",FS67/#REF!)</f>
        <v/>
      </c>
      <c r="FU67" s="2891"/>
      <c r="FV67" s="709" t="str">
        <f>+IF(FC67="","",FC67/IF(T67="",IF(T66="",1,T66),T67))</f>
        <v/>
      </c>
      <c r="FW67" s="2105"/>
      <c r="FX67" s="2106"/>
      <c r="FY67" s="2107"/>
      <c r="FZ67" s="2106"/>
      <c r="GA67" s="2106"/>
      <c r="GB67" s="2107"/>
      <c r="GC67" s="2106"/>
      <c r="GD67" s="2106"/>
      <c r="GE67" s="2125"/>
      <c r="GF67" s="2145"/>
      <c r="GG67" s="2169"/>
      <c r="GH67" s="1748" t="str">
        <f>+IF(T67="","",IF(GF67="","",GF67/T67))</f>
        <v/>
      </c>
      <c r="GI67" s="2125" t="s">
        <v>939</v>
      </c>
      <c r="GJ67" s="3185"/>
      <c r="GK67" s="3451"/>
      <c r="GL67" s="3226"/>
      <c r="GM67" s="1275"/>
      <c r="GN67" s="937"/>
      <c r="GO67" s="2295"/>
      <c r="GP67" s="2296" t="str">
        <f t="shared" si="354"/>
        <v/>
      </c>
      <c r="GQ67" s="2227"/>
      <c r="GR67" s="2227"/>
      <c r="GS67" s="2227"/>
      <c r="GT67" s="2227"/>
      <c r="GU67" s="2312" t="str">
        <f t="shared" si="374"/>
        <v/>
      </c>
      <c r="GV67" s="936" t="str">
        <f>+IF(OR(GO67="",IF(R67="",R66,R67)=""),"",GO67/IF(R67="",R66,R67))</f>
        <v/>
      </c>
      <c r="GW67" s="2257" t="str">
        <f>+IF(OR(GP67="",IF(R67="",R66,R67)=""),"",GP67/IF(R67="",R66,R67))</f>
        <v/>
      </c>
      <c r="GX67" s="2227" t="str">
        <f>+IF(OR(GQ67="",IF(R67="",R66,R67)=""),"",GQ67/IF(R67="",R66,R67))</f>
        <v/>
      </c>
      <c r="GY67" s="2227" t="str">
        <f>+IF(OR(GR67="",IF(R67="",R66,R67)=""),"",GR67/IF(R67="",R66,R67))</f>
        <v/>
      </c>
      <c r="GZ67" s="2227" t="str">
        <f>+IF(OR(GS67="",IF(R67="",R66,R67)=""),"",GS67/IF(R67="",R66,R67))</f>
        <v/>
      </c>
      <c r="HA67" s="2227" t="str">
        <f>+IF(OR(GT67="",IF(R67="",R66,R67)=""),"",GT67/IF(R67="",R66,R67))</f>
        <v/>
      </c>
      <c r="HB67" s="1273" t="str">
        <f>+IF(OR(SUM(GX67:HA67)=0,ISERR(SUM(GX67:HA67))),"",SUM(GX67:HA67))</f>
        <v/>
      </c>
      <c r="HC67" s="711" t="str">
        <f>+IF(OR(GU67="",IF(R67="",R66,R67)=""),"",GU67/IF(R67="",R66,R67))</f>
        <v/>
      </c>
      <c r="HD67" s="937" t="str">
        <f t="shared" si="375"/>
        <v/>
      </c>
      <c r="HE67" s="1275"/>
      <c r="HF67" s="936"/>
      <c r="HG67" s="1276" t="str">
        <f t="shared" si="23"/>
        <v/>
      </c>
      <c r="HH67" s="2990"/>
      <c r="HI67" s="3017" t="str">
        <f t="shared" si="355"/>
        <v/>
      </c>
      <c r="HJ67" s="2008" t="str">
        <f t="shared" si="356"/>
        <v/>
      </c>
      <c r="HK67" s="2923" t="str">
        <f t="shared" si="357"/>
        <v/>
      </c>
      <c r="HL67" s="2923" t="str">
        <f>+IF(FR67="","",$HL$6*HI67)</f>
        <v/>
      </c>
      <c r="HM67" s="1279" t="str">
        <f t="shared" si="358"/>
        <v/>
      </c>
      <c r="HN67" s="1323" t="str">
        <f t="shared" si="347"/>
        <v/>
      </c>
      <c r="HO67" s="1860" t="str">
        <f>+IF(FR67="","",$HO$6*HM67)</f>
        <v/>
      </c>
      <c r="HP67" s="2923" t="str">
        <f>+IF(FR67="","",$HP$6*HM67)</f>
        <v/>
      </c>
      <c r="HQ67" s="1280"/>
      <c r="HR67" s="2941" t="str">
        <f>+IF(FR67="","",$HR$6*HM67)</f>
        <v/>
      </c>
      <c r="HS67" s="2941"/>
      <c r="HT67" s="1277" t="str">
        <f>+IF(EU67="","",#REF!/IF(#REF!="""",R66,R67))</f>
        <v/>
      </c>
      <c r="HU67" s="1279" t="str">
        <f>+IF(EV67="","",EV67/IF(R67="",R66,R67))</f>
        <v/>
      </c>
      <c r="HV67" s="1277" t="str">
        <f t="shared" si="312"/>
        <v/>
      </c>
      <c r="HW67" s="1279" t="str">
        <f t="shared" si="313"/>
        <v/>
      </c>
      <c r="HX67" s="3142" t="str">
        <f t="shared" si="199"/>
        <v/>
      </c>
      <c r="HY67" s="2923" t="str">
        <f>+IF(EZ67="","",EZ67/IF(R67="",R66,R67))</f>
        <v/>
      </c>
      <c r="HZ67" s="2941" t="str">
        <f>+IF(FA67="","",FA67/IF(R67="",R66,R67))</f>
        <v/>
      </c>
      <c r="IA67" s="1277" t="str">
        <f t="shared" si="376"/>
        <v/>
      </c>
      <c r="IB67" s="1280" t="str">
        <f t="shared" si="237"/>
        <v/>
      </c>
      <c r="IC67" s="3052" t="str">
        <f t="shared" si="359"/>
        <v/>
      </c>
      <c r="ID67" s="1277"/>
      <c r="IE67" s="1274"/>
      <c r="IF67" s="1277"/>
      <c r="IG67" s="6777"/>
      <c r="IH67" s="1278"/>
      <c r="II67" s="6793"/>
      <c r="IJ67" s="1274"/>
      <c r="IK67" s="4138"/>
      <c r="IL67" s="4203"/>
      <c r="IM67" s="4204"/>
      <c r="IN67" s="4220"/>
      <c r="IO67" s="4220"/>
      <c r="IP67" s="4220"/>
      <c r="IQ67" s="6850"/>
      <c r="IR67" s="4220"/>
      <c r="IS67" s="6850"/>
      <c r="IT67" s="4220"/>
      <c r="IU67" s="6850"/>
      <c r="IV67" s="7266"/>
      <c r="IW67" s="4204"/>
      <c r="IX67" s="4216"/>
      <c r="IY67" s="4254"/>
      <c r="IZ67" s="4296"/>
      <c r="JA67" s="4297"/>
      <c r="JB67" s="1279"/>
      <c r="JC67" s="4334"/>
      <c r="JD67" s="4349" t="str">
        <f t="shared" si="348"/>
        <v/>
      </c>
      <c r="JE67" s="4335" t="str">
        <f t="shared" si="349"/>
        <v/>
      </c>
      <c r="JF67" s="7038"/>
      <c r="JG67" s="2008"/>
      <c r="JH67" s="6969"/>
      <c r="JI67" s="6969"/>
      <c r="JJ67" s="6969"/>
      <c r="JK67" s="6969"/>
      <c r="JL67" s="7006"/>
      <c r="JM67" s="1859"/>
      <c r="JN67" s="2008"/>
      <c r="JO67" s="2008"/>
      <c r="JP67" s="714"/>
      <c r="JQ67" s="714"/>
      <c r="JR67" s="2008"/>
      <c r="JS67" s="715"/>
      <c r="JT67" s="7160"/>
      <c r="JU67" s="7161"/>
      <c r="JV67" s="8376"/>
      <c r="JW67" s="8403"/>
      <c r="JX67" s="8432"/>
      <c r="JY67" s="8467"/>
      <c r="JZ67" s="7162"/>
      <c r="KA67" s="7160"/>
      <c r="KB67" s="7161"/>
      <c r="KC67" s="7162"/>
      <c r="KD67" s="7160"/>
      <c r="KE67" s="8340"/>
      <c r="KF67" s="8340"/>
      <c r="KG67" s="7161"/>
      <c r="KH67" s="7161"/>
      <c r="KI67" s="7161"/>
      <c r="KJ67" s="7161"/>
      <c r="KK67" s="7161"/>
      <c r="KL67" s="7161"/>
      <c r="KM67" s="7161"/>
      <c r="KN67" s="7161"/>
      <c r="KO67" s="7161"/>
      <c r="KP67" s="7162"/>
      <c r="KQ67" s="1860"/>
      <c r="KR67" s="714"/>
      <c r="KS67" s="715"/>
      <c r="KT67" s="1860"/>
      <c r="KU67" s="2008"/>
      <c r="KV67" s="7306"/>
      <c r="KW67" s="7341"/>
      <c r="KX67" s="7318"/>
      <c r="KY67" s="2689"/>
      <c r="KZ67" s="1439"/>
      <c r="LA67" s="2718"/>
      <c r="LB67" s="1440" t="str">
        <f t="shared" si="369"/>
        <v/>
      </c>
      <c r="LC67" s="5133"/>
      <c r="LD67" s="5132"/>
      <c r="LE67" s="5132"/>
      <c r="LF67" s="5132"/>
      <c r="LG67" s="5132"/>
      <c r="LH67" s="5132"/>
      <c r="LI67" s="5132"/>
      <c r="LJ67" s="5132"/>
    </row>
    <row r="68" spans="1:322" s="13" customFormat="1" ht="27.95" customHeight="1">
      <c r="A68" s="5954" t="str">
        <f t="shared" si="352"/>
        <v>8300-05</v>
      </c>
      <c r="B68" s="9819" t="str">
        <f>+IF(A68="","",VLOOKUP(MATCH(A68,tid,0),tao,'12(id)'!$J$20,FALSE))</f>
        <v>NRG</v>
      </c>
      <c r="C68" s="6365" t="str">
        <f t="shared" si="47"/>
        <v>CC13</v>
      </c>
      <c r="D68" s="1123" t="str">
        <f t="shared" si="48"/>
        <v/>
      </c>
      <c r="E68" s="683"/>
      <c r="F68" s="683" t="str">
        <f t="shared" si="49"/>
        <v/>
      </c>
      <c r="G68" s="5133"/>
      <c r="H68" s="5132"/>
      <c r="I68" s="5133"/>
      <c r="J68" s="719">
        <f t="shared" si="68"/>
        <v>34</v>
      </c>
      <c r="K68" s="649">
        <f t="shared" si="370"/>
        <v>17</v>
      </c>
      <c r="L68" s="9648"/>
      <c r="M68" s="9650"/>
      <c r="N68" s="9648"/>
      <c r="O68" s="8671" t="s">
        <v>263</v>
      </c>
      <c r="P68" s="9650"/>
      <c r="Q68" s="8576" t="str">
        <f>+IF(ISERROR(MATCH(O68,tid,0)),"",VLOOKUP(MATCH(O68,tid,0),tao,'12(id)'!$Q$20,FALSE))</f>
        <v>CC13</v>
      </c>
      <c r="R68" s="8671">
        <f>+IF(O68="","",VLOOKUP(MATCH(O68,tid,0),tao,'12(id)'!$U$20,FALSE))</f>
        <v>2</v>
      </c>
      <c r="S68" s="8569"/>
      <c r="T68" s="8628">
        <f>+IF(ISERROR(MATCH(O68,tid,0)),"",IF(VLOOKUP(MATCH(O68,tid,0),tao,'12(id)'!$CT$20,FALSE)="","",VLOOKUP(MATCH(O68,tid,0),tao,'12(id)'!$CT$20,FALSE)))</f>
        <v>20</v>
      </c>
      <c r="U68" s="10740" t="str">
        <f>+IF(ISERROR(MATCH(O68,tid,0)),"",IF(VLOOKUP(MATCH(O68,tid,0),tao,'12(id)'!$CU$20,FALSE)="","",VLOOKUP(MATCH(O68,tid,0),tao,'12(id)'!$CU$20,FALSE)))</f>
        <v/>
      </c>
      <c r="V68" s="8625" t="str">
        <f>+IF(O68="","",IF(VLOOKUP(MATCH(O68,tid,0),tao,'12(id)'!$T$20,FALSE)="","",VLOOKUP(MATCH(O68,tid,0),tao,'12(id)'!$T$20,FALSE)))</f>
        <v>Combustion Turbine</v>
      </c>
      <c r="W68" s="417" t="str">
        <f>+IF(ISERROR(MATCH(O68,tid,0)),"",IF(VLOOKUP(MATCH(O68,tid,0),tao,'12(id)'!$CO$20,FALSE)="","",VLOOKUP(MATCH(O68,tid,0),tao,'12(id)'!$CO$20,FALSE)))</f>
        <v>Pratt &amp; Whitney</v>
      </c>
      <c r="X68" s="8625" t="str">
        <f>+IF(ISERROR(MATCH(O68,tid,0)),"",IF(VLOOKUP(MATCH(O68,tid,0),tao,'12(id)'!$CP$20,FALSE)="","",VLOOKUP(MATCH(O68,tid,0),tao,'12(id)'!$CP$20,FALSE)))</f>
        <v>FT4-A9</v>
      </c>
      <c r="Y68" s="2388" t="str">
        <f>+IF(ISERROR(MATCH(O68,tid,0)),"",IF(VLOOKUP(MATCH(O68,tid,0),tao,'12(id)'!$CQ$20,FALSE)="","",VLOOKUP(MATCH(O68,tid,0),tao,'12(id)'!$CQ$20,FALSE)))</f>
        <v>FT</v>
      </c>
      <c r="Z68" s="8563" t="str">
        <f>+IF(ISERROR(MATCH(O68,tid,0)),"",VLOOKUP(MATCH(O68,tid,0),tao,'12(id)'!$DB$20,FALSE)&amp;" "&amp;VLOOKUP(MATCH(O68,tid,0),tao,'12(id)'!$DC$20,FALSE))</f>
        <v xml:space="preserve"> 1969</v>
      </c>
      <c r="AA68" s="52" t="str">
        <f ca="1">+IF(ISERROR(MATCH(O68,tid,0)),"",IF(VLOOKUP(MATCH(O68,tid,0),tao,'12(id)'!$DE$20,FALSE)="","",ROUND(VLOOKUP(MATCH(O68,tid,0),tao,'12(id)'!$DE$20,FALSE),0)&amp;" yrs"))</f>
        <v>45 yrs</v>
      </c>
      <c r="AB68" s="282" t="str">
        <f>+IF(ISERROR(MATCH(O68,tid,0)),"",VLOOKUP(MATCH(O68,tid,0),tao,'12(id)'!$DI$20,FALSE))</f>
        <v>Ultra low sulfur kerosene  oil (ULSD)</v>
      </c>
      <c r="AC68" s="282" t="str">
        <f>+IF(ISERROR(MATCH(O68,tid,0)),"",IF(VLOOKUP(MATCH(O68,tid,0),tao,'12(id)'!$DQ$20,FALSE)="","",VLOOKUP(MATCH(O68,tid,0),tao,'12(id)'!$DQ$20,FALSE)))</f>
        <v>Natural Gas</v>
      </c>
      <c r="AD68" s="115">
        <f>+IF(ISERROR(MATCH(O68,tid,0)),"",IF(VLOOKUP(MATCH(O68,tid,0),tao,'12(id)'!$EI$20,FALSE)="","",VLOOKUP(MATCH(O68,tid,0),tao,'12(id)'!$EI$20,FALSE)))</f>
        <v>0.19400000000000001</v>
      </c>
      <c r="AE68" s="115" t="str">
        <f>+IF(ISERROR(MATCH(O68,tid,0)),"",IF(VLOOKUP(MATCH(O68,tid,0),tao,'12(id)'!$EJ$20,FALSE)="","",VLOOKUP(MATCH(O68,tid,0),tao,'12(id)'!$EJ$20,FALSE)))</f>
        <v/>
      </c>
      <c r="AF68" s="10673">
        <f>+IF(ISERROR(MATCH(O68,tid,0)),"",IF(VLOOKUP(MATCH(O68,tid,0),tao,'12(id)'!$EL$20,FALSE)="","",VLOOKUP(MATCH(O68,tid,0),tao,'12(id)'!$EL$20,FALSE)))</f>
        <v>0.22</v>
      </c>
      <c r="AG68" s="10728" t="str">
        <f>+IF(ISERROR(MATCH(O68,tid,0)),"",IF(VLOOKUP(MATCH(O68,tid,0),tao,'12(id)'!$EM$20,FALSE)="","",VLOOKUP(MATCH(O68,tid,0),tao,'12(id)'!$EM$20,FALSE)))</f>
        <v/>
      </c>
      <c r="AH68" s="970"/>
      <c r="AI68" s="971"/>
      <c r="AJ68" s="972"/>
      <c r="AK68" s="972"/>
      <c r="AL68" s="972"/>
      <c r="AM68" s="973"/>
      <c r="AN68" s="3538"/>
      <c r="AO68" s="3539" t="str">
        <f>+IF(ISERROR(MATCH(O68,tid,0)),"",IF(VLOOKUP(MATCH(O68,tid,0),tao,'12(id)'!$GY$20,FALSE)="","",VLOOKUP(MATCH(O68,tid,0),tao,'12(id)'!$GY$20,FALSE)))</f>
        <v/>
      </c>
      <c r="AP68" s="4042" t="str">
        <f>+IF($BB68="","",IF(VLOOKUP(MATCH(O68,tid,0),tao,'12(id)'!$HE$20,FALSE)="","",VLOOKUP(MATCH(O68,tid,0),tao,'12(id)'!$HE$20,FALSE)))</f>
        <v/>
      </c>
      <c r="AQ68" s="3540">
        <f>+IF(ISERROR(VLOOKUP(MATCH(O68,tid,0),tao,'12(id)'!$HF$20,FALSE)),"",VLOOKUP(MATCH(O68,tid,0),tao,'12(id)'!$HF$20,FALSE))</f>
        <v>0</v>
      </c>
      <c r="AR68" s="3541">
        <f>+IF(ISERROR(MATCH(O68,tid,0)),"",IF(VLOOKUP(MATCH(O68,tid,0),tao,'12(id)'!$HJ$20,FALSE)="","",VLOOKUP(MATCH(O68,tid,0),tao,'12(id)'!$HJ$20,FALSE)))</f>
        <v>0.22</v>
      </c>
      <c r="AS68" s="4048" t="str">
        <f>+IF(ISERROR(MATCH(O68,tid,0)),"",IF(VLOOKUP(MATCH(O68,tid,0),tao,'12(id)'!$HK$20,FALSE)="","",VLOOKUP(MATCH(O68,tid,0),tao,'12(id)'!$HK$20,FALSE)))</f>
        <v/>
      </c>
      <c r="AT68" s="3542" t="str">
        <f>+IF(ISERROR(MATCH(O68,tid,0)),"",IF(VLOOKUP(MATCH(O68,tid,0),tao,'12(id)'!$HM$20,FALSE)="","",VLOOKUP(MATCH(O68,tid,0),tao,'12(id)'!$HM$20,FALSE)))</f>
        <v/>
      </c>
      <c r="AU68" s="1008" t="str">
        <f t="shared" si="371"/>
        <v>CAIR-OS (max last 3 yrs)</v>
      </c>
      <c r="AV68" s="10631">
        <f>+IF(ISERROR(MATCH(O68,em_id,0)),"",IF(VLOOKUP(MATCH(O68,em_id,0),em,'5(em)'!$CX$18,FALSE)="","",VLOOKUP(MATCH(O68,em_id,0),em,'5(em)'!$CX$18,FALSE)))</f>
        <v>35</v>
      </c>
      <c r="AW68" s="10771">
        <f>+IF(ISERROR(MATCH(O68,em_id,0)),"",IF(VLOOKUP(MATCH(O68,em_id,0),em,'5(em)'!$CZ$18,FALSE)="","",VLOOKUP(MATCH(O68,em_id,0),em,'5(em)'!$CZ$18,FALSE)))</f>
        <v>10832</v>
      </c>
      <c r="AX68" s="10696">
        <f t="shared" si="50"/>
        <v>0.19</v>
      </c>
      <c r="AY68" s="10631"/>
      <c r="AZ68" s="10629">
        <f>+IF(ISERROR(MATCH(O68,em_id,0)),"",IF(VLOOKUP(MATCH(O68,em_id,0),em,'5(em)'!$DA$18,FALSE)="","",VLOOKUP(MATCH(O68,em_id,0),em,'5(em)'!$DA$18,FALSE)))</f>
        <v>1.0507039999999999</v>
      </c>
      <c r="BA68" s="682"/>
      <c r="BB68" s="683" t="str">
        <f t="shared" si="311"/>
        <v/>
      </c>
      <c r="BC68" s="684"/>
      <c r="BD68" s="683"/>
      <c r="BE68" s="683"/>
      <c r="BF68" s="683" t="s">
        <v>1860</v>
      </c>
      <c r="BG68" s="685"/>
      <c r="BH68" s="679"/>
      <c r="BI68" s="686"/>
      <c r="BJ68" s="680"/>
      <c r="BK68" s="680"/>
      <c r="BL68" s="680"/>
      <c r="BM68" s="680"/>
      <c r="BN68" s="680" t="str">
        <f t="shared" si="12"/>
        <v/>
      </c>
      <c r="BO68" s="680" t="str">
        <f t="shared" si="13"/>
        <v/>
      </c>
      <c r="BP68" s="680" t="str">
        <f t="shared" si="14"/>
        <v/>
      </c>
      <c r="BQ68" s="680" t="str">
        <f t="shared" si="15"/>
        <v/>
      </c>
      <c r="BR68" s="681"/>
      <c r="BS68" s="687"/>
      <c r="BT68" s="688"/>
      <c r="BU68" s="3704"/>
      <c r="BV68" s="3750"/>
      <c r="BW68" s="2365"/>
      <c r="BX68" s="1433"/>
      <c r="BY68" s="3815" t="str">
        <f>+IF($BB68="","",IF(OR(BU68="",$AQ68=""),"",BU68/2000*$AQ68))</f>
        <v/>
      </c>
      <c r="BZ68" s="3395"/>
      <c r="CA68" s="3415"/>
      <c r="CB68" s="690" t="str">
        <f>+IF($BB68="","",IF(BX68="","",$AT68-BX68))</f>
        <v/>
      </c>
      <c r="CC68" s="3884" t="str">
        <f t="shared" si="372"/>
        <v/>
      </c>
      <c r="CD68" s="3884" t="str">
        <f>+IF($BB68="","",IF(BU68="","",(1-BU68/$AR68)))</f>
        <v/>
      </c>
      <c r="CE68" s="3905" t="str">
        <f>+IF(BB68="","",IF(VLOOKUP(MATCH(BB68,ef_id,0),ef,'11(eff)'!$AE$23,FALSE)="","",VLOOKUP(MATCH(BB68,ef_id,0),ef,'11(eff)'!$AE$23,FALSE)))</f>
        <v/>
      </c>
      <c r="CF68" s="687"/>
      <c r="CG68" s="688"/>
      <c r="CH68" s="2405"/>
      <c r="CI68" s="690"/>
      <c r="CJ68" s="4065"/>
      <c r="CK68" s="690" t="str">
        <f>+IF($BB68="","",IF(OR($AW68="",#REF!=""),"",#REF!/2000*$AW68))</f>
        <v/>
      </c>
      <c r="CL68" s="3926" t="str">
        <f>+IF($BB68="","",IF(CK68="","",$AZ68-CK68))</f>
        <v/>
      </c>
      <c r="CM68" s="3962" t="str">
        <f>+IF($BB68="","",IF(CL68="","",CL68/$AZ68))</f>
        <v/>
      </c>
      <c r="CN68" s="3962" t="str">
        <f>+IF($BB68="","",IF(#REF!="","",(1-#REF!/$AX68)))</f>
        <v/>
      </c>
      <c r="CO68" s="3963"/>
      <c r="CP68" s="3964"/>
      <c r="CQ68" s="682" t="str">
        <f t="shared" si="51"/>
        <v/>
      </c>
      <c r="CR68" s="689"/>
      <c r="CS68" s="2760"/>
      <c r="CT68" s="1587"/>
      <c r="CU68" s="1598"/>
      <c r="CV68" s="1861" t="str">
        <f t="shared" si="309"/>
        <v/>
      </c>
      <c r="CW68" s="1862"/>
      <c r="CX68" s="1862"/>
      <c r="CY68" s="1389"/>
      <c r="CZ68" s="2475"/>
      <c r="DA68" s="2009"/>
      <c r="DB68" s="2009"/>
      <c r="DC68" s="1861"/>
      <c r="DD68" s="1389"/>
      <c r="DE68" s="1568"/>
      <c r="DF68" s="1341"/>
      <c r="DG68" s="1341"/>
      <c r="DH68" s="1389"/>
      <c r="DI68" s="1690" t="str">
        <f>+IF(CT68="","",SUM(CU68:DC68))</f>
        <v/>
      </c>
      <c r="DJ68" s="1389"/>
      <c r="DK68" s="1587"/>
      <c r="DL68" s="1598"/>
      <c r="DM68" s="1861" t="str">
        <f t="shared" si="310"/>
        <v/>
      </c>
      <c r="DN68" s="1862"/>
      <c r="DO68" s="1862"/>
      <c r="DP68" s="1389"/>
      <c r="DQ68" s="2475"/>
      <c r="DR68" s="2009"/>
      <c r="DS68" s="2009"/>
      <c r="DT68" s="1861"/>
      <c r="DU68" s="1389"/>
      <c r="DV68" s="1568"/>
      <c r="DW68" s="1341"/>
      <c r="DX68" s="1341"/>
      <c r="DY68" s="1389"/>
      <c r="DZ68" s="1690" t="str">
        <f t="shared" si="18"/>
        <v/>
      </c>
      <c r="EA68" s="1389"/>
      <c r="EB68" s="1494" t="str">
        <f t="shared" si="377"/>
        <v/>
      </c>
      <c r="EC68" s="1433"/>
      <c r="ED68" s="1413" t="str">
        <f t="shared" si="20"/>
        <v/>
      </c>
      <c r="EE68" s="1568"/>
      <c r="EF68" s="2009"/>
      <c r="EG68" s="1600"/>
      <c r="EH68" s="1713" t="str">
        <f t="shared" si="353"/>
        <v/>
      </c>
      <c r="EI68" s="1863"/>
      <c r="EJ68" s="2009"/>
      <c r="EK68" s="696"/>
      <c r="EL68" s="1701"/>
      <c r="EM68" s="1863"/>
      <c r="EN68" s="2009"/>
      <c r="EO68" s="696"/>
      <c r="EP68" s="1713" t="str">
        <f t="shared" si="378"/>
        <v/>
      </c>
      <c r="EQ68" s="1713"/>
      <c r="ER68" s="1713"/>
      <c r="ES68" s="1713"/>
      <c r="ET68" s="1455"/>
      <c r="EU68" s="1437"/>
      <c r="EV68" s="1438"/>
      <c r="EW68" s="2583"/>
      <c r="EX68" s="2583"/>
      <c r="EY68" s="2690"/>
      <c r="EZ68" s="2719"/>
      <c r="FA68" s="1438"/>
      <c r="FB68" s="1477"/>
      <c r="FC68" s="1724" t="str">
        <f>+IF(OR(ED68="",IF(R68="",R67,R68)=""),"",ED68/IF(R68="",R67,R68))</f>
        <v/>
      </c>
      <c r="FD68" s="692" t="str">
        <f>+IF(OR(BB68="",IF(R68="",R67,R68)="",(CU68+DL68)=0),"",(CU68+DL68)/IF(R68="",R67,R68))</f>
        <v/>
      </c>
      <c r="FE68" s="1530" t="str">
        <f>+IF(OR(FC68="",FD68=""),"",FD68/FC68)</f>
        <v/>
      </c>
      <c r="FF68" s="692" t="str">
        <f>+IF(OR(BB68="",CT68="",IF(R68="",R67,R68)=""),"",((CV68+CW68+CX68)+(IF(DM68="",0,DM68)+DN68+DO68))/IF(R68="",R67,R68))</f>
        <v/>
      </c>
      <c r="FG68" s="1530" t="str">
        <f>+IF(OR(BB68="",ISERROR(FF68/FD68)),"",FF68/FD68)</f>
        <v/>
      </c>
      <c r="FH68" s="692"/>
      <c r="FI68" s="1530"/>
      <c r="FJ68" s="694" t="str">
        <f>+IF(OR(BB68="",CT68=""),"",FD68+FF68)</f>
        <v/>
      </c>
      <c r="FK68" s="2805" t="str">
        <f t="shared" si="373"/>
        <v/>
      </c>
      <c r="FL68" s="2779"/>
      <c r="FM68" s="1530"/>
      <c r="FN68" s="2779"/>
      <c r="FO68" s="2769"/>
      <c r="FP68" s="2779"/>
      <c r="FQ68" s="2769"/>
      <c r="FR68" s="695"/>
      <c r="FS68" s="2873" t="str">
        <f>+IF(OR(DJ68="",IF(R68="",R67,R68)=""),"",(DJ68+EA68)/IF(R68="",R67,R68))</f>
        <v/>
      </c>
      <c r="FT68" s="1511" t="str">
        <f>+IF(OR(BB68="",ISERROR(FS68/#REF!)),"",FS68/#REF!)</f>
        <v/>
      </c>
      <c r="FU68" s="2889"/>
      <c r="FV68" s="691" t="str">
        <f>+IF(FC68="","",FC68/IF(T68="",IF(T67="",1,T67),T68))</f>
        <v/>
      </c>
      <c r="FW68" s="2100"/>
      <c r="FX68" s="2101"/>
      <c r="FY68" s="1628"/>
      <c r="FZ68" s="2101"/>
      <c r="GA68" s="2101"/>
      <c r="GB68" s="1628"/>
      <c r="GC68" s="2101"/>
      <c r="GD68" s="2101"/>
      <c r="GE68" s="2123"/>
      <c r="GF68" s="2143"/>
      <c r="GG68" s="2167"/>
      <c r="GH68" s="3177" t="str">
        <f>+IF(T68="","",IF(GF68="","",GF68/T68))</f>
        <v/>
      </c>
      <c r="GI68" s="3197" t="s">
        <v>939</v>
      </c>
      <c r="GJ68" s="3183"/>
      <c r="GK68" s="3449"/>
      <c r="GL68" s="3224"/>
      <c r="GM68" s="1268"/>
      <c r="GN68" s="935"/>
      <c r="GO68" s="2291"/>
      <c r="GP68" s="2292" t="str">
        <f t="shared" si="354"/>
        <v/>
      </c>
      <c r="GQ68" s="2225"/>
      <c r="GR68" s="2225"/>
      <c r="GS68" s="2225"/>
      <c r="GT68" s="2225"/>
      <c r="GU68" s="2310" t="str">
        <f t="shared" si="374"/>
        <v/>
      </c>
      <c r="GV68" s="934" t="str">
        <f>+IF(OR(GO68="",IF(R68="",R67,R68)=""),"",GO68/IF(R68="",R67,R68))</f>
        <v/>
      </c>
      <c r="GW68" s="2255" t="str">
        <f>+IF(OR(GP68="",IF(R68="",R67,R68)=""),"",GP68/IF(R68="",R67,R68))</f>
        <v/>
      </c>
      <c r="GX68" s="2225" t="str">
        <f>+IF(OR(GQ68="",IF(R68="",R67,R68)=""),"",GQ68/IF(R68="",R67,R68))</f>
        <v/>
      </c>
      <c r="GY68" s="2225" t="str">
        <f>+IF(OR(GR68="",IF(R68="",R67,R68)=""),"",GR68/IF(R68="",R67,R68))</f>
        <v/>
      </c>
      <c r="GZ68" s="2225" t="str">
        <f>+IF(OR(GS68="",IF(R68="",R67,R68)=""),"",GS68/IF(R68="",R67,R68))</f>
        <v/>
      </c>
      <c r="HA68" s="2225" t="str">
        <f>+IF(OR(GT68="",IF(R68="",R67,R68)=""),"",GT68/IF(R68="",R67,R68))</f>
        <v/>
      </c>
      <c r="HB68" s="1267" t="str">
        <f>+IF(OR(SUM(GX68:HA68)=0,ISERR(SUM(GX68:HA68))),"",SUM(GX68:HA68))</f>
        <v/>
      </c>
      <c r="HC68" s="693" t="str">
        <f>+IF(OR(GU68="",IF(R68="",R67,R68)=""),"",GU68/IF(R68="",R67,R68))</f>
        <v/>
      </c>
      <c r="HD68" s="935" t="str">
        <f t="shared" si="375"/>
        <v/>
      </c>
      <c r="HE68" s="1268"/>
      <c r="HF68" s="934"/>
      <c r="HG68" s="1269" t="str">
        <f t="shared" si="23"/>
        <v/>
      </c>
      <c r="HH68" s="2988"/>
      <c r="HI68" s="3015" t="str">
        <f t="shared" si="355"/>
        <v/>
      </c>
      <c r="HJ68" s="2009" t="str">
        <f t="shared" si="356"/>
        <v/>
      </c>
      <c r="HK68" s="2920" t="str">
        <f t="shared" si="357"/>
        <v/>
      </c>
      <c r="HL68" s="2920" t="str">
        <f>+IF(FR68="","",$HL$6*HI68)</f>
        <v/>
      </c>
      <c r="HM68" s="1271" t="str">
        <f t="shared" si="358"/>
        <v/>
      </c>
      <c r="HN68" s="1322" t="str">
        <f t="shared" si="347"/>
        <v/>
      </c>
      <c r="HO68" s="1863" t="str">
        <f>+IF(FR68="","",$HO$6*HM68)</f>
        <v/>
      </c>
      <c r="HP68" s="2920" t="str">
        <f>+IF(FR68="","",$HP$6*HM68)</f>
        <v/>
      </c>
      <c r="HQ68" s="1272"/>
      <c r="HR68" s="2939" t="str">
        <f>+IF(FR68="","",$HR$6*HM68)</f>
        <v/>
      </c>
      <c r="HS68" s="2939"/>
      <c r="HT68" s="1270" t="str">
        <f>+IF(EU68="","",#REF!/IF(#REF!="""",R67,R68))</f>
        <v/>
      </c>
      <c r="HU68" s="1271" t="str">
        <f>+IF(EV68="","",EV68/IF(R68="",R67,R68))</f>
        <v/>
      </c>
      <c r="HV68" s="1270" t="str">
        <f t="shared" si="312"/>
        <v/>
      </c>
      <c r="HW68" s="1271" t="str">
        <f t="shared" si="313"/>
        <v/>
      </c>
      <c r="HX68" s="3140" t="str">
        <f t="shared" si="199"/>
        <v/>
      </c>
      <c r="HY68" s="2920" t="str">
        <f>+IF(EZ68="","",EZ68/IF(R68="",R67,R68))</f>
        <v/>
      </c>
      <c r="HZ68" s="2939" t="str">
        <f>+IF(FA68="","",FA68/IF(R68="",R67,R68))</f>
        <v/>
      </c>
      <c r="IA68" s="1270" t="str">
        <f t="shared" si="376"/>
        <v/>
      </c>
      <c r="IB68" s="1272" t="str">
        <f t="shared" si="237"/>
        <v/>
      </c>
      <c r="IC68" s="3050" t="str">
        <f t="shared" si="359"/>
        <v/>
      </c>
      <c r="ID68" s="1270"/>
      <c r="IE68" s="4102"/>
      <c r="IF68" s="4112"/>
      <c r="IG68" s="6775"/>
      <c r="IH68" s="4087"/>
      <c r="II68" s="6791"/>
      <c r="IJ68" s="4102"/>
      <c r="IK68" s="4136"/>
      <c r="IL68" s="4199"/>
      <c r="IM68" s="4200"/>
      <c r="IN68" s="4218"/>
      <c r="IO68" s="4218"/>
      <c r="IP68" s="4218"/>
      <c r="IQ68" s="6848"/>
      <c r="IR68" s="4218"/>
      <c r="IS68" s="6848"/>
      <c r="IT68" s="4218"/>
      <c r="IU68" s="6848"/>
      <c r="IV68" s="7264"/>
      <c r="IW68" s="4200"/>
      <c r="IX68" s="4217"/>
      <c r="IY68" s="4252"/>
      <c r="IZ68" s="4292"/>
      <c r="JA68" s="4293"/>
      <c r="JB68" s="4154"/>
      <c r="JC68" s="4330"/>
      <c r="JD68" s="4347" t="str">
        <f t="shared" si="348"/>
        <v/>
      </c>
      <c r="JE68" s="4331" t="str">
        <f t="shared" si="349"/>
        <v/>
      </c>
      <c r="JF68" s="7036"/>
      <c r="JG68" s="7054"/>
      <c r="JH68" s="6967"/>
      <c r="JI68" s="6967"/>
      <c r="JJ68" s="6967"/>
      <c r="JK68" s="6967"/>
      <c r="JL68" s="7004"/>
      <c r="JM68" s="7048"/>
      <c r="JN68" s="2009"/>
      <c r="JO68" s="2009"/>
      <c r="JP68" s="7060"/>
      <c r="JQ68" s="7060"/>
      <c r="JR68" s="7054"/>
      <c r="JS68" s="7061"/>
      <c r="JT68" s="7154"/>
      <c r="JU68" s="7155"/>
      <c r="JV68" s="8374"/>
      <c r="JW68" s="8401"/>
      <c r="JX68" s="8430"/>
      <c r="JY68" s="8465"/>
      <c r="JZ68" s="7156"/>
      <c r="KA68" s="7154"/>
      <c r="KB68" s="7155"/>
      <c r="KC68" s="7156"/>
      <c r="KD68" s="7154"/>
      <c r="KE68" s="8338"/>
      <c r="KF68" s="8338"/>
      <c r="KG68" s="7155"/>
      <c r="KH68" s="7155"/>
      <c r="KI68" s="7155"/>
      <c r="KJ68" s="7155"/>
      <c r="KK68" s="7155"/>
      <c r="KL68" s="7155"/>
      <c r="KM68" s="7155"/>
      <c r="KN68" s="7155"/>
      <c r="KO68" s="7155"/>
      <c r="KP68" s="7156"/>
      <c r="KQ68" s="7209"/>
      <c r="KR68" s="7060"/>
      <c r="KS68" s="7061"/>
      <c r="KT68" s="7209"/>
      <c r="KU68" s="7054"/>
      <c r="KV68" s="7304"/>
      <c r="KW68" s="7339"/>
      <c r="KX68" s="7316"/>
      <c r="KY68" s="2690"/>
      <c r="KZ68" s="1437"/>
      <c r="LA68" s="2719"/>
      <c r="LB68" s="1438" t="str">
        <f t="shared" si="369"/>
        <v/>
      </c>
      <c r="LC68" s="5133"/>
      <c r="LD68" s="5132"/>
      <c r="LE68" s="5132"/>
      <c r="LF68" s="5132"/>
      <c r="LG68" s="5132"/>
      <c r="LH68" s="5132"/>
      <c r="LI68" s="5132"/>
      <c r="LJ68" s="5132"/>
    </row>
    <row r="69" spans="1:322" s="13" customFormat="1" ht="27.95" customHeight="1">
      <c r="A69" s="5954" t="str">
        <f t="shared" si="352"/>
        <v>8300-06</v>
      </c>
      <c r="B69" s="9819" t="str">
        <f>+IF(A69="","",VLOOKUP(MATCH(A69,tid,0),tao,'12(id)'!$J$20,FALSE))</f>
        <v>NRG</v>
      </c>
      <c r="C69" s="6365" t="str">
        <f t="shared" si="47"/>
        <v>CC14</v>
      </c>
      <c r="D69" s="1124" t="str">
        <f t="shared" si="48"/>
        <v/>
      </c>
      <c r="E69" s="701"/>
      <c r="F69" s="701" t="str">
        <f t="shared" si="49"/>
        <v/>
      </c>
      <c r="G69" s="5133"/>
      <c r="H69" s="5132"/>
      <c r="I69" s="5133"/>
      <c r="J69" s="719">
        <f t="shared" si="68"/>
        <v>35</v>
      </c>
      <c r="K69" s="649">
        <f t="shared" si="370"/>
        <v>18</v>
      </c>
      <c r="L69" s="9648"/>
      <c r="M69" s="9650"/>
      <c r="N69" s="9648"/>
      <c r="O69" s="8671" t="s">
        <v>264</v>
      </c>
      <c r="P69" s="9651"/>
      <c r="Q69" s="8576" t="str">
        <f>+IF(ISERROR(MATCH(O69,tid,0)),"",VLOOKUP(MATCH(O69,tid,0),tao,'12(id)'!$Q$20,FALSE))</f>
        <v>CC14</v>
      </c>
      <c r="R69" s="8671">
        <f>+IF(O69="","",VLOOKUP(MATCH(O69,tid,0),tao,'12(id)'!$U$20,FALSE))</f>
        <v>2</v>
      </c>
      <c r="S69" s="8671"/>
      <c r="T69" s="45">
        <f>+IF(ISERROR(MATCH(O69,tid,0)),"",IF(VLOOKUP(MATCH(O69,tid,0),tao,'12(id)'!$CT$20,FALSE)="","",VLOOKUP(MATCH(O69,tid,0),tao,'12(id)'!$CT$20,FALSE)))</f>
        <v>20</v>
      </c>
      <c r="U69" s="10741" t="str">
        <f>+IF(ISERROR(MATCH(O69,tid,0)),"",IF(VLOOKUP(MATCH(O69,tid,0),tao,'12(id)'!$CU$20,FALSE)="","",VLOOKUP(MATCH(O69,tid,0),tao,'12(id)'!$CU$20,FALSE)))</f>
        <v/>
      </c>
      <c r="V69" s="8625" t="str">
        <f>+IF(O69="","",IF(VLOOKUP(MATCH(O69,tid,0),tao,'12(id)'!$T$20,FALSE)="","",VLOOKUP(MATCH(O69,tid,0),tao,'12(id)'!$T$20,FALSE)))</f>
        <v>Combustion Turbine</v>
      </c>
      <c r="W69" s="417" t="str">
        <f>+IF(ISERROR(MATCH(O69,tid,0)),"",IF(VLOOKUP(MATCH(O69,tid,0),tao,'12(id)'!$CO$20,FALSE)="","",VLOOKUP(MATCH(O69,tid,0),tao,'12(id)'!$CO$20,FALSE)))</f>
        <v>Pratt &amp; Whitney</v>
      </c>
      <c r="X69" s="8625" t="str">
        <f>+IF(ISERROR(MATCH(O69,tid,0)),"",IF(VLOOKUP(MATCH(O69,tid,0),tao,'12(id)'!$CP$20,FALSE)="","",VLOOKUP(MATCH(O69,tid,0),tao,'12(id)'!$CP$20,FALSE)))</f>
        <v>FT4-A9</v>
      </c>
      <c r="Y69" s="2388" t="str">
        <f>+IF(ISERROR(MATCH(O69,tid,0)),"",IF(VLOOKUP(MATCH(O69,tid,0),tao,'12(id)'!$CQ$20,FALSE)="","",VLOOKUP(MATCH(O69,tid,0),tao,'12(id)'!$CQ$20,FALSE)))</f>
        <v>FT</v>
      </c>
      <c r="Z69" s="8563" t="str">
        <f>+IF(ISERROR(MATCH(O69,tid,0)),"",VLOOKUP(MATCH(O69,tid,0),tao,'12(id)'!$DB$20,FALSE)&amp;" "&amp;VLOOKUP(MATCH(O69,tid,0),tao,'12(id)'!$DC$20,FALSE))</f>
        <v xml:space="preserve"> 1969</v>
      </c>
      <c r="AA69" s="52" t="str">
        <f ca="1">+IF(ISERROR(MATCH(O69,tid,0)),"",IF(VLOOKUP(MATCH(O69,tid,0),tao,'12(id)'!$DE$20,FALSE)="","",ROUND(VLOOKUP(MATCH(O69,tid,0),tao,'12(id)'!$DE$20,FALSE),0)&amp;" yrs"))</f>
        <v>45 yrs</v>
      </c>
      <c r="AB69" s="282" t="str">
        <f>+IF(ISERROR(MATCH(O69,tid,0)),"",VLOOKUP(MATCH(O69,tid,0),tao,'12(id)'!$DI$20,FALSE))</f>
        <v>Ultra low sulfur kerosene  oil (ULSD)</v>
      </c>
      <c r="AC69" s="282" t="str">
        <f>+IF(ISERROR(MATCH(O69,tid,0)),"",IF(VLOOKUP(MATCH(O69,tid,0),tao,'12(id)'!$DQ$20,FALSE)="","",VLOOKUP(MATCH(O69,tid,0),tao,'12(id)'!$DQ$20,FALSE)))</f>
        <v>Natural Gas</v>
      </c>
      <c r="AD69" s="115">
        <f>+IF(ISERROR(MATCH(O69,tid,0)),"",IF(VLOOKUP(MATCH(O69,tid,0),tao,'12(id)'!$EI$20,FALSE)="","",VLOOKUP(MATCH(O69,tid,0),tao,'12(id)'!$EI$20,FALSE)))</f>
        <v>0.17100000000000001</v>
      </c>
      <c r="AE69" s="115" t="str">
        <f>+IF(ISERROR(MATCH(O69,tid,0)),"",IF(VLOOKUP(MATCH(O69,tid,0),tao,'12(id)'!$EJ$20,FALSE)="","",VLOOKUP(MATCH(O69,tid,0),tao,'12(id)'!$EJ$20,FALSE)))</f>
        <v/>
      </c>
      <c r="AF69" s="10725">
        <f>+IF(ISERROR(MATCH(O69,tid,0)),"",IF(VLOOKUP(MATCH(O69,tid,0),tao,'12(id)'!$EL$20,FALSE)="","",VLOOKUP(MATCH(O69,tid,0),tao,'12(id)'!$EL$20,FALSE)))</f>
        <v>0.22</v>
      </c>
      <c r="AG69" s="10729" t="str">
        <f>+IF(ISERROR(MATCH(O69,tid,0)),"",IF(VLOOKUP(MATCH(O69,tid,0),tao,'12(id)'!$EM$20,FALSE)="","",VLOOKUP(MATCH(O69,tid,0),tao,'12(id)'!$EM$20,FALSE)))</f>
        <v/>
      </c>
      <c r="AH69" s="974"/>
      <c r="AI69" s="975"/>
      <c r="AJ69" s="976"/>
      <c r="AK69" s="976"/>
      <c r="AL69" s="976"/>
      <c r="AM69" s="977"/>
      <c r="AN69" s="3543"/>
      <c r="AO69" s="3544" t="str">
        <f>+IF(ISERROR(MATCH(O69,tid,0)),"",IF(VLOOKUP(MATCH(O69,tid,0),tao,'12(id)'!$GY$20,FALSE)="","",VLOOKUP(MATCH(O69,tid,0),tao,'12(id)'!$GY$20,FALSE)))</f>
        <v/>
      </c>
      <c r="AP69" s="4043" t="str">
        <f>+IF($BB69="","",IF(VLOOKUP(MATCH(O69,tid,0),tao,'12(id)'!$HE$20,FALSE)="","",VLOOKUP(MATCH(O69,tid,0),tao,'12(id)'!$HE$20,FALSE)))</f>
        <v/>
      </c>
      <c r="AQ69" s="3545">
        <f>+IF(ISERROR(VLOOKUP(MATCH(O69,tid,0),tao,'12(id)'!$HF$20,FALSE)),"",VLOOKUP(MATCH(O69,tid,0),tao,'12(id)'!$HF$20,FALSE))</f>
        <v>0</v>
      </c>
      <c r="AR69" s="3546">
        <f>+IF(ISERROR(MATCH(O69,tid,0)),"",IF(VLOOKUP(MATCH(O69,tid,0),tao,'12(id)'!$HJ$20,FALSE)="","",VLOOKUP(MATCH(O69,tid,0),tao,'12(id)'!$HJ$20,FALSE)))</f>
        <v>0.22</v>
      </c>
      <c r="AS69" s="4049" t="str">
        <f>+IF(ISERROR(MATCH(O69,tid,0)),"",IF(VLOOKUP(MATCH(O69,tid,0),tao,'12(id)'!$HK$20,FALSE)="","",VLOOKUP(MATCH(O69,tid,0),tao,'12(id)'!$HK$20,FALSE)))</f>
        <v/>
      </c>
      <c r="AT69" s="3547" t="str">
        <f>+IF(ISERROR(MATCH(O69,tid,0)),"",IF(VLOOKUP(MATCH(O69,tid,0),tao,'12(id)'!$HM$20,FALSE)="","",VLOOKUP(MATCH(O69,tid,0),tao,'12(id)'!$HM$20,FALSE)))</f>
        <v/>
      </c>
      <c r="AU69" s="1009" t="str">
        <f t="shared" si="371"/>
        <v>CAIR-OS (max last 3 yrs)</v>
      </c>
      <c r="AV69" s="10632" t="str">
        <f>+IF(ISERROR(MATCH(O69,em_id,0)),"",IF(VLOOKUP(MATCH(O69,em_id,0),em,'5(em)'!$CX$18,FALSE)="","",VLOOKUP(MATCH(O69,em_id,0),em,'5(em)'!$CX$18,FALSE)))</f>
        <v/>
      </c>
      <c r="AW69" s="10772" t="str">
        <f>+IF(ISERROR(MATCH(O69,em_id,0)),"",IF(VLOOKUP(MATCH(O69,em_id,0),em,'5(em)'!$CZ$18,FALSE)="","",VLOOKUP(MATCH(O69,em_id,0),em,'5(em)'!$CZ$18,FALSE)))</f>
        <v/>
      </c>
      <c r="AX69" s="10697" t="str">
        <f t="shared" si="50"/>
        <v/>
      </c>
      <c r="AY69" s="10632"/>
      <c r="AZ69" s="10630">
        <f>+IF(ISERROR(MATCH(O69,em_id,0)),"",IF(VLOOKUP(MATCH(O69,em_id,0),em,'5(em)'!$DA$18,FALSE)="","",VLOOKUP(MATCH(O69,em_id,0),em,'5(em)'!$DA$18,FALSE)))</f>
        <v>0</v>
      </c>
      <c r="BA69" s="700"/>
      <c r="BB69" s="701" t="str">
        <f t="shared" si="311"/>
        <v/>
      </c>
      <c r="BC69" s="702"/>
      <c r="BD69" s="701"/>
      <c r="BE69" s="701"/>
      <c r="BF69" s="701" t="s">
        <v>1860</v>
      </c>
      <c r="BG69" s="703"/>
      <c r="BH69" s="697"/>
      <c r="BI69" s="704"/>
      <c r="BJ69" s="698"/>
      <c r="BK69" s="698"/>
      <c r="BL69" s="698"/>
      <c r="BM69" s="698"/>
      <c r="BN69" s="698" t="str">
        <f t="shared" si="12"/>
        <v/>
      </c>
      <c r="BO69" s="698" t="str">
        <f t="shared" si="13"/>
        <v/>
      </c>
      <c r="BP69" s="698" t="str">
        <f t="shared" si="14"/>
        <v/>
      </c>
      <c r="BQ69" s="698" t="str">
        <f t="shared" si="15"/>
        <v/>
      </c>
      <c r="BR69" s="699"/>
      <c r="BS69" s="705"/>
      <c r="BT69" s="706"/>
      <c r="BU69" s="3706"/>
      <c r="BV69" s="3752"/>
      <c r="BW69" s="2367"/>
      <c r="BX69" s="1434"/>
      <c r="BY69" s="3817" t="str">
        <f>+IF($BB69="","",IF(OR(BU69="",$AQ69=""),"",BU69/2000*$AQ69))</f>
        <v/>
      </c>
      <c r="BZ69" s="1062"/>
      <c r="CA69" s="3417"/>
      <c r="CB69" s="708" t="str">
        <f>+IF($BB69="","",IF(BX69="","",$AT69-BX69))</f>
        <v/>
      </c>
      <c r="CC69" s="3886" t="str">
        <f t="shared" si="372"/>
        <v/>
      </c>
      <c r="CD69" s="3886" t="str">
        <f>+IF($BB69="","",IF(BU69="","",(1-BU69/$AR69)))</f>
        <v/>
      </c>
      <c r="CE69" s="3907" t="str">
        <f>+IF(BB69="","",IF(VLOOKUP(MATCH(BB69,ef_id,0),ef,'11(eff)'!$AE$23,FALSE)="","",VLOOKUP(MATCH(BB69,ef_id,0),ef,'11(eff)'!$AE$23,FALSE)))</f>
        <v/>
      </c>
      <c r="CF69" s="705"/>
      <c r="CG69" s="706"/>
      <c r="CH69" s="2407"/>
      <c r="CI69" s="708"/>
      <c r="CJ69" s="4067"/>
      <c r="CK69" s="708" t="str">
        <f>+IF($BB69="","",IF(OR($AW69="",CI69=""),"",CI69/2000*$AW69))</f>
        <v/>
      </c>
      <c r="CL69" s="3928" t="str">
        <f>+IF($BB69="","",IF(CK69="","",$AZ69-CK69))</f>
        <v/>
      </c>
      <c r="CM69" s="3968" t="str">
        <f>+IF($BB69="","",IF(CL69="","",CL69/$AZ69))</f>
        <v/>
      </c>
      <c r="CN69" s="3968" t="str">
        <f>+IF($BB69="","",IF(CI69="","",(1-CI69/$AX69)))</f>
        <v/>
      </c>
      <c r="CO69" s="3969"/>
      <c r="CP69" s="3970"/>
      <c r="CQ69" s="700" t="str">
        <f t="shared" si="51"/>
        <v/>
      </c>
      <c r="CR69" s="707"/>
      <c r="CS69" s="2762"/>
      <c r="CT69" s="1588"/>
      <c r="CU69" s="1599"/>
      <c r="CV69" s="1858" t="str">
        <f t="shared" si="309"/>
        <v/>
      </c>
      <c r="CW69" s="1859"/>
      <c r="CX69" s="1859"/>
      <c r="CY69" s="1390"/>
      <c r="CZ69" s="2474"/>
      <c r="DA69" s="2008"/>
      <c r="DB69" s="2008"/>
      <c r="DC69" s="1858"/>
      <c r="DD69" s="1390"/>
      <c r="DE69" s="1569"/>
      <c r="DF69" s="1342"/>
      <c r="DG69" s="1342"/>
      <c r="DH69" s="1390"/>
      <c r="DI69" s="1692" t="str">
        <f>+IF(CT69="","",SUM(CU69:DC69))</f>
        <v/>
      </c>
      <c r="DJ69" s="1390"/>
      <c r="DK69" s="1588"/>
      <c r="DL69" s="1599"/>
      <c r="DM69" s="1858" t="str">
        <f t="shared" si="310"/>
        <v/>
      </c>
      <c r="DN69" s="1859"/>
      <c r="DO69" s="1859"/>
      <c r="DP69" s="1390"/>
      <c r="DQ69" s="2474"/>
      <c r="DR69" s="2008"/>
      <c r="DS69" s="2008"/>
      <c r="DT69" s="1858"/>
      <c r="DU69" s="1390"/>
      <c r="DV69" s="1569"/>
      <c r="DW69" s="1342"/>
      <c r="DX69" s="1342"/>
      <c r="DY69" s="1390"/>
      <c r="DZ69" s="1692" t="str">
        <f t="shared" si="18"/>
        <v/>
      </c>
      <c r="EA69" s="1390"/>
      <c r="EB69" s="1495" t="str">
        <f t="shared" si="377"/>
        <v/>
      </c>
      <c r="EC69" s="1434"/>
      <c r="ED69" s="1414" t="str">
        <f t="shared" si="20"/>
        <v/>
      </c>
      <c r="EE69" s="1569"/>
      <c r="EF69" s="2008"/>
      <c r="EG69" s="1601"/>
      <c r="EH69" s="1712" t="str">
        <f t="shared" si="353"/>
        <v/>
      </c>
      <c r="EI69" s="1860"/>
      <c r="EJ69" s="2008"/>
      <c r="EK69" s="714"/>
      <c r="EL69" s="1700"/>
      <c r="EM69" s="1860"/>
      <c r="EN69" s="2008"/>
      <c r="EO69" s="714"/>
      <c r="EP69" s="1712" t="str">
        <f t="shared" si="378"/>
        <v/>
      </c>
      <c r="EQ69" s="1712"/>
      <c r="ER69" s="1712"/>
      <c r="ES69" s="1712"/>
      <c r="ET69" s="1456"/>
      <c r="EU69" s="1439"/>
      <c r="EV69" s="1440"/>
      <c r="EW69" s="2582"/>
      <c r="EX69" s="2582"/>
      <c r="EY69" s="2689"/>
      <c r="EZ69" s="2718"/>
      <c r="FA69" s="1440"/>
      <c r="FB69" s="1478"/>
      <c r="FC69" s="1726" t="str">
        <f>+IF(OR(ED69="",IF(R69="",R68,R69)=""),"",ED69/IF(R69="",R68,R69))</f>
        <v/>
      </c>
      <c r="FD69" s="710" t="str">
        <f>+IF(OR(BB69="",IF(R69="",R68,R69)="",(CU69+DL69)=0),"",(CU69+DL69)/IF(R69="",R68,R69))</f>
        <v/>
      </c>
      <c r="FE69" s="1531" t="str">
        <f>+IF(OR(FC69="",FD69=""),"",FD69/FC69)</f>
        <v/>
      </c>
      <c r="FF69" s="710" t="str">
        <f>+IF(OR(BB69="",CT69="",IF(R69="",R68,R69)=""),"",((CV69+CW69+CX69)+(IF(DM69="",0,DM69)+DN69+DO69))/IF(R69="",R68,R69))</f>
        <v/>
      </c>
      <c r="FG69" s="1531" t="str">
        <f>+IF(OR(BB69="",ISERROR(FF69/FD69)),"",FF69/FD69)</f>
        <v/>
      </c>
      <c r="FH69" s="710"/>
      <c r="FI69" s="1531"/>
      <c r="FJ69" s="712" t="str">
        <f>+IF(OR(BB69="",CT69=""),"",FD69+FF69)</f>
        <v/>
      </c>
      <c r="FK69" s="2807" t="str">
        <f t="shared" si="373"/>
        <v/>
      </c>
      <c r="FL69" s="710"/>
      <c r="FM69" s="1531"/>
      <c r="FN69" s="710"/>
      <c r="FO69" s="1531"/>
      <c r="FP69" s="710"/>
      <c r="FQ69" s="1531"/>
      <c r="FR69" s="713"/>
      <c r="FS69" s="2875" t="str">
        <f>+IF(OR(DJ69="",IF(R69="",R68,R69)=""),"",(DJ69+EA69)/IF(R69="",R68,R69))</f>
        <v/>
      </c>
      <c r="FT69" s="1512" t="str">
        <f>+IF(OR(BB69="",ISERROR(FS69/#REF!)),"",FS69/#REF!)</f>
        <v/>
      </c>
      <c r="FU69" s="2891"/>
      <c r="FV69" s="709" t="str">
        <f>+IF(FC69="","",FC69/IF(T69="",IF(T68="",1,T68),T69))</f>
        <v/>
      </c>
      <c r="FW69" s="2105"/>
      <c r="FX69" s="2106"/>
      <c r="FY69" s="2107"/>
      <c r="FZ69" s="2106"/>
      <c r="GA69" s="2106"/>
      <c r="GB69" s="2107"/>
      <c r="GC69" s="2106"/>
      <c r="GD69" s="2106"/>
      <c r="GE69" s="2125"/>
      <c r="GF69" s="2145"/>
      <c r="GG69" s="2169"/>
      <c r="GH69" s="1748" t="str">
        <f>+IF(T69="","",IF(GF69="","",GF69/T69))</f>
        <v/>
      </c>
      <c r="GI69" s="2125" t="s">
        <v>939</v>
      </c>
      <c r="GJ69" s="3185"/>
      <c r="GK69" s="3451"/>
      <c r="GL69" s="3226"/>
      <c r="GM69" s="1275"/>
      <c r="GN69" s="937"/>
      <c r="GO69" s="2297"/>
      <c r="GP69" s="2298" t="str">
        <f t="shared" si="354"/>
        <v/>
      </c>
      <c r="GQ69" s="2228"/>
      <c r="GR69" s="2228"/>
      <c r="GS69" s="2228"/>
      <c r="GT69" s="2228"/>
      <c r="GU69" s="2313" t="str">
        <f t="shared" si="374"/>
        <v/>
      </c>
      <c r="GV69" s="936" t="str">
        <f>+IF(OR(GO69="",IF(R69="",R68,R69)=""),"",GO69/IF(R69="",R68,R69))</f>
        <v/>
      </c>
      <c r="GW69" s="2257" t="str">
        <f>+IF(OR(GP69="",IF(R69="",R68,R69)=""),"",GP69/IF(R69="",R68,R69))</f>
        <v/>
      </c>
      <c r="GX69" s="2227" t="str">
        <f>+IF(OR(GQ69="",IF(R69="",R68,R69)=""),"",GQ69/IF(R69="",R68,R69))</f>
        <v/>
      </c>
      <c r="GY69" s="2227" t="str">
        <f>+IF(OR(GR69="",IF(R69="",R68,R69)=""),"",GR69/IF(R69="",R68,R69))</f>
        <v/>
      </c>
      <c r="GZ69" s="2227" t="str">
        <f>+IF(OR(GS69="",IF(R69="",R68,R69)=""),"",GS69/IF(R69="",R68,R69))</f>
        <v/>
      </c>
      <c r="HA69" s="2227" t="str">
        <f>+IF(OR(GT69="",IF(R69="",R68,R69)=""),"",GT69/IF(R69="",R68,R69))</f>
        <v/>
      </c>
      <c r="HB69" s="1273" t="str">
        <f>+IF(OR(SUM(GX69:HA69)=0,ISERR(SUM(GX69:HA69))),"",SUM(GX69:HA69))</f>
        <v/>
      </c>
      <c r="HC69" s="711" t="str">
        <f>+IF(OR(GU69="",IF(R69="",R68,R69)=""),"",GU69/IF(R69="",R68,R69))</f>
        <v/>
      </c>
      <c r="HD69" s="937" t="str">
        <f t="shared" si="375"/>
        <v/>
      </c>
      <c r="HE69" s="1275"/>
      <c r="HF69" s="936"/>
      <c r="HG69" s="1276" t="str">
        <f t="shared" si="23"/>
        <v/>
      </c>
      <c r="HH69" s="2990"/>
      <c r="HI69" s="3017" t="str">
        <f t="shared" si="355"/>
        <v/>
      </c>
      <c r="HJ69" s="2008" t="str">
        <f t="shared" si="356"/>
        <v/>
      </c>
      <c r="HK69" s="2923" t="str">
        <f t="shared" si="357"/>
        <v/>
      </c>
      <c r="HL69" s="2923" t="str">
        <f>+IF(FR69="","",$HL$6*HI69)</f>
        <v/>
      </c>
      <c r="HM69" s="1279" t="str">
        <f t="shared" si="358"/>
        <v/>
      </c>
      <c r="HN69" s="1323" t="str">
        <f t="shared" si="347"/>
        <v/>
      </c>
      <c r="HO69" s="1860" t="str">
        <f>+IF(FR69="","",$HO$6*HM69)</f>
        <v/>
      </c>
      <c r="HP69" s="2923" t="str">
        <f>+IF(FR69="","",$HP$6*HM69)</f>
        <v/>
      </c>
      <c r="HQ69" s="1280"/>
      <c r="HR69" s="2941" t="str">
        <f>+IF(FR69="","",$HR$6*HM69)</f>
        <v/>
      </c>
      <c r="HS69" s="2941"/>
      <c r="HT69" s="1277" t="str">
        <f>+IF(EU69="","",#REF!/IF(#REF!="""",R68,R69))</f>
        <v/>
      </c>
      <c r="HU69" s="1279" t="str">
        <f>+IF(EV69="","",EV69/IF(R69="",R68,R69))</f>
        <v/>
      </c>
      <c r="HV69" s="1277" t="str">
        <f t="shared" si="312"/>
        <v/>
      </c>
      <c r="HW69" s="1279" t="str">
        <f t="shared" si="313"/>
        <v/>
      </c>
      <c r="HX69" s="3142" t="str">
        <f t="shared" si="199"/>
        <v/>
      </c>
      <c r="HY69" s="2923" t="str">
        <f>+IF(EZ69="","",EZ69/IF(R69="",R68,R69))</f>
        <v/>
      </c>
      <c r="HZ69" s="2941" t="str">
        <f>+IF(FA69="","",FA69/IF(R69="",R68,R69))</f>
        <v/>
      </c>
      <c r="IA69" s="1277" t="str">
        <f t="shared" si="376"/>
        <v/>
      </c>
      <c r="IB69" s="1280" t="str">
        <f t="shared" si="237"/>
        <v/>
      </c>
      <c r="IC69" s="3052" t="str">
        <f t="shared" si="359"/>
        <v/>
      </c>
      <c r="ID69" s="1277"/>
      <c r="IE69" s="1274"/>
      <c r="IF69" s="1277"/>
      <c r="IG69" s="6777"/>
      <c r="IH69" s="1278"/>
      <c r="II69" s="6793"/>
      <c r="IJ69" s="1274"/>
      <c r="IK69" s="4138"/>
      <c r="IL69" s="4203"/>
      <c r="IM69" s="4204"/>
      <c r="IN69" s="4220"/>
      <c r="IO69" s="4220"/>
      <c r="IP69" s="4220"/>
      <c r="IQ69" s="6850"/>
      <c r="IR69" s="4220"/>
      <c r="IS69" s="6850"/>
      <c r="IT69" s="4220"/>
      <c r="IU69" s="6850"/>
      <c r="IV69" s="7266"/>
      <c r="IW69" s="4204"/>
      <c r="IX69" s="4216"/>
      <c r="IY69" s="4254"/>
      <c r="IZ69" s="4296"/>
      <c r="JA69" s="4297"/>
      <c r="JB69" s="1279"/>
      <c r="JC69" s="4334"/>
      <c r="JD69" s="4349" t="str">
        <f t="shared" si="348"/>
        <v/>
      </c>
      <c r="JE69" s="4335" t="str">
        <f t="shared" si="349"/>
        <v/>
      </c>
      <c r="JF69" s="7038"/>
      <c r="JG69" s="2008"/>
      <c r="JH69" s="6969"/>
      <c r="JI69" s="6969"/>
      <c r="JJ69" s="6969"/>
      <c r="JK69" s="6969"/>
      <c r="JL69" s="7006"/>
      <c r="JM69" s="1859"/>
      <c r="JN69" s="2008"/>
      <c r="JO69" s="2008"/>
      <c r="JP69" s="714"/>
      <c r="JQ69" s="714"/>
      <c r="JR69" s="2008"/>
      <c r="JS69" s="715"/>
      <c r="JT69" s="7160"/>
      <c r="JU69" s="7161"/>
      <c r="JV69" s="8376"/>
      <c r="JW69" s="8403"/>
      <c r="JX69" s="8432"/>
      <c r="JY69" s="8467"/>
      <c r="JZ69" s="7162"/>
      <c r="KA69" s="7160"/>
      <c r="KB69" s="7161"/>
      <c r="KC69" s="7162"/>
      <c r="KD69" s="7160"/>
      <c r="KE69" s="8340"/>
      <c r="KF69" s="8340"/>
      <c r="KG69" s="7161"/>
      <c r="KH69" s="7161"/>
      <c r="KI69" s="7161"/>
      <c r="KJ69" s="7161"/>
      <c r="KK69" s="7161"/>
      <c r="KL69" s="7161"/>
      <c r="KM69" s="7161"/>
      <c r="KN69" s="7161"/>
      <c r="KO69" s="7161"/>
      <c r="KP69" s="7162"/>
      <c r="KQ69" s="1860"/>
      <c r="KR69" s="714"/>
      <c r="KS69" s="715"/>
      <c r="KT69" s="1860"/>
      <c r="KU69" s="2008"/>
      <c r="KV69" s="7306"/>
      <c r="KW69" s="7341"/>
      <c r="KX69" s="7318"/>
      <c r="KY69" s="2689"/>
      <c r="KZ69" s="1439"/>
      <c r="LA69" s="2718"/>
      <c r="LB69" s="1440" t="str">
        <f t="shared" si="369"/>
        <v/>
      </c>
      <c r="LC69" s="5133"/>
      <c r="LD69" s="5132"/>
      <c r="LE69" s="5132"/>
      <c r="LF69" s="5132"/>
      <c r="LG69" s="5132"/>
      <c r="LH69" s="5132"/>
      <c r="LI69" s="5132"/>
      <c r="LJ69" s="5132"/>
    </row>
    <row r="70" spans="1:322" s="13" customFormat="1" ht="27.95" customHeight="1">
      <c r="A70" s="5954" t="str">
        <f t="shared" si="352"/>
        <v>8300-07</v>
      </c>
      <c r="B70" s="9819" t="str">
        <f>+IF(A70="","",VLOOKUP(MATCH(A70,tid,0),tao,'12(id)'!$J$20,FALSE))</f>
        <v>NRG</v>
      </c>
      <c r="C70" s="6365" t="str">
        <f t="shared" si="47"/>
        <v>FD10</v>
      </c>
      <c r="D70" s="1125" t="str">
        <f t="shared" si="48"/>
        <v>8300-07-01</v>
      </c>
      <c r="E70" s="790" t="str">
        <f t="shared" ref="E70:E76" si="379">+IF(BD70="","",BD70)</f>
        <v>High Pressure Water Injection (HPWI)</v>
      </c>
      <c r="F70" s="790" t="str">
        <f t="shared" si="49"/>
        <v>HPWI</v>
      </c>
      <c r="G70" s="5133"/>
      <c r="H70" s="5132"/>
      <c r="I70" s="5133"/>
      <c r="J70" s="719">
        <f t="shared" si="68"/>
        <v>36</v>
      </c>
      <c r="K70" s="649">
        <f t="shared" si="370"/>
        <v>19</v>
      </c>
      <c r="L70" s="9648"/>
      <c r="M70" s="9650"/>
      <c r="N70" s="9648"/>
      <c r="O70" s="38" t="s">
        <v>265</v>
      </c>
      <c r="P70" s="56" t="str">
        <f>+IF(O70="","",VLOOKUP(MATCH(O70,tid,0),tao,'12(id)'!$L$20,FALSE))</f>
        <v>Franklin Drive</v>
      </c>
      <c r="Q70" s="202" t="str">
        <f>+IF(ISERROR(MATCH(O70,tid,0)),"",VLOOKUP(MATCH(O70,tid,0),tao,'12(id)'!$Q$20,FALSE))</f>
        <v>FD10</v>
      </c>
      <c r="R70" s="38">
        <f>+IF(O70="","",VLOOKUP(MATCH(O70,tid,0),tao,'12(id)'!$U$20,FALSE))</f>
        <v>1</v>
      </c>
      <c r="S70" s="38"/>
      <c r="T70" s="57">
        <f>+IF(ISERROR(MATCH(O70,tid,0)),"",IF(VLOOKUP(MATCH(O70,tid,0),tao,'12(id)'!$CT$20,FALSE)="","",VLOOKUP(MATCH(O70,tid,0),tao,'12(id)'!$CT$20,FALSE)))</f>
        <v>20</v>
      </c>
      <c r="U70" s="410">
        <f>+IF(ISERROR(MATCH(O70,tid,0)),"",IF(VLOOKUP(MATCH(O70,tid,0),tao,'12(id)'!$CU$20,FALSE)="","",VLOOKUP(MATCH(O70,tid,0),tao,'12(id)'!$CU$20,FALSE)))</f>
        <v>20</v>
      </c>
      <c r="V70" s="420" t="str">
        <f>+IF(O70="","",IF(VLOOKUP(MATCH(O70,tid,0),tao,'12(id)'!$T$20,FALSE)="","",VLOOKUP(MATCH(O70,tid,0),tao,'12(id)'!$T$20,FALSE)))</f>
        <v>Combustion Turbine</v>
      </c>
      <c r="W70" s="421" t="str">
        <f>+IF(ISERROR(MATCH(O70,tid,0)),"",IF(VLOOKUP(MATCH(O70,tid,0),tao,'12(id)'!$CO$20,FALSE)="","",VLOOKUP(MATCH(O70,tid,0),tao,'12(id)'!$CO$20,FALSE)))</f>
        <v>Pratt &amp; Whitney</v>
      </c>
      <c r="X70" s="420" t="str">
        <f>+IF(ISERROR(MATCH(O70,tid,0)),"",IF(VLOOKUP(MATCH(O70,tid,0),tao,'12(id)'!$CP$20,FALSE)="","",VLOOKUP(MATCH(O70,tid,0),tao,'12(id)'!$CP$20,FALSE)))</f>
        <v>FT4-A8</v>
      </c>
      <c r="Y70" s="2424" t="str">
        <f>+IF(ISERROR(MATCH(O70,tid,0)),"",IF(VLOOKUP(MATCH(O70,tid,0),tao,'12(id)'!$CQ$20,FALSE)="","",VLOOKUP(MATCH(O70,tid,0),tao,'12(id)'!$CQ$20,FALSE)))</f>
        <v>FT</v>
      </c>
      <c r="Z70" s="75" t="str">
        <f>+IF(ISERROR(MATCH(O70,tid,0)),"",VLOOKUP(MATCH(O70,tid,0),tao,'12(id)'!$DB$20,FALSE)&amp;" "&amp;VLOOKUP(MATCH(O70,tid,0),tao,'12(id)'!$DC$20,FALSE))</f>
        <v>Jan 1969</v>
      </c>
      <c r="AA70" s="64" t="str">
        <f ca="1">+IF(ISERROR(MATCH(O70,tid,0)),"",IF(VLOOKUP(MATCH(O70,tid,0),tao,'12(id)'!$DE$20,FALSE)="","",ROUND(VLOOKUP(MATCH(O70,tid,0),tao,'12(id)'!$DE$20,FALSE),0)&amp;" yrs"))</f>
        <v>46 yrs</v>
      </c>
      <c r="AB70" s="56" t="str">
        <f>+IF(ISERROR(MATCH(O70,tid,0)),"",VLOOKUP(MATCH(O70,tid,0),tao,'12(id)'!$DI$20,FALSE))</f>
        <v>Ultra low sulfur kerosene  oil (ULSD)</v>
      </c>
      <c r="AC70" s="56" t="str">
        <f>+IF(ISERROR(MATCH(O70,tid,0)),"",IF(VLOOKUP(MATCH(O70,tid,0),tao,'12(id)'!$DQ$20,FALSE)="","",VLOOKUP(MATCH(O70,tid,0),tao,'12(id)'!$DQ$20,FALSE)))</f>
        <v/>
      </c>
      <c r="AD70" s="119">
        <f>+IF(ISERROR(MATCH(O70,tid,0)),"",IF(VLOOKUP(MATCH(O70,tid,0),tao,'12(id)'!$EI$20,FALSE)="","",VLOOKUP(MATCH(O70,tid,0),tao,'12(id)'!$EI$20,FALSE)))</f>
        <v>0.76</v>
      </c>
      <c r="AE70" s="442" t="str">
        <f>+IF(ISERROR(MATCH(O70,tid,0)),"",IF(VLOOKUP(MATCH(O70,tid,0),tao,'12(id)'!$EJ$20,FALSE)="","",VLOOKUP(MATCH(O70,tid,0),tao,'12(id)'!$EJ$20,FALSE)))</f>
        <v/>
      </c>
      <c r="AF70" s="442">
        <f>+IF(ISERROR(MATCH(O70,tid,0)),"",IF(VLOOKUP(MATCH(O70,tid,0),tao,'12(id)'!$EL$20,FALSE)="","",VLOOKUP(MATCH(O70,tid,0),tao,'12(id)'!$EL$20,FALSE)))</f>
        <v>0.8</v>
      </c>
      <c r="AG70" s="120" t="str">
        <f>+IF(ISERROR(MATCH(O70,tid,0)),"",IF(VLOOKUP(MATCH(O70,tid,0),tao,'12(id)'!$EM$20,FALSE)="","",VLOOKUP(MATCH(O70,tid,0),tao,'12(id)'!$EM$20,FALSE)))</f>
        <v/>
      </c>
      <c r="AH70" s="978" t="s">
        <v>561</v>
      </c>
      <c r="AI70" s="979"/>
      <c r="AJ70" s="980"/>
      <c r="AK70" s="980"/>
      <c r="AL70" s="980"/>
      <c r="AM70" s="981"/>
      <c r="AN70" s="3548" t="s">
        <v>559</v>
      </c>
      <c r="AO70" s="8647">
        <f>+IF(ISERROR(MATCH(O70,tid,0)),"",IF(VLOOKUP(MATCH(O70,tid,0),tao,'12(id)'!$GY$20,FALSE)="","",VLOOKUP(MATCH(O70,tid,0),tao,'12(id)'!$GY$20,FALSE)))</f>
        <v>38.799999999999997</v>
      </c>
      <c r="AP70" s="3531">
        <f>+IF($BB70="","",IF(VLOOKUP(MATCH(O70,tid,0),tao,'12(id)'!$HE$20,FALSE)="","",VLOOKUP(MATCH(O70,tid,0),tao,'12(id)'!$HE$20,FALSE)))</f>
        <v>9915</v>
      </c>
      <c r="AQ70" s="3531">
        <f>+IF(ISERROR(VLOOKUP(MATCH(O70,tid,0),tao,'12(id)'!$HF$20,FALSE)),"",VLOOKUP(MATCH(O70,tid,0),tao,'12(id)'!$HF$20,FALSE))</f>
        <v>9915</v>
      </c>
      <c r="AR70" s="3532">
        <f>+IF(ISERROR(MATCH(O70,tid,0)),"",IF(VLOOKUP(MATCH(O70,tid,0),tao,'12(id)'!$HJ$20,FALSE)="","",VLOOKUP(MATCH(O70,tid,0),tao,'12(id)'!$HJ$20,FALSE)))</f>
        <v>0.8</v>
      </c>
      <c r="AS70" s="4046" t="str">
        <f>+IF(ISERROR(MATCH(O70,tid,0)),"",IF(VLOOKUP(MATCH(O70,tid,0),tao,'12(id)'!$HK$20,FALSE)="","",VLOOKUP(MATCH(O70,tid,0),tao,'12(id)'!$HK$20,FALSE)))</f>
        <v/>
      </c>
      <c r="AT70" s="8649">
        <f>+IF(ISERROR(MATCH(O70,tid,0)),"",IF(VLOOKUP(MATCH(O70,tid,0),tao,'12(id)'!$HM$20,FALSE)="","",VLOOKUP(MATCH(O70,tid,0),tao,'12(id)'!$HM$20,FALSE)))</f>
        <v>4.2</v>
      </c>
      <c r="AU70" s="1007" t="str">
        <f t="shared" si="371"/>
        <v>CAIR-OS (max last 3 yrs)</v>
      </c>
      <c r="AV70" s="1010">
        <f>+IF(ISERROR(MATCH(O70,em_id,0)),"",IF(VLOOKUP(MATCH(O70,em_id,0),em,'5(em)'!$CX$18,FALSE)="","",VLOOKUP(MATCH(O70,em_id,0),em,'5(em)'!$CX$18,FALSE)))</f>
        <v>46</v>
      </c>
      <c r="AW70" s="1011">
        <f>+IF(ISERROR(MATCH(O70,em_id,0)),"",IF(VLOOKUP(MATCH(O70,em_id,0),em,'5(em)'!$CZ$18,FALSE)="","",VLOOKUP(MATCH(O70,em_id,0),em,'5(em)'!$CZ$18,FALSE)))</f>
        <v>11515</v>
      </c>
      <c r="AX70" s="1012">
        <f t="shared" si="50"/>
        <v>0.76</v>
      </c>
      <c r="AY70" s="1013"/>
      <c r="AZ70" s="1014">
        <f>+IF(ISERROR(MATCH(O70,em_id,0)),"",IF(VLOOKUP(MATCH(O70,em_id,0),em,'5(em)'!$DA$18,FALSE)="","",VLOOKUP(MATCH(O70,em_id,0),em,'5(em)'!$DA$18,FALSE)))</f>
        <v>4.3757000000000001</v>
      </c>
      <c r="BA70" s="789"/>
      <c r="BB70" s="790" t="str">
        <f t="shared" si="311"/>
        <v>8300-07-01</v>
      </c>
      <c r="BC70" s="791">
        <v>1</v>
      </c>
      <c r="BD70" s="790" t="str">
        <f>+IF(OR(D70="",VLOOKUP(MATCH(D70,op_id,0),op,'7(op)'!$T$18,FALSE)=""),"",VLOOKUP(MATCH(D70,op_id,0),op,'7(op)'!$T$18,FALSE))</f>
        <v>High Pressure Water Injection (HPWI)</v>
      </c>
      <c r="BE70" s="790" t="s">
        <v>93</v>
      </c>
      <c r="BF70" s="790" t="s">
        <v>1860</v>
      </c>
      <c r="BG70" s="792"/>
      <c r="BH70" s="793" t="s">
        <v>561</v>
      </c>
      <c r="BI70" s="766" t="s">
        <v>566</v>
      </c>
      <c r="BJ70" s="794"/>
      <c r="BK70" s="794"/>
      <c r="BL70" s="794"/>
      <c r="BM70" s="794"/>
      <c r="BN70" s="794" t="str">
        <f t="shared" si="12"/>
        <v/>
      </c>
      <c r="BO70" s="794" t="str">
        <f t="shared" si="13"/>
        <v/>
      </c>
      <c r="BP70" s="794" t="str">
        <f t="shared" si="14"/>
        <v/>
      </c>
      <c r="BQ70" s="794" t="str">
        <f t="shared" si="15"/>
        <v/>
      </c>
      <c r="BR70" s="795"/>
      <c r="BS70" s="793" t="s">
        <v>559</v>
      </c>
      <c r="BT70" s="790" t="s">
        <v>1602</v>
      </c>
      <c r="BU70" s="3707">
        <f>+IF(BB70="","",IF(VLOOKUP(MATCH(BB70,ef_id,0),ef,'11(eff)'!$Z$23,FALSE)="","",VLOOKUP(MATCH(BB70,ef_id,0),ef,'11(eff)'!$Z$23,FALSE)))</f>
        <v>0.22</v>
      </c>
      <c r="BV70" s="3749" t="str">
        <f>+IF(BB70="","",IF(VLOOKUP(MATCH(BB70,ef_id,0),ef,'11(eff)'!$AA$23,FALSE)="","",VLOOKUP(MATCH(BB70,ef_id,0),ef,'11(eff)'!$AA$23,FALSE)))</f>
        <v/>
      </c>
      <c r="BW70" s="3777">
        <v>1.2</v>
      </c>
      <c r="BX70" s="1960">
        <f t="shared" ref="BX70:BX76" si="380">+IF(OR(BB70="",BW70=""),"",BW70/IF(R70="",IF(R69="",R68,R69),R70))</f>
        <v>1.2</v>
      </c>
      <c r="BY70" s="1061">
        <f t="shared" ref="BY70:BY76" si="381">+IF($BB70="","",IF(BU70="","",BU70/2000*IF(AQ70="",IF(AQ69="",AQ68,AQ69),AQ70)))</f>
        <v>1.0906500000000001</v>
      </c>
      <c r="BZ70" s="1061"/>
      <c r="CA70" s="774"/>
      <c r="CB70" s="773">
        <f t="shared" ref="CB70:CB105" si="382">+IF(OR(BX70="",BX70=0),IF(CA70="",IF(GJ70="","",GI70/GJ70/IF(R70="",IF(R69="",R68,R69),R70)),CA70),IF(AT70="",IF(AT69="",AT68,AT69),AT70)-BX70)</f>
        <v>3</v>
      </c>
      <c r="CC70" s="3866">
        <f t="shared" si="372"/>
        <v>0.7142857142857143</v>
      </c>
      <c r="CD70" s="3866">
        <f t="shared" ref="CD70:CD76" si="383">+IF($BB70="","",IF(BU70="","",(1-BU70/IF(AR70="",IF(AR69="",AR68,AR69),AR70))))</f>
        <v>0.72500000000000009</v>
      </c>
      <c r="CE70" s="2371">
        <f>+IF(BB70="","",IF(VLOOKUP(MATCH(BB70,ef_id,0),ef,'11(eff)'!$AE$23,FALSE)="","",VLOOKUP(MATCH(BB70,ef_id,0),ef,'11(eff)'!$AE$23,FALSE)))</f>
        <v>0.72500000000000009</v>
      </c>
      <c r="CF70" s="797" t="s">
        <v>1601</v>
      </c>
      <c r="CG70" s="798" t="s">
        <v>1603</v>
      </c>
      <c r="CH70" s="2408">
        <v>103</v>
      </c>
      <c r="CI70" s="799">
        <f>+IF(BB70="","",AZ70/AW70*2000*(1-CO70))</f>
        <v>0.20899999999999994</v>
      </c>
      <c r="CJ70" s="4068" t="str">
        <f t="shared" ref="CJ70:CJ76" si="384">+IF(AY70="","",AY70*(1-CO70))</f>
        <v/>
      </c>
      <c r="CK70" s="799">
        <f t="shared" ref="CK70:CK76" si="385">+IF($BB70="","",IF(CI70="",IF($AZ70="",IF($AZ69="",$AZ68,$AZ69),$AZ70)-CL70,IF(OR(IF($AW70="",IF($AW69="",$AW68,$AW69),$AW70)="",CI70=""),"",CI70/2000*IF($AW70="",IF($AW69="",$AW68,$AW69),$AW70))))</f>
        <v>1.2033174999999996</v>
      </c>
      <c r="CL70" s="3929">
        <f t="shared" ref="CL70:CL76" si="386">+IF($BB70="","",IF(CI70="",CO70*IF($AZ70="",IF($AZ69="",$AZ68,$AZ69),$AZ70),IF(CK70="","",IF($AZ70="",IF($AZ69="",$AZ68,$AZ69),$AZ70)-CK70)))</f>
        <v>3.1723825000000003</v>
      </c>
      <c r="CM70" s="775">
        <f t="shared" ref="CM70:CM76" si="387">+IF($BB70="","",IF(CL70="","",CL70/IF($AZ70="",IF($AZ69="",$AZ68,$AZ69),$AZ70)))</f>
        <v>0.72500000000000009</v>
      </c>
      <c r="CN70" s="775">
        <f t="shared" ref="CN70:CN76" si="388">+IF($BB70="","",IF(CI70="","",(1-CI70/IF($AX70="",IF($AX69="",$AX68,$AX69),$AX70))))</f>
        <v>0.72500000000000009</v>
      </c>
      <c r="CO70" s="3971">
        <f>+IF(BB70="","",IF(VLOOKUP(MATCH(BB70,ef_id,0),ef,'11(eff)'!$AE$23,FALSE)="","",VLOOKUP(MATCH(BB70,ef_id,0),ef,'11(eff)'!$AE$23,FALSE)))</f>
        <v>0.72500000000000009</v>
      </c>
      <c r="CP70" s="3972" t="str">
        <f>+IF(OR(BB70="",VLOOKUP(MATCH(BB70,ef_id,0),ef,'11(eff)'!$AG$23,FALSE)=""),"",IF(VLOOKUP(MATCH(BB70,ef_id,0),ef,'11(eff)'!$AG$23,FALSE)/100=VLOOKUP(MATCH(BB70,ef_id,0),ef,'11(eff)'!$AE$23,FALSE),VLOOKUP(MATCH(BB70,ef_id,0),ef,'11(eff)'!$AE$23,FALSE),""))</f>
        <v/>
      </c>
      <c r="CQ70" s="789" t="str">
        <f t="shared" si="51"/>
        <v>High Pressure Water Injection (HPWI)</v>
      </c>
      <c r="CR70" s="796"/>
      <c r="CS70" s="2763">
        <v>2409779</v>
      </c>
      <c r="CT70" s="1589">
        <v>1140994</v>
      </c>
      <c r="CU70" s="802">
        <f>+CU64</f>
        <v>360000</v>
      </c>
      <c r="CV70" s="1864">
        <f t="shared" si="309"/>
        <v>159400</v>
      </c>
      <c r="CW70" s="1865">
        <f>+CW64</f>
        <v>40000</v>
      </c>
      <c r="CX70" s="1865">
        <v>250000</v>
      </c>
      <c r="CY70" s="808"/>
      <c r="CZ70" s="2476">
        <f>42000+2500+10000+40000+15000</f>
        <v>109500</v>
      </c>
      <c r="DA70" s="2486"/>
      <c r="DB70" s="2486">
        <f>+DB64</f>
        <v>16000</v>
      </c>
      <c r="DC70" s="1864"/>
      <c r="DD70" s="808">
        <v>50000</v>
      </c>
      <c r="DE70" s="1866"/>
      <c r="DF70" s="1867"/>
      <c r="DG70" s="1867">
        <v>100000</v>
      </c>
      <c r="DH70" s="808"/>
      <c r="DI70" s="804">
        <f t="shared" ref="DI70:DI76" si="389">+IF(CT70="","",SUM(CU70:DC70)+SUM(DE70:DF70))</f>
        <v>934900</v>
      </c>
      <c r="DJ70" s="1936">
        <v>56094</v>
      </c>
      <c r="DK70" s="1589"/>
      <c r="DL70" s="802"/>
      <c r="DM70" s="1864" t="str">
        <f t="shared" si="310"/>
        <v/>
      </c>
      <c r="DN70" s="1865"/>
      <c r="DO70" s="1865"/>
      <c r="DP70" s="808"/>
      <c r="DQ70" s="2476"/>
      <c r="DR70" s="2486"/>
      <c r="DS70" s="2486"/>
      <c r="DT70" s="1864"/>
      <c r="DU70" s="808"/>
      <c r="DV70" s="1866"/>
      <c r="DW70" s="1867"/>
      <c r="DX70" s="1867"/>
      <c r="DY70" s="808"/>
      <c r="DZ70" s="804" t="str">
        <f t="shared" si="18"/>
        <v/>
      </c>
      <c r="EA70" s="1936"/>
      <c r="EB70" s="802">
        <f t="shared" si="377"/>
        <v>1140994</v>
      </c>
      <c r="EC70" s="1961">
        <v>1</v>
      </c>
      <c r="ED70" s="803">
        <f t="shared" si="20"/>
        <v>1140994</v>
      </c>
      <c r="EE70" s="1866"/>
      <c r="EF70" s="1867"/>
      <c r="EG70" s="808">
        <v>513447</v>
      </c>
      <c r="EH70" s="804">
        <f t="shared" si="353"/>
        <v>513447</v>
      </c>
      <c r="EI70" s="1866"/>
      <c r="EJ70" s="1867"/>
      <c r="EK70" s="806"/>
      <c r="EL70" s="800">
        <v>376528</v>
      </c>
      <c r="EM70" s="1866"/>
      <c r="EN70" s="1867"/>
      <c r="EO70" s="806"/>
      <c r="EP70" s="804">
        <f t="shared" si="378"/>
        <v>376528</v>
      </c>
      <c r="EQ70" s="2559"/>
      <c r="ER70" s="2559"/>
      <c r="ES70" s="2559"/>
      <c r="ET70" s="1457">
        <v>378810</v>
      </c>
      <c r="EU70" s="1344"/>
      <c r="EV70" s="1391"/>
      <c r="EW70" s="2579"/>
      <c r="EX70" s="2579"/>
      <c r="EY70" s="2686">
        <f t="shared" ref="EY70:EY76" si="390">+IF(BB70="","",(IF(ED70="",0,ED70)+IF(EH70="",0,EH70)+IF(EP70="",0,EP70)+IF(ET70="",0,ET70)+IF(EW70="",0,EW70)+IF(EX70="",0,EX70)))</f>
        <v>2409779</v>
      </c>
      <c r="EZ70" s="2715"/>
      <c r="FA70" s="1391"/>
      <c r="FB70" s="1476">
        <f t="shared" ref="FB70:FB76" si="391">+IF(BB70="","",(IF(EY70="",0,EY70)+IF(FA70="",0,FA70)-IF(EZ70="",0,EZ70)))</f>
        <v>2409779</v>
      </c>
      <c r="FC70" s="802">
        <f t="shared" ref="FC70:FC76" si="392">+IF(OR(ED70="",IF(R70="",IF(R69="",R68,R69),R70)=""),"",ED70/IF(R70="",IF(R69="",R68,R69),R70))</f>
        <v>1140994</v>
      </c>
      <c r="FD70" s="2047">
        <f t="shared" ref="FD70:FD76" si="393">+IF(OR(BB70="",IF(R70="",IF(R69="",R68,R69),R70)="",(CU70+DL70)=0),"",(CU70+DL70)/IF(R70="",IF(R69="",R68,R69),R70))</f>
        <v>360000</v>
      </c>
      <c r="FE70" s="2031">
        <f t="shared" ref="FE70:FE76" si="394">+IF(OR(FC70="",FC70=0,FD70=""),"",FD70/FC70)</f>
        <v>0.31551436729728638</v>
      </c>
      <c r="FF70" s="2047">
        <f t="shared" ref="FF70:FF76" si="395">+IF(OR(BB70="",CT70="",IF(R70="",IF(R69="",R68,R69),R70)=""),"",(SUM(CV70:CZ70)+(IF(DM70="",0,DM70)+SUM(DN70:DQ70)))/IF(R70="",IF(R69="",R68,R69),R70))</f>
        <v>558900</v>
      </c>
      <c r="FG70" s="2031">
        <f t="shared" ref="FG70:FG76" si="396">+IF(OR(BB70="",ISERROR(FF70/FC70)),"",FF70/FC70)</f>
        <v>0.48983605522903712</v>
      </c>
      <c r="FH70" s="2047">
        <f t="shared" ref="FH70:FH76" si="397">+IF(OR(BB70="",IF(R70="",IF(R69="",R68,R69),R70)="",),"",(DA70+DR70)/IF(R70="",IF(R69="",R68,R69),R70))</f>
        <v>0</v>
      </c>
      <c r="FI70" s="2031">
        <f t="shared" ref="FI70:FI76" si="398">+IF(OR(FC70="",FC70=0,FH70=""),"",FH70/FC70)</f>
        <v>0</v>
      </c>
      <c r="FJ70" s="2856">
        <f t="shared" ref="FJ70:FJ76" si="399">+IF(OR(BB70="",CT70=""),"",IF(FD70="",0,FD70)+IF(FF70="",0,FF70)+IF(FH70="",0,FH70))</f>
        <v>918900</v>
      </c>
      <c r="FK70" s="2808">
        <f t="shared" si="373"/>
        <v>0.8053504225263235</v>
      </c>
      <c r="FL70" s="2780">
        <f t="shared" ref="FL70:FL76" si="400">+IF(OR(BB70="",CT70="",IF(R70="",IF(R69="",R68,R69),R70)=""),"",(DB70+DC70+DS70+DT70)/IF(R70="",IF(R69="",R68,R69),R70))</f>
        <v>16000</v>
      </c>
      <c r="FM70" s="2031">
        <f t="shared" ref="FM70:FM76" si="401">+IF(OR(BB70="",ISERROR(FL70/FC70)),"",FL70/FC70)</f>
        <v>1.4022860768768285E-2</v>
      </c>
      <c r="FN70" s="2780">
        <f t="shared" ref="FN70:FN76" si="402">+IF(OR(BB70="",CT70="",IF(R70="",IF(R69="",R68,R69),R70)=""),"",(DD70+DU70)/IF(R70="",IF(R69="",R68,R69),R70))</f>
        <v>50000</v>
      </c>
      <c r="FO70" s="2770">
        <f t="shared" ref="FO70:FO76" si="403">+IF(OR(BB70="",ISERROR(FN70/FC70)),"",FN70/FC70)</f>
        <v>4.3821439902400887E-2</v>
      </c>
      <c r="FP70" s="2780">
        <f t="shared" ref="FP70:FP76" si="404">+IF(OR(BB70="",CT70="",IF(R70="",IF(R69="",R68,R69),R70)=""),"",(DG70+DH70+DX70+DY70)/IF(R70="",IF(R69="",R68,R69),R70))</f>
        <v>100000</v>
      </c>
      <c r="FQ70" s="2770">
        <f t="shared" ref="FQ70:FQ76" si="405">+IF(OR(BB70="",ISERROR(FL70/FC70)),"",FP70/FC70)</f>
        <v>8.7642879804801774E-2</v>
      </c>
      <c r="FR70" s="2844">
        <f t="shared" ref="FR70:FR76" si="406">+IF(OR(BB70="",IF(R70="",IF(R69="",R68,R69),R70)="",(IF(DI70="",0,DI70)+IF(DZ70="",0,DZ70))=0),"",(IF(DI70="",0,DI70)+IF(DZ70="",0,DZ70))/IF(R70="",IF(R69="",R68,R69),R70))</f>
        <v>934900</v>
      </c>
      <c r="FS70" s="2826">
        <f t="shared" ref="FS70:FS76" si="407">+IF(OR(DJ70="",IF(R70="",IF(R69="",R68,R69),R70)=""),"",(DJ70+EA70)/IF(R70="",IF(R69="",R68,R69),R70))</f>
        <v>56094</v>
      </c>
      <c r="FT70" s="2067">
        <f t="shared" ref="FT70:FT76" si="408">+IF(OR(BB70="",ISERROR(FS70/FR70)),"",FS70/FR70)</f>
        <v>0.06</v>
      </c>
      <c r="FU70" s="2892">
        <f t="shared" ref="FU70:FU76" si="409">+IF(OR(BB70="",ISERROR(1-(FR70+IF(FS70="",0,FS70)+FN70+FP70)*IF(R70="",IF(R69="",R68,R69),R70)/(CT70+DK70))),"",1-(FR70+IF(FS70="",0,FS70)+FN70+FP70)*IF(R70="",IF(R69="",R68,R69),R70)/(CT70+DK70))</f>
        <v>0</v>
      </c>
      <c r="FV70" s="800">
        <f t="shared" ref="FV70:FV76" si="410">+IF(FC70="","",FC70/IF(OR(ISTEXT(T70),T70=""),IF(OR(ISTEXT(T69),T69=""),IF(OR(ISTEXT(T68),T68=""),1,T68),T69),T70))</f>
        <v>57049.7</v>
      </c>
      <c r="FW70" s="2108">
        <f t="shared" ref="FW70:FW76" si="411">+IF(OR(EH70="",IF(R70="",IF(R69="",R68,R69),R70)=""),"",EH70/IF(R70="",IF(R69="",R68,R69),R70))</f>
        <v>513447</v>
      </c>
      <c r="FX70" s="2098">
        <f t="shared" ref="FX70:FX76" si="412">+IF(ISERR(FW70/$FC70),"",FW70/$FC70)</f>
        <v>0.44999973707136059</v>
      </c>
      <c r="FY70" s="2109">
        <f t="shared" ref="FY70:FY76" si="413">+IF(OR(EP70="",IF(R70="",IF(R69="",R68,R69),R70)=""),"",EP70/IF(R70="",IF(R69="",R68,R69),R70))</f>
        <v>376528</v>
      </c>
      <c r="FZ70" s="2098">
        <f t="shared" ref="FZ70:FZ76" si="414">+IF(ISERR(FY70/$FC70),"",FY70/$FC70)</f>
        <v>0.32999998247142404</v>
      </c>
      <c r="GA70" s="2098" t="str">
        <f t="shared" ref="GA70:GA76" si="415">+IF(IF(V70="",V69,V70)="Utility Boiler",IF(ISERR(FY70/(FC70+FW70)),"",FY70/(FC70+FW70)),"")</f>
        <v/>
      </c>
      <c r="GB70" s="2109">
        <f t="shared" ref="GB70:GB76" si="416">+IF(OR(ET70="",IF(R70="",IF(R69="",R68,R69),R70)=""),"",ET70/IF(R70="",IF(R69="",R68,R69),R70))</f>
        <v>378810</v>
      </c>
      <c r="GC70" s="2098">
        <f t="shared" ref="GC70:GC76" si="417">+IF(ISERR(GB70/$FC70),"",GB70/$FC70)</f>
        <v>0.33199999298856964</v>
      </c>
      <c r="GD70" s="2098" t="str">
        <f t="shared" ref="GD70:GD76" si="418">+IF(IF(V70="",V69,V70)="Utility Boiler",IF(ISERR(GB70/($FC70)),"",GB70/(FC70+FW70+FY70)),"")</f>
        <v/>
      </c>
      <c r="GE70" s="807">
        <f t="shared" ref="GE70:GE76" si="419">+IF(OR(FB70="",IF(R70="",IF(R69="",R68,R69),R70)=""),"",FB70/IF(R70="",IF(R69="",R68,R69),R70))</f>
        <v>2409779</v>
      </c>
      <c r="GF70" s="2142">
        <f t="shared" ref="GF70:GF76" si="420">+IF(FB70="","",(IF(FA70="",0,FA70)-IF(EZ70="",0,EZ70))+(IF(EU70="",0,EU70)+IF(EV70="",0,EV70)+(IF(EW70="",0,EW70)+IF(EX70="",0,EX70))/IF(R70="",IF(R69="",R68,R69),R70)+IF(FC70="",0,FC70)+IF(FW70="",0,FW70)+IF(FY70="",0,FY70)+IF(GB70="",0,GB70)))</f>
        <v>2409779</v>
      </c>
      <c r="GG70" s="2170">
        <f t="shared" ref="GG70:GG76" si="421">+IF(OR(CS70="",IF(R70="",IF(R69="",R68,R69),R70)="",GF70=0),"",1-(CS70/IF(R70="",IF(R69="",R68,R69),R70))/GF70)</f>
        <v>0</v>
      </c>
      <c r="GH70" s="3178">
        <f t="shared" ref="GH70:GH76" si="422">+IF(ISERROR(GF70/IF(T70="",IF(T69="",T68,T69),T70)),"",IF(IF(T70="",IF(T69="",T68,T69),T70)="","",IF(GF70="","",GF70/IF(T70="",IF(T69="",T68,T69),T70))))</f>
        <v>120488.95</v>
      </c>
      <c r="GI70" s="3198">
        <v>401448</v>
      </c>
      <c r="GJ70" s="3186">
        <v>131838</v>
      </c>
      <c r="GK70" s="3452">
        <f t="shared" ref="GK70:GK114" si="423">+IF(OR(BB70="",GJ70=""),"",IF(CB70="",1,CB70*IF(R70="",IF(R69="",R68,R69),R70)))</f>
        <v>3</v>
      </c>
      <c r="GL70" s="3223">
        <f t="shared" ref="GL70:GL76" si="424">+IF(OR(BB70="",GI70="",GJ70=""),"",(GJ70-GI70/GK70)/GJ70)</f>
        <v>-1.5003261578604044E-2</v>
      </c>
      <c r="GM70" s="1281"/>
      <c r="GN70" s="2195"/>
      <c r="GO70" s="1866">
        <v>7000</v>
      </c>
      <c r="GP70" s="806">
        <f t="shared" si="354"/>
        <v>47654.5</v>
      </c>
      <c r="GQ70" s="1457">
        <v>54654.5</v>
      </c>
      <c r="GR70" s="2323">
        <f>0.3*GO70</f>
        <v>2100</v>
      </c>
      <c r="GS70" s="2323">
        <v>45639.5</v>
      </c>
      <c r="GT70" s="804">
        <v>299054</v>
      </c>
      <c r="GU70" s="2314">
        <f t="shared" ref="GU70:GU76" si="425">+IF(OR(SUM(GQ70:GT70)=0,GT70=""),IF(GK70=1,GJ70*GK70,IF(GI70="","",GI70)),SUM(GQ70:GT70))</f>
        <v>401448</v>
      </c>
      <c r="GV70" s="1337">
        <f t="shared" ref="GV70:GV76" si="426">+IF(OR(GO70="",IF(R70="",IF(R69="",R68,R69),R70)=""),"",GO70/IF(R70="",IF(R69="",R68,R69),R70))</f>
        <v>7000</v>
      </c>
      <c r="GW70" s="2258">
        <f t="shared" ref="GW70:GW76" si="427">+IF(OR(GP70="",IF(R70="",IF(R69="",R68,R69),R70)=""),"",GP70/IF(R70="",IF(R69="",R68,R69),R70))</f>
        <v>47654.5</v>
      </c>
      <c r="GX70" s="2268">
        <f t="shared" ref="GX70:GX76" si="428">+IF(OR(GQ70="",IF(R70="",IF(R69="",R68,R69),R70)=""),"",GQ70/IF(R70="",IF(R69="",R68,R69),R70))</f>
        <v>54654.5</v>
      </c>
      <c r="GY70" s="2224">
        <f t="shared" ref="GY70:GY76" si="429">+IF(OR(GR70="",IF(R70="",IF(R69="",R68,R69),R70)=""),"",GR70/IF(R70="",IF(R69="",R68,R69),R70))</f>
        <v>2100</v>
      </c>
      <c r="GZ70" s="2269">
        <f t="shared" ref="GZ70:GZ76" si="430">+IF(OR(GS70="",IF(R70="",IF(R69="",R68,R69),R70)=""),"",GS70/IF(R70="",IF(R69="",R68,R69),R70))</f>
        <v>45639.5</v>
      </c>
      <c r="HA70" s="804">
        <f t="shared" ref="HA70:HA76" si="431">+IF(OR(GT70="",IF(R70="",IF(R69="",R68,R69),R70)=""),"",GT70/IF(R70="",IF(R69="",R68,R69),R70))</f>
        <v>299054</v>
      </c>
      <c r="HB70" s="1254">
        <f t="shared" ref="HB70:HB114" si="432">+IF(OR(SUM(GX70:HA70)=0,HA70="",ISERR(SUM(GX70:HA70))),"",SUM(GX70:HA70))</f>
        <v>401448</v>
      </c>
      <c r="HC70" s="1282">
        <f t="shared" ref="HC70:HC76" si="433">+IF(OR(GU70="",IF(R70="",IF(R69="",R68,R69),R70)=""),"",GU70/IF(R70="",IF(R69="",R68,R69),R70))</f>
        <v>401448</v>
      </c>
      <c r="HD70" s="1283">
        <f t="shared" si="375"/>
        <v>0</v>
      </c>
      <c r="HE70" s="1281"/>
      <c r="HF70" s="801">
        <f t="shared" ref="HF70:HF76" si="434">+IF(OR(BB70="",GJ70=""),"",GJ70)</f>
        <v>131838</v>
      </c>
      <c r="HG70" s="1284">
        <f t="shared" ref="HG70:HG76" si="435">+IF(OR(HC70="",$CL70=""),"",HC70/$CL70)</f>
        <v>126544.63955717823</v>
      </c>
      <c r="HH70" s="2991">
        <f t="shared" ref="HH70:HH76" si="436">+IF(BF70="","",VALUE(LEFT(BF70,1)))</f>
        <v>1</v>
      </c>
      <c r="HI70" s="1285">
        <f t="shared" si="355"/>
        <v>934900</v>
      </c>
      <c r="HJ70" s="1867">
        <f t="shared" si="356"/>
        <v>100000</v>
      </c>
      <c r="HK70" s="2917">
        <f t="shared" si="357"/>
        <v>50000</v>
      </c>
      <c r="HL70" s="2917">
        <f t="shared" ref="HL70:HL76" si="437">+IF(FR70="","",IF(HH70="","",IF(HH70=4,FS70,IF(HH70=3,FS70,IF(HH70=2,$HL$7*HI70,IF(HH70=1,$HL$6*HI70,""))))))</f>
        <v>56094</v>
      </c>
      <c r="HM70" s="1286">
        <f t="shared" si="358"/>
        <v>1140994</v>
      </c>
      <c r="HN70" s="1347">
        <f t="shared" si="347"/>
        <v>57049.7</v>
      </c>
      <c r="HO70" s="2942">
        <f t="shared" ref="HO70:HO76" si="438">+IF(FR70="","",IF(HH70="","",IF(HH70=4,FW70,IF(HH70=3,FW70,IF(HH70=2,$HO$7*HM70,IF(HH70=1,$HO$6*HM70,""))))))</f>
        <v>513447.3</v>
      </c>
      <c r="HP70" s="2943">
        <f t="shared" ref="HP70:HP76" si="439">+IF(FR70="","",IF(HH70="","",IF(HH70=4,FY70,IF(HH70=3,FY70,IF(HH70=2,$HP$7*(HM70+HO70),IF(HH70=1,$HP$6*HM70,""))))))</f>
        <v>376528.02</v>
      </c>
      <c r="HQ70" s="3006" t="str">
        <f t="shared" ref="HQ70:HQ76" si="440">+IF(FR70="","",IF(HH70="","",IF(HH70=3,$HQ$8*(HI70+HO70+HP70),"")))</f>
        <v/>
      </c>
      <c r="HR70" s="2944">
        <f t="shared" ref="HR70:HR76" si="441">+IF(FR70="","",IF(HH70="","",IF(HH70=4,GB70,IF(HH70=3,$HR$8*HO70,IF(HH70=2,$HR$7*(HM70+HO70+HP70),IF(HH70=1,$HR$6*HM70,""))))))</f>
        <v>228198.80000000002</v>
      </c>
      <c r="HS70" s="2944">
        <f t="shared" ref="HS70:HS76" si="442">IF(FR70="","",SUM(HQ70:HR70))</f>
        <v>228198.80000000002</v>
      </c>
      <c r="HT70" s="3036" t="str">
        <f t="shared" ref="HT70:HT76" si="443">+IF(FR70="","",IF(HH70="","",IF(HH70=2,$HT$7*(HP70+HR70),"")))</f>
        <v/>
      </c>
      <c r="HU70" s="2944" t="str">
        <f t="shared" ref="HU70:HU76" si="444">+IF(FR70="","",IF(HH70="","",IF(HH70=2,$HU$7*(HP70+HR70),"")))</f>
        <v/>
      </c>
      <c r="HV70" s="3036" t="str">
        <f t="shared" si="312"/>
        <v/>
      </c>
      <c r="HW70" s="2944" t="str">
        <f t="shared" si="313"/>
        <v/>
      </c>
      <c r="HX70" s="3029">
        <f t="shared" si="199"/>
        <v>2259168.12</v>
      </c>
      <c r="HY70" s="2943" t="str">
        <f t="shared" ref="HY70:HY76" si="445">+IF(EZ70="","",EZ70/IF(R70="",IF(R69="",IF(R68="",1,R68),R69),R70))</f>
        <v/>
      </c>
      <c r="HZ70" s="2944" t="str">
        <f t="shared" ref="HZ70:HZ76" si="446">+IF(FA70="","",FA70/IF(R70="",IF(R69="",IF(R68="",1,R68),R69),R70))</f>
        <v/>
      </c>
      <c r="IA70" s="1285">
        <f t="shared" si="376"/>
        <v>2259168.12</v>
      </c>
      <c r="IB70" s="1287" t="str">
        <f t="shared" si="237"/>
        <v>stk added + 6%</v>
      </c>
      <c r="IC70" s="2907">
        <f t="shared" si="359"/>
        <v>112958.406</v>
      </c>
      <c r="ID70" s="1288"/>
      <c r="IE70" s="4103"/>
      <c r="IF70" s="1262">
        <f t="shared" ref="IF70:IF76" si="447">+IF(GO70="","",GO70)</f>
        <v>7000</v>
      </c>
      <c r="IG70" s="6774">
        <f>+IF(AO70="","",IF(IF70="","",(IF70/AO70)))</f>
        <v>180.41237113402065</v>
      </c>
      <c r="IH70" s="1257">
        <f t="shared" ref="IH70:IH76" si="448">+IF(GP70="","",GP70)</f>
        <v>47654.5</v>
      </c>
      <c r="II70" s="6794">
        <f t="shared" ref="II70:II76" si="449">+IH70/AQ70</f>
        <v>4.8063035804336867</v>
      </c>
      <c r="IJ70" s="4101">
        <f t="shared" ref="IJ70:IJ76" si="450">+IF(SUM(IF(IH70="",0,IH70)+IF(IF70="",0,IF70))=0,"",IF(IH70="",0,IH70)+IF(IF70="",0,IF70))</f>
        <v>54654.5</v>
      </c>
      <c r="IK70" s="4139">
        <v>1</v>
      </c>
      <c r="IL70" s="788">
        <f t="shared" ref="IL70:IL76" si="451">+IF(IF70="","",IK70*$IL$8*IF70)</f>
        <v>2100</v>
      </c>
      <c r="IM70" s="787">
        <f t="shared" ref="IM70:IM76" si="452">IF(HM70="","",IK70*$IM$8*IA70)</f>
        <v>90366.724800000011</v>
      </c>
      <c r="IN70" s="4233">
        <f t="shared" ref="IN70:IN76" si="453">+IF(SUM(IF(IM70="",0,IM70)+IF(IL70="",0,IL70))=0,"",IF(IM70="",0,IM70)+IF(IL70="",0,IL70))</f>
        <v>92466.724800000011</v>
      </c>
      <c r="IO70" s="4233">
        <f t="shared" ref="IO70:IO76" si="454">+IF(SUM(IF(IN70="",0,IN70)+IF(IJ70="",0,IJ70))=0,"",IF(IN70="",0,IN70)+IF(IJ70="",0,IJ70))</f>
        <v>147121.22480000003</v>
      </c>
      <c r="IP70" s="4233">
        <f t="shared" ref="IP70:IP76" si="455">+IF(BB70="","",IF(IJ70="","",IJ70/IF(R70="",IF(R69="",IF(R68="",R67,R68),R69),R70)))</f>
        <v>54654.5</v>
      </c>
      <c r="IQ70" s="6847">
        <f t="shared" ref="IQ70:IQ76" si="456">+IF(IP70="","",IP70/IX70)</f>
        <v>0.15166188030502856</v>
      </c>
      <c r="IR70" s="4233">
        <f t="shared" ref="IR70:IR76" si="457">+IF(BB70="","",IF(IN70="","",IN70/IF(R70="",IF(R69="",IF(R68="",R67,R68),R69),R70)))</f>
        <v>92466.724800000011</v>
      </c>
      <c r="IS70" s="6847">
        <f t="shared" ref="IS70:IS76" si="458">+IF(IR70="","",IR70/IX70)</f>
        <v>0.25658778963883333</v>
      </c>
      <c r="IT70" s="4233">
        <f t="shared" ref="IT70:IT76" si="459">+IF(BB70="","",IF(IO70="","",IO70/IF(R70="",IF(R69="",IF(R68="",R67,R68),R69),R70)))</f>
        <v>147121.22480000003</v>
      </c>
      <c r="IU70" s="6847">
        <f t="shared" ref="IU70:IU76" si="460">+IF(IT70="","",IT70/IX70)</f>
        <v>0.40824966994386197</v>
      </c>
      <c r="IV70" s="4135">
        <f t="shared" ref="IV70:IV76" si="461">+IF(D70="","",IF(IF(V70="",IF(V69="",IF(V68="",V67,V68),V69),V70)="Utility Boiler",2,1))</f>
        <v>1</v>
      </c>
      <c r="IW70" s="787">
        <f t="shared" ref="IW70:IW76" si="462">IF(IA70="","",IF(IV70=1,$IW$5,IF(IV70=2,$IW$8,""))*IA70)</f>
        <v>213249.48859269058</v>
      </c>
      <c r="IX70" s="2906">
        <f t="shared" ref="IX70:IX76" si="463">+IF(SUM(IF(IW70="",0,IW70)+IF(IT70="",0,IT70))=0,IY70,IF(IW70="",0,IW70)+IF(IT70="",0,IT70))</f>
        <v>360370.71339269064</v>
      </c>
      <c r="IY70" s="4251">
        <f t="shared" ref="IY70:IY76" si="464">+HC70</f>
        <v>401448</v>
      </c>
      <c r="IZ70" s="4298">
        <f t="shared" ref="IZ70:IZ76" si="465">+IF(IY70="","",(IY70-IX70)/IY70)</f>
        <v>0.1023228079534818</v>
      </c>
      <c r="JA70" s="4291" t="str">
        <f t="shared" ref="JA70:JA76" si="466">+IF(BB70="","",IF(ISERROR(IY70-IX70),"",IF((IY70-IX70)&gt;0,"stk added + "&amp;ROUND((IY70-IX70)/IY70*100,0)&amp;"%",IF(IY70=IX70,"same TAC",(IY70-IX70)/IY70))))</f>
        <v>stk added + 10%</v>
      </c>
      <c r="JB70" s="1266"/>
      <c r="JC70" s="805"/>
      <c r="JD70" s="801">
        <f t="shared" ref="JD70:JD76" si="467">+IF(OR(IX70="",$CB70=""),"",IX70/$CB70)</f>
        <v>120123.57113089687</v>
      </c>
      <c r="JE70" s="4336">
        <f t="shared" ref="JE70:JE76" si="468">+IF(OR(IX70="",$CL70=""),"",IX70/$CL70)</f>
        <v>113596.2367062265</v>
      </c>
      <c r="JF70" s="7039">
        <f t="shared" ref="JF70:JF76" si="469">+IF(D70="","",IF(T70="",IF(T69="",T68/IF(Y68="TP",2,1),T69/IF(Y69="TP",2,1)),T70/IF(Y70="TP",2,1)))</f>
        <v>20</v>
      </c>
      <c r="JG70" s="7055" t="s">
        <v>93</v>
      </c>
      <c r="JH70" s="6970">
        <f t="shared" ref="JH70:JH76" si="470">+IF(D70="","",IF(HX70="","",HX70))</f>
        <v>2259168.12</v>
      </c>
      <c r="JI70" s="6970">
        <f t="shared" ref="JI70:JI76" si="471">+JH70</f>
        <v>2259168.12</v>
      </c>
      <c r="JJ70" s="6970"/>
      <c r="JK70" s="6970"/>
      <c r="JL70" s="7007"/>
      <c r="JM70" s="7049">
        <f t="shared" ref="JM70:JM76" si="472">+IF(D70="","",IF(JG70="SCR",(JF70*49700+459000),IF(JG70="HPWI",(0.0353*JF70+0.2915)*(10^6),"N/A")))</f>
        <v>997500</v>
      </c>
      <c r="JN70" s="1867">
        <f t="shared" ref="JN70:JN76" si="473">+IF(D70="","",IF(JM70="N/A","",JM70*$JN$27))</f>
        <v>1725675</v>
      </c>
      <c r="JO70" s="1867">
        <f t="shared" ref="JO70:JO76" si="474">+JN70</f>
        <v>1725675</v>
      </c>
      <c r="JP70" s="7080"/>
      <c r="JQ70" s="7080"/>
      <c r="JR70" s="7055"/>
      <c r="JS70" s="7073">
        <f t="shared" ref="JS70:JS76" si="475">+IF(D70="","",SUM(JO70:JR70))</f>
        <v>1725675</v>
      </c>
      <c r="JT70" s="7163">
        <f t="shared" ref="JT70:JT113" si="476">+IF(BE70="","",IF(OR(BE70="SCR",BE70="New Eqp"),2,1))</f>
        <v>1</v>
      </c>
      <c r="JU70" s="7164">
        <f t="shared" ref="JU70:JU76" si="477">+IF(D70="","",IF(AV70="",IF(AV69="",IF(AV68="","",AV68),AV69),AV70))</f>
        <v>46</v>
      </c>
      <c r="JV70" s="8377">
        <f t="shared" ref="JV70:JV76" si="478">+IF(D70="","",IF(AW70="",IF(AW69="",IF(AW68="","",AW68),AW69),AW70))</f>
        <v>11515</v>
      </c>
      <c r="JW70" s="8404">
        <f t="shared" ref="JW70:JW76" si="479">+CL70</f>
        <v>3.1723825000000003</v>
      </c>
      <c r="JX70" s="8433" t="str">
        <f t="shared" ref="JX70:JX76" si="480">+IF(OR(D70="",JU70=""),"",IF(JT70=2,24000/JU70,""))</f>
        <v/>
      </c>
      <c r="JY70" s="8468" t="str">
        <f>+IF(D70="","",IF(JT70=2,(#REF!*(1+#REF!)^JX70)/((1+#REF!)^JX70-1),""))</f>
        <v/>
      </c>
      <c r="JZ70" s="7165" t="str">
        <f t="shared" ref="JZ70:JZ76" si="481">+IF(OR(D70="",JU70="",ISERROR(JF70)),"",IF(JT70=2,JF70*6180/83,""))</f>
        <v/>
      </c>
      <c r="KA70" s="7163">
        <f t="shared" ref="KA70:KA76" si="482">+IF(OR(D70="",JV70=""),"",IF(JT70=1,JV70*10^6/$KA$8/JU70,""))</f>
        <v>13656.633221850614</v>
      </c>
      <c r="KB70" s="7164">
        <f t="shared" ref="KB70:KB76" si="483">+IF(OR(D70="",KA70=""),"",IF(JT70=1,KA70*$KB$8,""))</f>
        <v>9559.6432552954284</v>
      </c>
      <c r="KC70" s="7165">
        <f t="shared" ref="KC70:KC76" si="484">+IF(OR(D70="",KB70=""),"",IF(JT70=1,KB70*7.48/62.4/60,""))</f>
        <v>19.098859922438518</v>
      </c>
      <c r="KD70" s="7163">
        <f t="shared" ref="KD70:KD76" si="485">+IF(OR(D70="",JV70=""),"",IF(JT70=1,$KD$5*JU70*$KD$6/1000,$KD$7*JU70*$KD$8/1000))</f>
        <v>892.76800000000003</v>
      </c>
      <c r="KE70" s="8341" t="str">
        <f t="shared" ref="KE70:KE76" si="486">+IF(OR(D70="",JW70="",JW70=0),"",IF(JT70=2,JW70*$KE$8*$KG$4,""))</f>
        <v/>
      </c>
      <c r="KF70" s="8341" t="str">
        <f t="shared" ref="KF70:KF76" si="487">+IF(OR(D70="",JW70="",JW70=0),"",IF(JT70=2,JW70*(0.95/0.05)*(18/17)*($KF$8/1000)*(2000)*$KG$4,""))</f>
        <v/>
      </c>
      <c r="KG70" s="7164">
        <f t="shared" ref="KG70:KG76" si="488">+IF(D70="","",IF(JT70=1,$KG$2*KC70/1000*60*JU70*$KG$4*$KG$6,IF(OR(JZ70="",JY70=""),"",JZ70*$KG$8*JY70*$KG$4)))</f>
        <v>731.9351536538461</v>
      </c>
      <c r="KH70" s="7164" t="str">
        <f t="shared" ref="KH70:KH76" si="489">IF(D70="","",IF(JT70=2,0.005*JF70*$KD$6/1000*1000*JU70,""))</f>
        <v/>
      </c>
      <c r="KI70" s="7164" t="str">
        <f t="shared" ref="KI70:KI76" si="490">IF(D70="","",IF(JT70=2,0.1*0.005*JF70*$KD$6/1000*1000*JU70,""))</f>
        <v/>
      </c>
      <c r="KJ70" s="7164">
        <f t="shared" ref="KJ70:KJ76" si="491">+IF(OR(D70="",JU70="",JV70=""),"",IF(JT70=1,KD70+KG70,KD70+KE70+KF70+KG70+KH70+KI70))</f>
        <v>1624.7031536538461</v>
      </c>
      <c r="KK70" s="7164">
        <f t="shared" ref="KK70:KK76" si="492">+IF(OR(D70="",JU70="",JV70=""),"",$KK$7*$KG$4*JU70)</f>
        <v>4825.7312000000002</v>
      </c>
      <c r="KL70" s="7164">
        <f t="shared" ref="KL70:KL76" si="493">+IF(OR(D70="",JU70="",JV70="",JS70=""),"",IF(JT70=1,$KL$7*JS70*JU70/$KL$8,$KL$7*IF(JN70="",JS70,JN70)*JU70/$KL$8))</f>
        <v>297.67893750000002</v>
      </c>
      <c r="KM70" s="7164">
        <f t="shared" ref="KM70:KM76" si="494">+IF(D70="","",IF(KK70="",0,KK70)+IF(KL70="",0,KL70))</f>
        <v>5123.4101375</v>
      </c>
      <c r="KN70" s="7164" t="str">
        <f t="shared" ref="KN70:KN76" si="495">+IF(D70="","",IF(JX70&lt;41,$KN$8*JZ70*JY70,""))</f>
        <v/>
      </c>
      <c r="KO70" s="7164">
        <f t="shared" ref="KO70:KO76" si="496">+IF(OR(D70="",JU70="",JV70=""),"",IF(KM70="",0,KM70)+IF(KN70="",0,KN70))</f>
        <v>5123.4101375</v>
      </c>
      <c r="KP70" s="7165">
        <f t="shared" ref="KP70:KP76" si="497">+IF(OR(D70="",JU70="",JV70=""),"",IF(KJ70="",0,KJ70)+IF(KO70="",0,KO70))</f>
        <v>6748.1132911538461</v>
      </c>
      <c r="KQ70" s="7216">
        <f>+IF(D70="","",VLOOKUP(MATCH(BE70,ac_id,0),ad,ac!$F$8,FALSE)*JV70)</f>
        <v>80605</v>
      </c>
      <c r="KR70" s="7080">
        <f>+IF(D70="","",IF(JT70=1,VLOOKUP(MATCH(BE70,ac_id,0),ad,ac!$H$8,FALSE)*JU70, (VLOOKUP(MATCH(BE70,ac_id,0),ad,ac!$H$8,FALSE)*JU70^(1+VLOOKUP(MATCH(BE70,ac_id,0),ad,ac!$I$8,FALSE)))))</f>
        <v>11500</v>
      </c>
      <c r="KS70" s="7073">
        <f t="shared" ref="KS70:KS76" si="498">+IF(D70="","",KQ70+KR70)</f>
        <v>92105</v>
      </c>
      <c r="KT70" s="7216">
        <f t="shared" ref="KT70:KT76" si="499">+IF(D70="","",IF(KK70="","",$KT$26*KM70))</f>
        <v>3074.0460825</v>
      </c>
      <c r="KU70" s="7055">
        <f t="shared" ref="KU70:KU76" si="500">+IF(D70="","",IF(JS70="","",$KU$26*IF(JN70="",JS70,JN70)))</f>
        <v>69027</v>
      </c>
      <c r="KV70" s="7389">
        <f t="shared" ref="KV70:KV76" si="501">+IF(D70="","",IV70)</f>
        <v>1</v>
      </c>
      <c r="KW70" s="7273">
        <f t="shared" ref="KW70:KW76" si="502">IF(JS70="","",IF(KV70=1,$KW$5,IF(KV70=2,$KW$8,""))*JS70)</f>
        <v>148081.06430477212</v>
      </c>
      <c r="KX70" s="7073">
        <f t="shared" ref="KX70:KX76" si="503">+IF(D70="","",IF(KW70="","",IF(KT70="",0,KT70)+IF(KU70="",0,KU70)+KW70))</f>
        <v>220182.11038727214</v>
      </c>
      <c r="KY70" s="7353">
        <f t="shared" ref="KY70:KY76" si="504">+IF(D70="","",IF(KX70="","",IF(KP70="",0,KP70)+KX70))</f>
        <v>226930.223678426</v>
      </c>
      <c r="KZ70" s="7354"/>
      <c r="LA70" s="7210">
        <f t="shared" ref="LA70:LA76" si="505">+IF(OR(KY70="",$CB70=""),"",KY70/$CB70)</f>
        <v>75643.407892808667</v>
      </c>
      <c r="LB70" s="7355">
        <f t="shared" ref="LB70:LB76" si="506">+IF(OR(KY70="",$CL70=""),"",KY70/$CL70)</f>
        <v>71533.058727447264</v>
      </c>
      <c r="LC70" s="5133"/>
      <c r="LD70" s="5132"/>
      <c r="LE70" s="5132"/>
      <c r="LF70" s="5132"/>
      <c r="LG70" s="5132"/>
      <c r="LH70" s="5132"/>
      <c r="LI70" s="5132"/>
      <c r="LJ70" s="5132"/>
    </row>
    <row r="71" spans="1:322" s="13" customFormat="1" ht="27.95" customHeight="1">
      <c r="A71" s="5954" t="str">
        <f t="shared" si="352"/>
        <v>8300-08</v>
      </c>
      <c r="B71" s="9819" t="str">
        <f>+IF(A71="","",VLOOKUP(MATCH(A71,tid,0),tao,'12(id)'!$J$20,FALSE))</f>
        <v>NRG</v>
      </c>
      <c r="C71" s="6365" t="str">
        <f t="shared" si="47"/>
        <v>TT10</v>
      </c>
      <c r="D71" s="1125" t="str">
        <f t="shared" si="48"/>
        <v>8300-08-01</v>
      </c>
      <c r="E71" s="790" t="str">
        <f t="shared" si="379"/>
        <v>High Pressure Water Injection (HPWI)</v>
      </c>
      <c r="F71" s="790" t="str">
        <f t="shared" si="49"/>
        <v>HPWI</v>
      </c>
      <c r="G71" s="5133"/>
      <c r="H71" s="5132"/>
      <c r="I71" s="5133"/>
      <c r="J71" s="719">
        <f t="shared" si="68"/>
        <v>37</v>
      </c>
      <c r="K71" s="649">
        <f t="shared" si="370"/>
        <v>20</v>
      </c>
      <c r="L71" s="9648"/>
      <c r="M71" s="9650"/>
      <c r="N71" s="9648"/>
      <c r="O71" s="38" t="s">
        <v>266</v>
      </c>
      <c r="P71" s="56" t="str">
        <f>+IF(O71="","",VLOOKUP(MATCH(O71,tid,0),tao,'12(id)'!$L$20,FALSE))</f>
        <v>Torrington Terminal</v>
      </c>
      <c r="Q71" s="202" t="str">
        <f>+IF(ISERROR(MATCH(O71,tid,0)),"",VLOOKUP(MATCH(O71,tid,0),tao,'12(id)'!$Q$20,FALSE))</f>
        <v>TT10</v>
      </c>
      <c r="R71" s="38">
        <f>+IF(O71="","",VLOOKUP(MATCH(O71,tid,0),tao,'12(id)'!$U$20,FALSE))</f>
        <v>1</v>
      </c>
      <c r="S71" s="38"/>
      <c r="T71" s="57">
        <f>+IF(ISERROR(MATCH(O71,tid,0)),"",IF(VLOOKUP(MATCH(O71,tid,0),tao,'12(id)'!$CT$20,FALSE)="","",VLOOKUP(MATCH(O71,tid,0),tao,'12(id)'!$CT$20,FALSE)))</f>
        <v>20</v>
      </c>
      <c r="U71" s="410">
        <f>+IF(ISERROR(MATCH(O71,tid,0)),"",IF(VLOOKUP(MATCH(O71,tid,0),tao,'12(id)'!$CU$20,FALSE)="","",VLOOKUP(MATCH(O71,tid,0),tao,'12(id)'!$CU$20,FALSE)))</f>
        <v>20</v>
      </c>
      <c r="V71" s="420" t="str">
        <f>+IF(O71="","",IF(VLOOKUP(MATCH(O71,tid,0),tao,'12(id)'!$T$20,FALSE)="","",VLOOKUP(MATCH(O71,tid,0),tao,'12(id)'!$T$20,FALSE)))</f>
        <v>Combustion Turbine</v>
      </c>
      <c r="W71" s="421" t="str">
        <f>+IF(ISERROR(MATCH(O71,tid,0)),"",IF(VLOOKUP(MATCH(O71,tid,0),tao,'12(id)'!$CO$20,FALSE)="","",VLOOKUP(MATCH(O71,tid,0),tao,'12(id)'!$CO$20,FALSE)))</f>
        <v>Pratt &amp; Whitney</v>
      </c>
      <c r="X71" s="420" t="str">
        <f>+IF(ISERROR(MATCH(O71,tid,0)),"",IF(VLOOKUP(MATCH(O71,tid,0),tao,'12(id)'!$CP$20,FALSE)="","",VLOOKUP(MATCH(O71,tid,0),tao,'12(id)'!$CP$20,FALSE)))</f>
        <v>FT4-A8</v>
      </c>
      <c r="Y71" s="2424" t="str">
        <f>+IF(ISERROR(MATCH(O71,tid,0)),"",IF(VLOOKUP(MATCH(O71,tid,0),tao,'12(id)'!$CQ$20,FALSE)="","",VLOOKUP(MATCH(O71,tid,0),tao,'12(id)'!$CQ$20,FALSE)))</f>
        <v>FT</v>
      </c>
      <c r="Z71" s="75" t="str">
        <f>+IF(ISERROR(MATCH(O71,tid,0)),"",VLOOKUP(MATCH(O71,tid,0),tao,'12(id)'!$DB$20,FALSE)&amp;" "&amp;VLOOKUP(MATCH(O71,tid,0),tao,'12(id)'!$DC$20,FALSE))</f>
        <v>Jan 1969</v>
      </c>
      <c r="AA71" s="64" t="str">
        <f ca="1">+IF(ISERROR(MATCH(O71,tid,0)),"",IF(VLOOKUP(MATCH(O71,tid,0),tao,'12(id)'!$DE$20,FALSE)="","",ROUND(VLOOKUP(MATCH(O71,tid,0),tao,'12(id)'!$DE$20,FALSE),0)&amp;" yrs"))</f>
        <v>46 yrs</v>
      </c>
      <c r="AB71" s="56" t="str">
        <f>+IF(ISERROR(MATCH(O71,tid,0)),"",VLOOKUP(MATCH(O71,tid,0),tao,'12(id)'!$DI$20,FALSE))</f>
        <v>Ultra low sulfur kerosene  oil (ULSD)</v>
      </c>
      <c r="AC71" s="56" t="str">
        <f>+IF(ISERROR(MATCH(O71,tid,0)),"",IF(VLOOKUP(MATCH(O71,tid,0),tao,'12(id)'!$DQ$20,FALSE)="","",VLOOKUP(MATCH(O71,tid,0),tao,'12(id)'!$DQ$20,FALSE)))</f>
        <v/>
      </c>
      <c r="AD71" s="119">
        <f>+IF(ISERROR(MATCH(O71,tid,0)),"",IF(VLOOKUP(MATCH(O71,tid,0),tao,'12(id)'!$EI$20,FALSE)="","",VLOOKUP(MATCH(O71,tid,0),tao,'12(id)'!$EI$20,FALSE)))</f>
        <v>0.68</v>
      </c>
      <c r="AE71" s="442" t="str">
        <f>+IF(ISERROR(MATCH(O71,tid,0)),"",IF(VLOOKUP(MATCH(O71,tid,0),tao,'12(id)'!$EJ$20,FALSE)="","",VLOOKUP(MATCH(O71,tid,0),tao,'12(id)'!$EJ$20,FALSE)))</f>
        <v/>
      </c>
      <c r="AF71" s="442">
        <f>+IF(ISERROR(MATCH(O71,tid,0)),"",IF(VLOOKUP(MATCH(O71,tid,0),tao,'12(id)'!$EL$20,FALSE)="","",VLOOKUP(MATCH(O71,tid,0),tao,'12(id)'!$EL$20,FALSE)))</f>
        <v>0.8</v>
      </c>
      <c r="AG71" s="120" t="str">
        <f>+IF(ISERROR(MATCH(O71,tid,0)),"",IF(VLOOKUP(MATCH(O71,tid,0),tao,'12(id)'!$EM$20,FALSE)="","",VLOOKUP(MATCH(O71,tid,0),tao,'12(id)'!$EM$20,FALSE)))</f>
        <v/>
      </c>
      <c r="AH71" s="978" t="s">
        <v>561</v>
      </c>
      <c r="AI71" s="979"/>
      <c r="AJ71" s="980"/>
      <c r="AK71" s="980"/>
      <c r="AL71" s="980"/>
      <c r="AM71" s="981"/>
      <c r="AN71" s="3548" t="s">
        <v>559</v>
      </c>
      <c r="AO71" s="8647">
        <f>+IF(ISERROR(MATCH(O71,tid,0)),"",IF(VLOOKUP(MATCH(O71,tid,0),tao,'12(id)'!$GY$20,FALSE)="","",VLOOKUP(MATCH(O71,tid,0),tao,'12(id)'!$GY$20,FALSE)))</f>
        <v>29.5</v>
      </c>
      <c r="AP71" s="3531">
        <f>+IF($BB71="","",IF(VLOOKUP(MATCH(O71,tid,0),tao,'12(id)'!$HE$20,FALSE)="","",VLOOKUP(MATCH(O71,tid,0),tao,'12(id)'!$HE$20,FALSE)))</f>
        <v>8325</v>
      </c>
      <c r="AQ71" s="3531">
        <f>+IF(ISERROR(VLOOKUP(MATCH(O71,tid,0),tao,'12(id)'!$HF$20,FALSE)),"",VLOOKUP(MATCH(O71,tid,0),tao,'12(id)'!$HF$20,FALSE))</f>
        <v>8325</v>
      </c>
      <c r="AR71" s="3532">
        <f>+IF(ISERROR(MATCH(O71,tid,0)),"",IF(VLOOKUP(MATCH(O71,tid,0),tao,'12(id)'!$HJ$20,FALSE)="","",VLOOKUP(MATCH(O71,tid,0),tao,'12(id)'!$HJ$20,FALSE)))</f>
        <v>0.8</v>
      </c>
      <c r="AS71" s="4046" t="str">
        <f>+IF(ISERROR(MATCH(O71,tid,0)),"",IF(VLOOKUP(MATCH(O71,tid,0),tao,'12(id)'!$HK$20,FALSE)="","",VLOOKUP(MATCH(O71,tid,0),tao,'12(id)'!$HK$20,FALSE)))</f>
        <v/>
      </c>
      <c r="AT71" s="8649">
        <f>+IF(ISERROR(MATCH(O71,tid,0)),"",IF(VLOOKUP(MATCH(O71,tid,0),tao,'12(id)'!$HM$20,FALSE)="","",VLOOKUP(MATCH(O71,tid,0),tao,'12(id)'!$HM$20,FALSE)))</f>
        <v>3.2</v>
      </c>
      <c r="AU71" s="1007" t="str">
        <f t="shared" si="371"/>
        <v>CAIR-OS (max last 3 yrs)</v>
      </c>
      <c r="AV71" s="1010">
        <f>+IF(ISERROR(MATCH(O71,em_id,0)),"",IF(VLOOKUP(MATCH(O71,em_id,0),em,'5(em)'!$CX$18,FALSE)="","",VLOOKUP(MATCH(O71,em_id,0),em,'5(em)'!$CX$18,FALSE)))</f>
        <v>36</v>
      </c>
      <c r="AW71" s="1011">
        <f>+IF(ISERROR(MATCH(O71,em_id,0)),"",IF(VLOOKUP(MATCH(O71,em_id,0),em,'5(em)'!$CZ$18,FALSE)="","",VLOOKUP(MATCH(O71,em_id,0),em,'5(em)'!$CZ$18,FALSE)))</f>
        <v>9070</v>
      </c>
      <c r="AX71" s="1012">
        <f t="shared" si="50"/>
        <v>0.68</v>
      </c>
      <c r="AY71" s="1013"/>
      <c r="AZ71" s="1014">
        <f>+IF(ISERROR(MATCH(O71,em_id,0)),"",IF(VLOOKUP(MATCH(O71,em_id,0),em,'5(em)'!$DA$18,FALSE)="","",VLOOKUP(MATCH(O71,em_id,0),em,'5(em)'!$DA$18,FALSE)))</f>
        <v>3.0838000000000001</v>
      </c>
      <c r="BA71" s="789"/>
      <c r="BB71" s="790" t="str">
        <f t="shared" si="311"/>
        <v>8300-08-01</v>
      </c>
      <c r="BC71" s="791">
        <v>1</v>
      </c>
      <c r="BD71" s="790" t="str">
        <f>+IF(OR(D71="",VLOOKUP(MATCH(D71,op_id,0),op,'7(op)'!$T$18,FALSE)=""),"",VLOOKUP(MATCH(D71,op_id,0),op,'7(op)'!$T$18,FALSE))</f>
        <v>High Pressure Water Injection (HPWI)</v>
      </c>
      <c r="BE71" s="790" t="s">
        <v>93</v>
      </c>
      <c r="BF71" s="790" t="s">
        <v>1860</v>
      </c>
      <c r="BG71" s="792"/>
      <c r="BH71" s="793" t="s">
        <v>561</v>
      </c>
      <c r="BI71" s="766" t="s">
        <v>566</v>
      </c>
      <c r="BJ71" s="794"/>
      <c r="BK71" s="794"/>
      <c r="BL71" s="794"/>
      <c r="BM71" s="794"/>
      <c r="BN71" s="794" t="str">
        <f t="shared" si="12"/>
        <v/>
      </c>
      <c r="BO71" s="794" t="str">
        <f t="shared" si="13"/>
        <v/>
      </c>
      <c r="BP71" s="794" t="str">
        <f t="shared" si="14"/>
        <v/>
      </c>
      <c r="BQ71" s="794" t="str">
        <f t="shared" si="15"/>
        <v/>
      </c>
      <c r="BR71" s="795"/>
      <c r="BS71" s="793" t="s">
        <v>559</v>
      </c>
      <c r="BT71" s="790" t="s">
        <v>1602</v>
      </c>
      <c r="BU71" s="3708">
        <f>+IF(BB71="","",IF(VLOOKUP(MATCH(BB71,ef_id,0),ef,'11(eff)'!$Z$23,FALSE)="","",VLOOKUP(MATCH(BB71,ef_id,0),ef,'11(eff)'!$Z$23,FALSE)))</f>
        <v>0.22</v>
      </c>
      <c r="BV71" s="3749" t="str">
        <f>+IF(BB71="","",IF(VLOOKUP(MATCH(BB71,ef_id,0),ef,'11(eff)'!$AA$23,FALSE)="","",VLOOKUP(MATCH(BB71,ef_id,0),ef,'11(eff)'!$AA$23,FALSE)))</f>
        <v/>
      </c>
      <c r="BW71" s="3777">
        <v>0.9</v>
      </c>
      <c r="BX71" s="1960">
        <f t="shared" si="380"/>
        <v>0.9</v>
      </c>
      <c r="BY71" s="1061">
        <f t="shared" si="381"/>
        <v>0.91575000000000006</v>
      </c>
      <c r="BZ71" s="1061"/>
      <c r="CA71" s="774"/>
      <c r="CB71" s="773">
        <f t="shared" si="382"/>
        <v>2.3000000000000003</v>
      </c>
      <c r="CC71" s="3866">
        <f t="shared" si="372"/>
        <v>0.71875</v>
      </c>
      <c r="CD71" s="3866">
        <f t="shared" si="383"/>
        <v>0.72500000000000009</v>
      </c>
      <c r="CE71" s="2371">
        <f>+IF(BB71="","",IF(VLOOKUP(MATCH(BB71,ef_id,0),ef,'11(eff)'!$AE$23,FALSE)="","",VLOOKUP(MATCH(BB71,ef_id,0),ef,'11(eff)'!$AE$23,FALSE)))</f>
        <v>0.72500000000000009</v>
      </c>
      <c r="CF71" s="797" t="s">
        <v>1601</v>
      </c>
      <c r="CG71" s="798" t="s">
        <v>1603</v>
      </c>
      <c r="CH71" s="2408">
        <v>103</v>
      </c>
      <c r="CI71" s="799">
        <f>+IF(BB71="","",AZ71/AW71*2000*(1-CO71))</f>
        <v>0.18699999999999994</v>
      </c>
      <c r="CJ71" s="4068" t="str">
        <f t="shared" si="384"/>
        <v/>
      </c>
      <c r="CK71" s="799">
        <f t="shared" si="385"/>
        <v>0.84804499999999972</v>
      </c>
      <c r="CL71" s="3929">
        <f t="shared" si="386"/>
        <v>2.2357550000000002</v>
      </c>
      <c r="CM71" s="775">
        <f t="shared" si="387"/>
        <v>0.72499999999999998</v>
      </c>
      <c r="CN71" s="775">
        <f t="shared" si="388"/>
        <v>0.72500000000000009</v>
      </c>
      <c r="CO71" s="3971">
        <f>+IF(BB71="","",IF(VLOOKUP(MATCH(BB71,ef_id,0),ef,'11(eff)'!$AE$23,FALSE)="","",VLOOKUP(MATCH(BB71,ef_id,0),ef,'11(eff)'!$AE$23,FALSE)))</f>
        <v>0.72500000000000009</v>
      </c>
      <c r="CP71" s="3972" t="str">
        <f>+IF(OR(BB71="",VLOOKUP(MATCH(BB71,ef_id,0),ef,'11(eff)'!$AG$23,FALSE)=""),"",IF(VLOOKUP(MATCH(BB71,ef_id,0),ef,'11(eff)'!$AG$23,FALSE)/100=VLOOKUP(MATCH(BB71,ef_id,0),ef,'11(eff)'!$AE$23,FALSE),VLOOKUP(MATCH(BB71,ef_id,0),ef,'11(eff)'!$AE$23,FALSE),""))</f>
        <v/>
      </c>
      <c r="CQ71" s="789" t="str">
        <f t="shared" si="51"/>
        <v>High Pressure Water Injection (HPWI)</v>
      </c>
      <c r="CR71" s="796"/>
      <c r="CS71" s="2763">
        <v>2409779</v>
      </c>
      <c r="CT71" s="1589">
        <v>1140994</v>
      </c>
      <c r="CU71" s="802">
        <f>+CU70</f>
        <v>360000</v>
      </c>
      <c r="CV71" s="1864">
        <f t="shared" si="309"/>
        <v>159400</v>
      </c>
      <c r="CW71" s="1865">
        <f>+CW70</f>
        <v>40000</v>
      </c>
      <c r="CX71" s="1865">
        <f>+CX70</f>
        <v>250000</v>
      </c>
      <c r="CY71" s="808"/>
      <c r="CZ71" s="2476">
        <f>42000+2500+10000+40000+15000</f>
        <v>109500</v>
      </c>
      <c r="DA71" s="2486"/>
      <c r="DB71" s="2486">
        <f>+DB70</f>
        <v>16000</v>
      </c>
      <c r="DC71" s="1864"/>
      <c r="DD71" s="808">
        <v>50000</v>
      </c>
      <c r="DE71" s="1866"/>
      <c r="DF71" s="1867"/>
      <c r="DG71" s="1867">
        <v>100000</v>
      </c>
      <c r="DH71" s="808"/>
      <c r="DI71" s="804">
        <f t="shared" si="389"/>
        <v>934900</v>
      </c>
      <c r="DJ71" s="1936">
        <v>56094</v>
      </c>
      <c r="DK71" s="1589"/>
      <c r="DL71" s="802"/>
      <c r="DM71" s="1864" t="str">
        <f t="shared" si="310"/>
        <v/>
      </c>
      <c r="DN71" s="1865"/>
      <c r="DO71" s="1865"/>
      <c r="DP71" s="808"/>
      <c r="DQ71" s="2476"/>
      <c r="DR71" s="2486"/>
      <c r="DS71" s="2486"/>
      <c r="DT71" s="1864"/>
      <c r="DU71" s="808"/>
      <c r="DV71" s="1866"/>
      <c r="DW71" s="1867"/>
      <c r="DX71" s="1867"/>
      <c r="DY71" s="808"/>
      <c r="DZ71" s="804" t="str">
        <f t="shared" si="18"/>
        <v/>
      </c>
      <c r="EA71" s="1936"/>
      <c r="EB71" s="802">
        <f t="shared" si="377"/>
        <v>1140994</v>
      </c>
      <c r="EC71" s="1961">
        <v>1</v>
      </c>
      <c r="ED71" s="803">
        <f t="shared" si="20"/>
        <v>1140994</v>
      </c>
      <c r="EE71" s="1866"/>
      <c r="EF71" s="1867"/>
      <c r="EG71" s="808">
        <v>513447</v>
      </c>
      <c r="EH71" s="804">
        <f t="shared" si="353"/>
        <v>513447</v>
      </c>
      <c r="EI71" s="1866"/>
      <c r="EJ71" s="1867"/>
      <c r="EK71" s="806"/>
      <c r="EL71" s="800">
        <v>376528</v>
      </c>
      <c r="EM71" s="1866"/>
      <c r="EN71" s="1867"/>
      <c r="EO71" s="806"/>
      <c r="EP71" s="804">
        <f t="shared" si="378"/>
        <v>376528</v>
      </c>
      <c r="EQ71" s="2559"/>
      <c r="ER71" s="2559"/>
      <c r="ES71" s="2559"/>
      <c r="ET71" s="1457">
        <v>378810</v>
      </c>
      <c r="EU71" s="1344"/>
      <c r="EV71" s="1391"/>
      <c r="EW71" s="2579"/>
      <c r="EX71" s="2579"/>
      <c r="EY71" s="2686">
        <f t="shared" si="390"/>
        <v>2409779</v>
      </c>
      <c r="EZ71" s="2715"/>
      <c r="FA71" s="1391"/>
      <c r="FB71" s="1476">
        <f t="shared" si="391"/>
        <v>2409779</v>
      </c>
      <c r="FC71" s="802">
        <f t="shared" si="392"/>
        <v>1140994</v>
      </c>
      <c r="FD71" s="2047">
        <f t="shared" si="393"/>
        <v>360000</v>
      </c>
      <c r="FE71" s="2031">
        <f t="shared" si="394"/>
        <v>0.31551436729728638</v>
      </c>
      <c r="FF71" s="2047">
        <f t="shared" si="395"/>
        <v>558900</v>
      </c>
      <c r="FG71" s="2031">
        <f t="shared" si="396"/>
        <v>0.48983605522903712</v>
      </c>
      <c r="FH71" s="2047">
        <f t="shared" si="397"/>
        <v>0</v>
      </c>
      <c r="FI71" s="2031">
        <f t="shared" si="398"/>
        <v>0</v>
      </c>
      <c r="FJ71" s="2856">
        <f t="shared" si="399"/>
        <v>918900</v>
      </c>
      <c r="FK71" s="2808">
        <f t="shared" si="373"/>
        <v>0.8053504225263235</v>
      </c>
      <c r="FL71" s="2780">
        <f t="shared" si="400"/>
        <v>16000</v>
      </c>
      <c r="FM71" s="2031">
        <f t="shared" si="401"/>
        <v>1.4022860768768285E-2</v>
      </c>
      <c r="FN71" s="2780">
        <f t="shared" si="402"/>
        <v>50000</v>
      </c>
      <c r="FO71" s="2770">
        <f t="shared" si="403"/>
        <v>4.3821439902400887E-2</v>
      </c>
      <c r="FP71" s="2780">
        <f t="shared" si="404"/>
        <v>100000</v>
      </c>
      <c r="FQ71" s="2770">
        <f t="shared" si="405"/>
        <v>8.7642879804801774E-2</v>
      </c>
      <c r="FR71" s="2844">
        <f t="shared" si="406"/>
        <v>934900</v>
      </c>
      <c r="FS71" s="2826">
        <f t="shared" si="407"/>
        <v>56094</v>
      </c>
      <c r="FT71" s="2067">
        <f t="shared" si="408"/>
        <v>0.06</v>
      </c>
      <c r="FU71" s="2892">
        <f t="shared" si="409"/>
        <v>0</v>
      </c>
      <c r="FV71" s="800">
        <f t="shared" si="410"/>
        <v>57049.7</v>
      </c>
      <c r="FW71" s="2108">
        <f t="shared" si="411"/>
        <v>513447</v>
      </c>
      <c r="FX71" s="2098">
        <f t="shared" si="412"/>
        <v>0.44999973707136059</v>
      </c>
      <c r="FY71" s="2109">
        <f t="shared" si="413"/>
        <v>376528</v>
      </c>
      <c r="FZ71" s="2098">
        <f t="shared" si="414"/>
        <v>0.32999998247142404</v>
      </c>
      <c r="GA71" s="2098" t="str">
        <f t="shared" si="415"/>
        <v/>
      </c>
      <c r="GB71" s="2109">
        <f t="shared" si="416"/>
        <v>378810</v>
      </c>
      <c r="GC71" s="2098">
        <f t="shared" si="417"/>
        <v>0.33199999298856964</v>
      </c>
      <c r="GD71" s="2098" t="str">
        <f t="shared" si="418"/>
        <v/>
      </c>
      <c r="GE71" s="807">
        <f t="shared" si="419"/>
        <v>2409779</v>
      </c>
      <c r="GF71" s="2142">
        <f t="shared" si="420"/>
        <v>2409779</v>
      </c>
      <c r="GG71" s="2166">
        <f t="shared" si="421"/>
        <v>0</v>
      </c>
      <c r="GH71" s="3178">
        <f t="shared" si="422"/>
        <v>120488.95</v>
      </c>
      <c r="GI71" s="3198">
        <v>401268.5</v>
      </c>
      <c r="GJ71" s="3186">
        <v>172961</v>
      </c>
      <c r="GK71" s="3452">
        <f t="shared" si="423"/>
        <v>2.3000000000000003</v>
      </c>
      <c r="GL71" s="3223">
        <f t="shared" si="424"/>
        <v>-8.6930881377379685E-3</v>
      </c>
      <c r="GM71" s="1281"/>
      <c r="GN71" s="2195"/>
      <c r="GO71" s="1866">
        <v>7000</v>
      </c>
      <c r="GP71" s="806">
        <f t="shared" si="354"/>
        <v>47475</v>
      </c>
      <c r="GQ71" s="1457">
        <v>54475</v>
      </c>
      <c r="GR71" s="2323">
        <f>+GR70</f>
        <v>2100</v>
      </c>
      <c r="GS71" s="2323">
        <f>+GS70</f>
        <v>45639.5</v>
      </c>
      <c r="GT71" s="804">
        <v>299054</v>
      </c>
      <c r="GU71" s="2314">
        <f t="shared" si="425"/>
        <v>401268.5</v>
      </c>
      <c r="GV71" s="1337">
        <f t="shared" si="426"/>
        <v>7000</v>
      </c>
      <c r="GW71" s="2258">
        <f t="shared" si="427"/>
        <v>47475</v>
      </c>
      <c r="GX71" s="2268">
        <f t="shared" si="428"/>
        <v>54475</v>
      </c>
      <c r="GY71" s="2269">
        <f t="shared" si="429"/>
        <v>2100</v>
      </c>
      <c r="GZ71" s="2269">
        <f t="shared" si="430"/>
        <v>45639.5</v>
      </c>
      <c r="HA71" s="804">
        <f t="shared" si="431"/>
        <v>299054</v>
      </c>
      <c r="HB71" s="1254">
        <f t="shared" si="432"/>
        <v>401268.5</v>
      </c>
      <c r="HC71" s="1282">
        <f t="shared" si="433"/>
        <v>401268.5</v>
      </c>
      <c r="HD71" s="1283">
        <f t="shared" si="375"/>
        <v>0</v>
      </c>
      <c r="HE71" s="1281"/>
      <c r="HF71" s="801">
        <f t="shared" si="434"/>
        <v>172961</v>
      </c>
      <c r="HG71" s="1284">
        <f t="shared" si="435"/>
        <v>179477.84976439725</v>
      </c>
      <c r="HH71" s="2991">
        <f t="shared" si="436"/>
        <v>1</v>
      </c>
      <c r="HI71" s="1285">
        <f t="shared" si="355"/>
        <v>934900</v>
      </c>
      <c r="HJ71" s="1867">
        <f t="shared" si="356"/>
        <v>100000</v>
      </c>
      <c r="HK71" s="2917">
        <f t="shared" si="357"/>
        <v>50000</v>
      </c>
      <c r="HL71" s="2917">
        <f t="shared" si="437"/>
        <v>56094</v>
      </c>
      <c r="HM71" s="1286">
        <f t="shared" si="358"/>
        <v>1140994</v>
      </c>
      <c r="HN71" s="1347">
        <f t="shared" si="347"/>
        <v>57049.7</v>
      </c>
      <c r="HO71" s="2942">
        <f t="shared" si="438"/>
        <v>513447.3</v>
      </c>
      <c r="HP71" s="2943">
        <f t="shared" si="439"/>
        <v>376528.02</v>
      </c>
      <c r="HQ71" s="3006" t="str">
        <f t="shared" si="440"/>
        <v/>
      </c>
      <c r="HR71" s="2944">
        <f t="shared" si="441"/>
        <v>228198.80000000002</v>
      </c>
      <c r="HS71" s="2944">
        <f t="shared" si="442"/>
        <v>228198.80000000002</v>
      </c>
      <c r="HT71" s="3036" t="str">
        <f t="shared" si="443"/>
        <v/>
      </c>
      <c r="HU71" s="2944" t="str">
        <f t="shared" si="444"/>
        <v/>
      </c>
      <c r="HV71" s="3036" t="str">
        <f t="shared" si="312"/>
        <v/>
      </c>
      <c r="HW71" s="2944" t="str">
        <f t="shared" si="313"/>
        <v/>
      </c>
      <c r="HX71" s="3029">
        <f t="shared" si="199"/>
        <v>2259168.12</v>
      </c>
      <c r="HY71" s="2943" t="str">
        <f t="shared" si="445"/>
        <v/>
      </c>
      <c r="HZ71" s="2944" t="str">
        <f t="shared" si="446"/>
        <v/>
      </c>
      <c r="IA71" s="1285">
        <f t="shared" si="376"/>
        <v>2259168.12</v>
      </c>
      <c r="IB71" s="1287" t="str">
        <f t="shared" si="237"/>
        <v>stk added + 6%</v>
      </c>
      <c r="IC71" s="2907">
        <f t="shared" si="359"/>
        <v>112958.406</v>
      </c>
      <c r="ID71" s="1288"/>
      <c r="IE71" s="4103"/>
      <c r="IF71" s="1262">
        <f t="shared" si="447"/>
        <v>7000</v>
      </c>
      <c r="IG71" s="6774">
        <f>+IF(AO71="","",IF(IF71="","",(IF71/AO71)))</f>
        <v>237.28813559322035</v>
      </c>
      <c r="IH71" s="1257">
        <f t="shared" si="448"/>
        <v>47475</v>
      </c>
      <c r="II71" s="6794">
        <f t="shared" si="449"/>
        <v>5.7027027027027026</v>
      </c>
      <c r="IJ71" s="4101">
        <f t="shared" si="450"/>
        <v>54475</v>
      </c>
      <c r="IK71" s="4139">
        <v>1</v>
      </c>
      <c r="IL71" s="788">
        <f t="shared" si="451"/>
        <v>2100</v>
      </c>
      <c r="IM71" s="787">
        <f t="shared" si="452"/>
        <v>90366.724800000011</v>
      </c>
      <c r="IN71" s="4233">
        <f t="shared" si="453"/>
        <v>92466.724800000011</v>
      </c>
      <c r="IO71" s="4233">
        <f t="shared" si="454"/>
        <v>146941.72480000003</v>
      </c>
      <c r="IP71" s="4233">
        <f t="shared" si="455"/>
        <v>54475</v>
      </c>
      <c r="IQ71" s="6847">
        <f t="shared" si="456"/>
        <v>0.1512391140441558</v>
      </c>
      <c r="IR71" s="4233">
        <f t="shared" si="457"/>
        <v>92466.724800000011</v>
      </c>
      <c r="IS71" s="6847">
        <f t="shared" si="458"/>
        <v>0.25671565924399764</v>
      </c>
      <c r="IT71" s="4233">
        <f t="shared" si="459"/>
        <v>146941.72480000003</v>
      </c>
      <c r="IU71" s="6847">
        <f t="shared" si="460"/>
        <v>0.40795477328815349</v>
      </c>
      <c r="IV71" s="4135">
        <f t="shared" si="461"/>
        <v>1</v>
      </c>
      <c r="IW71" s="787">
        <f t="shared" si="462"/>
        <v>213249.48859269058</v>
      </c>
      <c r="IX71" s="2906">
        <f t="shared" si="463"/>
        <v>360191.21339269064</v>
      </c>
      <c r="IY71" s="4251">
        <f t="shared" si="464"/>
        <v>401268.5</v>
      </c>
      <c r="IZ71" s="4298">
        <f t="shared" si="465"/>
        <v>0.10236858015844594</v>
      </c>
      <c r="JA71" s="4291" t="str">
        <f t="shared" si="466"/>
        <v>stk added + 10%</v>
      </c>
      <c r="JB71" s="1266"/>
      <c r="JC71" s="805"/>
      <c r="JD71" s="801">
        <f t="shared" si="467"/>
        <v>156604.87538812635</v>
      </c>
      <c r="JE71" s="4336">
        <f t="shared" si="468"/>
        <v>161104.95711412502</v>
      </c>
      <c r="JF71" s="7039">
        <f t="shared" si="469"/>
        <v>20</v>
      </c>
      <c r="JG71" s="7055" t="s">
        <v>93</v>
      </c>
      <c r="JH71" s="6970">
        <f t="shared" si="470"/>
        <v>2259168.12</v>
      </c>
      <c r="JI71" s="6970">
        <f t="shared" si="471"/>
        <v>2259168.12</v>
      </c>
      <c r="JJ71" s="6970"/>
      <c r="JK71" s="6970"/>
      <c r="JL71" s="7007"/>
      <c r="JM71" s="7049">
        <f t="shared" si="472"/>
        <v>997500</v>
      </c>
      <c r="JN71" s="1867">
        <f t="shared" si="473"/>
        <v>1725675</v>
      </c>
      <c r="JO71" s="1867">
        <f t="shared" si="474"/>
        <v>1725675</v>
      </c>
      <c r="JP71" s="7080"/>
      <c r="JQ71" s="7080"/>
      <c r="JR71" s="7055"/>
      <c r="JS71" s="7073">
        <f t="shared" si="475"/>
        <v>1725675</v>
      </c>
      <c r="JT71" s="7163">
        <f t="shared" si="476"/>
        <v>1</v>
      </c>
      <c r="JU71" s="7164">
        <f t="shared" si="477"/>
        <v>36</v>
      </c>
      <c r="JV71" s="8377">
        <f t="shared" si="478"/>
        <v>9070</v>
      </c>
      <c r="JW71" s="8404">
        <f t="shared" si="479"/>
        <v>2.2357550000000002</v>
      </c>
      <c r="JX71" s="8433" t="str">
        <f t="shared" si="480"/>
        <v/>
      </c>
      <c r="JY71" s="8468" t="str">
        <f>+IF(D71="","",IF(JT71=2,(#REF!*(1+#REF!)^JX71)/((1+#REF!)^JX71-1),""))</f>
        <v/>
      </c>
      <c r="JZ71" s="7165" t="str">
        <f t="shared" si="481"/>
        <v/>
      </c>
      <c r="KA71" s="7163">
        <f t="shared" si="482"/>
        <v>13744.923319391404</v>
      </c>
      <c r="KB71" s="7164">
        <f t="shared" si="483"/>
        <v>9621.4463235739822</v>
      </c>
      <c r="KC71" s="7165">
        <f t="shared" si="484"/>
        <v>19.222334001157421</v>
      </c>
      <c r="KD71" s="7163">
        <f t="shared" si="485"/>
        <v>698.68799999999999</v>
      </c>
      <c r="KE71" s="8341" t="str">
        <f t="shared" si="486"/>
        <v/>
      </c>
      <c r="KF71" s="8341" t="str">
        <f t="shared" si="487"/>
        <v/>
      </c>
      <c r="KG71" s="7164">
        <f t="shared" si="488"/>
        <v>576.5220880278232</v>
      </c>
      <c r="KH71" s="7164" t="str">
        <f t="shared" si="489"/>
        <v/>
      </c>
      <c r="KI71" s="7164" t="str">
        <f t="shared" si="490"/>
        <v/>
      </c>
      <c r="KJ71" s="7164">
        <f t="shared" si="491"/>
        <v>1275.2100880278231</v>
      </c>
      <c r="KK71" s="7164">
        <f t="shared" si="492"/>
        <v>3776.6592000000001</v>
      </c>
      <c r="KL71" s="7164">
        <f t="shared" si="493"/>
        <v>232.96612500000001</v>
      </c>
      <c r="KM71" s="7164">
        <f t="shared" si="494"/>
        <v>4009.625325</v>
      </c>
      <c r="KN71" s="7164" t="str">
        <f t="shared" si="495"/>
        <v/>
      </c>
      <c r="KO71" s="7164">
        <f t="shared" si="496"/>
        <v>4009.625325</v>
      </c>
      <c r="KP71" s="7165">
        <f t="shared" si="497"/>
        <v>5284.8354130278231</v>
      </c>
      <c r="KQ71" s="7216">
        <f>+IF(D71="","",VLOOKUP(MATCH(BE71,ac_id,0),ad,ac!$F$8,FALSE)*JV71)</f>
        <v>63490</v>
      </c>
      <c r="KR71" s="7080">
        <f>+IF(D71="","",IF(JT71=1,VLOOKUP(MATCH(BE71,ac_id,0),ad,ac!$H$8,FALSE)*JU71, (VLOOKUP(MATCH(BE71,ac_id,0),ad,ac!$H$8,FALSE)*JU71^(1+VLOOKUP(MATCH(BE71,ac_id,0),ad,ac!$I$8,FALSE)))))</f>
        <v>9000</v>
      </c>
      <c r="KS71" s="7073">
        <f t="shared" si="498"/>
        <v>72490</v>
      </c>
      <c r="KT71" s="7216">
        <f t="shared" si="499"/>
        <v>2405.7751949999997</v>
      </c>
      <c r="KU71" s="7055">
        <f t="shared" si="500"/>
        <v>69027</v>
      </c>
      <c r="KV71" s="7389">
        <f t="shared" si="501"/>
        <v>1</v>
      </c>
      <c r="KW71" s="7273">
        <f t="shared" si="502"/>
        <v>148081.06430477212</v>
      </c>
      <c r="KX71" s="7073">
        <f t="shared" si="503"/>
        <v>219513.83949977212</v>
      </c>
      <c r="KY71" s="7353">
        <f t="shared" si="504"/>
        <v>224798.67491279994</v>
      </c>
      <c r="KZ71" s="7354"/>
      <c r="LA71" s="7210">
        <f t="shared" si="505"/>
        <v>97738.554309913001</v>
      </c>
      <c r="LB71" s="7355">
        <f t="shared" si="506"/>
        <v>100547.09702664198</v>
      </c>
      <c r="LC71" s="5133"/>
      <c r="LD71" s="5132"/>
      <c r="LE71" s="5132"/>
      <c r="LF71" s="5132"/>
      <c r="LG71" s="5132"/>
      <c r="LH71" s="5132"/>
      <c r="LI71" s="5132"/>
      <c r="LJ71" s="5132"/>
    </row>
    <row r="72" spans="1:322" s="13" customFormat="1" ht="27.95" customHeight="1">
      <c r="A72" s="5954" t="str">
        <f t="shared" si="352"/>
        <v>8300-09</v>
      </c>
      <c r="B72" s="9819" t="str">
        <f>+IF(A72="","",VLOOKUP(MATCH(A72,tid,0),tao,'12(id)'!$J$20,FALSE))</f>
        <v>NRG</v>
      </c>
      <c r="C72" s="5956" t="str">
        <f t="shared" si="47"/>
        <v>MD10</v>
      </c>
      <c r="D72" s="1125" t="str">
        <f t="shared" si="48"/>
        <v>8300-09-01</v>
      </c>
      <c r="E72" s="790" t="str">
        <f t="shared" si="379"/>
        <v>High Pressure Water Injection (HPWI)</v>
      </c>
      <c r="F72" s="790" t="str">
        <f t="shared" si="49"/>
        <v>HPWI</v>
      </c>
      <c r="G72" s="5133"/>
      <c r="H72" s="5132"/>
      <c r="I72" s="5133"/>
      <c r="J72" s="719">
        <f t="shared" si="68"/>
        <v>38</v>
      </c>
      <c r="K72" s="649">
        <f t="shared" si="370"/>
        <v>21</v>
      </c>
      <c r="L72" s="9648"/>
      <c r="M72" s="9650"/>
      <c r="N72" s="9648"/>
      <c r="O72" s="38" t="s">
        <v>267</v>
      </c>
      <c r="P72" s="8568" t="s">
        <v>500</v>
      </c>
      <c r="Q72" s="203" t="str">
        <f>+IF(ISERROR(MATCH(O72,tid,0)),"",VLOOKUP(MATCH(O72,tid,0),tao,'12(id)'!$Q$20,FALSE))</f>
        <v>MD10</v>
      </c>
      <c r="R72" s="38">
        <f>+IF(O72="","",VLOOKUP(MATCH(O72,tid,0),tao,'12(id)'!$U$20,FALSE))</f>
        <v>1</v>
      </c>
      <c r="S72" s="38"/>
      <c r="T72" s="57">
        <f>+IF(ISERROR(MATCH(O72,tid,0)),"",IF(VLOOKUP(MATCH(O72,tid,0),tao,'12(id)'!$CT$20,FALSE)="","",VLOOKUP(MATCH(O72,tid,0),tao,'12(id)'!$CT$20,FALSE)))</f>
        <v>20</v>
      </c>
      <c r="U72" s="411">
        <f>+IF(ISERROR(MATCH(O72,tid,0)),"",IF(VLOOKUP(MATCH(O72,tid,0),tao,'12(id)'!$CU$20,FALSE)="","",VLOOKUP(MATCH(O72,tid,0),tao,'12(id)'!$CU$20,FALSE)))</f>
        <v>953</v>
      </c>
      <c r="V72" s="422" t="str">
        <f>+IF(O72="","",IF(VLOOKUP(MATCH(O72,tid,0),tao,'12(id)'!$T$20,FALSE)="","",VLOOKUP(MATCH(O72,tid,0),tao,'12(id)'!$T$20,FALSE)))</f>
        <v>Combustion Turbine</v>
      </c>
      <c r="W72" s="423" t="str">
        <f>+IF(ISERROR(MATCH(O72,tid,0)),"",IF(VLOOKUP(MATCH(O72,tid,0),tao,'12(id)'!$CO$20,FALSE)="","",VLOOKUP(MATCH(O72,tid,0),tao,'12(id)'!$CO$20,FALSE)))</f>
        <v>Pratt &amp; Whitney</v>
      </c>
      <c r="X72" s="422" t="str">
        <f>+IF(ISERROR(MATCH(O72,tid,0)),"",IF(VLOOKUP(MATCH(O72,tid,0),tao,'12(id)'!$CP$20,FALSE)="","",VLOOKUP(MATCH(O72,tid,0),tao,'12(id)'!$CP$20,FALSE)))</f>
        <v>FT4-A8</v>
      </c>
      <c r="Y72" s="2425" t="str">
        <f>+IF(ISERROR(MATCH(O72,tid,0)),"",IF(VLOOKUP(MATCH(O72,tid,0),tao,'12(id)'!$CQ$20,FALSE)="","",VLOOKUP(MATCH(O72,tid,0),tao,'12(id)'!$CQ$20,FALSE)))</f>
        <v>FT</v>
      </c>
      <c r="Z72" s="78" t="str">
        <f>+IF(ISERROR(MATCH(O72,tid,0)),"",VLOOKUP(MATCH(O72,tid,0),tao,'12(id)'!$DB$20,FALSE)&amp;" "&amp;VLOOKUP(MATCH(O72,tid,0),tao,'12(id)'!$DC$20,FALSE))</f>
        <v>Aug 1966</v>
      </c>
      <c r="AA72" s="58" t="str">
        <f ca="1">+IF(ISERROR(MATCH(O72,tid,0)),"",IF(VLOOKUP(MATCH(O72,tid,0),tao,'12(id)'!$DE$20,FALSE)="","",ROUND(VLOOKUP(MATCH(O72,tid,0),tao,'12(id)'!$DE$20,FALSE),0)&amp;" yrs"))</f>
        <v>48 yrs</v>
      </c>
      <c r="AB72" s="59" t="str">
        <f>+IF(ISERROR(MATCH(O72,tid,0)),"",VLOOKUP(MATCH(O72,tid,0),tao,'12(id)'!$DI$20,FALSE))</f>
        <v>Ultra low sulfur kerosene  oil (ULSD)</v>
      </c>
      <c r="AC72" s="59" t="str">
        <f>+IF(ISERROR(MATCH(O72,tid,0)),"",IF(VLOOKUP(MATCH(O72,tid,0),tao,'12(id)'!$DQ$20,FALSE)="","",VLOOKUP(MATCH(O72,tid,0),tao,'12(id)'!$DQ$20,FALSE)))</f>
        <v/>
      </c>
      <c r="AD72" s="119">
        <f>+IF(ISERROR(MATCH(O72,tid,0)),"",IF(VLOOKUP(MATCH(O72,tid,0),tao,'12(id)'!$EI$20,FALSE)="","",VLOOKUP(MATCH(O72,tid,0),tao,'12(id)'!$EI$20,FALSE)))</f>
        <v>0.56999999999999995</v>
      </c>
      <c r="AE72" s="442" t="str">
        <f>+IF(ISERROR(MATCH(O72,tid,0)),"",IF(VLOOKUP(MATCH(O72,tid,0),tao,'12(id)'!$EJ$20,FALSE)="","",VLOOKUP(MATCH(O72,tid,0),tao,'12(id)'!$EJ$20,FALSE)))</f>
        <v/>
      </c>
      <c r="AF72" s="442">
        <f>+IF(ISERROR(MATCH(O72,tid,0)),"",IF(VLOOKUP(MATCH(O72,tid,0),tao,'12(id)'!$EL$20,FALSE)="","",VLOOKUP(MATCH(O72,tid,0),tao,'12(id)'!$EL$20,FALSE)))</f>
        <v>0.67</v>
      </c>
      <c r="AG72" s="120" t="str">
        <f>+IF(ISERROR(MATCH(O72,tid,0)),"",IF(VLOOKUP(MATCH(O72,tid,0),tao,'12(id)'!$EM$20,FALSE)="","",VLOOKUP(MATCH(O72,tid,0),tao,'12(id)'!$EM$20,FALSE)))</f>
        <v/>
      </c>
      <c r="AH72" s="978" t="s">
        <v>561</v>
      </c>
      <c r="AI72" s="979"/>
      <c r="AJ72" s="980"/>
      <c r="AK72" s="980"/>
      <c r="AL72" s="980"/>
      <c r="AM72" s="981"/>
      <c r="AN72" s="3548" t="s">
        <v>559</v>
      </c>
      <c r="AO72" s="8647">
        <f>+IF(ISERROR(MATCH(O72,tid,0)),"",IF(VLOOKUP(MATCH(O72,tid,0),tao,'12(id)'!$GY$20,FALSE)="","",VLOOKUP(MATCH(O72,tid,0),tao,'12(id)'!$GY$20,FALSE)))</f>
        <v>99.9</v>
      </c>
      <c r="AP72" s="3531">
        <f>+IF($BB72="","",IF(VLOOKUP(MATCH(O72,tid,0),tao,'12(id)'!$HE$20,FALSE)="","",VLOOKUP(MATCH(O72,tid,0),tao,'12(id)'!$HE$20,FALSE)))</f>
        <v>20980</v>
      </c>
      <c r="AQ72" s="3531">
        <f>+IF(ISERROR(VLOOKUP(MATCH(O72,tid,0),tao,'12(id)'!$HF$20,FALSE)),"",VLOOKUP(MATCH(O72,tid,0),tao,'12(id)'!$HF$20,FALSE))</f>
        <v>20980</v>
      </c>
      <c r="AR72" s="3532">
        <f>+IF(ISERROR(MATCH(O72,tid,0)),"",IF(VLOOKUP(MATCH(O72,tid,0),tao,'12(id)'!$HJ$20,FALSE)="","",VLOOKUP(MATCH(O72,tid,0),tao,'12(id)'!$HJ$20,FALSE)))</f>
        <v>0.67</v>
      </c>
      <c r="AS72" s="4046" t="str">
        <f>+IF(ISERROR(MATCH(O72,tid,0)),"",IF(VLOOKUP(MATCH(O72,tid,0),tao,'12(id)'!$HK$20,FALSE)="","",VLOOKUP(MATCH(O72,tid,0),tao,'12(id)'!$HK$20,FALSE)))</f>
        <v/>
      </c>
      <c r="AT72" s="8649">
        <f>+IF(ISERROR(MATCH(O72,tid,0)),"",IF(VLOOKUP(MATCH(O72,tid,0),tao,'12(id)'!$HM$20,FALSE)="","",VLOOKUP(MATCH(O72,tid,0),tao,'12(id)'!$HM$20,FALSE)))</f>
        <v>6.2</v>
      </c>
      <c r="AU72" s="1007" t="str">
        <f t="shared" si="371"/>
        <v>CAIR-OS (max last 3 yrs)</v>
      </c>
      <c r="AV72" s="1010">
        <f>+IF(ISERROR(MATCH(O72,em_id,0)),"",IF(VLOOKUP(MATCH(O72,em_id,0),em,'5(em)'!$CX$18,FALSE)="","",VLOOKUP(MATCH(O72,em_id,0),em,'5(em)'!$CX$18,FALSE)))</f>
        <v>95</v>
      </c>
      <c r="AW72" s="1011">
        <f>+IF(ISERROR(MATCH(O72,em_id,0)),"",IF(VLOOKUP(MATCH(O72,em_id,0),em,'5(em)'!$CZ$18,FALSE)="","",VLOOKUP(MATCH(O72,em_id,0),em,'5(em)'!$CZ$18,FALSE)))</f>
        <v>23750</v>
      </c>
      <c r="AX72" s="1012">
        <f t="shared" si="50"/>
        <v>0.56999999999999995</v>
      </c>
      <c r="AY72" s="1013"/>
      <c r="AZ72" s="1014">
        <f>+IF(ISERROR(MATCH(O72,em_id,0)),"",IF(VLOOKUP(MATCH(O72,em_id,0),em,'5(em)'!$DA$18,FALSE)="","",VLOOKUP(MATCH(O72,em_id,0),em,'5(em)'!$DA$18,FALSE)))</f>
        <v>6.7687499999999989</v>
      </c>
      <c r="BA72" s="789"/>
      <c r="BB72" s="790" t="str">
        <f t="shared" si="311"/>
        <v>8300-09-01</v>
      </c>
      <c r="BC72" s="791">
        <v>1</v>
      </c>
      <c r="BD72" s="790" t="str">
        <f>+IF(OR(D72="",VLOOKUP(MATCH(D72,op_id,0),op,'7(op)'!$T$18,FALSE)=""),"",VLOOKUP(MATCH(D72,op_id,0),op,'7(op)'!$T$18,FALSE))</f>
        <v>High Pressure Water Injection (HPWI)</v>
      </c>
      <c r="BE72" s="790" t="s">
        <v>93</v>
      </c>
      <c r="BF72" s="790" t="s">
        <v>1860</v>
      </c>
      <c r="BG72" s="792"/>
      <c r="BH72" s="793" t="s">
        <v>561</v>
      </c>
      <c r="BI72" s="766" t="s">
        <v>566</v>
      </c>
      <c r="BJ72" s="794"/>
      <c r="BK72" s="794"/>
      <c r="BL72" s="794"/>
      <c r="BM72" s="794"/>
      <c r="BN72" s="794" t="str">
        <f t="shared" si="12"/>
        <v/>
      </c>
      <c r="BO72" s="794" t="str">
        <f t="shared" si="13"/>
        <v/>
      </c>
      <c r="BP72" s="794" t="str">
        <f t="shared" si="14"/>
        <v/>
      </c>
      <c r="BQ72" s="794" t="str">
        <f t="shared" si="15"/>
        <v/>
      </c>
      <c r="BR72" s="795"/>
      <c r="BS72" s="793" t="s">
        <v>559</v>
      </c>
      <c r="BT72" s="790" t="s">
        <v>1602</v>
      </c>
      <c r="BU72" s="3708">
        <f>+IF(BB72="","",IF(VLOOKUP(MATCH(BB72,ef_id,0),ef,'11(eff)'!$Z$23,FALSE)="","",VLOOKUP(MATCH(BB72,ef_id,0),ef,'11(eff)'!$Z$23,FALSE)))</f>
        <v>0.22</v>
      </c>
      <c r="BV72" s="3749" t="str">
        <f>+IF(BB72="","",IF(VLOOKUP(MATCH(BB72,ef_id,0),ef,'11(eff)'!$AA$23,FALSE)="","",VLOOKUP(MATCH(BB72,ef_id,0),ef,'11(eff)'!$AA$23,FALSE)))</f>
        <v/>
      </c>
      <c r="BW72" s="3777">
        <v>2</v>
      </c>
      <c r="BX72" s="1960">
        <f t="shared" si="380"/>
        <v>2</v>
      </c>
      <c r="BY72" s="1061">
        <f t="shared" si="381"/>
        <v>2.3078000000000003</v>
      </c>
      <c r="BZ72" s="1061"/>
      <c r="CA72" s="774"/>
      <c r="CB72" s="773">
        <f t="shared" si="382"/>
        <v>4.2</v>
      </c>
      <c r="CC72" s="3866">
        <f t="shared" si="372"/>
        <v>0.67741935483870974</v>
      </c>
      <c r="CD72" s="3866">
        <f t="shared" si="383"/>
        <v>0.67164179104477606</v>
      </c>
      <c r="CE72" s="2371">
        <f>+IF(BB72="","",IF(VLOOKUP(MATCH(BB72,ef_id,0),ef,'11(eff)'!$AE$23,FALSE)="","",VLOOKUP(MATCH(BB72,ef_id,0),ef,'11(eff)'!$AE$23,FALSE)))</f>
        <v>0.67164179104477617</v>
      </c>
      <c r="CF72" s="797" t="s">
        <v>1601</v>
      </c>
      <c r="CG72" s="798" t="s">
        <v>1603</v>
      </c>
      <c r="CH72" s="2408">
        <v>103</v>
      </c>
      <c r="CI72" s="799">
        <f>+IF(BB72="","",AZ72/AW72*2000*(1-CO72))</f>
        <v>0.18716417910447752</v>
      </c>
      <c r="CJ72" s="4068" t="str">
        <f t="shared" si="384"/>
        <v/>
      </c>
      <c r="CK72" s="799">
        <f t="shared" si="385"/>
        <v>2.2225746268656708</v>
      </c>
      <c r="CL72" s="3929">
        <f t="shared" si="386"/>
        <v>4.5461753731343286</v>
      </c>
      <c r="CM72" s="775">
        <f t="shared" si="387"/>
        <v>0.67164179104477628</v>
      </c>
      <c r="CN72" s="775">
        <f t="shared" si="388"/>
        <v>0.67164179104477628</v>
      </c>
      <c r="CO72" s="3971">
        <f>+IF(BB72="","",IF(VLOOKUP(MATCH(BB72,ef_id,0),ef,'11(eff)'!$AE$23,FALSE)="","",VLOOKUP(MATCH(BB72,ef_id,0),ef,'11(eff)'!$AE$23,FALSE)))</f>
        <v>0.67164179104477617</v>
      </c>
      <c r="CP72" s="3972" t="str">
        <f>+IF(OR(BB72="",VLOOKUP(MATCH(BB72,ef_id,0),ef,'11(eff)'!$AG$23,FALSE)=""),"",IF(VLOOKUP(MATCH(BB72,ef_id,0),ef,'11(eff)'!$AG$23,FALSE)/100=VLOOKUP(MATCH(BB72,ef_id,0),ef,'11(eff)'!$AE$23,FALSE),VLOOKUP(MATCH(BB72,ef_id,0),ef,'11(eff)'!$AE$23,FALSE),""))</f>
        <v/>
      </c>
      <c r="CQ72" s="789" t="str">
        <f t="shared" si="51"/>
        <v>High Pressure Water Injection (HPWI)</v>
      </c>
      <c r="CR72" s="796"/>
      <c r="CS72" s="2763">
        <v>2304179</v>
      </c>
      <c r="CT72" s="1589">
        <v>1090994</v>
      </c>
      <c r="CU72" s="802">
        <f>+CU71</f>
        <v>360000</v>
      </c>
      <c r="CV72" s="1864">
        <f t="shared" si="309"/>
        <v>159400</v>
      </c>
      <c r="CW72" s="1865">
        <f>+CW71</f>
        <v>40000</v>
      </c>
      <c r="CX72" s="1865">
        <f>+CX71</f>
        <v>250000</v>
      </c>
      <c r="CY72" s="808"/>
      <c r="CZ72" s="2476">
        <f>42000+2500+10000+40000+15000</f>
        <v>109500</v>
      </c>
      <c r="DA72" s="2486"/>
      <c r="DB72" s="2486">
        <f>+DB71</f>
        <v>16000</v>
      </c>
      <c r="DC72" s="1864"/>
      <c r="DD72" s="808"/>
      <c r="DE72" s="1866"/>
      <c r="DF72" s="1867"/>
      <c r="DG72" s="1867">
        <v>100000</v>
      </c>
      <c r="DH72" s="808"/>
      <c r="DI72" s="804">
        <f t="shared" si="389"/>
        <v>934900</v>
      </c>
      <c r="DJ72" s="1936">
        <v>56094</v>
      </c>
      <c r="DK72" s="1589"/>
      <c r="DL72" s="802"/>
      <c r="DM72" s="1864" t="str">
        <f t="shared" si="310"/>
        <v/>
      </c>
      <c r="DN72" s="1865"/>
      <c r="DO72" s="1865"/>
      <c r="DP72" s="808"/>
      <c r="DQ72" s="2476"/>
      <c r="DR72" s="2486"/>
      <c r="DS72" s="2486"/>
      <c r="DT72" s="1864"/>
      <c r="DU72" s="808"/>
      <c r="DV72" s="1866"/>
      <c r="DW72" s="1867"/>
      <c r="DX72" s="1867"/>
      <c r="DY72" s="808"/>
      <c r="DZ72" s="804" t="str">
        <f t="shared" si="18"/>
        <v/>
      </c>
      <c r="EA72" s="1936"/>
      <c r="EB72" s="802">
        <f t="shared" si="377"/>
        <v>1090994</v>
      </c>
      <c r="EC72" s="1961">
        <v>1</v>
      </c>
      <c r="ED72" s="803">
        <f t="shared" si="20"/>
        <v>1090994</v>
      </c>
      <c r="EE72" s="1866"/>
      <c r="EF72" s="1867"/>
      <c r="EG72" s="808">
        <v>490947</v>
      </c>
      <c r="EH72" s="804">
        <f t="shared" si="353"/>
        <v>490947</v>
      </c>
      <c r="EI72" s="1866"/>
      <c r="EJ72" s="1867"/>
      <c r="EK72" s="806"/>
      <c r="EL72" s="800">
        <v>360028</v>
      </c>
      <c r="EM72" s="1866"/>
      <c r="EN72" s="1867"/>
      <c r="EO72" s="806"/>
      <c r="EP72" s="804">
        <f t="shared" si="378"/>
        <v>360028</v>
      </c>
      <c r="EQ72" s="2559"/>
      <c r="ER72" s="2559"/>
      <c r="ES72" s="2559"/>
      <c r="ET72" s="1457">
        <v>362210</v>
      </c>
      <c r="EU72" s="1344"/>
      <c r="EV72" s="1391"/>
      <c r="EW72" s="2579"/>
      <c r="EX72" s="2579"/>
      <c r="EY72" s="2686">
        <f t="shared" si="390"/>
        <v>2304179</v>
      </c>
      <c r="EZ72" s="2715"/>
      <c r="FA72" s="1391"/>
      <c r="FB72" s="1476">
        <f t="shared" si="391"/>
        <v>2304179</v>
      </c>
      <c r="FC72" s="802">
        <f t="shared" si="392"/>
        <v>1090994</v>
      </c>
      <c r="FD72" s="2047">
        <f t="shared" si="393"/>
        <v>360000</v>
      </c>
      <c r="FE72" s="2031">
        <f t="shared" si="394"/>
        <v>0.3299743169989936</v>
      </c>
      <c r="FF72" s="2047">
        <f t="shared" si="395"/>
        <v>558900</v>
      </c>
      <c r="FG72" s="2031">
        <f t="shared" si="396"/>
        <v>0.51228512714093755</v>
      </c>
      <c r="FH72" s="2047">
        <f t="shared" si="397"/>
        <v>0</v>
      </c>
      <c r="FI72" s="2031">
        <f t="shared" si="398"/>
        <v>0</v>
      </c>
      <c r="FJ72" s="2856">
        <f t="shared" si="399"/>
        <v>918900</v>
      </c>
      <c r="FK72" s="2808">
        <f t="shared" si="373"/>
        <v>0.84225944413993115</v>
      </c>
      <c r="FL72" s="2780">
        <f t="shared" si="400"/>
        <v>16000</v>
      </c>
      <c r="FM72" s="2031">
        <f t="shared" si="401"/>
        <v>1.466552519995527E-2</v>
      </c>
      <c r="FN72" s="2780">
        <f t="shared" si="402"/>
        <v>0</v>
      </c>
      <c r="FO72" s="2770">
        <f t="shared" si="403"/>
        <v>0</v>
      </c>
      <c r="FP72" s="2780">
        <f t="shared" si="404"/>
        <v>100000</v>
      </c>
      <c r="FQ72" s="2770">
        <f t="shared" si="405"/>
        <v>9.1659532499720434E-2</v>
      </c>
      <c r="FR72" s="2844">
        <f t="shared" si="406"/>
        <v>934900</v>
      </c>
      <c r="FS72" s="2826">
        <f t="shared" si="407"/>
        <v>56094</v>
      </c>
      <c r="FT72" s="2067">
        <f t="shared" si="408"/>
        <v>0.06</v>
      </c>
      <c r="FU72" s="2892">
        <f t="shared" si="409"/>
        <v>0</v>
      </c>
      <c r="FV72" s="800">
        <f t="shared" si="410"/>
        <v>54549.7</v>
      </c>
      <c r="FW72" s="2108">
        <f t="shared" si="411"/>
        <v>490947</v>
      </c>
      <c r="FX72" s="2098">
        <f t="shared" si="412"/>
        <v>0.44999972502140251</v>
      </c>
      <c r="FY72" s="2109">
        <f t="shared" si="413"/>
        <v>360028</v>
      </c>
      <c r="FZ72" s="2098">
        <f t="shared" si="414"/>
        <v>0.32999998166809352</v>
      </c>
      <c r="GA72" s="2098" t="str">
        <f t="shared" si="415"/>
        <v/>
      </c>
      <c r="GB72" s="2109">
        <f t="shared" si="416"/>
        <v>362210</v>
      </c>
      <c r="GC72" s="2098">
        <f t="shared" si="417"/>
        <v>0.3319999926672374</v>
      </c>
      <c r="GD72" s="2098" t="str">
        <f t="shared" si="418"/>
        <v/>
      </c>
      <c r="GE72" s="807">
        <f t="shared" si="419"/>
        <v>2304179</v>
      </c>
      <c r="GF72" s="2142">
        <f t="shared" si="420"/>
        <v>2304179</v>
      </c>
      <c r="GG72" s="2166">
        <f t="shared" si="421"/>
        <v>0</v>
      </c>
      <c r="GH72" s="3178">
        <f t="shared" si="422"/>
        <v>115208.95</v>
      </c>
      <c r="GI72" s="3198">
        <v>386561</v>
      </c>
      <c r="GJ72" s="3186">
        <v>92830</v>
      </c>
      <c r="GK72" s="3452">
        <f t="shared" si="423"/>
        <v>4.2</v>
      </c>
      <c r="GL72" s="3223">
        <f t="shared" si="424"/>
        <v>8.5281338647707795E-3</v>
      </c>
      <c r="GM72" s="1281"/>
      <c r="GN72" s="2195"/>
      <c r="GO72" s="1866">
        <v>7000</v>
      </c>
      <c r="GP72" s="806">
        <f t="shared" si="354"/>
        <v>47872.5</v>
      </c>
      <c r="GQ72" s="1457">
        <v>54872.5</v>
      </c>
      <c r="GR72" s="2323">
        <f>+GR71</f>
        <v>2100</v>
      </c>
      <c r="GS72" s="2323">
        <v>43639.5</v>
      </c>
      <c r="GT72" s="804">
        <v>285949</v>
      </c>
      <c r="GU72" s="2314">
        <f t="shared" si="425"/>
        <v>386561</v>
      </c>
      <c r="GV72" s="1337">
        <f t="shared" si="426"/>
        <v>7000</v>
      </c>
      <c r="GW72" s="2258">
        <f t="shared" si="427"/>
        <v>47872.5</v>
      </c>
      <c r="GX72" s="2268">
        <f t="shared" si="428"/>
        <v>54872.5</v>
      </c>
      <c r="GY72" s="2269">
        <f t="shared" si="429"/>
        <v>2100</v>
      </c>
      <c r="GZ72" s="2269">
        <f t="shared" si="430"/>
        <v>43639.5</v>
      </c>
      <c r="HA72" s="804">
        <f t="shared" si="431"/>
        <v>285949</v>
      </c>
      <c r="HB72" s="1254">
        <f t="shared" si="432"/>
        <v>386561</v>
      </c>
      <c r="HC72" s="1282">
        <f t="shared" si="433"/>
        <v>386561</v>
      </c>
      <c r="HD72" s="1283">
        <f t="shared" si="375"/>
        <v>0</v>
      </c>
      <c r="HE72" s="1281"/>
      <c r="HF72" s="801">
        <f t="shared" si="434"/>
        <v>92830</v>
      </c>
      <c r="HG72" s="1284">
        <f t="shared" si="435"/>
        <v>85029.93577511028</v>
      </c>
      <c r="HH72" s="2991">
        <f t="shared" si="436"/>
        <v>1</v>
      </c>
      <c r="HI72" s="1285">
        <f t="shared" si="355"/>
        <v>934900</v>
      </c>
      <c r="HJ72" s="1867">
        <f t="shared" si="356"/>
        <v>100000</v>
      </c>
      <c r="HK72" s="2917">
        <f t="shared" si="357"/>
        <v>0</v>
      </c>
      <c r="HL72" s="2917">
        <f t="shared" si="437"/>
        <v>56094</v>
      </c>
      <c r="HM72" s="1286">
        <f t="shared" si="358"/>
        <v>1090994</v>
      </c>
      <c r="HN72" s="1347">
        <f t="shared" si="347"/>
        <v>54549.7</v>
      </c>
      <c r="HO72" s="2942">
        <f t="shared" si="438"/>
        <v>490947.3</v>
      </c>
      <c r="HP72" s="2943">
        <f t="shared" si="439"/>
        <v>360028.02</v>
      </c>
      <c r="HQ72" s="3006" t="str">
        <f t="shared" si="440"/>
        <v/>
      </c>
      <c r="HR72" s="2944">
        <f t="shared" si="441"/>
        <v>218198.80000000002</v>
      </c>
      <c r="HS72" s="2944">
        <f t="shared" si="442"/>
        <v>218198.80000000002</v>
      </c>
      <c r="HT72" s="3036" t="str">
        <f t="shared" si="443"/>
        <v/>
      </c>
      <c r="HU72" s="2944" t="str">
        <f t="shared" si="444"/>
        <v/>
      </c>
      <c r="HV72" s="3036" t="str">
        <f t="shared" si="312"/>
        <v/>
      </c>
      <c r="HW72" s="2944" t="str">
        <f t="shared" si="313"/>
        <v/>
      </c>
      <c r="HX72" s="3029">
        <f t="shared" si="199"/>
        <v>2160168.12</v>
      </c>
      <c r="HY72" s="2943" t="str">
        <f t="shared" si="445"/>
        <v/>
      </c>
      <c r="HZ72" s="2944" t="str">
        <f t="shared" si="446"/>
        <v/>
      </c>
      <c r="IA72" s="1285">
        <f t="shared" si="376"/>
        <v>2160168.12</v>
      </c>
      <c r="IB72" s="1287" t="str">
        <f t="shared" si="237"/>
        <v>stk added + 6%</v>
      </c>
      <c r="IC72" s="2907">
        <f t="shared" si="359"/>
        <v>108008.406</v>
      </c>
      <c r="ID72" s="1288"/>
      <c r="IE72" s="4103"/>
      <c r="IF72" s="1262">
        <f t="shared" si="447"/>
        <v>7000</v>
      </c>
      <c r="IG72" s="6774">
        <f>+IF(AO72="","",IF(IF72="","",(IF72/AO72)))</f>
        <v>70.070070070070059</v>
      </c>
      <c r="IH72" s="1257">
        <f t="shared" si="448"/>
        <v>47872.5</v>
      </c>
      <c r="II72" s="6794">
        <f t="shared" si="449"/>
        <v>2.2818160152526215</v>
      </c>
      <c r="IJ72" s="4101">
        <f t="shared" si="450"/>
        <v>54872.5</v>
      </c>
      <c r="IK72" s="4139">
        <v>1</v>
      </c>
      <c r="IL72" s="788">
        <f t="shared" si="451"/>
        <v>2100</v>
      </c>
      <c r="IM72" s="787">
        <f t="shared" si="452"/>
        <v>86406.724800000011</v>
      </c>
      <c r="IN72" s="4233">
        <f t="shared" si="453"/>
        <v>88506.724800000011</v>
      </c>
      <c r="IO72" s="4233">
        <f t="shared" si="454"/>
        <v>143379.22480000003</v>
      </c>
      <c r="IP72" s="4233">
        <f t="shared" si="455"/>
        <v>54872.5</v>
      </c>
      <c r="IQ72" s="6847">
        <f t="shared" si="456"/>
        <v>0.15800477254730941</v>
      </c>
      <c r="IR72" s="4233">
        <f t="shared" si="457"/>
        <v>88506.724800000011</v>
      </c>
      <c r="IS72" s="6847">
        <f t="shared" si="458"/>
        <v>0.25485416047986353</v>
      </c>
      <c r="IT72" s="4233">
        <f t="shared" si="459"/>
        <v>143379.22480000003</v>
      </c>
      <c r="IU72" s="6847">
        <f t="shared" si="460"/>
        <v>0.41285893302717297</v>
      </c>
      <c r="IV72" s="4135">
        <f t="shared" si="461"/>
        <v>1</v>
      </c>
      <c r="IW72" s="787">
        <f t="shared" si="462"/>
        <v>203904.58894410828</v>
      </c>
      <c r="IX72" s="2906">
        <f t="shared" si="463"/>
        <v>347283.81374410831</v>
      </c>
      <c r="IY72" s="4251">
        <f t="shared" si="464"/>
        <v>386561</v>
      </c>
      <c r="IZ72" s="4298">
        <f t="shared" si="465"/>
        <v>0.10160669662974715</v>
      </c>
      <c r="JA72" s="4291" t="str">
        <f t="shared" si="466"/>
        <v>stk added + 10%</v>
      </c>
      <c r="JB72" s="1266"/>
      <c r="JC72" s="805"/>
      <c r="JD72" s="801">
        <f t="shared" si="467"/>
        <v>82686.622320025781</v>
      </c>
      <c r="JE72" s="4336">
        <f t="shared" si="468"/>
        <v>76390.324886361763</v>
      </c>
      <c r="JF72" s="7039">
        <f t="shared" si="469"/>
        <v>20</v>
      </c>
      <c r="JG72" s="7055" t="s">
        <v>93</v>
      </c>
      <c r="JH72" s="6970">
        <f t="shared" si="470"/>
        <v>2160168.12</v>
      </c>
      <c r="JI72" s="6970">
        <f t="shared" si="471"/>
        <v>2160168.12</v>
      </c>
      <c r="JJ72" s="6970"/>
      <c r="JK72" s="6970"/>
      <c r="JL72" s="7007"/>
      <c r="JM72" s="7049">
        <f t="shared" si="472"/>
        <v>997500</v>
      </c>
      <c r="JN72" s="1867">
        <f t="shared" si="473"/>
        <v>1725675</v>
      </c>
      <c r="JO72" s="1867">
        <f t="shared" si="474"/>
        <v>1725675</v>
      </c>
      <c r="JP72" s="7080"/>
      <c r="JQ72" s="7080"/>
      <c r="JR72" s="7055"/>
      <c r="JS72" s="7073">
        <f t="shared" si="475"/>
        <v>1725675</v>
      </c>
      <c r="JT72" s="7163">
        <f t="shared" si="476"/>
        <v>1</v>
      </c>
      <c r="JU72" s="7164">
        <f t="shared" si="477"/>
        <v>95</v>
      </c>
      <c r="JV72" s="8377">
        <f t="shared" si="478"/>
        <v>23750</v>
      </c>
      <c r="JW72" s="8404">
        <f t="shared" si="479"/>
        <v>4.5461753731343286</v>
      </c>
      <c r="JX72" s="8433" t="str">
        <f t="shared" si="480"/>
        <v/>
      </c>
      <c r="JY72" s="8468" t="str">
        <f t="shared" ref="JY72:JY76" si="507">+IF(D72="","",IF(JT72=2,($JY$8*(1+$JY$8)^JX72)/((1+$JY$8)^JX72-1),""))</f>
        <v/>
      </c>
      <c r="JZ72" s="7165" t="str">
        <f t="shared" si="481"/>
        <v/>
      </c>
      <c r="KA72" s="7163">
        <f t="shared" si="482"/>
        <v>13638.84342607747</v>
      </c>
      <c r="KB72" s="7164">
        <f t="shared" si="483"/>
        <v>9547.1903982542281</v>
      </c>
      <c r="KC72" s="7165">
        <f t="shared" si="484"/>
        <v>19.073980817025006</v>
      </c>
      <c r="KD72" s="7163">
        <f t="shared" si="485"/>
        <v>1843.7600000000002</v>
      </c>
      <c r="KE72" s="8341" t="str">
        <f t="shared" si="486"/>
        <v/>
      </c>
      <c r="KF72" s="8341" t="str">
        <f t="shared" si="487"/>
        <v/>
      </c>
      <c r="KG72" s="7164">
        <f t="shared" si="488"/>
        <v>1509.6361180441897</v>
      </c>
      <c r="KH72" s="7164" t="str">
        <f t="shared" si="489"/>
        <v/>
      </c>
      <c r="KI72" s="7164" t="str">
        <f t="shared" si="490"/>
        <v/>
      </c>
      <c r="KJ72" s="7164">
        <f t="shared" si="491"/>
        <v>3353.3961180441902</v>
      </c>
      <c r="KK72" s="7164">
        <f t="shared" si="492"/>
        <v>9966.1840000000011</v>
      </c>
      <c r="KL72" s="7164">
        <f t="shared" si="493"/>
        <v>614.77171874999999</v>
      </c>
      <c r="KM72" s="7164">
        <f t="shared" si="494"/>
        <v>10580.955718750001</v>
      </c>
      <c r="KN72" s="7164" t="str">
        <f t="shared" si="495"/>
        <v/>
      </c>
      <c r="KO72" s="7164">
        <f t="shared" si="496"/>
        <v>10580.955718750001</v>
      </c>
      <c r="KP72" s="7165">
        <f t="shared" si="497"/>
        <v>13934.351836794191</v>
      </c>
      <c r="KQ72" s="7216">
        <f>+IF(D72="","",VLOOKUP(MATCH(BE72,ac_id,0),ad,ac!$F$8,FALSE)*JV72)</f>
        <v>166250</v>
      </c>
      <c r="KR72" s="7080">
        <f>+IF(D72="","",IF(JT72=1,VLOOKUP(MATCH(BE72,ac_id,0),ad,ac!$H$8,FALSE)*JU72, (VLOOKUP(MATCH(BE72,ac_id,0),ad,ac!$H$8,FALSE)*JU72^(1+VLOOKUP(MATCH(BE72,ac_id,0),ad,ac!$I$8,FALSE)))))</f>
        <v>23750</v>
      </c>
      <c r="KS72" s="7073">
        <f t="shared" si="498"/>
        <v>190000</v>
      </c>
      <c r="KT72" s="7216">
        <f t="shared" si="499"/>
        <v>6348.5734312500008</v>
      </c>
      <c r="KU72" s="7055">
        <f t="shared" si="500"/>
        <v>69027</v>
      </c>
      <c r="KV72" s="7389">
        <f t="shared" si="501"/>
        <v>1</v>
      </c>
      <c r="KW72" s="7273">
        <f t="shared" si="502"/>
        <v>148081.06430477212</v>
      </c>
      <c r="KX72" s="7073">
        <f t="shared" si="503"/>
        <v>223456.63773602212</v>
      </c>
      <c r="KY72" s="7353">
        <f t="shared" si="504"/>
        <v>237390.98957281632</v>
      </c>
      <c r="KZ72" s="7354"/>
      <c r="LA72" s="7210">
        <f t="shared" si="505"/>
        <v>56521.664184003886</v>
      </c>
      <c r="LB72" s="7355">
        <f t="shared" si="506"/>
        <v>52217.736908188999</v>
      </c>
      <c r="LC72" s="5133"/>
      <c r="LD72" s="5132"/>
      <c r="LE72" s="5132"/>
      <c r="LF72" s="5132"/>
      <c r="LG72" s="5132"/>
      <c r="LH72" s="5132"/>
      <c r="LI72" s="5132"/>
      <c r="LJ72" s="5132"/>
    </row>
    <row r="73" spans="1:322" s="13" customFormat="1" ht="27.95" customHeight="1">
      <c r="A73" s="5954" t="str">
        <f t="shared" si="352"/>
        <v>8300-10</v>
      </c>
      <c r="B73" s="9819" t="str">
        <f>+IF(A73="","",VLOOKUP(MATCH(A73,tid,0),tao,'12(id)'!$J$20,FALSE))</f>
        <v>NRG</v>
      </c>
      <c r="C73" s="6365" t="str">
        <f t="shared" si="47"/>
        <v>NH10</v>
      </c>
      <c r="D73" s="1125" t="str">
        <f t="shared" si="48"/>
        <v>8300-10-01</v>
      </c>
      <c r="E73" s="790" t="str">
        <f t="shared" si="379"/>
        <v>High Pressure Water Injection (HPWI)</v>
      </c>
      <c r="F73" s="790" t="str">
        <f t="shared" si="49"/>
        <v>HPWI</v>
      </c>
      <c r="G73" s="5133"/>
      <c r="H73" s="5132"/>
      <c r="I73" s="5133"/>
      <c r="J73" s="719">
        <f t="shared" si="68"/>
        <v>39</v>
      </c>
      <c r="K73" s="649">
        <f t="shared" si="370"/>
        <v>22</v>
      </c>
      <c r="L73" s="9648"/>
      <c r="M73" s="9650"/>
      <c r="N73" s="9648"/>
      <c r="O73" s="38" t="s">
        <v>268</v>
      </c>
      <c r="P73" s="282" t="s">
        <v>351</v>
      </c>
      <c r="Q73" s="202" t="str">
        <f>+IF(ISERROR(MATCH(O73,tid,0)),"",VLOOKUP(MATCH(O73,tid,0),tao,'12(id)'!$Q$20,FALSE))</f>
        <v>NH10</v>
      </c>
      <c r="R73" s="38">
        <f>+IF(O73="","",VLOOKUP(MATCH(O73,tid,0),tao,'12(id)'!$U$20,FALSE))</f>
        <v>1</v>
      </c>
      <c r="S73" s="38"/>
      <c r="T73" s="57">
        <f>+IF(ISERROR(MATCH(O73,tid,0)),"",IF(VLOOKUP(MATCH(O73,tid,0),tao,'12(id)'!$CT$20,FALSE)="","",VLOOKUP(MATCH(O73,tid,0),tao,'12(id)'!$CT$20,FALSE)))</f>
        <v>17</v>
      </c>
      <c r="U73" s="412">
        <f>+IF(ISERROR(MATCH(O73,tid,0)),"",IF(VLOOKUP(MATCH(O73,tid,0),tao,'12(id)'!$CU$20,FALSE)="","",VLOOKUP(MATCH(O73,tid,0),tao,'12(id)'!$CU$20,FALSE)))</f>
        <v>353</v>
      </c>
      <c r="V73" s="420" t="str">
        <f>+IF(O73="","",IF(VLOOKUP(MATCH(O73,tid,0),tao,'12(id)'!$T$20,FALSE)="","",VLOOKUP(MATCH(O73,tid,0),tao,'12(id)'!$T$20,FALSE)))</f>
        <v>Combustion Turbine</v>
      </c>
      <c r="W73" s="421" t="str">
        <f>+IF(ISERROR(MATCH(O73,tid,0)),"",IF(VLOOKUP(MATCH(O73,tid,0),tao,'12(id)'!$CO$20,FALSE)="","",VLOOKUP(MATCH(O73,tid,0),tao,'12(id)'!$CO$20,FALSE)))</f>
        <v>Westinghouse</v>
      </c>
      <c r="X73" s="420" t="str">
        <f>+IF(ISERROR(MATCH(O73,tid,0)),"",IF(VLOOKUP(MATCH(O73,tid,0),tao,'12(id)'!$CP$20,FALSE)="","",VLOOKUP(MATCH(O73,tid,0),tao,'12(id)'!$CP$20,FALSE)))</f>
        <v>W191</v>
      </c>
      <c r="Y73" s="2424" t="str">
        <f>+IF(ISERROR(MATCH(O73,tid,0)),"",IF(VLOOKUP(MATCH(O73,tid,0),tao,'12(id)'!$CQ$20,FALSE)="","",VLOOKUP(MATCH(O73,tid,0),tao,'12(id)'!$CQ$20,FALSE)))</f>
        <v/>
      </c>
      <c r="Z73" s="75" t="str">
        <f>+IF(ISERROR(MATCH(O73,tid,0)),"",VLOOKUP(MATCH(O73,tid,0),tao,'12(id)'!$DB$20,FALSE)&amp;" "&amp;VLOOKUP(MATCH(O73,tid,0),tao,'12(id)'!$DC$20,FALSE))</f>
        <v>Oct 1966</v>
      </c>
      <c r="AA73" s="64" t="str">
        <f ca="1">+IF(ISERROR(MATCH(O73,tid,0)),"",IF(VLOOKUP(MATCH(O73,tid,0),tao,'12(id)'!$DE$20,FALSE)="","",ROUND(VLOOKUP(MATCH(O73,tid,0),tao,'12(id)'!$DE$20,FALSE),0)&amp;" yrs"))</f>
        <v>48 yrs</v>
      </c>
      <c r="AB73" s="56" t="str">
        <f>+IF(ISERROR(MATCH(O73,tid,0)),"",VLOOKUP(MATCH(O73,tid,0),tao,'12(id)'!$DI$20,FALSE))</f>
        <v>No.2 Oil</v>
      </c>
      <c r="AC73" s="56" t="str">
        <f>+IF(ISERROR(MATCH(O73,tid,0)),"",IF(VLOOKUP(MATCH(O73,tid,0),tao,'12(id)'!$DQ$20,FALSE)="","",VLOOKUP(MATCH(O73,tid,0),tao,'12(id)'!$DQ$20,FALSE)))</f>
        <v/>
      </c>
      <c r="AD73" s="119">
        <f>+IF(ISERROR(MATCH(O73,tid,0)),"",IF(VLOOKUP(MATCH(O73,tid,0),tao,'12(id)'!$EI$20,FALSE)="","",VLOOKUP(MATCH(O73,tid,0),tao,'12(id)'!$EI$20,FALSE)))</f>
        <v>0.51400000000000001</v>
      </c>
      <c r="AE73" s="442" t="str">
        <f>+IF(ISERROR(MATCH(O73,tid,0)),"",IF(VLOOKUP(MATCH(O73,tid,0),tao,'12(id)'!$EJ$20,FALSE)="","",VLOOKUP(MATCH(O73,tid,0),tao,'12(id)'!$EJ$20,FALSE)))</f>
        <v/>
      </c>
      <c r="AF73" s="442">
        <f>+IF(ISERROR(MATCH(O73,tid,0)),"",IF(VLOOKUP(MATCH(O73,tid,0),tao,'12(id)'!$EL$20,FALSE)="","",VLOOKUP(MATCH(O73,tid,0),tao,'12(id)'!$EL$20,FALSE)))</f>
        <v>0.52</v>
      </c>
      <c r="AG73" s="120" t="str">
        <f>+IF(ISERROR(MATCH(O73,tid,0)),"",IF(VLOOKUP(MATCH(O73,tid,0),tao,'12(id)'!$EM$20,FALSE)="","",VLOOKUP(MATCH(O73,tid,0),tao,'12(id)'!$EM$20,FALSE)))</f>
        <v/>
      </c>
      <c r="AH73" s="978" t="s">
        <v>561</v>
      </c>
      <c r="AI73" s="979"/>
      <c r="AJ73" s="980"/>
      <c r="AK73" s="980"/>
      <c r="AL73" s="980"/>
      <c r="AM73" s="981"/>
      <c r="AN73" s="3548" t="s">
        <v>559</v>
      </c>
      <c r="AO73" s="8647">
        <f>+IF(ISERROR(MATCH(O73,tid,0)),"",IF(VLOOKUP(MATCH(O73,tid,0),tao,'12(id)'!$GY$20,FALSE)="","",VLOOKUP(MATCH(O73,tid,0),tao,'12(id)'!$GY$20,FALSE)))</f>
        <v>14.5</v>
      </c>
      <c r="AP73" s="3531">
        <f>+IF($BB73="","",IF(VLOOKUP(MATCH(O73,tid,0),tao,'12(id)'!$HE$20,FALSE)="","",VLOOKUP(MATCH(O73,tid,0),tao,'12(id)'!$HE$20,FALSE)))</f>
        <v>3480</v>
      </c>
      <c r="AQ73" s="3531">
        <f>+IF(ISERROR(VLOOKUP(MATCH(O73,tid,0),tao,'12(id)'!$HF$20,FALSE)),"",VLOOKUP(MATCH(O73,tid,0),tao,'12(id)'!$HF$20,FALSE))</f>
        <v>3480</v>
      </c>
      <c r="AR73" s="3532">
        <f>+IF(ISERROR(MATCH(O73,tid,0)),"",IF(VLOOKUP(MATCH(O73,tid,0),tao,'12(id)'!$HJ$20,FALSE)="","",VLOOKUP(MATCH(O73,tid,0),tao,'12(id)'!$HJ$20,FALSE)))</f>
        <v>0.52</v>
      </c>
      <c r="AS73" s="4046" t="str">
        <f>+IF(ISERROR(MATCH(O73,tid,0)),"",IF(VLOOKUP(MATCH(O73,tid,0),tao,'12(id)'!$HK$20,FALSE)="","",VLOOKUP(MATCH(O73,tid,0),tao,'12(id)'!$HK$20,FALSE)))</f>
        <v/>
      </c>
      <c r="AT73" s="8649">
        <f>+IF(ISERROR(MATCH(O73,tid,0)),"",IF(VLOOKUP(MATCH(O73,tid,0),tao,'12(id)'!$HM$20,FALSE)="","",VLOOKUP(MATCH(O73,tid,0),tao,'12(id)'!$HM$20,FALSE)))</f>
        <v>1</v>
      </c>
      <c r="AU73" s="1007" t="str">
        <f t="shared" si="371"/>
        <v>CAIR-OS (max last 3 yrs)</v>
      </c>
      <c r="AV73" s="1010">
        <f>+IF(ISERROR(MATCH(O73,em_id,0)),"",IF(VLOOKUP(MATCH(O73,em_id,0),em,'5(em)'!$CX$18,FALSE)="","",VLOOKUP(MATCH(O73,em_id,0),em,'5(em)'!$CX$18,FALSE)))</f>
        <v>21</v>
      </c>
      <c r="AW73" s="1011">
        <f>+IF(ISERROR(MATCH(O73,em_id,0)),"",IF(VLOOKUP(MATCH(O73,em_id,0),em,'5(em)'!$CZ$18,FALSE)="","",VLOOKUP(MATCH(O73,em_id,0),em,'5(em)'!$CZ$18,FALSE)))</f>
        <v>4848.2608695652179</v>
      </c>
      <c r="AX73" s="1012">
        <f t="shared" si="50"/>
        <v>0.51</v>
      </c>
      <c r="AY73" s="1013"/>
      <c r="AZ73" s="1014">
        <f>+IF(ISERROR(MATCH(O73,em_id,0)),"",IF(VLOOKUP(MATCH(O73,em_id,0),em,'5(em)'!$DA$18,FALSE)="","",VLOOKUP(MATCH(O73,em_id,0),em,'5(em)'!$DA$18,FALSE)))</f>
        <v>1.2460030434782612</v>
      </c>
      <c r="BA73" s="789"/>
      <c r="BB73" s="790" t="str">
        <f t="shared" si="311"/>
        <v>8300-10-01</v>
      </c>
      <c r="BC73" s="791">
        <v>1</v>
      </c>
      <c r="BD73" s="790" t="str">
        <f>+IF(OR(D73="",VLOOKUP(MATCH(D73,op_id,0),op,'7(op)'!$T$18,FALSE)=""),"",VLOOKUP(MATCH(D73,op_id,0),op,'7(op)'!$T$18,FALSE))</f>
        <v>High Pressure Water Injection (HPWI)</v>
      </c>
      <c r="BE73" s="790" t="s">
        <v>93</v>
      </c>
      <c r="BF73" s="790" t="s">
        <v>1860</v>
      </c>
      <c r="BG73" s="792"/>
      <c r="BH73" s="793" t="s">
        <v>561</v>
      </c>
      <c r="BI73" s="766" t="s">
        <v>566</v>
      </c>
      <c r="BJ73" s="794"/>
      <c r="BK73" s="794"/>
      <c r="BL73" s="794"/>
      <c r="BM73" s="794"/>
      <c r="BN73" s="794" t="str">
        <f t="shared" si="12"/>
        <v/>
      </c>
      <c r="BO73" s="794" t="str">
        <f t="shared" si="13"/>
        <v/>
      </c>
      <c r="BP73" s="794" t="str">
        <f t="shared" si="14"/>
        <v/>
      </c>
      <c r="BQ73" s="794" t="str">
        <f t="shared" si="15"/>
        <v/>
      </c>
      <c r="BR73" s="795"/>
      <c r="BS73" s="793" t="s">
        <v>559</v>
      </c>
      <c r="BT73" s="790" t="s">
        <v>1602</v>
      </c>
      <c r="BU73" s="3708">
        <f>+IF(BB73="","",IF(VLOOKUP(MATCH(BB73,ef_id,0),ef,'11(eff)'!$Z$23,FALSE)="","",VLOOKUP(MATCH(BB73,ef_id,0),ef,'11(eff)'!$Z$23,FALSE)))</f>
        <v>0.26</v>
      </c>
      <c r="BV73" s="3749" t="str">
        <f>+IF(BB73="","",IF(VLOOKUP(MATCH(BB73,ef_id,0),ef,'11(eff)'!$AA$23,FALSE)="","",VLOOKUP(MATCH(BB73,ef_id,0),ef,'11(eff)'!$AA$23,FALSE)))</f>
        <v/>
      </c>
      <c r="BW73" s="3777">
        <v>0.5</v>
      </c>
      <c r="BX73" s="1960">
        <f t="shared" si="380"/>
        <v>0.5</v>
      </c>
      <c r="BY73" s="1061">
        <f t="shared" si="381"/>
        <v>0.45240000000000008</v>
      </c>
      <c r="BZ73" s="1061"/>
      <c r="CA73" s="774"/>
      <c r="CB73" s="773">
        <f t="shared" si="382"/>
        <v>0.5</v>
      </c>
      <c r="CC73" s="3866">
        <f t="shared" si="372"/>
        <v>0.5</v>
      </c>
      <c r="CD73" s="3866">
        <f t="shared" si="383"/>
        <v>0.5</v>
      </c>
      <c r="CE73" s="2371">
        <f>+IF(BB73="","",IF(VLOOKUP(MATCH(BB73,ef_id,0),ef,'11(eff)'!$AE$23,FALSE)="","",VLOOKUP(MATCH(BB73,ef_id,0),ef,'11(eff)'!$AE$23,FALSE)))</f>
        <v>0.5</v>
      </c>
      <c r="CF73" s="797" t="s">
        <v>1601</v>
      </c>
      <c r="CG73" s="798" t="s">
        <v>1603</v>
      </c>
      <c r="CH73" s="2408">
        <v>103</v>
      </c>
      <c r="CI73" s="799">
        <f>+IF(BB73="","",AZ73/AW73*2000*(1-CO73))</f>
        <v>0.25700000000000001</v>
      </c>
      <c r="CJ73" s="4068" t="str">
        <f t="shared" si="384"/>
        <v/>
      </c>
      <c r="CK73" s="799">
        <f t="shared" si="385"/>
        <v>0.62300152173913048</v>
      </c>
      <c r="CL73" s="3929">
        <f t="shared" si="386"/>
        <v>0.6230015217391307</v>
      </c>
      <c r="CM73" s="775">
        <f t="shared" si="387"/>
        <v>0.50000000000000011</v>
      </c>
      <c r="CN73" s="775">
        <f t="shared" si="388"/>
        <v>0.49607843137254903</v>
      </c>
      <c r="CO73" s="3971">
        <f>+IF(BB73="","",IF(VLOOKUP(MATCH(BB73,ef_id,0),ef,'11(eff)'!$AE$23,FALSE)="","",VLOOKUP(MATCH(BB73,ef_id,0),ef,'11(eff)'!$AE$23,FALSE)))</f>
        <v>0.5</v>
      </c>
      <c r="CP73" s="3972" t="str">
        <f>+IF(OR(BB73="",VLOOKUP(MATCH(BB73,ef_id,0),ef,'11(eff)'!$AG$23,FALSE)=""),"",IF(VLOOKUP(MATCH(BB73,ef_id,0),ef,'11(eff)'!$AG$23,FALSE)/100=VLOOKUP(MATCH(BB73,ef_id,0),ef,'11(eff)'!$AE$23,FALSE),VLOOKUP(MATCH(BB73,ef_id,0),ef,'11(eff)'!$AE$23,FALSE),""))</f>
        <v/>
      </c>
      <c r="CQ73" s="789" t="str">
        <f t="shared" si="51"/>
        <v>High Pressure Water Injection (HPWI)</v>
      </c>
      <c r="CR73" s="796"/>
      <c r="CS73" s="2763">
        <v>1592321</v>
      </c>
      <c r="CT73" s="1589">
        <v>753940</v>
      </c>
      <c r="CU73" s="802">
        <f>+CU72</f>
        <v>360000</v>
      </c>
      <c r="CV73" s="1864">
        <f t="shared" si="309"/>
        <v>25000</v>
      </c>
      <c r="CW73" s="1865">
        <v>15000</v>
      </c>
      <c r="CX73" s="1865">
        <v>100000</v>
      </c>
      <c r="CY73" s="808"/>
      <c r="CZ73" s="2476">
        <f>42000+2500+10000+20000+15000</f>
        <v>89500</v>
      </c>
      <c r="DA73" s="2486"/>
      <c r="DB73" s="2486">
        <f>+DB72</f>
        <v>16000</v>
      </c>
      <c r="DC73" s="1864"/>
      <c r="DD73" s="808"/>
      <c r="DE73" s="1866"/>
      <c r="DF73" s="1867"/>
      <c r="DG73" s="1867">
        <v>100000</v>
      </c>
      <c r="DH73" s="808"/>
      <c r="DI73" s="804">
        <f t="shared" si="389"/>
        <v>605500</v>
      </c>
      <c r="DJ73" s="1936">
        <v>48440</v>
      </c>
      <c r="DK73" s="1589"/>
      <c r="DL73" s="802"/>
      <c r="DM73" s="1864" t="str">
        <f t="shared" si="310"/>
        <v/>
      </c>
      <c r="DN73" s="1865"/>
      <c r="DO73" s="1865"/>
      <c r="DP73" s="808"/>
      <c r="DQ73" s="2476"/>
      <c r="DR73" s="2486"/>
      <c r="DS73" s="2486"/>
      <c r="DT73" s="1864"/>
      <c r="DU73" s="808"/>
      <c r="DV73" s="1866"/>
      <c r="DW73" s="1867"/>
      <c r="DX73" s="1867"/>
      <c r="DY73" s="808"/>
      <c r="DZ73" s="804" t="str">
        <f t="shared" si="18"/>
        <v/>
      </c>
      <c r="EA73" s="1936"/>
      <c r="EB73" s="802">
        <f t="shared" si="377"/>
        <v>753940</v>
      </c>
      <c r="EC73" s="1961">
        <v>1</v>
      </c>
      <c r="ED73" s="803">
        <f t="shared" si="20"/>
        <v>753940</v>
      </c>
      <c r="EE73" s="1866"/>
      <c r="EF73" s="1867"/>
      <c r="EG73" s="808">
        <v>339273</v>
      </c>
      <c r="EH73" s="804">
        <f t="shared" si="353"/>
        <v>339273</v>
      </c>
      <c r="EI73" s="1866"/>
      <c r="EJ73" s="1867"/>
      <c r="EK73" s="806"/>
      <c r="EL73" s="800">
        <v>248800</v>
      </c>
      <c r="EM73" s="1866"/>
      <c r="EN73" s="1867"/>
      <c r="EO73" s="806"/>
      <c r="EP73" s="804">
        <f t="shared" si="378"/>
        <v>248800</v>
      </c>
      <c r="EQ73" s="2559"/>
      <c r="ER73" s="2559"/>
      <c r="ES73" s="2559"/>
      <c r="ET73" s="1457">
        <v>250308</v>
      </c>
      <c r="EU73" s="1344"/>
      <c r="EV73" s="1391"/>
      <c r="EW73" s="2579"/>
      <c r="EX73" s="2579"/>
      <c r="EY73" s="2686">
        <f t="shared" si="390"/>
        <v>1592321</v>
      </c>
      <c r="EZ73" s="2715"/>
      <c r="FA73" s="1391"/>
      <c r="FB73" s="1476">
        <f t="shared" si="391"/>
        <v>1592321</v>
      </c>
      <c r="FC73" s="802">
        <f t="shared" si="392"/>
        <v>753940</v>
      </c>
      <c r="FD73" s="2047">
        <f t="shared" si="393"/>
        <v>360000</v>
      </c>
      <c r="FE73" s="2031">
        <f t="shared" si="394"/>
        <v>0.4774915775791177</v>
      </c>
      <c r="FF73" s="2047">
        <f t="shared" si="395"/>
        <v>229500</v>
      </c>
      <c r="FG73" s="2031">
        <f t="shared" si="396"/>
        <v>0.30440088070668753</v>
      </c>
      <c r="FH73" s="2047">
        <f t="shared" si="397"/>
        <v>0</v>
      </c>
      <c r="FI73" s="2031">
        <f t="shared" si="398"/>
        <v>0</v>
      </c>
      <c r="FJ73" s="2856">
        <f t="shared" si="399"/>
        <v>589500</v>
      </c>
      <c r="FK73" s="2808">
        <f t="shared" si="373"/>
        <v>0.78189245828580523</v>
      </c>
      <c r="FL73" s="2780">
        <f t="shared" si="400"/>
        <v>16000</v>
      </c>
      <c r="FM73" s="2031">
        <f t="shared" si="401"/>
        <v>2.1221847892405232E-2</v>
      </c>
      <c r="FN73" s="2780">
        <f t="shared" si="402"/>
        <v>0</v>
      </c>
      <c r="FO73" s="2770">
        <f t="shared" si="403"/>
        <v>0</v>
      </c>
      <c r="FP73" s="2780">
        <f t="shared" si="404"/>
        <v>100000</v>
      </c>
      <c r="FQ73" s="2770">
        <f t="shared" si="405"/>
        <v>0.13263654932753269</v>
      </c>
      <c r="FR73" s="2844">
        <f t="shared" si="406"/>
        <v>605500</v>
      </c>
      <c r="FS73" s="2826">
        <f t="shared" si="407"/>
        <v>48440</v>
      </c>
      <c r="FT73" s="2067">
        <f t="shared" si="408"/>
        <v>0.08</v>
      </c>
      <c r="FU73" s="2892">
        <f t="shared" si="409"/>
        <v>0</v>
      </c>
      <c r="FV73" s="800">
        <f t="shared" si="410"/>
        <v>44349.411764705881</v>
      </c>
      <c r="FW73" s="2108">
        <f t="shared" si="411"/>
        <v>339273</v>
      </c>
      <c r="FX73" s="2098">
        <f t="shared" si="412"/>
        <v>0.45</v>
      </c>
      <c r="FY73" s="2109">
        <f t="shared" si="413"/>
        <v>248800</v>
      </c>
      <c r="FZ73" s="2098">
        <f t="shared" si="414"/>
        <v>0.32999973472690136</v>
      </c>
      <c r="GA73" s="2098" t="str">
        <f t="shared" si="415"/>
        <v/>
      </c>
      <c r="GB73" s="2109">
        <f t="shared" si="416"/>
        <v>250308</v>
      </c>
      <c r="GC73" s="2098">
        <f t="shared" si="417"/>
        <v>0.33199989389076051</v>
      </c>
      <c r="GD73" s="2098" t="str">
        <f t="shared" si="418"/>
        <v/>
      </c>
      <c r="GE73" s="807">
        <f t="shared" si="419"/>
        <v>1592321</v>
      </c>
      <c r="GF73" s="2142">
        <f t="shared" si="420"/>
        <v>1592321</v>
      </c>
      <c r="GG73" s="2166">
        <f t="shared" si="421"/>
        <v>0</v>
      </c>
      <c r="GH73" s="3178">
        <f t="shared" si="422"/>
        <v>93665.941176470587</v>
      </c>
      <c r="GI73" s="3198">
        <v>495392</v>
      </c>
      <c r="GJ73" s="3186">
        <v>990785</v>
      </c>
      <c r="GK73" s="3452">
        <f t="shared" si="423"/>
        <v>0.5</v>
      </c>
      <c r="GL73" s="3223">
        <f t="shared" si="424"/>
        <v>1.0093007060058439E-6</v>
      </c>
      <c r="GM73" s="1281"/>
      <c r="GN73" s="2195"/>
      <c r="GO73" s="1866">
        <v>7000</v>
      </c>
      <c r="GP73" s="806">
        <f t="shared" si="354"/>
        <v>46760.5</v>
      </c>
      <c r="GQ73" s="1457">
        <v>53760.5</v>
      </c>
      <c r="GR73" s="2323">
        <f>+GR72</f>
        <v>2100</v>
      </c>
      <c r="GS73" s="2323">
        <v>30157.5</v>
      </c>
      <c r="GT73" s="804">
        <v>409374</v>
      </c>
      <c r="GU73" s="2314">
        <f t="shared" si="425"/>
        <v>495392</v>
      </c>
      <c r="GV73" s="1337">
        <f t="shared" si="426"/>
        <v>7000</v>
      </c>
      <c r="GW73" s="2258">
        <f t="shared" si="427"/>
        <v>46760.5</v>
      </c>
      <c r="GX73" s="2268">
        <f t="shared" si="428"/>
        <v>53760.5</v>
      </c>
      <c r="GY73" s="2269">
        <f t="shared" si="429"/>
        <v>2100</v>
      </c>
      <c r="GZ73" s="2269">
        <f t="shared" si="430"/>
        <v>30157.5</v>
      </c>
      <c r="HA73" s="804">
        <f t="shared" si="431"/>
        <v>409374</v>
      </c>
      <c r="HB73" s="1254">
        <f t="shared" si="432"/>
        <v>495392</v>
      </c>
      <c r="HC73" s="1282">
        <f t="shared" si="433"/>
        <v>495392</v>
      </c>
      <c r="HD73" s="1283">
        <f t="shared" si="375"/>
        <v>0</v>
      </c>
      <c r="HE73" s="1281"/>
      <c r="HF73" s="801">
        <f t="shared" si="434"/>
        <v>990785</v>
      </c>
      <c r="HG73" s="1284">
        <f t="shared" si="435"/>
        <v>795169.80731779884</v>
      </c>
      <c r="HH73" s="2991">
        <f t="shared" si="436"/>
        <v>1</v>
      </c>
      <c r="HI73" s="1285">
        <f t="shared" si="355"/>
        <v>605500</v>
      </c>
      <c r="HJ73" s="1867">
        <f t="shared" si="356"/>
        <v>100000</v>
      </c>
      <c r="HK73" s="2917">
        <f t="shared" si="357"/>
        <v>0</v>
      </c>
      <c r="HL73" s="2917">
        <f t="shared" si="437"/>
        <v>36330</v>
      </c>
      <c r="HM73" s="1286">
        <f t="shared" si="358"/>
        <v>741830</v>
      </c>
      <c r="HN73" s="1347">
        <f t="shared" si="347"/>
        <v>43637.058823529413</v>
      </c>
      <c r="HO73" s="2942">
        <f t="shared" si="438"/>
        <v>333823.5</v>
      </c>
      <c r="HP73" s="2943">
        <f t="shared" si="439"/>
        <v>244803.90000000002</v>
      </c>
      <c r="HQ73" s="3006" t="str">
        <f t="shared" si="440"/>
        <v/>
      </c>
      <c r="HR73" s="2944">
        <f t="shared" si="441"/>
        <v>148366</v>
      </c>
      <c r="HS73" s="2944">
        <f t="shared" si="442"/>
        <v>148366</v>
      </c>
      <c r="HT73" s="3036" t="str">
        <f t="shared" si="443"/>
        <v/>
      </c>
      <c r="HU73" s="2944" t="str">
        <f t="shared" si="444"/>
        <v/>
      </c>
      <c r="HV73" s="3036" t="str">
        <f t="shared" si="312"/>
        <v/>
      </c>
      <c r="HW73" s="2944" t="str">
        <f t="shared" si="313"/>
        <v/>
      </c>
      <c r="HX73" s="3029">
        <f t="shared" si="199"/>
        <v>1468823.4</v>
      </c>
      <c r="HY73" s="2943" t="str">
        <f t="shared" si="445"/>
        <v/>
      </c>
      <c r="HZ73" s="2944" t="str">
        <f t="shared" si="446"/>
        <v/>
      </c>
      <c r="IA73" s="1285">
        <f t="shared" si="376"/>
        <v>1468823.4</v>
      </c>
      <c r="IB73" s="1287" t="str">
        <f t="shared" si="237"/>
        <v>stk added + 8%</v>
      </c>
      <c r="IC73" s="2907">
        <f t="shared" si="359"/>
        <v>86401.376470588235</v>
      </c>
      <c r="ID73" s="1288"/>
      <c r="IE73" s="4103"/>
      <c r="IF73" s="1262">
        <f t="shared" si="447"/>
        <v>7000</v>
      </c>
      <c r="IG73" s="6774">
        <f>+IF(AO73="","",IF(IF73="","",(IF73/AO73)))</f>
        <v>482.75862068965517</v>
      </c>
      <c r="IH73" s="1257">
        <f t="shared" si="448"/>
        <v>46760.5</v>
      </c>
      <c r="II73" s="6794">
        <f t="shared" si="449"/>
        <v>13.436925287356322</v>
      </c>
      <c r="IJ73" s="4101">
        <f t="shared" si="450"/>
        <v>53760.5</v>
      </c>
      <c r="IK73" s="4139">
        <v>1</v>
      </c>
      <c r="IL73" s="788">
        <f t="shared" si="451"/>
        <v>2100</v>
      </c>
      <c r="IM73" s="787">
        <f t="shared" si="452"/>
        <v>58752.935999999994</v>
      </c>
      <c r="IN73" s="4233">
        <f t="shared" si="453"/>
        <v>60852.935999999994</v>
      </c>
      <c r="IO73" s="4233">
        <f t="shared" si="454"/>
        <v>114613.43599999999</v>
      </c>
      <c r="IP73" s="4233">
        <f t="shared" si="455"/>
        <v>53760.5</v>
      </c>
      <c r="IQ73" s="6847">
        <f t="shared" si="456"/>
        <v>0.21227396940828991</v>
      </c>
      <c r="IR73" s="4233">
        <f t="shared" si="457"/>
        <v>60852.935999999994</v>
      </c>
      <c r="IS73" s="6847">
        <f t="shared" si="458"/>
        <v>0.24027853674851651</v>
      </c>
      <c r="IT73" s="4233">
        <f t="shared" si="459"/>
        <v>114613.43599999999</v>
      </c>
      <c r="IU73" s="6847">
        <f t="shared" si="460"/>
        <v>0.45255250615680637</v>
      </c>
      <c r="IV73" s="4135">
        <f t="shared" si="461"/>
        <v>1</v>
      </c>
      <c r="IW73" s="787">
        <f t="shared" si="462"/>
        <v>138646.53812615635</v>
      </c>
      <c r="IX73" s="2906">
        <f t="shared" si="463"/>
        <v>253259.97412615633</v>
      </c>
      <c r="IY73" s="4251">
        <f t="shared" si="464"/>
        <v>495392</v>
      </c>
      <c r="IZ73" s="4298">
        <f t="shared" si="465"/>
        <v>0.4887685426366265</v>
      </c>
      <c r="JA73" s="4291" t="str">
        <f t="shared" si="466"/>
        <v>stk added + 49%</v>
      </c>
      <c r="JB73" s="1349" t="str">
        <f>+"Stakholder reported an large CR of $"&amp;HA73&amp;" hence Annual Costs of $"&amp;HB73</f>
        <v>Stakholder reported an large CR of $409374 hence Annual Costs of $495392</v>
      </c>
      <c r="JC73" s="805"/>
      <c r="JD73" s="801">
        <f t="shared" si="467"/>
        <v>506519.94825231266</v>
      </c>
      <c r="JE73" s="4336">
        <f t="shared" si="468"/>
        <v>406515.81944643118</v>
      </c>
      <c r="JF73" s="7039">
        <f t="shared" si="469"/>
        <v>17</v>
      </c>
      <c r="JG73" s="7055" t="s">
        <v>93</v>
      </c>
      <c r="JH73" s="6970">
        <f t="shared" si="470"/>
        <v>1468823.4</v>
      </c>
      <c r="JI73" s="6970">
        <f t="shared" si="471"/>
        <v>1468823.4</v>
      </c>
      <c r="JJ73" s="6970"/>
      <c r="JK73" s="6970"/>
      <c r="JL73" s="7007"/>
      <c r="JM73" s="7049">
        <f t="shared" si="472"/>
        <v>891600</v>
      </c>
      <c r="JN73" s="1867">
        <f t="shared" si="473"/>
        <v>1542468</v>
      </c>
      <c r="JO73" s="1867">
        <f t="shared" si="474"/>
        <v>1542468</v>
      </c>
      <c r="JP73" s="7080"/>
      <c r="JQ73" s="7080"/>
      <c r="JR73" s="7055"/>
      <c r="JS73" s="7073">
        <f t="shared" si="475"/>
        <v>1542468</v>
      </c>
      <c r="JT73" s="7163">
        <f t="shared" si="476"/>
        <v>1</v>
      </c>
      <c r="JU73" s="7164">
        <f t="shared" si="477"/>
        <v>21</v>
      </c>
      <c r="JV73" s="8377">
        <f t="shared" si="478"/>
        <v>4848.2608695652179</v>
      </c>
      <c r="JW73" s="8404">
        <f t="shared" si="479"/>
        <v>0.6230015217391307</v>
      </c>
      <c r="JX73" s="8433" t="str">
        <f t="shared" si="480"/>
        <v/>
      </c>
      <c r="JY73" s="8468" t="str">
        <f t="shared" si="507"/>
        <v/>
      </c>
      <c r="JZ73" s="7165" t="str">
        <f t="shared" si="481"/>
        <v/>
      </c>
      <c r="KA73" s="7163">
        <f t="shared" si="482"/>
        <v>12595.175407386323</v>
      </c>
      <c r="KB73" s="7164">
        <f t="shared" si="483"/>
        <v>8816.6227851704261</v>
      </c>
      <c r="KC73" s="7165">
        <f t="shared" si="484"/>
        <v>17.614406632765704</v>
      </c>
      <c r="KD73" s="7163">
        <f t="shared" si="485"/>
        <v>407.56799999999998</v>
      </c>
      <c r="KE73" s="8341" t="str">
        <f t="shared" si="486"/>
        <v/>
      </c>
      <c r="KF73" s="8341" t="str">
        <f t="shared" si="487"/>
        <v/>
      </c>
      <c r="KG73" s="7164">
        <f t="shared" si="488"/>
        <v>308.17304077456771</v>
      </c>
      <c r="KH73" s="7164" t="str">
        <f t="shared" si="489"/>
        <v/>
      </c>
      <c r="KI73" s="7164" t="str">
        <f t="shared" si="490"/>
        <v/>
      </c>
      <c r="KJ73" s="7164">
        <f t="shared" si="491"/>
        <v>715.74104077456764</v>
      </c>
      <c r="KK73" s="7164">
        <f t="shared" si="492"/>
        <v>2203.0511999999999</v>
      </c>
      <c r="KL73" s="7164">
        <f t="shared" si="493"/>
        <v>121.46935499999999</v>
      </c>
      <c r="KM73" s="7164">
        <f t="shared" si="494"/>
        <v>2324.5205550000001</v>
      </c>
      <c r="KN73" s="7164" t="str">
        <f t="shared" si="495"/>
        <v/>
      </c>
      <c r="KO73" s="7164">
        <f t="shared" si="496"/>
        <v>2324.5205550000001</v>
      </c>
      <c r="KP73" s="7165">
        <f t="shared" si="497"/>
        <v>3040.2615957745675</v>
      </c>
      <c r="KQ73" s="7216">
        <f>+IF(D73="","",VLOOKUP(MATCH(BE73,ac_id,0),ad,ac!$F$8,FALSE)*JV73)</f>
        <v>33937.826086956527</v>
      </c>
      <c r="KR73" s="7080">
        <f>+IF(D73="","",IF(JT73=1,VLOOKUP(MATCH(BE73,ac_id,0),ad,ac!$H$8,FALSE)*JU73, (VLOOKUP(MATCH(BE73,ac_id,0),ad,ac!$H$8,FALSE)*JU73^(1+VLOOKUP(MATCH(BE73,ac_id,0),ad,ac!$I$8,FALSE)))))</f>
        <v>5250</v>
      </c>
      <c r="KS73" s="7073">
        <f t="shared" si="498"/>
        <v>39187.826086956527</v>
      </c>
      <c r="KT73" s="7216">
        <f t="shared" si="499"/>
        <v>1394.7123329999999</v>
      </c>
      <c r="KU73" s="7055">
        <f t="shared" si="500"/>
        <v>61698.720000000001</v>
      </c>
      <c r="KV73" s="7389">
        <f t="shared" si="501"/>
        <v>1</v>
      </c>
      <c r="KW73" s="7273">
        <f t="shared" si="502"/>
        <v>132359.97687632564</v>
      </c>
      <c r="KX73" s="7073">
        <f t="shared" si="503"/>
        <v>195453.40920932565</v>
      </c>
      <c r="KY73" s="7353">
        <f t="shared" si="504"/>
        <v>198493.67080510021</v>
      </c>
      <c r="KZ73" s="7354"/>
      <c r="LA73" s="7210">
        <f t="shared" si="505"/>
        <v>396987.34161020041</v>
      </c>
      <c r="LB73" s="7355">
        <f t="shared" si="506"/>
        <v>318608.64521004399</v>
      </c>
      <c r="LC73" s="5133"/>
      <c r="LD73" s="5132"/>
      <c r="LE73" s="5132"/>
      <c r="LF73" s="5132"/>
      <c r="LG73" s="5132"/>
      <c r="LH73" s="5132"/>
      <c r="LI73" s="5132"/>
      <c r="LJ73" s="5132"/>
    </row>
    <row r="74" spans="1:322" s="645" customFormat="1" ht="27.95" customHeight="1">
      <c r="A74" s="10744" t="str">
        <f t="shared" si="352"/>
        <v>8300-11</v>
      </c>
      <c r="B74" s="9819" t="str">
        <f>+IF(A74="","",VLOOKUP(MATCH(A74,tid,0),tao,'12(id)'!$J$20,FALSE))</f>
        <v>NRG</v>
      </c>
      <c r="C74" s="10745" t="str">
        <f>+Q74</f>
        <v>DV10</v>
      </c>
      <c r="D74" s="1126" t="str">
        <f t="shared" si="48"/>
        <v>8300-11-01</v>
      </c>
      <c r="E74" s="1072" t="str">
        <f t="shared" si="379"/>
        <v>Selective Catalytic Reduction (SCR)</v>
      </c>
      <c r="F74" s="1072" t="str">
        <f t="shared" si="49"/>
        <v>SCR</v>
      </c>
      <c r="G74" s="5133"/>
      <c r="H74" s="5132"/>
      <c r="I74" s="5133"/>
      <c r="J74" s="745">
        <f t="shared" si="68"/>
        <v>40</v>
      </c>
      <c r="K74" s="10719">
        <f t="shared" si="370"/>
        <v>23</v>
      </c>
      <c r="L74" s="9648"/>
      <c r="M74" s="9650"/>
      <c r="N74" s="9648"/>
      <c r="O74" s="10666" t="s">
        <v>269</v>
      </c>
      <c r="P74" s="9654" t="str">
        <f>+IF(O74="","",VLOOKUP(MATCH(O74,tid,0),tao,'12(id)'!$L$20,FALSE))</f>
        <v>Devon</v>
      </c>
      <c r="Q74" s="10721" t="str">
        <f>+IF(ISERROR(MATCH(O74,tid,0)),"",VLOOKUP(MATCH(O74,tid,0),tao,'12(id)'!$Q$20,FALSE))</f>
        <v>DV10</v>
      </c>
      <c r="R74" s="10666">
        <f>+IF(O74="","",VLOOKUP(MATCH(O74,tid,0),tao,'12(id)'!$U$20,FALSE))</f>
        <v>1</v>
      </c>
      <c r="S74" s="1023"/>
      <c r="T74" s="10732">
        <f>+IF(ISERROR(MATCH(O74,tid,0)),"",IF(VLOOKUP(MATCH(O74,tid,0),tao,'12(id)'!$CT$20,FALSE)="","",VLOOKUP(MATCH(O74,tid,0),tao,'12(id)'!$CT$20,FALSE)))</f>
        <v>20</v>
      </c>
      <c r="U74" s="10734">
        <f>+IF(ISERROR(MATCH(O74,tid,0)),"",IF(VLOOKUP(MATCH(O74,tid,0),tao,'12(id)'!$CU$20,FALSE)="","",VLOOKUP(MATCH(O74,tid,0),tao,'12(id)'!$CU$20,FALSE)))</f>
        <v>180</v>
      </c>
      <c r="V74" s="10735" t="str">
        <f>+IF(O74="","",IF(VLOOKUP(MATCH(O74,tid,0),tao,'12(id)'!$T$20,FALSE)="","",VLOOKUP(MATCH(O74,tid,0),tao,'12(id)'!$T$20,FALSE)))</f>
        <v>Combustion Turbine</v>
      </c>
      <c r="W74" s="10737" t="str">
        <f>+IF(ISERROR(MATCH(O74,tid,0)),"",IF(VLOOKUP(MATCH(O74,tid,0),tao,'12(id)'!$CO$20,FALSE)="","",VLOOKUP(MATCH(O74,tid,0),tao,'12(id)'!$CO$20,FALSE)))</f>
        <v>Pratt &amp; Whitney</v>
      </c>
      <c r="X74" s="10735" t="str">
        <f>+IF(ISERROR(MATCH(O74,tid,0)),"",IF(VLOOKUP(MATCH(O74,tid,0),tao,'12(id)'!$CP$20,FALSE)="","",VLOOKUP(MATCH(O74,tid,0),tao,'12(id)'!$CP$20,FALSE)))</f>
        <v>FT4-A8</v>
      </c>
      <c r="Y74" s="2426" t="str">
        <f>+IF(ISERROR(MATCH(O74,tid,0)),"",IF(VLOOKUP(MATCH(O74,tid,0),tao,'12(id)'!$CQ$20,FALSE)="","",VLOOKUP(MATCH(O74,tid,0),tao,'12(id)'!$CQ$20,FALSE)))</f>
        <v>FT</v>
      </c>
      <c r="Z74" s="10742" t="str">
        <f>+IF(ISERROR(MATCH(O74,tid,0)),"",VLOOKUP(MATCH(O74,tid,0),tao,'12(id)'!$DB$20,FALSE)&amp;" "&amp;VLOOKUP(MATCH(O74,tid,0),tao,'12(id)'!$DC$20,FALSE))</f>
        <v>Mar 1988</v>
      </c>
      <c r="AA74" s="10742" t="str">
        <f ca="1">+IF(ISERROR(MATCH(O74,tid,0)),"",IF(VLOOKUP(MATCH(O74,tid,0),tao,'12(id)'!$DE$20,FALSE)="","",ROUND(VLOOKUP(MATCH(O74,tid,0),tao,'12(id)'!$DE$20,FALSE),0)&amp;" yrs"))</f>
        <v>26 yrs</v>
      </c>
      <c r="AB74" s="10664" t="str">
        <f>+IF(ISERROR(MATCH(O74,tid,0)),"",VLOOKUP(MATCH(O74,tid,0),tao,'12(id)'!$DI$20,FALSE))</f>
        <v>Ultra low sulfur kerosene  oil (ULSD)</v>
      </c>
      <c r="AC74" s="10666" t="str">
        <f>+IF(ISERROR(MATCH(O74,tid,0)),"",IF(VLOOKUP(MATCH(O74,tid,0),tao,'12(id)'!$DQ$20,FALSE)="","",VLOOKUP(MATCH(O74,tid,0),tao,'12(id)'!$DQ$20,FALSE)))</f>
        <v/>
      </c>
      <c r="AD74" s="10726">
        <f>+IF(ISERROR(MATCH(O74,tid,0)),"",IF(VLOOKUP(MATCH(O74,tid,0),tao,'12(id)'!$EI$20,FALSE)="","",VLOOKUP(MATCH(O74,tid,0),tao,'12(id)'!$EI$20,FALSE)))</f>
        <v>0.67</v>
      </c>
      <c r="AE74" s="10726" t="str">
        <f>+IF(ISERROR(MATCH(O74,tid,0)),"",IF(VLOOKUP(MATCH(O74,tid,0),tao,'12(id)'!$EJ$20,FALSE)="","",VLOOKUP(MATCH(O74,tid,0),tao,'12(id)'!$EJ$20,FALSE)))</f>
        <v/>
      </c>
      <c r="AF74" s="10726">
        <f>+IF(ISERROR(MATCH(O74,tid,0)),"",IF(VLOOKUP(MATCH(O74,tid,0),tao,'12(id)'!$EL$20,FALSE)="","",VLOOKUP(MATCH(O74,tid,0),tao,'12(id)'!$EL$20,FALSE)))</f>
        <v>0.74</v>
      </c>
      <c r="AG74" s="10760" t="str">
        <f>+IF(ISERROR(MATCH(O74,tid,0)),"",IF(VLOOKUP(MATCH(O74,tid,0),tao,'12(id)'!$EM$20,FALSE)="","",VLOOKUP(MATCH(O74,tid,0),tao,'12(id)'!$EM$20,FALSE)))</f>
        <v/>
      </c>
      <c r="AH74" s="10723" t="s">
        <v>561</v>
      </c>
      <c r="AI74" s="10668"/>
      <c r="AJ74" s="10668"/>
      <c r="AK74" s="10668"/>
      <c r="AL74" s="10668"/>
      <c r="AM74" s="10711"/>
      <c r="AN74" s="10709" t="s">
        <v>559</v>
      </c>
      <c r="AO74" s="10707">
        <f>+IF(ISERROR(MATCH(O74,tid,0)),"",IF(VLOOKUP(MATCH(O74,tid,0),tao,'12(id)'!$GY$20,FALSE)="","",VLOOKUP(MATCH(O74,tid,0),tao,'12(id)'!$GY$20,FALSE)))</f>
        <v>20.55</v>
      </c>
      <c r="AP74" s="10698">
        <f>+IF($BB74="","",IF(VLOOKUP(MATCH(O74,tid,0),tao,'12(id)'!$HE$20,FALSE)="","",VLOOKUP(MATCH(O74,tid,0),tao,'12(id)'!$HE$20,FALSE)))</f>
        <v>4855</v>
      </c>
      <c r="AQ74" s="10706">
        <f>+IF(ISERROR(VLOOKUP(MATCH(O74,tid,0),tao,'12(id)'!$HF$20,FALSE)),"",VLOOKUP(MATCH(O74,tid,0),tao,'12(id)'!$HF$20,FALSE))</f>
        <v>4855</v>
      </c>
      <c r="AR74" s="10704">
        <f>+IF(ISERROR(MATCH(O74,tid,0)),"",IF(VLOOKUP(MATCH(O74,tid,0),tao,'12(id)'!$HJ$20,FALSE)="","",VLOOKUP(MATCH(O74,tid,0),tao,'12(id)'!$HJ$20,FALSE)))</f>
        <v>0.74</v>
      </c>
      <c r="AS74" s="10633" t="str">
        <f>+IF(ISERROR(MATCH(O74,tid,0)),"",IF(VLOOKUP(MATCH(O74,tid,0),tao,'12(id)'!$HK$20,FALSE)="","",VLOOKUP(MATCH(O74,tid,0),tao,'12(id)'!$HK$20,FALSE)))</f>
        <v/>
      </c>
      <c r="AT74" s="10713">
        <f>+IF(ISERROR(MATCH(O74,tid,0)),"",IF(VLOOKUP(MATCH(O74,tid,0),tao,'12(id)'!$HM$20,FALSE)="","",VLOOKUP(MATCH(O74,tid,0),tao,'12(id)'!$HM$20,FALSE)))</f>
        <v>1.8</v>
      </c>
      <c r="AU74" s="10702" t="str">
        <f>+AU73</f>
        <v>CAIR-OS (max last 3 yrs)</v>
      </c>
      <c r="AV74" s="10324">
        <f>+IF(ISERROR(MATCH(O74,em_id,0)),"",IF(VLOOKUP(MATCH(O74,em_id,0),em,'5(em)'!$CX$18,FALSE)="","",VLOOKUP(MATCH(O74,em_id,0),em,'5(em)'!$CX$18,FALSE)))</f>
        <v>24</v>
      </c>
      <c r="AW74" s="10403">
        <f>+IF(ISERROR(MATCH(O74,em_id,0)),"",IF(VLOOKUP(MATCH(O74,em_id,0),em,'5(em)'!$CZ$18,FALSE)="","",VLOOKUP(MATCH(O74,em_id,0),em,'5(em)'!$CZ$18,FALSE)))</f>
        <v>5575</v>
      </c>
      <c r="AX74" s="10329">
        <f t="shared" si="50"/>
        <v>0.67</v>
      </c>
      <c r="AY74" s="10324"/>
      <c r="AZ74" s="10327">
        <f>+IF(ISERROR(MATCH(O74,em_id,0)),"",IF(VLOOKUP(MATCH(O74,em_id,0),em,'5(em)'!$DA$18,FALSE)="","",VLOOKUP(MATCH(O74,em_id,0),em,'5(em)'!$DA$18,FALSE)))</f>
        <v>1.8676250000000001</v>
      </c>
      <c r="BA74" s="1071"/>
      <c r="BB74" s="1072" t="str">
        <f t="shared" si="311"/>
        <v>8300-11-01</v>
      </c>
      <c r="BC74" s="1073">
        <v>1</v>
      </c>
      <c r="BD74" s="1072" t="str">
        <f>+IF(OR(D74="",VLOOKUP(MATCH(D74,op_id,0),op,'7(op)'!$T$18,FALSE)=""),"",VLOOKUP(MATCH(D74,op_id,0),op,'7(op)'!$T$18,FALSE))</f>
        <v>Selective Catalytic Reduction (SCR)</v>
      </c>
      <c r="BE74" s="1072" t="s">
        <v>1093</v>
      </c>
      <c r="BF74" s="1072" t="s">
        <v>1860</v>
      </c>
      <c r="BG74" s="1074"/>
      <c r="BH74" s="1075" t="s">
        <v>561</v>
      </c>
      <c r="BI74" s="1076" t="s">
        <v>566</v>
      </c>
      <c r="BJ74" s="750"/>
      <c r="BK74" s="750"/>
      <c r="BL74" s="750"/>
      <c r="BM74" s="750"/>
      <c r="BN74" s="750" t="str">
        <f t="shared" si="12"/>
        <v/>
      </c>
      <c r="BO74" s="750" t="str">
        <f t="shared" si="13"/>
        <v/>
      </c>
      <c r="BP74" s="750" t="str">
        <f t="shared" si="14"/>
        <v/>
      </c>
      <c r="BQ74" s="750" t="str">
        <f t="shared" si="15"/>
        <v/>
      </c>
      <c r="BR74" s="751"/>
      <c r="BS74" s="1075" t="s">
        <v>559</v>
      </c>
      <c r="BT74" s="753" t="s">
        <v>1754</v>
      </c>
      <c r="BU74" s="3709">
        <f>+IF(BB74="","",IF(VLOOKUP(MATCH(BB74,ef_id,0),ef,'11(eff)'!$Z$23,FALSE)="","",VLOOKUP(MATCH(BB74,ef_id,0),ef,'11(eff)'!$Z$23,FALSE)))</f>
        <v>0.1</v>
      </c>
      <c r="BV74" s="3753" t="str">
        <f>+IF(BB74="","",IF(VLOOKUP(MATCH(BB74,ef_id,0),ef,'11(eff)'!$AA$23,FALSE)="","",VLOOKUP(MATCH(BB74,ef_id,0),ef,'11(eff)'!$AA$23,FALSE)))</f>
        <v/>
      </c>
      <c r="BW74" s="3778">
        <v>0.24</v>
      </c>
      <c r="BX74" s="1962">
        <f t="shared" si="380"/>
        <v>0.24</v>
      </c>
      <c r="BY74" s="1077">
        <f t="shared" si="381"/>
        <v>0.24275000000000002</v>
      </c>
      <c r="BZ74" s="3396"/>
      <c r="CA74" s="3418"/>
      <c r="CB74" s="1082">
        <f t="shared" si="382"/>
        <v>1.56</v>
      </c>
      <c r="CC74" s="3867">
        <f t="shared" si="372"/>
        <v>0.8666666666666667</v>
      </c>
      <c r="CD74" s="3867">
        <f t="shared" si="383"/>
        <v>0.86486486486486491</v>
      </c>
      <c r="CE74" s="2370">
        <f>+IF(BB74="","",IF(VLOOKUP(MATCH(BB74,ef_id,0),ef,'11(eff)'!$AE$23,FALSE)="","",VLOOKUP(MATCH(BB74,ef_id,0),ef,'11(eff)'!$AE$23,FALSE)))</f>
        <v>0.9</v>
      </c>
      <c r="CF74" s="1079" t="s">
        <v>1601</v>
      </c>
      <c r="CG74" s="1080" t="s">
        <v>1633</v>
      </c>
      <c r="CH74" s="2409">
        <v>106</v>
      </c>
      <c r="CI74" s="1082">
        <f>+IF(BB74="","",AZ74/AW74*2000*(1-CO74))</f>
        <v>6.699999999999999E-2</v>
      </c>
      <c r="CJ74" s="4069" t="str">
        <f t="shared" si="384"/>
        <v/>
      </c>
      <c r="CK74" s="1082">
        <f t="shared" si="385"/>
        <v>0.18676249999999997</v>
      </c>
      <c r="CL74" s="1081">
        <f t="shared" si="386"/>
        <v>1.6808625000000001</v>
      </c>
      <c r="CM74" s="1083">
        <f t="shared" si="387"/>
        <v>0.9</v>
      </c>
      <c r="CN74" s="1083">
        <f t="shared" si="388"/>
        <v>0.9</v>
      </c>
      <c r="CO74" s="2370">
        <f>+IF(BB74="","",IF(VLOOKUP(MATCH(BB74,ef_id,0),ef,'11(eff)'!$AE$23,FALSE)="","",VLOOKUP(MATCH(BB74,ef_id,0),ef,'11(eff)'!$AE$23,FALSE)))</f>
        <v>0.9</v>
      </c>
      <c r="CP74" s="3973">
        <f>+IF(OR(BB74="",VLOOKUP(MATCH(BB74,ef_id,0),ef,'11(eff)'!$AG$23,FALSE)=""),"",IF(VLOOKUP(MATCH(BB74,ef_id,0),ef,'11(eff)'!$AG$23,FALSE)/100=VLOOKUP(MATCH(BB74,ef_id,0),ef,'11(eff)'!$AE$23,FALSE),VLOOKUP(MATCH(BB74,ef_id,0),ef,'11(eff)'!$AE$23,FALSE),""))</f>
        <v>0.9</v>
      </c>
      <c r="CQ74" s="1364" t="str">
        <f t="shared" si="51"/>
        <v>Selective Catalytic Reduction (SCR)</v>
      </c>
      <c r="CR74" s="1078"/>
      <c r="CS74" s="2764">
        <v>6494100</v>
      </c>
      <c r="CT74" s="1590">
        <v>3074858</v>
      </c>
      <c r="CU74" s="1089">
        <v>1367375</v>
      </c>
      <c r="CV74" s="1868">
        <f t="shared" si="309"/>
        <v>625000</v>
      </c>
      <c r="CW74" s="1869">
        <v>125000</v>
      </c>
      <c r="CX74" s="1869">
        <v>300000</v>
      </c>
      <c r="CY74" s="1092"/>
      <c r="CZ74" s="2477"/>
      <c r="DA74" s="2487"/>
      <c r="DB74" s="2487">
        <v>200000</v>
      </c>
      <c r="DC74" s="1868"/>
      <c r="DD74" s="1092"/>
      <c r="DE74" s="1870"/>
      <c r="DF74" s="1734">
        <f>100000+83434</f>
        <v>183434</v>
      </c>
      <c r="DG74" s="1734">
        <f>100000</f>
        <v>100000</v>
      </c>
      <c r="DH74" s="1092"/>
      <c r="DI74" s="1088">
        <f t="shared" si="389"/>
        <v>2800809</v>
      </c>
      <c r="DJ74" s="1937">
        <v>174049</v>
      </c>
      <c r="DK74" s="1590"/>
      <c r="DL74" s="1089"/>
      <c r="DM74" s="1868" t="str">
        <f t="shared" si="310"/>
        <v/>
      </c>
      <c r="DN74" s="1869"/>
      <c r="DO74" s="1869"/>
      <c r="DP74" s="1092"/>
      <c r="DQ74" s="2477"/>
      <c r="DR74" s="2487"/>
      <c r="DS74" s="2487"/>
      <c r="DT74" s="1868"/>
      <c r="DU74" s="1092"/>
      <c r="DV74" s="1870"/>
      <c r="DW74" s="1734"/>
      <c r="DX74" s="1734"/>
      <c r="DY74" s="1092"/>
      <c r="DZ74" s="1088" t="str">
        <f t="shared" si="18"/>
        <v/>
      </c>
      <c r="EA74" s="1937"/>
      <c r="EB74" s="1089">
        <f t="shared" si="377"/>
        <v>3074858</v>
      </c>
      <c r="EC74" s="1962">
        <v>1</v>
      </c>
      <c r="ED74" s="1087">
        <f t="shared" si="20"/>
        <v>3074858</v>
      </c>
      <c r="EE74" s="1870"/>
      <c r="EF74" s="1734"/>
      <c r="EG74" s="1092">
        <v>1383686</v>
      </c>
      <c r="EH74" s="1088">
        <f t="shared" si="353"/>
        <v>1383686</v>
      </c>
      <c r="EI74" s="1870"/>
      <c r="EJ74" s="1734"/>
      <c r="EK74" s="1090"/>
      <c r="EL74" s="1084">
        <v>1014703</v>
      </c>
      <c r="EM74" s="1870"/>
      <c r="EN74" s="1734"/>
      <c r="EO74" s="1090"/>
      <c r="EP74" s="1088">
        <f t="shared" si="378"/>
        <v>1014703</v>
      </c>
      <c r="EQ74" s="2560"/>
      <c r="ER74" s="2560"/>
      <c r="ES74" s="2560"/>
      <c r="ET74" s="1458">
        <v>1020853</v>
      </c>
      <c r="EU74" s="1343"/>
      <c r="EV74" s="1340"/>
      <c r="EW74" s="2584"/>
      <c r="EX74" s="2584"/>
      <c r="EY74" s="2691">
        <f t="shared" si="390"/>
        <v>6494100</v>
      </c>
      <c r="EZ74" s="2720"/>
      <c r="FA74" s="1340"/>
      <c r="FB74" s="1479">
        <f t="shared" si="391"/>
        <v>6494100</v>
      </c>
      <c r="FC74" s="1089">
        <f t="shared" si="392"/>
        <v>3074858</v>
      </c>
      <c r="FD74" s="2048">
        <f t="shared" si="393"/>
        <v>1367375</v>
      </c>
      <c r="FE74" s="2032">
        <f t="shared" si="394"/>
        <v>0.44469533227225455</v>
      </c>
      <c r="FF74" s="2048">
        <f t="shared" si="395"/>
        <v>1050000</v>
      </c>
      <c r="FG74" s="2032">
        <f t="shared" si="396"/>
        <v>0.34147918375417663</v>
      </c>
      <c r="FH74" s="2048">
        <f t="shared" si="397"/>
        <v>0</v>
      </c>
      <c r="FI74" s="2032">
        <f t="shared" si="398"/>
        <v>0</v>
      </c>
      <c r="FJ74" s="2795">
        <f t="shared" si="399"/>
        <v>2417375</v>
      </c>
      <c r="FK74" s="2809">
        <f t="shared" si="373"/>
        <v>0.78617451602643118</v>
      </c>
      <c r="FL74" s="2781">
        <f t="shared" si="400"/>
        <v>200000</v>
      </c>
      <c r="FM74" s="2032">
        <f t="shared" si="401"/>
        <v>6.5043654048414598E-2</v>
      </c>
      <c r="FN74" s="2781">
        <f t="shared" si="402"/>
        <v>0</v>
      </c>
      <c r="FO74" s="2771">
        <f t="shared" si="403"/>
        <v>0</v>
      </c>
      <c r="FP74" s="2781">
        <f t="shared" si="404"/>
        <v>100000</v>
      </c>
      <c r="FQ74" s="2771">
        <f t="shared" si="405"/>
        <v>3.2521827024207299E-2</v>
      </c>
      <c r="FR74" s="2845">
        <f t="shared" si="406"/>
        <v>2800809</v>
      </c>
      <c r="FS74" s="2827">
        <f t="shared" si="407"/>
        <v>174049</v>
      </c>
      <c r="FT74" s="2068">
        <f t="shared" si="408"/>
        <v>6.2142402427298682E-2</v>
      </c>
      <c r="FU74" s="2893">
        <f t="shared" si="409"/>
        <v>0</v>
      </c>
      <c r="FV74" s="1084">
        <f t="shared" si="410"/>
        <v>153742.9</v>
      </c>
      <c r="FW74" s="2110">
        <f t="shared" si="411"/>
        <v>1383686</v>
      </c>
      <c r="FX74" s="1742">
        <f t="shared" si="412"/>
        <v>0.449999967478173</v>
      </c>
      <c r="FY74" s="2111">
        <f t="shared" si="413"/>
        <v>1014703</v>
      </c>
      <c r="FZ74" s="1742">
        <f t="shared" si="414"/>
        <v>0.32999995446944219</v>
      </c>
      <c r="GA74" s="1742" t="str">
        <f t="shared" si="415"/>
        <v/>
      </c>
      <c r="GB74" s="2111">
        <f t="shared" si="416"/>
        <v>1020853</v>
      </c>
      <c r="GC74" s="1742">
        <f t="shared" si="417"/>
        <v>0.33200004683143092</v>
      </c>
      <c r="GD74" s="1742" t="str">
        <f t="shared" si="418"/>
        <v/>
      </c>
      <c r="GE74" s="1091">
        <f t="shared" si="419"/>
        <v>6494100</v>
      </c>
      <c r="GF74" s="2146">
        <f t="shared" si="420"/>
        <v>6494100</v>
      </c>
      <c r="GG74" s="2171">
        <f t="shared" si="421"/>
        <v>0</v>
      </c>
      <c r="GH74" s="3179">
        <f t="shared" si="422"/>
        <v>324705</v>
      </c>
      <c r="GI74" s="3199">
        <v>938619</v>
      </c>
      <c r="GJ74" s="3187">
        <v>602932</v>
      </c>
      <c r="GK74" s="3453">
        <f t="shared" si="423"/>
        <v>1.56</v>
      </c>
      <c r="GL74" s="3227">
        <f t="shared" si="424"/>
        <v>2.0784331336765557E-3</v>
      </c>
      <c r="GM74" s="1289"/>
      <c r="GN74" s="1298"/>
      <c r="GO74" s="1870">
        <v>0</v>
      </c>
      <c r="GP74" s="1090">
        <f t="shared" si="354"/>
        <v>9974</v>
      </c>
      <c r="GQ74" s="1458">
        <v>9974</v>
      </c>
      <c r="GR74" s="2324">
        <v>0</v>
      </c>
      <c r="GS74" s="2324">
        <v>122994</v>
      </c>
      <c r="GT74" s="1088">
        <v>805651</v>
      </c>
      <c r="GU74" s="2315">
        <f t="shared" si="425"/>
        <v>938619</v>
      </c>
      <c r="GV74" s="756">
        <f t="shared" si="426"/>
        <v>0</v>
      </c>
      <c r="GW74" s="2259">
        <f t="shared" si="427"/>
        <v>9974</v>
      </c>
      <c r="GX74" s="758">
        <f t="shared" si="428"/>
        <v>9974</v>
      </c>
      <c r="GY74" s="1299">
        <f t="shared" si="429"/>
        <v>0</v>
      </c>
      <c r="GZ74" s="1299">
        <f t="shared" si="430"/>
        <v>122994</v>
      </c>
      <c r="HA74" s="1088">
        <f t="shared" si="431"/>
        <v>805651</v>
      </c>
      <c r="HB74" s="2266">
        <f t="shared" si="432"/>
        <v>938619</v>
      </c>
      <c r="HC74" s="1290">
        <f t="shared" si="433"/>
        <v>938619</v>
      </c>
      <c r="HD74" s="1291">
        <f t="shared" si="375"/>
        <v>0</v>
      </c>
      <c r="HE74" s="1289"/>
      <c r="HF74" s="1086">
        <f t="shared" si="434"/>
        <v>602932</v>
      </c>
      <c r="HG74" s="1292">
        <f t="shared" si="435"/>
        <v>558415.0993909376</v>
      </c>
      <c r="HH74" s="2992">
        <f t="shared" si="436"/>
        <v>1</v>
      </c>
      <c r="HI74" s="1293">
        <f t="shared" si="355"/>
        <v>2800809</v>
      </c>
      <c r="HJ74" s="1734">
        <f t="shared" si="356"/>
        <v>100000</v>
      </c>
      <c r="HK74" s="2924">
        <f t="shared" si="357"/>
        <v>0</v>
      </c>
      <c r="HL74" s="2924">
        <f t="shared" si="437"/>
        <v>168048.54</v>
      </c>
      <c r="HM74" s="1294">
        <f t="shared" si="358"/>
        <v>3068857.54</v>
      </c>
      <c r="HN74" s="1324">
        <f t="shared" si="347"/>
        <v>153442.87700000001</v>
      </c>
      <c r="HO74" s="2945">
        <f t="shared" si="438"/>
        <v>1380985.8930000002</v>
      </c>
      <c r="HP74" s="2946">
        <f t="shared" si="439"/>
        <v>1012722.9882</v>
      </c>
      <c r="HQ74" s="3007" t="str">
        <f t="shared" si="440"/>
        <v/>
      </c>
      <c r="HR74" s="2947">
        <f t="shared" si="441"/>
        <v>613771.50800000003</v>
      </c>
      <c r="HS74" s="2947">
        <f t="shared" si="442"/>
        <v>613771.50800000003</v>
      </c>
      <c r="HT74" s="2951" t="str">
        <f t="shared" si="443"/>
        <v/>
      </c>
      <c r="HU74" s="2947" t="str">
        <f t="shared" si="444"/>
        <v/>
      </c>
      <c r="HV74" s="2951" t="str">
        <f t="shared" si="312"/>
        <v/>
      </c>
      <c r="HW74" s="2947" t="str">
        <f t="shared" si="313"/>
        <v/>
      </c>
      <c r="HX74" s="3030">
        <f t="shared" si="199"/>
        <v>6076337.9292000001</v>
      </c>
      <c r="HY74" s="2946" t="str">
        <f t="shared" si="445"/>
        <v/>
      </c>
      <c r="HZ74" s="2947" t="str">
        <f t="shared" si="446"/>
        <v/>
      </c>
      <c r="IA74" s="1293">
        <f t="shared" si="376"/>
        <v>6076337.9292000001</v>
      </c>
      <c r="IB74" s="1295" t="str">
        <f t="shared" si="237"/>
        <v>stk added + 6%</v>
      </c>
      <c r="IC74" s="2908">
        <f t="shared" si="359"/>
        <v>303816.89646000002</v>
      </c>
      <c r="ID74" s="1296"/>
      <c r="IE74" s="4104"/>
      <c r="IF74" s="4113">
        <f t="shared" si="447"/>
        <v>0</v>
      </c>
      <c r="IG74" s="6778"/>
      <c r="IH74" s="4088">
        <f t="shared" si="448"/>
        <v>9974</v>
      </c>
      <c r="II74" s="6795">
        <f t="shared" si="449"/>
        <v>2.0543769309989703</v>
      </c>
      <c r="IJ74" s="4119">
        <f t="shared" si="450"/>
        <v>9974</v>
      </c>
      <c r="IK74" s="4140">
        <v>1</v>
      </c>
      <c r="IL74" s="4207">
        <f t="shared" si="451"/>
        <v>0</v>
      </c>
      <c r="IM74" s="4208">
        <f t="shared" si="452"/>
        <v>243053.51716800002</v>
      </c>
      <c r="IN74" s="4234">
        <f t="shared" si="453"/>
        <v>243053.51716800002</v>
      </c>
      <c r="IO74" s="4234">
        <f t="shared" si="454"/>
        <v>253027.51716800002</v>
      </c>
      <c r="IP74" s="7233">
        <f t="shared" si="455"/>
        <v>9974</v>
      </c>
      <c r="IQ74" s="7241">
        <f t="shared" si="456"/>
        <v>1.2066429498789621E-2</v>
      </c>
      <c r="IR74" s="7233">
        <f t="shared" si="457"/>
        <v>243053.51716800002</v>
      </c>
      <c r="IS74" s="7241">
        <f t="shared" si="458"/>
        <v>0.29404332558056195</v>
      </c>
      <c r="IT74" s="4234">
        <f t="shared" si="459"/>
        <v>253027.51716800002</v>
      </c>
      <c r="IU74" s="6851">
        <f t="shared" si="460"/>
        <v>0.30610975507935156</v>
      </c>
      <c r="IV74" s="7267">
        <f t="shared" si="461"/>
        <v>1</v>
      </c>
      <c r="IW74" s="7252">
        <f t="shared" si="462"/>
        <v>573563.31494190369</v>
      </c>
      <c r="IX74" s="4118">
        <f t="shared" si="463"/>
        <v>826590.83210990368</v>
      </c>
      <c r="IY74" s="4255">
        <f t="shared" si="464"/>
        <v>938619</v>
      </c>
      <c r="IZ74" s="4299">
        <f t="shared" si="465"/>
        <v>0.11935425118189204</v>
      </c>
      <c r="JA74" s="4159" t="str">
        <f t="shared" si="466"/>
        <v>stk added + 12%</v>
      </c>
      <c r="JB74" s="4155"/>
      <c r="JC74" s="1085"/>
      <c r="JD74" s="1086">
        <f t="shared" si="467"/>
        <v>529865.91801916901</v>
      </c>
      <c r="JE74" s="4337">
        <f t="shared" si="468"/>
        <v>491765.88335447048</v>
      </c>
      <c r="JF74" s="7040">
        <f t="shared" si="469"/>
        <v>20</v>
      </c>
      <c r="JG74" s="7056" t="s">
        <v>1093</v>
      </c>
      <c r="JH74" s="6971">
        <f t="shared" si="470"/>
        <v>6076337.9292000001</v>
      </c>
      <c r="JI74" s="6971">
        <f t="shared" si="471"/>
        <v>6076337.9292000001</v>
      </c>
      <c r="JJ74" s="6971"/>
      <c r="JK74" s="6971"/>
      <c r="JL74" s="7008"/>
      <c r="JM74" s="7050">
        <f t="shared" si="472"/>
        <v>1453000</v>
      </c>
      <c r="JN74" s="1734">
        <f t="shared" si="473"/>
        <v>2513690</v>
      </c>
      <c r="JO74" s="1734">
        <f t="shared" si="474"/>
        <v>2513690</v>
      </c>
      <c r="JP74" s="7081"/>
      <c r="JQ74" s="7081"/>
      <c r="JR74" s="7056"/>
      <c r="JS74" s="7062">
        <f t="shared" si="475"/>
        <v>2513690</v>
      </c>
      <c r="JT74" s="7166">
        <f t="shared" si="476"/>
        <v>2</v>
      </c>
      <c r="JU74" s="7167">
        <f t="shared" si="477"/>
        <v>24</v>
      </c>
      <c r="JV74" s="8378">
        <f t="shared" si="478"/>
        <v>5575</v>
      </c>
      <c r="JW74" s="8405">
        <f t="shared" si="479"/>
        <v>1.6808625000000001</v>
      </c>
      <c r="JX74" s="8434">
        <f t="shared" si="480"/>
        <v>1000</v>
      </c>
      <c r="JY74" s="8469">
        <f t="shared" si="507"/>
        <v>7.0000000000000007E-2</v>
      </c>
      <c r="JZ74" s="7168">
        <f t="shared" si="481"/>
        <v>1489.1566265060242</v>
      </c>
      <c r="KA74" s="7166" t="str">
        <f t="shared" si="482"/>
        <v/>
      </c>
      <c r="KB74" s="7167" t="str">
        <f t="shared" si="483"/>
        <v/>
      </c>
      <c r="KC74" s="7168" t="str">
        <f t="shared" si="484"/>
        <v/>
      </c>
      <c r="KD74" s="7166">
        <f t="shared" si="485"/>
        <v>1018.6559999999999</v>
      </c>
      <c r="KE74" s="8342">
        <f t="shared" si="486"/>
        <v>1046.841165</v>
      </c>
      <c r="KF74" s="8342">
        <f t="shared" si="487"/>
        <v>701.99936947058825</v>
      </c>
      <c r="KG74" s="7167">
        <f t="shared" si="488"/>
        <v>2705.0530120481931</v>
      </c>
      <c r="KH74" s="7167">
        <f t="shared" si="489"/>
        <v>931.58400000000006</v>
      </c>
      <c r="KI74" s="7167">
        <f t="shared" si="490"/>
        <v>93.1584</v>
      </c>
      <c r="KJ74" s="7167">
        <f t="shared" si="491"/>
        <v>6497.2919465187815</v>
      </c>
      <c r="KK74" s="7167">
        <f t="shared" si="492"/>
        <v>2517.7728000000002</v>
      </c>
      <c r="KL74" s="7167">
        <f t="shared" si="493"/>
        <v>226.23209999999997</v>
      </c>
      <c r="KM74" s="7167">
        <f t="shared" si="494"/>
        <v>2744.0049000000004</v>
      </c>
      <c r="KN74" s="7167" t="str">
        <f t="shared" si="495"/>
        <v/>
      </c>
      <c r="KO74" s="7167">
        <f t="shared" si="496"/>
        <v>2744.0049000000004</v>
      </c>
      <c r="KP74" s="7168">
        <f t="shared" si="497"/>
        <v>9241.2968465187823</v>
      </c>
      <c r="KQ74" s="7212">
        <f>+IF(D74="","",VLOOKUP(MATCH(BE74,ac_id,0),ad,ac!$F$8,FALSE)*JV74)</f>
        <v>1672.5</v>
      </c>
      <c r="KR74" s="7081">
        <f>+IF(D74="","",IF(JT74=1,VLOOKUP(MATCH(BE74,ac_id,0),ad,ac!$H$8,FALSE)*JU74, (VLOOKUP(MATCH(BE74,ac_id,0),ad,ac!$H$8,FALSE)*JU74^(1+VLOOKUP(MATCH(BE74,ac_id,0),ad,ac!$I$8,FALSE)))))</f>
        <v>16813.759974461856</v>
      </c>
      <c r="KS74" s="7062">
        <f t="shared" si="498"/>
        <v>18486.259974461856</v>
      </c>
      <c r="KT74" s="7212">
        <f t="shared" si="499"/>
        <v>1646.4029400000002</v>
      </c>
      <c r="KU74" s="7056">
        <f t="shared" si="500"/>
        <v>100547.6</v>
      </c>
      <c r="KV74" s="7390">
        <f t="shared" si="501"/>
        <v>1</v>
      </c>
      <c r="KW74" s="7274">
        <f t="shared" si="502"/>
        <v>215701.03903241493</v>
      </c>
      <c r="KX74" s="7062">
        <f t="shared" si="503"/>
        <v>317895.04197241494</v>
      </c>
      <c r="KY74" s="7356">
        <f t="shared" si="504"/>
        <v>327136.3388189337</v>
      </c>
      <c r="KZ74" s="1343"/>
      <c r="LA74" s="7211">
        <f t="shared" si="505"/>
        <v>209702.78129418826</v>
      </c>
      <c r="LB74" s="1340">
        <f t="shared" si="506"/>
        <v>194624.09258278631</v>
      </c>
      <c r="LC74" s="5133"/>
      <c r="LD74" s="5132"/>
      <c r="LE74" s="5132"/>
      <c r="LF74" s="5132"/>
      <c r="LG74" s="5132"/>
      <c r="LH74" s="5132"/>
      <c r="LI74" s="5132"/>
      <c r="LJ74" s="5132"/>
    </row>
    <row r="75" spans="1:322" s="13" customFormat="1" ht="27.95" customHeight="1">
      <c r="A75" s="10540"/>
      <c r="B75" s="9819" t="str">
        <f>+IF(A75="","",VLOOKUP(MATCH(A75,tid,0),tao,'12(id)'!$J$20,FALSE))</f>
        <v/>
      </c>
      <c r="C75" s="10745"/>
      <c r="D75" s="1119" t="str">
        <f t="shared" si="48"/>
        <v>8300-11-02</v>
      </c>
      <c r="E75" s="762" t="str">
        <f t="shared" si="379"/>
        <v>High Pressure Water Injection (HPWI)</v>
      </c>
      <c r="F75" s="762" t="str">
        <f t="shared" si="49"/>
        <v>HPWI</v>
      </c>
      <c r="G75" s="5133"/>
      <c r="H75" s="5132"/>
      <c r="I75" s="5133"/>
      <c r="J75" s="719">
        <f t="shared" si="68"/>
        <v>41</v>
      </c>
      <c r="K75" s="10720"/>
      <c r="L75" s="9648"/>
      <c r="M75" s="9650"/>
      <c r="N75" s="9648"/>
      <c r="O75" s="10667"/>
      <c r="P75" s="9650"/>
      <c r="Q75" s="10722" t="str">
        <f>+IF(ISERROR(MATCH(O75,tid,0)),"",VLOOKUP(MATCH(O75,tid,0),tao,'12(id)'!$Q$20,FALSE))</f>
        <v/>
      </c>
      <c r="R75" s="10667"/>
      <c r="S75" s="8643"/>
      <c r="T75" s="10733" t="str">
        <f>+IF(ISERROR(MATCH(O75,tid,0)),"",IF(VLOOKUP(MATCH(O75,tid,0),tao,'12(id)'!$CT$20,FALSE)="","",VLOOKUP(MATCH(O75,tid,0),tao,'12(id)'!$CT$20,FALSE)))</f>
        <v/>
      </c>
      <c r="U75" s="10716" t="str">
        <f>+IF(ISERROR(MATCH(O75,tid,0)),"",IF(VLOOKUP(MATCH(O75,tid,0),tao,'12(id)'!$CU$20,FALSE)="","",VLOOKUP(MATCH(O75,tid,0),tao,'12(id)'!$CU$20,FALSE)))</f>
        <v/>
      </c>
      <c r="V75" s="10736" t="str">
        <f>+IF(O75="","",IF(VLOOKUP(MATCH(O75,tid,0),tao,'12(id)'!$T$20,FALSE)="","",VLOOKUP(MATCH(O75,tid,0),tao,'12(id)'!$T$20,FALSE)))</f>
        <v/>
      </c>
      <c r="W75" s="10738" t="str">
        <f>+IF(ISERROR(MATCH(O75,tid,0)),"",IF(VLOOKUP(MATCH(O75,tid,0),tao,'12(id)'!$CO$20,FALSE)="","",VLOOKUP(MATCH(O75,tid,0),tao,'12(id)'!$CO$20,FALSE)))</f>
        <v/>
      </c>
      <c r="X75" s="10736" t="str">
        <f>+IF(ISERROR(MATCH(O75,tid,0)),"",IF(VLOOKUP(MATCH(O75,tid,0),tao,'12(id)'!$CP$20,FALSE)="","",VLOOKUP(MATCH(O75,tid,0),tao,'12(id)'!$CP$20,FALSE)))</f>
        <v/>
      </c>
      <c r="Y75" s="8654" t="str">
        <f>+IF(ISERROR(MATCH(O75,tid,0)),"",IF(VLOOKUP(MATCH(O75,tid,0),tao,'12(id)'!$CQ$20,FALSE)="","",VLOOKUP(MATCH(O75,tid,0),tao,'12(id)'!$CQ$20,FALSE)))</f>
        <v/>
      </c>
      <c r="Z75" s="10743" t="str">
        <f>+IF(ISERROR(MATCH(O75,tid,0)),"",VLOOKUP(MATCH(O75,tid,0),tao,'12(id)'!$DB$20,FALSE)&amp;" "&amp;VLOOKUP(MATCH(O75,tid,0),tao,'12(id)'!$DC$20,FALSE))</f>
        <v/>
      </c>
      <c r="AA75" s="10743" t="str">
        <f>+IF(ISERROR(MATCH(O75,tid,0)),"",IF(VLOOKUP(MATCH(O75,tid,0),tao,'12(id)'!$DE$20,FALSE)="","",ROUND(VLOOKUP(MATCH(O75,tid,0),tao,'12(id)'!$DE$20,FALSE),0)&amp;" yrs"))</f>
        <v/>
      </c>
      <c r="AB75" s="10665" t="str">
        <f>+IF(ISERROR(MATCH(O75,tid,0)),"",VLOOKUP(MATCH(O75,tid,0),tao,'12(id)'!$DI$20,FALSE))</f>
        <v/>
      </c>
      <c r="AC75" s="10667" t="str">
        <f>+IF(ISERROR(MATCH(O75,tid,0)),"",IF(VLOOKUP(MATCH(O75,tid,0),tao,'12(id)'!$DQ$20,FALSE)="","",VLOOKUP(MATCH(O75,tid,0),tao,'12(id)'!$DQ$20,FALSE)))</f>
        <v/>
      </c>
      <c r="AD75" s="10727" t="str">
        <f>+IF(ISERROR(MATCH(O75,tid,0)),"",IF(VLOOKUP(MATCH(O75,tid,0),tao,'12(id)'!$EI$20,FALSE)="","",VLOOKUP(MATCH(O75,tid,0),tao,'12(id)'!$EI$20,FALSE)))</f>
        <v/>
      </c>
      <c r="AE75" s="10727" t="str">
        <f>+IF(ISERROR(MATCH(O75,tid,0)),"",IF(VLOOKUP(MATCH(O75,tid,0),tao,'12(id)'!$EJ$20,FALSE)="","",VLOOKUP(MATCH(O75,tid,0),tao,'12(id)'!$EJ$20,FALSE)))</f>
        <v/>
      </c>
      <c r="AF75" s="10727" t="str">
        <f>+IF(ISERROR(MATCH(O75,tid,0)),"",IF(VLOOKUP(MATCH(O75,tid,0),tao,'12(id)'!$EL$20,FALSE)="","",VLOOKUP(MATCH(O75,tid,0),tao,'12(id)'!$EL$20,FALSE)))</f>
        <v/>
      </c>
      <c r="AG75" s="10761" t="str">
        <f>+IF(ISERROR(MATCH(O75,tid,0)),"",IF(VLOOKUP(MATCH(O75,tid,0),tao,'12(id)'!$EM$20,FALSE)="","",VLOOKUP(MATCH(O75,tid,0),tao,'12(id)'!$EM$20,FALSE)))</f>
        <v/>
      </c>
      <c r="AH75" s="10724"/>
      <c r="AI75" s="10669"/>
      <c r="AJ75" s="10669"/>
      <c r="AK75" s="10669"/>
      <c r="AL75" s="10669"/>
      <c r="AM75" s="10712"/>
      <c r="AN75" s="10710"/>
      <c r="AO75" s="10708" t="str">
        <f>+IF(ISERROR(MATCH(O75,tid,0)),"",IF(VLOOKUP(MATCH(O75,tid,0),tao,'12(id)'!$GY$20,FALSE)="","",VLOOKUP(MATCH(O75,tid,0),tao,'12(id)'!$GY$20,FALSE)))</f>
        <v/>
      </c>
      <c r="AP75" s="10699" t="e">
        <f>+IF($BB75="","",IF(VLOOKUP(MATCH(O75,tid,0),tao,'12(id)'!$HE$20,FALSE)="","",VLOOKUP(MATCH(O75,tid,0),tao,'12(id)'!$HE$20,FALSE)))</f>
        <v>#N/A</v>
      </c>
      <c r="AQ75" s="10699" t="str">
        <f>+IF(ISERROR(VLOOKUP(MATCH(O75,tid,0),tao,'12(id)'!$HF$20,FALSE)),"",VLOOKUP(MATCH(O75,tid,0),tao,'12(id)'!$HF$20,FALSE))</f>
        <v/>
      </c>
      <c r="AR75" s="10705" t="str">
        <f>+IF(ISERROR(MATCH(O75,tid,0)),"",IF(VLOOKUP(MATCH(O75,tid,0),tao,'12(id)'!$HJ$20,FALSE)="","",VLOOKUP(MATCH(O75,tid,0),tao,'12(id)'!$HJ$20,FALSE)))</f>
        <v/>
      </c>
      <c r="AS75" s="10634" t="str">
        <f>+IF(ISERROR(MATCH(O75,tid,0)),"",IF(VLOOKUP(MATCH(O75,tid,0),tao,'12(id)'!$HK$20,FALSE)="","",VLOOKUP(MATCH(O75,tid,0),tao,'12(id)'!$HK$20,FALSE)))</f>
        <v/>
      </c>
      <c r="AT75" s="10714" t="str">
        <f>+IF(ISERROR(MATCH(O75,tid,0)),"",IF(VLOOKUP(MATCH(O75,tid,0),tao,'12(id)'!$HM$20,FALSE)="","",VLOOKUP(MATCH(O75,tid,0),tao,'12(id)'!$HM$20,FALSE)))</f>
        <v/>
      </c>
      <c r="AU75" s="10703"/>
      <c r="AV75" s="10326" t="str">
        <f>+IF(ISERROR(MATCH(O75,em_id,0)),"",IF(VLOOKUP(MATCH(O75,em_id,0),em,'5(em)'!$CX$18,FALSE)="","",VLOOKUP(MATCH(O75,em_id,0),em,'5(em)'!$CX$18,FALSE)))</f>
        <v/>
      </c>
      <c r="AW75" s="10404" t="str">
        <f>+IF(ISERROR(MATCH(O75,em_id,0)),"",IF(VLOOKUP(MATCH(O75,em_id,0),em,'5(em)'!$CZ$18,FALSE)="","",VLOOKUP(MATCH(O75,em_id,0),em,'5(em)'!$CZ$18,FALSE)))</f>
        <v/>
      </c>
      <c r="AX75" s="10405" t="str">
        <f t="shared" si="50"/>
        <v/>
      </c>
      <c r="AY75" s="10326"/>
      <c r="AZ75" s="10328" t="str">
        <f>+IF(ISERROR(MATCH(O75,em_id,0)),"",IF(VLOOKUP(MATCH(O75,em_id,0),em,'5(em)'!$DA$18,FALSE)="","",VLOOKUP(MATCH(O75,em_id,0),em,'5(em)'!$DA$18,FALSE)))</f>
        <v/>
      </c>
      <c r="BA75" s="728"/>
      <c r="BB75" s="762" t="str">
        <f t="shared" si="311"/>
        <v>8300-11-02</v>
      </c>
      <c r="BC75" s="763">
        <f>1+BC74</f>
        <v>2</v>
      </c>
      <c r="BD75" s="762" t="str">
        <f>+IF(OR(D75="",VLOOKUP(MATCH(D75,op_id,0),op,'7(op)'!$T$18,FALSE)=""),"",VLOOKUP(MATCH(D75,op_id,0),op,'7(op)'!$T$18,FALSE))</f>
        <v>High Pressure Water Injection (HPWI)</v>
      </c>
      <c r="BE75" s="790" t="s">
        <v>93</v>
      </c>
      <c r="BF75" s="790" t="s">
        <v>1860</v>
      </c>
      <c r="BG75" s="764"/>
      <c r="BH75" s="765" t="s">
        <v>561</v>
      </c>
      <c r="BI75" s="766" t="s">
        <v>566</v>
      </c>
      <c r="BJ75" s="767"/>
      <c r="BK75" s="767"/>
      <c r="BL75" s="767"/>
      <c r="BM75" s="767"/>
      <c r="BN75" s="767" t="str">
        <f t="shared" si="12"/>
        <v/>
      </c>
      <c r="BO75" s="767" t="str">
        <f t="shared" si="13"/>
        <v/>
      </c>
      <c r="BP75" s="767" t="str">
        <f t="shared" si="14"/>
        <v/>
      </c>
      <c r="BQ75" s="767" t="str">
        <f t="shared" si="15"/>
        <v/>
      </c>
      <c r="BR75" s="768"/>
      <c r="BS75" s="765" t="s">
        <v>559</v>
      </c>
      <c r="BT75" s="762" t="s">
        <v>1602</v>
      </c>
      <c r="BU75" s="3708">
        <f>+IF(BB75="","",IF(VLOOKUP(MATCH(BB75,ef_id,0),ef,'11(eff)'!$Z$23,FALSE)="","",VLOOKUP(MATCH(BB75,ef_id,0),ef,'11(eff)'!$Z$23,FALSE)))</f>
        <v>0.22</v>
      </c>
      <c r="BV75" s="3749" t="str">
        <f>+IF(BB75="","",IF(VLOOKUP(MATCH(BB75,ef_id,0),ef,'11(eff)'!$AA$23,FALSE)="","",VLOOKUP(MATCH(BB75,ef_id,0),ef,'11(eff)'!$AA$23,FALSE)))</f>
        <v/>
      </c>
      <c r="BW75" s="3777">
        <v>0.5</v>
      </c>
      <c r="BX75" s="1960">
        <f t="shared" si="380"/>
        <v>0.5</v>
      </c>
      <c r="BY75" s="1061">
        <f t="shared" si="381"/>
        <v>0.53405000000000002</v>
      </c>
      <c r="BZ75" s="1061"/>
      <c r="CA75" s="774"/>
      <c r="CB75" s="773">
        <f t="shared" si="382"/>
        <v>1.3</v>
      </c>
      <c r="CC75" s="3868">
        <f t="shared" si="372"/>
        <v>0.72222222222222221</v>
      </c>
      <c r="CD75" s="3868">
        <f t="shared" si="383"/>
        <v>0.70270270270270263</v>
      </c>
      <c r="CE75" s="2372">
        <f>+IF(BB75="","",IF(VLOOKUP(MATCH(BB75,ef_id,0),ef,'11(eff)'!$AE$23,FALSE)="","",VLOOKUP(MATCH(BB75,ef_id,0),ef,'11(eff)'!$AE$23,FALSE)))</f>
        <v>0.70270270270270274</v>
      </c>
      <c r="CF75" s="1068" t="s">
        <v>1601</v>
      </c>
      <c r="CG75" s="772" t="s">
        <v>1603</v>
      </c>
      <c r="CH75" s="2404">
        <v>103</v>
      </c>
      <c r="CI75" s="773">
        <f>+IF(BB75="","",AZ74/AW74*2000*(1-CO75))</f>
        <v>0.19918918918918918</v>
      </c>
      <c r="CJ75" s="4064" t="str">
        <f>+IF(AY74="","",AY74*(1-CO75))</f>
        <v/>
      </c>
      <c r="CK75" s="773">
        <f t="shared" si="385"/>
        <v>0.55523986486486476</v>
      </c>
      <c r="CL75" s="3925">
        <f t="shared" si="386"/>
        <v>1.3123851351351354</v>
      </c>
      <c r="CM75" s="775">
        <f t="shared" si="387"/>
        <v>0.70270270270270285</v>
      </c>
      <c r="CN75" s="775">
        <f t="shared" si="388"/>
        <v>0.70270270270270274</v>
      </c>
      <c r="CO75" s="2372">
        <f>+IF(BB75="","",IF(VLOOKUP(MATCH(BB75,ef_id,0),ef,'11(eff)'!$AE$23,FALSE)="","",VLOOKUP(MATCH(BB75,ef_id,0),ef,'11(eff)'!$AE$23,FALSE)))</f>
        <v>0.70270270270270274</v>
      </c>
      <c r="CP75" s="3909" t="str">
        <f>+IF(OR(BB75="",VLOOKUP(MATCH(BB75,ef_id,0),ef,'11(eff)'!$AG$23,FALSE)=""),"",IF(VLOOKUP(MATCH(BB75,ef_id,0),ef,'11(eff)'!$AG$23,FALSE)/100=VLOOKUP(MATCH(BB75,ef_id,0),ef,'11(eff)'!$AE$23,FALSE),VLOOKUP(MATCH(BB75,ef_id,0),ef,'11(eff)'!$AE$23,FALSE),""))</f>
        <v/>
      </c>
      <c r="CQ75" s="728" t="str">
        <f t="shared" si="51"/>
        <v>High Pressure Water Injection (HPWI)</v>
      </c>
      <c r="CR75" s="770"/>
      <c r="CS75" s="2759">
        <v>1800457</v>
      </c>
      <c r="CT75" s="1586">
        <v>852494</v>
      </c>
      <c r="CU75" s="781">
        <f>+CU73</f>
        <v>360000</v>
      </c>
      <c r="CV75" s="1845">
        <f t="shared" si="309"/>
        <v>134400</v>
      </c>
      <c r="CW75" s="1846">
        <f>+CW72</f>
        <v>40000</v>
      </c>
      <c r="CX75" s="1846">
        <v>50000</v>
      </c>
      <c r="CY75" s="1070"/>
      <c r="CZ75" s="2471">
        <f>42000+2500+10000+40000+15000</f>
        <v>109500</v>
      </c>
      <c r="DA75" s="1871"/>
      <c r="DB75" s="1871">
        <f>+DB73</f>
        <v>16000</v>
      </c>
      <c r="DC75" s="1845"/>
      <c r="DD75" s="808"/>
      <c r="DE75" s="1848"/>
      <c r="DF75" s="1871"/>
      <c r="DG75" s="1871">
        <v>100000</v>
      </c>
      <c r="DH75" s="1070"/>
      <c r="DI75" s="784">
        <f t="shared" si="389"/>
        <v>709900</v>
      </c>
      <c r="DJ75" s="1847">
        <v>42594</v>
      </c>
      <c r="DK75" s="1586"/>
      <c r="DL75" s="781"/>
      <c r="DM75" s="1845" t="str">
        <f t="shared" si="310"/>
        <v/>
      </c>
      <c r="DN75" s="1846"/>
      <c r="DO75" s="1846"/>
      <c r="DP75" s="1070"/>
      <c r="DQ75" s="2471"/>
      <c r="DR75" s="1871"/>
      <c r="DS75" s="1871"/>
      <c r="DT75" s="1845"/>
      <c r="DU75" s="808"/>
      <c r="DV75" s="1848"/>
      <c r="DW75" s="1871"/>
      <c r="DX75" s="1871"/>
      <c r="DY75" s="1070"/>
      <c r="DZ75" s="784" t="str">
        <f t="shared" si="18"/>
        <v/>
      </c>
      <c r="EA75" s="1847"/>
      <c r="EB75" s="781">
        <f t="shared" si="377"/>
        <v>852494</v>
      </c>
      <c r="EC75" s="1960">
        <v>1</v>
      </c>
      <c r="ED75" s="783">
        <f t="shared" si="20"/>
        <v>852494</v>
      </c>
      <c r="EE75" s="1866"/>
      <c r="EF75" s="1867"/>
      <c r="EG75" s="808">
        <v>383622</v>
      </c>
      <c r="EH75" s="784">
        <f t="shared" si="353"/>
        <v>383622</v>
      </c>
      <c r="EI75" s="1848"/>
      <c r="EJ75" s="1871"/>
      <c r="EK75" s="785"/>
      <c r="EL75" s="778">
        <v>281323</v>
      </c>
      <c r="EM75" s="1848"/>
      <c r="EN75" s="1871"/>
      <c r="EO75" s="785"/>
      <c r="EP75" s="784">
        <f t="shared" si="378"/>
        <v>281323</v>
      </c>
      <c r="EQ75" s="784"/>
      <c r="ER75" s="784"/>
      <c r="ES75" s="784"/>
      <c r="ET75" s="1454">
        <v>283028</v>
      </c>
      <c r="EU75" s="1344"/>
      <c r="EV75" s="1391"/>
      <c r="EW75" s="2579"/>
      <c r="EX75" s="2579"/>
      <c r="EY75" s="2686">
        <f t="shared" si="390"/>
        <v>1800467</v>
      </c>
      <c r="EZ75" s="2715"/>
      <c r="FA75" s="1391"/>
      <c r="FB75" s="1476">
        <f t="shared" si="391"/>
        <v>1800467</v>
      </c>
      <c r="FC75" s="781">
        <f t="shared" si="392"/>
        <v>852494</v>
      </c>
      <c r="FD75" s="2046">
        <f t="shared" si="393"/>
        <v>360000</v>
      </c>
      <c r="FE75" s="2030">
        <f t="shared" si="394"/>
        <v>0.42229036216090671</v>
      </c>
      <c r="FF75" s="2046">
        <f t="shared" si="395"/>
        <v>333900</v>
      </c>
      <c r="FG75" s="2030">
        <f t="shared" si="396"/>
        <v>0.39167431090424099</v>
      </c>
      <c r="FH75" s="2046">
        <f t="shared" si="397"/>
        <v>0</v>
      </c>
      <c r="FI75" s="2030">
        <f t="shared" si="398"/>
        <v>0</v>
      </c>
      <c r="FJ75" s="782">
        <f t="shared" si="399"/>
        <v>693900</v>
      </c>
      <c r="FK75" s="2804">
        <f t="shared" si="373"/>
        <v>0.81396467306514764</v>
      </c>
      <c r="FL75" s="2046">
        <f t="shared" si="400"/>
        <v>16000</v>
      </c>
      <c r="FM75" s="2030">
        <f t="shared" si="401"/>
        <v>1.8768460540484741E-2</v>
      </c>
      <c r="FN75" s="2046">
        <f t="shared" si="402"/>
        <v>0</v>
      </c>
      <c r="FO75" s="2030">
        <f t="shared" si="403"/>
        <v>0</v>
      </c>
      <c r="FP75" s="2046">
        <f t="shared" si="404"/>
        <v>100000</v>
      </c>
      <c r="FQ75" s="2030">
        <f t="shared" si="405"/>
        <v>0.11730287837802963</v>
      </c>
      <c r="FR75" s="2843">
        <f t="shared" si="406"/>
        <v>709900</v>
      </c>
      <c r="FS75" s="2828">
        <f t="shared" si="407"/>
        <v>42594</v>
      </c>
      <c r="FT75" s="2067">
        <f t="shared" si="408"/>
        <v>0.06</v>
      </c>
      <c r="FU75" s="2888">
        <f t="shared" si="409"/>
        <v>0</v>
      </c>
      <c r="FV75" s="778">
        <f t="shared" si="410"/>
        <v>42624.7</v>
      </c>
      <c r="FW75" s="2097">
        <f t="shared" si="411"/>
        <v>383622</v>
      </c>
      <c r="FX75" s="2098">
        <f t="shared" si="412"/>
        <v>0.44999964809136489</v>
      </c>
      <c r="FY75" s="2099">
        <f t="shared" si="413"/>
        <v>281323</v>
      </c>
      <c r="FZ75" s="2098">
        <f t="shared" si="414"/>
        <v>0.32999997653942431</v>
      </c>
      <c r="GA75" s="2098" t="str">
        <f t="shared" si="415"/>
        <v/>
      </c>
      <c r="GB75" s="2099">
        <f t="shared" si="416"/>
        <v>283028</v>
      </c>
      <c r="GC75" s="2098">
        <f t="shared" si="417"/>
        <v>0.33199999061576974</v>
      </c>
      <c r="GD75" s="2098" t="str">
        <f t="shared" si="418"/>
        <v/>
      </c>
      <c r="GE75" s="1069">
        <f t="shared" si="419"/>
        <v>1800467</v>
      </c>
      <c r="GF75" s="2142">
        <f t="shared" si="420"/>
        <v>1800467</v>
      </c>
      <c r="GG75" s="2166">
        <f t="shared" si="421"/>
        <v>5.554114571371116E-6</v>
      </c>
      <c r="GH75" s="779">
        <f t="shared" si="422"/>
        <v>90023.35</v>
      </c>
      <c r="GI75" s="1069">
        <v>313560</v>
      </c>
      <c r="GJ75" s="782">
        <v>247900</v>
      </c>
      <c r="GK75" s="3448">
        <f t="shared" si="423"/>
        <v>1.3</v>
      </c>
      <c r="GL75" s="3228">
        <f t="shared" si="424"/>
        <v>2.7027027027027029E-2</v>
      </c>
      <c r="GM75" s="1256"/>
      <c r="GN75" s="2194"/>
      <c r="GO75" s="1848">
        <v>7000</v>
      </c>
      <c r="GP75" s="785">
        <f t="shared" si="354"/>
        <v>46922.5</v>
      </c>
      <c r="GQ75" s="1454">
        <v>53922.5</v>
      </c>
      <c r="GR75" s="2323">
        <f>+GR73</f>
        <v>2100</v>
      </c>
      <c r="GS75" s="2323">
        <v>34099.5</v>
      </c>
      <c r="GT75" s="804">
        <v>223438</v>
      </c>
      <c r="GU75" s="2314">
        <f t="shared" si="425"/>
        <v>313560</v>
      </c>
      <c r="GV75" s="1337">
        <f t="shared" si="426"/>
        <v>7000</v>
      </c>
      <c r="GW75" s="2258">
        <f t="shared" si="427"/>
        <v>46922.5</v>
      </c>
      <c r="GX75" s="2270">
        <f t="shared" si="428"/>
        <v>53922.5</v>
      </c>
      <c r="GY75" s="2224">
        <f t="shared" si="429"/>
        <v>2100</v>
      </c>
      <c r="GZ75" s="2224">
        <f t="shared" si="430"/>
        <v>34099.5</v>
      </c>
      <c r="HA75" s="784">
        <f t="shared" si="431"/>
        <v>223438</v>
      </c>
      <c r="HB75" s="1254">
        <f t="shared" si="432"/>
        <v>313560</v>
      </c>
      <c r="HC75" s="1258">
        <f t="shared" si="433"/>
        <v>313560</v>
      </c>
      <c r="HD75" s="1259">
        <f t="shared" si="375"/>
        <v>0</v>
      </c>
      <c r="HE75" s="1256"/>
      <c r="HF75" s="780">
        <f t="shared" si="434"/>
        <v>247900</v>
      </c>
      <c r="HG75" s="1261">
        <f t="shared" si="435"/>
        <v>238923.76681614344</v>
      </c>
      <c r="HH75" s="2993">
        <f t="shared" si="436"/>
        <v>1</v>
      </c>
      <c r="HI75" s="1262">
        <f t="shared" si="355"/>
        <v>709900</v>
      </c>
      <c r="HJ75" s="1871">
        <f t="shared" si="356"/>
        <v>100000</v>
      </c>
      <c r="HK75" s="2918">
        <f t="shared" si="357"/>
        <v>0</v>
      </c>
      <c r="HL75" s="2918">
        <f t="shared" si="437"/>
        <v>42594</v>
      </c>
      <c r="HM75" s="1264">
        <f t="shared" si="358"/>
        <v>852494</v>
      </c>
      <c r="HN75" s="1321">
        <f t="shared" si="347"/>
        <v>42624.7</v>
      </c>
      <c r="HO75" s="1848">
        <f t="shared" si="438"/>
        <v>383622.3</v>
      </c>
      <c r="HP75" s="2918">
        <f t="shared" si="439"/>
        <v>281323.02</v>
      </c>
      <c r="HQ75" s="1265" t="str">
        <f t="shared" si="440"/>
        <v/>
      </c>
      <c r="HR75" s="2938">
        <f t="shared" si="441"/>
        <v>170498.80000000002</v>
      </c>
      <c r="HS75" s="2938">
        <f t="shared" si="442"/>
        <v>170498.80000000002</v>
      </c>
      <c r="HT75" s="1850" t="str">
        <f t="shared" si="443"/>
        <v/>
      </c>
      <c r="HU75" s="2938" t="str">
        <f t="shared" si="444"/>
        <v/>
      </c>
      <c r="HV75" s="1850" t="str">
        <f t="shared" si="312"/>
        <v/>
      </c>
      <c r="HW75" s="2938" t="str">
        <f t="shared" si="313"/>
        <v/>
      </c>
      <c r="HX75" s="3031">
        <f t="shared" si="199"/>
        <v>1687938.12</v>
      </c>
      <c r="HY75" s="2918" t="str">
        <f t="shared" si="445"/>
        <v/>
      </c>
      <c r="HZ75" s="2938" t="str">
        <f t="shared" si="446"/>
        <v/>
      </c>
      <c r="IA75" s="1262">
        <f t="shared" si="376"/>
        <v>1687938.12</v>
      </c>
      <c r="IB75" s="1265" t="str">
        <f t="shared" si="237"/>
        <v>stk added + 6%</v>
      </c>
      <c r="IC75" s="2906">
        <f t="shared" si="359"/>
        <v>84396.906000000003</v>
      </c>
      <c r="ID75" s="1297"/>
      <c r="IE75" s="1258"/>
      <c r="IF75" s="1262">
        <f t="shared" si="447"/>
        <v>7000</v>
      </c>
      <c r="IG75" s="6774">
        <f>+IF(AO74="","",IF(IF75="","",(IF75/AO74)))</f>
        <v>340.63260340632604</v>
      </c>
      <c r="IH75" s="1257">
        <f t="shared" si="448"/>
        <v>46922.5</v>
      </c>
      <c r="II75" s="6794">
        <f>+IH75/AQ74</f>
        <v>9.6647785787847571</v>
      </c>
      <c r="IJ75" s="4101">
        <f t="shared" si="450"/>
        <v>53922.5</v>
      </c>
      <c r="IK75" s="4141">
        <v>1</v>
      </c>
      <c r="IL75" s="788">
        <f t="shared" si="451"/>
        <v>2100</v>
      </c>
      <c r="IM75" s="787">
        <f t="shared" si="452"/>
        <v>67517.524799999999</v>
      </c>
      <c r="IN75" s="4233">
        <f t="shared" si="453"/>
        <v>69617.524799999999</v>
      </c>
      <c r="IO75" s="4233">
        <f t="shared" si="454"/>
        <v>123540.0248</v>
      </c>
      <c r="IP75" s="4233">
        <f t="shared" si="455"/>
        <v>53922.5</v>
      </c>
      <c r="IQ75" s="6847">
        <f t="shared" si="456"/>
        <v>0.19062681192642253</v>
      </c>
      <c r="IR75" s="4233">
        <f t="shared" si="457"/>
        <v>69617.524799999999</v>
      </c>
      <c r="IS75" s="6847">
        <f t="shared" si="458"/>
        <v>0.24611186066730317</v>
      </c>
      <c r="IT75" s="4233">
        <f t="shared" si="459"/>
        <v>123540.0248</v>
      </c>
      <c r="IU75" s="6847">
        <f t="shared" si="460"/>
        <v>0.43673867259372573</v>
      </c>
      <c r="IV75" s="4135">
        <f t="shared" si="461"/>
        <v>1</v>
      </c>
      <c r="IW75" s="7253">
        <f t="shared" si="462"/>
        <v>159329.41762037063</v>
      </c>
      <c r="IX75" s="2906">
        <f t="shared" si="463"/>
        <v>282869.44242037064</v>
      </c>
      <c r="IY75" s="4251">
        <f t="shared" si="464"/>
        <v>313560</v>
      </c>
      <c r="IZ75" s="4298">
        <f t="shared" si="465"/>
        <v>9.7877782815503744E-2</v>
      </c>
      <c r="JA75" s="4291" t="str">
        <f t="shared" si="466"/>
        <v>stk added + 10%</v>
      </c>
      <c r="JB75" s="1349"/>
      <c r="JC75" s="777"/>
      <c r="JD75" s="780">
        <f t="shared" si="467"/>
        <v>217591.8787849005</v>
      </c>
      <c r="JE75" s="786">
        <f t="shared" si="468"/>
        <v>215538.43825825088</v>
      </c>
      <c r="JF75" s="7035">
        <f t="shared" si="469"/>
        <v>20</v>
      </c>
      <c r="JG75" s="7055" t="s">
        <v>93</v>
      </c>
      <c r="JH75" s="6966">
        <f t="shared" si="470"/>
        <v>1687938.12</v>
      </c>
      <c r="JI75" s="6966">
        <f t="shared" si="471"/>
        <v>1687938.12</v>
      </c>
      <c r="JJ75" s="6966"/>
      <c r="JK75" s="6966"/>
      <c r="JL75" s="7003"/>
      <c r="JM75" s="1846">
        <f t="shared" si="472"/>
        <v>997500</v>
      </c>
      <c r="JN75" s="1871">
        <f t="shared" si="473"/>
        <v>1725675</v>
      </c>
      <c r="JO75" s="1871">
        <f t="shared" si="474"/>
        <v>1725675</v>
      </c>
      <c r="JP75" s="785"/>
      <c r="JQ75" s="785"/>
      <c r="JR75" s="1871"/>
      <c r="JS75" s="1070">
        <f t="shared" si="475"/>
        <v>1725675</v>
      </c>
      <c r="JT75" s="7151">
        <f t="shared" si="476"/>
        <v>1</v>
      </c>
      <c r="JU75" s="7152">
        <f t="shared" si="477"/>
        <v>24</v>
      </c>
      <c r="JV75" s="8373">
        <f t="shared" si="478"/>
        <v>5575</v>
      </c>
      <c r="JW75" s="8400">
        <f t="shared" si="479"/>
        <v>1.3123851351351354</v>
      </c>
      <c r="JX75" s="8429" t="str">
        <f t="shared" si="480"/>
        <v/>
      </c>
      <c r="JY75" s="8464" t="str">
        <f t="shared" si="507"/>
        <v/>
      </c>
      <c r="JZ75" s="7153" t="str">
        <f t="shared" si="481"/>
        <v/>
      </c>
      <c r="KA75" s="7151">
        <f t="shared" si="482"/>
        <v>12672.758683396982</v>
      </c>
      <c r="KB75" s="7152">
        <f t="shared" si="483"/>
        <v>8870.9310783778874</v>
      </c>
      <c r="KC75" s="7153">
        <f t="shared" si="484"/>
        <v>17.722907175819071</v>
      </c>
      <c r="KD75" s="7151">
        <f t="shared" si="485"/>
        <v>465.79200000000003</v>
      </c>
      <c r="KE75" s="8337" t="str">
        <f t="shared" si="486"/>
        <v/>
      </c>
      <c r="KF75" s="8337" t="str">
        <f t="shared" si="487"/>
        <v/>
      </c>
      <c r="KG75" s="7152">
        <f t="shared" si="488"/>
        <v>354.36721507774143</v>
      </c>
      <c r="KH75" s="7152" t="str">
        <f t="shared" si="489"/>
        <v/>
      </c>
      <c r="KI75" s="7152" t="str">
        <f t="shared" si="490"/>
        <v/>
      </c>
      <c r="KJ75" s="7152">
        <f t="shared" si="491"/>
        <v>820.15921507774146</v>
      </c>
      <c r="KK75" s="7152">
        <f t="shared" si="492"/>
        <v>2517.7728000000002</v>
      </c>
      <c r="KL75" s="7152">
        <f t="shared" si="493"/>
        <v>155.31075000000001</v>
      </c>
      <c r="KM75" s="7152">
        <f t="shared" si="494"/>
        <v>2673.0835500000003</v>
      </c>
      <c r="KN75" s="7152" t="str">
        <f t="shared" si="495"/>
        <v/>
      </c>
      <c r="KO75" s="7152">
        <f t="shared" si="496"/>
        <v>2673.0835500000003</v>
      </c>
      <c r="KP75" s="7153">
        <f t="shared" si="497"/>
        <v>3493.2427650777418</v>
      </c>
      <c r="KQ75" s="1848">
        <f>+IF(D75="","",VLOOKUP(MATCH(BE75,ac_id,0),ad,ac!$F$8,FALSE)*JV75)</f>
        <v>39025</v>
      </c>
      <c r="KR75" s="785">
        <f>+IF(D75="","",IF(JT75=1,VLOOKUP(MATCH(BE75,ac_id,0),ad,ac!$H$8,FALSE)*JU75, (VLOOKUP(MATCH(BE75,ac_id,0),ad,ac!$H$8,FALSE)*JU75^(1+VLOOKUP(MATCH(BE75,ac_id,0),ad,ac!$I$8,FALSE)))))</f>
        <v>6000</v>
      </c>
      <c r="KS75" s="1070">
        <f t="shared" si="498"/>
        <v>45025</v>
      </c>
      <c r="KT75" s="1848">
        <f t="shared" si="499"/>
        <v>1603.85013</v>
      </c>
      <c r="KU75" s="1871">
        <f t="shared" si="500"/>
        <v>69027</v>
      </c>
      <c r="KV75" s="7388">
        <f t="shared" si="501"/>
        <v>1</v>
      </c>
      <c r="KW75" s="2715">
        <f t="shared" si="502"/>
        <v>148081.06430477212</v>
      </c>
      <c r="KX75" s="1070">
        <f t="shared" si="503"/>
        <v>218711.91443477213</v>
      </c>
      <c r="KY75" s="2686">
        <f t="shared" si="504"/>
        <v>222205.15719984987</v>
      </c>
      <c r="KZ75" s="1344"/>
      <c r="LA75" s="2715">
        <f t="shared" si="505"/>
        <v>170927.04399988451</v>
      </c>
      <c r="LB75" s="1391">
        <f t="shared" si="506"/>
        <v>169313.98508789841</v>
      </c>
      <c r="LC75" s="5133"/>
      <c r="LD75" s="5132"/>
      <c r="LE75" s="5132"/>
      <c r="LF75" s="5132"/>
      <c r="LG75" s="5132"/>
      <c r="LH75" s="5132"/>
      <c r="LI75" s="5132"/>
      <c r="LJ75" s="5132"/>
    </row>
    <row r="76" spans="1:322" s="13" customFormat="1" ht="27.95" customHeight="1">
      <c r="A76" s="5954" t="str">
        <f t="shared" ref="A76:A82" si="508">+O76</f>
        <v>8300-12</v>
      </c>
      <c r="B76" s="9819" t="str">
        <f>+IF(A76="","",VLOOKUP(MATCH(A76,tid,0),tao,'12(id)'!$J$20,FALSE))</f>
        <v>NRG</v>
      </c>
      <c r="C76" s="6388" t="str">
        <f t="shared" si="47"/>
        <v>DV11</v>
      </c>
      <c r="D76" s="1127" t="str">
        <f t="shared" si="48"/>
        <v>8300-12-01</v>
      </c>
      <c r="E76" s="730" t="str">
        <f t="shared" si="379"/>
        <v>Selective Catalytic Reduction (SCR)</v>
      </c>
      <c r="F76" s="730" t="str">
        <f t="shared" si="49"/>
        <v>SCR</v>
      </c>
      <c r="G76" s="5133"/>
      <c r="H76" s="5132"/>
      <c r="I76" s="5133"/>
      <c r="J76" s="719">
        <f t="shared" si="68"/>
        <v>42</v>
      </c>
      <c r="K76" s="649">
        <f>1+K74</f>
        <v>24</v>
      </c>
      <c r="L76" s="9648"/>
      <c r="M76" s="9650"/>
      <c r="N76" s="9648"/>
      <c r="O76" s="8671" t="s">
        <v>270</v>
      </c>
      <c r="P76" s="9650"/>
      <c r="Q76" s="8576" t="str">
        <f>+IF(ISERROR(MATCH(O76,tid,0)),"",VLOOKUP(MATCH(O76,tid,0),tao,'12(id)'!$Q$20,FALSE))</f>
        <v>DV11</v>
      </c>
      <c r="R76" s="8671">
        <f>+IF(O76="","",VLOOKUP(MATCH(O76,tid,0),tao,'12(id)'!$U$20,FALSE))</f>
        <v>4</v>
      </c>
      <c r="S76" s="8671"/>
      <c r="T76" s="45">
        <f>+IF(ISERROR(MATCH(O76,tid,0)),"",IF(VLOOKUP(MATCH(O76,tid,0),tao,'12(id)'!$CT$20,FALSE)="","",VLOOKUP(MATCH(O76,tid,0),tao,'12(id)'!$CT$20,FALSE)))</f>
        <v>40</v>
      </c>
      <c r="U76" s="10716" t="str">
        <f>+IF(ISERROR(MATCH(O76,tid,0)),"",IF(VLOOKUP(MATCH(O76,tid,0),tao,'12(id)'!$CU$20,FALSE)="","",VLOOKUP(MATCH(O76,tid,0),tao,'12(id)'!$CU$20,FALSE)))</f>
        <v/>
      </c>
      <c r="V76" s="416" t="str">
        <f>+IF(O76="","",IF(VLOOKUP(MATCH(O76,tid,0),tao,'12(id)'!$T$20,FALSE)="","",VLOOKUP(MATCH(O76,tid,0),tao,'12(id)'!$T$20,FALSE)))</f>
        <v>Combustion Turbine</v>
      </c>
      <c r="W76" s="424" t="str">
        <f>+IF(ISERROR(MATCH(O76,tid,0)),"",IF(VLOOKUP(MATCH(O76,tid,0),tao,'12(id)'!$CO$20,FALSE)="","",VLOOKUP(MATCH(O76,tid,0),tao,'12(id)'!$CO$20,FALSE)))</f>
        <v>General Electric</v>
      </c>
      <c r="X76" s="416" t="str">
        <f>+IF(ISERROR(MATCH(O76,tid,0)),"",IF(VLOOKUP(MATCH(O76,tid,0),tao,'12(id)'!$CP$20,FALSE)="","",VLOOKUP(MATCH(O76,tid,0),tao,'12(id)'!$CP$20,FALSE)))</f>
        <v>LM6000PA</v>
      </c>
      <c r="Y76" s="8553" t="str">
        <f>+IF(ISERROR(MATCH(O76,tid,0)),"",IF(VLOOKUP(MATCH(O76,tid,0),tao,'12(id)'!$CQ$20,FALSE)="","",VLOOKUP(MATCH(O76,tid,0),tao,'12(id)'!$CQ$20,FALSE)))</f>
        <v/>
      </c>
      <c r="Z76" s="71" t="str">
        <f>+IF(ISERROR(MATCH(O76,tid,0)),"",VLOOKUP(MATCH(O76,tid,0),tao,'12(id)'!$DB$20,FALSE)&amp;" "&amp;VLOOKUP(MATCH(O76,tid,0),tao,'12(id)'!$DC$20,FALSE))</f>
        <v>Jun 1996</v>
      </c>
      <c r="AA76" s="8557" t="str">
        <f ca="1">+IF(ISERROR(MATCH(O76,tid,0)),"",IF(VLOOKUP(MATCH(O76,tid,0),tao,'12(id)'!$DE$20,FALSE)="","",ROUND(VLOOKUP(MATCH(O76,tid,0),tao,'12(id)'!$DE$20,FALSE),0)&amp;" yrs"))</f>
        <v>18 yrs</v>
      </c>
      <c r="AB76" s="8567" t="str">
        <f>+IF(ISERROR(MATCH(O76,tid,0)),"",VLOOKUP(MATCH(O76,tid,0),tao,'12(id)'!$DI$20,FALSE))</f>
        <v>ULSD oil</v>
      </c>
      <c r="AC76" s="8567" t="str">
        <f>+IF(ISERROR(MATCH(O76,tid,0)),"",IF(VLOOKUP(MATCH(O76,tid,0),tao,'12(id)'!$DQ$20,FALSE)="","",VLOOKUP(MATCH(O76,tid,0),tao,'12(id)'!$DQ$20,FALSE)))</f>
        <v>Natural Gas</v>
      </c>
      <c r="AD76" s="10731">
        <f>+IF(ISERROR(MATCH(O76,tid,0)),"",IF(VLOOKUP(MATCH(O76,tid,0),tao,'12(id)'!$EI$20,FALSE)="","",VLOOKUP(MATCH(O76,tid,0),tao,'12(id)'!$EI$20,FALSE)))</f>
        <v>0.17100000000000001</v>
      </c>
      <c r="AE76" s="10730" t="str">
        <f>+IF(ISERROR(MATCH(O76,tid,0)),"",IF(VLOOKUP(MATCH(O76,tid,0),tao,'12(id)'!$EJ$20,FALSE)="","",VLOOKUP(MATCH(O76,tid,0),tao,'12(id)'!$EJ$20,FALSE)))</f>
        <v/>
      </c>
      <c r="AF76" s="10673">
        <f>+IF(ISERROR(MATCH(O76,tid,0)),"",IF(VLOOKUP(MATCH(O76,tid,0),tao,'12(id)'!$EL$20,FALSE)="","",VLOOKUP(MATCH(O76,tid,0),tao,'12(id)'!$EL$20,FALSE)))</f>
        <v>0.17100000000000001</v>
      </c>
      <c r="AG76" s="10728" t="str">
        <f>+IF(ISERROR(MATCH(O76,tid,0)),"",IF(VLOOKUP(MATCH(O76,tid,0),tao,'12(id)'!$EM$20,FALSE)="","",VLOOKUP(MATCH(O76,tid,0),tao,'12(id)'!$EM$20,FALSE)))</f>
        <v/>
      </c>
      <c r="AH76" s="964" t="s">
        <v>561</v>
      </c>
      <c r="AI76" s="982"/>
      <c r="AJ76" s="983"/>
      <c r="AK76" s="983"/>
      <c r="AL76" s="983"/>
      <c r="AM76" s="984"/>
      <c r="AN76" s="8648" t="s">
        <v>559</v>
      </c>
      <c r="AO76" s="8647">
        <f>+IF(ISERROR(MATCH(O76,tid,0)),"",IF(VLOOKUP(MATCH(O76,tid,0),tao,'12(id)'!$GY$20,FALSE)="","",VLOOKUP(MATCH(O76,tid,0),tao,'12(id)'!$GY$20,FALSE)))</f>
        <v>80.7</v>
      </c>
      <c r="AP76" s="10698">
        <f>+IF($BB76="","",IF(VLOOKUP(MATCH(O76,tid,0),tao,'12(id)'!$HE$20,FALSE)="","",VLOOKUP(MATCH(O76,tid,0),tao,'12(id)'!$HE$20,FALSE)))</f>
        <v>125150</v>
      </c>
      <c r="AQ76" s="3531">
        <f>+IF(ISERROR(VLOOKUP(MATCH(O76,tid,0),tao,'12(id)'!$HF$20,FALSE)),"",VLOOKUP(MATCH(O76,tid,0),tao,'12(id)'!$HF$20,FALSE))</f>
        <v>31287.5</v>
      </c>
      <c r="AR76" s="10715">
        <f>+IF(ISERROR(MATCH(O76,tid,0)),"",IF(VLOOKUP(MATCH(O76,tid,0),tao,'12(id)'!$HJ$20,FALSE)="","",VLOOKUP(MATCH(O76,tid,0),tao,'12(id)'!$HJ$20,FALSE)))</f>
        <v>0.17100000000000001</v>
      </c>
      <c r="AS76" s="10633" t="str">
        <f>+IF(ISERROR(MATCH(O76,tid,0)),"",IF(VLOOKUP(MATCH(O76,tid,0),tao,'12(id)'!$HK$20,FALSE)="","",VLOOKUP(MATCH(O76,tid,0),tao,'12(id)'!$HK$20,FALSE)))</f>
        <v/>
      </c>
      <c r="AT76" s="8649">
        <f>+IF(ISERROR(MATCH(O76,tid,0)),"",IF(VLOOKUP(MATCH(O76,tid,0),tao,'12(id)'!$HM$20,FALSE)="","",VLOOKUP(MATCH(O76,tid,0),tao,'12(id)'!$HM$20,FALSE)))</f>
        <v>2.66</v>
      </c>
      <c r="AU76" s="8633" t="str">
        <f>+AU74</f>
        <v>CAIR-OS (max last 3 yrs)</v>
      </c>
      <c r="AV76" s="10324">
        <f>+MAX('5(em)'!CX42:CX45)</f>
        <v>96</v>
      </c>
      <c r="AW76" s="10773">
        <f>+MAX('5(em)'!CZ42:CZ45)</f>
        <v>30042</v>
      </c>
      <c r="AX76" s="10329">
        <f t="shared" si="50"/>
        <v>0.15</v>
      </c>
      <c r="AY76" s="10324"/>
      <c r="AZ76" s="10402">
        <f>+MAX('5(em)'!DA42:DA45)</f>
        <v>2.2999999999999998</v>
      </c>
      <c r="BA76" s="741"/>
      <c r="BB76" s="742" t="str">
        <f t="shared" si="311"/>
        <v>8300-12-01</v>
      </c>
      <c r="BC76" s="743">
        <v>1</v>
      </c>
      <c r="BD76" s="730" t="str">
        <f>+IF(OR(D76="",VLOOKUP(MATCH(D76,op_id,0),op,'7(op)'!$T$18,FALSE)=""),"",VLOOKUP(MATCH(D76,op_id,0),op,'7(op)'!$T$18,FALSE))</f>
        <v>Selective Catalytic Reduction (SCR)</v>
      </c>
      <c r="BE76" s="1072" t="s">
        <v>1093</v>
      </c>
      <c r="BF76" s="1072" t="s">
        <v>1860</v>
      </c>
      <c r="BG76" s="744"/>
      <c r="BH76" s="1075" t="s">
        <v>561</v>
      </c>
      <c r="BI76" s="749" t="s">
        <v>566</v>
      </c>
      <c r="BJ76" s="750"/>
      <c r="BK76" s="750"/>
      <c r="BL76" s="750"/>
      <c r="BM76" s="750"/>
      <c r="BN76" s="750" t="str">
        <f t="shared" si="12"/>
        <v/>
      </c>
      <c r="BO76" s="750" t="str">
        <f t="shared" si="13"/>
        <v/>
      </c>
      <c r="BP76" s="750" t="str">
        <f t="shared" si="14"/>
        <v/>
      </c>
      <c r="BQ76" s="750" t="str">
        <f t="shared" si="15"/>
        <v/>
      </c>
      <c r="BR76" s="751"/>
      <c r="BS76" s="1075" t="s">
        <v>559</v>
      </c>
      <c r="BT76" s="753" t="s">
        <v>1754</v>
      </c>
      <c r="BU76" s="3709">
        <f>+IF(BB76="","",IF(VLOOKUP(MATCH(BB76,ef_id,0),ef,'11(eff)'!$Z$23,FALSE)="","",VLOOKUP(MATCH(BB76,ef_id,0),ef,'11(eff)'!$Z$23,FALSE)))</f>
        <v>0.05</v>
      </c>
      <c r="BV76" s="3753" t="str">
        <f>+IF(BB76="","",IF(VLOOKUP(MATCH(BB76,ef_id,0),ef,'11(eff)'!$AA$23,FALSE)="","",VLOOKUP(MATCH(BB76,ef_id,0),ef,'11(eff)'!$AA$23,FALSE)))</f>
        <v/>
      </c>
      <c r="BW76" s="3778">
        <v>3.13</v>
      </c>
      <c r="BX76" s="1962">
        <f t="shared" si="380"/>
        <v>0.78249999999999997</v>
      </c>
      <c r="BY76" s="1077">
        <f t="shared" si="381"/>
        <v>0.78218750000000004</v>
      </c>
      <c r="BZ76" s="3259"/>
      <c r="CA76" s="3419"/>
      <c r="CB76" s="1082">
        <f t="shared" si="382"/>
        <v>1.8775000000000002</v>
      </c>
      <c r="CC76" s="3867">
        <f t="shared" si="372"/>
        <v>0.70582706766917291</v>
      </c>
      <c r="CD76" s="3867">
        <f t="shared" si="383"/>
        <v>0.70760233918128657</v>
      </c>
      <c r="CE76" s="2370">
        <f>+IF(BB76="","",IF(VLOOKUP(MATCH(BB76,ef_id,0),ef,'11(eff)'!$AE$23,FALSE)="","",VLOOKUP(MATCH(BB76,ef_id,0),ef,'11(eff)'!$AE$23,FALSE)))</f>
        <v>0.9</v>
      </c>
      <c r="CF76" s="1079" t="s">
        <v>1601</v>
      </c>
      <c r="CG76" s="1080" t="s">
        <v>1633</v>
      </c>
      <c r="CH76" s="2409">
        <v>106</v>
      </c>
      <c r="CI76" s="1082">
        <f>+IF(BB76="","",AZ76/AW76*2000*(1-CO76))</f>
        <v>1.5311896677984148E-2</v>
      </c>
      <c r="CJ76" s="4069" t="str">
        <f t="shared" si="384"/>
        <v/>
      </c>
      <c r="CK76" s="1082">
        <f t="shared" si="385"/>
        <v>0.2299999999999999</v>
      </c>
      <c r="CL76" s="1081">
        <f t="shared" si="386"/>
        <v>2.0699999999999998</v>
      </c>
      <c r="CM76" s="1083">
        <f t="shared" si="387"/>
        <v>0.9</v>
      </c>
      <c r="CN76" s="1083">
        <f t="shared" si="388"/>
        <v>0.89792068881343901</v>
      </c>
      <c r="CO76" s="2370">
        <f>+IF(BB76="","",IF(VLOOKUP(MATCH(BB76,ef_id,0),ef,'11(eff)'!$AE$23,FALSE)="","",VLOOKUP(MATCH(BB76,ef_id,0),ef,'11(eff)'!$AE$23,FALSE)))</f>
        <v>0.9</v>
      </c>
      <c r="CP76" s="3973">
        <f>+IF(OR(BB76="",VLOOKUP(MATCH(BB76,ef_id,0),ef,'11(eff)'!$AG$23,FALSE)=""),"",IF(VLOOKUP(MATCH(BB76,ef_id,0),ef,'11(eff)'!$AG$23,FALSE)/100=VLOOKUP(MATCH(BB76,ef_id,0),ef,'11(eff)'!$AE$23,FALSE),VLOOKUP(MATCH(BB76,ef_id,0),ef,'11(eff)'!$AE$23,FALSE),""))</f>
        <v>0.9</v>
      </c>
      <c r="CQ76" s="1364" t="str">
        <f t="shared" si="51"/>
        <v>Selective Catalytic Reduction (SCR)</v>
      </c>
      <c r="CR76" s="1078"/>
      <c r="CS76" s="2764">
        <v>45848986</v>
      </c>
      <c r="CT76" s="1590">
        <v>21708800</v>
      </c>
      <c r="CU76" s="1089">
        <v>10939000</v>
      </c>
      <c r="CV76" s="1868">
        <f t="shared" si="309"/>
        <v>1791000</v>
      </c>
      <c r="CW76" s="1869">
        <f>1500000+500000</f>
        <v>2000000</v>
      </c>
      <c r="CX76" s="1869">
        <v>1500000</v>
      </c>
      <c r="CY76" s="1092">
        <v>100000</v>
      </c>
      <c r="CZ76" s="2477"/>
      <c r="DA76" s="2487"/>
      <c r="DB76" s="2487">
        <f>(1000000+500000+500000+2000000)</f>
        <v>4000000</v>
      </c>
      <c r="DC76" s="1868"/>
      <c r="DD76" s="1092"/>
      <c r="DE76" s="1870"/>
      <c r="DF76" s="1734"/>
      <c r="DG76" s="1734">
        <v>150000</v>
      </c>
      <c r="DH76" s="1092"/>
      <c r="DI76" s="1088">
        <f t="shared" si="389"/>
        <v>20330000</v>
      </c>
      <c r="DJ76" s="1937">
        <v>1228800</v>
      </c>
      <c r="DK76" s="1590"/>
      <c r="DL76" s="1089"/>
      <c r="DM76" s="1868" t="str">
        <f t="shared" si="310"/>
        <v/>
      </c>
      <c r="DN76" s="1869"/>
      <c r="DO76" s="1869"/>
      <c r="DP76" s="1092"/>
      <c r="DQ76" s="2477"/>
      <c r="DR76" s="2487"/>
      <c r="DS76" s="2487"/>
      <c r="DT76" s="1868"/>
      <c r="DU76" s="1092"/>
      <c r="DV76" s="1870"/>
      <c r="DW76" s="1734"/>
      <c r="DX76" s="1734"/>
      <c r="DY76" s="1092"/>
      <c r="DZ76" s="1088" t="str">
        <f t="shared" si="18"/>
        <v/>
      </c>
      <c r="EA76" s="1937"/>
      <c r="EB76" s="1089">
        <f t="shared" si="377"/>
        <v>21708800</v>
      </c>
      <c r="EC76" s="1962">
        <v>1</v>
      </c>
      <c r="ED76" s="1087">
        <f t="shared" si="20"/>
        <v>21708800</v>
      </c>
      <c r="EE76" s="1870"/>
      <c r="EF76" s="1734"/>
      <c r="EG76" s="1092">
        <v>9768960</v>
      </c>
      <c r="EH76" s="1088">
        <f t="shared" si="353"/>
        <v>9768960</v>
      </c>
      <c r="EI76" s="1870"/>
      <c r="EJ76" s="1734"/>
      <c r="EK76" s="1090"/>
      <c r="EL76" s="1084">
        <v>7163904</v>
      </c>
      <c r="EM76" s="1870"/>
      <c r="EN76" s="1734"/>
      <c r="EO76" s="1090"/>
      <c r="EP76" s="1088">
        <f t="shared" si="378"/>
        <v>7163904</v>
      </c>
      <c r="EQ76" s="2560"/>
      <c r="ER76" s="2560"/>
      <c r="ES76" s="2560"/>
      <c r="ET76" s="1458">
        <v>7207322</v>
      </c>
      <c r="EU76" s="1343"/>
      <c r="EV76" s="1340"/>
      <c r="EW76" s="2584"/>
      <c r="EX76" s="2584"/>
      <c r="EY76" s="2691">
        <f t="shared" si="390"/>
        <v>45848986</v>
      </c>
      <c r="EZ76" s="2720"/>
      <c r="FA76" s="1340"/>
      <c r="FB76" s="1479">
        <f t="shared" si="391"/>
        <v>45848986</v>
      </c>
      <c r="FC76" s="1089">
        <f t="shared" si="392"/>
        <v>5427200</v>
      </c>
      <c r="FD76" s="2048">
        <f t="shared" si="393"/>
        <v>2734750</v>
      </c>
      <c r="FE76" s="2032">
        <f t="shared" si="394"/>
        <v>0.50389703714622647</v>
      </c>
      <c r="FF76" s="2048">
        <f t="shared" si="395"/>
        <v>1347750</v>
      </c>
      <c r="FG76" s="2032">
        <f t="shared" si="396"/>
        <v>0.24833247346698112</v>
      </c>
      <c r="FH76" s="2048">
        <f t="shared" si="397"/>
        <v>0</v>
      </c>
      <c r="FI76" s="2032">
        <f t="shared" si="398"/>
        <v>0</v>
      </c>
      <c r="FJ76" s="2795">
        <f t="shared" si="399"/>
        <v>4082500</v>
      </c>
      <c r="FK76" s="2809">
        <f t="shared" si="373"/>
        <v>0.75222951061320753</v>
      </c>
      <c r="FL76" s="2781">
        <f t="shared" si="400"/>
        <v>1000000</v>
      </c>
      <c r="FM76" s="2032">
        <f t="shared" si="401"/>
        <v>0.18425707547169812</v>
      </c>
      <c r="FN76" s="2781">
        <f t="shared" si="402"/>
        <v>0</v>
      </c>
      <c r="FO76" s="2771">
        <f t="shared" si="403"/>
        <v>0</v>
      </c>
      <c r="FP76" s="2781">
        <f t="shared" si="404"/>
        <v>37500</v>
      </c>
      <c r="FQ76" s="2771">
        <f t="shared" si="405"/>
        <v>6.9096403301886792E-3</v>
      </c>
      <c r="FR76" s="2845">
        <f t="shared" si="406"/>
        <v>5082500</v>
      </c>
      <c r="FS76" s="2827">
        <f t="shared" si="407"/>
        <v>307200</v>
      </c>
      <c r="FT76" s="1078">
        <f t="shared" si="408"/>
        <v>6.0442695523856373E-2</v>
      </c>
      <c r="FU76" s="2894">
        <f t="shared" si="409"/>
        <v>0</v>
      </c>
      <c r="FV76" s="1084">
        <f t="shared" si="410"/>
        <v>135680</v>
      </c>
      <c r="FW76" s="2110">
        <f t="shared" si="411"/>
        <v>2442240</v>
      </c>
      <c r="FX76" s="1742">
        <f t="shared" si="412"/>
        <v>0.45</v>
      </c>
      <c r="FY76" s="2111">
        <f t="shared" si="413"/>
        <v>1790976</v>
      </c>
      <c r="FZ76" s="1742">
        <f t="shared" si="414"/>
        <v>0.33</v>
      </c>
      <c r="GA76" s="1742" t="str">
        <f t="shared" si="415"/>
        <v/>
      </c>
      <c r="GB76" s="2111">
        <f t="shared" si="416"/>
        <v>1801830.5</v>
      </c>
      <c r="GC76" s="1742">
        <f t="shared" si="417"/>
        <v>0.33200001842570753</v>
      </c>
      <c r="GD76" s="1742" t="str">
        <f t="shared" si="418"/>
        <v/>
      </c>
      <c r="GE76" s="1091">
        <f t="shared" si="419"/>
        <v>11462246.5</v>
      </c>
      <c r="GF76" s="2146">
        <f t="shared" si="420"/>
        <v>11462246.5</v>
      </c>
      <c r="GG76" s="2171">
        <f t="shared" si="421"/>
        <v>0</v>
      </c>
      <c r="GH76" s="3179">
        <f t="shared" si="422"/>
        <v>286556.16249999998</v>
      </c>
      <c r="GI76" s="3199">
        <v>3588382</v>
      </c>
      <c r="GJ76" s="3187">
        <v>477897</v>
      </c>
      <c r="GK76" s="3453">
        <f t="shared" si="423"/>
        <v>7.5100000000000007</v>
      </c>
      <c r="GL76" s="3227">
        <f t="shared" si="424"/>
        <v>1.7399522826724945E-4</v>
      </c>
      <c r="GM76" s="755"/>
      <c r="GN76" s="757"/>
      <c r="GO76" s="1870">
        <v>0</v>
      </c>
      <c r="GP76" s="1090">
        <f t="shared" si="354"/>
        <v>25968</v>
      </c>
      <c r="GQ76" s="1458">
        <v>25968</v>
      </c>
      <c r="GR76" s="2324">
        <v>0</v>
      </c>
      <c r="GS76" s="2324">
        <v>868352</v>
      </c>
      <c r="GT76" s="1088">
        <v>2694062</v>
      </c>
      <c r="GU76" s="2315">
        <f t="shared" si="425"/>
        <v>3588382</v>
      </c>
      <c r="GV76" s="756">
        <f t="shared" si="426"/>
        <v>0</v>
      </c>
      <c r="GW76" s="2259">
        <f t="shared" si="427"/>
        <v>6492</v>
      </c>
      <c r="GX76" s="758">
        <f t="shared" si="428"/>
        <v>6492</v>
      </c>
      <c r="GY76" s="758">
        <f t="shared" si="429"/>
        <v>0</v>
      </c>
      <c r="GZ76" s="1299">
        <f t="shared" si="430"/>
        <v>217088</v>
      </c>
      <c r="HA76" s="1088">
        <f t="shared" si="431"/>
        <v>673515.5</v>
      </c>
      <c r="HB76" s="2266">
        <f t="shared" si="432"/>
        <v>897095.5</v>
      </c>
      <c r="HC76" s="1290">
        <f t="shared" si="433"/>
        <v>897095.5</v>
      </c>
      <c r="HD76" s="1291">
        <f t="shared" si="375"/>
        <v>0</v>
      </c>
      <c r="HE76" s="755"/>
      <c r="HF76" s="1086">
        <f t="shared" si="434"/>
        <v>477897</v>
      </c>
      <c r="HG76" s="1292">
        <f t="shared" si="435"/>
        <v>433379.46859903383</v>
      </c>
      <c r="HH76" s="2992">
        <f t="shared" si="436"/>
        <v>1</v>
      </c>
      <c r="HI76" s="1293">
        <f t="shared" si="355"/>
        <v>5082500</v>
      </c>
      <c r="HJ76" s="1734">
        <f t="shared" si="356"/>
        <v>37500</v>
      </c>
      <c r="HK76" s="2924">
        <f t="shared" si="357"/>
        <v>0</v>
      </c>
      <c r="HL76" s="2924">
        <f t="shared" si="437"/>
        <v>304950</v>
      </c>
      <c r="HM76" s="1294">
        <f t="shared" si="358"/>
        <v>5424950</v>
      </c>
      <c r="HN76" s="1324">
        <f t="shared" si="347"/>
        <v>135623.75</v>
      </c>
      <c r="HO76" s="2945">
        <f t="shared" si="438"/>
        <v>2441227.5</v>
      </c>
      <c r="HP76" s="2946">
        <f t="shared" si="439"/>
        <v>1790233.5</v>
      </c>
      <c r="HQ76" s="3007" t="str">
        <f t="shared" si="440"/>
        <v/>
      </c>
      <c r="HR76" s="2947">
        <f t="shared" si="441"/>
        <v>1084990</v>
      </c>
      <c r="HS76" s="2947">
        <f t="shared" si="442"/>
        <v>1084990</v>
      </c>
      <c r="HT76" s="2951" t="str">
        <f t="shared" si="443"/>
        <v/>
      </c>
      <c r="HU76" s="2947" t="str">
        <f t="shared" si="444"/>
        <v/>
      </c>
      <c r="HV76" s="2951" t="str">
        <f t="shared" si="312"/>
        <v/>
      </c>
      <c r="HW76" s="2947" t="str">
        <f t="shared" si="313"/>
        <v/>
      </c>
      <c r="HX76" s="3030">
        <f t="shared" si="199"/>
        <v>10741401</v>
      </c>
      <c r="HY76" s="2946" t="str">
        <f t="shared" si="445"/>
        <v/>
      </c>
      <c r="HZ76" s="2947" t="str">
        <f t="shared" si="446"/>
        <v/>
      </c>
      <c r="IA76" s="1293">
        <f t="shared" si="376"/>
        <v>10741401</v>
      </c>
      <c r="IB76" s="1295" t="str">
        <f t="shared" si="237"/>
        <v>stk added + 6%</v>
      </c>
      <c r="IC76" s="2908">
        <f t="shared" si="359"/>
        <v>268535.02500000002</v>
      </c>
      <c r="ID76" s="1289"/>
      <c r="IE76" s="4105"/>
      <c r="IF76" s="4113">
        <f t="shared" si="447"/>
        <v>0</v>
      </c>
      <c r="IG76" s="6778"/>
      <c r="IH76" s="4089">
        <f t="shared" si="448"/>
        <v>25968</v>
      </c>
      <c r="II76" s="6796">
        <f t="shared" si="449"/>
        <v>0.82998002397123449</v>
      </c>
      <c r="IJ76" s="4119">
        <f t="shared" si="450"/>
        <v>25968</v>
      </c>
      <c r="IK76" s="4142">
        <v>1</v>
      </c>
      <c r="IL76" s="4207">
        <f t="shared" si="451"/>
        <v>0</v>
      </c>
      <c r="IM76" s="4208">
        <f t="shared" si="452"/>
        <v>429656.04000000004</v>
      </c>
      <c r="IN76" s="4234">
        <f t="shared" si="453"/>
        <v>429656.04000000004</v>
      </c>
      <c r="IO76" s="4234">
        <f t="shared" si="454"/>
        <v>455624.04000000004</v>
      </c>
      <c r="IP76" s="7233">
        <f t="shared" si="455"/>
        <v>6492</v>
      </c>
      <c r="IQ76" s="7241">
        <f t="shared" si="456"/>
        <v>5.7562464916179629E-3</v>
      </c>
      <c r="IR76" s="7233">
        <f t="shared" si="457"/>
        <v>107414.01000000001</v>
      </c>
      <c r="IS76" s="7241">
        <f t="shared" si="458"/>
        <v>9.5240529607688973E-2</v>
      </c>
      <c r="IT76" s="4234">
        <f t="shared" si="459"/>
        <v>113906.01000000001</v>
      </c>
      <c r="IU76" s="6851">
        <f t="shared" si="460"/>
        <v>0.10099677609930695</v>
      </c>
      <c r="IV76" s="7267">
        <f t="shared" si="461"/>
        <v>1</v>
      </c>
      <c r="IW76" s="7252">
        <f t="shared" si="462"/>
        <v>1013912.2669715325</v>
      </c>
      <c r="IX76" s="4118">
        <f t="shared" si="463"/>
        <v>1127818.2769715325</v>
      </c>
      <c r="IY76" s="4255">
        <f t="shared" si="464"/>
        <v>897095.5</v>
      </c>
      <c r="IZ76" s="4300">
        <f t="shared" si="465"/>
        <v>-0.25718864599313285</v>
      </c>
      <c r="JA76" s="4159">
        <f t="shared" si="466"/>
        <v>-0.25718864599313285</v>
      </c>
      <c r="JB76" s="4156" t="s">
        <v>1631</v>
      </c>
      <c r="JC76" s="4338"/>
      <c r="JD76" s="1086">
        <f t="shared" si="467"/>
        <v>600702.14485833945</v>
      </c>
      <c r="JE76" s="4337">
        <f t="shared" si="468"/>
        <v>544839.74732924276</v>
      </c>
      <c r="JF76" s="7040">
        <f t="shared" si="469"/>
        <v>40</v>
      </c>
      <c r="JG76" s="7056" t="s">
        <v>1093</v>
      </c>
      <c r="JH76" s="6971">
        <f t="shared" si="470"/>
        <v>10741401</v>
      </c>
      <c r="JI76" s="6971">
        <f t="shared" si="471"/>
        <v>10741401</v>
      </c>
      <c r="JJ76" s="6971"/>
      <c r="JK76" s="6971"/>
      <c r="JL76" s="7008"/>
      <c r="JM76" s="7050">
        <f t="shared" si="472"/>
        <v>2447000</v>
      </c>
      <c r="JN76" s="1734">
        <f t="shared" si="473"/>
        <v>4233310</v>
      </c>
      <c r="JO76" s="1734">
        <f t="shared" si="474"/>
        <v>4233310</v>
      </c>
      <c r="JP76" s="7081"/>
      <c r="JQ76" s="7081"/>
      <c r="JR76" s="7056"/>
      <c r="JS76" s="7062">
        <f t="shared" si="475"/>
        <v>4233310</v>
      </c>
      <c r="JT76" s="7166">
        <f t="shared" si="476"/>
        <v>2</v>
      </c>
      <c r="JU76" s="7167">
        <f t="shared" si="477"/>
        <v>96</v>
      </c>
      <c r="JV76" s="8378">
        <f t="shared" si="478"/>
        <v>30042</v>
      </c>
      <c r="JW76" s="8405">
        <f t="shared" si="479"/>
        <v>2.0699999999999998</v>
      </c>
      <c r="JX76" s="8434">
        <f t="shared" si="480"/>
        <v>250</v>
      </c>
      <c r="JY76" s="8469">
        <f t="shared" si="507"/>
        <v>7.0000003156120955E-2</v>
      </c>
      <c r="JZ76" s="7168">
        <f t="shared" si="481"/>
        <v>2978.3132530120483</v>
      </c>
      <c r="KA76" s="7166" t="str">
        <f t="shared" si="482"/>
        <v/>
      </c>
      <c r="KB76" s="7167" t="str">
        <f t="shared" si="483"/>
        <v/>
      </c>
      <c r="KC76" s="7168" t="str">
        <f t="shared" si="484"/>
        <v/>
      </c>
      <c r="KD76" s="7166">
        <f t="shared" si="485"/>
        <v>4074.6239999999998</v>
      </c>
      <c r="KE76" s="8342">
        <f t="shared" si="486"/>
        <v>1289.1959999999999</v>
      </c>
      <c r="KF76" s="8342">
        <f t="shared" si="487"/>
        <v>864.51967058823504</v>
      </c>
      <c r="KG76" s="7167">
        <f t="shared" si="488"/>
        <v>5410.1062680242285</v>
      </c>
      <c r="KH76" s="7167">
        <f t="shared" si="489"/>
        <v>7452.6720000000005</v>
      </c>
      <c r="KI76" s="7167">
        <f t="shared" si="490"/>
        <v>745.2672</v>
      </c>
      <c r="KJ76" s="7167">
        <f t="shared" si="491"/>
        <v>19836.385138612462</v>
      </c>
      <c r="KK76" s="7167">
        <f t="shared" si="492"/>
        <v>10071.091200000001</v>
      </c>
      <c r="KL76" s="7167">
        <f t="shared" si="493"/>
        <v>1523.9915999999998</v>
      </c>
      <c r="KM76" s="7167">
        <f t="shared" si="494"/>
        <v>11595.0828</v>
      </c>
      <c r="KN76" s="7167" t="str">
        <f t="shared" si="495"/>
        <v/>
      </c>
      <c r="KO76" s="7167">
        <f t="shared" si="496"/>
        <v>11595.0828</v>
      </c>
      <c r="KP76" s="7168">
        <f t="shared" si="497"/>
        <v>31431.467938612463</v>
      </c>
      <c r="KQ76" s="7212">
        <f>+IF(D76="","",VLOOKUP(MATCH(BE76,ac_id,0),ad,ac!$F$8,FALSE)*JV76)</f>
        <v>9012.6</v>
      </c>
      <c r="KR76" s="7081">
        <f>+IF(D76="","",IF(JT76=1,VLOOKUP(MATCH(BE76,ac_id,0),ad,ac!$H$8,FALSE)*JU76, (VLOOKUP(MATCH(BE76,ac_id,0),ad,ac!$H$8,FALSE)*JU76^(1+VLOOKUP(MATCH(BE76,ac_id,0),ad,ac!$I$8,FALSE)))))</f>
        <v>18501.501818914356</v>
      </c>
      <c r="KS76" s="7062">
        <f t="shared" si="498"/>
        <v>27514.101818914358</v>
      </c>
      <c r="KT76" s="7212">
        <f t="shared" si="499"/>
        <v>6957.0496800000001</v>
      </c>
      <c r="KU76" s="7056">
        <f t="shared" si="500"/>
        <v>169332.4</v>
      </c>
      <c r="KV76" s="7390">
        <f t="shared" si="501"/>
        <v>1</v>
      </c>
      <c r="KW76" s="7274">
        <f t="shared" si="502"/>
        <v>363262.52065541595</v>
      </c>
      <c r="KX76" s="7062">
        <f t="shared" si="503"/>
        <v>539551.97033541591</v>
      </c>
      <c r="KY76" s="7356">
        <f t="shared" si="504"/>
        <v>570983.43827402836</v>
      </c>
      <c r="KZ76" s="1343"/>
      <c r="LA76" s="7211">
        <f t="shared" si="505"/>
        <v>304119.00840161293</v>
      </c>
      <c r="LB76" s="1340">
        <f t="shared" si="506"/>
        <v>275837.40979421663</v>
      </c>
      <c r="LC76" s="5133"/>
      <c r="LD76" s="5132"/>
      <c r="LE76" s="5132"/>
      <c r="LF76" s="5132"/>
      <c r="LG76" s="5132"/>
      <c r="LH76" s="5132"/>
      <c r="LI76" s="5132"/>
      <c r="LJ76" s="5132"/>
    </row>
    <row r="77" spans="1:322" s="13" customFormat="1" ht="27.95" customHeight="1">
      <c r="A77" s="5954" t="str">
        <f t="shared" si="508"/>
        <v>8300-13</v>
      </c>
      <c r="B77" s="9819" t="str">
        <f>+IF(A77="","",VLOOKUP(MATCH(A77,tid,0),tao,'12(id)'!$J$20,FALSE))</f>
        <v>NRG</v>
      </c>
      <c r="C77" s="6388" t="str">
        <f t="shared" si="47"/>
        <v>DV12</v>
      </c>
      <c r="D77" s="1031" t="str">
        <f t="shared" si="48"/>
        <v/>
      </c>
      <c r="E77" s="651"/>
      <c r="F77" s="651" t="str">
        <f t="shared" si="49"/>
        <v/>
      </c>
      <c r="G77" s="5133"/>
      <c r="H77" s="5132"/>
      <c r="I77" s="5133"/>
      <c r="J77" s="719">
        <f t="shared" si="68"/>
        <v>43</v>
      </c>
      <c r="K77" s="649">
        <f>1+K76</f>
        <v>25</v>
      </c>
      <c r="L77" s="9648"/>
      <c r="M77" s="9650"/>
      <c r="N77" s="9648"/>
      <c r="O77" s="8671" t="s">
        <v>271</v>
      </c>
      <c r="P77" s="9650"/>
      <c r="Q77" s="8576" t="str">
        <f>+IF(ISERROR(MATCH(O77,tid,0)),"",VLOOKUP(MATCH(O77,tid,0),tao,'12(id)'!$Q$20,FALSE))</f>
        <v>DV12</v>
      </c>
      <c r="R77" s="8671">
        <f>+IF(O77="","",VLOOKUP(MATCH(O77,tid,0),tao,'12(id)'!$U$20,FALSE))</f>
        <v>4</v>
      </c>
      <c r="S77" s="8671"/>
      <c r="T77" s="45">
        <f>+IF(ISERROR(MATCH(O77,tid,0)),"",IF(VLOOKUP(MATCH(O77,tid,0),tao,'12(id)'!$CT$20,FALSE)="","",VLOOKUP(MATCH(O77,tid,0),tao,'12(id)'!$CT$20,FALSE)))</f>
        <v>40</v>
      </c>
      <c r="U77" s="10716" t="str">
        <f>+IF(ISERROR(MATCH(O77,tid,0)),"",IF(VLOOKUP(MATCH(O77,tid,0),tao,'12(id)'!$CU$20,FALSE)="","",VLOOKUP(MATCH(O77,tid,0),tao,'12(id)'!$CU$20,FALSE)))</f>
        <v/>
      </c>
      <c r="V77" s="416" t="str">
        <f>+IF(O77="","",IF(VLOOKUP(MATCH(O77,tid,0),tao,'12(id)'!$T$20,FALSE)="","",VLOOKUP(MATCH(O77,tid,0),tao,'12(id)'!$T$20,FALSE)))</f>
        <v>Combustion Turbine</v>
      </c>
      <c r="W77" s="424" t="str">
        <f>+IF(ISERROR(MATCH(O77,tid,0)),"",IF(VLOOKUP(MATCH(O77,tid,0),tao,'12(id)'!$CO$20,FALSE)="","",VLOOKUP(MATCH(O77,tid,0),tao,'12(id)'!$CO$20,FALSE)))</f>
        <v>General Electric</v>
      </c>
      <c r="X77" s="416" t="str">
        <f>+IF(ISERROR(MATCH(O77,tid,0)),"",IF(VLOOKUP(MATCH(O77,tid,0),tao,'12(id)'!$CP$20,FALSE)="","",VLOOKUP(MATCH(O77,tid,0),tao,'12(id)'!$CP$20,FALSE)))</f>
        <v>LM6000PA</v>
      </c>
      <c r="Y77" s="8553" t="str">
        <f>+IF(ISERROR(MATCH(O77,tid,0)),"",IF(VLOOKUP(MATCH(O77,tid,0),tao,'12(id)'!$CQ$20,FALSE)="","",VLOOKUP(MATCH(O77,tid,0),tao,'12(id)'!$CQ$20,FALSE)))</f>
        <v/>
      </c>
      <c r="Z77" s="71" t="str">
        <f>+IF(ISERROR(MATCH(O77,tid,0)),"",VLOOKUP(MATCH(O77,tid,0),tao,'12(id)'!$DB$20,FALSE)&amp;" "&amp;VLOOKUP(MATCH(O77,tid,0),tao,'12(id)'!$DC$20,FALSE))</f>
        <v>Jun 1996</v>
      </c>
      <c r="AA77" s="8557" t="str">
        <f ca="1">+IF(ISERROR(MATCH(O77,tid,0)),"",IF(VLOOKUP(MATCH(O77,tid,0),tao,'12(id)'!$DE$20,FALSE)="","",ROUND(VLOOKUP(MATCH(O77,tid,0),tao,'12(id)'!$DE$20,FALSE),0)&amp;" yrs"))</f>
        <v>18 yrs</v>
      </c>
      <c r="AB77" s="8567" t="str">
        <f>+IF(ISERROR(MATCH(O77,tid,0)),"",VLOOKUP(MATCH(O77,tid,0),tao,'12(id)'!$DI$20,FALSE))</f>
        <v>ULSD oil</v>
      </c>
      <c r="AC77" s="8567" t="str">
        <f>+IF(ISERROR(MATCH(O77,tid,0)),"",IF(VLOOKUP(MATCH(O77,tid,0),tao,'12(id)'!$DQ$20,FALSE)="","",VLOOKUP(MATCH(O77,tid,0),tao,'12(id)'!$DQ$20,FALSE)))</f>
        <v>Natural Gas</v>
      </c>
      <c r="AD77" s="10412">
        <f>+IF(ISERROR(MATCH(O77,tid,0)),"",IF(VLOOKUP(MATCH(O77,tid,0),tao,'12(id)'!$EI$20,FALSE)="","",VLOOKUP(MATCH(O77,tid,0),tao,'12(id)'!$EI$20,FALSE)))</f>
        <v>0.17100000000000001</v>
      </c>
      <c r="AE77" s="10671" t="str">
        <f>+IF(ISERROR(MATCH(O77,tid,0)),"",IF(VLOOKUP(MATCH(O77,tid,0),tao,'12(id)'!$EJ$20,FALSE)="","",VLOOKUP(MATCH(O77,tid,0),tao,'12(id)'!$EJ$20,FALSE)))</f>
        <v/>
      </c>
      <c r="AF77" s="10674">
        <f>+IF(ISERROR(MATCH(O77,tid,0)),"",IF(VLOOKUP(MATCH(O77,tid,0),tao,'12(id)'!$EL$20,FALSE)="","",VLOOKUP(MATCH(O77,tid,0),tao,'12(id)'!$EL$20,FALSE)))</f>
        <v>0.17100000000000001</v>
      </c>
      <c r="AG77" s="10691" t="str">
        <f>+IF(ISERROR(MATCH(O77,tid,0)),"",IF(VLOOKUP(MATCH(O77,tid,0),tao,'12(id)'!$EM$20,FALSE)="","",VLOOKUP(MATCH(O77,tid,0),tao,'12(id)'!$EM$20,FALSE)))</f>
        <v/>
      </c>
      <c r="AH77" s="964" t="s">
        <v>561</v>
      </c>
      <c r="AI77" s="982"/>
      <c r="AJ77" s="983"/>
      <c r="AK77" s="983"/>
      <c r="AL77" s="983"/>
      <c r="AM77" s="984"/>
      <c r="AN77" s="8648" t="s">
        <v>559</v>
      </c>
      <c r="AO77" s="8647">
        <f>+IF(ISERROR(MATCH(O77,tid,0)),"",IF(VLOOKUP(MATCH(O77,tid,0),tao,'12(id)'!$GY$20,FALSE)="","",VLOOKUP(MATCH(O77,tid,0),tao,'12(id)'!$GY$20,FALSE)))</f>
        <v>65.3</v>
      </c>
      <c r="AP77" s="10700" t="str">
        <f>+IF($BB77="","",IF(VLOOKUP(MATCH(O77,tid,0),tao,'12(id)'!$HE$20,FALSE)="","",VLOOKUP(MATCH(O77,tid,0),tao,'12(id)'!$HE$20,FALSE)))</f>
        <v/>
      </c>
      <c r="AQ77" s="3531">
        <f>+IF(ISERROR(VLOOKUP(MATCH(O77,tid,0),tao,'12(id)'!$HF$20,FALSE)),"",VLOOKUP(MATCH(O77,tid,0),tao,'12(id)'!$HF$20,FALSE))</f>
        <v>31287.5</v>
      </c>
      <c r="AR77" s="10336">
        <f>+IF(ISERROR(MATCH(O77,tid,0)),"",IF(VLOOKUP(MATCH(O77,tid,0),tao,'12(id)'!$HJ$20,FALSE)="","",VLOOKUP(MATCH(O77,tid,0),tao,'12(id)'!$HJ$20,FALSE)))</f>
        <v>0.17100000000000001</v>
      </c>
      <c r="AS77" s="10339" t="str">
        <f>+IF(ISERROR(MATCH(O77,tid,0)),"",IF(VLOOKUP(MATCH(O77,tid,0),tao,'12(id)'!$HK$20,FALSE)="","",VLOOKUP(MATCH(O77,tid,0),tao,'12(id)'!$HK$20,FALSE)))</f>
        <v/>
      </c>
      <c r="AT77" s="8649">
        <f>+IF(ISERROR(MATCH(O77,tid,0)),"",IF(VLOOKUP(MATCH(O77,tid,0),tao,'12(id)'!$HM$20,FALSE)="","",VLOOKUP(MATCH(O77,tid,0),tao,'12(id)'!$HM$20,FALSE)))</f>
        <v>2.66</v>
      </c>
      <c r="AU77" s="8633" t="str">
        <f t="shared" si="371"/>
        <v>CAIR-OS (max last 3 yrs)</v>
      </c>
      <c r="AV77" s="10325" t="str">
        <f>+IF(ISERROR(MATCH(O77,em_id,0)),"",IF(VLOOKUP(MATCH(O77,em_id,0),em,'5(em)'!$CX$18,FALSE)="","",VLOOKUP(MATCH(O77,em_id,0),em,'5(em)'!$CX$18,FALSE)))</f>
        <v/>
      </c>
      <c r="AW77" s="10774"/>
      <c r="AX77" s="10330" t="str">
        <f t="shared" si="50"/>
        <v/>
      </c>
      <c r="AY77" s="10325"/>
      <c r="AZ77" s="10400"/>
      <c r="BA77" s="650"/>
      <c r="BB77" s="651" t="str">
        <f t="shared" si="311"/>
        <v/>
      </c>
      <c r="BC77" s="659"/>
      <c r="BD77" s="651"/>
      <c r="BE77" s="651"/>
      <c r="BF77" s="651" t="s">
        <v>1860</v>
      </c>
      <c r="BG77" s="652"/>
      <c r="BH77" s="208"/>
      <c r="BI77" s="450"/>
      <c r="BJ77" s="209"/>
      <c r="BK77" s="209"/>
      <c r="BL77" s="209"/>
      <c r="BM77" s="209"/>
      <c r="BN77" s="209" t="str">
        <f t="shared" si="12"/>
        <v/>
      </c>
      <c r="BO77" s="209" t="str">
        <f t="shared" si="13"/>
        <v/>
      </c>
      <c r="BP77" s="209" t="str">
        <f t="shared" si="14"/>
        <v/>
      </c>
      <c r="BQ77" s="209" t="str">
        <f t="shared" si="15"/>
        <v/>
      </c>
      <c r="BR77" s="210"/>
      <c r="BS77" s="451"/>
      <c r="BT77" s="452"/>
      <c r="BU77" s="3710" t="str">
        <f>+IF(BB77="","",IF(VLOOKUP(MATCH(BB77,ef_id,0),ef,'11(eff)'!$Z$23,FALSE)="","",VLOOKUP(MATCH(BB77,ef_id,0),ef,'11(eff)'!$Z$23,FALSE)))</f>
        <v/>
      </c>
      <c r="BV77" s="3754" t="str">
        <f>+IF(BB77="","",IF(VLOOKUP(MATCH(BB77,ef_id,0),ef,'11(eff)'!$AA$23,FALSE)="","",VLOOKUP(MATCH(BB77,ef_id,0),ef,'11(eff)'!$AA$23,FALSE)))</f>
        <v/>
      </c>
      <c r="BW77" s="2368"/>
      <c r="BX77" s="3793"/>
      <c r="BY77" s="3818" t="str">
        <f>+IF($BB77="","",IF(OR(BU77="",$AQ77=""),"",BU77/2000*$AQ77))</f>
        <v/>
      </c>
      <c r="BZ77" s="3397"/>
      <c r="CA77" s="3420"/>
      <c r="CB77" s="3849" t="str">
        <f t="shared" si="382"/>
        <v/>
      </c>
      <c r="CC77" s="3869" t="str">
        <f>+IF($BB77="","",IF(CB77="","",CB77/$AT77))</f>
        <v/>
      </c>
      <c r="CD77" s="3869" t="str">
        <f>+IF($BB77="","",IF(BU77="","",(1-BU77/$AR77)))</f>
        <v/>
      </c>
      <c r="CE77" s="2373" t="str">
        <f>+IF(BB77="","",IF(VLOOKUP(MATCH(BB77,ef_id,0),ef,'11(eff)'!$AE$23,FALSE)="","",VLOOKUP(MATCH(BB77,ef_id,0),ef,'11(eff)'!$AE$23,FALSE)))</f>
        <v/>
      </c>
      <c r="CF77" s="451"/>
      <c r="CG77" s="452"/>
      <c r="CH77" s="2410"/>
      <c r="CI77" s="3849"/>
      <c r="CJ77" s="4070"/>
      <c r="CK77" s="3849" t="str">
        <f>+IF($BB77="","",IF(OR($AW76="",CI77=""),"",CI77/2000*$AW76))</f>
        <v/>
      </c>
      <c r="CL77" s="3930" t="str">
        <f>+IF($BB77="","",IF(OR($AZ76="",CK77=""),"",$AZ76-CK77))</f>
        <v/>
      </c>
      <c r="CM77" s="3974" t="str">
        <f>+IF($BB77="","",IF(OR($AZ76="",CL77=""),"",CL77/$AZ76))</f>
        <v/>
      </c>
      <c r="CN77" s="3974" t="str">
        <f>+IF($BB77="","",IF(OR($AX76="",CI77=""),"",(1-CI76/$AX76)))</f>
        <v/>
      </c>
      <c r="CO77" s="3975"/>
      <c r="CP77" s="3976"/>
      <c r="CQ77" s="650" t="str">
        <f t="shared" si="51"/>
        <v/>
      </c>
      <c r="CR77" s="453"/>
      <c r="CS77" s="2765"/>
      <c r="CT77" s="1591"/>
      <c r="CU77" s="1496"/>
      <c r="CV77" s="1872" t="str">
        <f t="shared" si="309"/>
        <v/>
      </c>
      <c r="CW77" s="1873"/>
      <c r="CX77" s="1873"/>
      <c r="CY77" s="1874"/>
      <c r="CZ77" s="2478"/>
      <c r="DA77" s="2488"/>
      <c r="DB77" s="2488"/>
      <c r="DC77" s="1872"/>
      <c r="DD77" s="1876"/>
      <c r="DE77" s="1877"/>
      <c r="DF77" s="1878"/>
      <c r="DG77" s="1878"/>
      <c r="DH77" s="1876"/>
      <c r="DI77" s="1693" t="str">
        <f>+IF(CT77="","",SUM(CU77:DC77))</f>
        <v/>
      </c>
      <c r="DJ77" s="1938"/>
      <c r="DK77" s="1591"/>
      <c r="DL77" s="1496"/>
      <c r="DM77" s="1872" t="str">
        <f t="shared" si="310"/>
        <v/>
      </c>
      <c r="DN77" s="1873"/>
      <c r="DO77" s="1873"/>
      <c r="DP77" s="1874"/>
      <c r="DQ77" s="2478"/>
      <c r="DR77" s="2488"/>
      <c r="DS77" s="2488"/>
      <c r="DT77" s="1872"/>
      <c r="DU77" s="1876"/>
      <c r="DV77" s="1877"/>
      <c r="DW77" s="1878"/>
      <c r="DX77" s="1878"/>
      <c r="DY77" s="1876"/>
      <c r="DZ77" s="1693" t="str">
        <f t="shared" si="18"/>
        <v/>
      </c>
      <c r="EA77" s="1938"/>
      <c r="EB77" s="1496" t="str">
        <f t="shared" si="377"/>
        <v/>
      </c>
      <c r="EC77" s="1963"/>
      <c r="ED77" s="1415" t="str">
        <f t="shared" si="20"/>
        <v/>
      </c>
      <c r="EE77" s="1875"/>
      <c r="EF77" s="1733"/>
      <c r="EG77" s="1874"/>
      <c r="EH77" s="1693" t="str">
        <f t="shared" si="353"/>
        <v/>
      </c>
      <c r="EI77" s="1877"/>
      <c r="EJ77" s="1878"/>
      <c r="EK77" s="2010"/>
      <c r="EL77" s="1459"/>
      <c r="EM77" s="1877"/>
      <c r="EN77" s="1878"/>
      <c r="EO77" s="2010"/>
      <c r="EP77" s="1693" t="str">
        <f t="shared" si="378"/>
        <v/>
      </c>
      <c r="EQ77" s="2561"/>
      <c r="ER77" s="2561"/>
      <c r="ES77" s="2561"/>
      <c r="ET77" s="1459"/>
      <c r="EU77" s="1427"/>
      <c r="EV77" s="1392"/>
      <c r="EW77" s="2585"/>
      <c r="EX77" s="2585"/>
      <c r="EY77" s="2692"/>
      <c r="EZ77" s="2721"/>
      <c r="FA77" s="1392"/>
      <c r="FB77" s="1500"/>
      <c r="FC77" s="1727" t="str">
        <f>+IF(OR(ED77="",IF(R77="",R76,R77)=""),"",ED77/IF(R77="",R76,R77))</f>
        <v/>
      </c>
      <c r="FD77" s="1738" t="str">
        <f>+IF(OR(BB77="",IF(R77="",R76,R77)="",(CU77+DL77)=0),"",(CU77+DL77)/IF(R77="",R76,R77))</f>
        <v/>
      </c>
      <c r="FE77" s="1532" t="str">
        <f t="shared" ref="FE77:FE113" si="509">+IF(OR(FC77="",FC77=0,FD77=""),"",FD77/FC77)</f>
        <v/>
      </c>
      <c r="FF77" s="1738" t="str">
        <f>+IF(OR(BB77="",CT77="",IF(R77="",R76,R77)=""),"",((CV77+CW77+CX77)+(IF(DM77="",0,DM77)+DN77+DO77))/IF(R77="",R76,R77))</f>
        <v/>
      </c>
      <c r="FG77" s="1532" t="str">
        <f>+IF(OR(BB77="",ISERROR(FF77/FD77)),"",FF77/FD77)</f>
        <v/>
      </c>
      <c r="FH77" s="1738"/>
      <c r="FI77" s="1532" t="str">
        <f t="shared" ref="FI77:FI114" si="510">+IF(OR(FC77="",FC77=0,FH77=""),"",FH77/FC77)</f>
        <v/>
      </c>
      <c r="FJ77" s="2857" t="str">
        <f>+IF(OR(BB77="",CT77=""),"",FD77+FF77)</f>
        <v/>
      </c>
      <c r="FK77" s="2810" t="str">
        <f>+IF(OR(BB77="",ISERROR(FJ77/FC77)),"",FJ77/FC77)</f>
        <v/>
      </c>
      <c r="FL77" s="2782"/>
      <c r="FM77" s="1532"/>
      <c r="FN77" s="2782"/>
      <c r="FO77" s="2772"/>
      <c r="FP77" s="2782"/>
      <c r="FQ77" s="2772"/>
      <c r="FR77" s="2846"/>
      <c r="FS77" s="2876" t="str">
        <f>+IF(OR(DJ77="",IF(R77="",R76,R77)=""),"",(DJ77+EA77)/IF(R77="",R76,R77))</f>
        <v/>
      </c>
      <c r="FT77" s="1513" t="str">
        <f>+IF(OR(BB77="",ISERROR(FS77/#REF!)),"",FS77/#REF!)</f>
        <v/>
      </c>
      <c r="FU77" s="2895"/>
      <c r="FV77" s="446" t="str">
        <f>+IF(FC77="","",FC77/IF(T77="",IF(T76="",1,T76),T77))</f>
        <v/>
      </c>
      <c r="FW77" s="2112"/>
      <c r="FX77" s="1740"/>
      <c r="FY77" s="2113"/>
      <c r="FZ77" s="1740"/>
      <c r="GA77" s="1740"/>
      <c r="GB77" s="2113"/>
      <c r="GC77" s="1740"/>
      <c r="GD77" s="1740"/>
      <c r="GE77" s="1616" t="str">
        <f>+IF(FB77="","",FB77*R77)</f>
        <v/>
      </c>
      <c r="GF77" s="2147"/>
      <c r="GG77" s="2172"/>
      <c r="GH77" s="3180"/>
      <c r="GI77" s="3200" t="s">
        <v>939</v>
      </c>
      <c r="GJ77" s="3205"/>
      <c r="GK77" s="3454" t="str">
        <f t="shared" si="423"/>
        <v/>
      </c>
      <c r="GL77" s="3229"/>
      <c r="GM77" s="457"/>
      <c r="GN77" s="459"/>
      <c r="GO77" s="1877"/>
      <c r="GP77" s="2010" t="str">
        <f t="shared" si="354"/>
        <v/>
      </c>
      <c r="GQ77" s="460"/>
      <c r="GR77" s="2325"/>
      <c r="GS77" s="2325"/>
      <c r="GT77" s="460"/>
      <c r="GU77" s="2316" t="str">
        <f t="shared" si="374"/>
        <v/>
      </c>
      <c r="GV77" s="458" t="str">
        <f>+IF(OR(GO77="",IF(R77="",R76,R77)=""),"",GO77/IF(R77="",R76,R77))</f>
        <v/>
      </c>
      <c r="GW77" s="2260" t="str">
        <f>+IF(OR(GP77="",IF(R77="",R76,R77)=""),"",GP77/IF(R77="",R76,R77))</f>
        <v/>
      </c>
      <c r="GX77" s="460" t="str">
        <f>+IF(OR(GQ77="",IF(R77="",R76,R77)=""),"",GQ77/IF(R77="",R76,R77))</f>
        <v/>
      </c>
      <c r="GY77" s="460" t="str">
        <f>+IF(OR(GR77="",IF(R77="",R76,R77)=""),"",GR77/IF(R77="",R76,R77))</f>
        <v/>
      </c>
      <c r="GZ77" s="460" t="str">
        <f>+IF(OR(GS77="",IF(R77="",R76,R77)=""),"",GS77/IF(R77="",R76,R77))</f>
        <v/>
      </c>
      <c r="HA77" s="1693" t="str">
        <f>+IF(OR(GT77="",IF(R77="",R76,R77)=""),"",GT77/IF(R77="",R76,R77))</f>
        <v/>
      </c>
      <c r="HB77" s="2234" t="str">
        <f t="shared" si="432"/>
        <v/>
      </c>
      <c r="HC77" s="454" t="str">
        <f>+IF(OR(GU77="",IF(R77="",R76,R77)=""),"",GU77/IF(R77="",R76,R77))</f>
        <v/>
      </c>
      <c r="HD77" s="459" t="str">
        <f t="shared" si="375"/>
        <v/>
      </c>
      <c r="HE77" s="457"/>
      <c r="HF77" s="458"/>
      <c r="HG77" s="459" t="str">
        <f t="shared" si="23"/>
        <v/>
      </c>
      <c r="HH77" s="2994"/>
      <c r="HI77" s="3018" t="str">
        <f t="shared" si="355"/>
        <v/>
      </c>
      <c r="HJ77" s="2925" t="str">
        <f t="shared" si="356"/>
        <v/>
      </c>
      <c r="HK77" s="2925" t="str">
        <f t="shared" si="357"/>
        <v/>
      </c>
      <c r="HL77" s="2925" t="str">
        <f>+IF(FR77="","",$HL$6*HI77)</f>
        <v/>
      </c>
      <c r="HM77" s="3022" t="str">
        <f t="shared" si="358"/>
        <v/>
      </c>
      <c r="HN77" s="3026" t="str">
        <f t="shared" si="347"/>
        <v/>
      </c>
      <c r="HO77" s="2952" t="str">
        <f>+IF(FR77="","",$HO$6*HM77)</f>
        <v/>
      </c>
      <c r="HP77" s="2953" t="str">
        <f>+IF(FR77="","",$HP$6*HM77)</f>
        <v/>
      </c>
      <c r="HQ77" s="3032"/>
      <c r="HR77" s="2954" t="str">
        <f>+IF(FR77="","",$HR$6*HM77)</f>
        <v/>
      </c>
      <c r="HS77" s="2954"/>
      <c r="HT77" s="2952" t="str">
        <f>+IF(EU77="","",#REF!/IF(#REF!="""",R76,R77))</f>
        <v/>
      </c>
      <c r="HU77" s="2954" t="str">
        <f>+IF(EV77="","",EV77/IF(R77="",R76,R77))</f>
        <v/>
      </c>
      <c r="HV77" s="2952" t="str">
        <f>+IF(EW77="","",EW77/IF(R77="",R76,R77))</f>
        <v/>
      </c>
      <c r="HW77" s="2954" t="str">
        <f>+IF(EX77="","",EX77/IF(R77="",R76,R77))</f>
        <v/>
      </c>
      <c r="HX77" s="2952" t="str">
        <f t="shared" si="199"/>
        <v/>
      </c>
      <c r="HY77" s="2953" t="str">
        <f>+IF(EZ77="","",EZ77/IF(R77="",R76,R77))</f>
        <v/>
      </c>
      <c r="HZ77" s="2954" t="str">
        <f>+IF(FA77="","",FA77/IF(R77="",R76,R77))</f>
        <v/>
      </c>
      <c r="IA77" s="1300" t="str">
        <f>+IF(HM77="","",HX77-IF(HY77="",0,HY77)+IF(HZ77="",0,HZ77))</f>
        <v/>
      </c>
      <c r="IB77" s="3038" t="str">
        <f>+IF(ISERROR(GF77-IA77),"",IF((GF77-IA77)&gt;0,"stk added + "&amp;ROUND((GF77-IA77)/GF77*100,0)&amp;"%",(GF77-IA77)/GF77))</f>
        <v/>
      </c>
      <c r="IC77" s="3053" t="str">
        <f>+IF(IA77="","",IA77/IF(T77="",IF(T76="",1,T76),T77))</f>
        <v/>
      </c>
      <c r="ID77" s="1300"/>
      <c r="IE77" s="4106"/>
      <c r="IF77" s="4114"/>
      <c r="IG77" s="6779"/>
      <c r="IH77" s="4090"/>
      <c r="II77" s="6797"/>
      <c r="IJ77" s="4106"/>
      <c r="IK77" s="4143">
        <v>1</v>
      </c>
      <c r="IL77" s="4196"/>
      <c r="IM77" s="4197"/>
      <c r="IN77" s="4221"/>
      <c r="IO77" s="4221"/>
      <c r="IP77" s="7234"/>
      <c r="IQ77" s="7242"/>
      <c r="IR77" s="7234"/>
      <c r="IS77" s="7242"/>
      <c r="IT77" s="4221"/>
      <c r="IU77" s="6852"/>
      <c r="IV77" s="7268"/>
      <c r="IW77" s="7254"/>
      <c r="IX77" s="4188"/>
      <c r="IY77" s="4256"/>
      <c r="IZ77" s="4301"/>
      <c r="JA77" s="4302"/>
      <c r="JB77" s="4157"/>
      <c r="JC77" s="4339"/>
      <c r="JD77" s="3256" t="str">
        <f>+IF(OR(IX77="",$CB77=""),"",IX77/$CB77)</f>
        <v/>
      </c>
      <c r="JE77" s="4364" t="str">
        <f>+IF(OR(IX77="",$CL77=""),"",IX77/$CL77)</f>
        <v/>
      </c>
      <c r="JF77" s="7041"/>
      <c r="JG77" s="7057"/>
      <c r="JH77" s="6972"/>
      <c r="JI77" s="6972"/>
      <c r="JJ77" s="6972"/>
      <c r="JK77" s="6972"/>
      <c r="JL77" s="7009"/>
      <c r="JM77" s="7051"/>
      <c r="JN77" s="1733"/>
      <c r="JO77" s="1733"/>
      <c r="JP77" s="7082"/>
      <c r="JQ77" s="7082"/>
      <c r="JR77" s="7057"/>
      <c r="JS77" s="7063"/>
      <c r="JT77" s="7169" t="str">
        <f t="shared" si="476"/>
        <v/>
      </c>
      <c r="JU77" s="7170"/>
      <c r="JV77" s="8379"/>
      <c r="JW77" s="8406"/>
      <c r="JX77" s="8435"/>
      <c r="JY77" s="8470"/>
      <c r="JZ77" s="7171"/>
      <c r="KA77" s="7169"/>
      <c r="KB77" s="7170"/>
      <c r="KC77" s="7171"/>
      <c r="KD77" s="7169"/>
      <c r="KE77" s="8343"/>
      <c r="KF77" s="8343"/>
      <c r="KG77" s="7170"/>
      <c r="KH77" s="7170"/>
      <c r="KI77" s="7170"/>
      <c r="KJ77" s="7170"/>
      <c r="KK77" s="7170"/>
      <c r="KL77" s="7170"/>
      <c r="KM77" s="7170"/>
      <c r="KN77" s="7170"/>
      <c r="KO77" s="7170"/>
      <c r="KP77" s="7171"/>
      <c r="KQ77" s="7213"/>
      <c r="KR77" s="7082"/>
      <c r="KS77" s="7063"/>
      <c r="KT77" s="7213"/>
      <c r="KU77" s="7057"/>
      <c r="KV77" s="7307"/>
      <c r="KW77" s="7342"/>
      <c r="KX77" s="7319"/>
      <c r="KY77" s="7357"/>
      <c r="KZ77" s="7358"/>
      <c r="LA77" s="7359"/>
      <c r="LB77" s="7360" t="str">
        <f>+IF(OR(KY77="",$CL77=""),"",KY77/$CL77)</f>
        <v/>
      </c>
      <c r="LC77" s="5133"/>
      <c r="LD77" s="5132"/>
      <c r="LE77" s="5132"/>
      <c r="LF77" s="5132"/>
      <c r="LG77" s="5132"/>
      <c r="LH77" s="5132"/>
      <c r="LI77" s="5132"/>
      <c r="LJ77" s="5132"/>
    </row>
    <row r="78" spans="1:322" s="13" customFormat="1" ht="27.95" customHeight="1">
      <c r="A78" s="5954" t="str">
        <f t="shared" si="508"/>
        <v>8300-14</v>
      </c>
      <c r="B78" s="9819" t="str">
        <f>+IF(A78="","",VLOOKUP(MATCH(A78,tid,0),tao,'12(id)'!$J$20,FALSE))</f>
        <v>NRG</v>
      </c>
      <c r="C78" s="6388" t="str">
        <f t="shared" si="47"/>
        <v>DV13</v>
      </c>
      <c r="D78" s="1031" t="str">
        <f t="shared" si="48"/>
        <v/>
      </c>
      <c r="E78" s="651"/>
      <c r="F78" s="651" t="str">
        <f t="shared" si="49"/>
        <v/>
      </c>
      <c r="G78" s="5133"/>
      <c r="H78" s="5132"/>
      <c r="I78" s="5133"/>
      <c r="J78" s="719">
        <f t="shared" si="68"/>
        <v>44</v>
      </c>
      <c r="K78" s="649">
        <f>1+K77</f>
        <v>26</v>
      </c>
      <c r="L78" s="9648"/>
      <c r="M78" s="9650"/>
      <c r="N78" s="9648"/>
      <c r="O78" s="8671" t="s">
        <v>272</v>
      </c>
      <c r="P78" s="9650"/>
      <c r="Q78" s="8576" t="str">
        <f>+IF(ISERROR(MATCH(O78,tid,0)),"",VLOOKUP(MATCH(O78,tid,0),tao,'12(id)'!$Q$20,FALSE))</f>
        <v>DV13</v>
      </c>
      <c r="R78" s="8671">
        <f>+IF(O78="","",VLOOKUP(MATCH(O78,tid,0),tao,'12(id)'!$U$20,FALSE))</f>
        <v>4</v>
      </c>
      <c r="S78" s="8671"/>
      <c r="T78" s="45">
        <f>+IF(ISERROR(MATCH(O78,tid,0)),"",IF(VLOOKUP(MATCH(O78,tid,0),tao,'12(id)'!$CT$20,FALSE)="","",VLOOKUP(MATCH(O78,tid,0),tao,'12(id)'!$CT$20,FALSE)))</f>
        <v>40</v>
      </c>
      <c r="U78" s="10716" t="str">
        <f>+IF(ISERROR(MATCH(O78,tid,0)),"",IF(VLOOKUP(MATCH(O78,tid,0),tao,'12(id)'!$CU$20,FALSE)="","",VLOOKUP(MATCH(O78,tid,0),tao,'12(id)'!$CU$20,FALSE)))</f>
        <v/>
      </c>
      <c r="V78" s="416" t="str">
        <f>+IF(O78="","",IF(VLOOKUP(MATCH(O78,tid,0),tao,'12(id)'!$T$20,FALSE)="","",VLOOKUP(MATCH(O78,tid,0),tao,'12(id)'!$T$20,FALSE)))</f>
        <v>Combustion Turbine</v>
      </c>
      <c r="W78" s="424" t="str">
        <f>+IF(ISERROR(MATCH(O78,tid,0)),"",IF(VLOOKUP(MATCH(O78,tid,0),tao,'12(id)'!$CO$20,FALSE)="","",VLOOKUP(MATCH(O78,tid,0),tao,'12(id)'!$CO$20,FALSE)))</f>
        <v>General Electric</v>
      </c>
      <c r="X78" s="416" t="str">
        <f>+IF(ISERROR(MATCH(O78,tid,0)),"",IF(VLOOKUP(MATCH(O78,tid,0),tao,'12(id)'!$CP$20,FALSE)="","",VLOOKUP(MATCH(O78,tid,0),tao,'12(id)'!$CP$20,FALSE)))</f>
        <v>LM6000PA</v>
      </c>
      <c r="Y78" s="8553" t="str">
        <f>+IF(ISERROR(MATCH(O78,tid,0)),"",IF(VLOOKUP(MATCH(O78,tid,0),tao,'12(id)'!$CQ$20,FALSE)="","",VLOOKUP(MATCH(O78,tid,0),tao,'12(id)'!$CQ$20,FALSE)))</f>
        <v/>
      </c>
      <c r="Z78" s="71" t="str">
        <f>+IF(ISERROR(MATCH(O78,tid,0)),"",VLOOKUP(MATCH(O78,tid,0),tao,'12(id)'!$DB$20,FALSE)&amp;" "&amp;VLOOKUP(MATCH(O78,tid,0),tao,'12(id)'!$DC$20,FALSE))</f>
        <v>Jun 1996</v>
      </c>
      <c r="AA78" s="8557" t="str">
        <f ca="1">+IF(ISERROR(MATCH(O78,tid,0)),"",IF(VLOOKUP(MATCH(O78,tid,0),tao,'12(id)'!$DE$20,FALSE)="","",ROUND(VLOOKUP(MATCH(O78,tid,0),tao,'12(id)'!$DE$20,FALSE),0)&amp;" yrs"))</f>
        <v>18 yrs</v>
      </c>
      <c r="AB78" s="8567" t="str">
        <f>+IF(ISERROR(MATCH(O78,tid,0)),"",VLOOKUP(MATCH(O78,tid,0),tao,'12(id)'!$DI$20,FALSE))</f>
        <v>ULSD oil</v>
      </c>
      <c r="AC78" s="8567" t="str">
        <f>+IF(ISERROR(MATCH(O78,tid,0)),"",IF(VLOOKUP(MATCH(O78,tid,0),tao,'12(id)'!$DQ$20,FALSE)="","",VLOOKUP(MATCH(O78,tid,0),tao,'12(id)'!$DQ$20,FALSE)))</f>
        <v>Natural Gas</v>
      </c>
      <c r="AD78" s="10412">
        <f>+IF(ISERROR(MATCH(O78,tid,0)),"",IF(VLOOKUP(MATCH(O78,tid,0),tao,'12(id)'!$EI$20,FALSE)="","",VLOOKUP(MATCH(O78,tid,0),tao,'12(id)'!$EI$20,FALSE)))</f>
        <v>0.17100000000000001</v>
      </c>
      <c r="AE78" s="10671" t="str">
        <f>+IF(ISERROR(MATCH(O78,tid,0)),"",IF(VLOOKUP(MATCH(O78,tid,0),tao,'12(id)'!$EJ$20,FALSE)="","",VLOOKUP(MATCH(O78,tid,0),tao,'12(id)'!$EJ$20,FALSE)))</f>
        <v/>
      </c>
      <c r="AF78" s="10674">
        <f>+IF(ISERROR(MATCH(O78,tid,0)),"",IF(VLOOKUP(MATCH(O78,tid,0),tao,'12(id)'!$EL$20,FALSE)="","",VLOOKUP(MATCH(O78,tid,0),tao,'12(id)'!$EL$20,FALSE)))</f>
        <v>0.17100000000000001</v>
      </c>
      <c r="AG78" s="10691" t="str">
        <f>+IF(ISERROR(MATCH(O78,tid,0)),"",IF(VLOOKUP(MATCH(O78,tid,0),tao,'12(id)'!$EM$20,FALSE)="","",VLOOKUP(MATCH(O78,tid,0),tao,'12(id)'!$EM$20,FALSE)))</f>
        <v/>
      </c>
      <c r="AH78" s="964" t="s">
        <v>561</v>
      </c>
      <c r="AI78" s="982"/>
      <c r="AJ78" s="983"/>
      <c r="AK78" s="983"/>
      <c r="AL78" s="983"/>
      <c r="AM78" s="984"/>
      <c r="AN78" s="8648" t="s">
        <v>559</v>
      </c>
      <c r="AO78" s="8647">
        <f>+IF(ISERROR(MATCH(O78,tid,0)),"",IF(VLOOKUP(MATCH(O78,tid,0),tao,'12(id)'!$GY$20,FALSE)="","",VLOOKUP(MATCH(O78,tid,0),tao,'12(id)'!$GY$20,FALSE)))</f>
        <v>94.5</v>
      </c>
      <c r="AP78" s="10700" t="str">
        <f>+IF($BB78="","",IF(VLOOKUP(MATCH(O78,tid,0),tao,'12(id)'!$HE$20,FALSE)="","",VLOOKUP(MATCH(O78,tid,0),tao,'12(id)'!$HE$20,FALSE)))</f>
        <v/>
      </c>
      <c r="AQ78" s="3531">
        <f>+IF(ISERROR(VLOOKUP(MATCH(O78,tid,0),tao,'12(id)'!$HF$20,FALSE)),"",VLOOKUP(MATCH(O78,tid,0),tao,'12(id)'!$HF$20,FALSE))</f>
        <v>31287.5</v>
      </c>
      <c r="AR78" s="10336">
        <f>+IF(ISERROR(MATCH(O78,tid,0)),"",IF(VLOOKUP(MATCH(O78,tid,0),tao,'12(id)'!$HJ$20,FALSE)="","",VLOOKUP(MATCH(O78,tid,0),tao,'12(id)'!$HJ$20,FALSE)))</f>
        <v>0.17100000000000001</v>
      </c>
      <c r="AS78" s="10339" t="str">
        <f>+IF(ISERROR(MATCH(O78,tid,0)),"",IF(VLOOKUP(MATCH(O78,tid,0),tao,'12(id)'!$HK$20,FALSE)="","",VLOOKUP(MATCH(O78,tid,0),tao,'12(id)'!$HK$20,FALSE)))</f>
        <v/>
      </c>
      <c r="AT78" s="8649">
        <f>+IF(ISERROR(MATCH(O78,tid,0)),"",IF(VLOOKUP(MATCH(O78,tid,0),tao,'12(id)'!$HM$20,FALSE)="","",VLOOKUP(MATCH(O78,tid,0),tao,'12(id)'!$HM$20,FALSE)))</f>
        <v>2.66</v>
      </c>
      <c r="AU78" s="8633" t="str">
        <f t="shared" si="371"/>
        <v>CAIR-OS (max last 3 yrs)</v>
      </c>
      <c r="AV78" s="10325" t="str">
        <f>+IF(ISERROR(MATCH(O78,em_id,0)),"",IF(VLOOKUP(MATCH(O78,em_id,0),em,'5(em)'!$CX$18,FALSE)="","",VLOOKUP(MATCH(O78,em_id,0),em,'5(em)'!$CX$18,FALSE)))</f>
        <v/>
      </c>
      <c r="AW78" s="10774"/>
      <c r="AX78" s="10330" t="str">
        <f t="shared" si="50"/>
        <v/>
      </c>
      <c r="AY78" s="10325"/>
      <c r="AZ78" s="10400"/>
      <c r="BA78" s="650"/>
      <c r="BB78" s="651" t="str">
        <f t="shared" si="311"/>
        <v/>
      </c>
      <c r="BC78" s="659"/>
      <c r="BD78" s="651"/>
      <c r="BE78" s="651"/>
      <c r="BF78" s="651" t="s">
        <v>1860</v>
      </c>
      <c r="BG78" s="652"/>
      <c r="BH78" s="208"/>
      <c r="BI78" s="450"/>
      <c r="BJ78" s="209"/>
      <c r="BK78" s="209"/>
      <c r="BL78" s="209"/>
      <c r="BM78" s="209"/>
      <c r="BN78" s="209" t="str">
        <f t="shared" si="12"/>
        <v/>
      </c>
      <c r="BO78" s="209" t="str">
        <f t="shared" si="13"/>
        <v/>
      </c>
      <c r="BP78" s="209" t="str">
        <f t="shared" si="14"/>
        <v/>
      </c>
      <c r="BQ78" s="209" t="str">
        <f t="shared" si="15"/>
        <v/>
      </c>
      <c r="BR78" s="210"/>
      <c r="BS78" s="451"/>
      <c r="BT78" s="452"/>
      <c r="BU78" s="3710" t="str">
        <f>+IF(BB78="","",IF(VLOOKUP(MATCH(BB78,ef_id,0),ef,'11(eff)'!$Z$23,FALSE)="","",VLOOKUP(MATCH(BB78,ef_id,0),ef,'11(eff)'!$Z$23,FALSE)))</f>
        <v/>
      </c>
      <c r="BV78" s="3754" t="str">
        <f>+IF(BB78="","",IF(VLOOKUP(MATCH(BB78,ef_id,0),ef,'11(eff)'!$AA$23,FALSE)="","",VLOOKUP(MATCH(BB78,ef_id,0),ef,'11(eff)'!$AA$23,FALSE)))</f>
        <v/>
      </c>
      <c r="BW78" s="2368"/>
      <c r="BX78" s="3793"/>
      <c r="BY78" s="3818" t="str">
        <f>+IF($BB78="","",IF(OR(BU78="",$AQ78=""),"",BU78/2000*$AQ78))</f>
        <v/>
      </c>
      <c r="BZ78" s="3397"/>
      <c r="CA78" s="3420"/>
      <c r="CB78" s="3849" t="str">
        <f t="shared" si="382"/>
        <v/>
      </c>
      <c r="CC78" s="3869" t="str">
        <f>+IF($BB78="","",IF(CB78="","",CB78/$AT78))</f>
        <v/>
      </c>
      <c r="CD78" s="3869" t="str">
        <f>+IF($BB78="","",IF(BU78="","",(1-BU78/$AR78)))</f>
        <v/>
      </c>
      <c r="CE78" s="2373" t="str">
        <f>+IF(BB78="","",IF(VLOOKUP(MATCH(BB78,ef_id,0),ef,'11(eff)'!$AE$23,FALSE)="","",VLOOKUP(MATCH(BB78,ef_id,0),ef,'11(eff)'!$AE$23,FALSE)))</f>
        <v/>
      </c>
      <c r="CF78" s="451"/>
      <c r="CG78" s="452"/>
      <c r="CH78" s="2410"/>
      <c r="CI78" s="3849"/>
      <c r="CJ78" s="4070"/>
      <c r="CK78" s="3849" t="str">
        <f>+IF($BB78="","",IF(OR($AW76="",CI78=""),"",CI78/2000*$AW76))</f>
        <v/>
      </c>
      <c r="CL78" s="3930" t="str">
        <f>+IF($BB78="","",IF(OR($AZ76="",CK78=""),"",$AZ76-CK78))</f>
        <v/>
      </c>
      <c r="CM78" s="3974" t="str">
        <f>+IF($BB78="","",IF(OR($AZ76="",CL78=""),"",CL78/$AZ76))</f>
        <v/>
      </c>
      <c r="CN78" s="3974" t="str">
        <f>+IF($BB78="","",IF(OR($AX76="",CI78=""),"",(1-CI77/$AX76)))</f>
        <v/>
      </c>
      <c r="CO78" s="3975"/>
      <c r="CP78" s="3976"/>
      <c r="CQ78" s="650" t="str">
        <f t="shared" si="51"/>
        <v/>
      </c>
      <c r="CR78" s="453"/>
      <c r="CS78" s="2765"/>
      <c r="CT78" s="1591"/>
      <c r="CU78" s="1496"/>
      <c r="CV78" s="1872" t="str">
        <f t="shared" si="309"/>
        <v/>
      </c>
      <c r="CW78" s="1873"/>
      <c r="CX78" s="1873"/>
      <c r="CY78" s="1874"/>
      <c r="CZ78" s="2478"/>
      <c r="DA78" s="2488"/>
      <c r="DB78" s="2488"/>
      <c r="DC78" s="1872"/>
      <c r="DD78" s="1876"/>
      <c r="DE78" s="1877"/>
      <c r="DF78" s="1878"/>
      <c r="DG78" s="1878"/>
      <c r="DH78" s="1876"/>
      <c r="DI78" s="1693" t="str">
        <f>+IF(CT78="","",SUM(CU78:DC78))</f>
        <v/>
      </c>
      <c r="DJ78" s="1938"/>
      <c r="DK78" s="1591"/>
      <c r="DL78" s="1496"/>
      <c r="DM78" s="1872" t="str">
        <f t="shared" si="310"/>
        <v/>
      </c>
      <c r="DN78" s="1873"/>
      <c r="DO78" s="1873"/>
      <c r="DP78" s="1874"/>
      <c r="DQ78" s="2478"/>
      <c r="DR78" s="2488"/>
      <c r="DS78" s="2488"/>
      <c r="DT78" s="1872"/>
      <c r="DU78" s="1876"/>
      <c r="DV78" s="1877"/>
      <c r="DW78" s="1878"/>
      <c r="DX78" s="1878"/>
      <c r="DY78" s="1876"/>
      <c r="DZ78" s="1693" t="str">
        <f t="shared" si="18"/>
        <v/>
      </c>
      <c r="EA78" s="1938"/>
      <c r="EB78" s="1496" t="str">
        <f t="shared" si="377"/>
        <v/>
      </c>
      <c r="EC78" s="1963"/>
      <c r="ED78" s="1415" t="str">
        <f t="shared" si="20"/>
        <v/>
      </c>
      <c r="EE78" s="1875"/>
      <c r="EF78" s="1733"/>
      <c r="EG78" s="1874"/>
      <c r="EH78" s="1693" t="str">
        <f t="shared" si="353"/>
        <v/>
      </c>
      <c r="EI78" s="1877"/>
      <c r="EJ78" s="1878"/>
      <c r="EK78" s="2010"/>
      <c r="EL78" s="1459"/>
      <c r="EM78" s="1877"/>
      <c r="EN78" s="1878"/>
      <c r="EO78" s="2010"/>
      <c r="EP78" s="1693" t="str">
        <f t="shared" si="378"/>
        <v/>
      </c>
      <c r="EQ78" s="2561"/>
      <c r="ER78" s="2561"/>
      <c r="ES78" s="2561"/>
      <c r="ET78" s="1459"/>
      <c r="EU78" s="1427"/>
      <c r="EV78" s="1392"/>
      <c r="EW78" s="2585"/>
      <c r="EX78" s="2585"/>
      <c r="EY78" s="2692"/>
      <c r="EZ78" s="2721"/>
      <c r="FA78" s="1392"/>
      <c r="FB78" s="1500"/>
      <c r="FC78" s="1727" t="str">
        <f>+IF(OR(ED78="",IF(R78="",R77,R78)=""),"",ED78/IF(R78="",R77,R78))</f>
        <v/>
      </c>
      <c r="FD78" s="1738" t="str">
        <f>+IF(OR(BB78="",IF(R78="",R77,R78)="",(CU78+DL78)=0),"",(CU78+DL78)/IF(R78="",R77,R78))</f>
        <v/>
      </c>
      <c r="FE78" s="1532" t="str">
        <f t="shared" si="509"/>
        <v/>
      </c>
      <c r="FF78" s="1738" t="str">
        <f>+IF(OR(BB78="",CT78="",IF(R78="",R77,R78)=""),"",((CV78+CW78+CX78)+(IF(DM78="",0,DM78)+DN78+DO78))/IF(R78="",R77,R78))</f>
        <v/>
      </c>
      <c r="FG78" s="1532" t="str">
        <f>+IF(OR(BB78="",ISERROR(FF78/FD78)),"",FF78/FD78)</f>
        <v/>
      </c>
      <c r="FH78" s="1738"/>
      <c r="FI78" s="1532" t="str">
        <f t="shared" si="510"/>
        <v/>
      </c>
      <c r="FJ78" s="2857" t="str">
        <f>+IF(OR(BB78="",CT78=""),"",FD78+FF78)</f>
        <v/>
      </c>
      <c r="FK78" s="2810" t="str">
        <f>+IF(OR(BB78="",ISERROR(FJ78/FC78)),"",FJ78/FC78)</f>
        <v/>
      </c>
      <c r="FL78" s="2782"/>
      <c r="FM78" s="1532"/>
      <c r="FN78" s="2782"/>
      <c r="FO78" s="2772"/>
      <c r="FP78" s="2782"/>
      <c r="FQ78" s="2772"/>
      <c r="FR78" s="2846"/>
      <c r="FS78" s="2876" t="str">
        <f>+IF(OR(DJ78="",IF(R78="",R77,R78)=""),"",(DJ78+EA78)/IF(R78="",R77,R78))</f>
        <v/>
      </c>
      <c r="FT78" s="1513" t="str">
        <f>+IF(OR(BB78="",ISERROR(FS78/#REF!)),"",FS78/#REF!)</f>
        <v/>
      </c>
      <c r="FU78" s="2895"/>
      <c r="FV78" s="446" t="str">
        <f>+IF(FC78="","",FC78/IF(T78="",IF(T77="",1,T77),T78))</f>
        <v/>
      </c>
      <c r="FW78" s="2112"/>
      <c r="FX78" s="1740"/>
      <c r="FY78" s="2113"/>
      <c r="FZ78" s="1740"/>
      <c r="GA78" s="1740"/>
      <c r="GB78" s="2113"/>
      <c r="GC78" s="1740"/>
      <c r="GD78" s="1740"/>
      <c r="GE78" s="1616" t="str">
        <f>+IF(FB78="","",FB78*R78)</f>
        <v/>
      </c>
      <c r="GF78" s="2147"/>
      <c r="GG78" s="2172"/>
      <c r="GH78" s="3180"/>
      <c r="GI78" s="3200" t="s">
        <v>939</v>
      </c>
      <c r="GJ78" s="3205"/>
      <c r="GK78" s="3454" t="str">
        <f t="shared" si="423"/>
        <v/>
      </c>
      <c r="GL78" s="3229"/>
      <c r="GM78" s="457"/>
      <c r="GN78" s="459"/>
      <c r="GO78" s="1877"/>
      <c r="GP78" s="2010" t="str">
        <f t="shared" si="354"/>
        <v/>
      </c>
      <c r="GQ78" s="460"/>
      <c r="GR78" s="2325"/>
      <c r="GS78" s="2325"/>
      <c r="GT78" s="460"/>
      <c r="GU78" s="2316" t="str">
        <f t="shared" si="374"/>
        <v/>
      </c>
      <c r="GV78" s="458" t="str">
        <f>+IF(OR(GO78="",IF(R78="",R77,R78)=""),"",GO78/IF(R78="",R77,R78))</f>
        <v/>
      </c>
      <c r="GW78" s="2260" t="str">
        <f>+IF(OR(GP78="",IF(R78="",R77,R78)=""),"",GP78/IF(R78="",R77,R78))</f>
        <v/>
      </c>
      <c r="GX78" s="460" t="str">
        <f>+IF(OR(GQ78="",IF(R78="",R77,R78)=""),"",GQ78/IF(R78="",R77,R78))</f>
        <v/>
      </c>
      <c r="GY78" s="460" t="str">
        <f>+IF(OR(GR78="",IF(R78="",R77,R78)=""),"",GR78/IF(R78="",R77,R78))</f>
        <v/>
      </c>
      <c r="GZ78" s="460" t="str">
        <f>+IF(OR(GS78="",IF(R78="",R77,R78)=""),"",GS78/IF(R78="",R77,R78))</f>
        <v/>
      </c>
      <c r="HA78" s="1693" t="str">
        <f>+IF(OR(GT78="",IF(R78="",R77,R78)=""),"",GT78/IF(R78="",R77,R78))</f>
        <v/>
      </c>
      <c r="HB78" s="2234" t="str">
        <f t="shared" si="432"/>
        <v/>
      </c>
      <c r="HC78" s="454" t="str">
        <f>+IF(OR(GU78="",IF(R78="",R77,R78)=""),"",GU78/IF(R78="",R77,R78))</f>
        <v/>
      </c>
      <c r="HD78" s="459" t="str">
        <f t="shared" si="375"/>
        <v/>
      </c>
      <c r="HE78" s="457"/>
      <c r="HF78" s="458"/>
      <c r="HG78" s="459" t="str">
        <f t="shared" si="23"/>
        <v/>
      </c>
      <c r="HH78" s="2994"/>
      <c r="HI78" s="3018" t="str">
        <f t="shared" si="355"/>
        <v/>
      </c>
      <c r="HJ78" s="1301" t="str">
        <f t="shared" si="356"/>
        <v/>
      </c>
      <c r="HK78" s="1301" t="str">
        <f t="shared" si="357"/>
        <v/>
      </c>
      <c r="HL78" s="1301" t="str">
        <f>+IF(FR78="","",$HL$6*HI78)</f>
        <v/>
      </c>
      <c r="HM78" s="3022" t="str">
        <f t="shared" si="358"/>
        <v/>
      </c>
      <c r="HN78" s="3026" t="str">
        <f t="shared" si="347"/>
        <v/>
      </c>
      <c r="HO78" s="2952" t="str">
        <f>+IF(FR78="","",$HO$6*HM78)</f>
        <v/>
      </c>
      <c r="HP78" s="2953" t="str">
        <f>+IF(FR78="","",$HP$6*HM78)</f>
        <v/>
      </c>
      <c r="HQ78" s="3032"/>
      <c r="HR78" s="2954" t="str">
        <f>+IF(FR78="","",$HR$6*HM78)</f>
        <v/>
      </c>
      <c r="HS78" s="2954"/>
      <c r="HT78" s="2952" t="str">
        <f>+IF(EU78="","",#REF!/IF(#REF!="""",R77,R78))</f>
        <v/>
      </c>
      <c r="HU78" s="2954" t="str">
        <f>+IF(EV78="","",EV78/IF(R78="",R77,R78))</f>
        <v/>
      </c>
      <c r="HV78" s="2952" t="str">
        <f>+IF(EW78="","",EW78/IF(R78="",R77,R78))</f>
        <v/>
      </c>
      <c r="HW78" s="2954" t="str">
        <f>+IF(EX78="","",EX78/IF(R78="",R77,R78))</f>
        <v/>
      </c>
      <c r="HX78" s="2952" t="str">
        <f t="shared" si="199"/>
        <v/>
      </c>
      <c r="HY78" s="2953" t="str">
        <f>+IF(EZ78="","",EZ78/IF(R78="",R77,R78))</f>
        <v/>
      </c>
      <c r="HZ78" s="2954" t="str">
        <f>+IF(FA78="","",FA78/IF(R78="",R77,R78))</f>
        <v/>
      </c>
      <c r="IA78" s="1300" t="str">
        <f>+IF(HM78="","",HX78-IF(HY78="",0,HY78)+IF(HZ78="",0,HZ78))</f>
        <v/>
      </c>
      <c r="IB78" s="3038" t="str">
        <f>+IF(ISERROR(GF78-IA78),"",IF((GF78-IA78)&gt;0,"stk added + "&amp;ROUND((GF78-IA78)/GF78*100,0)&amp;"%",(GF78-IA78)/GF78))</f>
        <v/>
      </c>
      <c r="IC78" s="3053" t="str">
        <f>+IF(IA78="","",IA78/IF(T78="",IF(T77="",1,T77),T78))</f>
        <v/>
      </c>
      <c r="ID78" s="1300"/>
      <c r="IE78" s="4106"/>
      <c r="IF78" s="4114"/>
      <c r="IG78" s="6779"/>
      <c r="IH78" s="4090"/>
      <c r="II78" s="6797"/>
      <c r="IJ78" s="4106"/>
      <c r="IK78" s="4143">
        <v>1</v>
      </c>
      <c r="IL78" s="4196"/>
      <c r="IM78" s="4197"/>
      <c r="IN78" s="4221"/>
      <c r="IO78" s="4221"/>
      <c r="IP78" s="7234"/>
      <c r="IQ78" s="7242"/>
      <c r="IR78" s="7234"/>
      <c r="IS78" s="7242"/>
      <c r="IT78" s="4221"/>
      <c r="IU78" s="6852"/>
      <c r="IV78" s="7268"/>
      <c r="IW78" s="7254"/>
      <c r="IX78" s="4188"/>
      <c r="IY78" s="4256"/>
      <c r="IZ78" s="4301"/>
      <c r="JA78" s="4302"/>
      <c r="JB78" s="4157"/>
      <c r="JC78" s="4339"/>
      <c r="JD78" s="3256" t="str">
        <f>+IF(OR(IX78="",$CB78=""),"",IX78/$CB78)</f>
        <v/>
      </c>
      <c r="JE78" s="4364" t="str">
        <f>+IF(OR(IX78="",$CL78=""),"",IX78/$CL78)</f>
        <v/>
      </c>
      <c r="JF78" s="7041"/>
      <c r="JG78" s="7057"/>
      <c r="JH78" s="6972"/>
      <c r="JI78" s="6972"/>
      <c r="JJ78" s="6972"/>
      <c r="JK78" s="6972"/>
      <c r="JL78" s="7009"/>
      <c r="JM78" s="7051"/>
      <c r="JN78" s="1733"/>
      <c r="JO78" s="1733"/>
      <c r="JP78" s="7082"/>
      <c r="JQ78" s="7082"/>
      <c r="JR78" s="7057"/>
      <c r="JS78" s="7063"/>
      <c r="JT78" s="7169" t="str">
        <f t="shared" si="476"/>
        <v/>
      </c>
      <c r="JU78" s="7170"/>
      <c r="JV78" s="8379"/>
      <c r="JW78" s="8406"/>
      <c r="JX78" s="8435"/>
      <c r="JY78" s="8470"/>
      <c r="JZ78" s="7171"/>
      <c r="KA78" s="7169"/>
      <c r="KB78" s="7170"/>
      <c r="KC78" s="7171"/>
      <c r="KD78" s="7169"/>
      <c r="KE78" s="8343"/>
      <c r="KF78" s="8343"/>
      <c r="KG78" s="7170"/>
      <c r="KH78" s="7170"/>
      <c r="KI78" s="7170"/>
      <c r="KJ78" s="7170"/>
      <c r="KK78" s="7170"/>
      <c r="KL78" s="7170"/>
      <c r="KM78" s="7170"/>
      <c r="KN78" s="7170"/>
      <c r="KO78" s="7170"/>
      <c r="KP78" s="7171"/>
      <c r="KQ78" s="7213"/>
      <c r="KR78" s="7082"/>
      <c r="KS78" s="7063"/>
      <c r="KT78" s="7213"/>
      <c r="KU78" s="7057"/>
      <c r="KV78" s="7307"/>
      <c r="KW78" s="7342"/>
      <c r="KX78" s="7319"/>
      <c r="KY78" s="7357"/>
      <c r="KZ78" s="7358"/>
      <c r="LA78" s="7359"/>
      <c r="LB78" s="7360" t="str">
        <f>+IF(OR(KY78="",$CL78=""),"",KY78/$CL78)</f>
        <v/>
      </c>
      <c r="LC78" s="5133"/>
      <c r="LD78" s="5132"/>
      <c r="LE78" s="5132"/>
      <c r="LF78" s="5132"/>
      <c r="LG78" s="5132"/>
      <c r="LH78" s="5132"/>
      <c r="LI78" s="5132"/>
      <c r="LJ78" s="5132"/>
    </row>
    <row r="79" spans="1:322" s="13" customFormat="1" ht="27.95" customHeight="1" thickBot="1">
      <c r="A79" s="5957" t="str">
        <f t="shared" si="508"/>
        <v>8300-15</v>
      </c>
      <c r="B79" s="9819" t="str">
        <f>+IF(A79="","",VLOOKUP(MATCH(A79,tid,0),tao,'12(id)'!$J$20,FALSE))</f>
        <v>NRG</v>
      </c>
      <c r="C79" s="6389" t="str">
        <f t="shared" si="47"/>
        <v>DV14</v>
      </c>
      <c r="D79" s="1032" t="str">
        <f t="shared" si="48"/>
        <v/>
      </c>
      <c r="E79" s="654"/>
      <c r="F79" s="654" t="str">
        <f t="shared" si="49"/>
        <v/>
      </c>
      <c r="G79" s="5133"/>
      <c r="H79" s="5132"/>
      <c r="I79" s="5133"/>
      <c r="J79" s="719">
        <f t="shared" si="68"/>
        <v>45</v>
      </c>
      <c r="K79" s="648">
        <f>1+K78</f>
        <v>27</v>
      </c>
      <c r="L79" s="9648"/>
      <c r="M79" s="9647"/>
      <c r="N79" s="9648"/>
      <c r="O79" s="5157" t="s">
        <v>273</v>
      </c>
      <c r="P79" s="9647"/>
      <c r="Q79" s="8578" t="str">
        <f>+IF(ISERROR(MATCH(O79,tid,0)),"",VLOOKUP(MATCH(O79,tid,0),tao,'12(id)'!$Q$20,FALSE))</f>
        <v>DV14</v>
      </c>
      <c r="R79" s="5157">
        <f>+IF(O79="","",VLOOKUP(MATCH(O79,tid,0),tao,'12(id)'!$U$20,FALSE))</f>
        <v>4</v>
      </c>
      <c r="S79" s="8577"/>
      <c r="T79" s="8627">
        <f>+IF(ISERROR(MATCH(O79,tid,0)),"",IF(VLOOKUP(MATCH(O79,tid,0),tao,'12(id)'!$CT$20,FALSE)="","",VLOOKUP(MATCH(O79,tid,0),tao,'12(id)'!$CT$20,FALSE)))</f>
        <v>40</v>
      </c>
      <c r="U79" s="10317" t="str">
        <f>+IF(ISERROR(MATCH(O79,tid,0)),"",IF(VLOOKUP(MATCH(O79,tid,0),tao,'12(id)'!$CU$20,FALSE)="","",VLOOKUP(MATCH(O79,tid,0),tao,'12(id)'!$CU$20,FALSE)))</f>
        <v/>
      </c>
      <c r="V79" s="416" t="str">
        <f>+IF(O79="","",IF(VLOOKUP(MATCH(O79,tid,0),tao,'12(id)'!$T$20,FALSE)="","",VLOOKUP(MATCH(O79,tid,0),tao,'12(id)'!$T$20,FALSE)))</f>
        <v>Combustion Turbine</v>
      </c>
      <c r="W79" s="424" t="str">
        <f>+IF(ISERROR(MATCH(O79,tid,0)),"",IF(VLOOKUP(MATCH(O79,tid,0),tao,'12(id)'!$CO$20,FALSE)="","",VLOOKUP(MATCH(O79,tid,0),tao,'12(id)'!$CO$20,FALSE)))</f>
        <v>General Electric</v>
      </c>
      <c r="X79" s="416" t="str">
        <f>+IF(ISERROR(MATCH(O79,tid,0)),"",IF(VLOOKUP(MATCH(O79,tid,0),tao,'12(id)'!$CP$20,FALSE)="","",VLOOKUP(MATCH(O79,tid,0),tao,'12(id)'!$CP$20,FALSE)))</f>
        <v>LM6000PA</v>
      </c>
      <c r="Y79" s="8553" t="str">
        <f>+IF(ISERROR(MATCH(O79,tid,0)),"",IF(VLOOKUP(MATCH(O79,tid,0),tao,'12(id)'!$CQ$20,FALSE)="","",VLOOKUP(MATCH(O79,tid,0),tao,'12(id)'!$CQ$20,FALSE)))</f>
        <v/>
      </c>
      <c r="Z79" s="71" t="str">
        <f>+IF(ISERROR(MATCH(O79,tid,0)),"",VLOOKUP(MATCH(O79,tid,0),tao,'12(id)'!$DB$20,FALSE)&amp;" "&amp;VLOOKUP(MATCH(O79,tid,0),tao,'12(id)'!$DC$20,FALSE))</f>
        <v>Jun 1996</v>
      </c>
      <c r="AA79" s="8557" t="str">
        <f ca="1">+IF(ISERROR(MATCH(O79,tid,0)),"",IF(VLOOKUP(MATCH(O79,tid,0),tao,'12(id)'!$DE$20,FALSE)="","",ROUND(VLOOKUP(MATCH(O79,tid,0),tao,'12(id)'!$DE$20,FALSE),0)&amp;" yrs"))</f>
        <v>18 yrs</v>
      </c>
      <c r="AB79" s="8567" t="str">
        <f>+IF(ISERROR(MATCH(O79,tid,0)),"",VLOOKUP(MATCH(O79,tid,0),tao,'12(id)'!$DI$20,FALSE))</f>
        <v>ULSD oil</v>
      </c>
      <c r="AC79" s="8567" t="str">
        <f>+IF(ISERROR(MATCH(O79,tid,0)),"",IF(VLOOKUP(MATCH(O79,tid,0),tao,'12(id)'!$DQ$20,FALSE)="","",VLOOKUP(MATCH(O79,tid,0),tao,'12(id)'!$DQ$20,FALSE)))</f>
        <v>Natural Gas</v>
      </c>
      <c r="AD79" s="10412">
        <f>+IF(ISERROR(MATCH(O79,tid,0)),"",IF(VLOOKUP(MATCH(O79,tid,0),tao,'12(id)'!$EI$20,FALSE)="","",VLOOKUP(MATCH(O79,tid,0),tao,'12(id)'!$EI$20,FALSE)))</f>
        <v>0.17100000000000001</v>
      </c>
      <c r="AE79" s="10672" t="str">
        <f>+IF(ISERROR(MATCH(O79,tid,0)),"",IF(VLOOKUP(MATCH(O79,tid,0),tao,'12(id)'!$EJ$20,FALSE)="","",VLOOKUP(MATCH(O79,tid,0),tao,'12(id)'!$EJ$20,FALSE)))</f>
        <v/>
      </c>
      <c r="AF79" s="10674">
        <f>+IF(ISERROR(MATCH(O79,tid,0)),"",IF(VLOOKUP(MATCH(O79,tid,0),tao,'12(id)'!$EL$20,FALSE)="","",VLOOKUP(MATCH(O79,tid,0),tao,'12(id)'!$EL$20,FALSE)))</f>
        <v>0.17100000000000001</v>
      </c>
      <c r="AG79" s="10692" t="str">
        <f>+IF(ISERROR(MATCH(O79,tid,0)),"",IF(VLOOKUP(MATCH(O79,tid,0),tao,'12(id)'!$EM$20,FALSE)="","",VLOOKUP(MATCH(O79,tid,0),tao,'12(id)'!$EM$20,FALSE)))</f>
        <v/>
      </c>
      <c r="AH79" s="985" t="s">
        <v>561</v>
      </c>
      <c r="AI79" s="986"/>
      <c r="AJ79" s="987"/>
      <c r="AK79" s="987"/>
      <c r="AL79" s="987"/>
      <c r="AM79" s="988"/>
      <c r="AN79" s="3549" t="s">
        <v>559</v>
      </c>
      <c r="AO79" s="8647">
        <f>+IF(ISERROR(MATCH(O79,tid,0)),"",IF(VLOOKUP(MATCH(O79,tid,0),tao,'12(id)'!$GY$20,FALSE)="","",VLOOKUP(MATCH(O79,tid,0),tao,'12(id)'!$GY$20,FALSE)))</f>
        <v>101.4</v>
      </c>
      <c r="AP79" s="10701" t="str">
        <f>+IF($BB79="","",IF(VLOOKUP(MATCH(O79,tid,0),tao,'12(id)'!$HE$20,FALSE)="","",VLOOKUP(MATCH(O79,tid,0),tao,'12(id)'!$HE$20,FALSE)))</f>
        <v/>
      </c>
      <c r="AQ79" s="3531">
        <f>+IF(ISERROR(VLOOKUP(MATCH(O79,tid,0),tao,'12(id)'!$HF$20,FALSE)),"",VLOOKUP(MATCH(O79,tid,0),tao,'12(id)'!$HF$20,FALSE))</f>
        <v>31287.5</v>
      </c>
      <c r="AR79" s="10337">
        <f>+IF(ISERROR(MATCH(O79,tid,0)),"",IF(VLOOKUP(MATCH(O79,tid,0),tao,'12(id)'!$HJ$20,FALSE)="","",VLOOKUP(MATCH(O79,tid,0),tao,'12(id)'!$HJ$20,FALSE)))</f>
        <v>0.17100000000000001</v>
      </c>
      <c r="AS79" s="10340" t="str">
        <f>+IF(ISERROR(MATCH(O79,tid,0)),"",IF(VLOOKUP(MATCH(O79,tid,0),tao,'12(id)'!$HK$20,FALSE)="","",VLOOKUP(MATCH(O79,tid,0),tao,'12(id)'!$HK$20,FALSE)))</f>
        <v/>
      </c>
      <c r="AT79" s="8649">
        <f>+IF(ISERROR(MATCH(O79,tid,0)),"",IF(VLOOKUP(MATCH(O79,tid,0),tao,'12(id)'!$HM$20,FALSE)="","",VLOOKUP(MATCH(O79,tid,0),tao,'12(id)'!$HM$20,FALSE)))</f>
        <v>2.66</v>
      </c>
      <c r="AU79" s="1039" t="str">
        <f t="shared" si="371"/>
        <v>CAIR-OS (max last 3 yrs)</v>
      </c>
      <c r="AV79" s="10396" t="str">
        <f>+IF(ISERROR(MATCH(O79,em_id,0)),"",IF(VLOOKUP(MATCH(O79,em_id,0),em,'5(em)'!$CX$18,FALSE)="","",VLOOKUP(MATCH(O79,em_id,0),em,'5(em)'!$CX$18,FALSE)))</f>
        <v/>
      </c>
      <c r="AW79" s="10775"/>
      <c r="AX79" s="10331" t="str">
        <f t="shared" si="50"/>
        <v/>
      </c>
      <c r="AY79" s="10396"/>
      <c r="AZ79" s="10401"/>
      <c r="BA79" s="653"/>
      <c r="BB79" s="654" t="str">
        <f t="shared" si="311"/>
        <v/>
      </c>
      <c r="BC79" s="660"/>
      <c r="BD79" s="654"/>
      <c r="BE79" s="654"/>
      <c r="BF79" s="654" t="s">
        <v>1860</v>
      </c>
      <c r="BG79" s="655"/>
      <c r="BH79" s="436"/>
      <c r="BI79" s="461"/>
      <c r="BJ79" s="462"/>
      <c r="BK79" s="462"/>
      <c r="BL79" s="462"/>
      <c r="BM79" s="462"/>
      <c r="BN79" s="462" t="str">
        <f t="shared" si="12"/>
        <v/>
      </c>
      <c r="BO79" s="462" t="str">
        <f t="shared" si="13"/>
        <v/>
      </c>
      <c r="BP79" s="462" t="str">
        <f t="shared" si="14"/>
        <v/>
      </c>
      <c r="BQ79" s="462" t="str">
        <f t="shared" si="15"/>
        <v/>
      </c>
      <c r="BR79" s="463"/>
      <c r="BS79" s="464"/>
      <c r="BT79" s="465"/>
      <c r="BU79" s="3711">
        <f>+(1-CD80)*AR80</f>
        <v>0.93300000000000005</v>
      </c>
      <c r="BV79" s="3755" t="str">
        <f>+IF(BB79="","",IF(VLOOKUP(MATCH(BB79,ef_id,0),ef,'11(eff)'!$AA$23,FALSE)="","",VLOOKUP(MATCH(BB79,ef_id,0),ef,'11(eff)'!$AA$23,FALSE)))</f>
        <v/>
      </c>
      <c r="BW79" s="2369"/>
      <c r="BX79" s="3794"/>
      <c r="BY79" s="3819" t="str">
        <f>+IF($BB79="","",IF(OR(BU79="",$AQ79=""),"",BU79/2000*$AQ79))</f>
        <v/>
      </c>
      <c r="BZ79" s="3398"/>
      <c r="CA79" s="3421"/>
      <c r="CB79" s="3850" t="str">
        <f t="shared" si="382"/>
        <v/>
      </c>
      <c r="CC79" s="3870" t="str">
        <f>+IF($BB79="","",IF(CB79="","",CB79/$AT79))</f>
        <v/>
      </c>
      <c r="CD79" s="3870" t="str">
        <f>+IF($BB79="","",IF(BU79="","",(1-BU79/$AR79)))</f>
        <v/>
      </c>
      <c r="CE79" s="2374" t="str">
        <f>+IF(BB79="","",IF(VLOOKUP(MATCH(BB79,ef_id,0),ef,'11(eff)'!$AE$23,FALSE)="","",VLOOKUP(MATCH(BB79,ef_id,0),ef,'11(eff)'!$AE$23,FALSE)))</f>
        <v/>
      </c>
      <c r="CF79" s="464"/>
      <c r="CG79" s="465"/>
      <c r="CH79" s="2411"/>
      <c r="CI79" s="3850" t="str">
        <f>+IF(BB79="","",IF(CP79="","",IF(AW79="","",AZ79/AW79*2000*(1-CO79))))</f>
        <v/>
      </c>
      <c r="CJ79" s="4071"/>
      <c r="CK79" s="3850"/>
      <c r="CL79" s="3931"/>
      <c r="CM79" s="3977" t="str">
        <f>+IF($BB79="","",IF(OR($AZ76="",CL79=""),"",CL79/$AZ76))</f>
        <v/>
      </c>
      <c r="CN79" s="3977" t="str">
        <f>+IF($BB79="","",IF(OR($AX76="",CI79=""),"",(1-CI78/$AX76)))</f>
        <v/>
      </c>
      <c r="CO79" s="3978"/>
      <c r="CP79" s="3979"/>
      <c r="CQ79" s="653" t="str">
        <f t="shared" si="51"/>
        <v/>
      </c>
      <c r="CR79" s="466"/>
      <c r="CS79" s="2766"/>
      <c r="CT79" s="1592"/>
      <c r="CU79" s="1497"/>
      <c r="CV79" s="1879" t="str">
        <f t="shared" si="309"/>
        <v/>
      </c>
      <c r="CW79" s="1880"/>
      <c r="CX79" s="1880"/>
      <c r="CY79" s="1881"/>
      <c r="CZ79" s="2479"/>
      <c r="DA79" s="2489"/>
      <c r="DB79" s="2489"/>
      <c r="DC79" s="1879"/>
      <c r="DD79" s="1883"/>
      <c r="DE79" s="1884"/>
      <c r="DF79" s="1885"/>
      <c r="DG79" s="1885"/>
      <c r="DH79" s="1883"/>
      <c r="DI79" s="1694" t="str">
        <f>+IF(CT79="","",SUM(CU79:DC79))</f>
        <v/>
      </c>
      <c r="DJ79" s="1939"/>
      <c r="DK79" s="1592"/>
      <c r="DL79" s="1497"/>
      <c r="DM79" s="1879" t="str">
        <f t="shared" si="310"/>
        <v/>
      </c>
      <c r="DN79" s="1880"/>
      <c r="DO79" s="1880"/>
      <c r="DP79" s="1881"/>
      <c r="DQ79" s="2479"/>
      <c r="DR79" s="2489"/>
      <c r="DS79" s="2489"/>
      <c r="DT79" s="1879"/>
      <c r="DU79" s="1883"/>
      <c r="DV79" s="1884"/>
      <c r="DW79" s="1885"/>
      <c r="DX79" s="1885"/>
      <c r="DY79" s="1883"/>
      <c r="DZ79" s="1694" t="str">
        <f t="shared" si="18"/>
        <v/>
      </c>
      <c r="EA79" s="1939"/>
      <c r="EB79" s="1497" t="str">
        <f t="shared" si="377"/>
        <v/>
      </c>
      <c r="EC79" s="1964"/>
      <c r="ED79" s="1416" t="str">
        <f t="shared" si="20"/>
        <v/>
      </c>
      <c r="EE79" s="1882"/>
      <c r="EF79" s="1735"/>
      <c r="EG79" s="1881"/>
      <c r="EH79" s="1694" t="str">
        <f t="shared" si="353"/>
        <v/>
      </c>
      <c r="EI79" s="1884"/>
      <c r="EJ79" s="1885"/>
      <c r="EK79" s="2011"/>
      <c r="EL79" s="1460"/>
      <c r="EM79" s="1884"/>
      <c r="EN79" s="1885"/>
      <c r="EO79" s="2011"/>
      <c r="EP79" s="1694" t="str">
        <f t="shared" si="378"/>
        <v/>
      </c>
      <c r="EQ79" s="1694"/>
      <c r="ER79" s="1694"/>
      <c r="ES79" s="1694"/>
      <c r="ET79" s="1460"/>
      <c r="EU79" s="1428"/>
      <c r="EV79" s="1393"/>
      <c r="EW79" s="2586"/>
      <c r="EX79" s="2586"/>
      <c r="EY79" s="2693"/>
      <c r="EZ79" s="2722"/>
      <c r="FA79" s="1393"/>
      <c r="FB79" s="1501"/>
      <c r="FC79" s="1728" t="str">
        <f>+IF(OR(ED79="",IF(R79="",R78,R79)=""),"",ED79/IF(R79="",R78,R79))</f>
        <v/>
      </c>
      <c r="FD79" s="1739" t="str">
        <f>+IF(OR(BB79="",IF(R79="",R78,R79)="",(CU79+DL79)=0),"",(CU79+DL79)/IF(R79="",R78,R79))</f>
        <v/>
      </c>
      <c r="FE79" s="1533" t="str">
        <f t="shared" si="509"/>
        <v/>
      </c>
      <c r="FF79" s="1739" t="str">
        <f>+IF(OR(BB79="",CT79="",IF(R79="",R78,R79)=""),"",((CV79+CW79+CX79)+(IF(DM79="",0,DM79)+DN79+DO79))/IF(R79="",R78,R79))</f>
        <v/>
      </c>
      <c r="FG79" s="1533" t="str">
        <f>+IF(OR(BB79="",ISERROR(FF79/FD79)),"",FF79/FD79)</f>
        <v/>
      </c>
      <c r="FH79" s="1739"/>
      <c r="FI79" s="1533" t="str">
        <f t="shared" si="510"/>
        <v/>
      </c>
      <c r="FJ79" s="2858" t="str">
        <f>+IF(OR(BB79="",CT79=""),"",FD79+FF79)</f>
        <v/>
      </c>
      <c r="FK79" s="2811" t="str">
        <f>+IF(OR(BB79="",ISERROR(FJ79/FC79)),"",FJ79/FC79)</f>
        <v/>
      </c>
      <c r="FL79" s="2783"/>
      <c r="FM79" s="1533"/>
      <c r="FN79" s="2783"/>
      <c r="FO79" s="2773"/>
      <c r="FP79" s="2783"/>
      <c r="FQ79" s="2773"/>
      <c r="FR79" s="2847"/>
      <c r="FS79" s="2877" t="str">
        <f>+IF(OR(DJ79="",IF(R79="",R78,R79)=""),"",(DJ79+EA79)/IF(R79="",R78,R79))</f>
        <v/>
      </c>
      <c r="FT79" s="1514" t="str">
        <f>+IF(OR(BB79="",ISERROR(FS79/#REF!)),"",FS79/#REF!)</f>
        <v/>
      </c>
      <c r="FU79" s="2896"/>
      <c r="FV79" s="447" t="str">
        <f>+IF(FC79="","",FC79/IF(T79="",IF(T78="",1,T78),T79))</f>
        <v/>
      </c>
      <c r="FW79" s="2114"/>
      <c r="FX79" s="1743"/>
      <c r="FY79" s="2115"/>
      <c r="FZ79" s="1743"/>
      <c r="GA79" s="1743"/>
      <c r="GB79" s="2115"/>
      <c r="GC79" s="1743"/>
      <c r="GD79" s="1743"/>
      <c r="GE79" s="1617" t="str">
        <f>+IF(FB79="","",FB79*R79)</f>
        <v/>
      </c>
      <c r="GF79" s="2148"/>
      <c r="GG79" s="2173"/>
      <c r="GH79" s="3181"/>
      <c r="GI79" s="3201" t="s">
        <v>939</v>
      </c>
      <c r="GJ79" s="3206"/>
      <c r="GK79" s="3455" t="str">
        <f t="shared" si="423"/>
        <v/>
      </c>
      <c r="GL79" s="3230"/>
      <c r="GM79" s="469"/>
      <c r="GN79" s="471"/>
      <c r="GO79" s="1884"/>
      <c r="GP79" s="2011" t="str">
        <f t="shared" si="354"/>
        <v/>
      </c>
      <c r="GQ79" s="472"/>
      <c r="GR79" s="2326"/>
      <c r="GS79" s="2326"/>
      <c r="GT79" s="472"/>
      <c r="GU79" s="2317" t="str">
        <f t="shared" si="374"/>
        <v/>
      </c>
      <c r="GV79" s="470" t="str">
        <f>+IF(OR(GO79="",IF(R79="",R78,R79)=""),"",GO79/IF(R79="",R78,R79))</f>
        <v/>
      </c>
      <c r="GW79" s="2261" t="str">
        <f>+IF(OR(GP79="",IF(R79="",R78,R79)=""),"",GP79/IF(R79="",R78,R79))</f>
        <v/>
      </c>
      <c r="GX79" s="472" t="str">
        <f>+IF(OR(GQ79="",IF(R79="",R78,R79)=""),"",GQ79/IF(R79="",R78,R79))</f>
        <v/>
      </c>
      <c r="GY79" s="472" t="str">
        <f>+IF(OR(GR79="",IF(R79="",R78,R79)=""),"",GR79/IF(R79="",R78,R79))</f>
        <v/>
      </c>
      <c r="GZ79" s="472" t="str">
        <f>+IF(OR(GS79="",IF(R79="",R78,R79)=""),"",GS79/IF(R79="",R78,R79))</f>
        <v/>
      </c>
      <c r="HA79" s="1694" t="str">
        <f>+IF(OR(GT79="",IF(R79="",R78,R79)=""),"",GT79/IF(R79="",R78,R79))</f>
        <v/>
      </c>
      <c r="HB79" s="467" t="str">
        <f t="shared" si="432"/>
        <v/>
      </c>
      <c r="HC79" s="468" t="str">
        <f>+IF(OR(GU79="",IF(R79="",R78,R79)=""),"",GU79/IF(R79="",R78,R79))</f>
        <v/>
      </c>
      <c r="HD79" s="471" t="str">
        <f t="shared" si="375"/>
        <v/>
      </c>
      <c r="HE79" s="469"/>
      <c r="HF79" s="470"/>
      <c r="HG79" s="471" t="str">
        <f t="shared" si="23"/>
        <v/>
      </c>
      <c r="HH79" s="2995"/>
      <c r="HI79" s="3019" t="str">
        <f t="shared" si="355"/>
        <v/>
      </c>
      <c r="HJ79" s="1304" t="str">
        <f t="shared" si="356"/>
        <v/>
      </c>
      <c r="HK79" s="1304" t="str">
        <f t="shared" si="357"/>
        <v/>
      </c>
      <c r="HL79" s="1304" t="str">
        <f>+IF(FR79="","",$HL$6*HI79)</f>
        <v/>
      </c>
      <c r="HM79" s="3023" t="str">
        <f t="shared" si="358"/>
        <v/>
      </c>
      <c r="HN79" s="3027" t="str">
        <f t="shared" si="347"/>
        <v/>
      </c>
      <c r="HO79" s="2948" t="str">
        <f>+IF(FR79="","",$HO$6*HM79)</f>
        <v/>
      </c>
      <c r="HP79" s="2949" t="str">
        <f>+IF(FR79="","",$HP$6*HM79)</f>
        <v/>
      </c>
      <c r="HQ79" s="3033"/>
      <c r="HR79" s="2950" t="str">
        <f>+IF(FR79="","",$HR$6*HM79)</f>
        <v/>
      </c>
      <c r="HS79" s="2950"/>
      <c r="HT79" s="2948" t="str">
        <f>+IF(EU79="","",#REF!/IF(#REF!="""",R78,R79))</f>
        <v/>
      </c>
      <c r="HU79" s="2950" t="str">
        <f>+IF(EV79="","",EV79/IF(R79="",R78,R79))</f>
        <v/>
      </c>
      <c r="HV79" s="2948" t="str">
        <f>+IF(EW79="","",EW79/IF(R79="",R78,R79))</f>
        <v/>
      </c>
      <c r="HW79" s="2950" t="str">
        <f>+IF(EX79="","",EX79/IF(R79="",R78,R79))</f>
        <v/>
      </c>
      <c r="HX79" s="2948" t="str">
        <f t="shared" si="199"/>
        <v/>
      </c>
      <c r="HY79" s="2949" t="str">
        <f>+IF(EZ79="","",EZ79/IF(R79="",R78,R79))</f>
        <v/>
      </c>
      <c r="HZ79" s="2950" t="str">
        <f>+IF(FA79="","",FA79/IF(R79="",R78,R79))</f>
        <v/>
      </c>
      <c r="IA79" s="1303" t="str">
        <f>+IF(HM79="","",HX79-IF(HY79="",0,HY79)+IF(HZ79="",0,HZ79))</f>
        <v/>
      </c>
      <c r="IB79" s="3039" t="str">
        <f>+IF(ISERROR(GF79-IA79),"",IF((GF79-IA79)&gt;0,"stk added + "&amp;ROUND((GF79-IA79)/GF79*100,0)&amp;"%",(GF79-IA79)/GF79))</f>
        <v/>
      </c>
      <c r="IC79" s="3054" t="str">
        <f>+IF(IA79="","",IA79/IF(T79="",IF(T78="",1,T78),T79))</f>
        <v/>
      </c>
      <c r="ID79" s="1303"/>
      <c r="IE79" s="4107"/>
      <c r="IF79" s="4115"/>
      <c r="IG79" s="6780"/>
      <c r="IH79" s="4091"/>
      <c r="II79" s="6798"/>
      <c r="IJ79" s="4107"/>
      <c r="IK79" s="4144">
        <v>1</v>
      </c>
      <c r="IL79" s="4198"/>
      <c r="IM79" s="1883"/>
      <c r="IN79" s="1939"/>
      <c r="IO79" s="1939"/>
      <c r="IP79" s="7235"/>
      <c r="IQ79" s="6853"/>
      <c r="IR79" s="7235"/>
      <c r="IS79" s="6853"/>
      <c r="IT79" s="1939"/>
      <c r="IU79" s="6853"/>
      <c r="IV79" s="7269"/>
      <c r="IW79" s="7255"/>
      <c r="IX79" s="1460"/>
      <c r="IY79" s="4257"/>
      <c r="IZ79" s="4303"/>
      <c r="JA79" s="4304"/>
      <c r="JB79" s="1305"/>
      <c r="JC79" s="4340"/>
      <c r="JD79" s="3257" t="str">
        <f>+IF(OR(IX79="",$CB79=""),"",IX79/$CB79)</f>
        <v/>
      </c>
      <c r="JE79" s="4365" t="str">
        <f>+IF(OR(IX79="",$CL79=""),"",IX79/$CL79)</f>
        <v/>
      </c>
      <c r="JF79" s="7042"/>
      <c r="JG79" s="7058"/>
      <c r="JH79" s="6973"/>
      <c r="JI79" s="6973"/>
      <c r="JJ79" s="6973"/>
      <c r="JK79" s="6973"/>
      <c r="JL79" s="7010"/>
      <c r="JM79" s="7052"/>
      <c r="JN79" s="1735"/>
      <c r="JO79" s="1735"/>
      <c r="JP79" s="7064"/>
      <c r="JQ79" s="7064"/>
      <c r="JR79" s="7058"/>
      <c r="JS79" s="7065"/>
      <c r="JT79" s="7172" t="str">
        <f t="shared" si="476"/>
        <v/>
      </c>
      <c r="JU79" s="7173"/>
      <c r="JV79" s="8380"/>
      <c r="JW79" s="8407"/>
      <c r="JX79" s="8436"/>
      <c r="JY79" s="8471"/>
      <c r="JZ79" s="7174"/>
      <c r="KA79" s="7172"/>
      <c r="KB79" s="7173"/>
      <c r="KC79" s="7174"/>
      <c r="KD79" s="7172"/>
      <c r="KE79" s="8344"/>
      <c r="KF79" s="8344"/>
      <c r="KG79" s="7173"/>
      <c r="KH79" s="7173"/>
      <c r="KI79" s="7173"/>
      <c r="KJ79" s="7173"/>
      <c r="KK79" s="7173"/>
      <c r="KL79" s="7173"/>
      <c r="KM79" s="7173"/>
      <c r="KN79" s="7173"/>
      <c r="KO79" s="7173"/>
      <c r="KP79" s="7174"/>
      <c r="KQ79" s="7214"/>
      <c r="KR79" s="7064"/>
      <c r="KS79" s="7065"/>
      <c r="KT79" s="7214"/>
      <c r="KU79" s="7058"/>
      <c r="KV79" s="7308"/>
      <c r="KW79" s="7343"/>
      <c r="KX79" s="7320"/>
      <c r="KY79" s="7361"/>
      <c r="KZ79" s="7362"/>
      <c r="LA79" s="7363"/>
      <c r="LB79" s="7364" t="str">
        <f>+IF(OR(KY79="",$CL79=""),"",KY79/$CL79)</f>
        <v/>
      </c>
      <c r="LC79" s="5133"/>
      <c r="LD79" s="5132"/>
      <c r="LE79" s="5132"/>
      <c r="LF79" s="5132"/>
      <c r="LG79" s="5132"/>
      <c r="LH79" s="5132"/>
      <c r="LI79" s="5132"/>
      <c r="LJ79" s="5132"/>
    </row>
    <row r="80" spans="1:322" s="13" customFormat="1" ht="27.95" customHeight="1">
      <c r="A80" s="5953" t="str">
        <f t="shared" si="508"/>
        <v>8300-16</v>
      </c>
      <c r="B80" s="9842" t="str">
        <f>+IF(A80="","",VLOOKUP(MATCH(A80,tid,0),tao,'12(id)'!$J$20,FALSE))</f>
        <v>NRG</v>
      </c>
      <c r="C80" s="6364" t="str">
        <f t="shared" si="47"/>
        <v>MV10</v>
      </c>
      <c r="D80" s="1128" t="str">
        <f t="shared" si="48"/>
        <v>8300-16-01</v>
      </c>
      <c r="E80" s="730" t="str">
        <f>+IF(BD80="","",BD80)</f>
        <v>Selective Catalytic Reduction (SCR)</v>
      </c>
      <c r="F80" s="730" t="str">
        <f t="shared" si="49"/>
        <v>SCR</v>
      </c>
      <c r="G80" s="5133"/>
      <c r="H80" s="5132"/>
      <c r="I80" s="5133"/>
      <c r="J80" s="719">
        <f t="shared" si="68"/>
        <v>46</v>
      </c>
      <c r="K80" s="1016">
        <v>1</v>
      </c>
      <c r="L80" s="9644">
        <v>6</v>
      </c>
      <c r="M80" s="9646" t="str">
        <f>+IF(O80="","",VLOOKUP(MATCH(O80,tid,0),tao,'12(id)'!$I$20,FALSE))</f>
        <v>NRG Energy, Inc</v>
      </c>
      <c r="N80" s="9648"/>
      <c r="O80" s="48" t="s">
        <v>274</v>
      </c>
      <c r="P80" s="9646" t="s">
        <v>478</v>
      </c>
      <c r="Q80" s="201" t="str">
        <f>+IF(ISERROR(MATCH(O80,tid,0)),"",VLOOKUP(MATCH(O80,tid,0),tao,'12(id)'!$Q$20,FALSE))</f>
        <v>MV10</v>
      </c>
      <c r="R80" s="48">
        <f>+IF(O80="","",VLOOKUP(MATCH(O80,tid,0),tao,'12(id)'!$U$20,FALSE))</f>
        <v>2</v>
      </c>
      <c r="S80" s="48"/>
      <c r="T80" s="50">
        <f>+IF(ISERROR(MATCH(O80,tid,0)),"",IF(VLOOKUP(MATCH(O80,tid,0),tao,'12(id)'!$CT$20,FALSE)="","",VLOOKUP(MATCH(O80,tid,0),tao,'12(id)'!$CT$20,FALSE)))</f>
        <v>2.75</v>
      </c>
      <c r="U80" s="10307">
        <f>+IF(ISERROR(MATCH(O80,tid,0)),"",IF(VLOOKUP(MATCH(O80,tid,0),tao,'12(id)'!$CU$20,FALSE)="","",VLOOKUP(MATCH(O80,tid,0),tao,'12(id)'!$CU$20,FALSE)))</f>
        <v>488.5</v>
      </c>
      <c r="V80" s="425" t="str">
        <f>+IF(O80="","",IF(VLOOKUP(MATCH(O80,tid,0),tao,'12(id)'!$T$20,FALSE)="","",VLOOKUP(MATCH(O80,tid,0),tao,'12(id)'!$T$20,FALSE)))</f>
        <v>Diesel Engine</v>
      </c>
      <c r="W80" s="426" t="str">
        <f>+IF(ISERROR(MATCH(O80,tid,0)),"",IF(VLOOKUP(MATCH(O80,tid,0),tao,'12(id)'!$CO$20,FALSE)="","",VLOOKUP(MATCH(O80,tid,0),tao,'12(id)'!$CO$20,FALSE)))</f>
        <v>General Motors</v>
      </c>
      <c r="X80" s="427" t="str">
        <f>+IF(ISERROR(MATCH(O80,tid,0)),"",IF(VLOOKUP(MATCH(O80,tid,0),tao,'12(id)'!$CP$20,FALSE)="","",VLOOKUP(MATCH(O80,tid,0),tao,'12(id)'!$CP$20,FALSE)))</f>
        <v>EMD 20-645-E4</v>
      </c>
      <c r="Y80" s="2427" t="str">
        <f>+IF(ISERROR(MATCH(O80,tid,0)),"",IF(VLOOKUP(MATCH(O80,tid,0),tao,'12(id)'!$CQ$20,FALSE)="","",VLOOKUP(MATCH(O80,tid,0),tao,'12(id)'!$CQ$20,FALSE)))</f>
        <v/>
      </c>
      <c r="Z80" s="74" t="str">
        <f>+IF(ISERROR(MATCH(O80,tid,0)),"",VLOOKUP(MATCH(O80,tid,0),tao,'12(id)'!$DB$20,FALSE)&amp;" "&amp;VLOOKUP(MATCH(O80,tid,0),tao,'12(id)'!$DC$20,FALSE))</f>
        <v>Jan 1966</v>
      </c>
      <c r="AA80" s="55" t="str">
        <f ca="1">+IF(ISERROR(MATCH(O80,tid,0)),"",IF(VLOOKUP(MATCH(O80,tid,0),tao,'12(id)'!$DE$20,FALSE)="","",ROUND(VLOOKUP(MATCH(O80,tid,0),tao,'12(id)'!$DE$20,FALSE),0)&amp;" yrs"))</f>
        <v>48 yrs</v>
      </c>
      <c r="AB80" s="49" t="str">
        <f>+IF(ISERROR(MATCH(O80,tid,0)),"",VLOOKUP(MATCH(O80,tid,0),tao,'12(id)'!$DI$20,FALSE))</f>
        <v>0.05% sulfur distillate oil</v>
      </c>
      <c r="AC80" s="49" t="str">
        <f>+IF(ISERROR(MATCH(O80,tid,0)),"",IF(VLOOKUP(MATCH(O80,tid,0),tao,'12(id)'!$DQ$20,FALSE)="","",VLOOKUP(MATCH(O80,tid,0),tao,'12(id)'!$DQ$20,FALSE)))</f>
        <v/>
      </c>
      <c r="AD80" s="117">
        <f>+IF(ISERROR(MATCH(O80,tid,0)),"",IF(VLOOKUP(MATCH(O80,tid,0),tao,'12(id)'!$EI$20,FALSE)="","",VLOOKUP(MATCH(O80,tid,0),tao,'12(id)'!$EI$20,FALSE)))</f>
        <v>3.09</v>
      </c>
      <c r="AE80" s="443" t="str">
        <f>+IF(ISERROR(MATCH(O80,tid,0)),"",IF(VLOOKUP(MATCH(O80,tid,0),tao,'12(id)'!$EJ$20,FALSE)="","",VLOOKUP(MATCH(O80,tid,0),tao,'12(id)'!$EJ$20,FALSE)))</f>
        <v/>
      </c>
      <c r="AF80" s="443">
        <f>+IF(ISERROR(MATCH(O80,tid,0)),"",IF(VLOOKUP(MATCH(O80,tid,0),tao,'12(id)'!$EL$20,FALSE)="","",VLOOKUP(MATCH(O80,tid,0),tao,'12(id)'!$EL$20,FALSE)))</f>
        <v>3.11</v>
      </c>
      <c r="AG80" s="118" t="str">
        <f>+IF(ISERROR(MATCH(O80,tid,0)),"",IF(VLOOKUP(MATCH(O80,tid,0),tao,'12(id)'!$EM$20,FALSE)="","",VLOOKUP(MATCH(O80,tid,0),tao,'12(id)'!$EM$20,FALSE)))</f>
        <v/>
      </c>
      <c r="AH80" s="989" t="s">
        <v>561</v>
      </c>
      <c r="AI80" s="990"/>
      <c r="AJ80" s="991"/>
      <c r="AK80" s="991"/>
      <c r="AL80" s="991"/>
      <c r="AM80" s="992"/>
      <c r="AN80" s="3550" t="s">
        <v>559</v>
      </c>
      <c r="AO80" s="3551">
        <f>+IF(ISERROR(MATCH(O80,tid,0)),"",IF(VLOOKUP(MATCH(O80,tid,0),tao,'12(id)'!$GY$20,FALSE)="","",VLOOKUP(MATCH(O80,tid,0),tao,'12(id)'!$GY$20,FALSE)))</f>
        <v>235.95</v>
      </c>
      <c r="AP80" s="4044" t="str">
        <f>+IF($BB80="","",IF(VLOOKUP(MATCH(O80,tid,0),tao,'12(id)'!$HE$20,FALSE)="","",VLOOKUP(MATCH(O80,tid,0),tao,'12(id)'!$HE$20,FALSE)))</f>
        <v/>
      </c>
      <c r="AQ80" s="3552" t="str">
        <f>+IF(ISERROR(VLOOKUP(MATCH(O80,tid,0),tao,'12(id)'!$HF$20,FALSE)),"",VLOOKUP(MATCH(O80,tid,0),tao,'12(id)'!$HF$20,FALSE))</f>
        <v/>
      </c>
      <c r="AR80" s="3553">
        <f>+IF(ISERROR(MATCH(O80,tid,0)),"",IF(VLOOKUP(MATCH(O80,tid,0),tao,'12(id)'!$HJ$20,FALSE)="","",VLOOKUP(MATCH(O80,tid,0),tao,'12(id)'!$HJ$20,FALSE)))</f>
        <v>3.11</v>
      </c>
      <c r="AS80" s="4050" t="str">
        <f>+IF(ISERROR(MATCH(O80,tid,0)),"",IF(VLOOKUP(MATCH(O80,tid,0),tao,'12(id)'!$HK$20,FALSE)="","",VLOOKUP(MATCH(O80,tid,0),tao,'12(id)'!$HK$20,FALSE)))</f>
        <v/>
      </c>
      <c r="AT80" s="3554">
        <f>+IF(ISERROR(MATCH(O80,tid,0)),"",IF(VLOOKUP(MATCH(O80,tid,0),tao,'12(id)'!$HM$20,FALSE)="","",VLOOKUP(MATCH(O80,tid,0),tao,'12(id)'!$HM$20,FALSE)))</f>
        <v>6</v>
      </c>
      <c r="AU80" s="8634" t="str">
        <f>+AU79</f>
        <v>CAIR-OS (max last 3 yrs)</v>
      </c>
      <c r="AV80" s="10395">
        <f>+MAX('5(em)'!CX46:CX47)</f>
        <v>316.2</v>
      </c>
      <c r="AW80" s="10391" t="str">
        <f>+IF(ISERROR(MATCH(O80,em_id,0)),"",IF(VLOOKUP(MATCH(O80,em_id,0),em,'5(em)'!$CZ$18,FALSE)="","",VLOOKUP(MATCH(O80,em_id,0),em,'5(em)'!$CZ$18,FALSE)))</f>
        <v/>
      </c>
      <c r="AX80" s="10394" t="str">
        <f t="shared" si="50"/>
        <v/>
      </c>
      <c r="AY80" s="10395"/>
      <c r="AZ80" s="10389">
        <f>+MAX('5(em)'!DA46:DA47)</f>
        <v>14.167340999999999</v>
      </c>
      <c r="BA80" s="729"/>
      <c r="BB80" s="730" t="str">
        <f t="shared" si="311"/>
        <v>8300-16-01</v>
      </c>
      <c r="BC80" s="731">
        <v>1</v>
      </c>
      <c r="BD80" s="730" t="str">
        <f>+IF(OR(D80="",VLOOKUP(MATCH(D80,op_id,0),op,'7(op)'!$T$18,FALSE)=""),"",VLOOKUP(MATCH(D80,op_id,0),op,'7(op)'!$T$18,FALSE))</f>
        <v>Selective Catalytic Reduction (SCR)</v>
      </c>
      <c r="BE80" s="730" t="s">
        <v>1093</v>
      </c>
      <c r="BF80" s="730" t="s">
        <v>1860</v>
      </c>
      <c r="BG80" s="732"/>
      <c r="BH80" s="746" t="s">
        <v>561</v>
      </c>
      <c r="BI80" s="747" t="s">
        <v>566</v>
      </c>
      <c r="BJ80" s="759"/>
      <c r="BK80" s="759"/>
      <c r="BL80" s="759"/>
      <c r="BM80" s="759"/>
      <c r="BN80" s="759" t="str">
        <f t="shared" si="12"/>
        <v/>
      </c>
      <c r="BO80" s="759" t="str">
        <f t="shared" si="13"/>
        <v/>
      </c>
      <c r="BP80" s="759" t="str">
        <f t="shared" si="14"/>
        <v/>
      </c>
      <c r="BQ80" s="759" t="str">
        <f t="shared" si="15"/>
        <v/>
      </c>
      <c r="BR80" s="760"/>
      <c r="BS80" s="761" t="s">
        <v>559</v>
      </c>
      <c r="BT80" s="753" t="s">
        <v>1754</v>
      </c>
      <c r="BU80" s="3712">
        <f>+IF(BB80="","",IF(VLOOKUP(MATCH(BB80,ef_id,0),ef,'11(eff)'!$Z$23,FALSE)="","",VLOOKUP(MATCH(BB80,ef_id,0),ef,'11(eff)'!$Z$23,FALSE)))</f>
        <v>0.93300000000000005</v>
      </c>
      <c r="BV80" s="3756" t="str">
        <f>+IF(BB80="","",IF(VLOOKUP(MATCH(BB80,ef_id,0),ef,'11(eff)'!$AA$23,FALSE)="","",VLOOKUP(MATCH(BB80,ef_id,0),ef,'11(eff)'!$AA$23,FALSE)))</f>
        <v/>
      </c>
      <c r="BW80" s="3779">
        <f>1.8*2</f>
        <v>3.6</v>
      </c>
      <c r="BX80" s="3800">
        <f t="shared" ref="BX80:BX103" si="511">+IF(OR(BB80="",BW80=""),"",BW80/IF(R80="",IF(R79="",R78,R79),R80))</f>
        <v>1.8</v>
      </c>
      <c r="BY80" s="3832">
        <f t="shared" ref="BY80:BY114" si="512">+IF($BB80="","",IF(BU80="","",BU80/2000*IF(AQ80="",IF(AQ79="",AQ78,AQ79),AQ80)))</f>
        <v>14.59561875</v>
      </c>
      <c r="BZ80" s="1063"/>
      <c r="CA80" s="3422"/>
      <c r="CB80" s="3851">
        <f t="shared" si="382"/>
        <v>4.2</v>
      </c>
      <c r="CC80" s="3871">
        <f t="shared" ref="CC80:CC105" si="513">+IF($BB80="","",IF(CB80="",IF(CD80="",IF(CD80="",IF(CE80="","",CE80)),CD80),CB80/IF($AT80="",IF($AT79="",$AT78,$AT79),$AT80)))</f>
        <v>0.70000000000000007</v>
      </c>
      <c r="CD80" s="3871">
        <f t="shared" ref="CD80:CD114" si="514">+IF($BB80="","",IF(BU80="","",(1-BU80/IF(AR80="",IF(AR79="",AR78,AR79),AR80))))</f>
        <v>0.7</v>
      </c>
      <c r="CE80" s="2370">
        <f>+IF(BB80="","",IF(VLOOKUP(MATCH(BB80,ef_id,0),ef,'11(eff)'!$AE$23,FALSE)="","",VLOOKUP(MATCH(BB80,ef_id,0),ef,'11(eff)'!$AE$23,FALSE)))</f>
        <v>0.9</v>
      </c>
      <c r="CF80" s="761" t="s">
        <v>1601</v>
      </c>
      <c r="CG80" s="1350" t="s">
        <v>1634</v>
      </c>
      <c r="CH80" s="2412" t="s">
        <v>1920</v>
      </c>
      <c r="CI80" s="4082">
        <f>+(1-CO80)*AR80</f>
        <v>0.31099999999999994</v>
      </c>
      <c r="CJ80" s="4083" t="str">
        <f>+IF(AY80="","",AY80*(1-CO80))</f>
        <v/>
      </c>
      <c r="CK80" s="4082">
        <f>+(1-CO80)*AZ80</f>
        <v>1.4167340999999996</v>
      </c>
      <c r="CL80" s="4084">
        <f>+CO80*AZ80</f>
        <v>12.750606899999999</v>
      </c>
      <c r="CM80" s="4085">
        <f>+IF($BB80="","",IF(CL80="","",CL80/IF($AZ80="",IF($AZ79="",$AZ78,$AZ79),$AZ80)))</f>
        <v>0.9</v>
      </c>
      <c r="CN80" s="4086"/>
      <c r="CO80" s="2370">
        <f>+IF(BB80="","",IF(VLOOKUP(MATCH(BB80,ef_id,0),ef,'11(eff)'!$AE$23,FALSE)="","",VLOOKUP(MATCH(BB80,ef_id,0),ef,'11(eff)'!$AE$23,FALSE)))</f>
        <v>0.9</v>
      </c>
      <c r="CP80" s="3998">
        <f>+IF(OR(BB80="",VLOOKUP(MATCH(BB80,ef_id,0),ef,'11(eff)'!$AG$23,FALSE)=""),"",IF(VLOOKUP(MATCH(BB80,ef_id,0),ef,'11(eff)'!$AG$23,FALSE)/100=VLOOKUP(MATCH(BB80,ef_id,0),ef,'11(eff)'!$AE$23,FALSE),VLOOKUP(MATCH(BB80,ef_id,0),ef,'11(eff)'!$AE$23,FALSE),""))</f>
        <v>0.9</v>
      </c>
      <c r="CQ80" s="1365" t="str">
        <f t="shared" si="51"/>
        <v>Selective Catalytic Reduction (SCR)</v>
      </c>
      <c r="CR80" s="1366"/>
      <c r="CS80" s="2767">
        <v>1129075</v>
      </c>
      <c r="CT80" s="1593">
        <f>2*534600</f>
        <v>1069200</v>
      </c>
      <c r="CU80" s="1498">
        <f>2*300000</f>
        <v>600000</v>
      </c>
      <c r="CV80" s="1886">
        <f t="shared" si="309"/>
        <v>20000</v>
      </c>
      <c r="CW80" s="1887">
        <f>2*10000</f>
        <v>20000</v>
      </c>
      <c r="CX80" s="1887">
        <v>20000</v>
      </c>
      <c r="CY80" s="1888"/>
      <c r="CZ80" s="2480">
        <v>20000</v>
      </c>
      <c r="DA80" s="1981"/>
      <c r="DB80" s="1981">
        <f>2*70000</f>
        <v>140000</v>
      </c>
      <c r="DC80" s="1886"/>
      <c r="DD80" s="1890"/>
      <c r="DE80" s="1891"/>
      <c r="DF80" s="1892"/>
      <c r="DG80" s="1892">
        <f>2*100000</f>
        <v>200000</v>
      </c>
      <c r="DH80" s="1890"/>
      <c r="DI80" s="1695">
        <f>+IF(CT80="","",SUM(CU80:DC80)+SUM(DE80:DF80))</f>
        <v>820000</v>
      </c>
      <c r="DJ80" s="1940">
        <f>2*24600</f>
        <v>49200</v>
      </c>
      <c r="DK80" s="1593"/>
      <c r="DL80" s="1498"/>
      <c r="DM80" s="1886" t="str">
        <f t="shared" si="310"/>
        <v/>
      </c>
      <c r="DN80" s="1887"/>
      <c r="DO80" s="1887"/>
      <c r="DP80" s="1888"/>
      <c r="DQ80" s="2480"/>
      <c r="DR80" s="1981"/>
      <c r="DS80" s="1981"/>
      <c r="DT80" s="1886"/>
      <c r="DU80" s="1890"/>
      <c r="DV80" s="1891"/>
      <c r="DW80" s="1892"/>
      <c r="DX80" s="1892"/>
      <c r="DY80" s="1890"/>
      <c r="DZ80" s="1695" t="str">
        <f t="shared" si="18"/>
        <v/>
      </c>
      <c r="EA80" s="1940"/>
      <c r="EB80" s="1498">
        <f t="shared" si="377"/>
        <v>1069200</v>
      </c>
      <c r="EC80" s="1965">
        <v>1</v>
      </c>
      <c r="ED80" s="1417">
        <f t="shared" si="20"/>
        <v>1069200</v>
      </c>
      <c r="EE80" s="1889"/>
      <c r="EF80" s="1981"/>
      <c r="EG80" s="1888">
        <f>2*240570</f>
        <v>481140</v>
      </c>
      <c r="EH80" s="1695">
        <f t="shared" si="353"/>
        <v>481140</v>
      </c>
      <c r="EI80" s="1891"/>
      <c r="EJ80" s="1892"/>
      <c r="EK80" s="2012"/>
      <c r="EL80" s="1461">
        <f>2*176418</f>
        <v>352836</v>
      </c>
      <c r="EM80" s="1891"/>
      <c r="EN80" s="1892"/>
      <c r="EO80" s="2012"/>
      <c r="EP80" s="1695">
        <f t="shared" si="378"/>
        <v>352836</v>
      </c>
      <c r="EQ80" s="1695"/>
      <c r="ER80" s="1695"/>
      <c r="ES80" s="1695"/>
      <c r="ET80" s="1461">
        <f>2*177487</f>
        <v>354974</v>
      </c>
      <c r="EU80" s="1429"/>
      <c r="EV80" s="1394"/>
      <c r="EW80" s="2587"/>
      <c r="EX80" s="2587"/>
      <c r="EY80" s="2694">
        <f>+IF(BB80="","",(IF(ED80="",0,ED80)+IF(EH80="",0,EH80)+IF(EP80="",0,EP80)+IF(ET80="",0,ET80)+IF(EW80="",0,EW80)+IF(EX80="",0,EX80)))</f>
        <v>2258150</v>
      </c>
      <c r="EZ80" s="2723"/>
      <c r="FA80" s="1394"/>
      <c r="FB80" s="1502">
        <f t="shared" ref="FB80:FB113" si="515">+IF(BB80="","",(IF(EY80="",0,EY80)+IF(FA80="",0,FA80)-IF(EZ80="",0,EZ80)))</f>
        <v>2258150</v>
      </c>
      <c r="FC80" s="1089">
        <f t="shared" ref="FC80:FC113" si="516">+IF(OR(ED80="",IF(R80="",IF(R79="",R78,R79),R80)=""),"",ED80/IF(R80="",IF(R79="",R78,R79),R80))</f>
        <v>534600</v>
      </c>
      <c r="FD80" s="2048">
        <f t="shared" ref="FD80:FD113" si="517">+IF(OR(BB80="",IF(R80="",IF(R79="",R78,R79),R80)="",(CU80+DL80)=0),"",(CU80+DL80)/IF(R80="",IF(R79="",R78,R79),R80))</f>
        <v>300000</v>
      </c>
      <c r="FE80" s="2032">
        <f t="shared" si="509"/>
        <v>0.5611672278338945</v>
      </c>
      <c r="FF80" s="2048">
        <f t="shared" ref="FF80:FF113" si="518">+IF(OR(BB80="",CT80="",IF(R80="",IF(R79="",R78,R79),R80)=""),"",(SUM(CV80:CZ80)+(IF(DM80="",0,DM80)+SUM(DN80:DQ80)))/IF(R80="",IF(R79="",R78,R79),R80))</f>
        <v>40000</v>
      </c>
      <c r="FG80" s="2032">
        <f t="shared" ref="FG80:FG113" si="519">+IF(OR(BB80="",ISERROR(FF80/FC80)),"",FF80/FC80)</f>
        <v>7.4822297044519273E-2</v>
      </c>
      <c r="FH80" s="2048">
        <f t="shared" ref="FH80:FH113" si="520">+IF(OR(BB80="",IF(R80="",IF(R79="",R78,R79),R80)="",),"",(DA80+DR80)/IF(R80="",IF(R79="",R78,R79),R80))</f>
        <v>0</v>
      </c>
      <c r="FI80" s="2032">
        <f t="shared" si="510"/>
        <v>0</v>
      </c>
      <c r="FJ80" s="2795">
        <f t="shared" ref="FJ80:FJ113" si="521">+IF(OR(BB80="",CT80=""),"",IF(FD80="",0,FD80)+IF(FF80="",0,FF80)+IF(FH80="",0,FH80))</f>
        <v>340000</v>
      </c>
      <c r="FK80" s="2809">
        <f t="shared" ref="FK80:FK113" si="522">+IF(OR(BB80="",ISERROR(FJ80/FC80)),"",FJ80/FC80)</f>
        <v>0.63598952487841376</v>
      </c>
      <c r="FL80" s="2781">
        <f t="shared" ref="FL80:FL113" si="523">+IF(OR(BB80="",CT80="",IF(R80="",IF(R79="",R78,R79),R80)=""),"",(DB80+DC80+DS80+DT80)/IF(R80="",IF(R79="",R78,R79),R80))</f>
        <v>70000</v>
      </c>
      <c r="FM80" s="2032">
        <f t="shared" ref="FM80:FM113" si="524">+IF(OR(BB80="",ISERROR(FL80/FC80)),"",FL80/FC80)</f>
        <v>0.1309390198279087</v>
      </c>
      <c r="FN80" s="2781">
        <f t="shared" ref="FN80:FN113" si="525">+IF(OR(BB80="",CT80="",IF(R80="",IF(R79="",R78,R79),R80)=""),"",(DD80+DU80)/IF(R80="",IF(R79="",R78,R79),R80))</f>
        <v>0</v>
      </c>
      <c r="FO80" s="2771">
        <f t="shared" ref="FO80:FO113" si="526">+IF(OR(BB80="",ISERROR(FN80/FC80)),"",FN80/FC80)</f>
        <v>0</v>
      </c>
      <c r="FP80" s="2781">
        <f t="shared" ref="FP80:FP113" si="527">+IF(OR(BB80="",CT80="",IF(R80="",IF(R79="",R78,R79),R80)=""),"",(DG80+DH80+DX80+DY80)/IF(R80="",IF(R79="",R78,R79),R80))</f>
        <v>100000</v>
      </c>
      <c r="FQ80" s="2771">
        <f t="shared" ref="FQ80:FQ113" si="528">+IF(OR(BB80="",ISERROR(FL80/FC80)),"",FP80/FC80)</f>
        <v>0.18705574261129818</v>
      </c>
      <c r="FR80" s="2845">
        <f t="shared" ref="FR80:FR113" si="529">+IF(OR(BB80="",IF(R80="",IF(R79="",R78,R79),R80)="",(IF(DI80="",0,DI80)+IF(DZ80="",0,DZ80))=0),"",(IF(DI80="",0,DI80)+IF(DZ80="",0,DZ80))/IF(R80="",IF(R79="",R78,R79),R80))</f>
        <v>410000</v>
      </c>
      <c r="FS80" s="2827">
        <f t="shared" ref="FS80:FS113" si="530">+IF(OR(DJ80="",IF(R80="",IF(R79="",R78,R79),R80)=""),"",(DJ80+EA80)/IF(R80="",IF(R79="",R78,R79),R80))</f>
        <v>24600</v>
      </c>
      <c r="FT80" s="1078">
        <f t="shared" ref="FT80:FT113" si="531">+IF(OR(BB80="",ISERROR(FS80/FR80)),"",FS80/FR80)</f>
        <v>0.06</v>
      </c>
      <c r="FU80" s="2894">
        <f t="shared" ref="FU80:FU113" si="532">+IF(OR(BB80="",ISERROR(1-(FR80+IF(FS80="",0,FS80)+FN80+FP80)*IF(R80="",IF(R79="",R78,R79),R80)/(CT80+DK80))),"",1-(FR80+IF(FS80="",0,FS80)+FN80+FP80)*IF(R80="",IF(R79="",R78,R79),R80)/(CT80+DK80))</f>
        <v>0</v>
      </c>
      <c r="FV80" s="1084">
        <f t="shared" ref="FV80:FV113" si="533">+IF(FC80="","",FC80/IF(OR(ISTEXT(T80),T80=""),IF(OR(ISTEXT(T79),T79=""),IF(OR(ISTEXT(T78),T78=""),1,T78),T79),T80))</f>
        <v>194400</v>
      </c>
      <c r="FW80" s="2110">
        <f t="shared" ref="FW80:FW113" si="534">+IF(OR(EH80="",IF(R80="",IF(R79="",R78,R79),R80)=""),"",EH80/IF(R80="",IF(R79="",R78,R79),R80))</f>
        <v>240570</v>
      </c>
      <c r="FX80" s="1742">
        <f t="shared" ref="FX80:FX113" si="535">+IF(ISERR(FW80/$FC80),"",FW80/$FC80)</f>
        <v>0.45</v>
      </c>
      <c r="FY80" s="2111">
        <f t="shared" ref="FY80:FY113" si="536">+IF(OR(EP80="",IF(R80="",IF(R79="",R78,R79),R80)=""),"",EP80/IF(R80="",IF(R79="",R78,R79),R80))</f>
        <v>176418</v>
      </c>
      <c r="FZ80" s="1742">
        <f t="shared" ref="FZ80:FZ113" si="537">+IF(ISERR(FY80/$FC80),"",FY80/$FC80)</f>
        <v>0.33</v>
      </c>
      <c r="GA80" s="1742" t="str">
        <f t="shared" ref="GA80:GA114" si="538">+IF(IF(V80="",V79,V80)="Utility Boiler",IF(ISERR(FY80/(FC80+FW80)),"",FY80/(FC80+FW80)),"")</f>
        <v/>
      </c>
      <c r="GB80" s="2111">
        <f t="shared" ref="GB80:GB113" si="539">+IF(OR(ET80="",IF(R80="",IF(R79="",R78,R79),R80)=""),"",ET80/IF(R80="",IF(R79="",R78,R79),R80))</f>
        <v>177487</v>
      </c>
      <c r="GC80" s="1742">
        <f t="shared" ref="GC80:GC113" si="540">+IF(ISERR(GB80/$FC80),"",GB80/$FC80)</f>
        <v>0.33199962588851478</v>
      </c>
      <c r="GD80" s="1742" t="str">
        <f t="shared" ref="GD80:GD114" si="541">+IF(IF(V80="",V79,V80)="Utility Boiler",IF(ISERR(GB80/($FC80)),"",GB80/(FC80+FW80+FY80)),"")</f>
        <v/>
      </c>
      <c r="GE80" s="1091">
        <f t="shared" ref="GE80:GE113" si="542">+IF(OR(FB80="",IF(R80="",IF(R79="",R78,R79),R80)=""),"",FB80/IF(R80="",IF(R79="",R78,R79),R80))</f>
        <v>1129075</v>
      </c>
      <c r="GF80" s="2146">
        <f t="shared" ref="GF80:GF94" si="543">+IF(FB80="","",(IF(FA80="",0,FA80)-IF(EZ80="",0,EZ80))+(IF(EU80="",0,EU80)+IF(EV80="",0,EV80)+(IF(EW80="",0,EW80)+IF(EX80="",0,EX80))/IF(R80="",IF(R79="",R78,R79),R80)+IF(FC80="",0,FC80)+IF(FW80="",0,FW80)+IF(FY80="",0,FY80)+IF(GB80="",0,GB80)))</f>
        <v>1129075</v>
      </c>
      <c r="GG80" s="2171">
        <f t="shared" ref="GG80:GG113" si="544">+IF(OR(CS80="",IF(R80="",IF(R79="",R78,R79),R80)="",GF80=0),"",1-(CS80/IF(R80="",IF(R79="",R78,R79),R80))/GF80)</f>
        <v>0.5</v>
      </c>
      <c r="GH80" s="3179">
        <f t="shared" ref="GH80:GH104" si="545">+IF(ISERROR(GF80/IF(T80="",IF(T79="",T78,T79),T80)),"",IF(IF(T80="",IF(T79="",T78,T79),T80)="","",IF(GF80="","",GF80/IF(T80="",IF(T79="",T78,T79),T80))))</f>
        <v>410572.72727272729</v>
      </c>
      <c r="GI80" s="3202">
        <v>666775</v>
      </c>
      <c r="GJ80" s="3188">
        <v>79606</v>
      </c>
      <c r="GK80" s="3456">
        <f t="shared" si="423"/>
        <v>8.4</v>
      </c>
      <c r="GL80" s="3247">
        <f t="shared" ref="GL80:GL109" si="546">+IF(OR(BB80="",GI80="",GJ80=""),"",(GJ80-GI80/GK80)/GJ80)</f>
        <v>2.864404812750502E-3</v>
      </c>
      <c r="GM80" s="1307"/>
      <c r="GN80" s="2196"/>
      <c r="GO80" s="1870">
        <f>2*10000</f>
        <v>20000</v>
      </c>
      <c r="GP80" s="1090">
        <f t="shared" si="354"/>
        <v>17453</v>
      </c>
      <c r="GQ80" s="1458">
        <f>17769+19684</f>
        <v>37453</v>
      </c>
      <c r="GR80" s="2324">
        <f>2*3000</f>
        <v>6000</v>
      </c>
      <c r="GS80" s="2324">
        <f>21384+21384</f>
        <v>42768</v>
      </c>
      <c r="GT80" s="1088">
        <f>2*290277</f>
        <v>580554</v>
      </c>
      <c r="GU80" s="2315">
        <f t="shared" ref="GU80:GU104" si="547">+IF(OR(SUM(GQ80:GT80)=0,GT80=""),IF(GK80=1,GJ80*GK80,IF(GI80="","",GI80)),SUM(GQ80:GT80))</f>
        <v>666775</v>
      </c>
      <c r="GV80" s="756">
        <f t="shared" ref="GV80:GV104" si="548">+IF(OR(GO80="",IF(R80="",IF(R79="",R78,R79),R80)=""),"",GO80/IF(R80="",IF(R79="",R78,R79),R80))</f>
        <v>10000</v>
      </c>
      <c r="GW80" s="2259">
        <f t="shared" ref="GW80:GW104" si="549">+IF(OR(GP80="",IF(R80="",IF(R79="",R78,R79),R80)=""),"",GP80/IF(R80="",IF(R79="",R78,R79),R80))</f>
        <v>8726.5</v>
      </c>
      <c r="GX80" s="758">
        <f t="shared" ref="GX80:GX104" si="550">+IF(OR(GQ80="",IF(R80="",IF(R79="",R78,R79),R80)=""),"",GQ80/IF(R80="",IF(R79="",R78,R79),R80))</f>
        <v>18726.5</v>
      </c>
      <c r="GY80" s="1299">
        <f t="shared" ref="GY80:GY104" si="551">+IF(OR(GR80="",IF(R80="",IF(R79="",R78,R79),R80)=""),"",GR80/IF(R80="",IF(R79="",R78,R79),R80))</f>
        <v>3000</v>
      </c>
      <c r="GZ80" s="1299">
        <f t="shared" ref="GZ80:GZ104" si="552">+IF(OR(GS80="",IF(R80="",IF(R79="",R78,R79),R80)=""),"",GS80/IF(R80="",IF(R79="",R78,R79),R80))</f>
        <v>21384</v>
      </c>
      <c r="HA80" s="1088">
        <f t="shared" ref="HA80:HA104" si="553">+IF(OR(GT80="",IF(R80="",IF(R79="",R78,R79),R80)=""),"",GT80/IF(R80="",IF(R79="",R78,R79),R80))</f>
        <v>290277</v>
      </c>
      <c r="HB80" s="2266">
        <f t="shared" si="432"/>
        <v>333387.5</v>
      </c>
      <c r="HC80" s="1290">
        <f t="shared" ref="HC80:HC104" si="554">+IF(OR(GU80="",IF(R80="",IF(R79="",R78,R79),R80)=""),"",GU80/IF(R80="",IF(R79="",R78,R79),R80))</f>
        <v>333387.5</v>
      </c>
      <c r="HD80" s="1291">
        <f t="shared" si="375"/>
        <v>0</v>
      </c>
      <c r="HE80" s="1307"/>
      <c r="HF80" s="1086">
        <f t="shared" ref="HF80:HF114" si="555">+IF(OR(BB80="",GJ80=""),"",GJ80)</f>
        <v>79606</v>
      </c>
      <c r="HG80" s="1292">
        <f t="shared" si="23"/>
        <v>26146.794628261971</v>
      </c>
      <c r="HH80" s="2992">
        <f>+IF(BF80="","",VALUE(LEFT(BF80,1)))</f>
        <v>1</v>
      </c>
      <c r="HI80" s="1293">
        <f t="shared" si="355"/>
        <v>410000</v>
      </c>
      <c r="HJ80" s="1734">
        <f t="shared" si="356"/>
        <v>100000</v>
      </c>
      <c r="HK80" s="1734">
        <f t="shared" si="357"/>
        <v>0</v>
      </c>
      <c r="HL80" s="1734">
        <f>+IF(FR80="","",IF(HH80="","",IF(HH80=4,FS80,IF(HH80=3,FS80,IF(HH80=2,$HL$7*HI80,IF(HH80=1,$HL$6*HI80,""))))))</f>
        <v>24600</v>
      </c>
      <c r="HM80" s="1294">
        <f t="shared" si="358"/>
        <v>534600</v>
      </c>
      <c r="HN80" s="1324">
        <f t="shared" si="347"/>
        <v>194400</v>
      </c>
      <c r="HO80" s="2945">
        <f>+IF(FR80="","",IF(HH80="","",IF(HH80=4,FW80,IF(HH80=3,FW80,IF(HH80=2,$HO$7*HM80,IF(HH80=1,$HO$6*HM80,""))))))</f>
        <v>240570</v>
      </c>
      <c r="HP80" s="2487">
        <f>+IF(FR80="","",IF(HH80="","",IF(HH80=4,FY80,IF(HH80=3,FY80,IF(HH80=2,$HP$7*(HM80+HO80),IF(HH80=1,$HP$6*HM80,""))))))</f>
        <v>176418</v>
      </c>
      <c r="HQ80" s="3008" t="str">
        <f t="shared" ref="HQ80:HQ114" si="556">+IF(FR80="","",IF(HH80="","",IF(HH80=3,$HQ$8*(HI80+HO80+HP80),"")))</f>
        <v/>
      </c>
      <c r="HR80" s="1092">
        <f t="shared" ref="HR80:HR114" si="557">+IF(FR80="","",IF(HH80="","",IF(HH80=4,GB80,IF(HH80=3,$HR$8*HO80,IF(HH80=2,$HR$7*(HM80+HO80+HP80),IF(HH80=1,$HR$6*HM80,""))))))</f>
        <v>106920</v>
      </c>
      <c r="HS80" s="1092">
        <f t="shared" ref="HS80:HS114" si="558">IF(FR80="","",SUM(HQ80:HR80))</f>
        <v>106920</v>
      </c>
      <c r="HT80" s="2951" t="str">
        <f>+IF(FR80="","",IF(HH80="","",IF(HH80=2,$HT$7*(HP80+HR80),"")))</f>
        <v/>
      </c>
      <c r="HU80" s="2947" t="str">
        <f>+IF(FR80="","",IF(HH80="","",IF(HH80=2,$HU$7*(HP80+HR80),"")))</f>
        <v/>
      </c>
      <c r="HV80" s="2951" t="str">
        <f t="shared" ref="HV80:HV114" si="559">+IF(FR80="","",IF(HH80="","",IF(HH80=3,$HV$8*(HI80+HO80+HP80+HS80),"")))</f>
        <v/>
      </c>
      <c r="HW80" s="2947" t="str">
        <f t="shared" ref="HW80:HW114" si="560">+IF(FR80="","",IF(HH80="","",IF(HH80=3,$HW$8*(HI80+HO80+HP80+HS80),"")))</f>
        <v/>
      </c>
      <c r="HX80" s="3030">
        <f t="shared" si="199"/>
        <v>1058508</v>
      </c>
      <c r="HY80" s="2946" t="str">
        <f t="shared" ref="HY80:HY104" si="561">+IF(EZ80="","",EZ80/IF(R80="",IF(R79="",IF(R78="",1,R78),R79),R80))</f>
        <v/>
      </c>
      <c r="HZ80" s="2947" t="str">
        <f t="shared" ref="HZ80:HZ104" si="562">+IF(FA80="","",FA80/IF(R80="",IF(R79="",IF(R78="",1,R78),R79),R80))</f>
        <v/>
      </c>
      <c r="IA80" s="1089">
        <f t="shared" ref="IA80:IA104" si="563">+IF(HM80="","",HX80-IF(HY80="",0,HY80)+IF(HZ80="",0,HZ80))</f>
        <v>1058508</v>
      </c>
      <c r="IB80" s="1295" t="str">
        <f t="shared" ref="IB80:IB114" si="564">+IF(BB80="","",IF(ISERROR(GF80-IA80),"",IF((GF80-IA80)&gt;0,"stk added + "&amp;ROUND((GF80-IA80)/GF80*100,0)&amp;"%",IF(GF80=IA80,"same TCC",(GF80-IA80)/GF80))))</f>
        <v>stk added + 6%</v>
      </c>
      <c r="IC80" s="2908">
        <f t="shared" ref="IC80:IC90" si="565">+IF(OR(IA80="",ISERROR(IA80/IF(T80="",IF(T79="",IF(T78="",1,T78),T79),T80))),"",IA80/IF(T80="",IF(T79="",IF(T78="",1,T78),T79),T80))</f>
        <v>384912</v>
      </c>
      <c r="ID80" s="1307"/>
      <c r="IE80" s="4108"/>
      <c r="IF80" s="4113">
        <f>+IF(GO80="","",GO80)</f>
        <v>20000</v>
      </c>
      <c r="IG80" s="6781">
        <f>+IF(AO80="","",IF(IF80="","",(IF80/AO80)))</f>
        <v>84.763721127357499</v>
      </c>
      <c r="IH80" s="4092">
        <f>+IF(GP80="","",GP80)</f>
        <v>17453</v>
      </c>
      <c r="II80" s="6799"/>
      <c r="IJ80" s="4119">
        <f>+IF(SUM(IF(IH80="",0,IH80)+IF(IF80="",0,IF80))=0,"",IF(IH80="",0,IH80)+IF(IF80="",0,IF80))</f>
        <v>37453</v>
      </c>
      <c r="IK80" s="4145">
        <v>1</v>
      </c>
      <c r="IL80" s="4207">
        <f>+IF(IF80="","",IK80*$IL$8*IF80)</f>
        <v>6000</v>
      </c>
      <c r="IM80" s="4208">
        <f>IF(HM80="","",IK80*$IM$8*IA80)</f>
        <v>42340.32</v>
      </c>
      <c r="IN80" s="4234">
        <f>+IF(SUM(IF(IM80="",0,IM80)+IF(IL80="",0,IL80))=0,"",IF(IM80="",0,IM80)+IF(IL80="",0,IL80))</f>
        <v>48340.32</v>
      </c>
      <c r="IO80" s="4234">
        <f>+IF(SUM(IF(IN80="",0,IN80)+IF(IJ80="",0,IJ80))=0,"",IF(IN80="",0,IN80)+IF(IJ80="",0,IJ80))</f>
        <v>85793.32</v>
      </c>
      <c r="IP80" s="7233">
        <f t="shared" ref="IP80" si="566">+IF(BB80="","",IF(IJ80="","",IJ80/IF(R80="",IF(R79="",IF(R78="",R77,R78),R79),R80)))</f>
        <v>18726.5</v>
      </c>
      <c r="IQ80" s="7241">
        <f t="shared" ref="IQ80" si="567">+IF(IP80="","",IP80/IX80)</f>
        <v>0.1311266358289119</v>
      </c>
      <c r="IR80" s="7233">
        <f t="shared" ref="IR80" si="568">+IF(BB80="","",IF(IN80="","",IN80/IF(R80="",IF(R79="",IF(R78="",R77,R78),R79),R80)))</f>
        <v>24170.16</v>
      </c>
      <c r="IS80" s="7241">
        <f t="shared" ref="IS80" si="569">+IF(IR80="","",IR80/IX80)</f>
        <v>0.16924421372101212</v>
      </c>
      <c r="IT80" s="4234">
        <f>+IF(BB80="","",IF(IO80="","",IO80/IF(R80="",IF(R79="",IF(R78="",R77,R78),R79),R80)))</f>
        <v>42896.66</v>
      </c>
      <c r="IU80" s="6851">
        <f>+IF(IT80="","",IT80/IX80)</f>
        <v>0.30037084954992405</v>
      </c>
      <c r="IV80" s="7267">
        <f>+IF(D80="","",IF(IF(V80="",IF(V79="",IF(V78="",V77,V78),V79),V80)="Utility Boiler",2,1))</f>
        <v>1</v>
      </c>
      <c r="IW80" s="7252">
        <f>IF(IA80="","",IF(IV80=1,$IW$5,IF(IV80=2,$IW$8,""))*IA80)</f>
        <v>99915.667042642104</v>
      </c>
      <c r="IX80" s="4118">
        <f>+IF(SUM(IF(IW80="",0,IW80)+IF(IT80="",0,IT80))=0,IY80,IF(IW80="",0,IW80)+IF(IT80="",0,IT80))</f>
        <v>142812.32704264211</v>
      </c>
      <c r="IY80" s="4258">
        <f>+HC80</f>
        <v>333387.5</v>
      </c>
      <c r="IZ80" s="4305">
        <f>+IF(IY80="","",(IY80-IX80)/IY80)</f>
        <v>0.57163262856993102</v>
      </c>
      <c r="JA80" s="4159" t="str">
        <f>+IF(BB80="","",IF(ISERROR(IY80-IX80),"",IF((IY80-IX80)&gt;0,"stk added + "&amp;ROUND((IY80-IX80)/IY80*100,0)&amp;"%",IF(IY80=IX80,"same TAC",(IY80-IX80)/IY80))))</f>
        <v>stk added + 57%</v>
      </c>
      <c r="JB80" s="4156" t="str">
        <f>+"Stakholder reported an large CR of $"&amp;HA80&amp;" hence Annual Costs of $"&amp;HB80</f>
        <v>Stakholder reported an large CR of $290277 hence Annual Costs of $333387.5</v>
      </c>
      <c r="JC80" s="4341"/>
      <c r="JD80" s="1086">
        <f t="shared" ref="JD80:JD98" si="570">+IF(OR(IX80="",$CB80=""),"",IX80/$CB80)</f>
        <v>34002.935010152883</v>
      </c>
      <c r="JE80" s="4337">
        <f t="shared" ref="JE80:JE98" si="571">+IF(OR(IX80="",$CL80=""),"",IX80/$CL80)</f>
        <v>11200.433686230426</v>
      </c>
      <c r="JF80" s="7043">
        <f>+IF(D80="","",IF(T80="",IF(T79="",T78/IF(Y78="TP",2,1),T79/IF(Y79="TP",2,1)),T80/IF(Y80="TP",2,1)))</f>
        <v>2.75</v>
      </c>
      <c r="JG80" s="1981" t="s">
        <v>1093</v>
      </c>
      <c r="JH80" s="6974">
        <f>+IF(D80="","",IF(HX80="","",HX80))</f>
        <v>1058508</v>
      </c>
      <c r="JI80" s="6974">
        <f>+JH80</f>
        <v>1058508</v>
      </c>
      <c r="JJ80" s="6974"/>
      <c r="JK80" s="6974"/>
      <c r="JL80" s="7011"/>
      <c r="JM80" s="1887">
        <f>+IF(D80="","",IF(JG80="SCR",(JF80*49700+459000),IF(JG80="HPWI",(0.0353*JF80+0.2915)*(10^6),"N/A")))</f>
        <v>595675</v>
      </c>
      <c r="JN80" s="1981">
        <f>+IF(D80="","",IF(JM80="N/A","",JM80*$JN$27))</f>
        <v>1030517.75</v>
      </c>
      <c r="JO80" s="1981">
        <f>+JN80</f>
        <v>1030517.75</v>
      </c>
      <c r="JP80" s="7066"/>
      <c r="JQ80" s="7066"/>
      <c r="JR80" s="1981"/>
      <c r="JS80" s="1888">
        <f>+IF(D80="","",SUM(JO80:JR80))</f>
        <v>1030517.75</v>
      </c>
      <c r="JT80" s="7175">
        <f t="shared" si="476"/>
        <v>2</v>
      </c>
      <c r="JU80" s="7176">
        <f>+IF(D80="","",IF(AV80="",IF(AV79="",IF(AV78="","",AV78),AV79),AV80))</f>
        <v>316.2</v>
      </c>
      <c r="JV80" s="8381">
        <f>+JV76/T76*T80</f>
        <v>2065.3874999999998</v>
      </c>
      <c r="JW80" s="8408">
        <f t="shared" ref="JW80" si="572">+CL80</f>
        <v>12.750606899999999</v>
      </c>
      <c r="JX80" s="8437">
        <f t="shared" ref="JX80" si="573">+IF(OR(D80="",JU80=""),"",IF(JT80=2,24000/JU80,""))</f>
        <v>75.901328273244786</v>
      </c>
      <c r="JY80" s="8472">
        <f t="shared" ref="JY80:JY83" si="574">+IF(D80="","",IF(JT80=2,($JY$8*(1+$JY$8)^JX80)/((1+$JY$8)^JX80-1),""))</f>
        <v>7.0414375025996651E-2</v>
      </c>
      <c r="JZ80" s="7177">
        <f t="shared" ref="JZ80" si="575">+IF(OR(D80="",JU80="",ISERROR(JF80)),"",IF(JT80=2,JF80*6180/83,""))</f>
        <v>204.75903614457832</v>
      </c>
      <c r="KA80" s="7175" t="str">
        <f>+IF(OR(D80="",JV80=""),"",IF(JT80=1,JV80*10^6/$KA$8/JU80,""))</f>
        <v/>
      </c>
      <c r="KB80" s="7176" t="str">
        <f>+IF(OR(D80="",KA80=""),"",IF(JT80=1,KA80*$KB$8,""))</f>
        <v/>
      </c>
      <c r="KC80" s="7177" t="str">
        <f t="shared" ref="KC80" si="576">+IF(OR(D80="",KB80=""),"",IF(JT80=1,KB80*7.48/62.4/60,""))</f>
        <v/>
      </c>
      <c r="KD80" s="7175">
        <f>+IF(OR(D80="",JV80=""),"",IF(JT80=1,$KD$5*JU80*$KD$6/1000,$KD$7*JU80*$KD$8/1000))</f>
        <v>13420.792800000001</v>
      </c>
      <c r="KE80" s="8345">
        <f>+IF(OR(D80="",JW80="",JW80=0),"",IF(JT80=2,JW80*$KE$8*$KG$4,""))</f>
        <v>7941.0779773200002</v>
      </c>
      <c r="KF80" s="8345">
        <f>+IF(OR(D80="",JW80="",JW80=0),"",IF(JT80=2,JW80*(0.95/0.05)*(18/17)*($KF$8/1000)*(2000)*$KG$4,""))</f>
        <v>5325.1934671439976</v>
      </c>
      <c r="KG80" s="7176">
        <f>+IF(D80="","",IF(JT80=1,$KG$2*KC80/1000*60*JU80*$KG$4*$KG$6,IF(OR(JZ80="",JY80=""),"",JZ80*$KG$8*JY80*$KG$4)))</f>
        <v>374.14656960914215</v>
      </c>
      <c r="KH80" s="7176">
        <f>IF(D80="","",IF(JT80=2,0.005*JF80*$KD$6/1000*1000*JU80,""))</f>
        <v>1687.62264</v>
      </c>
      <c r="KI80" s="7176">
        <f>IF(D80="","",IF(JT80=2,0.1*0.005*JF80*$KD$6/1000*1000*JU80,""))</f>
        <v>168.76226399999999</v>
      </c>
      <c r="KJ80" s="7176">
        <f>+IF(OR(D80="",JU80="",JV80=""),"",IF(JT80=1,KD80+KG80,KD80+KE80+KF80+KG80+KH80+KI80))</f>
        <v>28917.595718073142</v>
      </c>
      <c r="KK80" s="7176">
        <f>+IF(OR(D80="",JU80="",JV80=""),"",$KK$7*$KG$4*JU80)</f>
        <v>33171.656640000001</v>
      </c>
      <c r="KL80" s="7176">
        <f>+IF(OR(D80="",JU80="",JV80="",JS80=""),"",IF(JT80=1,$KL$7*JS80*JU80/$KL$8,$KL$7*IF(JN80="",JS80,JN80)*JU80/$KL$8))</f>
        <v>1221.9364220625</v>
      </c>
      <c r="KM80" s="7176">
        <f t="shared" ref="KM80" si="577">+IF(D80="","",IF(KK80="",0,KK80)+IF(KL80="",0,KL80))</f>
        <v>34393.5930620625</v>
      </c>
      <c r="KN80" s="7176" t="str">
        <f>+IF(D80="","",IF(JX80&lt;41,$KN$8*JZ80*JY80,""))</f>
        <v/>
      </c>
      <c r="KO80" s="7176">
        <f>+IF(OR(D80="",JU80="",JV80=""),"",IF(KM80="",0,KM80)+IF(KN80="",0,KN80))</f>
        <v>34393.5930620625</v>
      </c>
      <c r="KP80" s="7177">
        <f t="shared" ref="KP80" si="578">+IF(OR(D80="",JU80="",JV80=""),"",IF(KJ80="",0,KJ80)+IF(KO80="",0,KO80))</f>
        <v>63311.188780135642</v>
      </c>
      <c r="KQ80" s="1889">
        <f>+IF(D80="","",VLOOKUP(MATCH(BE80,ac_id,0),ad,ac!$F$8,FALSE)*JV80)</f>
        <v>619.61624999999992</v>
      </c>
      <c r="KR80" s="7066">
        <f>+IF(D80="","",IF(JT80=1,VLOOKUP(MATCH(BE80,ac_id,0),ad,ac!$H$8,FALSE)*JU80, (VLOOKUP(MATCH(BE80,ac_id,0),ad,ac!$H$8,FALSE)*JU80^(1+VLOOKUP(MATCH(BE80,ac_id,0),ad,ac!$I$8,FALSE)))))</f>
        <v>20087.580786558861</v>
      </c>
      <c r="KS80" s="1888">
        <f>+IF(D80="","",KQ80+KR80)</f>
        <v>20707.19703655886</v>
      </c>
      <c r="KT80" s="1889">
        <f t="shared" ref="KT80" si="579">+IF(D80="","",IF(KK80="","",$KT$26*KM80))</f>
        <v>20636.1558372375</v>
      </c>
      <c r="KU80" s="1981">
        <f t="shared" ref="KU80" si="580">+IF(D80="","",IF(JS80="","",$KU$26*IF(JN80="",JS80,JN80)))</f>
        <v>41220.71</v>
      </c>
      <c r="KV80" s="7391">
        <f t="shared" ref="KV80" si="581">+IF(D80="","",IV80)</f>
        <v>1</v>
      </c>
      <c r="KW80" s="7344">
        <f>IF(JS80="","",IF(KV80=1,$KW$5,IF(KV80=2,$KW$8,""))*JS80)</f>
        <v>88429.261132576576</v>
      </c>
      <c r="KX80" s="1888">
        <f>+IF(D80="","",IF(KW80="","",IF(KT80="",0,KT80)+IF(KU80="",0,KU80)+KW80))</f>
        <v>150286.12696981407</v>
      </c>
      <c r="KY80" s="7365">
        <f>+IF(D80="","",IF(KX80="","",IF(KP80="",0,KP80)+KX80))</f>
        <v>213597.31574994972</v>
      </c>
      <c r="KZ80" s="7366"/>
      <c r="LA80" s="7344">
        <f>+IF(OR(KY80="",$CB80=""),"",KY80/$CB80)</f>
        <v>50856.503749988027</v>
      </c>
      <c r="LB80" s="7367">
        <f>+IF(OR(KY80="",$CL80=""),"",KY80/$CL80)</f>
        <v>16751.933255031941</v>
      </c>
      <c r="LC80" s="5133"/>
      <c r="LD80" s="5132"/>
      <c r="LE80" s="5132"/>
      <c r="LF80" s="5132"/>
      <c r="LG80" s="5132"/>
      <c r="LH80" s="5132"/>
      <c r="LI80" s="5132"/>
      <c r="LJ80" s="5132"/>
    </row>
    <row r="81" spans="1:322" s="13" customFormat="1" ht="27.95" customHeight="1" thickBot="1">
      <c r="A81" s="5955" t="str">
        <f t="shared" si="508"/>
        <v>8300-17</v>
      </c>
      <c r="B81" s="10718" t="str">
        <f>+IF(A81="","",VLOOKUP(MATCH(A81,tid,0),tao,'12(id)'!$J$20,FALSE))</f>
        <v>NRG</v>
      </c>
      <c r="C81" s="6366" t="str">
        <f t="shared" si="47"/>
        <v>MV11</v>
      </c>
      <c r="D81" s="1129" t="str">
        <f t="shared" si="48"/>
        <v/>
      </c>
      <c r="E81" s="657"/>
      <c r="F81" s="657" t="str">
        <f t="shared" si="49"/>
        <v/>
      </c>
      <c r="G81" s="5133"/>
      <c r="H81" s="5132"/>
      <c r="I81" s="5133"/>
      <c r="J81" s="719">
        <f t="shared" si="68"/>
        <v>47</v>
      </c>
      <c r="K81" s="1017">
        <f>1+K80</f>
        <v>2</v>
      </c>
      <c r="L81" s="9645"/>
      <c r="M81" s="9647"/>
      <c r="N81" s="9645"/>
      <c r="O81" s="60" t="s">
        <v>275</v>
      </c>
      <c r="P81" s="9647"/>
      <c r="Q81" s="204" t="str">
        <f>+IF(ISERROR(MATCH(O81,tid,0)),"",VLOOKUP(MATCH(O81,tid,0),tao,'12(id)'!$Q$20,FALSE))</f>
        <v>MV11</v>
      </c>
      <c r="R81" s="60">
        <f>+IF(O81="","",VLOOKUP(MATCH(O81,tid,0),tao,'12(id)'!$U$20,FALSE))</f>
        <v>2</v>
      </c>
      <c r="S81" s="60"/>
      <c r="T81" s="62">
        <f>+IF(ISERROR(MATCH(O81,tid,0)),"",IF(VLOOKUP(MATCH(O81,tid,0),tao,'12(id)'!$CT$20,FALSE)="","",VLOOKUP(MATCH(O81,tid,0),tao,'12(id)'!$CT$20,FALSE)))</f>
        <v>2.75</v>
      </c>
      <c r="U81" s="10309" t="str">
        <f>+IF(ISERROR(MATCH(O81,tid,0)),"",IF(VLOOKUP(MATCH(O81,tid,0),tao,'12(id)'!$CU$20,FALSE)="","",VLOOKUP(MATCH(O81,tid,0),tao,'12(id)'!$CU$20,FALSE)))</f>
        <v/>
      </c>
      <c r="V81" s="283" t="str">
        <f>+IF(O81="","",IF(VLOOKUP(MATCH(O81,tid,0),tao,'12(id)'!$T$20,FALSE)="","",VLOOKUP(MATCH(O81,tid,0),tao,'12(id)'!$T$20,FALSE)))</f>
        <v>Diesel Engine</v>
      </c>
      <c r="W81" s="428" t="str">
        <f>+IF(ISERROR(MATCH(O81,tid,0)),"",IF(VLOOKUP(MATCH(O81,tid,0),tao,'12(id)'!$CO$20,FALSE)="","",VLOOKUP(MATCH(O81,tid,0),tao,'12(id)'!$CO$20,FALSE)))</f>
        <v>General Motors</v>
      </c>
      <c r="X81" s="429" t="str">
        <f>+IF(ISERROR(MATCH(O81,tid,0)),"",IF(VLOOKUP(MATCH(O81,tid,0),tao,'12(id)'!$CP$20,FALSE)="","",VLOOKUP(MATCH(O81,tid,0),tao,'12(id)'!$CP$20,FALSE)))</f>
        <v>EMD 20-645-E4</v>
      </c>
      <c r="Y81" s="2428" t="str">
        <f>+IF(ISERROR(MATCH(O81,tid,0)),"",IF(VLOOKUP(MATCH(O81,tid,0),tao,'12(id)'!$CQ$20,FALSE)="","",VLOOKUP(MATCH(O81,tid,0),tao,'12(id)'!$CQ$20,FALSE)))</f>
        <v/>
      </c>
      <c r="Z81" s="79" t="str">
        <f>+IF(ISERROR(MATCH(O81,tid,0)),"",VLOOKUP(MATCH(O81,tid,0),tao,'12(id)'!$DB$20,FALSE)&amp;" "&amp;VLOOKUP(MATCH(O81,tid,0),tao,'12(id)'!$DC$20,FALSE))</f>
        <v>Jan 1966</v>
      </c>
      <c r="AA81" s="63" t="str">
        <f ca="1">+IF(ISERROR(MATCH(O81,tid,0)),"",IF(VLOOKUP(MATCH(O81,tid,0),tao,'12(id)'!$DE$20,FALSE)="","",ROUND(VLOOKUP(MATCH(O81,tid,0),tao,'12(id)'!$DE$20,FALSE),0)&amp;" yrs"))</f>
        <v>48 yrs</v>
      </c>
      <c r="AB81" s="61" t="str">
        <f>+IF(ISERROR(MATCH(O81,tid,0)),"",VLOOKUP(MATCH(O81,tid,0),tao,'12(id)'!$DI$20,FALSE))</f>
        <v>0.05% sulfur distillate oil</v>
      </c>
      <c r="AC81" s="61" t="str">
        <f>+IF(ISERROR(MATCH(O81,tid,0)),"",IF(VLOOKUP(MATCH(O81,tid,0),tao,'12(id)'!$DQ$20,FALSE)="","",VLOOKUP(MATCH(O81,tid,0),tao,'12(id)'!$DQ$20,FALSE)))</f>
        <v/>
      </c>
      <c r="AD81" s="121">
        <f>+IF(ISERROR(MATCH(O81,tid,0)),"",IF(VLOOKUP(MATCH(O81,tid,0),tao,'12(id)'!$EI$20,FALSE)="","",VLOOKUP(MATCH(O81,tid,0),tao,'12(id)'!$EI$20,FALSE)))</f>
        <v>1.93</v>
      </c>
      <c r="AE81" s="444" t="str">
        <f>+IF(ISERROR(MATCH(O81,tid,0)),"",IF(VLOOKUP(MATCH(O81,tid,0),tao,'12(id)'!$EJ$20,FALSE)="","",VLOOKUP(MATCH(O81,tid,0),tao,'12(id)'!$EJ$20,FALSE)))</f>
        <v/>
      </c>
      <c r="AF81" s="444">
        <f>+IF(ISERROR(MATCH(O81,tid,0)),"",IF(VLOOKUP(MATCH(O81,tid,0),tao,'12(id)'!$EL$20,FALSE)="","",VLOOKUP(MATCH(O81,tid,0),tao,'12(id)'!$EL$20,FALSE)))</f>
        <v>2.96</v>
      </c>
      <c r="AG81" s="122" t="str">
        <f>+IF(ISERROR(MATCH(O81,tid,0)),"",IF(VLOOKUP(MATCH(O81,tid,0),tao,'12(id)'!$EM$20,FALSE)="","",VLOOKUP(MATCH(O81,tid,0),tao,'12(id)'!$EM$20,FALSE)))</f>
        <v/>
      </c>
      <c r="AH81" s="993" t="s">
        <v>561</v>
      </c>
      <c r="AI81" s="994"/>
      <c r="AJ81" s="995"/>
      <c r="AK81" s="995"/>
      <c r="AL81" s="995"/>
      <c r="AM81" s="996"/>
      <c r="AN81" s="3555" t="s">
        <v>559</v>
      </c>
      <c r="AO81" s="3556">
        <f>+IF(ISERROR(MATCH(O81,tid,0)),"",IF(VLOOKUP(MATCH(O81,tid,0),tao,'12(id)'!$GY$20,FALSE)="","",VLOOKUP(MATCH(O81,tid,0),tao,'12(id)'!$GY$20,FALSE)))</f>
        <v>148.5</v>
      </c>
      <c r="AP81" s="4045" t="str">
        <f>+IF($BB81="","",IF(VLOOKUP(MATCH(O81,tid,0),tao,'12(id)'!$HE$20,FALSE)="","",VLOOKUP(MATCH(O81,tid,0),tao,'12(id)'!$HE$20,FALSE)))</f>
        <v/>
      </c>
      <c r="AQ81" s="3557" t="str">
        <f>+IF(ISERROR(VLOOKUP(MATCH(O81,tid,0),tao,'12(id)'!$HF$20,FALSE)),"",VLOOKUP(MATCH(O81,tid,0),tao,'12(id)'!$HF$20,FALSE))</f>
        <v/>
      </c>
      <c r="AR81" s="3558">
        <f>+IF(ISERROR(MATCH(O81,tid,0)),"",IF(VLOOKUP(MATCH(O81,tid,0),tao,'12(id)'!$HJ$20,FALSE)="","",VLOOKUP(MATCH(O81,tid,0),tao,'12(id)'!$HJ$20,FALSE)))</f>
        <v>2.96</v>
      </c>
      <c r="AS81" s="4051" t="str">
        <f>+IF(ISERROR(MATCH(O81,tid,0)),"",IF(VLOOKUP(MATCH(O81,tid,0),tao,'12(id)'!$HK$20,FALSE)="","",VLOOKUP(MATCH(O81,tid,0),tao,'12(id)'!$HK$20,FALSE)))</f>
        <v/>
      </c>
      <c r="AT81" s="3559">
        <f>+IF(ISERROR(MATCH(O81,tid,0)),"",IF(VLOOKUP(MATCH(O81,tid,0),tao,'12(id)'!$HM$20,FALSE)="","",VLOOKUP(MATCH(O81,tid,0),tao,'12(id)'!$HM$20,FALSE)))</f>
        <v>6</v>
      </c>
      <c r="AU81" s="1038" t="str">
        <f>+AU80</f>
        <v>CAIR-OS (max last 3 yrs)</v>
      </c>
      <c r="AV81" s="10396">
        <f>+IF(ISERROR(MATCH(O81,em_id,0)),"",IF(VLOOKUP(MATCH(O81,em_id,0),em,'5(em)'!$CX$18,FALSE)="","",VLOOKUP(MATCH(O81,em_id,0),em,'5(em)'!$CX$18,FALSE)))</f>
        <v>113.5</v>
      </c>
      <c r="AW81" s="10393" t="str">
        <f>+IF(ISERROR(MATCH(O81,em_id,0)),"",IF(VLOOKUP(MATCH(O81,em_id,0),em,'5(em)'!$CZ$18,FALSE)="","",VLOOKUP(MATCH(O81,em_id,0),em,'5(em)'!$CZ$18,FALSE)))</f>
        <v/>
      </c>
      <c r="AX81" s="10331" t="str">
        <f t="shared" si="50"/>
        <v/>
      </c>
      <c r="AY81" s="10396"/>
      <c r="AZ81" s="10390"/>
      <c r="BA81" s="656"/>
      <c r="BB81" s="657" t="str">
        <f t="shared" si="311"/>
        <v/>
      </c>
      <c r="BC81" s="661"/>
      <c r="BD81" s="657" t="str">
        <f>+IF(OR(D81="",VLOOKUP(MATCH(D81,op_id,0),op,'7(op)'!$T$18,FALSE)=""),"",VLOOKUP(MATCH(D81,op_id,0),op,'7(op)'!$T$18,FALSE))</f>
        <v/>
      </c>
      <c r="BE81" s="657"/>
      <c r="BF81" s="657" t="s">
        <v>1860</v>
      </c>
      <c r="BG81" s="658"/>
      <c r="BH81" s="473"/>
      <c r="BI81" s="474"/>
      <c r="BJ81" s="455"/>
      <c r="BK81" s="455"/>
      <c r="BL81" s="455"/>
      <c r="BM81" s="455"/>
      <c r="BN81" s="455" t="str">
        <f t="shared" si="12"/>
        <v/>
      </c>
      <c r="BO81" s="455" t="str">
        <f t="shared" si="13"/>
        <v/>
      </c>
      <c r="BP81" s="455" t="str">
        <f t="shared" si="14"/>
        <v/>
      </c>
      <c r="BQ81" s="455" t="str">
        <f t="shared" si="15"/>
        <v/>
      </c>
      <c r="BR81" s="456"/>
      <c r="BS81" s="475"/>
      <c r="BT81" s="476"/>
      <c r="BU81" s="3711" t="str">
        <f>+IF(BB81="","",IF(VLOOKUP(MATCH(BB81,ef_id,0),ef,'11(eff)'!$Z$23,FALSE)="","",VLOOKUP(MATCH(BB81,ef_id,0),ef,'11(eff)'!$Z$23,FALSE)))</f>
        <v/>
      </c>
      <c r="BV81" s="3757" t="str">
        <f>+IF(BB81="","",IF(VLOOKUP(MATCH(BB81,ef_id,0),ef,'11(eff)'!$AA$23,FALSE)="","",VLOOKUP(MATCH(BB81,ef_id,0),ef,'11(eff)'!$AA$23,FALSE)))</f>
        <v/>
      </c>
      <c r="BW81" s="2369"/>
      <c r="BX81" s="3794" t="str">
        <f t="shared" si="511"/>
        <v/>
      </c>
      <c r="BY81" s="3819" t="str">
        <f t="shared" si="512"/>
        <v/>
      </c>
      <c r="BZ81" s="3399"/>
      <c r="CA81" s="3423"/>
      <c r="CB81" s="3850" t="str">
        <f t="shared" si="382"/>
        <v/>
      </c>
      <c r="CC81" s="3870" t="str">
        <f t="shared" si="513"/>
        <v/>
      </c>
      <c r="CD81" s="3870" t="str">
        <f t="shared" si="514"/>
        <v/>
      </c>
      <c r="CE81" s="2375" t="str">
        <f>+IF(BB81="","",IF(VLOOKUP(MATCH(BB81,ef_id,0),ef,'11(eff)'!$AE$23,FALSE)="","",VLOOKUP(MATCH(BB81,ef_id,0),ef,'11(eff)'!$AE$23,FALSE)))</f>
        <v/>
      </c>
      <c r="CF81" s="475"/>
      <c r="CG81" s="476"/>
      <c r="CH81" s="2413"/>
      <c r="CI81" s="3850"/>
      <c r="CJ81" s="4071"/>
      <c r="CK81" s="3850" t="str">
        <f>+IF($BB81="","",IF(OR($AW80="",CI81=""),"",CI81/2000*$AW80))</f>
        <v/>
      </c>
      <c r="CL81" s="3931" t="str">
        <f>+IF($BB81="","",IF(OR($AZ80="",CK81=""),"",$AZ80-CK81))</f>
        <v/>
      </c>
      <c r="CM81" s="3980" t="str">
        <f>+IF($BB81="","",IF(OR($AZ80="",CL81=""),"",CL81/$AZ80))</f>
        <v/>
      </c>
      <c r="CN81" s="3980" t="str">
        <f>+IF($BB81="","",IF(OR($AX80="",CI81=""),"",(1-CI80/$AX80)))</f>
        <v/>
      </c>
      <c r="CO81" s="3981"/>
      <c r="CP81" s="3982"/>
      <c r="CQ81" s="656" t="str">
        <f t="shared" si="51"/>
        <v/>
      </c>
      <c r="CR81" s="477"/>
      <c r="CS81" s="2766"/>
      <c r="CT81" s="1592"/>
      <c r="CU81" s="1497"/>
      <c r="CV81" s="1879" t="str">
        <f t="shared" si="309"/>
        <v/>
      </c>
      <c r="CW81" s="1880"/>
      <c r="CX81" s="1880"/>
      <c r="CY81" s="1881"/>
      <c r="CZ81" s="2479"/>
      <c r="DA81" s="2489"/>
      <c r="DB81" s="2489"/>
      <c r="DC81" s="1879"/>
      <c r="DD81" s="1893"/>
      <c r="DE81" s="1894"/>
      <c r="DF81" s="1895"/>
      <c r="DG81" s="1895"/>
      <c r="DH81" s="1893"/>
      <c r="DI81" s="1694" t="str">
        <f>+IF(CT81="","",SUM(CU81:DC81)+SUM(DE81:DF81))</f>
        <v/>
      </c>
      <c r="DJ81" s="1941"/>
      <c r="DK81" s="1592"/>
      <c r="DL81" s="1497"/>
      <c r="DM81" s="1879" t="str">
        <f t="shared" si="310"/>
        <v/>
      </c>
      <c r="DN81" s="1880"/>
      <c r="DO81" s="1880"/>
      <c r="DP81" s="1881"/>
      <c r="DQ81" s="2479"/>
      <c r="DR81" s="2489"/>
      <c r="DS81" s="2489"/>
      <c r="DT81" s="1879"/>
      <c r="DU81" s="1893"/>
      <c r="DV81" s="1894"/>
      <c r="DW81" s="1895"/>
      <c r="DX81" s="1895"/>
      <c r="DY81" s="1893"/>
      <c r="DZ81" s="1694" t="str">
        <f t="shared" si="18"/>
        <v/>
      </c>
      <c r="EA81" s="1941"/>
      <c r="EB81" s="1497" t="str">
        <f t="shared" si="377"/>
        <v/>
      </c>
      <c r="EC81" s="1966"/>
      <c r="ED81" s="1416" t="str">
        <f t="shared" si="20"/>
        <v/>
      </c>
      <c r="EE81" s="1882"/>
      <c r="EF81" s="1735"/>
      <c r="EG81" s="1881"/>
      <c r="EH81" s="1694" t="str">
        <f t="shared" si="353"/>
        <v/>
      </c>
      <c r="EI81" s="1894"/>
      <c r="EJ81" s="1895"/>
      <c r="EK81" s="2013"/>
      <c r="EL81" s="1462"/>
      <c r="EM81" s="1894"/>
      <c r="EN81" s="1895"/>
      <c r="EO81" s="2013"/>
      <c r="EP81" s="1694" t="str">
        <f t="shared" si="378"/>
        <v/>
      </c>
      <c r="EQ81" s="1694"/>
      <c r="ER81" s="1694"/>
      <c r="ES81" s="1694"/>
      <c r="ET81" s="1462"/>
      <c r="EU81" s="1430"/>
      <c r="EV81" s="1395"/>
      <c r="EW81" s="2588"/>
      <c r="EX81" s="2588"/>
      <c r="EY81" s="2695"/>
      <c r="EZ81" s="2724"/>
      <c r="FA81" s="1395"/>
      <c r="FB81" s="1501" t="str">
        <f t="shared" si="515"/>
        <v/>
      </c>
      <c r="FC81" s="1728" t="str">
        <f t="shared" si="516"/>
        <v/>
      </c>
      <c r="FD81" s="1739" t="str">
        <f t="shared" si="517"/>
        <v/>
      </c>
      <c r="FE81" s="1533" t="str">
        <f t="shared" si="509"/>
        <v/>
      </c>
      <c r="FF81" s="1739" t="str">
        <f t="shared" si="518"/>
        <v/>
      </c>
      <c r="FG81" s="1533" t="str">
        <f t="shared" si="519"/>
        <v/>
      </c>
      <c r="FH81" s="1739" t="str">
        <f t="shared" si="520"/>
        <v/>
      </c>
      <c r="FI81" s="1533" t="str">
        <f t="shared" si="510"/>
        <v/>
      </c>
      <c r="FJ81" s="2858" t="str">
        <f t="shared" si="521"/>
        <v/>
      </c>
      <c r="FK81" s="2811" t="str">
        <f t="shared" si="522"/>
        <v/>
      </c>
      <c r="FL81" s="2783" t="str">
        <f t="shared" si="523"/>
        <v/>
      </c>
      <c r="FM81" s="1533" t="str">
        <f t="shared" si="524"/>
        <v/>
      </c>
      <c r="FN81" s="2783" t="str">
        <f t="shared" si="525"/>
        <v/>
      </c>
      <c r="FO81" s="2773" t="str">
        <f t="shared" si="526"/>
        <v/>
      </c>
      <c r="FP81" s="2783" t="str">
        <f t="shared" si="527"/>
        <v/>
      </c>
      <c r="FQ81" s="2773" t="str">
        <f t="shared" si="528"/>
        <v/>
      </c>
      <c r="FR81" s="2847" t="str">
        <f t="shared" si="529"/>
        <v/>
      </c>
      <c r="FS81" s="2877" t="str">
        <f t="shared" si="530"/>
        <v/>
      </c>
      <c r="FT81" s="1514" t="str">
        <f t="shared" si="531"/>
        <v/>
      </c>
      <c r="FU81" s="2896" t="str">
        <f t="shared" si="532"/>
        <v/>
      </c>
      <c r="FV81" s="1731" t="str">
        <f t="shared" si="533"/>
        <v/>
      </c>
      <c r="FW81" s="2114" t="str">
        <f t="shared" si="534"/>
        <v/>
      </c>
      <c r="FX81" s="1743" t="str">
        <f t="shared" si="535"/>
        <v/>
      </c>
      <c r="FY81" s="2115" t="str">
        <f t="shared" si="536"/>
        <v/>
      </c>
      <c r="FZ81" s="1743" t="str">
        <f t="shared" si="537"/>
        <v/>
      </c>
      <c r="GA81" s="1743" t="str">
        <f t="shared" si="538"/>
        <v/>
      </c>
      <c r="GB81" s="2115" t="str">
        <f t="shared" si="539"/>
        <v/>
      </c>
      <c r="GC81" s="1743" t="str">
        <f t="shared" si="540"/>
        <v/>
      </c>
      <c r="GD81" s="1743" t="str">
        <f t="shared" si="541"/>
        <v/>
      </c>
      <c r="GE81" s="1617" t="str">
        <f t="shared" si="542"/>
        <v/>
      </c>
      <c r="GF81" s="2148" t="str">
        <f t="shared" si="543"/>
        <v/>
      </c>
      <c r="GG81" s="2173" t="str">
        <f t="shared" si="544"/>
        <v/>
      </c>
      <c r="GH81" s="3181" t="str">
        <f t="shared" si="545"/>
        <v/>
      </c>
      <c r="GI81" s="3201" t="s">
        <v>939</v>
      </c>
      <c r="GJ81" s="3206"/>
      <c r="GK81" s="3455" t="str">
        <f t="shared" si="423"/>
        <v/>
      </c>
      <c r="GL81" s="3248" t="str">
        <f t="shared" si="546"/>
        <v/>
      </c>
      <c r="GM81" s="1303"/>
      <c r="GN81" s="1305"/>
      <c r="GO81" s="1884"/>
      <c r="GP81" s="2011" t="str">
        <f t="shared" si="354"/>
        <v/>
      </c>
      <c r="GQ81" s="1306"/>
      <c r="GR81" s="2326"/>
      <c r="GS81" s="2326"/>
      <c r="GT81" s="2339"/>
      <c r="GU81" s="2334" t="str">
        <f t="shared" si="547"/>
        <v/>
      </c>
      <c r="GV81" s="1304" t="str">
        <f t="shared" si="548"/>
        <v/>
      </c>
      <c r="GW81" s="2262" t="str">
        <f t="shared" si="549"/>
        <v/>
      </c>
      <c r="GX81" s="1306" t="str">
        <f t="shared" si="550"/>
        <v/>
      </c>
      <c r="GY81" s="1306" t="str">
        <f t="shared" si="551"/>
        <v/>
      </c>
      <c r="GZ81" s="1306" t="str">
        <f t="shared" si="552"/>
        <v/>
      </c>
      <c r="HA81" s="1306" t="str">
        <f t="shared" si="553"/>
        <v/>
      </c>
      <c r="HB81" s="467" t="str">
        <f t="shared" si="432"/>
        <v/>
      </c>
      <c r="HC81" s="1302" t="str">
        <f t="shared" si="554"/>
        <v/>
      </c>
      <c r="HD81" s="1305" t="str">
        <f t="shared" si="375"/>
        <v/>
      </c>
      <c r="HE81" s="1303"/>
      <c r="HF81" s="1304" t="str">
        <f t="shared" si="555"/>
        <v/>
      </c>
      <c r="HG81" s="1305" t="str">
        <f t="shared" si="23"/>
        <v/>
      </c>
      <c r="HH81" s="2995">
        <f>+IF(BF81="","",VALUE(LEFT(BF81,1)))</f>
        <v>1</v>
      </c>
      <c r="HI81" s="3020" t="str">
        <f t="shared" si="355"/>
        <v/>
      </c>
      <c r="HJ81" s="1735" t="str">
        <f t="shared" si="356"/>
        <v/>
      </c>
      <c r="HK81" s="1735" t="str">
        <f t="shared" si="357"/>
        <v/>
      </c>
      <c r="HL81" s="1735" t="str">
        <f>+IF(FR81="","",IF(HH81="","",IF(HH81=4,FS81,IF(HH81=3,FS81,IF(HH81=2,$HL$7*HI81,IF(HH81=1,$HL$6*HI81,""))))))</f>
        <v/>
      </c>
      <c r="HM81" s="3024" t="str">
        <f t="shared" si="358"/>
        <v/>
      </c>
      <c r="HN81" s="3027" t="str">
        <f t="shared" si="347"/>
        <v/>
      </c>
      <c r="HO81" s="2964" t="str">
        <f>+IF(FR81="","",IF(HH81="","",IF(HH81=4,FW81,IF(HH81=3,FW81,IF(HH81=2,$HO$7*HM81,IF(HH81=1,$HO$6*HM81,""))))))</f>
        <v/>
      </c>
      <c r="HP81" s="2489" t="str">
        <f>+IF(FR81="","",IF(HH81="","",IF(HH81=4,FY81,IF(HH81=3,FY81,IF(HH81=2,$HP$7*(HM81+HO81),IF(HH81=1,$HP$6*HM81,""))))))</f>
        <v/>
      </c>
      <c r="HQ81" s="3009" t="str">
        <f t="shared" si="556"/>
        <v/>
      </c>
      <c r="HR81" s="1881" t="str">
        <f t="shared" si="557"/>
        <v/>
      </c>
      <c r="HS81" s="1881" t="str">
        <f t="shared" si="558"/>
        <v/>
      </c>
      <c r="HT81" s="2948" t="str">
        <f>+IF(FR81="","",IF(HH81="","",IF(HH81=2,$HT$7*(HP81+HR81),"")))</f>
        <v/>
      </c>
      <c r="HU81" s="2950" t="str">
        <f>+IF(FR81="","",IF(HH81="","",IF(HH81=2,$HU$7*(HP81+HR81),"")))</f>
        <v/>
      </c>
      <c r="HV81" s="2948" t="str">
        <f t="shared" si="559"/>
        <v/>
      </c>
      <c r="HW81" s="2950" t="str">
        <f t="shared" si="560"/>
        <v/>
      </c>
      <c r="HX81" s="3035" t="str">
        <f t="shared" si="199"/>
        <v/>
      </c>
      <c r="HY81" s="2949" t="str">
        <f t="shared" si="561"/>
        <v/>
      </c>
      <c r="HZ81" s="2950" t="str">
        <f t="shared" si="562"/>
        <v/>
      </c>
      <c r="IA81" s="1497" t="str">
        <f t="shared" si="563"/>
        <v/>
      </c>
      <c r="IB81" s="3039" t="str">
        <f t="shared" si="564"/>
        <v/>
      </c>
      <c r="IC81" s="3054" t="str">
        <f t="shared" si="565"/>
        <v/>
      </c>
      <c r="ID81" s="1303"/>
      <c r="IE81" s="4107"/>
      <c r="IF81" s="4115"/>
      <c r="IG81" s="6780"/>
      <c r="IH81" s="4091"/>
      <c r="II81" s="6798"/>
      <c r="IJ81" s="4107"/>
      <c r="IK81" s="4144">
        <v>1</v>
      </c>
      <c r="IL81" s="4198"/>
      <c r="IM81" s="1883"/>
      <c r="IN81" s="1939"/>
      <c r="IO81" s="1939"/>
      <c r="IP81" s="7235"/>
      <c r="IQ81" s="6853"/>
      <c r="IR81" s="7235"/>
      <c r="IS81" s="6853"/>
      <c r="IT81" s="1939"/>
      <c r="IU81" s="6853"/>
      <c r="IV81" s="7269"/>
      <c r="IW81" s="7255"/>
      <c r="IX81" s="3027"/>
      <c r="IY81" s="4257"/>
      <c r="IZ81" s="4303"/>
      <c r="JA81" s="4304"/>
      <c r="JB81" s="1305"/>
      <c r="JC81" s="4340"/>
      <c r="JD81" s="3257" t="str">
        <f t="shared" si="570"/>
        <v/>
      </c>
      <c r="JE81" s="4365" t="str">
        <f t="shared" si="571"/>
        <v/>
      </c>
      <c r="JF81" s="7042"/>
      <c r="JG81" s="7058"/>
      <c r="JH81" s="6973"/>
      <c r="JI81" s="6973"/>
      <c r="JJ81" s="6973"/>
      <c r="JK81" s="6973"/>
      <c r="JL81" s="7010"/>
      <c r="JM81" s="7052"/>
      <c r="JN81" s="1735"/>
      <c r="JO81" s="1735"/>
      <c r="JP81" s="7064"/>
      <c r="JQ81" s="7064"/>
      <c r="JR81" s="7058"/>
      <c r="JS81" s="7065"/>
      <c r="JT81" s="7331"/>
      <c r="JU81" s="10906" t="s">
        <v>2503</v>
      </c>
      <c r="JV81" s="10906"/>
      <c r="JW81" s="8409"/>
      <c r="JX81" s="8438"/>
      <c r="JY81" s="8473" t="str">
        <f t="shared" si="574"/>
        <v/>
      </c>
      <c r="JZ81" s="8316"/>
      <c r="KA81" s="8314"/>
      <c r="KB81" s="8315"/>
      <c r="KC81" s="8316"/>
      <c r="KD81" s="8314"/>
      <c r="KE81" s="8346"/>
      <c r="KF81" s="8346"/>
      <c r="KG81" s="8315" t="str">
        <f>+IF(D81="","",IF(JT81=1,$KG$2*KC81/1000*60*JU81*$KG$4*$KG$6,IF(OR(JZ81="",JY81=""),"",JZ81*#REF!*JY81*$KG$4)))</f>
        <v/>
      </c>
      <c r="KH81" s="8315"/>
      <c r="KI81" s="8315"/>
      <c r="KJ81" s="8315"/>
      <c r="KK81" s="8315"/>
      <c r="KL81" s="8315"/>
      <c r="KM81" s="8315"/>
      <c r="KN81" s="8315"/>
      <c r="KO81" s="8315"/>
      <c r="KP81" s="8316"/>
      <c r="KQ81" s="7214"/>
      <c r="KR81" s="7064" t="str">
        <f>+IF(D81="","",IF(#REF!=1,VLOOKUP(MATCH(BE81,ac_id,0),ad,ac!$H$8,FALSE)*JU81, (VLOOKUP(MATCH(BE81,ac_id,0),ad,ac!$H$8,FALSE)*JU81^(1+VLOOKUP(MATCH(BE81,ac_id,0),ad,ac!$I$8,FALSE)))))</f>
        <v/>
      </c>
      <c r="KS81" s="7065"/>
      <c r="KT81" s="7214"/>
      <c r="KU81" s="7058"/>
      <c r="KV81" s="7392"/>
      <c r="KW81" s="7345"/>
      <c r="KX81" s="7065"/>
      <c r="KY81" s="7361"/>
      <c r="KZ81" s="7362"/>
      <c r="LA81" s="7363"/>
      <c r="LB81" s="7364" t="str">
        <f>+IF(OR(KY81="",$CL81=""),"",KY81/$CL81)</f>
        <v/>
      </c>
      <c r="LC81" s="5133"/>
      <c r="LD81" s="5132"/>
      <c r="LE81" s="5132"/>
      <c r="LF81" s="5132"/>
      <c r="LG81" s="5132"/>
      <c r="LH81" s="5132"/>
      <c r="LI81" s="5132"/>
      <c r="LJ81" s="5132"/>
    </row>
    <row r="82" spans="1:322" s="13" customFormat="1" ht="27.95" customHeight="1">
      <c r="A82" s="10543" t="str">
        <f t="shared" si="508"/>
        <v>8306-01</v>
      </c>
      <c r="B82" s="10520" t="str">
        <f>+IF(A82="","",VLOOKUP(MATCH(A82,tid,0),tao,'12(id)'!$J$20,FALSE))</f>
        <v>NRG</v>
      </c>
      <c r="C82" s="10560" t="str">
        <f t="shared" si="47"/>
        <v>MD2</v>
      </c>
      <c r="D82" s="33" t="str">
        <f t="shared" si="48"/>
        <v>8306-01-01</v>
      </c>
      <c r="E82" s="1033" t="str">
        <f>+IF(BD82="","",BD82)</f>
        <v>Rotating Opposed Fire Air (ROFA)</v>
      </c>
      <c r="F82" s="1033" t="str">
        <f t="shared" si="49"/>
        <v>New Eqp</v>
      </c>
      <c r="G82" s="5133"/>
      <c r="H82" s="5132"/>
      <c r="I82" s="5133"/>
      <c r="J82" s="719">
        <f t="shared" si="68"/>
        <v>48</v>
      </c>
      <c r="K82" s="10555">
        <v>1</v>
      </c>
      <c r="L82" s="10566">
        <v>6</v>
      </c>
      <c r="M82" s="9717"/>
      <c r="N82" s="9698">
        <v>8306</v>
      </c>
      <c r="O82" s="9517" t="s">
        <v>293</v>
      </c>
      <c r="P82" s="9517" t="str">
        <f>+IF(O82="","",VLOOKUP(MATCH(O82,tid,0),tao,'12(id)'!$L$20,FALSE))</f>
        <v>Middletown</v>
      </c>
      <c r="Q82" s="9720" t="str">
        <f>+IF(ISERROR(MATCH(O82,tid,0)),"",VLOOKUP(MATCH(O82,tid,0),tao,'12(id)'!$Q$20,FALSE))</f>
        <v>MD2</v>
      </c>
      <c r="R82" s="10534">
        <v>1</v>
      </c>
      <c r="S82" s="9720"/>
      <c r="T82" s="10546">
        <f>+IF(ISERROR(MATCH(O82,tid,0)),"",IF(VLOOKUP(MATCH(O82,tid,0),tao,'12(id)'!$CT$20,FALSE)="","",VLOOKUP(MATCH(O82,tid,0),tao,'12(id)'!$CT$20,FALSE)))</f>
        <v>120</v>
      </c>
      <c r="U82" s="10544">
        <f>+IF(ISERROR(MATCH(O82,tid,0)),"",IF(VLOOKUP(MATCH(O82,tid,0),tao,'12(id)'!$CU$20,FALSE)="","",VLOOKUP(MATCH(O82,tid,0),tao,'12(id)'!$CU$20,FALSE)))</f>
        <v>953</v>
      </c>
      <c r="V82" s="9486" t="str">
        <f>+IF(O82="","",IF(VLOOKUP(MATCH(O82,tid,0),tao,'12(id)'!$T$20,FALSE)="","",VLOOKUP(MATCH(O82,tid,0),tao,'12(id)'!$T$20,FALSE)))</f>
        <v>Utility Boiler</v>
      </c>
      <c r="W82" s="9486" t="str">
        <f>+IF(ISERROR(MATCH(O82,tid,0)),"",IF(VLOOKUP(MATCH(O82,tid,0),tao,'12(id)'!$CO$20,FALSE)="","",VLOOKUP(MATCH(O82,tid,0),tao,'12(id)'!$CO$20,FALSE)))</f>
        <v>Riley</v>
      </c>
      <c r="X82" s="9486" t="str">
        <f>+IF(ISERROR(MATCH(O82,tid,0)),"",IF(VLOOKUP(MATCH(O82,tid,0),tao,'12(id)'!$CP$20,FALSE)="","",VLOOKUP(MATCH(O82,tid,0),tao,'12(id)'!$CP$20,FALSE)))</f>
        <v>Front fired</v>
      </c>
      <c r="Y82" s="8551" t="str">
        <f>+IF(ISERROR(MATCH(O82,tid,0)),"",IF(VLOOKUP(MATCH(O82,tid,0),tao,'12(id)'!$CQ$20,FALSE)="","",VLOOKUP(MATCH(O82,tid,0),tao,'12(id)'!$CQ$20,FALSE)))</f>
        <v/>
      </c>
      <c r="Z82" s="9517" t="str">
        <f>+IF(ISERROR(MATCH(O82,tid,0)),"",VLOOKUP(MATCH(O82,tid,0),tao,'12(id)'!$DB$20,FALSE)&amp;" "&amp;VLOOKUP(MATCH(O82,tid,0),tao,'12(id)'!$DC$20,FALSE))</f>
        <v xml:space="preserve"> </v>
      </c>
      <c r="AA82" s="9517" t="str">
        <f>+IF(ISERROR(MATCH(O82,tid,0)),"",IF(VLOOKUP(MATCH(O82,tid,0),tao,'12(id)'!$DE$20,FALSE)="","",ROUND(VLOOKUP(MATCH(O82,tid,0),tao,'12(id)'!$DE$20,FALSE),0)&amp;" yrs"))</f>
        <v/>
      </c>
      <c r="AB82" s="9644" t="str">
        <f>+IF(ISERROR(MATCH(O82,tid,0)),"",VLOOKUP(MATCH(O82,tid,0),tao,'12(id)'!$DI$20,FALSE))</f>
        <v>No. 6 oil</v>
      </c>
      <c r="AC82" s="9644" t="str">
        <f>+IF(ISERROR(MATCH(O82,tid,0)),"",IF(VLOOKUP(MATCH(O82,tid,0),tao,'12(id)'!$DQ$20,FALSE)="","",VLOOKUP(MATCH(O82,tid,0),tao,'12(id)'!$DQ$20,FALSE)))</f>
        <v>No. 2 oil</v>
      </c>
      <c r="AD82" s="10442" t="str">
        <f>+IF(ISERROR(MATCH(O82,tid,0)),"",IF(VLOOKUP(MATCH(O82,tid,0),tao,'12(id)'!$EI$20,FALSE)="","",VLOOKUP(MATCH(O82,tid,0),tao,'12(id)'!$EI$20,FALSE)))</f>
        <v/>
      </c>
      <c r="AE82" s="10442" t="str">
        <f>+IF(ISERROR(MATCH(O82,tid,0)),"",IF(VLOOKUP(MATCH(O82,tid,0),tao,'12(id)'!$EJ$20,FALSE)="","",VLOOKUP(MATCH(O82,tid,0),tao,'12(id)'!$EJ$20,FALSE)))</f>
        <v/>
      </c>
      <c r="AF82" s="10442">
        <f>+IF(ISERROR(MATCH(O82,tid,0)),"",IF(VLOOKUP(MATCH(O82,tid,0),tao,'12(id)'!$EL$20,FALSE)="","",VLOOKUP(MATCH(O82,tid,0),tao,'12(id)'!$EL$20,FALSE)))</f>
        <v>0.18</v>
      </c>
      <c r="AG82" s="10415" t="str">
        <f>+IF(ISERROR(MATCH(O82,tid,0)),"",IF(VLOOKUP(MATCH(O82,tid,0),tao,'12(id)'!$EM$20,FALSE)="","",VLOOKUP(MATCH(O82,tid,0),tao,'12(id)'!$EM$20,FALSE)))</f>
        <v/>
      </c>
      <c r="AH82" s="10572" t="str">
        <f>+AH81</f>
        <v>48 hrs/year operation</v>
      </c>
      <c r="AI82" s="10570"/>
      <c r="AJ82" s="10570"/>
      <c r="AK82" s="10570"/>
      <c r="AL82" s="10570"/>
      <c r="AM82" s="10568"/>
      <c r="AN82" s="10509" t="str">
        <f>+AN81</f>
        <v>2010-2009 average</v>
      </c>
      <c r="AO82" s="10512">
        <f>+IF(ISERROR(MATCH(O82,tid,0)),"",IF(VLOOKUP(MATCH(O82,tid,0),tao,'12(id)'!$GY$20,FALSE)="","",VLOOKUP(MATCH(O82,tid,0),tao,'12(id)'!$GY$20,FALSE)))</f>
        <v>1331.1</v>
      </c>
      <c r="AP82" s="10414">
        <f>+IF($BB82="","",IF(VLOOKUP(MATCH(O82,tid,0),tao,'12(id)'!$HE$20,FALSE)="","",VLOOKUP(MATCH(O82,tid,0),tao,'12(id)'!$HE$20,FALSE)))</f>
        <v>1017740</v>
      </c>
      <c r="AQ82" s="10414">
        <f>+IF(ISERROR(VLOOKUP(MATCH(O82,tid,0),tao,'12(id)'!$HF$20,FALSE)),"",VLOOKUP(MATCH(O82,tid,0),tao,'12(id)'!$HF$20,FALSE))</f>
        <v>1017740</v>
      </c>
      <c r="AR82" s="10506">
        <f>+IF(ISERROR(MATCH(O82,tid,0)),"",IF(VLOOKUP(MATCH(O82,tid,0),tao,'12(id)'!$HJ$20,FALSE)="","",VLOOKUP(MATCH(O82,tid,0),tao,'12(id)'!$HJ$20,FALSE)))</f>
        <v>0.18</v>
      </c>
      <c r="AS82" s="10513" t="str">
        <f>+IF(ISERROR(MATCH(O82,tid,0)),"",IF(VLOOKUP(MATCH(O82,tid,0),tao,'12(id)'!$HK$20,FALSE)="","",VLOOKUP(MATCH(O82,tid,0),tao,'12(id)'!$HK$20,FALSE)))</f>
        <v/>
      </c>
      <c r="AT82" s="10514">
        <f>+IF(ISERROR(MATCH(O82,tid,0)),"",IF(VLOOKUP(MATCH(O82,tid,0),tao,'12(id)'!$HM$20,FALSE)="","",VLOOKUP(MATCH(O82,tid,0),tao,'12(id)'!$HM$20,FALSE)))</f>
        <v>91.6</v>
      </c>
      <c r="AU82" s="10574" t="str">
        <f>+AU81</f>
        <v>CAIR-OS (max last 3 yrs)</v>
      </c>
      <c r="AV82" s="10507">
        <f>+IF(ISERROR(MATCH(O82,em_id,0)),"",IF(VLOOKUP(MATCH(O82,em_id,0),em,'5(em)'!$CX$18,FALSE)="","",VLOOKUP(MATCH(O82,em_id,0),em,'5(em)'!$CX$18,FALSE)))</f>
        <v>1670</v>
      </c>
      <c r="AW82" s="10500">
        <f>+IF(ISERROR(MATCH(O82,em_id,0)),"",IF(VLOOKUP(MATCH(O82,em_id,0),em,'5(em)'!$CZ$18,FALSE)="","",VLOOKUP(MATCH(O82,em_id,0),em,'5(em)'!$CZ$18,FALSE)))</f>
        <v>1434563</v>
      </c>
      <c r="AX82" s="10502">
        <f t="shared" si="50"/>
        <v>0.13</v>
      </c>
      <c r="AY82" s="10504"/>
      <c r="AZ82" s="10564">
        <f>+IF(ISERROR(MATCH(O82,em_id,0)),"",IF(VLOOKUP(MATCH(O82,em_id,0),em,'5(em)'!$DA$18,FALSE)="","",VLOOKUP(MATCH(O82,em_id,0),em,'5(em)'!$DA$18,FALSE)))</f>
        <v>94.2</v>
      </c>
      <c r="BA82" s="1028"/>
      <c r="BB82" s="4454" t="str">
        <f t="shared" si="311"/>
        <v>8306-01-01</v>
      </c>
      <c r="BC82" s="2878">
        <v>1</v>
      </c>
      <c r="BD82" s="1033" t="str">
        <f>+IF(OR(D82="",VLOOKUP(MATCH(D82,op_id,0),op,'7(op)'!$T$18,FALSE)=""),"",VLOOKUP(MATCH(D82,op_id,0),op,'7(op)'!$T$18,FALSE))</f>
        <v>Rotating Opposed Fire Air (ROFA)</v>
      </c>
      <c r="BE82" s="1033" t="s">
        <v>1629</v>
      </c>
      <c r="BF82" s="1033" t="s">
        <v>1861</v>
      </c>
      <c r="BG82" s="1034"/>
      <c r="BH82" s="1024"/>
      <c r="BI82" s="1025"/>
      <c r="BJ82" s="1025"/>
      <c r="BK82" s="1025"/>
      <c r="BL82" s="1025"/>
      <c r="BM82" s="1025"/>
      <c r="BN82" s="1025" t="str">
        <f t="shared" si="12"/>
        <v/>
      </c>
      <c r="BO82" s="1025" t="str">
        <f t="shared" si="13"/>
        <v/>
      </c>
      <c r="BP82" s="1025" t="str">
        <f t="shared" si="14"/>
        <v/>
      </c>
      <c r="BQ82" s="1025" t="str">
        <f t="shared" si="15"/>
        <v/>
      </c>
      <c r="BR82" s="1026"/>
      <c r="BS82" s="1703" t="str">
        <f>+BS64</f>
        <v>2010-2009 average</v>
      </c>
      <c r="BT82" s="1046"/>
      <c r="BU82" s="3713">
        <f>+IF(BB82="","",IF(VLOOKUP(MATCH(BB82,ef_id,0),ef,'11(eff)'!$Z$23,FALSE)="","",VLOOKUP(MATCH(BB82,ef_id,0),ef,'11(eff)'!$Z$23,FALSE)))</f>
        <v>0.15</v>
      </c>
      <c r="BV82" s="3758" t="str">
        <f>+IF(BB82="","",IF(VLOOKUP(MATCH(BB82,ef_id,0),ef,'11(eff)'!$AA$23,FALSE)="","",VLOOKUP(MATCH(BB82,ef_id,0),ef,'11(eff)'!$AA$23,FALSE)))</f>
        <v/>
      </c>
      <c r="BW82" s="3780">
        <v>76.33</v>
      </c>
      <c r="BX82" s="3801">
        <f t="shared" si="511"/>
        <v>76.33</v>
      </c>
      <c r="BY82" s="3820">
        <f t="shared" si="512"/>
        <v>76.330499999999986</v>
      </c>
      <c r="BZ82" s="1064"/>
      <c r="CA82" s="3424"/>
      <c r="CB82" s="3852">
        <f t="shared" si="382"/>
        <v>15.269999999999996</v>
      </c>
      <c r="CC82" s="3872">
        <f t="shared" si="513"/>
        <v>0.16670305676855893</v>
      </c>
      <c r="CD82" s="3873">
        <f t="shared" si="514"/>
        <v>0.16666666666666663</v>
      </c>
      <c r="CE82" s="2376">
        <f>+IF(BB82="","",IF(VLOOKUP(MATCH(BB82,ef_id,0),ef,'11(eff)'!$AE$23,FALSE)="","",VLOOKUP(MATCH(BB82,ef_id,0),ef,'11(eff)'!$AE$23,FALSE)))</f>
        <v>0.35</v>
      </c>
      <c r="CF82" s="2387" t="s">
        <v>1601</v>
      </c>
      <c r="CG82" s="1033" t="s">
        <v>1753</v>
      </c>
      <c r="CH82" s="2414"/>
      <c r="CI82" s="3999">
        <f>+IF(BB82="","",AZ82/AW82*2000*(1-CO82))</f>
        <v>8.5363974952651092E-2</v>
      </c>
      <c r="CJ82" s="4072" t="str">
        <f>+IF(AY82="","",AY82*(1-CO82))</f>
        <v/>
      </c>
      <c r="CK82" s="3999">
        <f>+IF($BB82="","",IF(CI82="",IF($AZ82="",IF($AZ81="",$AZ80,$AZ81),$AZ82)-CL82,IF(OR(IF($AW82="",IF($AW81="",$AW80,$AW81),$AW82)="",CI82=""),"",CI82/2000*IF($AW82="",IF($AW81="",$AW80,$AW81),$AW82))))</f>
        <v>61.230000000000011</v>
      </c>
      <c r="CL82" s="4000">
        <f>+IF($BB82="","",IF(CI82="",CO82*IF($AZ82="",IF($AZ81="",$AZ80,$AZ81),$AZ82),IF(CK82="","",IF($AZ82="",IF($AZ81="",$AZ80,$AZ81),$AZ82)-CK82)))</f>
        <v>32.969999999999992</v>
      </c>
      <c r="CM82" s="3983">
        <f>+IF($BB82="","",IF(CL82="","",CL82/IF($AZ82="",IF($AZ81="",$AZ80,$AZ81),$AZ82)))</f>
        <v>0.34999999999999992</v>
      </c>
      <c r="CN82" s="3983">
        <f>+IF($BB82="","",IF(CI82="","",(1-CI82/IF($AX82="",IF($AX81="",$AX80,$AX81),$AX82))))</f>
        <v>0.34335403882576088</v>
      </c>
      <c r="CO82" s="3984">
        <f>+IF(BB82="","",IF(VLOOKUP(MATCH(BB82,ef_id,0),ef,'11(eff)'!$AE$23,FALSE)="","",VLOOKUP(MATCH(BB82,ef_id,0),ef,'11(eff)'!$AE$23,FALSE)))</f>
        <v>0.35</v>
      </c>
      <c r="CP82" s="3985">
        <f>+IF(OR(BB82="",VLOOKUP(MATCH(BB82,ef_id,0),ef,'11(eff)'!$AG$23,FALSE)=""),"",IF(VLOOKUP(MATCH(BB82,ef_id,0),ef,'11(eff)'!$AG$23,FALSE)/100=VLOOKUP(MATCH(BB82,ef_id,0),ef,'11(eff)'!$AE$23,FALSE),VLOOKUP(MATCH(BB82,ef_id,0),ef,'11(eff)'!$AE$23,FALSE),""))</f>
        <v>0.35</v>
      </c>
      <c r="CQ82" s="1371" t="str">
        <f t="shared" si="51"/>
        <v>Rotating Opposed Fire Air (ROFA)</v>
      </c>
      <c r="CR82" s="8580"/>
      <c r="CS82" s="2768">
        <v>6191539</v>
      </c>
      <c r="CT82" s="1594">
        <v>3077275</v>
      </c>
      <c r="CU82" s="1520">
        <v>2178750</v>
      </c>
      <c r="CV82" s="1896">
        <f t="shared" si="309"/>
        <v>0</v>
      </c>
      <c r="CW82" s="1897">
        <v>530000</v>
      </c>
      <c r="CX82" s="1897">
        <v>100000</v>
      </c>
      <c r="CY82" s="1898"/>
      <c r="CZ82" s="2481"/>
      <c r="DA82" s="2490"/>
      <c r="DB82" s="2490"/>
      <c r="DC82" s="1896"/>
      <c r="DD82" s="1899"/>
      <c r="DE82" s="1900"/>
      <c r="DF82" s="1901"/>
      <c r="DG82" s="1901">
        <v>100000</v>
      </c>
      <c r="DH82" s="1899"/>
      <c r="DI82" s="1523">
        <f>+IF(CT82="","",SUM(CU82:DC82)+SUM(DE82:DF82))</f>
        <v>2808750</v>
      </c>
      <c r="DJ82" s="1942">
        <v>168525</v>
      </c>
      <c r="DK82" s="1594"/>
      <c r="DL82" s="1520"/>
      <c r="DM82" s="1896" t="str">
        <f t="shared" si="310"/>
        <v/>
      </c>
      <c r="DN82" s="1897"/>
      <c r="DO82" s="1897"/>
      <c r="DP82" s="1898"/>
      <c r="DQ82" s="2481"/>
      <c r="DR82" s="2490"/>
      <c r="DS82" s="2490"/>
      <c r="DT82" s="1896"/>
      <c r="DU82" s="1899"/>
      <c r="DV82" s="1900"/>
      <c r="DW82" s="1901"/>
      <c r="DX82" s="1901"/>
      <c r="DY82" s="1899"/>
      <c r="DZ82" s="1523" t="str">
        <f t="shared" si="18"/>
        <v/>
      </c>
      <c r="EA82" s="1942"/>
      <c r="EB82" s="1520">
        <f t="shared" si="377"/>
        <v>3077275</v>
      </c>
      <c r="EC82" s="627">
        <v>1</v>
      </c>
      <c r="ED82" s="1521">
        <f t="shared" si="20"/>
        <v>3077275</v>
      </c>
      <c r="EE82" s="1982"/>
      <c r="EF82" s="1983"/>
      <c r="EG82" s="1984">
        <v>1384773.6</v>
      </c>
      <c r="EH82" s="1523">
        <f t="shared" si="353"/>
        <v>1384773.6</v>
      </c>
      <c r="EI82" s="1900">
        <f>0.05*(ED82+EH82)</f>
        <v>223102.43</v>
      </c>
      <c r="EJ82" s="1901">
        <f>0.1*(ED82+EH82)</f>
        <v>446204.86</v>
      </c>
      <c r="EK82" s="2014">
        <f>0.05*(ED82+EH82)</f>
        <v>223102.43</v>
      </c>
      <c r="EL82" s="1564"/>
      <c r="EM82" s="1900"/>
      <c r="EN82" s="1901"/>
      <c r="EO82" s="2014"/>
      <c r="EP82" s="1523">
        <f t="shared" si="378"/>
        <v>892409.72</v>
      </c>
      <c r="EQ82" s="1523"/>
      <c r="ER82" s="1523"/>
      <c r="ES82" s="1523"/>
      <c r="ET82" s="1523">
        <v>803169</v>
      </c>
      <c r="EU82" s="1522">
        <f>0.02*(EP82+ET82)</f>
        <v>33911.574399999998</v>
      </c>
      <c r="EV82" s="1516">
        <v>0</v>
      </c>
      <c r="EW82" s="2589"/>
      <c r="EX82" s="2589"/>
      <c r="EY82" s="2696">
        <f>+IF(BB82="","",(IF(ED82="",0,ED82)+IF(EH82="",0,EH82)+IF(EP82="",0,EP82)+IF(ET82="",0,ET82)+IF(EW82="",0,EW82)+IF(EX82="",0,EX82)))</f>
        <v>6157627.3199999994</v>
      </c>
      <c r="EZ82" s="2725"/>
      <c r="FA82" s="1521"/>
      <c r="FB82" s="1503">
        <f t="shared" si="515"/>
        <v>6157627.3199999994</v>
      </c>
      <c r="FC82" s="1488">
        <f t="shared" si="516"/>
        <v>3077275</v>
      </c>
      <c r="FD82" s="2049">
        <f t="shared" si="517"/>
        <v>2178750</v>
      </c>
      <c r="FE82" s="2033">
        <f t="shared" si="509"/>
        <v>0.70801277103931237</v>
      </c>
      <c r="FF82" s="2049">
        <f t="shared" si="518"/>
        <v>630000</v>
      </c>
      <c r="FG82" s="2033">
        <f t="shared" si="519"/>
        <v>0.20472658439690961</v>
      </c>
      <c r="FH82" s="2049">
        <f t="shared" si="520"/>
        <v>0</v>
      </c>
      <c r="FI82" s="2033">
        <f t="shared" si="510"/>
        <v>0</v>
      </c>
      <c r="FJ82" s="1518">
        <f t="shared" si="521"/>
        <v>2808750</v>
      </c>
      <c r="FK82" s="2033">
        <f t="shared" si="522"/>
        <v>0.91273935543622198</v>
      </c>
      <c r="FL82" s="2629">
        <f t="shared" si="523"/>
        <v>0</v>
      </c>
      <c r="FM82" s="2033">
        <f t="shared" si="524"/>
        <v>0</v>
      </c>
      <c r="FN82" s="2049">
        <f t="shared" si="525"/>
        <v>0</v>
      </c>
      <c r="FO82" s="2033">
        <f t="shared" si="526"/>
        <v>0</v>
      </c>
      <c r="FP82" s="2049">
        <f t="shared" si="527"/>
        <v>100000</v>
      </c>
      <c r="FQ82" s="2033">
        <f t="shared" si="528"/>
        <v>3.2496283237604701E-2</v>
      </c>
      <c r="FR82" s="2837">
        <f t="shared" si="529"/>
        <v>2808750</v>
      </c>
      <c r="FS82" s="1804">
        <f t="shared" si="530"/>
        <v>168525</v>
      </c>
      <c r="FT82" s="2061">
        <f t="shared" si="531"/>
        <v>0.06</v>
      </c>
      <c r="FU82" s="2881">
        <f t="shared" si="532"/>
        <v>0</v>
      </c>
      <c r="FV82" s="1715">
        <f t="shared" si="533"/>
        <v>25643.958333333332</v>
      </c>
      <c r="FW82" s="2087">
        <f t="shared" si="534"/>
        <v>1384773.6</v>
      </c>
      <c r="FX82" s="1741">
        <f t="shared" si="535"/>
        <v>0.44999995125557518</v>
      </c>
      <c r="FY82" s="2088">
        <f t="shared" si="536"/>
        <v>892409.72</v>
      </c>
      <c r="FZ82" s="1741">
        <f t="shared" si="537"/>
        <v>0.289999990251115</v>
      </c>
      <c r="GA82" s="1741">
        <f t="shared" si="538"/>
        <v>0.2</v>
      </c>
      <c r="GB82" s="2088">
        <f t="shared" si="539"/>
        <v>803169</v>
      </c>
      <c r="GC82" s="1741">
        <f t="shared" si="540"/>
        <v>0.26100007311663731</v>
      </c>
      <c r="GD82" s="1741">
        <f t="shared" si="541"/>
        <v>0.15000004706358422</v>
      </c>
      <c r="GE82" s="1610">
        <f t="shared" si="542"/>
        <v>6157627.3199999994</v>
      </c>
      <c r="GF82" s="2136">
        <f t="shared" si="543"/>
        <v>6191538.8943999996</v>
      </c>
      <c r="GG82" s="2159">
        <f t="shared" si="544"/>
        <v>-1.7055533652055033E-8</v>
      </c>
      <c r="GH82" s="2505">
        <f t="shared" si="545"/>
        <v>51596.157453333333</v>
      </c>
      <c r="GI82" s="1610">
        <v>1764485</v>
      </c>
      <c r="GJ82" s="1507">
        <v>115582</v>
      </c>
      <c r="GK82" s="3440">
        <f t="shared" si="423"/>
        <v>15.269999999999996</v>
      </c>
      <c r="GL82" s="3249">
        <f t="shared" si="546"/>
        <v>2.5617909542066983E-4</v>
      </c>
      <c r="GM82" s="1225"/>
      <c r="GN82" s="1224"/>
      <c r="GO82" s="2283">
        <v>25000</v>
      </c>
      <c r="GP82" s="2284">
        <v>147687</v>
      </c>
      <c r="GQ82" s="2331">
        <f t="shared" ref="GQ82:GQ114" si="582">+IF(GP82+GO82=0,"",GP82+GO82)</f>
        <v>172687</v>
      </c>
      <c r="GR82" s="2327"/>
      <c r="GS82" s="2327"/>
      <c r="GT82" s="1684">
        <v>1591798</v>
      </c>
      <c r="GU82" s="2335">
        <f t="shared" si="547"/>
        <v>1764485</v>
      </c>
      <c r="GV82" s="1133">
        <f t="shared" si="548"/>
        <v>25000</v>
      </c>
      <c r="GW82" s="2243">
        <f t="shared" si="549"/>
        <v>147687</v>
      </c>
      <c r="GX82" s="2213">
        <f t="shared" si="550"/>
        <v>172687</v>
      </c>
      <c r="GY82" s="2218" t="str">
        <f t="shared" si="551"/>
        <v/>
      </c>
      <c r="GZ82" s="2218" t="str">
        <f t="shared" si="552"/>
        <v/>
      </c>
      <c r="HA82" s="1684">
        <f t="shared" si="553"/>
        <v>1591798</v>
      </c>
      <c r="HB82" s="1333">
        <f t="shared" si="432"/>
        <v>1764485</v>
      </c>
      <c r="HC82" s="2345">
        <f t="shared" si="554"/>
        <v>1764485</v>
      </c>
      <c r="HD82" s="2349">
        <f t="shared" si="375"/>
        <v>0</v>
      </c>
      <c r="HE82" s="1225"/>
      <c r="HF82" s="1518">
        <f t="shared" si="555"/>
        <v>115582</v>
      </c>
      <c r="HG82" s="1224">
        <f t="shared" si="23"/>
        <v>53517.895056111629</v>
      </c>
      <c r="HH82" s="2996">
        <f>+IF(BF82="","",VALUE(LEFT(BF82,1)))</f>
        <v>2</v>
      </c>
      <c r="HI82" s="2927">
        <f t="shared" si="355"/>
        <v>2808750</v>
      </c>
      <c r="HJ82" s="2069">
        <f t="shared" si="356"/>
        <v>100000</v>
      </c>
      <c r="HK82" s="2069">
        <f t="shared" si="357"/>
        <v>0</v>
      </c>
      <c r="HL82" s="2069">
        <f>+IF(FR82="","",IF(HH82="","",IF(HH82=4,FS82,IF(HH82=3,FS82,IF(HH82=2,$HL$7*HI82,IF(HH82=1,$HL$6*HI82,""))))))</f>
        <v>168525</v>
      </c>
      <c r="HM82" s="2934">
        <f t="shared" si="358"/>
        <v>3077275</v>
      </c>
      <c r="HN82" s="2911">
        <f t="shared" si="347"/>
        <v>25643.958333333332</v>
      </c>
      <c r="HO82" s="1806">
        <f>+IF(FR82="","",IF(HH82="","",IF(HH82=4,FW82,IF(HH82=3,FW82,IF(HH82=2,$HO$7*HM82,IF(HH82=1,$HO$6*HM82,""))))))</f>
        <v>1384773.75</v>
      </c>
      <c r="HP82" s="2069">
        <f>+IF(FR82="","",IF(HH82="","",IF(HH82=4,FY82,IF(HH82=3,FY82,IF(HH82=2,$HP$7*(HM82+HO82),IF(HH82=1,$HP$6*HM82,""))))))</f>
        <v>892409.75</v>
      </c>
      <c r="HQ82" s="3010" t="str">
        <f t="shared" si="556"/>
        <v/>
      </c>
      <c r="HR82" s="1805">
        <f t="shared" si="557"/>
        <v>803168.77500000002</v>
      </c>
      <c r="HS82" s="1805">
        <f t="shared" si="558"/>
        <v>803168.77500000002</v>
      </c>
      <c r="HT82" s="2955">
        <f>+IF(FR82="","",IF(HH82="","",IF(HH82=2,$HT$7*(HP82+HR82),"")))</f>
        <v>33911.570500000002</v>
      </c>
      <c r="HU82" s="2956">
        <f>+IF(FR82="","",IF(HH82="","",IF(HH82=2,$HU$7*(HP82+HR82),"")))</f>
        <v>0</v>
      </c>
      <c r="HV82" s="2955" t="str">
        <f t="shared" si="559"/>
        <v/>
      </c>
      <c r="HW82" s="2956" t="str">
        <f t="shared" si="560"/>
        <v/>
      </c>
      <c r="HX82" s="2909">
        <f t="shared" si="199"/>
        <v>6191538.8455000008</v>
      </c>
      <c r="HY82" s="2931" t="str">
        <f t="shared" si="561"/>
        <v/>
      </c>
      <c r="HZ82" s="2956" t="str">
        <f t="shared" si="562"/>
        <v/>
      </c>
      <c r="IA82" s="1488">
        <f t="shared" si="563"/>
        <v>6191538.8455000008</v>
      </c>
      <c r="IB82" s="3040" t="str">
        <f t="shared" si="564"/>
        <v>stk added + 0%</v>
      </c>
      <c r="IC82" s="3045">
        <f t="shared" si="565"/>
        <v>51596.157045833337</v>
      </c>
      <c r="ID82" s="1204"/>
      <c r="IE82" s="4097"/>
      <c r="IF82" s="2909">
        <f t="shared" ref="IF82:IF98" si="583">+IF(GO82="","",GO82)</f>
        <v>25000</v>
      </c>
      <c r="IG82" s="6766">
        <f>+IF(IF82="","",(IF82/IF(AO82="",IF(AO81="",IF(AO80="",AO79,AO80),AO81),AO82)))</f>
        <v>18.781458943730751</v>
      </c>
      <c r="IH82" s="4164">
        <f t="shared" ref="IH82:IH98" si="584">+IF(GP82="","",GP82)</f>
        <v>147687</v>
      </c>
      <c r="II82" s="6800">
        <f>+IH82/IF(AQ82="",IF(AQ81="",IF(AQ80="",AQ79,AQ80),AQ81),AQ82)</f>
        <v>0.14511270068976359</v>
      </c>
      <c r="IJ82" s="4165">
        <f t="shared" ref="IJ82:IJ98" si="585">+IF(SUM(IF(IH82="",0,IH82)+IF(IF82="",0,IF82))=0,"",IF(IH82="",0,IH82)+IF(IF82="",0,IF82))</f>
        <v>172687</v>
      </c>
      <c r="IK82" s="4127">
        <v>0</v>
      </c>
      <c r="IL82" s="2069">
        <f t="shared" ref="IL82:IL83" si="586">+IF(IF82="","",IK82*$IL$8*IF82)</f>
        <v>0</v>
      </c>
      <c r="IM82" s="1805">
        <f t="shared" ref="IM82:IM83" si="587">IF(HM82="","",IK82*$IM$8*IA82)</f>
        <v>0</v>
      </c>
      <c r="IN82" s="4225" t="str">
        <f t="shared" ref="IN82:IN98" si="588">+IF(SUM(IF(IM82="",0,IM82)+IF(IL82="",0,IL82))=0,"",IF(IM82="",0,IM82)+IF(IL82="",0,IL82))</f>
        <v/>
      </c>
      <c r="IO82" s="4225">
        <f t="shared" ref="IO82:IO98" si="589">+IF(SUM(IF(IN82="",0,IN82)+IF(IJ82="",0,IJ82))=0,"",IF(IN82="",0,IN82)+IF(IJ82="",0,IJ82))</f>
        <v>172687</v>
      </c>
      <c r="IP82" s="4225">
        <f t="shared" ref="IP82:IP83" si="590">+IF(BB82="","",IF(IJ82="","",IJ82/IF(R82="",IF(R81="",IF(R80="",R79,R80),R81),R82)))</f>
        <v>172687</v>
      </c>
      <c r="IQ82" s="6839">
        <f t="shared" ref="IQ82:IQ83" si="591">+IF(IP82="","",IP82/IX82)</f>
        <v>0.27104781251732463</v>
      </c>
      <c r="IR82" s="4225" t="str">
        <f t="shared" ref="IR82:IR83" si="592">+IF(BB82="","",IF(IN82="","",IN82/IF(R82="",IF(R81="",IF(R80="",R79,R80),R81),R82)))</f>
        <v/>
      </c>
      <c r="IS82" s="6839" t="str">
        <f t="shared" ref="IS82:IS83" si="593">+IF(IR82="","",IR82/IX82)</f>
        <v/>
      </c>
      <c r="IT82" s="4225">
        <f t="shared" ref="IT82:IT98" si="594">+IF(BB82="","",IF(IO82="","",IO82/IF(R82="",IF(R81="",IF(R80="",R79,R80),R81),R82)))</f>
        <v>172687</v>
      </c>
      <c r="IU82" s="6839">
        <f t="shared" ref="IU82:IU104" si="595">+IF(IT82="","",IT82/IX82)</f>
        <v>0.27104781251732463</v>
      </c>
      <c r="IV82" s="4127">
        <f t="shared" ref="IV82:IV86" si="596">+IF(D82="","",IF(IF(V82="",IF(V81="",IF(V80="",V79,V80),V81),V82)="Utility Boiler",2,1))</f>
        <v>2</v>
      </c>
      <c r="IW82" s="1805">
        <f>IF(IA82="","",IF(IV82=1,$IW$5,IF(IV82=2,$IW$8,""))*IA82)</f>
        <v>464421.99710346252</v>
      </c>
      <c r="IX82" s="2911">
        <f t="shared" ref="IX82:IX98" si="597">+IF(SUM(IF(IW82="",0,IW82)+IF(IT82="",0,IT82))=0,IY82,IF(IW82="",0,IW82)+IF(IT82="",0,IT82))</f>
        <v>637108.99710346246</v>
      </c>
      <c r="IY82" s="4244">
        <f t="shared" ref="IY82:IY98" si="598">+HC82</f>
        <v>1764485</v>
      </c>
      <c r="IZ82" s="4274">
        <f t="shared" ref="IZ82:IZ98" si="599">+IF(IY82="","",(IY82-IX82)/IY82)</f>
        <v>0.63892637392584095</v>
      </c>
      <c r="JA82" s="4275" t="str">
        <f t="shared" ref="JA82:JA83" si="600">+IF(BB82="","",IF(ISERROR(IY82-IX82),"",IF((IY82-IX82)&gt;0,"stk added + "&amp;ROUND((IY82-IX82)/IY82*100,0)&amp;"%",IF(IY82=IX82,"same TAC",(IY82-IX82)/IY82))))</f>
        <v>stk added + 64%</v>
      </c>
      <c r="JB82" s="1205"/>
      <c r="JC82" s="4322"/>
      <c r="JD82" s="1518">
        <f t="shared" si="570"/>
        <v>41722.920569971357</v>
      </c>
      <c r="JE82" s="4357">
        <f>+IF(OR(IX82="",$CL82=""),"",IX82/$CL82)</f>
        <v>19323.900427766534</v>
      </c>
      <c r="JF82" s="7028">
        <f>+IF(D82="","",IF(T82="",IF(T81="",T80/IF(Y80="TP",2,1),T81/IF(Y81="TP",2,1)),T82/IF(Y82="TP",2,1)))</f>
        <v>120</v>
      </c>
      <c r="JG82" s="2069" t="s">
        <v>1333</v>
      </c>
      <c r="JH82" s="6959">
        <f t="shared" ref="JH82:JH94" si="601">+IF(D82="","",IF(HX82="","",HX82))</f>
        <v>6191538.8455000008</v>
      </c>
      <c r="JI82" s="6959">
        <f>+JH82</f>
        <v>6191538.8455000008</v>
      </c>
      <c r="JJ82" s="6959"/>
      <c r="JK82" s="6959"/>
      <c r="JL82" s="6996"/>
      <c r="JM82" s="1804" t="str">
        <f t="shared" ref="JM82:JM85" si="602">+IF(D82="","",IF(JG82="SCR",(JF82*49700+459000),IF(JG82="HPWI",(0.0353*JF82+0.2915)*(10^6),"N/A")))</f>
        <v>N/A</v>
      </c>
      <c r="JN82" s="2069" t="str">
        <f>+IF(D82="","",IF(JM82="N/A","",JM82*$JN$27))</f>
        <v/>
      </c>
      <c r="JO82" s="2069">
        <f>+JI82</f>
        <v>6191538.8455000008</v>
      </c>
      <c r="JP82" s="3010"/>
      <c r="JQ82" s="3010"/>
      <c r="JR82" s="2069"/>
      <c r="JS82" s="1805">
        <f>+IF(D82="","",SUM(JO82:JR82))</f>
        <v>6191538.8455000008</v>
      </c>
      <c r="JT82" s="7130">
        <f t="shared" si="476"/>
        <v>2</v>
      </c>
      <c r="JU82" s="7131">
        <f t="shared" ref="JU82:JU83" si="603">+IF(D82="","",IF(AV82="",IF(AV81="",IF(AV80="","",AV80),AV81),AV82))</f>
        <v>1670</v>
      </c>
      <c r="JV82" s="8366">
        <f t="shared" ref="JV82:JV83" si="604">+IF(D82="","",IF(AW82="",IF(AW81="",IF(AW80="","",AW80),AW81),AW82))</f>
        <v>1434563</v>
      </c>
      <c r="JW82" s="8393">
        <f t="shared" ref="JW82:JW83" si="605">+CL82</f>
        <v>32.969999999999992</v>
      </c>
      <c r="JX82" s="8422">
        <f t="shared" ref="JX82:JX83" si="606">+IF(OR(D82="",JU82=""),"",IF(JT82=2,24000/JU82,""))</f>
        <v>14.37125748502994</v>
      </c>
      <c r="JY82" s="8457">
        <f t="shared" si="574"/>
        <v>0.11257586145236925</v>
      </c>
      <c r="JZ82" s="7132">
        <f t="shared" ref="JZ82:JZ83" si="607">+IF(OR(D82="",JU82="",ISERROR(JF82)),"",IF(JT82=2,JF82*6180/83,""))</f>
        <v>8934.9397590361441</v>
      </c>
      <c r="KA82" s="7130" t="str">
        <f t="shared" ref="KA82:KA83" si="608">+IF(OR(D82="",JV82=""),"",IF(JT82=1,JV82*10^6/$KA$8/JU82,""))</f>
        <v/>
      </c>
      <c r="KB82" s="7131" t="str">
        <f t="shared" ref="KB82:KB83" si="609">+IF(OR(D82="",KA82=""),"",IF(JT82=1,KA82*$KB$8,""))</f>
        <v/>
      </c>
      <c r="KC82" s="7132" t="str">
        <f t="shared" ref="KC82:KC83" si="610">+IF(OR(D82="",KB82=""),"",IF(JT82=1,KB82*7.48/62.4/60,""))</f>
        <v/>
      </c>
      <c r="KD82" s="7130">
        <f t="shared" ref="KD82:KD83" si="611">+IF(OR(D82="",JV82=""),"",IF(JT82=1,$KD$5*JU82*$KD$6/1000,$KD$7*JU82*$KD$8/1000))</f>
        <v>70881.48</v>
      </c>
      <c r="KE82" s="8330">
        <f t="shared" ref="KE82:KE83" si="612">+IF(OR(D82="",JW82="",JW82=0),"",IF(JT82=2,JW82*$KE$8*$KG$4,""))</f>
        <v>20533.715999999993</v>
      </c>
      <c r="KF82" s="8330">
        <f t="shared" ref="KF82:KF83" si="613">+IF(OR(D82="",JW82="",JW82=0),"",IF(JT82=2,JW82*(0.95/0.05)*(18/17)*($KF$8/1000)*(2000)*$KG$4,""))</f>
        <v>13769.668376470583</v>
      </c>
      <c r="KG82" s="7131">
        <f t="shared" ref="KG82:KG83" si="614">+IF(D82="","",IF(JT82=1,$KG$2*KC82/1000*60*JU82*$KG$4*$KG$6,IF(OR(JZ82="",JY82=""),"",JZ82*$KG$8*JY82*$KG$4)))</f>
        <v>26102.029123341556</v>
      </c>
      <c r="KH82" s="7131">
        <f>IF(D82="","",IF(JT82=2,0.005*JF82*$KD$6/1000*1000*JU82,""))</f>
        <v>388936.32</v>
      </c>
      <c r="KI82" s="7131">
        <f>IF(D82="","",IF(JT82=2,0.1*0.005*JF82*$KD$6/1000*1000*JU82,""))</f>
        <v>38893.631999999998</v>
      </c>
      <c r="KJ82" s="7131">
        <f t="shared" ref="KJ82:KJ83" si="615">+IF(OR(D82="",JU82="",JV82=""),"",IF(JT82=1,KD82+KG82,KD82+KE82+KF82+KG82+KH82+KI82))</f>
        <v>559116.84549981216</v>
      </c>
      <c r="KK82" s="7131">
        <f>+IF(OR(D82="",JU82="",JV82=""),"",$KK$7*$KG$4*JU82)</f>
        <v>175195.024</v>
      </c>
      <c r="KL82" s="7131">
        <f t="shared" ref="KL82:KL83" si="616">+IF(OR(D82="",JU82="",JV82="",JS82=""),"",IF(JT82=1,$KL$7*JS82*JU82/$KL$8,$KL$7*IF(JN82="",JS82,JN82)*JU82/$KL$8))</f>
        <v>38774.512019943752</v>
      </c>
      <c r="KM82" s="7131">
        <f t="shared" ref="KM82:KM83" si="617">+IF(D82="","",IF(KK82="",0,KK82)+IF(KL82="",0,KL82))</f>
        <v>213969.53601994377</v>
      </c>
      <c r="KN82" s="7131">
        <f>+IF(D82="","",IF(JX82&lt;41,$KN$8*JZ82*JY82,""))</f>
        <v>291698.97671557037</v>
      </c>
      <c r="KO82" s="7131">
        <f t="shared" ref="KO82:KO83" si="618">+IF(OR(D82="",JU82="",JV82=""),"",IF(KM82="",0,KM82)+IF(KN82="",0,KN82))</f>
        <v>505668.51273551414</v>
      </c>
      <c r="KP82" s="7132">
        <f t="shared" ref="KP82:KP83" si="619">+IF(OR(D82="",JU82="",JV82=""),"",IF(KJ82="",0,KJ82)+IF(KO82="",0,KO82))</f>
        <v>1064785.3582353264</v>
      </c>
      <c r="KQ82" s="1806">
        <f>+IF(D82="","",VLOOKUP(MATCH(BE82,ac_id,0),ad,ac!$F$8,FALSE)*JV82)</f>
        <v>430368.89999999997</v>
      </c>
      <c r="KR82" s="3010">
        <f>+IF(D82="","",IF(JT82=1,VLOOKUP(MATCH(BE82,ac_id,0),ad,ac!$H$8,FALSE)*JU82, (VLOOKUP(MATCH(BE82,ac_id,0),ad,ac!$H$8,FALSE)*JU82^(1+VLOOKUP(MATCH(BE82,ac_id,0),ad,ac!$I$8,FALSE)))))</f>
        <v>22531.89424449873</v>
      </c>
      <c r="KS82" s="1805">
        <f>+IF(D82="","",KQ82+KR82)</f>
        <v>452900.79424449871</v>
      </c>
      <c r="KT82" s="1806">
        <f t="shared" ref="KT82:KT83" si="620">+IF(D82="","",IF(KK82="","",$KT$26*KM82))</f>
        <v>128381.72161196626</v>
      </c>
      <c r="KU82" s="2069">
        <f t="shared" ref="KU82:KU83" si="621">+IF(D82="","",IF(JS82="","",$KU$26*IF(JN82="",JS82,JN82)))</f>
        <v>247661.55382000003</v>
      </c>
      <c r="KV82" s="7374">
        <f t="shared" ref="KV82:KV83" si="622">+IF(D82="","",IV82)</f>
        <v>2</v>
      </c>
      <c r="KW82" s="7280">
        <f>IF(JS82="","",IF(KV82=1,$KW$5,IF(KV82=2,$KW$8,""))*JS82)</f>
        <v>464421.99710346252</v>
      </c>
      <c r="KX82" s="1805">
        <f t="shared" ref="KX82:KX83" si="623">+IF(D82="","",IF(KW82="","",IF(KT82="",0,KT82)+IF(KU82="",0,KU82)+KW82))</f>
        <v>840465.27253542887</v>
      </c>
      <c r="KY82" s="2505">
        <f t="shared" ref="KY82:KY83" si="624">+IF(D82="","",IF(KX82="","",IF(KP82="",0,KP82)+KX82))</f>
        <v>1905250.6307707552</v>
      </c>
      <c r="KZ82" s="7375"/>
      <c r="LA82" s="7280">
        <f t="shared" ref="LA82:LA83" si="625">+IF(OR(KY82="",$CB82=""),"",KY82/$CB82)</f>
        <v>124770.83371124792</v>
      </c>
      <c r="LB82" s="7291">
        <f t="shared" ref="LB82:LB83" si="626">+IF(OR(KY82="",$CL82=""),"",KY82/$CL82)</f>
        <v>57787.401600568875</v>
      </c>
      <c r="LC82" s="5133"/>
      <c r="LD82" s="5132"/>
      <c r="LE82" s="5132"/>
      <c r="LF82" s="5132"/>
      <c r="LG82" s="5132"/>
      <c r="LH82" s="5132"/>
      <c r="LI82" s="5132"/>
      <c r="LJ82" s="5132"/>
    </row>
    <row r="83" spans="1:322" s="717" customFormat="1" ht="27.95" customHeight="1">
      <c r="A83" s="10539"/>
      <c r="B83" s="10521" t="str">
        <f>+IF(A83="","",VLOOKUP(MATCH(A83,tid,0),tao,'12(id)'!$J$20,FALSE))</f>
        <v/>
      </c>
      <c r="C83" s="10561"/>
      <c r="D83" s="1127" t="str">
        <f t="shared" si="48"/>
        <v>8306-01-02</v>
      </c>
      <c r="E83" s="730" t="str">
        <f>+IF(BD83="","",BD83)</f>
        <v>Selective Catalytic Reduction (SCR) with ID fans</v>
      </c>
      <c r="F83" s="730" t="str">
        <f t="shared" si="49"/>
        <v>SCR</v>
      </c>
      <c r="G83" s="5133"/>
      <c r="H83" s="5132"/>
      <c r="I83" s="5133"/>
      <c r="J83" s="719">
        <f t="shared" si="68"/>
        <v>49</v>
      </c>
      <c r="K83" s="10553"/>
      <c r="L83" s="9721"/>
      <c r="M83" s="9718"/>
      <c r="N83" s="9699"/>
      <c r="O83" s="9518"/>
      <c r="P83" s="9518"/>
      <c r="Q83" s="9714" t="str">
        <f>+IF(ISERROR(MATCH(O83,tid,0)),"",VLOOKUP(MATCH(O83,tid,0),tao,'12(id)'!$Q$20,FALSE))</f>
        <v/>
      </c>
      <c r="R83" s="10183"/>
      <c r="S83" s="9714"/>
      <c r="T83" s="10526" t="str">
        <f>+IF(ISERROR(MATCH(O83,tid,0)),"",IF(VLOOKUP(MATCH(O83,tid,0),tao,'12(id)'!$CT$20,FALSE)="","",VLOOKUP(MATCH(O83,tid,0),tao,'12(id)'!$CT$20,FALSE)))</f>
        <v/>
      </c>
      <c r="U83" s="10529" t="str">
        <f>+IF(ISERROR(MATCH(O83,tid,0)),"",IF(VLOOKUP(MATCH(O83,tid,0),tao,'12(id)'!$CU$20,FALSE)="","",VLOOKUP(MATCH(O83,tid,0),tao,'12(id)'!$CU$20,FALSE)))</f>
        <v/>
      </c>
      <c r="V83" s="9504" t="str">
        <f>+IF(O83="","",IF(VLOOKUP(MATCH(O83,tid,0),tao,'12(id)'!$T$20,FALSE)="","",VLOOKUP(MATCH(O83,tid,0),tao,'12(id)'!$T$20,FALSE)))</f>
        <v/>
      </c>
      <c r="W83" s="9504" t="str">
        <f>+IF(ISERROR(MATCH(O83,tid,0)),"",IF(VLOOKUP(MATCH(O83,tid,0),tao,'12(id)'!$CO$20,FALSE)="","",VLOOKUP(MATCH(O83,tid,0),tao,'12(id)'!$CO$20,FALSE)))</f>
        <v/>
      </c>
      <c r="X83" s="9504" t="str">
        <f>+IF(ISERROR(MATCH(O83,tid,0)),"",IF(VLOOKUP(MATCH(O83,tid,0),tao,'12(id)'!$CP$20,FALSE)="","",VLOOKUP(MATCH(O83,tid,0),tao,'12(id)'!$CP$20,FALSE)))</f>
        <v/>
      </c>
      <c r="Y83" s="8553" t="str">
        <f>+IF(ISERROR(MATCH(O83,tid,0)),"",IF(VLOOKUP(MATCH(O83,tid,0),tao,'12(id)'!$CQ$20,FALSE)="","",VLOOKUP(MATCH(O83,tid,0),tao,'12(id)'!$CQ$20,FALSE)))</f>
        <v/>
      </c>
      <c r="Z83" s="9518" t="str">
        <f>+IF(ISERROR(MATCH(O83,tid,0)),"",VLOOKUP(MATCH(O83,tid,0),tao,'12(id)'!$DB$20,FALSE)&amp;" "&amp;VLOOKUP(MATCH(O83,tid,0),tao,'12(id)'!$DC$20,FALSE))</f>
        <v/>
      </c>
      <c r="AA83" s="9518" t="str">
        <f>+IF(ISERROR(MATCH(O83,tid,0)),"",IF(VLOOKUP(MATCH(O83,tid,0),tao,'12(id)'!$DE$20,FALSE)="","",ROUND(VLOOKUP(MATCH(O83,tid,0),tao,'12(id)'!$DE$20,FALSE),0)&amp;" yrs"))</f>
        <v/>
      </c>
      <c r="AB83" s="9648" t="str">
        <f>+IF(ISERROR(MATCH(O83,tid,0)),"",VLOOKUP(MATCH(O83,tid,0),tao,'12(id)'!$DI$20,FALSE))</f>
        <v/>
      </c>
      <c r="AC83" s="9648" t="str">
        <f>+IF(ISERROR(MATCH(O83,tid,0)),"",IF(VLOOKUP(MATCH(O83,tid,0),tao,'12(id)'!$DQ$20,FALSE)="","",VLOOKUP(MATCH(O83,tid,0),tao,'12(id)'!$DQ$20,FALSE)))</f>
        <v/>
      </c>
      <c r="AD83" s="10412" t="str">
        <f>+IF(ISERROR(MATCH(O83,tid,0)),"",IF(VLOOKUP(MATCH(O83,tid,0),tao,'12(id)'!$EI$20,FALSE)="","",VLOOKUP(MATCH(O83,tid,0),tao,'12(id)'!$EI$20,FALSE)))</f>
        <v/>
      </c>
      <c r="AE83" s="10412" t="str">
        <f>+IF(ISERROR(MATCH(O83,tid,0)),"",IF(VLOOKUP(MATCH(O83,tid,0),tao,'12(id)'!$EJ$20,FALSE)="","",VLOOKUP(MATCH(O83,tid,0),tao,'12(id)'!$EJ$20,FALSE)))</f>
        <v/>
      </c>
      <c r="AF83" s="10412" t="str">
        <f>+IF(ISERROR(MATCH(O83,tid,0)),"",IF(VLOOKUP(MATCH(O83,tid,0),tao,'12(id)'!$EL$20,FALSE)="","",VLOOKUP(MATCH(O83,tid,0),tao,'12(id)'!$EL$20,FALSE)))</f>
        <v/>
      </c>
      <c r="AG83" s="10409" t="str">
        <f>+IF(ISERROR(MATCH(O83,tid,0)),"",IF(VLOOKUP(MATCH(O83,tid,0),tao,'12(id)'!$EM$20,FALSE)="","",VLOOKUP(MATCH(O83,tid,0),tao,'12(id)'!$EM$20,FALSE)))</f>
        <v/>
      </c>
      <c r="AH83" s="10573"/>
      <c r="AI83" s="10571"/>
      <c r="AJ83" s="10571"/>
      <c r="AK83" s="10571"/>
      <c r="AL83" s="10571"/>
      <c r="AM83" s="10569"/>
      <c r="AN83" s="10510"/>
      <c r="AO83" s="10457" t="str">
        <f>+IF(ISERROR(MATCH(O83,tid,0)),"",IF(VLOOKUP(MATCH(O83,tid,0),tao,'12(id)'!$GY$20,FALSE)="","",VLOOKUP(MATCH(O83,tid,0),tao,'12(id)'!$GY$20,FALSE)))</f>
        <v/>
      </c>
      <c r="AP83" s="10378" t="e">
        <f>+IF($BB83="","",IF(VLOOKUP(MATCH(O83,tid,0),tao,'12(id)'!$HE$20,FALSE)="","",VLOOKUP(MATCH(O83,tid,0),tao,'12(id)'!$HE$20,FALSE)))</f>
        <v>#N/A</v>
      </c>
      <c r="AQ83" s="10378" t="str">
        <f>+IF(ISERROR(VLOOKUP(MATCH(O83,tid,0),tao,'12(id)'!$HF$20,FALSE)),"",VLOOKUP(MATCH(O83,tid,0),tao,'12(id)'!$HF$20,FALSE))</f>
        <v/>
      </c>
      <c r="AR83" s="10381" t="str">
        <f>+IF(ISERROR(MATCH(O83,tid,0)),"",IF(VLOOKUP(MATCH(O83,tid,0),tao,'12(id)'!$HJ$20,FALSE)="","",VLOOKUP(MATCH(O83,tid,0),tao,'12(id)'!$HJ$20,FALSE)))</f>
        <v/>
      </c>
      <c r="AS83" s="10384" t="str">
        <f>+IF(ISERROR(MATCH(O83,tid,0)),"",IF(VLOOKUP(MATCH(O83,tid,0),tao,'12(id)'!$HK$20,FALSE)="","",VLOOKUP(MATCH(O83,tid,0),tao,'12(id)'!$HK$20,FALSE)))</f>
        <v/>
      </c>
      <c r="AT83" s="10387" t="str">
        <f>+IF(ISERROR(MATCH(O83,tid,0)),"",IF(VLOOKUP(MATCH(O83,tid,0),tao,'12(id)'!$HM$20,FALSE)="","",VLOOKUP(MATCH(O83,tid,0),tao,'12(id)'!$HM$20,FALSE)))</f>
        <v/>
      </c>
      <c r="AU83" s="10575"/>
      <c r="AV83" s="10508" t="str">
        <f>+IF(ISERROR(MATCH(O83,em_id,0)),"",IF(VLOOKUP(MATCH(O83,em_id,0),em,'5(em)'!$CX$18,FALSE)="","",VLOOKUP(MATCH(O83,em_id,0),em,'5(em)'!$CX$18,FALSE)))</f>
        <v/>
      </c>
      <c r="AW83" s="10501" t="str">
        <f>+IF(ISERROR(MATCH(O83,em_id,0)),"",IF(VLOOKUP(MATCH(O83,em_id,0),em,'5(em)'!$CZ$18,FALSE)="","",VLOOKUP(MATCH(O83,em_id,0),em,'5(em)'!$CZ$18,FALSE)))</f>
        <v/>
      </c>
      <c r="AX83" s="10503" t="str">
        <f t="shared" si="50"/>
        <v/>
      </c>
      <c r="AY83" s="10505"/>
      <c r="AZ83" s="10565" t="str">
        <f>+IF(ISERROR(MATCH(O83,em_id,0)),"",IF(VLOOKUP(MATCH(O83,em_id,0),em,'5(em)'!$DA$18,FALSE)="","",VLOOKUP(MATCH(O83,em_id,0),em,'5(em)'!$DA$18,FALSE)))</f>
        <v/>
      </c>
      <c r="BA83" s="741"/>
      <c r="BB83" s="742" t="str">
        <f t="shared" si="311"/>
        <v>8306-01-02</v>
      </c>
      <c r="BC83" s="743">
        <v>2</v>
      </c>
      <c r="BD83" s="730" t="str">
        <f>+IF(OR(D83="",VLOOKUP(MATCH(D83,op_id,0),op,'7(op)'!$T$18,FALSE)=""),"",VLOOKUP(MATCH(D83,op_id,0),op,'7(op)'!$T$18,FALSE))</f>
        <v>Selective Catalytic Reduction (SCR) with ID fans</v>
      </c>
      <c r="BE83" s="730" t="s">
        <v>1093</v>
      </c>
      <c r="BF83" s="730" t="s">
        <v>1862</v>
      </c>
      <c r="BG83" s="744"/>
      <c r="BH83" s="748"/>
      <c r="BI83" s="749"/>
      <c r="BJ83" s="750"/>
      <c r="BK83" s="750"/>
      <c r="BL83" s="750"/>
      <c r="BM83" s="750"/>
      <c r="BN83" s="750" t="str">
        <f t="shared" si="12"/>
        <v/>
      </c>
      <c r="BO83" s="750" t="str">
        <f t="shared" si="13"/>
        <v/>
      </c>
      <c r="BP83" s="750" t="str">
        <f t="shared" si="14"/>
        <v/>
      </c>
      <c r="BQ83" s="750" t="str">
        <f t="shared" si="15"/>
        <v/>
      </c>
      <c r="BR83" s="751"/>
      <c r="BS83" s="1075" t="s">
        <v>559</v>
      </c>
      <c r="BT83" s="753"/>
      <c r="BU83" s="3709">
        <f>+IF(BB83="","",IF(VLOOKUP(MATCH(BB83,ef_id,0),ef,'11(eff)'!$Z$23,FALSE)="","",VLOOKUP(MATCH(BB83,ef_id,0),ef,'11(eff)'!$Z$23,FALSE)))</f>
        <v>0.1</v>
      </c>
      <c r="BV83" s="3753" t="str">
        <f>+IF(BB83="","",IF(VLOOKUP(MATCH(BB83,ef_id,0),ef,'11(eff)'!$AA$23,FALSE)="","",VLOOKUP(MATCH(BB83,ef_id,0),ef,'11(eff)'!$AA$23,FALSE)))</f>
        <v/>
      </c>
      <c r="BW83" s="3778">
        <v>50.89</v>
      </c>
      <c r="BX83" s="1962">
        <f t="shared" si="511"/>
        <v>50.89</v>
      </c>
      <c r="BY83" s="1077">
        <f t="shared" si="512"/>
        <v>50.887</v>
      </c>
      <c r="BZ83" s="3259"/>
      <c r="CA83" s="3419"/>
      <c r="CB83" s="1082">
        <f t="shared" si="382"/>
        <v>40.709999999999994</v>
      </c>
      <c r="CC83" s="3867">
        <f t="shared" si="513"/>
        <v>0.44443231441048031</v>
      </c>
      <c r="CD83" s="3867">
        <f t="shared" si="514"/>
        <v>0.44444444444444442</v>
      </c>
      <c r="CE83" s="2377">
        <f>+IF(BB83="","",IF(VLOOKUP(MATCH(BB83,ef_id,0),ef,'11(eff)'!$AE$23,FALSE)="","",VLOOKUP(MATCH(BB83,ef_id,0),ef,'11(eff)'!$AE$23,FALSE)))</f>
        <v>0.9</v>
      </c>
      <c r="CF83" s="2382" t="s">
        <v>1601</v>
      </c>
      <c r="CG83" s="753" t="s">
        <v>1633</v>
      </c>
      <c r="CH83" s="2415"/>
      <c r="CI83" s="3911">
        <f>+IF(BB83="","",AZ82/AW82*2000*(1-CO83))</f>
        <v>1.3132919223484779E-2</v>
      </c>
      <c r="CJ83" s="4069" t="str">
        <f>+IF(AY82="","",AY82*(1-CO83))</f>
        <v/>
      </c>
      <c r="CK83" s="3911">
        <f>+IF($BB83="","",IF(CI83="",IF($AZ83="",IF($AZ82="",$AZ81,$AZ82),$AZ83)-CL83,IF(OR(IF($AW83="",IF($AW82="",$AW81,$AW82),$AW83)="",CI83=""),"",CI83/2000*IF($AW83="",IF($AW82="",$AW81,$AW82),$AW83))))</f>
        <v>9.4199999999999982</v>
      </c>
      <c r="CL83" s="4001">
        <f>+IF($BB83="","",IF(CI83="",CO83*IF($AZ83="",IF($AZ82="",$AZ81,$AZ82),$AZ83),IF(CK83="","",IF($AZ83="",IF($AZ82="",$AZ81,$AZ82),$AZ83)-CK83)))</f>
        <v>84.78</v>
      </c>
      <c r="CM83" s="4002">
        <f>+IF($BB83="","",IF(CL83="","",CL83/IF($AZ83="",IF($AZ82="",$AZ81,$AZ82),$AZ83)))</f>
        <v>0.9</v>
      </c>
      <c r="CN83" s="4002">
        <f>+IF($BB83="","",IF(CI83="","",(1-CI83/IF($AX83="",IF($AX82="",$AX81,$AX82),$AX83))))</f>
        <v>0.89897754443473243</v>
      </c>
      <c r="CO83" s="4003">
        <f>+IF(BB83="","",IF(VLOOKUP(MATCH(BB83,ef_id,0),ef,'11(eff)'!$AE$23,FALSE)="","",VLOOKUP(MATCH(BB83,ef_id,0),ef,'11(eff)'!$AE$23,FALSE)))</f>
        <v>0.9</v>
      </c>
      <c r="CP83" s="4004">
        <f>+IF(OR(BB83="",VLOOKUP(MATCH(BB83,ef_id,0),ef,'11(eff)'!$AG$23,FALSE)=""),"",IF(VLOOKUP(MATCH(BB83,ef_id,0),ef,'11(eff)'!$AG$23,FALSE)/100=VLOOKUP(MATCH(BB83,ef_id,0),ef,'11(eff)'!$AE$23,FALSE),VLOOKUP(MATCH(BB83,ef_id,0),ef,'11(eff)'!$AE$23,FALSE),""))</f>
        <v>0.9</v>
      </c>
      <c r="CQ83" s="752" t="str">
        <f t="shared" si="51"/>
        <v>Selective Catalytic Reduction (SCR) with ID fans</v>
      </c>
      <c r="CR83" s="754"/>
      <c r="CS83" s="2764">
        <v>65903462</v>
      </c>
      <c r="CT83" s="1590">
        <v>16190210</v>
      </c>
      <c r="CU83" s="1089">
        <v>11205248</v>
      </c>
      <c r="CV83" s="1868">
        <f t="shared" si="309"/>
        <v>1047064</v>
      </c>
      <c r="CW83" s="1869">
        <f>590961+142588</f>
        <v>733549</v>
      </c>
      <c r="CX83" s="1869">
        <f>1184506+530766</f>
        <v>1715272</v>
      </c>
      <c r="CY83" s="1092"/>
      <c r="CZ83" s="2477">
        <f>533949+81686</f>
        <v>615635</v>
      </c>
      <c r="DA83" s="2487"/>
      <c r="DB83" s="2487">
        <v>873442</v>
      </c>
      <c r="DC83" s="1868"/>
      <c r="DD83" s="1902"/>
      <c r="DE83" s="1903"/>
      <c r="DF83" s="1904"/>
      <c r="DG83" s="1904"/>
      <c r="DH83" s="1902"/>
      <c r="DI83" s="1088">
        <f>+IF(CT83="","",SUM(CU83:DC83)+SUM(DE83:DF83))</f>
        <v>16190210</v>
      </c>
      <c r="DJ83" s="1943"/>
      <c r="DK83" s="1590"/>
      <c r="DL83" s="1089"/>
      <c r="DM83" s="1868" t="str">
        <f t="shared" si="310"/>
        <v/>
      </c>
      <c r="DN83" s="1869"/>
      <c r="DO83" s="1869"/>
      <c r="DP83" s="1092"/>
      <c r="DQ83" s="2477"/>
      <c r="DR83" s="2487"/>
      <c r="DS83" s="2487"/>
      <c r="DT83" s="1868"/>
      <c r="DU83" s="1902"/>
      <c r="DV83" s="1903"/>
      <c r="DW83" s="1904"/>
      <c r="DX83" s="1904"/>
      <c r="DY83" s="1902"/>
      <c r="DZ83" s="1088" t="str">
        <f t="shared" si="18"/>
        <v/>
      </c>
      <c r="EA83" s="1943"/>
      <c r="EB83" s="1089">
        <f t="shared" si="377"/>
        <v>16190210</v>
      </c>
      <c r="EC83" s="1967">
        <v>1</v>
      </c>
      <c r="ED83" s="1087">
        <f t="shared" si="20"/>
        <v>16190210</v>
      </c>
      <c r="EE83" s="1870">
        <v>371030</v>
      </c>
      <c r="EF83" s="1734">
        <v>30607972</v>
      </c>
      <c r="EG83" s="1092"/>
      <c r="EH83" s="1088">
        <f t="shared" si="353"/>
        <v>30979002</v>
      </c>
      <c r="EI83" s="1903"/>
      <c r="EJ83" s="1904"/>
      <c r="EK83" s="2015"/>
      <c r="EL83" s="1464"/>
      <c r="EM83" s="1903">
        <v>558479</v>
      </c>
      <c r="EN83" s="1904">
        <v>13328721</v>
      </c>
      <c r="EO83" s="2015">
        <v>4847050</v>
      </c>
      <c r="EP83" s="1088">
        <f t="shared" si="378"/>
        <v>18734250</v>
      </c>
      <c r="EQ83" s="2560"/>
      <c r="ER83" s="2560"/>
      <c r="ES83" s="2560"/>
      <c r="ET83" s="1464"/>
      <c r="EU83" s="1325"/>
      <c r="EV83" s="1345"/>
      <c r="EW83" s="2590"/>
      <c r="EX83" s="2590"/>
      <c r="EY83" s="2697">
        <f>+IF(BB83="","",(IF(ED83="",0,ED83)+IF(EH83="",0,EH83)+IF(EP83="",0,EP83)+IF(ET83="",0,ET83)+IF(EW83="",0,EW83)+IF(EX83="",0,EX83)))</f>
        <v>65903462</v>
      </c>
      <c r="EZ83" s="2726"/>
      <c r="FA83" s="1345"/>
      <c r="FB83" s="1479">
        <f t="shared" si="515"/>
        <v>65903462</v>
      </c>
      <c r="FC83" s="1089">
        <f t="shared" si="516"/>
        <v>16190210</v>
      </c>
      <c r="FD83" s="2048">
        <f t="shared" si="517"/>
        <v>11205248</v>
      </c>
      <c r="FE83" s="2032">
        <f t="shared" si="509"/>
        <v>0.69210022600077459</v>
      </c>
      <c r="FF83" s="2048">
        <f t="shared" si="518"/>
        <v>4111520</v>
      </c>
      <c r="FG83" s="2032">
        <f t="shared" si="519"/>
        <v>0.25395099878259764</v>
      </c>
      <c r="FH83" s="2048">
        <f t="shared" si="520"/>
        <v>0</v>
      </c>
      <c r="FI83" s="2032">
        <f t="shared" si="510"/>
        <v>0</v>
      </c>
      <c r="FJ83" s="2795">
        <f t="shared" si="521"/>
        <v>15316768</v>
      </c>
      <c r="FK83" s="2809">
        <f t="shared" si="522"/>
        <v>0.94605122478337222</v>
      </c>
      <c r="FL83" s="2781">
        <f t="shared" si="523"/>
        <v>873442</v>
      </c>
      <c r="FM83" s="2032">
        <f t="shared" si="524"/>
        <v>5.3948775216627824E-2</v>
      </c>
      <c r="FN83" s="2781">
        <f t="shared" si="525"/>
        <v>0</v>
      </c>
      <c r="FO83" s="2771">
        <f t="shared" si="526"/>
        <v>0</v>
      </c>
      <c r="FP83" s="2781">
        <f t="shared" si="527"/>
        <v>0</v>
      </c>
      <c r="FQ83" s="2771">
        <f t="shared" si="528"/>
        <v>0</v>
      </c>
      <c r="FR83" s="2845">
        <f t="shared" si="529"/>
        <v>16190210</v>
      </c>
      <c r="FS83" s="2829" t="str">
        <f t="shared" si="530"/>
        <v/>
      </c>
      <c r="FT83" s="1515" t="str">
        <f t="shared" si="531"/>
        <v/>
      </c>
      <c r="FU83" s="2897">
        <f t="shared" si="532"/>
        <v>0</v>
      </c>
      <c r="FV83" s="1084">
        <f t="shared" si="533"/>
        <v>134918.41666666666</v>
      </c>
      <c r="FW83" s="2110">
        <f t="shared" si="534"/>
        <v>30979002</v>
      </c>
      <c r="FX83" s="1742">
        <f t="shared" si="535"/>
        <v>1.9134404062702091</v>
      </c>
      <c r="FY83" s="2111">
        <f t="shared" si="536"/>
        <v>18734250</v>
      </c>
      <c r="FZ83" s="1742">
        <f t="shared" si="537"/>
        <v>1.1571344658284235</v>
      </c>
      <c r="GA83" s="1742">
        <f t="shared" si="538"/>
        <v>0.39717114629771638</v>
      </c>
      <c r="GB83" s="2111" t="str">
        <f t="shared" si="539"/>
        <v/>
      </c>
      <c r="GC83" s="1742" t="str">
        <f t="shared" si="540"/>
        <v/>
      </c>
      <c r="GD83" s="1742" t="str">
        <f t="shared" si="541"/>
        <v/>
      </c>
      <c r="GE83" s="1091">
        <f t="shared" si="542"/>
        <v>65903462</v>
      </c>
      <c r="GF83" s="2146">
        <f t="shared" si="543"/>
        <v>65903462</v>
      </c>
      <c r="GG83" s="2174">
        <f t="shared" si="544"/>
        <v>0</v>
      </c>
      <c r="GH83" s="3182">
        <f t="shared" si="545"/>
        <v>549195.51666666672</v>
      </c>
      <c r="GI83" s="3199">
        <v>17113676</v>
      </c>
      <c r="GJ83" s="3187">
        <v>420384</v>
      </c>
      <c r="GK83" s="3453">
        <f t="shared" si="423"/>
        <v>40.709999999999994</v>
      </c>
      <c r="GL83" s="3250">
        <f t="shared" si="546"/>
        <v>9.152829952964586E-6</v>
      </c>
      <c r="GM83" s="755"/>
      <c r="GN83" s="757"/>
      <c r="GO83" s="1903">
        <v>15000</v>
      </c>
      <c r="GP83" s="2015">
        <f>+IF(GQ83="","",GQ83-GO83)</f>
        <v>155393</v>
      </c>
      <c r="GQ83" s="1464">
        <v>170393</v>
      </c>
      <c r="GR83" s="2324"/>
      <c r="GS83" s="2324"/>
      <c r="GT83" s="1088">
        <v>16943283</v>
      </c>
      <c r="GU83" s="2315">
        <f t="shared" si="547"/>
        <v>17113676</v>
      </c>
      <c r="GV83" s="756">
        <f t="shared" si="548"/>
        <v>15000</v>
      </c>
      <c r="GW83" s="2259">
        <f t="shared" si="549"/>
        <v>155393</v>
      </c>
      <c r="GX83" s="758">
        <f t="shared" si="550"/>
        <v>170393</v>
      </c>
      <c r="GY83" s="758" t="str">
        <f t="shared" si="551"/>
        <v/>
      </c>
      <c r="GZ83" s="758" t="str">
        <f t="shared" si="552"/>
        <v/>
      </c>
      <c r="HA83" s="1088">
        <f t="shared" si="553"/>
        <v>16943283</v>
      </c>
      <c r="HB83" s="2233">
        <f t="shared" si="432"/>
        <v>17113676</v>
      </c>
      <c r="HC83" s="2346">
        <f t="shared" si="554"/>
        <v>17113676</v>
      </c>
      <c r="HD83" s="1291">
        <f t="shared" si="375"/>
        <v>0</v>
      </c>
      <c r="HE83" s="755"/>
      <c r="HF83" s="1086">
        <f t="shared" si="555"/>
        <v>420384</v>
      </c>
      <c r="HG83" s="757">
        <f t="shared" si="23"/>
        <v>201859.82543052608</v>
      </c>
      <c r="HH83" s="2997">
        <f>+IF(BF83="","",VALUE(LEFT(BF83,1)))</f>
        <v>4</v>
      </c>
      <c r="HI83" s="1293">
        <f t="shared" si="355"/>
        <v>16190210</v>
      </c>
      <c r="HJ83" s="1734">
        <f t="shared" si="356"/>
        <v>0</v>
      </c>
      <c r="HK83" s="1734">
        <f t="shared" si="357"/>
        <v>0</v>
      </c>
      <c r="HL83" s="1734" t="str">
        <f>+IF(FR83="","",IF(HH83="","",IF(HH83=4,FS83,IF(HH83=3,FS83,IF(HH83=2,$HL$7*HI83,IF(HH83=1,$HL$6*HI83,""))))))</f>
        <v/>
      </c>
      <c r="HM83" s="1294">
        <f t="shared" si="358"/>
        <v>16190210</v>
      </c>
      <c r="HN83" s="3028">
        <f t="shared" si="347"/>
        <v>134918.41666666666</v>
      </c>
      <c r="HO83" s="2945">
        <f>+IF(FR83="","",IF(HH83="","",IF(HH83=4,FW83,IF(HH83=3,FW83,IF(HH83=2,$HO$7*HM83,IF(HH83=1,$HO$6*HM83,""))))))</f>
        <v>30979002</v>
      </c>
      <c r="HP83" s="2487">
        <f>+IF(FR83="","",IF(HH83="","",IF(HH83=4,FY83,IF(HH83=3,FY83,IF(HH83=2,$HP$7*(HM83+HO83),IF(HH83=1,$HP$6*HM83,""))))))</f>
        <v>18734250</v>
      </c>
      <c r="HQ83" s="3008" t="str">
        <f t="shared" si="556"/>
        <v/>
      </c>
      <c r="HR83" s="1092" t="str">
        <f t="shared" si="557"/>
        <v/>
      </c>
      <c r="HS83" s="1092">
        <f t="shared" si="558"/>
        <v>0</v>
      </c>
      <c r="HT83" s="2951" t="str">
        <f>+IF(FR83="","",IF(HH83="","",IF(HH83=2,$HT$7*(HP83+HR83),"")))</f>
        <v/>
      </c>
      <c r="HU83" s="2947" t="str">
        <f>+IF(FR83="","",IF(HH83="","",IF(HH83=2,$HU$7*(HP83+HR83),"")))</f>
        <v/>
      </c>
      <c r="HV83" s="2951" t="str">
        <f t="shared" si="559"/>
        <v/>
      </c>
      <c r="HW83" s="2947" t="str">
        <f t="shared" si="560"/>
        <v/>
      </c>
      <c r="HX83" s="3030">
        <f t="shared" si="199"/>
        <v>65903462</v>
      </c>
      <c r="HY83" s="2946" t="str">
        <f t="shared" si="561"/>
        <v/>
      </c>
      <c r="HZ83" s="2947" t="str">
        <f t="shared" si="562"/>
        <v/>
      </c>
      <c r="IA83" s="1089">
        <f t="shared" si="563"/>
        <v>65903462</v>
      </c>
      <c r="IB83" s="3041" t="str">
        <f t="shared" si="564"/>
        <v>same TCC</v>
      </c>
      <c r="IC83" s="2908">
        <f t="shared" si="565"/>
        <v>549195.51666666672</v>
      </c>
      <c r="ID83" s="1289"/>
      <c r="IE83" s="4105"/>
      <c r="IF83" s="4116">
        <f t="shared" si="583"/>
        <v>15000</v>
      </c>
      <c r="IG83" s="6782">
        <f>+IF(IF83="","",(IF83/IF(AO83="",IF(AO82="",IF(AO81="",AO80,AO81),AO82),AO83)))</f>
        <v>11.268875366238451</v>
      </c>
      <c r="IH83" s="4089">
        <f t="shared" si="584"/>
        <v>155393</v>
      </c>
      <c r="II83" s="6796">
        <f>+IH83/IF(AQ83="",IF(AQ82="",IF(AQ81="",AQ80,AQ81),AQ82),AQ83)</f>
        <v>0.15268437911450861</v>
      </c>
      <c r="IJ83" s="4105">
        <f t="shared" si="585"/>
        <v>170393</v>
      </c>
      <c r="IK83" s="4142">
        <v>0</v>
      </c>
      <c r="IL83" s="4194">
        <f t="shared" si="586"/>
        <v>0</v>
      </c>
      <c r="IM83" s="4195">
        <f t="shared" si="587"/>
        <v>0</v>
      </c>
      <c r="IN83" s="4222" t="str">
        <f t="shared" si="588"/>
        <v/>
      </c>
      <c r="IO83" s="4222">
        <f t="shared" si="589"/>
        <v>170393</v>
      </c>
      <c r="IP83" s="7236">
        <f t="shared" si="590"/>
        <v>170393</v>
      </c>
      <c r="IQ83" s="7243">
        <f t="shared" si="591"/>
        <v>3.3320525175497016E-2</v>
      </c>
      <c r="IR83" s="7236" t="str">
        <f t="shared" si="592"/>
        <v/>
      </c>
      <c r="IS83" s="7243" t="str">
        <f t="shared" si="593"/>
        <v/>
      </c>
      <c r="IT83" s="4222">
        <f t="shared" si="594"/>
        <v>170393</v>
      </c>
      <c r="IU83" s="6854">
        <f t="shared" si="595"/>
        <v>3.3320525175497016E-2</v>
      </c>
      <c r="IV83" s="7270">
        <f t="shared" si="596"/>
        <v>2</v>
      </c>
      <c r="IW83" s="7256">
        <f>IF(IA83="","",IF(IV83=1,$IW$5,IF(IV83=2,$IW$8,""))*IA83)</f>
        <v>4943361.9334097011</v>
      </c>
      <c r="IX83" s="4187">
        <f t="shared" si="597"/>
        <v>5113754.9334097011</v>
      </c>
      <c r="IY83" s="4255">
        <f t="shared" si="598"/>
        <v>17113676</v>
      </c>
      <c r="IZ83" s="4300">
        <f t="shared" si="599"/>
        <v>0.70118898281060704</v>
      </c>
      <c r="JA83" s="4306" t="str">
        <f t="shared" si="600"/>
        <v>stk added + 70%</v>
      </c>
      <c r="JB83" s="4158"/>
      <c r="JC83" s="4338"/>
      <c r="JD83" s="1086">
        <f t="shared" si="570"/>
        <v>125614.22091401872</v>
      </c>
      <c r="JE83" s="4337">
        <f t="shared" si="571"/>
        <v>60317.939766568779</v>
      </c>
      <c r="JF83" s="7040">
        <f>+IF(D83="","",IF(T83="",IF(T82="",T81/IF(Y81="TP",2,1),T82/IF(Y82="TP",2,1)),T83/IF(Y83="TP",2,1)))</f>
        <v>120</v>
      </c>
      <c r="JG83" s="7056" t="s">
        <v>1093</v>
      </c>
      <c r="JH83" s="6971">
        <f t="shared" si="601"/>
        <v>65903462</v>
      </c>
      <c r="JI83" s="6971">
        <f>+JH83</f>
        <v>65903462</v>
      </c>
      <c r="JJ83" s="6971"/>
      <c r="JK83" s="6971"/>
      <c r="JL83" s="7008"/>
      <c r="JM83" s="7050">
        <f t="shared" si="602"/>
        <v>6423000</v>
      </c>
      <c r="JN83" s="1734">
        <f>+IF(D83="","",IF(JM83="N/A","",JM83*$JN$27))</f>
        <v>11111790</v>
      </c>
      <c r="JO83" s="1734">
        <f>+JN83</f>
        <v>11111790</v>
      </c>
      <c r="JP83" s="7081"/>
      <c r="JQ83" s="7081"/>
      <c r="JR83" s="7056"/>
      <c r="JS83" s="7062">
        <f>+IF(D83="","",SUM(JO83:JR83))</f>
        <v>11111790</v>
      </c>
      <c r="JT83" s="7166">
        <f t="shared" si="476"/>
        <v>2</v>
      </c>
      <c r="JU83" s="7167">
        <f t="shared" si="603"/>
        <v>1670</v>
      </c>
      <c r="JV83" s="8378">
        <f t="shared" si="604"/>
        <v>1434563</v>
      </c>
      <c r="JW83" s="8405">
        <f t="shared" si="605"/>
        <v>84.78</v>
      </c>
      <c r="JX83" s="8434">
        <f t="shared" si="606"/>
        <v>14.37125748502994</v>
      </c>
      <c r="JY83" s="8469">
        <f t="shared" si="574"/>
        <v>0.11257586145236925</v>
      </c>
      <c r="JZ83" s="7168">
        <f t="shared" si="607"/>
        <v>8934.9397590361441</v>
      </c>
      <c r="KA83" s="7166" t="str">
        <f t="shared" si="608"/>
        <v/>
      </c>
      <c r="KB83" s="7167" t="str">
        <f t="shared" si="609"/>
        <v/>
      </c>
      <c r="KC83" s="7168" t="str">
        <f t="shared" si="610"/>
        <v/>
      </c>
      <c r="KD83" s="7166">
        <f t="shared" si="611"/>
        <v>70881.48</v>
      </c>
      <c r="KE83" s="8342">
        <f t="shared" si="612"/>
        <v>52800.983999999997</v>
      </c>
      <c r="KF83" s="8342">
        <f t="shared" si="613"/>
        <v>35407.718682352934</v>
      </c>
      <c r="KG83" s="7167">
        <f t="shared" si="614"/>
        <v>26102.029123341556</v>
      </c>
      <c r="KH83" s="7167">
        <f>IF(D83="","",IF(JT83=2,0.005*JF83*$KD$6/1000*1000*JU83,""))</f>
        <v>388936.32</v>
      </c>
      <c r="KI83" s="7167">
        <f>IF(D83="","",IF(JT83=2,0.1*0.005*JF83*$KD$6/1000*1000*JU83,""))</f>
        <v>38893.631999999998</v>
      </c>
      <c r="KJ83" s="7167">
        <f t="shared" si="615"/>
        <v>613022.16380569444</v>
      </c>
      <c r="KK83" s="7167">
        <f>+IF(OR(D83="",JU83="",JV83=""),"",$KK$7*$KG$4*JU83)</f>
        <v>175195.024</v>
      </c>
      <c r="KL83" s="7167">
        <f t="shared" si="616"/>
        <v>69587.584875</v>
      </c>
      <c r="KM83" s="7167">
        <f t="shared" si="617"/>
        <v>244782.60887500001</v>
      </c>
      <c r="KN83" s="7167">
        <f>+IF(D83="","",IF(JX83&lt;41,$KN$8*JZ83*JY83,""))</f>
        <v>291698.97671557037</v>
      </c>
      <c r="KO83" s="7167">
        <f t="shared" si="618"/>
        <v>536481.58559057035</v>
      </c>
      <c r="KP83" s="7168">
        <f t="shared" si="619"/>
        <v>1149503.7493962648</v>
      </c>
      <c r="KQ83" s="7212">
        <f>+IF(D83="","",VLOOKUP(MATCH(BE83,ac_id,0),ad,ac!$F$8,FALSE)*JV83)</f>
        <v>430368.89999999997</v>
      </c>
      <c r="KR83" s="7081">
        <f>+IF(D83="","",IF(JT83=1,VLOOKUP(MATCH(BE83,ac_id,0),ad,ac!$H$8,FALSE)*JU83, (VLOOKUP(MATCH(BE83,ac_id,0),ad,ac!$H$8,FALSE)*JU83^(1+VLOOKUP(MATCH(BE83,ac_id,0),ad,ac!$I$8,FALSE)))))</f>
        <v>22531.89424449873</v>
      </c>
      <c r="KS83" s="7062">
        <f>+IF(D83="","",KQ83+KR83)</f>
        <v>452900.79424449871</v>
      </c>
      <c r="KT83" s="7212">
        <f t="shared" si="620"/>
        <v>146869.565325</v>
      </c>
      <c r="KU83" s="7056">
        <f t="shared" si="621"/>
        <v>444471.60000000003</v>
      </c>
      <c r="KV83" s="7390">
        <f t="shared" si="622"/>
        <v>2</v>
      </c>
      <c r="KW83" s="7274">
        <f t="shared" ref="KW83" si="627">IF(JS83="","",IF(KV83=1,$KW$5,IF(KV83=2,$KW$8,""))*JS83)</f>
        <v>833485.79924439453</v>
      </c>
      <c r="KX83" s="7062">
        <f t="shared" si="623"/>
        <v>1424826.9645693945</v>
      </c>
      <c r="KY83" s="7356">
        <f t="shared" si="624"/>
        <v>2574330.713965659</v>
      </c>
      <c r="KZ83" s="1343"/>
      <c r="LA83" s="7211">
        <f t="shared" si="625"/>
        <v>63235.83183408645</v>
      </c>
      <c r="LB83" s="1340">
        <f t="shared" si="626"/>
        <v>30364.835031442075</v>
      </c>
      <c r="LC83" s="5133"/>
      <c r="LD83" s="5132"/>
      <c r="LE83" s="5132"/>
      <c r="LF83" s="5132"/>
      <c r="LG83" s="5132"/>
      <c r="LH83" s="5132"/>
      <c r="LI83" s="5132"/>
      <c r="LJ83" s="5132"/>
    </row>
    <row r="84" spans="1:322" s="717" customFormat="1" ht="27.95" customHeight="1">
      <c r="A84" s="10540"/>
      <c r="B84" s="10521" t="str">
        <f>+IF(A84="","",VLOOKUP(MATCH(A84,tid,0),tao,'12(id)'!$J$20,FALSE))</f>
        <v/>
      </c>
      <c r="C84" s="10562"/>
      <c r="D84" s="1031" t="str">
        <f t="shared" si="48"/>
        <v/>
      </c>
      <c r="E84" s="651"/>
      <c r="F84" s="651" t="str">
        <f t="shared" si="49"/>
        <v/>
      </c>
      <c r="G84" s="5133"/>
      <c r="H84" s="5132"/>
      <c r="I84" s="5133"/>
      <c r="J84" s="719">
        <f t="shared" si="68"/>
        <v>50</v>
      </c>
      <c r="K84" s="10553"/>
      <c r="L84" s="9721"/>
      <c r="M84" s="9718"/>
      <c r="N84" s="9699"/>
      <c r="O84" s="9666"/>
      <c r="P84" s="9518"/>
      <c r="Q84" s="9715" t="str">
        <f>+IF(ISERROR(MATCH(O84,tid,0)),"",VLOOKUP(MATCH(O84,tid,0),tao,'12(id)'!$Q$20,FALSE))</f>
        <v/>
      </c>
      <c r="R84" s="10184"/>
      <c r="S84" s="9715"/>
      <c r="T84" s="10527" t="str">
        <f>+IF(ISERROR(MATCH(O84,tid,0)),"",IF(VLOOKUP(MATCH(O84,tid,0),tao,'12(id)'!$CT$20,FALSE)="","",VLOOKUP(MATCH(O84,tid,0),tao,'12(id)'!$CT$20,FALSE)))</f>
        <v/>
      </c>
      <c r="U84" s="10529" t="str">
        <f>+IF(ISERROR(MATCH(O84,tid,0)),"",IF(VLOOKUP(MATCH(O84,tid,0),tao,'12(id)'!$CU$20,FALSE)="","",VLOOKUP(MATCH(O84,tid,0),tao,'12(id)'!$CU$20,FALSE)))</f>
        <v/>
      </c>
      <c r="V84" s="9513" t="str">
        <f>+IF(O84="","",IF(VLOOKUP(MATCH(O84,tid,0),tao,'12(id)'!$T$20,FALSE)="","",VLOOKUP(MATCH(O84,tid,0),tao,'12(id)'!$T$20,FALSE)))</f>
        <v/>
      </c>
      <c r="W84" s="9513" t="str">
        <f>+IF(ISERROR(MATCH(O84,tid,0)),"",IF(VLOOKUP(MATCH(O84,tid,0),tao,'12(id)'!$CO$20,FALSE)="","",VLOOKUP(MATCH(O84,tid,0),tao,'12(id)'!$CO$20,FALSE)))</f>
        <v/>
      </c>
      <c r="X84" s="9513" t="str">
        <f>+IF(ISERROR(MATCH(O84,tid,0)),"",IF(VLOOKUP(MATCH(O84,tid,0),tao,'12(id)'!$CP$20,FALSE)="","",VLOOKUP(MATCH(O84,tid,0),tao,'12(id)'!$CP$20,FALSE)))</f>
        <v/>
      </c>
      <c r="Y84" s="8555" t="str">
        <f>+IF(ISERROR(MATCH(O84,tid,0)),"",IF(VLOOKUP(MATCH(O84,tid,0),tao,'12(id)'!$CQ$20,FALSE)="","",VLOOKUP(MATCH(O84,tid,0),tao,'12(id)'!$CQ$20,FALSE)))</f>
        <v/>
      </c>
      <c r="Z84" s="9666" t="str">
        <f>+IF(ISERROR(MATCH(O84,tid,0)),"",VLOOKUP(MATCH(O84,tid,0),tao,'12(id)'!$DB$20,FALSE)&amp;" "&amp;VLOOKUP(MATCH(O84,tid,0),tao,'12(id)'!$DC$20,FALSE))</f>
        <v/>
      </c>
      <c r="AA84" s="9666" t="str">
        <f>+IF(ISERROR(MATCH(O84,tid,0)),"",IF(VLOOKUP(MATCH(O84,tid,0),tao,'12(id)'!$DE$20,FALSE)="","",ROUND(VLOOKUP(MATCH(O84,tid,0),tao,'12(id)'!$DE$20,FALSE),0)&amp;" yrs"))</f>
        <v/>
      </c>
      <c r="AB84" s="9653" t="str">
        <f>+IF(ISERROR(MATCH(O84,tid,0)),"",VLOOKUP(MATCH(O84,tid,0),tao,'12(id)'!$DI$20,FALSE))</f>
        <v/>
      </c>
      <c r="AC84" s="9653" t="str">
        <f>+IF(ISERROR(MATCH(O84,tid,0)),"",IF(VLOOKUP(MATCH(O84,tid,0),tao,'12(id)'!$DQ$20,FALSE)="","",VLOOKUP(MATCH(O84,tid,0),tao,'12(id)'!$DQ$20,FALSE)))</f>
        <v/>
      </c>
      <c r="AD84" s="10443" t="str">
        <f>+IF(ISERROR(MATCH(O84,tid,0)),"",IF(VLOOKUP(MATCH(O84,tid,0),tao,'12(id)'!$EI$20,FALSE)="","",VLOOKUP(MATCH(O84,tid,0),tao,'12(id)'!$EI$20,FALSE)))</f>
        <v/>
      </c>
      <c r="AE84" s="10443" t="str">
        <f>+IF(ISERROR(MATCH(O84,tid,0)),"",IF(VLOOKUP(MATCH(O84,tid,0),tao,'12(id)'!$EJ$20,FALSE)="","",VLOOKUP(MATCH(O84,tid,0),tao,'12(id)'!$EJ$20,FALSE)))</f>
        <v/>
      </c>
      <c r="AF84" s="10443" t="str">
        <f>+IF(ISERROR(MATCH(O84,tid,0)),"",IF(VLOOKUP(MATCH(O84,tid,0),tao,'12(id)'!$EL$20,FALSE)="","",VLOOKUP(MATCH(O84,tid,0),tao,'12(id)'!$EL$20,FALSE)))</f>
        <v/>
      </c>
      <c r="AG84" s="10416" t="str">
        <f>+IF(ISERROR(MATCH(O84,tid,0)),"",IF(VLOOKUP(MATCH(O84,tid,0),tao,'12(id)'!$EM$20,FALSE)="","",VLOOKUP(MATCH(O84,tid,0),tao,'12(id)'!$EM$20,FALSE)))</f>
        <v/>
      </c>
      <c r="AH84" s="10573"/>
      <c r="AI84" s="10571"/>
      <c r="AJ84" s="10571"/>
      <c r="AK84" s="10571"/>
      <c r="AL84" s="10571"/>
      <c r="AM84" s="10569"/>
      <c r="AN84" s="10511"/>
      <c r="AO84" s="10458" t="str">
        <f>+IF(ISERROR(MATCH(O84,tid,0)),"",IF(VLOOKUP(MATCH(O84,tid,0),tao,'12(id)'!$GY$20,FALSE)="","",VLOOKUP(MATCH(O84,tid,0),tao,'12(id)'!$GY$20,FALSE)))</f>
        <v/>
      </c>
      <c r="AP84" s="10379" t="str">
        <f>+IF($BB84="","",IF(VLOOKUP(MATCH(O84,tid,0),tao,'12(id)'!$HE$20,FALSE)="","",VLOOKUP(MATCH(O84,tid,0),tao,'12(id)'!$HE$20,FALSE)))</f>
        <v/>
      </c>
      <c r="AQ84" s="10379" t="str">
        <f>+IF(ISERROR(VLOOKUP(MATCH(O84,tid,0),tao,'12(id)'!$HF$20,FALSE)),"",VLOOKUP(MATCH(O84,tid,0),tao,'12(id)'!$HF$20,FALSE))</f>
        <v/>
      </c>
      <c r="AR84" s="10382" t="str">
        <f>+IF(ISERROR(MATCH(O84,tid,0)),"",IF(VLOOKUP(MATCH(O84,tid,0),tao,'12(id)'!$HJ$20,FALSE)="","",VLOOKUP(MATCH(O84,tid,0),tao,'12(id)'!$HJ$20,FALSE)))</f>
        <v/>
      </c>
      <c r="AS84" s="10385" t="str">
        <f>+IF(ISERROR(MATCH(O84,tid,0)),"",IF(VLOOKUP(MATCH(O84,tid,0),tao,'12(id)'!$HK$20,FALSE)="","",VLOOKUP(MATCH(O84,tid,0),tao,'12(id)'!$HK$20,FALSE)))</f>
        <v/>
      </c>
      <c r="AT84" s="10388" t="str">
        <f>+IF(ISERROR(MATCH(O84,tid,0)),"",IF(VLOOKUP(MATCH(O84,tid,0),tao,'12(id)'!$HM$20,FALSE)="","",VLOOKUP(MATCH(O84,tid,0),tao,'12(id)'!$HM$20,FALSE)))</f>
        <v/>
      </c>
      <c r="AU84" s="10576"/>
      <c r="AV84" s="10508" t="str">
        <f>+IF(ISERROR(MATCH(O84,em_id,0)),"",IF(VLOOKUP(MATCH(O84,em_id,0),em,'5(em)'!$CX$18,FALSE)="","",VLOOKUP(MATCH(O84,em_id,0),em,'5(em)'!$CX$18,FALSE)))</f>
        <v/>
      </c>
      <c r="AW84" s="10501" t="str">
        <f>+IF(ISERROR(MATCH(O84,em_id,0)),"",IF(VLOOKUP(MATCH(O84,em_id,0),em,'5(em)'!$CZ$18,FALSE)="","",VLOOKUP(MATCH(O84,em_id,0),em,'5(em)'!$CZ$18,FALSE)))</f>
        <v/>
      </c>
      <c r="AX84" s="10503" t="str">
        <f t="shared" si="50"/>
        <v/>
      </c>
      <c r="AY84" s="10505"/>
      <c r="AZ84" s="10565" t="str">
        <f>+IF(ISERROR(MATCH(O84,em_id,0)),"",IF(VLOOKUP(MATCH(O84,em_id,0),em,'5(em)'!$DA$18,FALSE)="","",VLOOKUP(MATCH(O84,em_id,0),em,'5(em)'!$DA$18,FALSE)))</f>
        <v/>
      </c>
      <c r="BA84" s="650"/>
      <c r="BB84" s="651" t="str">
        <f t="shared" si="311"/>
        <v/>
      </c>
      <c r="BC84" s="659"/>
      <c r="BD84" s="651"/>
      <c r="BE84" s="651"/>
      <c r="BF84" s="651"/>
      <c r="BG84" s="652"/>
      <c r="BH84" s="208"/>
      <c r="BI84" s="450"/>
      <c r="BJ84" s="209"/>
      <c r="BK84" s="209"/>
      <c r="BL84" s="209"/>
      <c r="BM84" s="209"/>
      <c r="BN84" s="209" t="str">
        <f t="shared" si="12"/>
        <v/>
      </c>
      <c r="BO84" s="209" t="str">
        <f t="shared" si="13"/>
        <v/>
      </c>
      <c r="BP84" s="209" t="str">
        <f t="shared" si="14"/>
        <v/>
      </c>
      <c r="BQ84" s="209" t="str">
        <f t="shared" si="15"/>
        <v/>
      </c>
      <c r="BR84" s="210"/>
      <c r="BS84" s="451"/>
      <c r="BT84" s="452"/>
      <c r="BU84" s="3710" t="str">
        <f>+IF(BB84="","",IF(VLOOKUP(MATCH(BB84,ef_id,0),ef,'11(eff)'!$Z$23,FALSE)="","",VLOOKUP(MATCH(BB84,ef_id,0),ef,'11(eff)'!$Z$23,FALSE)))</f>
        <v/>
      </c>
      <c r="BV84" s="3754" t="str">
        <f>+IF(BB84="","",IF(VLOOKUP(MATCH(BB84,ef_id,0),ef,'11(eff)'!$AA$23,FALSE)="","",VLOOKUP(MATCH(BB84,ef_id,0),ef,'11(eff)'!$AA$23,FALSE)))</f>
        <v/>
      </c>
      <c r="BW84" s="2368"/>
      <c r="BX84" s="3793" t="str">
        <f t="shared" si="511"/>
        <v/>
      </c>
      <c r="BY84" s="3818" t="str">
        <f t="shared" si="512"/>
        <v/>
      </c>
      <c r="BZ84" s="3397"/>
      <c r="CA84" s="3420"/>
      <c r="CB84" s="3849" t="str">
        <f t="shared" si="382"/>
        <v/>
      </c>
      <c r="CC84" s="3869" t="str">
        <f t="shared" si="513"/>
        <v/>
      </c>
      <c r="CD84" s="3869" t="str">
        <f t="shared" si="514"/>
        <v/>
      </c>
      <c r="CE84" s="2373" t="str">
        <f>+IF(BB84="","",IF(VLOOKUP(MATCH(BB84,ef_id,0),ef,'11(eff)'!$AE$23,FALSE)="","",VLOOKUP(MATCH(BB84,ef_id,0),ef,'11(eff)'!$AE$23,FALSE)))</f>
        <v/>
      </c>
      <c r="CF84" s="451"/>
      <c r="CG84" s="452"/>
      <c r="CH84" s="2410"/>
      <c r="CI84" s="3912" t="str">
        <f t="shared" ref="CI84:CI114" si="628">IF(BB84="","",2000*(1-CO84)*IF(AZ84="",IF(AZ83="",(AZ82/AW82),(AZ83/AW83)),AZ84/AW84))</f>
        <v/>
      </c>
      <c r="CJ84" s="4077"/>
      <c r="CK84" s="3912" t="str">
        <f>+IF($BB84="","",IF(OR($AW84="",CI84=""),"",CI84/2000*$AW84))</f>
        <v/>
      </c>
      <c r="CL84" s="4005" t="str">
        <f>+IF($BB84="","",IF(CK84="","",$AZ84-CK84))</f>
        <v/>
      </c>
      <c r="CM84" s="4006" t="str">
        <f>+IF($BB84="","",IF(CL84="","",CL84/$AZ84))</f>
        <v/>
      </c>
      <c r="CN84" s="4006" t="str">
        <f>+IF($BB84="","",IF(CI84="","",(1-CI84/$AX84)))</f>
        <v/>
      </c>
      <c r="CO84" s="4007"/>
      <c r="CP84" s="4008"/>
      <c r="CQ84" s="451" t="str">
        <f t="shared" si="51"/>
        <v/>
      </c>
      <c r="CR84" s="453"/>
      <c r="CS84" s="2765"/>
      <c r="CT84" s="1591"/>
      <c r="CU84" s="1496"/>
      <c r="CV84" s="1872" t="str">
        <f t="shared" si="309"/>
        <v/>
      </c>
      <c r="CW84" s="1873"/>
      <c r="CX84" s="1873"/>
      <c r="CY84" s="1874"/>
      <c r="CZ84" s="2478"/>
      <c r="DA84" s="2488"/>
      <c r="DB84" s="2488"/>
      <c r="DC84" s="1872"/>
      <c r="DD84" s="1876"/>
      <c r="DE84" s="1877"/>
      <c r="DF84" s="1878"/>
      <c r="DG84" s="1878"/>
      <c r="DH84" s="1876"/>
      <c r="DI84" s="1693" t="str">
        <f>+IF(CT84="","",SUM(CU84:DC84))</f>
        <v/>
      </c>
      <c r="DJ84" s="1938"/>
      <c r="DK84" s="1591"/>
      <c r="DL84" s="1496"/>
      <c r="DM84" s="1872" t="str">
        <f t="shared" si="310"/>
        <v/>
      </c>
      <c r="DN84" s="1873"/>
      <c r="DO84" s="1873"/>
      <c r="DP84" s="1874"/>
      <c r="DQ84" s="2478"/>
      <c r="DR84" s="2488"/>
      <c r="DS84" s="2488"/>
      <c r="DT84" s="1872"/>
      <c r="DU84" s="1876"/>
      <c r="DV84" s="1877"/>
      <c r="DW84" s="1878"/>
      <c r="DX84" s="1878"/>
      <c r="DY84" s="1876"/>
      <c r="DZ84" s="1693" t="str">
        <f t="shared" si="18"/>
        <v/>
      </c>
      <c r="EA84" s="1938"/>
      <c r="EB84" s="1496" t="str">
        <f t="shared" si="377"/>
        <v/>
      </c>
      <c r="EC84" s="1963"/>
      <c r="ED84" s="1415" t="str">
        <f t="shared" si="20"/>
        <v/>
      </c>
      <c r="EE84" s="1875"/>
      <c r="EF84" s="1733"/>
      <c r="EG84" s="1874"/>
      <c r="EH84" s="1693" t="str">
        <f t="shared" si="353"/>
        <v/>
      </c>
      <c r="EI84" s="1877"/>
      <c r="EJ84" s="1878"/>
      <c r="EK84" s="2010"/>
      <c r="EL84" s="1459"/>
      <c r="EM84" s="1877"/>
      <c r="EN84" s="1878"/>
      <c r="EO84" s="2010"/>
      <c r="EP84" s="1693" t="str">
        <f t="shared" si="378"/>
        <v/>
      </c>
      <c r="EQ84" s="2561"/>
      <c r="ER84" s="2561"/>
      <c r="ES84" s="2561"/>
      <c r="ET84" s="1459"/>
      <c r="EU84" s="1427"/>
      <c r="EV84" s="1392"/>
      <c r="EW84" s="2585"/>
      <c r="EX84" s="2585"/>
      <c r="EY84" s="2692"/>
      <c r="EZ84" s="2721"/>
      <c r="FA84" s="1392"/>
      <c r="FB84" s="1500" t="str">
        <f t="shared" si="515"/>
        <v/>
      </c>
      <c r="FC84" s="1496" t="str">
        <f t="shared" si="516"/>
        <v/>
      </c>
      <c r="FD84" s="2050" t="str">
        <f t="shared" si="517"/>
        <v/>
      </c>
      <c r="FE84" s="2034" t="str">
        <f t="shared" si="509"/>
        <v/>
      </c>
      <c r="FF84" s="2050" t="str">
        <f t="shared" si="518"/>
        <v/>
      </c>
      <c r="FG84" s="2034" t="str">
        <f t="shared" si="519"/>
        <v/>
      </c>
      <c r="FH84" s="2050" t="str">
        <f t="shared" si="520"/>
        <v/>
      </c>
      <c r="FI84" s="2034" t="str">
        <f t="shared" si="510"/>
        <v/>
      </c>
      <c r="FJ84" s="2796" t="str">
        <f t="shared" si="521"/>
        <v/>
      </c>
      <c r="FK84" s="2812" t="str">
        <f t="shared" si="522"/>
        <v/>
      </c>
      <c r="FL84" s="2784" t="str">
        <f t="shared" si="523"/>
        <v/>
      </c>
      <c r="FM84" s="2034" t="str">
        <f t="shared" si="524"/>
        <v/>
      </c>
      <c r="FN84" s="2784" t="str">
        <f t="shared" si="525"/>
        <v/>
      </c>
      <c r="FO84" s="2774" t="str">
        <f t="shared" si="526"/>
        <v/>
      </c>
      <c r="FP84" s="2784" t="str">
        <f t="shared" si="527"/>
        <v/>
      </c>
      <c r="FQ84" s="2774" t="str">
        <f t="shared" si="528"/>
        <v/>
      </c>
      <c r="FR84" s="2848" t="str">
        <f t="shared" si="529"/>
        <v/>
      </c>
      <c r="FS84" s="2830" t="str">
        <f t="shared" si="530"/>
        <v/>
      </c>
      <c r="FT84" s="1513" t="str">
        <f t="shared" si="531"/>
        <v/>
      </c>
      <c r="FU84" s="2895" t="str">
        <f t="shared" si="532"/>
        <v/>
      </c>
      <c r="FV84" s="1716" t="str">
        <f t="shared" si="533"/>
        <v/>
      </c>
      <c r="FW84" s="2112" t="str">
        <f t="shared" si="534"/>
        <v/>
      </c>
      <c r="FX84" s="1740" t="str">
        <f t="shared" si="535"/>
        <v/>
      </c>
      <c r="FY84" s="2113" t="str">
        <f t="shared" si="536"/>
        <v/>
      </c>
      <c r="FZ84" s="1740" t="str">
        <f t="shared" si="537"/>
        <v/>
      </c>
      <c r="GA84" s="1740" t="str">
        <f t="shared" si="538"/>
        <v/>
      </c>
      <c r="GB84" s="2113" t="str">
        <f t="shared" si="539"/>
        <v/>
      </c>
      <c r="GC84" s="1740" t="str">
        <f t="shared" si="540"/>
        <v/>
      </c>
      <c r="GD84" s="1740" t="str">
        <f t="shared" si="541"/>
        <v/>
      </c>
      <c r="GE84" s="1616" t="str">
        <f t="shared" si="542"/>
        <v/>
      </c>
      <c r="GF84" s="2147" t="str">
        <f t="shared" si="543"/>
        <v/>
      </c>
      <c r="GG84" s="2172" t="str">
        <f t="shared" si="544"/>
        <v/>
      </c>
      <c r="GH84" s="3180" t="str">
        <f t="shared" si="545"/>
        <v/>
      </c>
      <c r="GI84" s="3200" t="s">
        <v>939</v>
      </c>
      <c r="GJ84" s="3205"/>
      <c r="GK84" s="3454" t="str">
        <f t="shared" si="423"/>
        <v/>
      </c>
      <c r="GL84" s="3251" t="str">
        <f t="shared" si="546"/>
        <v/>
      </c>
      <c r="GM84" s="457"/>
      <c r="GN84" s="459"/>
      <c r="GO84" s="1877"/>
      <c r="GP84" s="2010"/>
      <c r="GQ84" s="1459" t="str">
        <f t="shared" si="582"/>
        <v/>
      </c>
      <c r="GR84" s="2325"/>
      <c r="GS84" s="2325"/>
      <c r="GT84" s="2340"/>
      <c r="GU84" s="2336" t="str">
        <f t="shared" si="547"/>
        <v/>
      </c>
      <c r="GV84" s="458" t="str">
        <f t="shared" si="548"/>
        <v/>
      </c>
      <c r="GW84" s="2260" t="str">
        <f t="shared" si="549"/>
        <v/>
      </c>
      <c r="GX84" s="460" t="str">
        <f t="shared" si="550"/>
        <v/>
      </c>
      <c r="GY84" s="460" t="str">
        <f t="shared" si="551"/>
        <v/>
      </c>
      <c r="GZ84" s="460" t="str">
        <f t="shared" si="552"/>
        <v/>
      </c>
      <c r="HA84" s="1693" t="str">
        <f t="shared" si="553"/>
        <v/>
      </c>
      <c r="HB84" s="2234" t="str">
        <f t="shared" si="432"/>
        <v/>
      </c>
      <c r="HC84" s="2347" t="str">
        <f t="shared" si="554"/>
        <v/>
      </c>
      <c r="HD84" s="2350" t="str">
        <f t="shared" si="375"/>
        <v/>
      </c>
      <c r="HE84" s="457"/>
      <c r="HF84" s="3256" t="str">
        <f t="shared" si="555"/>
        <v/>
      </c>
      <c r="HG84" s="459"/>
      <c r="HH84" s="2994"/>
      <c r="HI84" s="3021"/>
      <c r="HJ84" s="1733"/>
      <c r="HK84" s="1733"/>
      <c r="HL84" s="1733"/>
      <c r="HM84" s="3025"/>
      <c r="HN84" s="3026" t="str">
        <f t="shared" si="347"/>
        <v/>
      </c>
      <c r="HO84" s="2965"/>
      <c r="HP84" s="2488"/>
      <c r="HQ84" s="3011" t="str">
        <f t="shared" si="556"/>
        <v/>
      </c>
      <c r="HR84" s="1874" t="str">
        <f t="shared" si="557"/>
        <v/>
      </c>
      <c r="HS84" s="1874" t="str">
        <f t="shared" si="558"/>
        <v/>
      </c>
      <c r="HT84" s="2952"/>
      <c r="HU84" s="2954"/>
      <c r="HV84" s="2952" t="str">
        <f t="shared" si="559"/>
        <v/>
      </c>
      <c r="HW84" s="2954" t="str">
        <f t="shared" si="560"/>
        <v/>
      </c>
      <c r="HX84" s="3034" t="str">
        <f t="shared" si="199"/>
        <v/>
      </c>
      <c r="HY84" s="2953" t="str">
        <f t="shared" si="561"/>
        <v/>
      </c>
      <c r="HZ84" s="2954" t="str">
        <f t="shared" si="562"/>
        <v/>
      </c>
      <c r="IA84" s="1496" t="str">
        <f t="shared" si="563"/>
        <v/>
      </c>
      <c r="IB84" s="3038" t="str">
        <f t="shared" si="564"/>
        <v/>
      </c>
      <c r="IC84" s="3053" t="str">
        <f t="shared" si="565"/>
        <v/>
      </c>
      <c r="ID84" s="1300"/>
      <c r="IE84" s="4106"/>
      <c r="IF84" s="4114" t="str">
        <f t="shared" si="583"/>
        <v/>
      </c>
      <c r="IG84" s="6779"/>
      <c r="IH84" s="4090" t="str">
        <f t="shared" si="584"/>
        <v/>
      </c>
      <c r="II84" s="6797"/>
      <c r="IJ84" s="4106" t="str">
        <f t="shared" si="585"/>
        <v/>
      </c>
      <c r="IK84" s="4143">
        <v>0</v>
      </c>
      <c r="IL84" s="4196" t="str">
        <f>+IF(IF84="","",IK84*#REF!*IF84)</f>
        <v/>
      </c>
      <c r="IM84" s="4197" t="str">
        <f>IF(HM84="","",IK84*#REF!*IA84)</f>
        <v/>
      </c>
      <c r="IN84" s="4221" t="str">
        <f t="shared" si="588"/>
        <v/>
      </c>
      <c r="IO84" s="4221" t="str">
        <f t="shared" si="589"/>
        <v/>
      </c>
      <c r="IP84" s="7234"/>
      <c r="IQ84" s="7242"/>
      <c r="IR84" s="7234"/>
      <c r="IS84" s="7242"/>
      <c r="IT84" s="4221" t="str">
        <f t="shared" si="594"/>
        <v/>
      </c>
      <c r="IU84" s="6852" t="str">
        <f t="shared" si="595"/>
        <v/>
      </c>
      <c r="IV84" s="7268" t="str">
        <f t="shared" si="596"/>
        <v/>
      </c>
      <c r="IW84" s="7254" t="str">
        <f>IF(IA84="","",#REF!*IA84)</f>
        <v/>
      </c>
      <c r="IX84" s="4188" t="str">
        <f t="shared" si="597"/>
        <v/>
      </c>
      <c r="IY84" s="4256" t="str">
        <f t="shared" si="598"/>
        <v/>
      </c>
      <c r="IZ84" s="4301" t="str">
        <f t="shared" si="599"/>
        <v/>
      </c>
      <c r="JA84" s="4302" t="str">
        <f t="shared" ref="JA84:JA95" si="629">+IF(BB84="","",IF(ISERROR(IY84-IX84),"",IF((IY84-IX84)&gt;0,"stk added + "&amp;ROUND((IY84-IX84)/IY84*100,0)&amp;"%",IF(IY84=IX84,"same TCC",(IY84-IX84)/IY84))))</f>
        <v/>
      </c>
      <c r="JB84" s="4157"/>
      <c r="JC84" s="4339"/>
      <c r="JD84" s="3256" t="str">
        <f t="shared" si="570"/>
        <v/>
      </c>
      <c r="JE84" s="4364" t="str">
        <f t="shared" si="571"/>
        <v/>
      </c>
      <c r="JF84" s="7041"/>
      <c r="JG84" s="7057"/>
      <c r="JH84" s="6972" t="str">
        <f t="shared" si="601"/>
        <v/>
      </c>
      <c r="JI84" s="6972"/>
      <c r="JJ84" s="6972"/>
      <c r="JK84" s="6972"/>
      <c r="JL84" s="7009"/>
      <c r="JM84" s="7051"/>
      <c r="JN84" s="1733"/>
      <c r="JO84" s="1733"/>
      <c r="JP84" s="7082"/>
      <c r="JQ84" s="7082"/>
      <c r="JR84" s="7057"/>
      <c r="JS84" s="7063"/>
      <c r="JT84" s="7169" t="str">
        <f t="shared" si="476"/>
        <v/>
      </c>
      <c r="JU84" s="7170"/>
      <c r="JV84" s="8379"/>
      <c r="JW84" s="8406"/>
      <c r="JX84" s="8435"/>
      <c r="JY84" s="8470"/>
      <c r="JZ84" s="7171"/>
      <c r="KA84" s="7169"/>
      <c r="KB84" s="7170"/>
      <c r="KC84" s="7171"/>
      <c r="KD84" s="7169"/>
      <c r="KE84" s="8343"/>
      <c r="KF84" s="8343"/>
      <c r="KG84" s="7170"/>
      <c r="KH84" s="7170"/>
      <c r="KI84" s="7170"/>
      <c r="KJ84" s="7170"/>
      <c r="KK84" s="7170"/>
      <c r="KL84" s="7170"/>
      <c r="KM84" s="7170"/>
      <c r="KN84" s="7170"/>
      <c r="KO84" s="7170"/>
      <c r="KP84" s="7171"/>
      <c r="KQ84" s="7213"/>
      <c r="KR84" s="7082" t="str">
        <f>+IF(D84="","",IF(JT84=1,VLOOKUP(MATCH(BE84,ac_id,0),ad,ac!$H$8,FALSE)*JU84, (VLOOKUP(MATCH(BE84,ac_id,0),ad,ac!$H$8,FALSE)*JU84^(1+VLOOKUP(MATCH(BE84,ac_id,0),ad,ac!$I$8,FALSE)))))</f>
        <v/>
      </c>
      <c r="KS84" s="7063"/>
      <c r="KT84" s="7213"/>
      <c r="KU84" s="7057"/>
      <c r="KV84" s="7393"/>
      <c r="KW84" s="7394"/>
      <c r="KX84" s="7063"/>
      <c r="KY84" s="7357"/>
      <c r="KZ84" s="7358"/>
      <c r="LA84" s="7359"/>
      <c r="LB84" s="7360"/>
      <c r="LC84" s="5133"/>
      <c r="LD84" s="5132"/>
      <c r="LE84" s="5132"/>
      <c r="LF84" s="5132"/>
      <c r="LG84" s="5132"/>
      <c r="LH84" s="5132"/>
      <c r="LI84" s="5132"/>
      <c r="LJ84" s="5132"/>
    </row>
    <row r="85" spans="1:322" s="13" customFormat="1" ht="27.95" customHeight="1">
      <c r="A85" s="10538" t="str">
        <f>+O85</f>
        <v>8306-02</v>
      </c>
      <c r="B85" s="10521" t="str">
        <f>+IF(A85="","",VLOOKUP(MATCH(A85,tid,0),tao,'12(id)'!$J$20,FALSE))</f>
        <v>NRG</v>
      </c>
      <c r="C85" s="10549" t="str">
        <f t="shared" si="47"/>
        <v>MD3 </v>
      </c>
      <c r="D85" s="32" t="str">
        <f t="shared" si="48"/>
        <v>8306-02-01</v>
      </c>
      <c r="E85" s="1036" t="str">
        <f>+IF(BD85="","",BD85)</f>
        <v>Separated Overfired Air / High Energy Reagent Technology (SOFA/HERT)</v>
      </c>
      <c r="F85" s="1036" t="str">
        <f t="shared" si="49"/>
        <v>New Eqp</v>
      </c>
      <c r="G85" s="5133"/>
      <c r="H85" s="5132"/>
      <c r="I85" s="5133"/>
      <c r="J85" s="719">
        <f t="shared" si="68"/>
        <v>51</v>
      </c>
      <c r="K85" s="10541">
        <f>1+K82</f>
        <v>2</v>
      </c>
      <c r="L85" s="9721"/>
      <c r="M85" s="9718"/>
      <c r="N85" s="9699"/>
      <c r="O85" s="9706" t="s">
        <v>294</v>
      </c>
      <c r="P85" s="9518"/>
      <c r="Q85" s="9714" t="str">
        <f>+IF(ISERROR(MATCH(O85,tid,0)),"",VLOOKUP(MATCH(O85,tid,0),tao,'12(id)'!$Q$20,FALSE))</f>
        <v>MD3 </v>
      </c>
      <c r="R85" s="10183">
        <v>1</v>
      </c>
      <c r="S85" s="9714"/>
      <c r="T85" s="10526">
        <f>+IF(ISERROR(MATCH(O85,tid,0)),"",IF(VLOOKUP(MATCH(O85,tid,0),tao,'12(id)'!$CT$20,FALSE)="","",VLOOKUP(MATCH(O85,tid,0),tao,'12(id)'!$CT$20,FALSE)))</f>
        <v>236</v>
      </c>
      <c r="U85" s="10529" t="str">
        <f>+IF(ISERROR(MATCH(O85,tid,0)),"",IF(VLOOKUP(MATCH(O85,tid,0),tao,'12(id)'!$CU$20,FALSE)="","",VLOOKUP(MATCH(O85,tid,0),tao,'12(id)'!$CU$20,FALSE)))</f>
        <v/>
      </c>
      <c r="V85" s="9504" t="str">
        <f>+IF(O85="","",IF(VLOOKUP(MATCH(O85,tid,0),tao,'12(id)'!$T$20,FALSE)="","",VLOOKUP(MATCH(O85,tid,0),tao,'12(id)'!$T$20,FALSE)))</f>
        <v>Utility Boiler</v>
      </c>
      <c r="W85" s="9504" t="str">
        <f>+IF(ISERROR(MATCH(O85,tid,0)),"",IF(VLOOKUP(MATCH(O85,tid,0),tao,'12(id)'!$CO$20,FALSE)="","",VLOOKUP(MATCH(O85,tid,0),tao,'12(id)'!$CO$20,FALSE)))</f>
        <v>Babcock and Wilcox</v>
      </c>
      <c r="X85" s="9504" t="str">
        <f>+IF(ISERROR(MATCH(O85,tid,0)),"",IF(VLOOKUP(MATCH(O85,tid,0),tao,'12(id)'!$CP$20,FALSE)="","",VLOOKUP(MATCH(O85,tid,0),tao,'12(id)'!$CP$20,FALSE)))</f>
        <v>Cyclone boiler</v>
      </c>
      <c r="Y85" s="8553" t="str">
        <f>+IF(ISERROR(MATCH(O85,tid,0)),"",IF(VLOOKUP(MATCH(O85,tid,0),tao,'12(id)'!$CQ$20,FALSE)="","",VLOOKUP(MATCH(O85,tid,0),tao,'12(id)'!$CQ$20,FALSE)))</f>
        <v/>
      </c>
      <c r="Z85" s="9518" t="str">
        <f>+IF(ISERROR(MATCH(O85,tid,0)),"",VLOOKUP(MATCH(O85,tid,0),tao,'12(id)'!$DB$20,FALSE)&amp;" "&amp;VLOOKUP(MATCH(O85,tid,0),tao,'12(id)'!$DC$20,FALSE))</f>
        <v xml:space="preserve"> </v>
      </c>
      <c r="AA85" s="9518" t="str">
        <f>+IF(ISERROR(MATCH(O85,tid,0)),"",IF(VLOOKUP(MATCH(O85,tid,0),tao,'12(id)'!$DE$20,FALSE)="","",ROUND(VLOOKUP(MATCH(O85,tid,0),tao,'12(id)'!$DE$20,FALSE),0)&amp;" yrs"))</f>
        <v/>
      </c>
      <c r="AB85" s="9648" t="str">
        <f>+IF(ISERROR(MATCH(O85,tid,0)),"",VLOOKUP(MATCH(O85,tid,0),tao,'12(id)'!$DI$20,FALSE))</f>
        <v>No. 6 oil</v>
      </c>
      <c r="AC85" s="9648" t="str">
        <f>+IF(ISERROR(MATCH(O85,tid,0)),"",IF(VLOOKUP(MATCH(O85,tid,0),tao,'12(id)'!$DQ$20,FALSE)="","",VLOOKUP(MATCH(O85,tid,0),tao,'12(id)'!$DQ$20,FALSE)))</f>
        <v>No. 2 oil</v>
      </c>
      <c r="AD85" s="10412" t="str">
        <f>+IF(ISERROR(MATCH(O85,tid,0)),"",IF(VLOOKUP(MATCH(O85,tid,0),tao,'12(id)'!$EI$20,FALSE)="","",VLOOKUP(MATCH(O85,tid,0),tao,'12(id)'!$EI$20,FALSE)))</f>
        <v/>
      </c>
      <c r="AE85" s="10412" t="str">
        <f>+IF(ISERROR(MATCH(O85,tid,0)),"",IF(VLOOKUP(MATCH(O85,tid,0),tao,'12(id)'!$EJ$20,FALSE)="","",VLOOKUP(MATCH(O85,tid,0),tao,'12(id)'!$EJ$20,FALSE)))</f>
        <v/>
      </c>
      <c r="AF85" s="10412">
        <f>+IF(ISERROR(MATCH(O85,tid,0)),"",IF(VLOOKUP(MATCH(O85,tid,0),tao,'12(id)'!$EL$20,FALSE)="","",VLOOKUP(MATCH(O85,tid,0),tao,'12(id)'!$EL$20,FALSE)))</f>
        <v>0.27</v>
      </c>
      <c r="AG85" s="10409" t="str">
        <f>+IF(ISERROR(MATCH(O85,tid,0)),"",IF(VLOOKUP(MATCH(O85,tid,0),tao,'12(id)'!$EM$20,FALSE)="","",VLOOKUP(MATCH(O85,tid,0),tao,'12(id)'!$EM$20,FALSE)))</f>
        <v/>
      </c>
      <c r="AH85" s="10436" t="str">
        <f>+AH82</f>
        <v>48 hrs/year operation</v>
      </c>
      <c r="AI85" s="10441"/>
      <c r="AJ85" s="10441"/>
      <c r="AK85" s="10441"/>
      <c r="AL85" s="10441"/>
      <c r="AM85" s="10432"/>
      <c r="AN85" s="10515" t="str">
        <f>+AN82</f>
        <v>2010-2009 average</v>
      </c>
      <c r="AO85" s="10456">
        <f>+IF(ISERROR(MATCH(O85,tid,0)),"",IF(VLOOKUP(MATCH(O85,tid,0),tao,'12(id)'!$GY$20,FALSE)="","",VLOOKUP(MATCH(O85,tid,0),tao,'12(id)'!$GY$20,FALSE)))</f>
        <v>731.05</v>
      </c>
      <c r="AP85" s="10377">
        <f>+IF($BB85="","",IF(VLOOKUP(MATCH(O85,tid,0),tao,'12(id)'!$HE$20,FALSE)="","",VLOOKUP(MATCH(O85,tid,0),tao,'12(id)'!$HE$20,FALSE)))</f>
        <v>1233270</v>
      </c>
      <c r="AQ85" s="10377">
        <f>+IF(ISERROR(VLOOKUP(MATCH(O85,tid,0),tao,'12(id)'!$HF$20,FALSE)),"",VLOOKUP(MATCH(O85,tid,0),tao,'12(id)'!$HF$20,FALSE))</f>
        <v>1233270</v>
      </c>
      <c r="AR85" s="10380">
        <f>+IF(ISERROR(MATCH(O85,tid,0)),"",IF(VLOOKUP(MATCH(O85,tid,0),tao,'12(id)'!$HJ$20,FALSE)="","",VLOOKUP(MATCH(O85,tid,0),tao,'12(id)'!$HJ$20,FALSE)))</f>
        <v>0.27</v>
      </c>
      <c r="AS85" s="10383" t="str">
        <f>+IF(ISERROR(MATCH(O85,tid,0)),"",IF(VLOOKUP(MATCH(O85,tid,0),tao,'12(id)'!$HK$20,FALSE)="","",VLOOKUP(MATCH(O85,tid,0),tao,'12(id)'!$HK$20,FALSE)))</f>
        <v/>
      </c>
      <c r="AT85" s="10386">
        <f>+IF(ISERROR(MATCH(O85,tid,0)),"",IF(VLOOKUP(MATCH(O85,tid,0),tao,'12(id)'!$HM$20,FALSE)="","",VLOOKUP(MATCH(O85,tid,0),tao,'12(id)'!$HM$20,FALSE)))</f>
        <v>166.49</v>
      </c>
      <c r="AU85" s="10470" t="str">
        <f>+AU82</f>
        <v>CAIR-OS (max last 3 yrs)</v>
      </c>
      <c r="AV85" s="10473">
        <f>+IF(ISERROR(MATCH(O85,em_id,0)),"",IF(VLOOKUP(MATCH(O85,em_id,0),em,'5(em)'!$CX$18,FALSE)="","",VLOOKUP(MATCH(O85,em_id,0),em,'5(em)'!$CX$18,FALSE)))</f>
        <v>1084</v>
      </c>
      <c r="AW85" s="10489">
        <f>+IF(ISERROR(MATCH(O85,em_id,0)),"",IF(VLOOKUP(MATCH(O85,em_id,0),em,'5(em)'!$CZ$18,FALSE)="","",VLOOKUP(MATCH(O85,em_id,0),em,'5(em)'!$CZ$18,FALSE)))</f>
        <v>1790536</v>
      </c>
      <c r="AX85" s="10478">
        <f t="shared" si="50"/>
        <v>0.21</v>
      </c>
      <c r="AY85" s="10480"/>
      <c r="AZ85" s="10482">
        <f>+IF(ISERROR(MATCH(O85,em_id,0)),"",IF(VLOOKUP(MATCH(O85,em_id,0),em,'5(em)'!$DA$18,FALSE)="","",VLOOKUP(MATCH(O85,em_id,0),em,'5(em)'!$DA$18,FALSE)))</f>
        <v>189.3</v>
      </c>
      <c r="BA85" s="1029"/>
      <c r="BB85" s="4455" t="str">
        <f t="shared" si="311"/>
        <v>8306-02-01</v>
      </c>
      <c r="BC85" s="2879">
        <v>1</v>
      </c>
      <c r="BD85" s="1036" t="str">
        <f>+IF(OR(D85="",VLOOKUP(MATCH(D85,op_id,0),op,'7(op)'!$T$18,FALSE)=""),"",VLOOKUP(MATCH(D85,op_id,0),op,'7(op)'!$T$18,FALSE))</f>
        <v>Separated Overfired Air / High Energy Reagent Technology (SOFA/HERT)</v>
      </c>
      <c r="BE85" s="1036" t="s">
        <v>1629</v>
      </c>
      <c r="BF85" s="1036" t="s">
        <v>1861</v>
      </c>
      <c r="BG85" s="1037"/>
      <c r="BH85" s="8635"/>
      <c r="BI85" s="100"/>
      <c r="BJ85" s="100"/>
      <c r="BK85" s="100"/>
      <c r="BL85" s="100"/>
      <c r="BM85" s="100"/>
      <c r="BN85" s="100" t="str">
        <f t="shared" si="12"/>
        <v/>
      </c>
      <c r="BO85" s="100" t="str">
        <f t="shared" si="13"/>
        <v/>
      </c>
      <c r="BP85" s="100" t="str">
        <f t="shared" si="14"/>
        <v/>
      </c>
      <c r="BQ85" s="100" t="str">
        <f t="shared" si="15"/>
        <v/>
      </c>
      <c r="BR85" s="1027"/>
      <c r="BS85" s="1754" t="s">
        <v>559</v>
      </c>
      <c r="BT85" s="1047"/>
      <c r="BU85" s="3714">
        <f>+IF(BB85="","",IF(VLOOKUP(MATCH(BB85,ef_id,0),ef,'11(eff)'!$Z$23,FALSE)="","",VLOOKUP(MATCH(BB85,ef_id,0),ef,'11(eff)'!$Z$23,FALSE)))</f>
        <v>0.15</v>
      </c>
      <c r="BV85" s="3759" t="str">
        <f>+IF(BB85="","",IF(VLOOKUP(MATCH(BB85,ef_id,0),ef,'11(eff)'!$AA$23,FALSE)="","",VLOOKUP(MATCH(BB85,ef_id,0),ef,'11(eff)'!$AA$23,FALSE)))</f>
        <v/>
      </c>
      <c r="BW85" s="3781">
        <v>92.5</v>
      </c>
      <c r="BX85" s="3802">
        <f t="shared" si="511"/>
        <v>92.5</v>
      </c>
      <c r="BY85" s="3821">
        <f t="shared" si="512"/>
        <v>92.495249999999999</v>
      </c>
      <c r="BZ85" s="3400"/>
      <c r="CA85" s="3425"/>
      <c r="CB85" s="3853">
        <f t="shared" si="382"/>
        <v>73.990000000000009</v>
      </c>
      <c r="CC85" s="3874">
        <f t="shared" si="513"/>
        <v>0.44441107574028471</v>
      </c>
      <c r="CD85" s="3873">
        <f t="shared" si="514"/>
        <v>0.44444444444444453</v>
      </c>
      <c r="CE85" s="2378">
        <f>+IF(BB85="","",IF(VLOOKUP(MATCH(BB85,ef_id,0),ef,'11(eff)'!$AE$23,FALSE)="","",VLOOKUP(MATCH(BB85,ef_id,0),ef,'11(eff)'!$AE$23,FALSE)))</f>
        <v>0.44444444444444448</v>
      </c>
      <c r="CF85" s="1066"/>
      <c r="CG85" s="717"/>
      <c r="CH85" s="2416"/>
      <c r="CI85" s="4009">
        <f>+IF(BB85="","",AZ85/AW85*2000*(1-CO85))</f>
        <v>0.11746948027480786</v>
      </c>
      <c r="CJ85" s="4079" t="str">
        <f>+IF(AY85="","",AY85*(1-CO85))</f>
        <v/>
      </c>
      <c r="CK85" s="4009">
        <f>+IF($BB85="","",IF(CI85="",IF($AZ85="",IF($AZ84="",$AZ83,$AZ84),$AZ85)-CL85,IF(OR(IF($AW85="",IF($AW84="",$AW83,$AW84),$AW85)="",CI85=""),"",CI85/2000*IF($AW85="",IF($AW84="",$AW83,$AW84),$AW85))))</f>
        <v>105.16666666666669</v>
      </c>
      <c r="CL85" s="4010">
        <f>+IF($BB85="","",IF(CI85="",CO85*IF($AZ85="",IF($AZ84="",$AZ83,$AZ84),$AZ85),IF(CK85="","",IF($AZ85="",IF($AZ84="",$AZ83,$AZ84),$AZ85)-CK85)))</f>
        <v>84.133333333333326</v>
      </c>
      <c r="CM85" s="4011">
        <f>+IF($BB85="","",IF(CL85="","",CL85/IF($AZ85="",IF($AZ84="",$AZ83,$AZ84),$AZ85)))</f>
        <v>0.44444444444444436</v>
      </c>
      <c r="CN85" s="4011">
        <f>+IF($BB85="","",IF(CI85="","",(1-CI85/IF($AX85="",IF($AX84="",$AX83,$AX84),$AX85))))</f>
        <v>0.44062152250091491</v>
      </c>
      <c r="CO85" s="4012">
        <f>+IF(BB85="","",IF(VLOOKUP(MATCH(BB85,ef_id,0),ef,'11(eff)'!$AE$23,FALSE)="","",VLOOKUP(MATCH(BB85,ef_id,0),ef,'11(eff)'!$AE$23,FALSE)))</f>
        <v>0.44444444444444448</v>
      </c>
      <c r="CP85" s="3985" t="str">
        <f>+IF(OR(BB85="",VLOOKUP(MATCH(BB85,ef_id,0),ef,'11(eff)'!$AG$23,FALSE)=""),"",IF(VLOOKUP(MATCH(BB85,ef_id,0),ef,'11(eff)'!$AG$23,FALSE)/100=VLOOKUP(MATCH(BB85,ef_id,0),ef,'11(eff)'!$AE$23,FALSE),VLOOKUP(MATCH(BB85,ef_id,0),ef,'11(eff)'!$AE$23,FALSE),""))</f>
        <v/>
      </c>
      <c r="CQ85" s="1371" t="str">
        <f t="shared" si="51"/>
        <v>Separated Overfired Air / High Energy Reagent Technology (SOFA/HERT)</v>
      </c>
      <c r="CR85" s="41" t="s">
        <v>1650</v>
      </c>
      <c r="CS85" s="2768">
        <v>4644456</v>
      </c>
      <c r="CT85" s="1594">
        <v>1162830</v>
      </c>
      <c r="CU85" s="1520">
        <v>822670</v>
      </c>
      <c r="CV85" s="1896">
        <f t="shared" si="309"/>
        <v>50000</v>
      </c>
      <c r="CW85" s="1897">
        <v>30000</v>
      </c>
      <c r="CX85" s="1897">
        <v>100000</v>
      </c>
      <c r="CY85" s="1898"/>
      <c r="CZ85" s="2481"/>
      <c r="DA85" s="2490"/>
      <c r="DB85" s="2490"/>
      <c r="DC85" s="1896"/>
      <c r="DD85" s="1899"/>
      <c r="DE85" s="1900"/>
      <c r="DF85" s="1901"/>
      <c r="DG85" s="1901">
        <v>100000</v>
      </c>
      <c r="DH85" s="1899"/>
      <c r="DI85" s="1523">
        <f>+IF(CT85="","",SUM(CU85:DC85)+SUM(DE85:DF85))</f>
        <v>1002670</v>
      </c>
      <c r="DJ85" s="1942">
        <v>60160</v>
      </c>
      <c r="DK85" s="1594">
        <v>1143039</v>
      </c>
      <c r="DL85" s="1520">
        <v>500000</v>
      </c>
      <c r="DM85" s="1896">
        <f t="shared" si="310"/>
        <v>60000</v>
      </c>
      <c r="DN85" s="1897">
        <v>20000</v>
      </c>
      <c r="DO85" s="1897">
        <v>13339</v>
      </c>
      <c r="DP85" s="1898">
        <f>200000+235000</f>
        <v>435000</v>
      </c>
      <c r="DQ85" s="2481"/>
      <c r="DR85" s="2490"/>
      <c r="DS85" s="2490">
        <v>50000</v>
      </c>
      <c r="DT85" s="1896"/>
      <c r="DU85" s="1899"/>
      <c r="DV85" s="1900"/>
      <c r="DW85" s="1901"/>
      <c r="DX85" s="1901"/>
      <c r="DY85" s="1899"/>
      <c r="DZ85" s="1523">
        <f>+IF(DK85="","",SUM(DL85:DT85)+SUM(DV85:DW85))</f>
        <v>1078339</v>
      </c>
      <c r="EA85" s="1942">
        <v>64700</v>
      </c>
      <c r="EB85" s="1520">
        <f t="shared" si="377"/>
        <v>2305869</v>
      </c>
      <c r="EC85" s="627">
        <v>1</v>
      </c>
      <c r="ED85" s="1521">
        <f t="shared" si="20"/>
        <v>2305869</v>
      </c>
      <c r="EE85" s="1908"/>
      <c r="EF85" s="1985"/>
      <c r="EG85" s="1907">
        <v>1037641.05</v>
      </c>
      <c r="EH85" s="1523">
        <f t="shared" si="353"/>
        <v>1037641.05</v>
      </c>
      <c r="EI85" s="1900">
        <f>0.05*(ED85+EH85)</f>
        <v>167175.5025</v>
      </c>
      <c r="EJ85" s="1901">
        <f>0.1*(ED85+EH85)</f>
        <v>334351.005</v>
      </c>
      <c r="EK85" s="2014">
        <f>0.05*(ED85+EH85)</f>
        <v>167175.5025</v>
      </c>
      <c r="EL85" s="1564"/>
      <c r="EM85" s="1900"/>
      <c r="EN85" s="1901"/>
      <c r="EO85" s="2014"/>
      <c r="EP85" s="1523">
        <f t="shared" si="378"/>
        <v>668702.01</v>
      </c>
      <c r="EQ85" s="1523"/>
      <c r="ER85" s="1523"/>
      <c r="ES85" s="1523"/>
      <c r="ET85" s="1523">
        <f>0.15*(ED85+EH85+EP85)</f>
        <v>601831.80899999989</v>
      </c>
      <c r="EU85" s="1522">
        <f>0.02*(EP85+ET85)</f>
        <v>25410.676379999997</v>
      </c>
      <c r="EV85" s="1516">
        <v>5000</v>
      </c>
      <c r="EW85" s="2589"/>
      <c r="EX85" s="2589"/>
      <c r="EY85" s="2696">
        <f>+IF(BB85="","",(IF(ED85="",0,ED85)+IF(EH85="",0,EH85)+IF(EP85="",0,EP85)+IF(ET85="",0,ET85)+IF(EW85="",0,EW85)+IF(EX85="",0,EX85)))</f>
        <v>4614043.868999999</v>
      </c>
      <c r="EZ85" s="2725"/>
      <c r="FA85" s="1521"/>
      <c r="FB85" s="1503">
        <f t="shared" si="515"/>
        <v>4614043.868999999</v>
      </c>
      <c r="FC85" s="1488">
        <f t="shared" si="516"/>
        <v>2305869</v>
      </c>
      <c r="FD85" s="2049">
        <f t="shared" si="517"/>
        <v>1322670</v>
      </c>
      <c r="FE85" s="2033">
        <f t="shared" si="509"/>
        <v>0.5736102094264679</v>
      </c>
      <c r="FF85" s="2049">
        <f t="shared" si="518"/>
        <v>708339</v>
      </c>
      <c r="FG85" s="2033">
        <f t="shared" si="519"/>
        <v>0.30718961051126498</v>
      </c>
      <c r="FH85" s="2049">
        <f t="shared" si="520"/>
        <v>0</v>
      </c>
      <c r="FI85" s="2033">
        <f t="shared" si="510"/>
        <v>0</v>
      </c>
      <c r="FJ85" s="1518">
        <f t="shared" si="521"/>
        <v>2031009</v>
      </c>
      <c r="FK85" s="2033">
        <f t="shared" si="522"/>
        <v>0.88079981993773282</v>
      </c>
      <c r="FL85" s="2629">
        <f t="shared" si="523"/>
        <v>50000</v>
      </c>
      <c r="FM85" s="2033">
        <f t="shared" si="524"/>
        <v>2.1683799036285235E-2</v>
      </c>
      <c r="FN85" s="2049">
        <f t="shared" si="525"/>
        <v>0</v>
      </c>
      <c r="FO85" s="2033">
        <f t="shared" si="526"/>
        <v>0</v>
      </c>
      <c r="FP85" s="2049">
        <f t="shared" si="527"/>
        <v>100000</v>
      </c>
      <c r="FQ85" s="2033">
        <f t="shared" si="528"/>
        <v>4.3367598072570471E-2</v>
      </c>
      <c r="FR85" s="2837">
        <f t="shared" si="529"/>
        <v>2081009</v>
      </c>
      <c r="FS85" s="1804">
        <f t="shared" si="530"/>
        <v>124860</v>
      </c>
      <c r="FT85" s="2061">
        <f t="shared" si="531"/>
        <v>5.9999740510492748E-2</v>
      </c>
      <c r="FU85" s="2898">
        <f t="shared" si="532"/>
        <v>0</v>
      </c>
      <c r="FV85" s="1715">
        <f t="shared" si="533"/>
        <v>9770.6313559322025</v>
      </c>
      <c r="FW85" s="2087">
        <f t="shared" si="534"/>
        <v>1037641.05</v>
      </c>
      <c r="FX85" s="1741">
        <f t="shared" si="535"/>
        <v>0.45</v>
      </c>
      <c r="FY85" s="2088">
        <f t="shared" si="536"/>
        <v>668702.01</v>
      </c>
      <c r="FZ85" s="1741">
        <f t="shared" si="537"/>
        <v>0.28999999999999998</v>
      </c>
      <c r="GA85" s="1741">
        <f t="shared" si="538"/>
        <v>0.2</v>
      </c>
      <c r="GB85" s="2088">
        <f t="shared" si="539"/>
        <v>601831.80899999989</v>
      </c>
      <c r="GC85" s="1741">
        <f t="shared" si="540"/>
        <v>0.26099999999999995</v>
      </c>
      <c r="GD85" s="1741">
        <f t="shared" si="541"/>
        <v>0.15</v>
      </c>
      <c r="GE85" s="1610">
        <f t="shared" si="542"/>
        <v>4614043.868999999</v>
      </c>
      <c r="GF85" s="2136">
        <f t="shared" si="543"/>
        <v>4644454.54538</v>
      </c>
      <c r="GG85" s="2159">
        <f t="shared" si="544"/>
        <v>-3.131950125911942E-7</v>
      </c>
      <c r="GH85" s="2505">
        <f t="shared" si="545"/>
        <v>19679.89214144068</v>
      </c>
      <c r="GI85" s="1610">
        <v>1539374</v>
      </c>
      <c r="GJ85" s="1507">
        <v>20803</v>
      </c>
      <c r="GK85" s="3440">
        <f t="shared" si="423"/>
        <v>73.990000000000009</v>
      </c>
      <c r="GL85" s="3249">
        <f t="shared" si="546"/>
        <v>-1.0396865096000807E-4</v>
      </c>
      <c r="GM85" s="1225"/>
      <c r="GN85" s="1224"/>
      <c r="GO85" s="2283">
        <v>5000</v>
      </c>
      <c r="GP85" s="2284">
        <v>340319</v>
      </c>
      <c r="GQ85" s="2331">
        <f t="shared" si="582"/>
        <v>345319</v>
      </c>
      <c r="GR85" s="2327"/>
      <c r="GS85" s="2327"/>
      <c r="GT85" s="1684">
        <v>1194055</v>
      </c>
      <c r="GU85" s="2335">
        <f t="shared" si="547"/>
        <v>1539374</v>
      </c>
      <c r="GV85" s="1133">
        <f t="shared" si="548"/>
        <v>5000</v>
      </c>
      <c r="GW85" s="2243">
        <f t="shared" si="549"/>
        <v>340319</v>
      </c>
      <c r="GX85" s="2213">
        <f t="shared" si="550"/>
        <v>345319</v>
      </c>
      <c r="GY85" s="2218" t="str">
        <f t="shared" si="551"/>
        <v/>
      </c>
      <c r="GZ85" s="2218" t="str">
        <f t="shared" si="552"/>
        <v/>
      </c>
      <c r="HA85" s="1684">
        <f t="shared" si="553"/>
        <v>1194055</v>
      </c>
      <c r="HB85" s="1333">
        <f t="shared" si="432"/>
        <v>1539374</v>
      </c>
      <c r="HC85" s="2364">
        <f t="shared" si="554"/>
        <v>1539374</v>
      </c>
      <c r="HD85" s="2349">
        <f t="shared" si="375"/>
        <v>0</v>
      </c>
      <c r="HE85" s="1225"/>
      <c r="HF85" s="1518">
        <f t="shared" si="555"/>
        <v>20803</v>
      </c>
      <c r="HG85" s="1224">
        <f>+IF(OR(HC85="",$CL85=""),"",HC85/$CL85)</f>
        <v>18296.838351822506</v>
      </c>
      <c r="HH85" s="2981">
        <f>+IF(BF85="","",VALUE(LEFT(BF85,1)))</f>
        <v>2</v>
      </c>
      <c r="HI85" s="2927">
        <f>+IF(FR85="","",FR85)</f>
        <v>2081009</v>
      </c>
      <c r="HJ85" s="2069">
        <f>+IF(FP85="","",FP85)</f>
        <v>100000</v>
      </c>
      <c r="HK85" s="2069">
        <f>+IF(FN85="","",FN85)</f>
        <v>0</v>
      </c>
      <c r="HL85" s="2069">
        <f>+IF(FR85="","",IF(HH85="","",IF(HH85=4,FS85,IF(HH85=3,FS85,IF(HH85=2,$HL$7*HI85,IF(HH85=1,$HL$6*HI85,""))))))</f>
        <v>124860.54</v>
      </c>
      <c r="HM85" s="2934">
        <f>IF(FR85="","",SUM(HI85:HL85))</f>
        <v>2305869.54</v>
      </c>
      <c r="HN85" s="2911">
        <f t="shared" si="347"/>
        <v>9770.6336440677969</v>
      </c>
      <c r="HO85" s="1806">
        <f>+IF(FR85="","",IF(HH85="","",IF(HH85=4,FW85,IF(HH85=3,FW85,IF(HH85=2,$HO$7*HM85,IF(HH85=1,$HO$6*HM85,""))))))</f>
        <v>1037641.2930000001</v>
      </c>
      <c r="HP85" s="2069">
        <f>+IF(FR85="","",IF(HH85="","",IF(HH85=4,FY85,IF(HH85=3,FY85,IF(HH85=2,$HP$7*(HM85+HO85),IF(HH85=1,$HP$6*HM85,""))))))</f>
        <v>668702.16660000011</v>
      </c>
      <c r="HQ85" s="3010" t="str">
        <f t="shared" si="556"/>
        <v/>
      </c>
      <c r="HR85" s="1805">
        <f t="shared" si="557"/>
        <v>601831.94993999996</v>
      </c>
      <c r="HS85" s="1805">
        <f t="shared" si="558"/>
        <v>601831.94993999996</v>
      </c>
      <c r="HT85" s="2955">
        <f>+IF(FR85="","",IF(HH85="","",IF(HH85=2,$HT$7*(HP85+HR85),"")))</f>
        <v>25410.682330800002</v>
      </c>
      <c r="HU85" s="2956">
        <f>+IF(FR85="","",IF(HH85="","",IF(HH85=2,$HU$7*(HP85+HR85),"")))</f>
        <v>0</v>
      </c>
      <c r="HV85" s="2955" t="str">
        <f t="shared" si="559"/>
        <v/>
      </c>
      <c r="HW85" s="2956" t="str">
        <f t="shared" si="560"/>
        <v/>
      </c>
      <c r="HX85" s="2909">
        <f t="shared" si="199"/>
        <v>4639455.6318708006</v>
      </c>
      <c r="HY85" s="2931" t="str">
        <f t="shared" si="561"/>
        <v/>
      </c>
      <c r="HZ85" s="2956" t="str">
        <f t="shared" si="562"/>
        <v/>
      </c>
      <c r="IA85" s="1488">
        <f t="shared" si="563"/>
        <v>4639455.6318708006</v>
      </c>
      <c r="IB85" s="3040" t="str">
        <f t="shared" si="564"/>
        <v>stk added + 0%</v>
      </c>
      <c r="IC85" s="3045">
        <f t="shared" si="565"/>
        <v>19658.71030453729</v>
      </c>
      <c r="ID85" s="1204"/>
      <c r="IE85" s="4097"/>
      <c r="IF85" s="2909">
        <f t="shared" si="583"/>
        <v>5000</v>
      </c>
      <c r="IG85" s="6766">
        <f>+IF(IF85="","",(IF85/IF(AO85="",IF(AO84="",IF(AO83="",AO82,AO83),AO84),AO85)))</f>
        <v>6.8394774639217566</v>
      </c>
      <c r="IH85" s="4164">
        <f t="shared" si="584"/>
        <v>340319</v>
      </c>
      <c r="II85" s="6800">
        <f>+IH85/IF(AQ85="",IF(AQ84="",IF(AQ83="",AQ82,AQ83),AQ84),AQ85)</f>
        <v>0.2759484946524281</v>
      </c>
      <c r="IJ85" s="4165">
        <f t="shared" si="585"/>
        <v>345319</v>
      </c>
      <c r="IK85" s="4127">
        <v>0</v>
      </c>
      <c r="IL85" s="2069">
        <f>+IF(IF85="","",IK85*$IL$8*IF85)</f>
        <v>0</v>
      </c>
      <c r="IM85" s="1805">
        <f>IF(HM85="","",IK85*$IM$8*IA85)</f>
        <v>0</v>
      </c>
      <c r="IN85" s="4225" t="str">
        <f t="shared" si="588"/>
        <v/>
      </c>
      <c r="IO85" s="4225">
        <f t="shared" si="589"/>
        <v>345319</v>
      </c>
      <c r="IP85" s="4225">
        <f t="shared" ref="IP85:IP86" si="630">+IF(BB85="","",IF(IJ85="","",IJ85/IF(R85="",IF(R84="",IF(R83="",R82,R83),R84),R85)))</f>
        <v>345319</v>
      </c>
      <c r="IQ85" s="6839">
        <f t="shared" ref="IQ85:IQ86" si="631">+IF(IP85="","",IP85/IX85)</f>
        <v>0.49806541742874538</v>
      </c>
      <c r="IR85" s="4225" t="str">
        <f t="shared" ref="IR85:IR86" si="632">+IF(BB85="","",IF(IN85="","",IN85/IF(R85="",IF(R84="",IF(R83="",R82,R83),R84),R85)))</f>
        <v/>
      </c>
      <c r="IS85" s="6839" t="str">
        <f t="shared" ref="IS85:IS86" si="633">+IF(IR85="","",IR85/IX85)</f>
        <v/>
      </c>
      <c r="IT85" s="4225">
        <f t="shared" si="594"/>
        <v>345319</v>
      </c>
      <c r="IU85" s="6839">
        <f t="shared" si="595"/>
        <v>0.49806541742874538</v>
      </c>
      <c r="IV85" s="4127">
        <f t="shared" si="596"/>
        <v>2</v>
      </c>
      <c r="IW85" s="1805">
        <f t="shared" ref="IW85:IW86" si="634">IF(IA85="","",IF(IV85=1,$IW$5,IF(IV85=2,$IW$8,""))*IA85)</f>
        <v>348001.57178895042</v>
      </c>
      <c r="IX85" s="2911">
        <f t="shared" si="597"/>
        <v>693320.57178895036</v>
      </c>
      <c r="IY85" s="4244">
        <f t="shared" si="598"/>
        <v>1539374</v>
      </c>
      <c r="IZ85" s="4274">
        <f t="shared" si="599"/>
        <v>0.54960875538436382</v>
      </c>
      <c r="JA85" s="4275" t="str">
        <f t="shared" ref="JA85:JA86" si="635">+IF(BB85="","",IF(ISERROR(IY85-IX85),"",IF((IY85-IX85)&gt;0,"stk added + "&amp;ROUND((IY85-IX85)/IY85*100,0)&amp;"%",IF(IY85=IX85,"same TAC",(IY85-IX85)/IY85))))</f>
        <v>stk added + 55%</v>
      </c>
      <c r="JB85" s="1205"/>
      <c r="JC85" s="4322"/>
      <c r="JD85" s="1518">
        <f t="shared" si="570"/>
        <v>9370.4631948770148</v>
      </c>
      <c r="JE85" s="4357">
        <f t="shared" si="571"/>
        <v>8240.7357978084437</v>
      </c>
      <c r="JF85" s="7028">
        <f t="shared" ref="JF85:JF94" si="636">+IF(D85="","",IF(T85="",IF(T84="",T83/IF(Y83="TP",2,1),T84/IF(Y84="TP",2,1)),T85/IF(Y85="TP",2,1)))</f>
        <v>236</v>
      </c>
      <c r="JG85" s="2069" t="s">
        <v>1333</v>
      </c>
      <c r="JH85" s="6959">
        <f t="shared" si="601"/>
        <v>4639455.6318708006</v>
      </c>
      <c r="JI85" s="6959">
        <f>+JH85</f>
        <v>4639455.6318708006</v>
      </c>
      <c r="JJ85" s="6959"/>
      <c r="JK85" s="6959"/>
      <c r="JL85" s="6996"/>
      <c r="JM85" s="1804" t="str">
        <f t="shared" si="602"/>
        <v>N/A</v>
      </c>
      <c r="JN85" s="2069" t="str">
        <f t="shared" ref="JN85:JN113" si="637">+IF(D85="","",IF(JM85="N/A","",JM85*$JN$27))</f>
        <v/>
      </c>
      <c r="JO85" s="2069">
        <f>+JI85</f>
        <v>4639455.6318708006</v>
      </c>
      <c r="JP85" s="3010"/>
      <c r="JQ85" s="3010"/>
      <c r="JR85" s="2069"/>
      <c r="JS85" s="1805">
        <f>+IF(D85="","",SUM(JO85:JR85))</f>
        <v>4639455.6318708006</v>
      </c>
      <c r="JT85" s="7130">
        <f t="shared" si="476"/>
        <v>2</v>
      </c>
      <c r="JU85" s="7131">
        <f t="shared" ref="JU85:JU86" si="638">+IF(D85="","",IF(AV85="",IF(AV84="",IF(AV83="","",AV83),AV84),AV85))</f>
        <v>1084</v>
      </c>
      <c r="JV85" s="8366">
        <f t="shared" ref="JV85:JV86" si="639">+IF(D85="","",IF(AW85="",IF(AW84="",IF(AW83="","",AW83),AW84),AW85))</f>
        <v>1790536</v>
      </c>
      <c r="JW85" s="8393">
        <f t="shared" ref="JW85:JW86" si="640">+CL85</f>
        <v>84.133333333333326</v>
      </c>
      <c r="JX85" s="8422">
        <f t="shared" ref="JX85:JX86" si="641">+IF(OR(D85="",JU85=""),"",IF(JT85=2,24000/JU85,""))</f>
        <v>22.140221402214021</v>
      </c>
      <c r="JY85" s="8457">
        <f t="shared" ref="JY85:JY94" si="642">+IF(D85="","",IF(JT85=2,($JY$8*(1+$JY$8)^JX85)/((1+$JY$8)^JX85-1),""))</f>
        <v>9.0157610503092678E-2</v>
      </c>
      <c r="JZ85" s="7132">
        <f t="shared" ref="JZ85:JZ86" si="643">+IF(OR(D85="",JU85="",ISERROR(JF85)),"",IF(JT85=2,JF85*6180/83,""))</f>
        <v>17572.048192771083</v>
      </c>
      <c r="KA85" s="7130" t="str">
        <f t="shared" ref="KA85:KA86" si="644">+IF(OR(D85="",JV85=""),"",IF(JT85=1,JV85*10^6/$KA$8/JU85,""))</f>
        <v/>
      </c>
      <c r="KB85" s="7131" t="str">
        <f t="shared" ref="KB85:KB86" si="645">+IF(OR(D85="",KA85=""),"",IF(JT85=1,KA85*$KB$8,""))</f>
        <v/>
      </c>
      <c r="KC85" s="7132" t="str">
        <f t="shared" ref="KC85:KC86" si="646">+IF(OR(D85="",KB85=""),"",IF(JT85=1,KB85*7.48/62.4/60,""))</f>
        <v/>
      </c>
      <c r="KD85" s="7130">
        <f t="shared" ref="KD85:KD86" si="647">+IF(OR(D85="",JV85=""),"",IF(JT85=1,$KD$5*JU85*$KD$6/1000,$KD$7*JU85*$KD$8/1000))</f>
        <v>46009.296000000002</v>
      </c>
      <c r="KE85" s="8330">
        <f t="shared" ref="KE85:KE86" si="648">+IF(OR(D85="",JW85="",JW85=0),"",IF(JT85=2,JW85*$KE$8*$KG$4,""))</f>
        <v>52398.239999999991</v>
      </c>
      <c r="KF85" s="8330">
        <f t="shared" ref="KF85:KF86" si="649">+IF(OR(D85="",JW85="",JW85=0),"",IF(JT85=2,JW85*(0.95/0.05)*(18/17)*($KF$8/1000)*(2000)*$KG$4,""))</f>
        <v>35137.643294117639</v>
      </c>
      <c r="KG85" s="7131">
        <f t="shared" ref="KG85:KG86" si="650">+IF(D85="","",IF(JT85=1,$KG$2*KC85/1000*60*JU85*$KG$4*$KG$6,IF(OR(JZ85="",JY85=""),"",JZ85*$KG$8*JY85*$KG$4)))</f>
        <v>41111.388100505879</v>
      </c>
      <c r="KH85" s="7131">
        <f>IF(D85="","",IF(JT85=2,0.005*JF85*$KD$6/1000*1000*JU85,""))</f>
        <v>496503.21919999999</v>
      </c>
      <c r="KI85" s="7131">
        <f>IF(D85="","",IF(JT85=2,0.1*0.005*JF85*$KD$6/1000*1000*JU85,""))</f>
        <v>49650.321920000009</v>
      </c>
      <c r="KJ85" s="7131">
        <f t="shared" ref="KJ85:KJ86" si="651">+IF(OR(D85="",JU85="",JV85=""),"",IF(JT85=1,KD85+KG85,KD85+KE85+KF85+KG85+KH85+KI85))</f>
        <v>720810.10851462348</v>
      </c>
      <c r="KK85" s="7131">
        <f>+IF(OR(D85="",JU85="",JV85=""),"",$KK$7*$KG$4*JU85)</f>
        <v>113719.4048</v>
      </c>
      <c r="KL85" s="7131">
        <f t="shared" ref="KL85:KL86" si="652">+IF(OR(D85="",JU85="",JV85="",JS85=""),"",IF(JT85=1,$KL$7*JS85*JU85/$KL$8,$KL$7*IF(JN85="",JS85,JN85)*JU85/$KL$8))</f>
        <v>18859.387143554803</v>
      </c>
      <c r="KM85" s="7131">
        <f t="shared" ref="KM85:KM86" si="653">+IF(D85="","",IF(KK85="",0,KK85)+IF(KL85="",0,KL85))</f>
        <v>132578.7919435548</v>
      </c>
      <c r="KN85" s="7131">
        <f>+IF(D85="","",IF(JX85&lt;41,$KN$8*JZ85*JY85,""))</f>
        <v>459433.62424457434</v>
      </c>
      <c r="KO85" s="7131">
        <f t="shared" ref="KO85:KO86" si="654">+IF(OR(D85="",JU85="",JV85=""),"",IF(KM85="",0,KM85)+IF(KN85="",0,KN85))</f>
        <v>592012.41618812911</v>
      </c>
      <c r="KP85" s="7132">
        <f t="shared" ref="KP85:KP86" si="655">+IF(OR(D85="",JU85="",JV85=""),"",IF(KJ85="",0,KJ85)+IF(KO85="",0,KO85))</f>
        <v>1312822.5247027525</v>
      </c>
      <c r="KQ85" s="1806">
        <f>+IF(D85="","",VLOOKUP(MATCH(BE85,ac_id,0),ad,ac!$F$8,FALSE)*JV85)</f>
        <v>537160.79999999993</v>
      </c>
      <c r="KR85" s="3010">
        <f>+IF(D85="","",IF(JT85=1,VLOOKUP(MATCH(BE85,ac_id,0),ad,ac!$H$8,FALSE)*JU85, (VLOOKUP(MATCH(BE85,ac_id,0),ad,ac!$H$8,FALSE)*JU85^(1+VLOOKUP(MATCH(BE85,ac_id,0),ad,ac!$I$8,FALSE)))))</f>
        <v>21869.924720269704</v>
      </c>
      <c r="KS85" s="1805">
        <f>+IF(D85="","",KQ85+KR85)</f>
        <v>559030.72472026967</v>
      </c>
      <c r="KT85" s="1806">
        <f t="shared" ref="KT85:KT86" si="656">+IF(D85="","",IF(KK85="","",$KT$26*KM85))</f>
        <v>79547.27516613288</v>
      </c>
      <c r="KU85" s="2069">
        <f t="shared" ref="KU85:KU86" si="657">+IF(D85="","",IF(JS85="","",$KU$26*IF(JN85="",JS85,JN85)))</f>
        <v>185578.22527483202</v>
      </c>
      <c r="KV85" s="7374">
        <f t="shared" ref="KV85:KV86" si="658">+IF(D85="","",IV85)</f>
        <v>2</v>
      </c>
      <c r="KW85" s="7280">
        <f t="shared" ref="KW85:KW86" si="659">IF(JS85="","",IF(KV85=1,$KW$5,IF(KV85=2,$KW$8,""))*JS85)</f>
        <v>348001.57178895042</v>
      </c>
      <c r="KX85" s="1805">
        <f t="shared" ref="KX85:KX86" si="660">+IF(D85="","",IF(KW85="","",IF(KT85="",0,KT85)+IF(KU85="",0,KU85)+KW85))</f>
        <v>613127.0722299153</v>
      </c>
      <c r="KY85" s="2505">
        <f t="shared" ref="KY85:KY86" si="661">+IF(D85="","",IF(KX85="","",IF(KP85="",0,KP85)+KX85))</f>
        <v>1925949.5969326678</v>
      </c>
      <c r="KZ85" s="7375"/>
      <c r="LA85" s="7280">
        <f t="shared" ref="LA85:LA86" si="662">+IF(OR(KY85="",$CB85=""),"",KY85/$CB85)</f>
        <v>26029.863453610858</v>
      </c>
      <c r="LB85" s="7291">
        <f t="shared" ref="LB85:LB86" si="663">+IF(OR(KY85="",$CL85=""),"",KY85/$CL85)</f>
        <v>22891.635462749618</v>
      </c>
      <c r="LC85" s="5133"/>
      <c r="LD85" s="5132"/>
      <c r="LE85" s="5132"/>
      <c r="LF85" s="5132"/>
      <c r="LG85" s="5132"/>
      <c r="LH85" s="5132"/>
      <c r="LI85" s="5132"/>
      <c r="LJ85" s="5132"/>
    </row>
    <row r="86" spans="1:322" s="717" customFormat="1" ht="27.95" customHeight="1">
      <c r="A86" s="10539"/>
      <c r="B86" s="10521" t="str">
        <f>+IF(A86="","",VLOOKUP(MATCH(A86,tid,0),tao,'12(id)'!$J$20,FALSE))</f>
        <v/>
      </c>
      <c r="C86" s="10549"/>
      <c r="D86" s="1127" t="str">
        <f t="shared" si="48"/>
        <v>8306-02-02</v>
      </c>
      <c r="E86" s="730" t="str">
        <f>+IF(BD86="","",BD86)</f>
        <v>Selective Catalytic Reduction (SCR) with ID fans</v>
      </c>
      <c r="F86" s="730" t="str">
        <f t="shared" si="49"/>
        <v>SCR</v>
      </c>
      <c r="G86" s="5133"/>
      <c r="H86" s="5132"/>
      <c r="I86" s="5133"/>
      <c r="J86" s="719">
        <f t="shared" si="68"/>
        <v>52</v>
      </c>
      <c r="K86" s="10541"/>
      <c r="L86" s="9721"/>
      <c r="M86" s="9718"/>
      <c r="N86" s="9699"/>
      <c r="O86" s="9518"/>
      <c r="P86" s="9518"/>
      <c r="Q86" s="9714" t="str">
        <f>+IF(ISERROR(MATCH(O86,tid,0)),"",VLOOKUP(MATCH(O86,tid,0),tao,'12(id)'!$Q$20,FALSE))</f>
        <v/>
      </c>
      <c r="R86" s="10183"/>
      <c r="S86" s="9714"/>
      <c r="T86" s="10526" t="str">
        <f>+IF(ISERROR(MATCH(O86,tid,0)),"",IF(VLOOKUP(MATCH(O86,tid,0),tao,'12(id)'!$CT$20,FALSE)="","",VLOOKUP(MATCH(O86,tid,0),tao,'12(id)'!$CT$20,FALSE)))</f>
        <v/>
      </c>
      <c r="U86" s="10529" t="str">
        <f>+IF(ISERROR(MATCH(O86,tid,0)),"",IF(VLOOKUP(MATCH(O86,tid,0),tao,'12(id)'!$CU$20,FALSE)="","",VLOOKUP(MATCH(O86,tid,0),tao,'12(id)'!$CU$20,FALSE)))</f>
        <v/>
      </c>
      <c r="V86" s="9504" t="str">
        <f>+IF(O86="","",IF(VLOOKUP(MATCH(O86,tid,0),tao,'12(id)'!$T$20,FALSE)="","",VLOOKUP(MATCH(O86,tid,0),tao,'12(id)'!$T$20,FALSE)))</f>
        <v/>
      </c>
      <c r="W86" s="9504" t="str">
        <f>+IF(ISERROR(MATCH(O86,tid,0)),"",IF(VLOOKUP(MATCH(O86,tid,0),tao,'12(id)'!$CO$20,FALSE)="","",VLOOKUP(MATCH(O86,tid,0),tao,'12(id)'!$CO$20,FALSE)))</f>
        <v/>
      </c>
      <c r="X86" s="9504" t="str">
        <f>+IF(ISERROR(MATCH(O86,tid,0)),"",IF(VLOOKUP(MATCH(O86,tid,0),tao,'12(id)'!$CP$20,FALSE)="","",VLOOKUP(MATCH(O86,tid,0),tao,'12(id)'!$CP$20,FALSE)))</f>
        <v/>
      </c>
      <c r="Y86" s="8553" t="str">
        <f>+IF(ISERROR(MATCH(O86,tid,0)),"",IF(VLOOKUP(MATCH(O86,tid,0),tao,'12(id)'!$CQ$20,FALSE)="","",VLOOKUP(MATCH(O86,tid,0),tao,'12(id)'!$CQ$20,FALSE)))</f>
        <v/>
      </c>
      <c r="Z86" s="9518" t="str">
        <f>+IF(ISERROR(MATCH(O86,tid,0)),"",VLOOKUP(MATCH(O86,tid,0),tao,'12(id)'!$DB$20,FALSE)&amp;" "&amp;VLOOKUP(MATCH(O86,tid,0),tao,'12(id)'!$DC$20,FALSE))</f>
        <v/>
      </c>
      <c r="AA86" s="9518" t="str">
        <f>+IF(ISERROR(MATCH(O86,tid,0)),"",IF(VLOOKUP(MATCH(O86,tid,0),tao,'12(id)'!$DE$20,FALSE)="","",ROUND(VLOOKUP(MATCH(O86,tid,0),tao,'12(id)'!$DE$20,FALSE),0)&amp;" yrs"))</f>
        <v/>
      </c>
      <c r="AB86" s="9648" t="str">
        <f>+IF(ISERROR(MATCH(O86,tid,0)),"",VLOOKUP(MATCH(O86,tid,0),tao,'12(id)'!$DI$20,FALSE))</f>
        <v/>
      </c>
      <c r="AC86" s="9648" t="str">
        <f>+IF(ISERROR(MATCH(O86,tid,0)),"",IF(VLOOKUP(MATCH(O86,tid,0),tao,'12(id)'!$DQ$20,FALSE)="","",VLOOKUP(MATCH(O86,tid,0),tao,'12(id)'!$DQ$20,FALSE)))</f>
        <v/>
      </c>
      <c r="AD86" s="10412" t="str">
        <f>+IF(ISERROR(MATCH(O86,tid,0)),"",IF(VLOOKUP(MATCH(O86,tid,0),tao,'12(id)'!$EI$20,FALSE)="","",VLOOKUP(MATCH(O86,tid,0),tao,'12(id)'!$EI$20,FALSE)))</f>
        <v/>
      </c>
      <c r="AE86" s="10412" t="str">
        <f>+IF(ISERROR(MATCH(O86,tid,0)),"",IF(VLOOKUP(MATCH(O86,tid,0),tao,'12(id)'!$EJ$20,FALSE)="","",VLOOKUP(MATCH(O86,tid,0),tao,'12(id)'!$EJ$20,FALSE)))</f>
        <v/>
      </c>
      <c r="AF86" s="10412" t="str">
        <f>+IF(ISERROR(MATCH(O86,tid,0)),"",IF(VLOOKUP(MATCH(O86,tid,0),tao,'12(id)'!$EL$20,FALSE)="","",VLOOKUP(MATCH(O86,tid,0),tao,'12(id)'!$EL$20,FALSE)))</f>
        <v/>
      </c>
      <c r="AG86" s="10409" t="str">
        <f>+IF(ISERROR(MATCH(O86,tid,0)),"",IF(VLOOKUP(MATCH(O86,tid,0),tao,'12(id)'!$EM$20,FALSE)="","",VLOOKUP(MATCH(O86,tid,0),tao,'12(id)'!$EM$20,FALSE)))</f>
        <v/>
      </c>
      <c r="AH86" s="10439"/>
      <c r="AI86" s="10441"/>
      <c r="AJ86" s="10441"/>
      <c r="AK86" s="10441"/>
      <c r="AL86" s="10441"/>
      <c r="AM86" s="10432"/>
      <c r="AN86" s="10422"/>
      <c r="AO86" s="10457" t="str">
        <f>+IF(ISERROR(MATCH(O86,tid,0)),"",IF(VLOOKUP(MATCH(O86,tid,0),tao,'12(id)'!$GY$20,FALSE)="","",VLOOKUP(MATCH(O86,tid,0),tao,'12(id)'!$GY$20,FALSE)))</f>
        <v/>
      </c>
      <c r="AP86" s="10378" t="e">
        <f>+IF($BB86="","",IF(VLOOKUP(MATCH(O86,tid,0),tao,'12(id)'!$HE$20,FALSE)="","",VLOOKUP(MATCH(O86,tid,0),tao,'12(id)'!$HE$20,FALSE)))</f>
        <v>#N/A</v>
      </c>
      <c r="AQ86" s="10378" t="str">
        <f>+IF(ISERROR(VLOOKUP(MATCH(O86,tid,0),tao,'12(id)'!$HF$20,FALSE)),"",VLOOKUP(MATCH(O86,tid,0),tao,'12(id)'!$HF$20,FALSE))</f>
        <v/>
      </c>
      <c r="AR86" s="10381" t="str">
        <f>+IF(ISERROR(MATCH(O86,tid,0)),"",IF(VLOOKUP(MATCH(O86,tid,0),tao,'12(id)'!$HJ$20,FALSE)="","",VLOOKUP(MATCH(O86,tid,0),tao,'12(id)'!$HJ$20,FALSE)))</f>
        <v/>
      </c>
      <c r="AS86" s="10384" t="str">
        <f>+IF(ISERROR(MATCH(O86,tid,0)),"",IF(VLOOKUP(MATCH(O86,tid,0),tao,'12(id)'!$HK$20,FALSE)="","",VLOOKUP(MATCH(O86,tid,0),tao,'12(id)'!$HK$20,FALSE)))</f>
        <v/>
      </c>
      <c r="AT86" s="10387" t="str">
        <f>+IF(ISERROR(MATCH(O86,tid,0)),"",IF(VLOOKUP(MATCH(O86,tid,0),tao,'12(id)'!$HM$20,FALSE)="","",VLOOKUP(MATCH(O86,tid,0),tao,'12(id)'!$HM$20,FALSE)))</f>
        <v/>
      </c>
      <c r="AU86" s="10471"/>
      <c r="AV86" s="10473" t="str">
        <f>+IF(ISERROR(MATCH(O86,em_id,0)),"",IF(VLOOKUP(MATCH(O86,em_id,0),em,'5(em)'!$CX$18,FALSE)="","",VLOOKUP(MATCH(O86,em_id,0),em,'5(em)'!$CX$18,FALSE)))</f>
        <v/>
      </c>
      <c r="AW86" s="10489" t="str">
        <f>+IF(ISERROR(MATCH(O86,em_id,0)),"",IF(VLOOKUP(MATCH(O86,em_id,0),em,'5(em)'!$CZ$18,FALSE)="","",VLOOKUP(MATCH(O86,em_id,0),em,'5(em)'!$CZ$18,FALSE)))</f>
        <v/>
      </c>
      <c r="AX86" s="10478" t="str">
        <f t="shared" si="50"/>
        <v/>
      </c>
      <c r="AY86" s="10480"/>
      <c r="AZ86" s="10482" t="str">
        <f>+IF(ISERROR(MATCH(O86,em_id,0)),"",IF(VLOOKUP(MATCH(O86,em_id,0),em,'5(em)'!$DA$18,FALSE)="","",VLOOKUP(MATCH(O86,em_id,0),em,'5(em)'!$DA$18,FALSE)))</f>
        <v/>
      </c>
      <c r="BA86" s="741"/>
      <c r="BB86" s="742" t="str">
        <f t="shared" si="311"/>
        <v>8306-02-02</v>
      </c>
      <c r="BC86" s="743">
        <v>2</v>
      </c>
      <c r="BD86" s="730" t="str">
        <f>+IF(OR(D86="",VLOOKUP(MATCH(D86,op_id,0),op,'7(op)'!$T$18,FALSE)=""),"",VLOOKUP(MATCH(D86,op_id,0),op,'7(op)'!$T$18,FALSE))</f>
        <v>Selective Catalytic Reduction (SCR) with ID fans</v>
      </c>
      <c r="BE86" s="730" t="s">
        <v>1093</v>
      </c>
      <c r="BF86" s="730" t="s">
        <v>1862</v>
      </c>
      <c r="BG86" s="744"/>
      <c r="BH86" s="748"/>
      <c r="BI86" s="749"/>
      <c r="BJ86" s="750"/>
      <c r="BK86" s="750"/>
      <c r="BL86" s="750"/>
      <c r="BM86" s="750"/>
      <c r="BN86" s="750" t="str">
        <f t="shared" si="12"/>
        <v/>
      </c>
      <c r="BO86" s="750" t="str">
        <f t="shared" si="13"/>
        <v/>
      </c>
      <c r="BP86" s="750" t="str">
        <f t="shared" si="14"/>
        <v/>
      </c>
      <c r="BQ86" s="750" t="str">
        <f>+IF($BB86="","",IF(OR($AK86="",BJ86=""),"",(1-BJ85/$AK86)))</f>
        <v/>
      </c>
      <c r="BR86" s="751"/>
      <c r="BS86" s="2382" t="s">
        <v>559</v>
      </c>
      <c r="BT86" s="753"/>
      <c r="BU86" s="3709">
        <f>+IF(BB86="","",IF(VLOOKUP(MATCH(BB86,ef_id,0),ef,'11(eff)'!$Z$23,FALSE)="","",VLOOKUP(MATCH(BB86,ef_id,0),ef,'11(eff)'!$Z$23,FALSE)))</f>
        <v>0.1</v>
      </c>
      <c r="BV86" s="3753" t="str">
        <f>+IF(BB86="","",IF(VLOOKUP(MATCH(BB86,ef_id,0),ef,'11(eff)'!$AA$23,FALSE)="","",VLOOKUP(MATCH(BB86,ef_id,0),ef,'11(eff)'!$AA$23,FALSE)))</f>
        <v/>
      </c>
      <c r="BW86" s="3778">
        <v>61.66</v>
      </c>
      <c r="BX86" s="1962">
        <f t="shared" si="511"/>
        <v>61.66</v>
      </c>
      <c r="BY86" s="1077">
        <f t="shared" si="512"/>
        <v>61.663500000000006</v>
      </c>
      <c r="BZ86" s="3259"/>
      <c r="CA86" s="3419"/>
      <c r="CB86" s="1082">
        <f t="shared" si="382"/>
        <v>104.83000000000001</v>
      </c>
      <c r="CC86" s="3867">
        <f t="shared" si="513"/>
        <v>0.62964742627184822</v>
      </c>
      <c r="CD86" s="3867">
        <f t="shared" si="514"/>
        <v>0.62962962962962965</v>
      </c>
      <c r="CE86" s="2377">
        <f>+IF(BB86="","",IF(VLOOKUP(MATCH(BB86,ef_id,0),ef,'11(eff)'!$AE$23,FALSE)="","",VLOOKUP(MATCH(BB86,ef_id,0),ef,'11(eff)'!$AE$23,FALSE)))</f>
        <v>0.9</v>
      </c>
      <c r="CF86" s="752"/>
      <c r="CG86" s="753"/>
      <c r="CH86" s="2415"/>
      <c r="CI86" s="3911">
        <f>+IF(BB86="","",AZ85/AW85*2000*(1-CO86))</f>
        <v>2.114450644946541E-2</v>
      </c>
      <c r="CJ86" s="4080" t="str">
        <f>+IF(AY85="","",AY85*(1-CO86))</f>
        <v/>
      </c>
      <c r="CK86" s="3911">
        <f>+IF($BB86="","",IF(CI86="",IF($AZ86="",IF($AZ85="",$AZ84,$AZ85),$AZ86)-CL86,IF(OR(IF($AW86="",IF($AW85="",$AW84,$AW85),$AW86)="",CI86=""),"",CI86/2000*IF($AW86="",IF($AW85="",$AW84,$AW85),$AW86))))</f>
        <v>18.93</v>
      </c>
      <c r="CL86" s="4001">
        <f>+IF($BB86="","",IF(CI86="",CO86*IF($AZ86="",IF($AZ85="",$AZ84,$AZ85),$AZ86),IF(CK86="","",IF($AZ86="",IF($AZ85="",$AZ84,$AZ85),$AZ86)-CK86)))</f>
        <v>170.37</v>
      </c>
      <c r="CM86" s="4002">
        <f>+IF($BB86="","",IF(CL86="","",CL86/IF($AZ86="",IF($AZ85="",$AZ84,$AZ85),$AZ86)))</f>
        <v>0.9</v>
      </c>
      <c r="CN86" s="4002">
        <f>+IF($BB86="","",IF(CI86="","",(1-CI86/IF($AX86="",IF($AX85="",$AX84,$AX85),$AX86))))</f>
        <v>0.89931187405016466</v>
      </c>
      <c r="CO86" s="4003">
        <f>+IF(BB86="","",IF(VLOOKUP(MATCH(BB86,ef_id,0),ef,'11(eff)'!$AE$23,FALSE)="","",VLOOKUP(MATCH(BB86,ef_id,0),ef,'11(eff)'!$AE$23,FALSE)))</f>
        <v>0.9</v>
      </c>
      <c r="CP86" s="4004">
        <f>+IF(OR(BB86="",VLOOKUP(MATCH(BB86,ef_id,0),ef,'11(eff)'!$AG$23,FALSE)=""),"",IF(VLOOKUP(MATCH(BB86,ef_id,0),ef,'11(eff)'!$AG$23,FALSE)/100=VLOOKUP(MATCH(BB86,ef_id,0),ef,'11(eff)'!$AE$23,FALSE),VLOOKUP(MATCH(BB86,ef_id,0),ef,'11(eff)'!$AE$23,FALSE),""))</f>
        <v>0.9</v>
      </c>
      <c r="CQ86" s="752" t="str">
        <f t="shared" si="51"/>
        <v>Selective Catalytic Reduction (SCR) with ID fans</v>
      </c>
      <c r="CR86" s="754"/>
      <c r="CS86" s="2764">
        <v>101740654</v>
      </c>
      <c r="CT86" s="1590">
        <v>27499579</v>
      </c>
      <c r="CU86" s="1089">
        <v>21009841</v>
      </c>
      <c r="CV86" s="1868">
        <f t="shared" si="309"/>
        <v>1573093</v>
      </c>
      <c r="CW86" s="1869">
        <f>285176+413673</f>
        <v>698849</v>
      </c>
      <c r="CX86" s="1869">
        <f>1184506+530766</f>
        <v>1715272</v>
      </c>
      <c r="CY86" s="1092"/>
      <c r="CZ86" s="2477">
        <f>854319+130698+120000</f>
        <v>1105017</v>
      </c>
      <c r="DA86" s="2487"/>
      <c r="DB86" s="2487">
        <v>1397507</v>
      </c>
      <c r="DC86" s="1868"/>
      <c r="DD86" s="1902"/>
      <c r="DE86" s="1903"/>
      <c r="DF86" s="1904"/>
      <c r="DG86" s="1904"/>
      <c r="DH86" s="1902"/>
      <c r="DI86" s="1088">
        <f>+IF(CT86="","",SUM(CU86:DC86)+SUM(DE86:DF86))</f>
        <v>27499579</v>
      </c>
      <c r="DJ86" s="1943"/>
      <c r="DK86" s="1590"/>
      <c r="DL86" s="1089"/>
      <c r="DM86" s="1868" t="str">
        <f t="shared" si="310"/>
        <v/>
      </c>
      <c r="DN86" s="1869"/>
      <c r="DO86" s="1869"/>
      <c r="DP86" s="1092"/>
      <c r="DQ86" s="2477"/>
      <c r="DR86" s="2487"/>
      <c r="DS86" s="2487"/>
      <c r="DT86" s="1868"/>
      <c r="DU86" s="1902"/>
      <c r="DV86" s="1903"/>
      <c r="DW86" s="1904"/>
      <c r="DX86" s="1904"/>
      <c r="DY86" s="1902"/>
      <c r="DZ86" s="1088" t="str">
        <f t="shared" ref="DZ86:DZ114" si="664">+IF(DK86="","",SUM(DL86:DT86)+SUM(DV86:DW86))</f>
        <v/>
      </c>
      <c r="EA86" s="1943"/>
      <c r="EB86" s="1089">
        <f t="shared" si="377"/>
        <v>27499579</v>
      </c>
      <c r="EC86" s="1967">
        <v>1</v>
      </c>
      <c r="ED86" s="1087">
        <f t="shared" si="20"/>
        <v>27499579</v>
      </c>
      <c r="EE86" s="1870">
        <v>432189</v>
      </c>
      <c r="EF86" s="1734">
        <v>46419590</v>
      </c>
      <c r="EG86" s="1092"/>
      <c r="EH86" s="1088">
        <f t="shared" si="353"/>
        <v>46851779</v>
      </c>
      <c r="EI86" s="1903"/>
      <c r="EJ86" s="1904"/>
      <c r="EK86" s="2015"/>
      <c r="EL86" s="1464"/>
      <c r="EM86" s="1903">
        <v>633491</v>
      </c>
      <c r="EN86" s="1904">
        <v>20072729</v>
      </c>
      <c r="EO86" s="2015">
        <v>6683075.5</v>
      </c>
      <c r="EP86" s="1088">
        <f t="shared" si="378"/>
        <v>27389295.5</v>
      </c>
      <c r="EQ86" s="2560"/>
      <c r="ER86" s="2560"/>
      <c r="ES86" s="2560"/>
      <c r="ET86" s="1464"/>
      <c r="EU86" s="1325"/>
      <c r="EV86" s="1345"/>
      <c r="EW86" s="2590"/>
      <c r="EX86" s="2590"/>
      <c r="EY86" s="2697">
        <f>+IF(BB86="","",(IF(ED86="",0,ED86)+IF(EH86="",0,EH86)+IF(EP86="",0,EP86)+IF(ET86="",0,ET86)+IF(EW86="",0,EW86)+IF(EX86="",0,EX86)))</f>
        <v>101740653.5</v>
      </c>
      <c r="EZ86" s="2726"/>
      <c r="FA86" s="1345"/>
      <c r="FB86" s="1479">
        <f t="shared" si="515"/>
        <v>101740653.5</v>
      </c>
      <c r="FC86" s="1089">
        <f t="shared" si="516"/>
        <v>27499579</v>
      </c>
      <c r="FD86" s="2048">
        <f t="shared" si="517"/>
        <v>21009841</v>
      </c>
      <c r="FE86" s="2032">
        <f t="shared" si="509"/>
        <v>0.76400591441781707</v>
      </c>
      <c r="FF86" s="2048">
        <f t="shared" si="518"/>
        <v>5092231</v>
      </c>
      <c r="FG86" s="2032">
        <f t="shared" si="519"/>
        <v>0.18517487122257398</v>
      </c>
      <c r="FH86" s="2048">
        <f t="shared" si="520"/>
        <v>0</v>
      </c>
      <c r="FI86" s="2032">
        <f t="shared" si="510"/>
        <v>0</v>
      </c>
      <c r="FJ86" s="2795">
        <f t="shared" si="521"/>
        <v>26102072</v>
      </c>
      <c r="FK86" s="2809">
        <f t="shared" si="522"/>
        <v>0.9491807856403911</v>
      </c>
      <c r="FL86" s="2781">
        <f t="shared" si="523"/>
        <v>1397507</v>
      </c>
      <c r="FM86" s="2032">
        <f t="shared" si="524"/>
        <v>5.081921435960892E-2</v>
      </c>
      <c r="FN86" s="2781">
        <f t="shared" si="525"/>
        <v>0</v>
      </c>
      <c r="FO86" s="2771">
        <f t="shared" si="526"/>
        <v>0</v>
      </c>
      <c r="FP86" s="2781">
        <f t="shared" si="527"/>
        <v>0</v>
      </c>
      <c r="FQ86" s="2771">
        <f t="shared" si="528"/>
        <v>0</v>
      </c>
      <c r="FR86" s="2845">
        <f t="shared" si="529"/>
        <v>27499579</v>
      </c>
      <c r="FS86" s="2829" t="str">
        <f t="shared" si="530"/>
        <v/>
      </c>
      <c r="FT86" s="1515" t="str">
        <f t="shared" si="531"/>
        <v/>
      </c>
      <c r="FU86" s="2897">
        <f t="shared" si="532"/>
        <v>0</v>
      </c>
      <c r="FV86" s="1084">
        <f t="shared" si="533"/>
        <v>116523.63983050847</v>
      </c>
      <c r="FW86" s="2110">
        <f t="shared" si="534"/>
        <v>46851779</v>
      </c>
      <c r="FX86" s="1742">
        <f t="shared" si="535"/>
        <v>1.7037271370590801</v>
      </c>
      <c r="FY86" s="2111">
        <f t="shared" si="536"/>
        <v>27389295.5</v>
      </c>
      <c r="FZ86" s="1742">
        <f t="shared" si="537"/>
        <v>0.99598962951396453</v>
      </c>
      <c r="GA86" s="1742">
        <f t="shared" si="538"/>
        <v>0.36837653321678404</v>
      </c>
      <c r="GB86" s="2111" t="str">
        <f t="shared" si="539"/>
        <v/>
      </c>
      <c r="GC86" s="1742" t="str">
        <f t="shared" si="540"/>
        <v/>
      </c>
      <c r="GD86" s="1742" t="str">
        <f t="shared" si="541"/>
        <v/>
      </c>
      <c r="GE86" s="1091">
        <f t="shared" si="542"/>
        <v>101740653.5</v>
      </c>
      <c r="GF86" s="2146">
        <f t="shared" si="543"/>
        <v>101740653.5</v>
      </c>
      <c r="GG86" s="2174">
        <f t="shared" si="544"/>
        <v>-4.9144563973868571E-9</v>
      </c>
      <c r="GH86" s="3182">
        <f t="shared" si="545"/>
        <v>431104.46398305084</v>
      </c>
      <c r="GI86" s="3199">
        <v>26361800</v>
      </c>
      <c r="GJ86" s="3187">
        <v>251477</v>
      </c>
      <c r="GK86" s="3453">
        <f t="shared" si="423"/>
        <v>104.83000000000001</v>
      </c>
      <c r="GL86" s="3250">
        <f t="shared" si="546"/>
        <v>2.0252759176290011E-5</v>
      </c>
      <c r="GM86" s="755"/>
      <c r="GN86" s="757"/>
      <c r="GO86" s="1903">
        <v>20000</v>
      </c>
      <c r="GP86" s="2015">
        <f>+IF(GQ86="","",GQ86-GO86)</f>
        <v>185045</v>
      </c>
      <c r="GQ86" s="1464">
        <v>205045</v>
      </c>
      <c r="GR86" s="2324"/>
      <c r="GS86" s="2324"/>
      <c r="GT86" s="1088">
        <v>26156755</v>
      </c>
      <c r="GU86" s="2318">
        <f t="shared" si="547"/>
        <v>26361800</v>
      </c>
      <c r="GV86" s="756">
        <f t="shared" si="548"/>
        <v>20000</v>
      </c>
      <c r="GW86" s="2259">
        <f t="shared" si="549"/>
        <v>185045</v>
      </c>
      <c r="GX86" s="758">
        <f t="shared" si="550"/>
        <v>205045</v>
      </c>
      <c r="GY86" s="758" t="str">
        <f t="shared" si="551"/>
        <v/>
      </c>
      <c r="GZ86" s="758" t="str">
        <f t="shared" si="552"/>
        <v/>
      </c>
      <c r="HA86" s="1088">
        <f t="shared" si="553"/>
        <v>26156755</v>
      </c>
      <c r="HB86" s="2233">
        <f t="shared" si="432"/>
        <v>26361800</v>
      </c>
      <c r="HC86" s="2346">
        <f t="shared" si="554"/>
        <v>26361800</v>
      </c>
      <c r="HD86" s="1291">
        <f t="shared" si="375"/>
        <v>0</v>
      </c>
      <c r="HE86" s="755"/>
      <c r="HF86" s="1086">
        <f t="shared" si="555"/>
        <v>251477</v>
      </c>
      <c r="HG86" s="757">
        <f>+IF(OR(HC86="",$CL86=""),"",HC86/$CL86)</f>
        <v>154732.640723132</v>
      </c>
      <c r="HH86" s="2998">
        <f>+IF(BF86="","",VALUE(LEFT(BF86,1)))</f>
        <v>4</v>
      </c>
      <c r="HI86" s="1293">
        <f>+IF(FR86="","",FR86)</f>
        <v>27499579</v>
      </c>
      <c r="HJ86" s="1734">
        <f>+IF(FP86="","",FP86)</f>
        <v>0</v>
      </c>
      <c r="HK86" s="1734">
        <f>+IF(FN86="","",FN86)</f>
        <v>0</v>
      </c>
      <c r="HL86" s="1734" t="str">
        <f>+IF(FR86="","",IF(HH86="","",IF(HH86=4,FS86,IF(HH86=3,FS86,IF(HH86=2,$HL$7*HI86,IF(HH86=1,$HL$6*HI86,""))))))</f>
        <v/>
      </c>
      <c r="HM86" s="1294">
        <f>IF(FR86="","",SUM(HI86:HL86))</f>
        <v>27499579</v>
      </c>
      <c r="HN86" s="3028">
        <f t="shared" si="347"/>
        <v>116523.63983050847</v>
      </c>
      <c r="HO86" s="2945">
        <f>+IF(FR86="","",IF(HH86="","",IF(HH86=4,FW86,IF(HH86=3,FW86,IF(HH86=2,$HO$7*HM86,IF(HH86=1,$HO$6*HM86,""))))))</f>
        <v>46851779</v>
      </c>
      <c r="HP86" s="2487">
        <f>+IF(FR86="","",IF(HH86="","",IF(HH86=4,FY86,IF(HH86=3,FY86,IF(HH86=2,$HP$7*(HM86+HO86),IF(HH86=1,$HP$6*HM86,""))))))</f>
        <v>27389295.5</v>
      </c>
      <c r="HQ86" s="3008" t="str">
        <f t="shared" si="556"/>
        <v/>
      </c>
      <c r="HR86" s="1092" t="str">
        <f t="shared" si="557"/>
        <v/>
      </c>
      <c r="HS86" s="1092">
        <f t="shared" si="558"/>
        <v>0</v>
      </c>
      <c r="HT86" s="2951" t="str">
        <f>+IF(FR86="","",IF(HH86="","",IF(HH86=2,$HT$7*(HP86+HR86),"")))</f>
        <v/>
      </c>
      <c r="HU86" s="2947" t="str">
        <f>+IF(FR86="","",IF(HH86="","",IF(HH86=2,$HU$7*(HP86+HR86),"")))</f>
        <v/>
      </c>
      <c r="HV86" s="2951" t="str">
        <f t="shared" si="559"/>
        <v/>
      </c>
      <c r="HW86" s="2947" t="str">
        <f t="shared" si="560"/>
        <v/>
      </c>
      <c r="HX86" s="3030">
        <f t="shared" si="199"/>
        <v>101740653.5</v>
      </c>
      <c r="HY86" s="2946" t="str">
        <f t="shared" si="561"/>
        <v/>
      </c>
      <c r="HZ86" s="2947" t="str">
        <f t="shared" si="562"/>
        <v/>
      </c>
      <c r="IA86" s="1089">
        <f t="shared" si="563"/>
        <v>101740653.5</v>
      </c>
      <c r="IB86" s="3041" t="str">
        <f t="shared" si="564"/>
        <v>same TCC</v>
      </c>
      <c r="IC86" s="2908">
        <f t="shared" si="565"/>
        <v>431104.46398305084</v>
      </c>
      <c r="ID86" s="1289"/>
      <c r="IE86" s="4105"/>
      <c r="IF86" s="4116">
        <f t="shared" si="583"/>
        <v>20000</v>
      </c>
      <c r="IG86" s="6782">
        <f>+IF(IF86="","",(IF86/IF(AO86="",IF(AO85="",IF(AO84="",AO83,AO84),AO85),AO86)))</f>
        <v>27.357909855687026</v>
      </c>
      <c r="IH86" s="4089">
        <f t="shared" si="584"/>
        <v>185045</v>
      </c>
      <c r="II86" s="6796">
        <f>+IH86/IF(AQ86="",IF(AQ85="",IF(AQ84="",AQ83,AQ84),AQ85),AQ86)</f>
        <v>0.1500441914584803</v>
      </c>
      <c r="IJ86" s="4105">
        <f t="shared" si="585"/>
        <v>205045</v>
      </c>
      <c r="IK86" s="4142">
        <v>0</v>
      </c>
      <c r="IL86" s="4194">
        <f>+IF(IF86="","",IK86*$IL$8*IF86)</f>
        <v>0</v>
      </c>
      <c r="IM86" s="4195">
        <f>IF(HM86="","",IK86*$IM$8*IA86)</f>
        <v>0</v>
      </c>
      <c r="IN86" s="4222" t="str">
        <f t="shared" si="588"/>
        <v/>
      </c>
      <c r="IO86" s="4222">
        <f t="shared" si="589"/>
        <v>205045</v>
      </c>
      <c r="IP86" s="7236">
        <f t="shared" si="630"/>
        <v>205045</v>
      </c>
      <c r="IQ86" s="7243">
        <f t="shared" si="631"/>
        <v>2.6165300461979978E-2</v>
      </c>
      <c r="IR86" s="7236" t="str">
        <f t="shared" si="632"/>
        <v/>
      </c>
      <c r="IS86" s="7243" t="str">
        <f t="shared" si="633"/>
        <v/>
      </c>
      <c r="IT86" s="4222">
        <f t="shared" si="594"/>
        <v>205045</v>
      </c>
      <c r="IU86" s="6854">
        <f t="shared" si="595"/>
        <v>2.6165300461979978E-2</v>
      </c>
      <c r="IV86" s="7270">
        <f t="shared" si="596"/>
        <v>2</v>
      </c>
      <c r="IW86" s="7256">
        <f t="shared" si="634"/>
        <v>7631478.807473368</v>
      </c>
      <c r="IX86" s="4187">
        <f t="shared" si="597"/>
        <v>7836523.807473368</v>
      </c>
      <c r="IY86" s="4255">
        <f t="shared" si="598"/>
        <v>26361800</v>
      </c>
      <c r="IZ86" s="4300">
        <f t="shared" si="599"/>
        <v>0.70273183896875901</v>
      </c>
      <c r="JA86" s="4306" t="str">
        <f t="shared" si="635"/>
        <v>stk added + 70%</v>
      </c>
      <c r="JB86" s="4158"/>
      <c r="JC86" s="4338"/>
      <c r="JD86" s="1086">
        <f t="shared" si="570"/>
        <v>74754.591314255144</v>
      </c>
      <c r="JE86" s="4337">
        <f t="shared" si="571"/>
        <v>45997.087559273161</v>
      </c>
      <c r="JF86" s="7040">
        <f t="shared" si="636"/>
        <v>236</v>
      </c>
      <c r="JG86" s="7056" t="s">
        <v>1093</v>
      </c>
      <c r="JH86" s="6971">
        <f t="shared" si="601"/>
        <v>101740653.5</v>
      </c>
      <c r="JI86" s="6971">
        <f>+JH86</f>
        <v>101740653.5</v>
      </c>
      <c r="JJ86" s="6971"/>
      <c r="JK86" s="6971"/>
      <c r="JL86" s="7008"/>
      <c r="JM86" s="7050">
        <f t="shared" ref="JM86" si="665">+IF(D86="","",IF(JG86="SCR",(JF86*49700+459000),IF(JG86="HPWI",(0.0353*JF86+0.2915)*(10^6),"N/A")))</f>
        <v>12188200</v>
      </c>
      <c r="JN86" s="1734">
        <f t="shared" si="637"/>
        <v>21085586</v>
      </c>
      <c r="JO86" s="1734">
        <f>+JI86</f>
        <v>101740653.5</v>
      </c>
      <c r="JP86" s="7081"/>
      <c r="JQ86" s="7081"/>
      <c r="JR86" s="7056"/>
      <c r="JS86" s="7062">
        <f>+IF(D86="","",SUM(JO86:JR86))</f>
        <v>101740653.5</v>
      </c>
      <c r="JT86" s="7166">
        <f t="shared" si="476"/>
        <v>2</v>
      </c>
      <c r="JU86" s="7167">
        <f t="shared" si="638"/>
        <v>1084</v>
      </c>
      <c r="JV86" s="8378">
        <f t="shared" si="639"/>
        <v>1790536</v>
      </c>
      <c r="JW86" s="8405">
        <f t="shared" si="640"/>
        <v>170.37</v>
      </c>
      <c r="JX86" s="8434">
        <f t="shared" si="641"/>
        <v>22.140221402214021</v>
      </c>
      <c r="JY86" s="8469">
        <f t="shared" si="642"/>
        <v>9.0157610503092678E-2</v>
      </c>
      <c r="JZ86" s="7168">
        <f t="shared" si="643"/>
        <v>17572.048192771083</v>
      </c>
      <c r="KA86" s="7166" t="str">
        <f t="shared" si="644"/>
        <v/>
      </c>
      <c r="KB86" s="7167" t="str">
        <f t="shared" si="645"/>
        <v/>
      </c>
      <c r="KC86" s="7168" t="str">
        <f t="shared" si="646"/>
        <v/>
      </c>
      <c r="KD86" s="7166">
        <f t="shared" si="647"/>
        <v>46009.296000000002</v>
      </c>
      <c r="KE86" s="8342">
        <f t="shared" si="648"/>
        <v>106106.436</v>
      </c>
      <c r="KF86" s="8342">
        <f t="shared" si="649"/>
        <v>71153.727670588225</v>
      </c>
      <c r="KG86" s="7167">
        <f t="shared" si="650"/>
        <v>41111.388100505879</v>
      </c>
      <c r="KH86" s="7167">
        <f>IF(D86="","",IF(JT86=2,0.005*JF86*$KD$6/1000*1000*JU86,""))</f>
        <v>496503.21919999999</v>
      </c>
      <c r="KI86" s="7167">
        <f>IF(D86="","",IF(JT86=2,0.1*0.005*JF86*$KD$6/1000*1000*JU86,""))</f>
        <v>49650.321920000009</v>
      </c>
      <c r="KJ86" s="7167">
        <f t="shared" si="651"/>
        <v>810534.38889109413</v>
      </c>
      <c r="KK86" s="7167">
        <f>+IF(OR(D86="",JU86="",JV86=""),"",$KK$7*$KG$4*JU86)</f>
        <v>113719.4048</v>
      </c>
      <c r="KL86" s="7167">
        <f t="shared" si="652"/>
        <v>85712.907089999993</v>
      </c>
      <c r="KM86" s="7167">
        <f t="shared" si="653"/>
        <v>199432.31189000001</v>
      </c>
      <c r="KN86" s="7167">
        <f>+IF(D86="","",IF(JX86&lt;41,$KN$8*JZ86*JY86,""))</f>
        <v>459433.62424457434</v>
      </c>
      <c r="KO86" s="7167">
        <f t="shared" si="654"/>
        <v>658865.93613457435</v>
      </c>
      <c r="KP86" s="7168">
        <f t="shared" si="655"/>
        <v>1469400.3250256684</v>
      </c>
      <c r="KQ86" s="7212">
        <f>+IF(D86="","",VLOOKUP(MATCH(BE86,ac_id,0),ad,ac!$F$8,FALSE)*JV86)</f>
        <v>537160.79999999993</v>
      </c>
      <c r="KR86" s="7081">
        <f>+IF(D86="","",IF(JT86=1,VLOOKUP(MATCH(BE86,ac_id,0),ad,ac!$H$8,FALSE)*JU86, (VLOOKUP(MATCH(BE86,ac_id,0),ad,ac!$H$8,FALSE)*JU86^(1+VLOOKUP(MATCH(BE86,ac_id,0),ad,ac!$I$8,FALSE)))))</f>
        <v>21869.924720269704</v>
      </c>
      <c r="KS86" s="7062">
        <f>+IF(D86="","",KQ86+KR86)</f>
        <v>559030.72472026967</v>
      </c>
      <c r="KT86" s="7212">
        <f t="shared" si="656"/>
        <v>119659.387134</v>
      </c>
      <c r="KU86" s="7056">
        <f t="shared" si="657"/>
        <v>843423.44000000006</v>
      </c>
      <c r="KV86" s="7390">
        <f t="shared" si="658"/>
        <v>2</v>
      </c>
      <c r="KW86" s="7274">
        <f t="shared" si="659"/>
        <v>7631478.807473368</v>
      </c>
      <c r="KX86" s="7062">
        <f t="shared" si="660"/>
        <v>8594561.6346073672</v>
      </c>
      <c r="KY86" s="7356">
        <f t="shared" si="661"/>
        <v>10063961.959633036</v>
      </c>
      <c r="KZ86" s="1343"/>
      <c r="LA86" s="7211">
        <f t="shared" si="662"/>
        <v>96002.689684565819</v>
      </c>
      <c r="LB86" s="1340">
        <f t="shared" si="663"/>
        <v>59071.209483084087</v>
      </c>
      <c r="LC86" s="5133"/>
      <c r="LD86" s="5132"/>
      <c r="LE86" s="5132"/>
      <c r="LF86" s="5132"/>
      <c r="LG86" s="5132"/>
      <c r="LH86" s="5132"/>
      <c r="LI86" s="5132"/>
      <c r="LJ86" s="5132"/>
    </row>
    <row r="87" spans="1:322" s="717" customFormat="1" ht="27.95" customHeight="1">
      <c r="A87" s="10540"/>
      <c r="B87" s="10521" t="str">
        <f>+IF(A87="","",VLOOKUP(MATCH(A87,tid,0),tao,'12(id)'!$J$20,FALSE))</f>
        <v/>
      </c>
      <c r="C87" s="10549"/>
      <c r="D87" s="1031" t="str">
        <f t="shared" si="48"/>
        <v/>
      </c>
      <c r="E87" s="651"/>
      <c r="F87" s="651" t="str">
        <f t="shared" si="49"/>
        <v/>
      </c>
      <c r="G87" s="5133"/>
      <c r="H87" s="5132"/>
      <c r="I87" s="5133"/>
      <c r="J87" s="719">
        <f t="shared" si="68"/>
        <v>53</v>
      </c>
      <c r="K87" s="10541"/>
      <c r="L87" s="9721"/>
      <c r="M87" s="9718"/>
      <c r="N87" s="9699"/>
      <c r="O87" s="9666"/>
      <c r="P87" s="9518"/>
      <c r="Q87" s="9715" t="str">
        <f>+IF(ISERROR(MATCH(O87,tid,0)),"",VLOOKUP(MATCH(O87,tid,0),tao,'12(id)'!$Q$20,FALSE))</f>
        <v/>
      </c>
      <c r="R87" s="10184"/>
      <c r="S87" s="9715"/>
      <c r="T87" s="10527" t="str">
        <f>+IF(ISERROR(MATCH(O87,tid,0)),"",IF(VLOOKUP(MATCH(O87,tid,0),tao,'12(id)'!$CT$20,FALSE)="","",VLOOKUP(MATCH(O87,tid,0),tao,'12(id)'!$CT$20,FALSE)))</f>
        <v/>
      </c>
      <c r="U87" s="10529" t="str">
        <f>+IF(ISERROR(MATCH(O87,tid,0)),"",IF(VLOOKUP(MATCH(O87,tid,0),tao,'12(id)'!$CU$20,FALSE)="","",VLOOKUP(MATCH(O87,tid,0),tao,'12(id)'!$CU$20,FALSE)))</f>
        <v/>
      </c>
      <c r="V87" s="9513" t="str">
        <f>+IF(O87="","",IF(VLOOKUP(MATCH(O87,tid,0),tao,'12(id)'!$T$20,FALSE)="","",VLOOKUP(MATCH(O87,tid,0),tao,'12(id)'!$T$20,FALSE)))</f>
        <v/>
      </c>
      <c r="W87" s="9513" t="str">
        <f>+IF(ISERROR(MATCH(O87,tid,0)),"",IF(VLOOKUP(MATCH(O87,tid,0),tao,'12(id)'!$CO$20,FALSE)="","",VLOOKUP(MATCH(O87,tid,0),tao,'12(id)'!$CO$20,FALSE)))</f>
        <v/>
      </c>
      <c r="X87" s="9513" t="str">
        <f>+IF(ISERROR(MATCH(O87,tid,0)),"",IF(VLOOKUP(MATCH(O87,tid,0),tao,'12(id)'!$CP$20,FALSE)="","",VLOOKUP(MATCH(O87,tid,0),tao,'12(id)'!$CP$20,FALSE)))</f>
        <v/>
      </c>
      <c r="Y87" s="8555" t="str">
        <f>+IF(ISERROR(MATCH(O87,tid,0)),"",IF(VLOOKUP(MATCH(O87,tid,0),tao,'12(id)'!$CQ$20,FALSE)="","",VLOOKUP(MATCH(O87,tid,0),tao,'12(id)'!$CQ$20,FALSE)))</f>
        <v/>
      </c>
      <c r="Z87" s="9666" t="str">
        <f>+IF(ISERROR(MATCH(O87,tid,0)),"",VLOOKUP(MATCH(O87,tid,0),tao,'12(id)'!$DB$20,FALSE)&amp;" "&amp;VLOOKUP(MATCH(O87,tid,0),tao,'12(id)'!$DC$20,FALSE))</f>
        <v/>
      </c>
      <c r="AA87" s="9666" t="str">
        <f>+IF(ISERROR(MATCH(O87,tid,0)),"",IF(VLOOKUP(MATCH(O87,tid,0),tao,'12(id)'!$DE$20,FALSE)="","",ROUND(VLOOKUP(MATCH(O87,tid,0),tao,'12(id)'!$DE$20,FALSE),0)&amp;" yrs"))</f>
        <v/>
      </c>
      <c r="AB87" s="9653" t="str">
        <f>+IF(ISERROR(MATCH(O87,tid,0)),"",VLOOKUP(MATCH(O87,tid,0),tao,'12(id)'!$DI$20,FALSE))</f>
        <v/>
      </c>
      <c r="AC87" s="9653" t="str">
        <f>+IF(ISERROR(MATCH(O87,tid,0)),"",IF(VLOOKUP(MATCH(O87,tid,0),tao,'12(id)'!$DQ$20,FALSE)="","",VLOOKUP(MATCH(O87,tid,0),tao,'12(id)'!$DQ$20,FALSE)))</f>
        <v/>
      </c>
      <c r="AD87" s="10443" t="str">
        <f>+IF(ISERROR(MATCH(O87,tid,0)),"",IF(VLOOKUP(MATCH(O87,tid,0),tao,'12(id)'!$EI$20,FALSE)="","",VLOOKUP(MATCH(O87,tid,0),tao,'12(id)'!$EI$20,FALSE)))</f>
        <v/>
      </c>
      <c r="AE87" s="10443" t="str">
        <f>+IF(ISERROR(MATCH(O87,tid,0)),"",IF(VLOOKUP(MATCH(O87,tid,0),tao,'12(id)'!$EJ$20,FALSE)="","",VLOOKUP(MATCH(O87,tid,0),tao,'12(id)'!$EJ$20,FALSE)))</f>
        <v/>
      </c>
      <c r="AF87" s="10443" t="str">
        <f>+IF(ISERROR(MATCH(O87,tid,0)),"",IF(VLOOKUP(MATCH(O87,tid,0),tao,'12(id)'!$EL$20,FALSE)="","",VLOOKUP(MATCH(O87,tid,0),tao,'12(id)'!$EL$20,FALSE)))</f>
        <v/>
      </c>
      <c r="AG87" s="10416" t="str">
        <f>+IF(ISERROR(MATCH(O87,tid,0)),"",IF(VLOOKUP(MATCH(O87,tid,0),tao,'12(id)'!$EM$20,FALSE)="","",VLOOKUP(MATCH(O87,tid,0),tao,'12(id)'!$EM$20,FALSE)))</f>
        <v/>
      </c>
      <c r="AH87" s="10439"/>
      <c r="AI87" s="10441"/>
      <c r="AJ87" s="10441"/>
      <c r="AK87" s="10441"/>
      <c r="AL87" s="10441"/>
      <c r="AM87" s="10432"/>
      <c r="AN87" s="10422"/>
      <c r="AO87" s="10458" t="str">
        <f>+IF(ISERROR(MATCH(O87,tid,0)),"",IF(VLOOKUP(MATCH(O87,tid,0),tao,'12(id)'!$GY$20,FALSE)="","",VLOOKUP(MATCH(O87,tid,0),tao,'12(id)'!$GY$20,FALSE)))</f>
        <v/>
      </c>
      <c r="AP87" s="10379" t="str">
        <f>+IF($BB87="","",IF(VLOOKUP(MATCH(O87,tid,0),tao,'12(id)'!$HE$20,FALSE)="","",VLOOKUP(MATCH(O87,tid,0),tao,'12(id)'!$HE$20,FALSE)))</f>
        <v/>
      </c>
      <c r="AQ87" s="10379" t="str">
        <f>+IF(ISERROR(VLOOKUP(MATCH(O87,tid,0),tao,'12(id)'!$HF$20,FALSE)),"",VLOOKUP(MATCH(O87,tid,0),tao,'12(id)'!$HF$20,FALSE))</f>
        <v/>
      </c>
      <c r="AR87" s="10382" t="str">
        <f>+IF(ISERROR(MATCH(O87,tid,0)),"",IF(VLOOKUP(MATCH(O87,tid,0),tao,'12(id)'!$HJ$20,FALSE)="","",VLOOKUP(MATCH(O87,tid,0),tao,'12(id)'!$HJ$20,FALSE)))</f>
        <v/>
      </c>
      <c r="AS87" s="10385" t="str">
        <f>+IF(ISERROR(MATCH(O87,tid,0)),"",IF(VLOOKUP(MATCH(O87,tid,0),tao,'12(id)'!$HK$20,FALSE)="","",VLOOKUP(MATCH(O87,tid,0),tao,'12(id)'!$HK$20,FALSE)))</f>
        <v/>
      </c>
      <c r="AT87" s="10388" t="str">
        <f>+IF(ISERROR(MATCH(O87,tid,0)),"",IF(VLOOKUP(MATCH(O87,tid,0),tao,'12(id)'!$HM$20,FALSE)="","",VLOOKUP(MATCH(O87,tid,0),tao,'12(id)'!$HM$20,FALSE)))</f>
        <v/>
      </c>
      <c r="AU87" s="10471"/>
      <c r="AV87" s="10473" t="str">
        <f>+IF(ISERROR(MATCH(O87,em_id,0)),"",IF(VLOOKUP(MATCH(O87,em_id,0),em,'5(em)'!$CX$18,FALSE)="","",VLOOKUP(MATCH(O87,em_id,0),em,'5(em)'!$CX$18,FALSE)))</f>
        <v/>
      </c>
      <c r="AW87" s="10489" t="str">
        <f>+IF(ISERROR(MATCH(O87,em_id,0)),"",IF(VLOOKUP(MATCH(O87,em_id,0),em,'5(em)'!$CZ$18,FALSE)="","",VLOOKUP(MATCH(O87,em_id,0),em,'5(em)'!$CZ$18,FALSE)))</f>
        <v/>
      </c>
      <c r="AX87" s="10478" t="str">
        <f t="shared" si="50"/>
        <v/>
      </c>
      <c r="AY87" s="10480"/>
      <c r="AZ87" s="10482" t="str">
        <f>+IF(ISERROR(MATCH(O87,em_id,0)),"",IF(VLOOKUP(MATCH(O87,em_id,0),em,'5(em)'!$DA$18,FALSE)="","",VLOOKUP(MATCH(O87,em_id,0),em,'5(em)'!$DA$18,FALSE)))</f>
        <v/>
      </c>
      <c r="BA87" s="650"/>
      <c r="BB87" s="651" t="str">
        <f t="shared" si="311"/>
        <v/>
      </c>
      <c r="BC87" s="659"/>
      <c r="BD87" s="651" t="str">
        <f>+IF(OR(D87="",VLOOKUP(MATCH(D87,op_id,0),op,'7(op)'!$T$18,FALSE)=""),"",VLOOKUP(MATCH(D87,op_id,0),op,'7(op)'!$T$18,FALSE))</f>
        <v/>
      </c>
      <c r="BE87" s="651"/>
      <c r="BF87" s="651"/>
      <c r="BG87" s="652"/>
      <c r="BH87" s="208"/>
      <c r="BI87" s="450"/>
      <c r="BJ87" s="209"/>
      <c r="BK87" s="209"/>
      <c r="BL87" s="209"/>
      <c r="BM87" s="209"/>
      <c r="BN87" s="209" t="str">
        <f t="shared" si="12"/>
        <v/>
      </c>
      <c r="BO87" s="209" t="str">
        <f t="shared" si="13"/>
        <v/>
      </c>
      <c r="BP87" s="209" t="str">
        <f t="shared" si="14"/>
        <v/>
      </c>
      <c r="BQ87" s="209" t="str">
        <f t="shared" si="15"/>
        <v/>
      </c>
      <c r="BR87" s="210"/>
      <c r="BS87" s="2383"/>
      <c r="BT87" s="452"/>
      <c r="BU87" s="3710" t="str">
        <f>+IF(BB87="","",IF(VLOOKUP(MATCH(BB87,ef_id,0),ef,'11(eff)'!$Z$23,FALSE)="","",VLOOKUP(MATCH(BB87,ef_id,0),ef,'11(eff)'!$Z$23,FALSE)))</f>
        <v/>
      </c>
      <c r="BV87" s="3754" t="str">
        <f>+IF(BB87="","",IF(VLOOKUP(MATCH(BB87,ef_id,0),ef,'11(eff)'!$AA$23,FALSE)="","",VLOOKUP(MATCH(BB87,ef_id,0),ef,'11(eff)'!$AA$23,FALSE)))</f>
        <v/>
      </c>
      <c r="BW87" s="2368"/>
      <c r="BX87" s="3793" t="str">
        <f t="shared" si="511"/>
        <v/>
      </c>
      <c r="BY87" s="3818" t="str">
        <f t="shared" si="512"/>
        <v/>
      </c>
      <c r="BZ87" s="3397"/>
      <c r="CA87" s="3420"/>
      <c r="CB87" s="3849" t="str">
        <f t="shared" si="382"/>
        <v/>
      </c>
      <c r="CC87" s="3869" t="str">
        <f t="shared" si="513"/>
        <v/>
      </c>
      <c r="CD87" s="3869" t="str">
        <f t="shared" si="514"/>
        <v/>
      </c>
      <c r="CE87" s="2373" t="str">
        <f>+IF(BB87="","",IF(VLOOKUP(MATCH(BB87,ef_id,0),ef,'11(eff)'!$AE$23,FALSE)="","",VLOOKUP(MATCH(BB87,ef_id,0),ef,'11(eff)'!$AE$23,FALSE)))</f>
        <v/>
      </c>
      <c r="CF87" s="451"/>
      <c r="CG87" s="452"/>
      <c r="CH87" s="2410"/>
      <c r="CI87" s="3912" t="str">
        <f t="shared" si="628"/>
        <v/>
      </c>
      <c r="CJ87" s="4081"/>
      <c r="CK87" s="3912" t="str">
        <f>+IF($BB87="","",IF(OR($AW87="",CI87=""),"",CI87/2000*$AW87))</f>
        <v/>
      </c>
      <c r="CL87" s="4005" t="str">
        <f>+IF($BB87="","",IF(CK87="","",$AZ87-CK87))</f>
        <v/>
      </c>
      <c r="CM87" s="4006" t="str">
        <f>+IF($BB87="","",IF(CL87="","",CL87/$AZ87))</f>
        <v/>
      </c>
      <c r="CN87" s="4006" t="str">
        <f>+IF($BB87="","",IF(CI87="","",(1-CI87/$AX87)))</f>
        <v/>
      </c>
      <c r="CO87" s="4007"/>
      <c r="CP87" s="4008"/>
      <c r="CQ87" s="451" t="str">
        <f t="shared" si="51"/>
        <v/>
      </c>
      <c r="CR87" s="453"/>
      <c r="CS87" s="2765"/>
      <c r="CT87" s="1591"/>
      <c r="CU87" s="1496"/>
      <c r="CV87" s="1872" t="str">
        <f t="shared" si="309"/>
        <v/>
      </c>
      <c r="CW87" s="1873"/>
      <c r="CX87" s="1873"/>
      <c r="CY87" s="1874"/>
      <c r="CZ87" s="2478"/>
      <c r="DA87" s="2488"/>
      <c r="DB87" s="2488"/>
      <c r="DC87" s="1872"/>
      <c r="DD87" s="1876"/>
      <c r="DE87" s="1877"/>
      <c r="DF87" s="1878"/>
      <c r="DG87" s="1878"/>
      <c r="DH87" s="1876"/>
      <c r="DI87" s="1693" t="str">
        <f>+IF(CT87="","",SUM(CU87:DC87))</f>
        <v/>
      </c>
      <c r="DJ87" s="1938"/>
      <c r="DK87" s="1591"/>
      <c r="DL87" s="1496"/>
      <c r="DM87" s="1872" t="str">
        <f t="shared" si="310"/>
        <v/>
      </c>
      <c r="DN87" s="1873"/>
      <c r="DO87" s="1873"/>
      <c r="DP87" s="1874"/>
      <c r="DQ87" s="2478"/>
      <c r="DR87" s="2488"/>
      <c r="DS87" s="2488"/>
      <c r="DT87" s="1872"/>
      <c r="DU87" s="1876"/>
      <c r="DV87" s="1877"/>
      <c r="DW87" s="1878"/>
      <c r="DX87" s="1878"/>
      <c r="DY87" s="1876"/>
      <c r="DZ87" s="1693" t="str">
        <f t="shared" si="664"/>
        <v/>
      </c>
      <c r="EA87" s="1938"/>
      <c r="EB87" s="1496" t="str">
        <f t="shared" si="377"/>
        <v/>
      </c>
      <c r="EC87" s="1963"/>
      <c r="ED87" s="1415" t="str">
        <f t="shared" si="20"/>
        <v/>
      </c>
      <c r="EE87" s="1875"/>
      <c r="EF87" s="1733"/>
      <c r="EG87" s="1874"/>
      <c r="EH87" s="1693" t="str">
        <f t="shared" si="353"/>
        <v/>
      </c>
      <c r="EI87" s="1877"/>
      <c r="EJ87" s="1878"/>
      <c r="EK87" s="2010"/>
      <c r="EL87" s="1459"/>
      <c r="EM87" s="1877"/>
      <c r="EN87" s="1878"/>
      <c r="EO87" s="2010"/>
      <c r="EP87" s="1693" t="str">
        <f t="shared" si="378"/>
        <v/>
      </c>
      <c r="EQ87" s="2561"/>
      <c r="ER87" s="2561"/>
      <c r="ES87" s="2561"/>
      <c r="ET87" s="1459"/>
      <c r="EU87" s="1427"/>
      <c r="EV87" s="1392"/>
      <c r="EW87" s="2585"/>
      <c r="EX87" s="2585"/>
      <c r="EY87" s="2692"/>
      <c r="EZ87" s="2721"/>
      <c r="FA87" s="1392"/>
      <c r="FB87" s="1500" t="str">
        <f t="shared" si="515"/>
        <v/>
      </c>
      <c r="FC87" s="1496" t="str">
        <f t="shared" si="516"/>
        <v/>
      </c>
      <c r="FD87" s="2050" t="str">
        <f t="shared" si="517"/>
        <v/>
      </c>
      <c r="FE87" s="2034" t="str">
        <f t="shared" si="509"/>
        <v/>
      </c>
      <c r="FF87" s="2050" t="str">
        <f t="shared" si="518"/>
        <v/>
      </c>
      <c r="FG87" s="2034" t="str">
        <f t="shared" si="519"/>
        <v/>
      </c>
      <c r="FH87" s="2050" t="str">
        <f t="shared" si="520"/>
        <v/>
      </c>
      <c r="FI87" s="2034" t="str">
        <f t="shared" si="510"/>
        <v/>
      </c>
      <c r="FJ87" s="2796" t="str">
        <f t="shared" si="521"/>
        <v/>
      </c>
      <c r="FK87" s="2812" t="str">
        <f t="shared" si="522"/>
        <v/>
      </c>
      <c r="FL87" s="2784" t="str">
        <f t="shared" si="523"/>
        <v/>
      </c>
      <c r="FM87" s="2034" t="str">
        <f t="shared" si="524"/>
        <v/>
      </c>
      <c r="FN87" s="2784" t="str">
        <f t="shared" si="525"/>
        <v/>
      </c>
      <c r="FO87" s="2774" t="str">
        <f t="shared" si="526"/>
        <v/>
      </c>
      <c r="FP87" s="2784" t="str">
        <f t="shared" si="527"/>
        <v/>
      </c>
      <c r="FQ87" s="2774" t="str">
        <f t="shared" si="528"/>
        <v/>
      </c>
      <c r="FR87" s="2848" t="str">
        <f t="shared" si="529"/>
        <v/>
      </c>
      <c r="FS87" s="2830" t="str">
        <f t="shared" si="530"/>
        <v/>
      </c>
      <c r="FT87" s="1513" t="str">
        <f t="shared" si="531"/>
        <v/>
      </c>
      <c r="FU87" s="2895" t="str">
        <f t="shared" si="532"/>
        <v/>
      </c>
      <c r="FV87" s="1716" t="str">
        <f t="shared" si="533"/>
        <v/>
      </c>
      <c r="FW87" s="2112" t="str">
        <f t="shared" si="534"/>
        <v/>
      </c>
      <c r="FX87" s="1740" t="str">
        <f t="shared" si="535"/>
        <v/>
      </c>
      <c r="FY87" s="2113" t="str">
        <f t="shared" si="536"/>
        <v/>
      </c>
      <c r="FZ87" s="1740" t="str">
        <f t="shared" si="537"/>
        <v/>
      </c>
      <c r="GA87" s="1740" t="str">
        <f t="shared" si="538"/>
        <v/>
      </c>
      <c r="GB87" s="2113" t="str">
        <f t="shared" si="539"/>
        <v/>
      </c>
      <c r="GC87" s="1740" t="str">
        <f t="shared" si="540"/>
        <v/>
      </c>
      <c r="GD87" s="1740" t="str">
        <f t="shared" si="541"/>
        <v/>
      </c>
      <c r="GE87" s="1616" t="str">
        <f t="shared" si="542"/>
        <v/>
      </c>
      <c r="GF87" s="2147" t="str">
        <f t="shared" si="543"/>
        <v/>
      </c>
      <c r="GG87" s="2172" t="str">
        <f t="shared" si="544"/>
        <v/>
      </c>
      <c r="GH87" s="3180" t="str">
        <f t="shared" si="545"/>
        <v/>
      </c>
      <c r="GI87" s="3200" t="s">
        <v>939</v>
      </c>
      <c r="GJ87" s="3205"/>
      <c r="GK87" s="3454" t="str">
        <f t="shared" si="423"/>
        <v/>
      </c>
      <c r="GL87" s="3251" t="str">
        <f t="shared" si="546"/>
        <v/>
      </c>
      <c r="GM87" s="457"/>
      <c r="GN87" s="459"/>
      <c r="GO87" s="1877"/>
      <c r="GP87" s="2010"/>
      <c r="GQ87" s="1459" t="str">
        <f t="shared" si="582"/>
        <v/>
      </c>
      <c r="GR87" s="2325"/>
      <c r="GS87" s="2325"/>
      <c r="GT87" s="2340"/>
      <c r="GU87" s="2336" t="str">
        <f t="shared" si="547"/>
        <v/>
      </c>
      <c r="GV87" s="458" t="str">
        <f t="shared" si="548"/>
        <v/>
      </c>
      <c r="GW87" s="2260" t="str">
        <f t="shared" si="549"/>
        <v/>
      </c>
      <c r="GX87" s="460" t="str">
        <f t="shared" si="550"/>
        <v/>
      </c>
      <c r="GY87" s="460" t="str">
        <f t="shared" si="551"/>
        <v/>
      </c>
      <c r="GZ87" s="460" t="str">
        <f t="shared" si="552"/>
        <v/>
      </c>
      <c r="HA87" s="1693" t="str">
        <f t="shared" si="553"/>
        <v/>
      </c>
      <c r="HB87" s="2234" t="str">
        <f t="shared" si="432"/>
        <v/>
      </c>
      <c r="HC87" s="2347" t="str">
        <f t="shared" si="554"/>
        <v/>
      </c>
      <c r="HD87" s="2350" t="str">
        <f t="shared" si="375"/>
        <v/>
      </c>
      <c r="HE87" s="457"/>
      <c r="HF87" s="3256" t="str">
        <f t="shared" si="555"/>
        <v/>
      </c>
      <c r="HG87" s="459"/>
      <c r="HH87" s="2994"/>
      <c r="HI87" s="3021"/>
      <c r="HJ87" s="1733"/>
      <c r="HK87" s="1733"/>
      <c r="HL87" s="1733"/>
      <c r="HM87" s="3025"/>
      <c r="HN87" s="3026" t="str">
        <f t="shared" si="347"/>
        <v/>
      </c>
      <c r="HO87" s="2965"/>
      <c r="HP87" s="2488"/>
      <c r="HQ87" s="3011" t="str">
        <f t="shared" si="556"/>
        <v/>
      </c>
      <c r="HR87" s="1874" t="str">
        <f t="shared" si="557"/>
        <v/>
      </c>
      <c r="HS87" s="1874" t="str">
        <f t="shared" si="558"/>
        <v/>
      </c>
      <c r="HT87" s="2952"/>
      <c r="HU87" s="2954"/>
      <c r="HV87" s="2952" t="str">
        <f t="shared" si="559"/>
        <v/>
      </c>
      <c r="HW87" s="2954" t="str">
        <f t="shared" si="560"/>
        <v/>
      </c>
      <c r="HX87" s="3034" t="str">
        <f t="shared" si="199"/>
        <v/>
      </c>
      <c r="HY87" s="2953" t="str">
        <f t="shared" si="561"/>
        <v/>
      </c>
      <c r="HZ87" s="2954" t="str">
        <f t="shared" si="562"/>
        <v/>
      </c>
      <c r="IA87" s="1496" t="str">
        <f t="shared" si="563"/>
        <v/>
      </c>
      <c r="IB87" s="3038" t="str">
        <f t="shared" si="564"/>
        <v/>
      </c>
      <c r="IC87" s="3053" t="str">
        <f t="shared" si="565"/>
        <v/>
      </c>
      <c r="ID87" s="1300"/>
      <c r="IE87" s="4106"/>
      <c r="IF87" s="4114" t="str">
        <f t="shared" si="583"/>
        <v/>
      </c>
      <c r="IG87" s="6779"/>
      <c r="IH87" s="4090" t="str">
        <f t="shared" si="584"/>
        <v/>
      </c>
      <c r="II87" s="6797"/>
      <c r="IJ87" s="4106" t="str">
        <f t="shared" si="585"/>
        <v/>
      </c>
      <c r="IK87" s="4143">
        <v>0</v>
      </c>
      <c r="IL87" s="4196" t="str">
        <f>+IF(IF87="","",IK87*#REF!*IF87)</f>
        <v/>
      </c>
      <c r="IM87" s="4197" t="str">
        <f>IF(HM87="","",IK87*#REF!*IA87)</f>
        <v/>
      </c>
      <c r="IN87" s="4221" t="str">
        <f t="shared" si="588"/>
        <v/>
      </c>
      <c r="IO87" s="4221" t="str">
        <f t="shared" si="589"/>
        <v/>
      </c>
      <c r="IP87" s="7234"/>
      <c r="IQ87" s="7242"/>
      <c r="IR87" s="7234"/>
      <c r="IS87" s="7242"/>
      <c r="IT87" s="4221" t="str">
        <f t="shared" si="594"/>
        <v/>
      </c>
      <c r="IU87" s="6852" t="str">
        <f t="shared" si="595"/>
        <v/>
      </c>
      <c r="IV87" s="7268"/>
      <c r="IW87" s="7254" t="str">
        <f>IF(IA87="","",#REF!*IA87)</f>
        <v/>
      </c>
      <c r="IX87" s="4188" t="str">
        <f t="shared" si="597"/>
        <v/>
      </c>
      <c r="IY87" s="4256" t="str">
        <f t="shared" si="598"/>
        <v/>
      </c>
      <c r="IZ87" s="4301" t="str">
        <f t="shared" si="599"/>
        <v/>
      </c>
      <c r="JA87" s="4302" t="str">
        <f t="shared" si="629"/>
        <v/>
      </c>
      <c r="JB87" s="4157"/>
      <c r="JC87" s="4339"/>
      <c r="JD87" s="3256" t="str">
        <f t="shared" si="570"/>
        <v/>
      </c>
      <c r="JE87" s="4364" t="str">
        <f t="shared" si="571"/>
        <v/>
      </c>
      <c r="JF87" s="7041" t="str">
        <f t="shared" si="636"/>
        <v/>
      </c>
      <c r="JG87" s="7057"/>
      <c r="JH87" s="6972" t="str">
        <f t="shared" si="601"/>
        <v/>
      </c>
      <c r="JI87" s="6972"/>
      <c r="JJ87" s="6972"/>
      <c r="JK87" s="6972"/>
      <c r="JL87" s="7009"/>
      <c r="JM87" s="7051"/>
      <c r="JN87" s="1733" t="str">
        <f t="shared" si="637"/>
        <v/>
      </c>
      <c r="JO87" s="1733"/>
      <c r="JP87" s="7082"/>
      <c r="JQ87" s="7082"/>
      <c r="JR87" s="7057"/>
      <c r="JS87" s="7063"/>
      <c r="JT87" s="7169" t="str">
        <f t="shared" si="476"/>
        <v/>
      </c>
      <c r="JU87" s="7170"/>
      <c r="JV87" s="8379"/>
      <c r="JW87" s="8406"/>
      <c r="JX87" s="8435"/>
      <c r="JY87" s="8470" t="str">
        <f t="shared" si="642"/>
        <v/>
      </c>
      <c r="JZ87" s="7171"/>
      <c r="KA87" s="7169"/>
      <c r="KB87" s="7170"/>
      <c r="KC87" s="7171"/>
      <c r="KD87" s="7169"/>
      <c r="KE87" s="8343"/>
      <c r="KF87" s="8343"/>
      <c r="KG87" s="7170" t="str">
        <f>+IF(D87="","",IF(JT87=1,$KG$2*KC87/1000*60*JU87*$KG$4*$KG$6,IF(OR(JZ87="",JY87=""),"",JZ87*#REF!*JY87*$KG$4)))</f>
        <v/>
      </c>
      <c r="KH87" s="7170"/>
      <c r="KI87" s="7170"/>
      <c r="KJ87" s="7170"/>
      <c r="KK87" s="7170"/>
      <c r="KL87" s="7170"/>
      <c r="KM87" s="7170"/>
      <c r="KN87" s="7170"/>
      <c r="KO87" s="7170"/>
      <c r="KP87" s="7171"/>
      <c r="KQ87" s="7213" t="str">
        <f>+IF(D87="","",VLOOKUP(MATCH(BE87,ac_id,0),ad,ac!$F$8,FALSE)*JV87)</f>
        <v/>
      </c>
      <c r="KR87" s="7082" t="str">
        <f>+IF(D87="","",IF(JT87=1,VLOOKUP(MATCH(BE87,ac_id,0),ad,ac!$H$8,FALSE)*JU87, (VLOOKUP(MATCH(BE87,ac_id,0),ad,ac!$H$8,FALSE)*JU87^(1+VLOOKUP(MATCH(BE87,ac_id,0),ad,ac!$I$8,FALSE)))))</f>
        <v/>
      </c>
      <c r="KS87" s="7063"/>
      <c r="KT87" s="7213" t="str">
        <f>+IF(D87="","",IF(KR87="","",$KT$26*KR87))</f>
        <v/>
      </c>
      <c r="KU87" s="7057" t="str">
        <f t="shared" ref="KU87:KU113" si="666">+IF(D87="","",IF(JS87="","",$KU$26*JS87))</f>
        <v/>
      </c>
      <c r="KV87" s="7393" t="str">
        <f t="shared" ref="KV87:KV113" si="667">+IF(D87="","",IV87)</f>
        <v/>
      </c>
      <c r="KW87" s="7394" t="str">
        <f>IF(JS87="","",IF(KV87=2,#REF!,$KW$5)*JS87)</f>
        <v/>
      </c>
      <c r="KX87" s="7063" t="str">
        <f>+IF(D87="","",IF(KW87="","",IF(KT87="",0,KT87)+IF(KU87="",0,KU87)+KW87))</f>
        <v/>
      </c>
      <c r="KY87" s="7357" t="str">
        <f>+IF(D87="","",IF(KW87="","",KQ87+KR87+KX87))</f>
        <v/>
      </c>
      <c r="KZ87" s="7358"/>
      <c r="LA87" s="7359" t="str">
        <f t="shared" ref="LA87:LA113" si="668">+IF(OR(KY87="",$CB87=""),"",KY87/$CB87)</f>
        <v/>
      </c>
      <c r="LB87" s="7360" t="str">
        <f t="shared" ref="LB87:LB113" si="669">+IF(OR(KY87="",$CL87=""),"",KY87/$CL87)</f>
        <v/>
      </c>
      <c r="LC87" s="5133"/>
      <c r="LD87" s="5132"/>
      <c r="LE87" s="5132"/>
      <c r="LF87" s="5132"/>
      <c r="LG87" s="5132"/>
      <c r="LH87" s="5132"/>
      <c r="LI87" s="5132"/>
      <c r="LJ87" s="5132"/>
    </row>
    <row r="88" spans="1:322" s="13" customFormat="1" ht="27.95" customHeight="1">
      <c r="A88" s="10538" t="str">
        <f>+O88</f>
        <v>8306-03</v>
      </c>
      <c r="B88" s="10521" t="str">
        <f>+IF(A88="","",VLOOKUP(MATCH(A88,tid,0),tao,'12(id)'!$J$20,FALSE))</f>
        <v>NRG</v>
      </c>
      <c r="C88" s="10549" t="str">
        <f t="shared" si="47"/>
        <v>MD4 </v>
      </c>
      <c r="D88" s="32" t="str">
        <f t="shared" si="48"/>
        <v>8306-03-01</v>
      </c>
      <c r="E88" s="1036" t="str">
        <f>+IF(BD88="","",BD88)</f>
        <v>Separated Overfired Air / High Energy Reagent Technology (SOFA/HERT)</v>
      </c>
      <c r="F88" s="1036" t="str">
        <f t="shared" si="49"/>
        <v>New Eqp</v>
      </c>
      <c r="G88" s="5133"/>
      <c r="H88" s="5132"/>
      <c r="I88" s="5133"/>
      <c r="J88" s="719">
        <f t="shared" si="68"/>
        <v>54</v>
      </c>
      <c r="K88" s="10541">
        <f>1+K85</f>
        <v>3</v>
      </c>
      <c r="L88" s="9721"/>
      <c r="M88" s="9718"/>
      <c r="N88" s="9699"/>
      <c r="O88" s="9706" t="s">
        <v>295</v>
      </c>
      <c r="P88" s="9518"/>
      <c r="Q88" s="9713" t="str">
        <f>+IF(ISERROR(MATCH(O88,tid,0)),"",VLOOKUP(MATCH(O88,tid,0),tao,'12(id)'!$Q$20,FALSE))</f>
        <v>MD4 </v>
      </c>
      <c r="R88" s="10523">
        <v>1</v>
      </c>
      <c r="S88" s="9713"/>
      <c r="T88" s="10525">
        <f>+IF(ISERROR(MATCH(O88,tid,0)),"",IF(VLOOKUP(MATCH(O88,tid,0),tao,'12(id)'!$CT$20,FALSE)="","",VLOOKUP(MATCH(O88,tid,0),tao,'12(id)'!$CT$20,FALSE)))</f>
        <v>400</v>
      </c>
      <c r="U88" s="10529" t="str">
        <f>+IF(ISERROR(MATCH(O88,tid,0)),"",IF(VLOOKUP(MATCH(O88,tid,0),tao,'12(id)'!$CU$20,FALSE)="","",VLOOKUP(MATCH(O88,tid,0),tao,'12(id)'!$CU$20,FALSE)))</f>
        <v/>
      </c>
      <c r="V88" s="10446" t="str">
        <f>+IF(O88="","",IF(VLOOKUP(MATCH(O88,tid,0),tao,'12(id)'!$T$20,FALSE)="","",VLOOKUP(MATCH(O88,tid,0),tao,'12(id)'!$T$20,FALSE)))</f>
        <v>Utility Boiler</v>
      </c>
      <c r="W88" s="10446" t="str">
        <f>+IF(ISERROR(MATCH(O88,tid,0)),"",IF(VLOOKUP(MATCH(O88,tid,0),tao,'12(id)'!$CO$20,FALSE)="","",VLOOKUP(MATCH(O88,tid,0),tao,'12(id)'!$CO$20,FALSE)))</f>
        <v>Combustion Engineering</v>
      </c>
      <c r="X88" s="10446" t="str">
        <f>+IF(ISERROR(MATCH(O88,tid,0)),"",IF(VLOOKUP(MATCH(O88,tid,0),tao,'12(id)'!$CP$20,FALSE)="","",VLOOKUP(MATCH(O88,tid,0),tao,'12(id)'!$CP$20,FALSE)))</f>
        <v>Tangential fired</v>
      </c>
      <c r="Y88" s="2421" t="str">
        <f>+IF(ISERROR(MATCH(O88,tid,0)),"",IF(VLOOKUP(MATCH(O88,tid,0),tao,'12(id)'!$CQ$20,FALSE)="","",VLOOKUP(MATCH(O88,tid,0),tao,'12(id)'!$CQ$20,FALSE)))</f>
        <v/>
      </c>
      <c r="Z88" s="10445" t="str">
        <f>+IF(ISERROR(MATCH(O88,tid,0)),"",VLOOKUP(MATCH(O88,tid,0),tao,'12(id)'!$DB$20,FALSE)&amp;" "&amp;VLOOKUP(MATCH(O88,tid,0),tao,'12(id)'!$DC$20,FALSE))</f>
        <v xml:space="preserve"> </v>
      </c>
      <c r="AA88" s="10445" t="str">
        <f>+IF(ISERROR(MATCH(O88,tid,0)),"",IF(VLOOKUP(MATCH(O88,tid,0),tao,'12(id)'!$DE$20,FALSE)="","",ROUND(VLOOKUP(MATCH(O88,tid,0),tao,'12(id)'!$DE$20,FALSE),0)&amp;" yrs"))</f>
        <v/>
      </c>
      <c r="AB88" s="9732" t="str">
        <f>+IF(ISERROR(MATCH(O88,tid,0)),"",VLOOKUP(MATCH(O88,tid,0),tao,'12(id)'!$DI$20,FALSE))</f>
        <v>No. 6 oil</v>
      </c>
      <c r="AC88" s="9732" t="str">
        <f>+IF(ISERROR(MATCH(O88,tid,0)),"",IF(VLOOKUP(MATCH(O88,tid,0),tao,'12(id)'!$DQ$20,FALSE)="","",VLOOKUP(MATCH(O88,tid,0),tao,'12(id)'!$DQ$20,FALSE)))</f>
        <v>No. 2 oil</v>
      </c>
      <c r="AD88" s="10411" t="str">
        <f>+IF(ISERROR(MATCH(O88,tid,0)),"",IF(VLOOKUP(MATCH(O88,tid,0),tao,'12(id)'!$EI$20,FALSE)="","",VLOOKUP(MATCH(O88,tid,0),tao,'12(id)'!$EI$20,FALSE)))</f>
        <v/>
      </c>
      <c r="AE88" s="10411" t="str">
        <f>+IF(ISERROR(MATCH(O88,tid,0)),"",IF(VLOOKUP(MATCH(O88,tid,0),tao,'12(id)'!$EJ$20,FALSE)="","",VLOOKUP(MATCH(O88,tid,0),tao,'12(id)'!$EJ$20,FALSE)))</f>
        <v/>
      </c>
      <c r="AF88" s="10411">
        <f>+IF(ISERROR(MATCH(O88,tid,0)),"",IF(VLOOKUP(MATCH(O88,tid,0),tao,'12(id)'!$EL$20,FALSE)="","",VLOOKUP(MATCH(O88,tid,0),tao,'12(id)'!$EL$20,FALSE)))</f>
        <v>0.28000000000000003</v>
      </c>
      <c r="AG88" s="10408" t="str">
        <f>+IF(ISERROR(MATCH(O88,tid,0)),"",IF(VLOOKUP(MATCH(O88,tid,0),tao,'12(id)'!$EM$20,FALSE)="","",VLOOKUP(MATCH(O88,tid,0),tao,'12(id)'!$EM$20,FALSE)))</f>
        <v/>
      </c>
      <c r="AH88" s="10436" t="str">
        <f>+AH85</f>
        <v>48 hrs/year operation</v>
      </c>
      <c r="AI88" s="10441"/>
      <c r="AJ88" s="10441"/>
      <c r="AK88" s="10441"/>
      <c r="AL88" s="10441"/>
      <c r="AM88" s="10432"/>
      <c r="AN88" s="10423" t="str">
        <f>+AN85</f>
        <v>2010-2009 average</v>
      </c>
      <c r="AO88" s="10456">
        <f>+IF(ISERROR(MATCH(O88,tid,0)),"",IF(VLOOKUP(MATCH(O88,tid,0),tao,'12(id)'!$GY$20,FALSE)="","",VLOOKUP(MATCH(O88,tid,0),tao,'12(id)'!$GY$20,FALSE)))</f>
        <v>243.6</v>
      </c>
      <c r="AP88" s="10377">
        <f>+IF($BB88="","",IF(VLOOKUP(MATCH(O88,tid,0),tao,'12(id)'!$HE$20,FALSE)="","",VLOOKUP(MATCH(O88,tid,0),tao,'12(id)'!$HE$20,FALSE)))</f>
        <v>557770</v>
      </c>
      <c r="AQ88" s="10377">
        <f>+IF(ISERROR(VLOOKUP(MATCH(O88,tid,0),tao,'12(id)'!$HF$20,FALSE)),"",VLOOKUP(MATCH(O88,tid,0),tao,'12(id)'!$HF$20,FALSE))</f>
        <v>557770</v>
      </c>
      <c r="AR88" s="10380">
        <f>+IF(ISERROR(MATCH(O88,tid,0)),"",IF(VLOOKUP(MATCH(O88,tid,0),tao,'12(id)'!$HJ$20,FALSE)="","",VLOOKUP(MATCH(O88,tid,0),tao,'12(id)'!$HJ$20,FALSE)))</f>
        <v>0.28000000000000003</v>
      </c>
      <c r="AS88" s="10383" t="str">
        <f>+IF(ISERROR(MATCH(O88,tid,0)),"",IF(VLOOKUP(MATCH(O88,tid,0),tao,'12(id)'!$HK$20,FALSE)="","",VLOOKUP(MATCH(O88,tid,0),tao,'12(id)'!$HK$20,FALSE)))</f>
        <v/>
      </c>
      <c r="AT88" s="10386">
        <f>+IF(ISERROR(MATCH(O88,tid,0)),"",IF(VLOOKUP(MATCH(O88,tid,0),tao,'12(id)'!$HM$20,FALSE)="","",VLOOKUP(MATCH(O88,tid,0),tao,'12(id)'!$HM$20,FALSE)))</f>
        <v>78.09</v>
      </c>
      <c r="AU88" s="10470" t="str">
        <f>+AU85</f>
        <v>CAIR-OS (max last 3 yrs)</v>
      </c>
      <c r="AV88" s="10473">
        <f>+IF(ISERROR(MATCH(O88,em_id,0)),"",IF(VLOOKUP(MATCH(O88,em_id,0),em,'5(em)'!$CX$18,FALSE)="","",VLOOKUP(MATCH(O88,em_id,0),em,'5(em)'!$CX$18,FALSE)))</f>
        <v>461</v>
      </c>
      <c r="AW88" s="10489">
        <f>+IF(ISERROR(MATCH(O88,em_id,0)),"",IF(VLOOKUP(MATCH(O88,em_id,0),em,'5(em)'!$CZ$18,FALSE)="","",VLOOKUP(MATCH(O88,em_id,0),em,'5(em)'!$CZ$18,FALSE)))</f>
        <v>880454</v>
      </c>
      <c r="AX88" s="10478">
        <f t="shared" si="50"/>
        <v>0.18</v>
      </c>
      <c r="AY88" s="10480"/>
      <c r="AZ88" s="10482">
        <f>+IF(ISERROR(MATCH(O88,em_id,0)),"",IF(VLOOKUP(MATCH(O88,em_id,0),em,'5(em)'!$DA$18,FALSE)="","",VLOOKUP(MATCH(O88,em_id,0),em,'5(em)'!$DA$18,FALSE)))</f>
        <v>80.5</v>
      </c>
      <c r="BA88" s="1029"/>
      <c r="BB88" s="4455" t="str">
        <f t="shared" si="311"/>
        <v>8306-03-01</v>
      </c>
      <c r="BC88" s="32">
        <v>1</v>
      </c>
      <c r="BD88" s="1036" t="str">
        <f>+IF(OR(D88="",VLOOKUP(MATCH(D88,op_id,0),op,'7(op)'!$T$18,FALSE)=""),"",VLOOKUP(MATCH(D88,op_id,0),op,'7(op)'!$T$18,FALSE))</f>
        <v>Separated Overfired Air / High Energy Reagent Technology (SOFA/HERT)</v>
      </c>
      <c r="BE88" s="1036" t="s">
        <v>1629</v>
      </c>
      <c r="BF88" s="1036" t="s">
        <v>1861</v>
      </c>
      <c r="BG88" s="1037"/>
      <c r="BH88" s="8635"/>
      <c r="BI88" s="100"/>
      <c r="BJ88" s="100"/>
      <c r="BK88" s="100"/>
      <c r="BL88" s="100"/>
      <c r="BM88" s="100"/>
      <c r="BN88" s="100" t="str">
        <f t="shared" si="12"/>
        <v/>
      </c>
      <c r="BO88" s="100" t="str">
        <f t="shared" si="13"/>
        <v/>
      </c>
      <c r="BP88" s="100" t="str">
        <f t="shared" si="14"/>
        <v/>
      </c>
      <c r="BQ88" s="100" t="str">
        <f t="shared" si="15"/>
        <v/>
      </c>
      <c r="BR88" s="1027"/>
      <c r="BS88" s="1754" t="s">
        <v>559</v>
      </c>
      <c r="BT88" s="1047"/>
      <c r="BU88" s="3714">
        <f>+IF(BB88="","",IF(VLOOKUP(MATCH(BB88,ef_id,0),ef,'11(eff)'!$Z$23,FALSE)="","",VLOOKUP(MATCH(BB88,ef_id,0),ef,'11(eff)'!$Z$23,FALSE)))</f>
        <v>0.15</v>
      </c>
      <c r="BV88" s="3759" t="str">
        <f>+IF(BB88="","",IF(VLOOKUP(MATCH(BB88,ef_id,0),ef,'11(eff)'!$AA$23,FALSE)="","",VLOOKUP(MATCH(BB88,ef_id,0),ef,'11(eff)'!$AA$23,FALSE)))</f>
        <v/>
      </c>
      <c r="BW88" s="3781">
        <v>41.83</v>
      </c>
      <c r="BX88" s="3802">
        <f t="shared" si="511"/>
        <v>41.83</v>
      </c>
      <c r="BY88" s="3821">
        <f t="shared" si="512"/>
        <v>41.832749999999997</v>
      </c>
      <c r="BZ88" s="3400"/>
      <c r="CA88" s="3425"/>
      <c r="CB88" s="3853">
        <f t="shared" si="382"/>
        <v>36.260000000000005</v>
      </c>
      <c r="CC88" s="3874">
        <f t="shared" si="513"/>
        <v>0.46433602253809714</v>
      </c>
      <c r="CD88" s="3873">
        <f t="shared" si="514"/>
        <v>0.4642857142857143</v>
      </c>
      <c r="CE88" s="2379">
        <f>+IF(BB88="","",IF(VLOOKUP(MATCH(BB88,ef_id,0),ef,'11(eff)'!$AE$23,FALSE)="","",VLOOKUP(MATCH(BB88,ef_id,0),ef,'11(eff)'!$AE$23,FALSE)))</f>
        <v>0.46428571428571436</v>
      </c>
      <c r="CF88" s="8635"/>
      <c r="CG88" s="100"/>
      <c r="CH88" s="2417"/>
      <c r="CI88" s="4009">
        <f>IF(BB88="","",2000*(1-CO88)*IF(AZ88="",IF(AZ87="",(AZ86/AW86),(AZ87/AW87)),AZ88/AW88))</f>
        <v>9.7960824756318871E-2</v>
      </c>
      <c r="CJ88" s="4078" t="str">
        <f>+IF(AY88="","",AY88*(1-CO88))</f>
        <v/>
      </c>
      <c r="CK88" s="4009">
        <f>+IF($BB88="","",IF(CI88="",IF($AZ88="",IF($AZ87="",$AZ86,$AZ87),$AZ88)-CL88,IF(OR(IF($AW88="",IF($AW87="",$AW86,$AW87),$AW88)="",CI88=""),"",CI88/2000*IF($AW88="",IF($AW87="",$AW86,$AW87),$AW88))))</f>
        <v>43.124999999999986</v>
      </c>
      <c r="CL88" s="4010">
        <f>+IF($BB88="","",IF(CI88="",CO88*IF($AZ88="",IF($AZ87="",$AZ86,$AZ87),$AZ88),IF(CK88="","",IF($AZ88="",IF($AZ87="",$AZ86,$AZ87),$AZ88)-CK88)))</f>
        <v>37.375000000000014</v>
      </c>
      <c r="CM88" s="4011">
        <f>+IF($BB88="","",IF(CL88="","",CL88/IF($AZ88="",IF($AZ87="",$AZ86,$AZ87),$AZ88)))</f>
        <v>0.46428571428571447</v>
      </c>
      <c r="CN88" s="4011">
        <f>+IF($BB88="","",IF(CI88="","",(1-CI88/IF($AX88="",IF($AX87="",$AX86,$AX87),$AX88))))</f>
        <v>0.4557731957982285</v>
      </c>
      <c r="CO88" s="4012">
        <f>+IF(BB88="","",IF(VLOOKUP(MATCH(BB88,ef_id,0),ef,'11(eff)'!$AE$23,FALSE)="","",VLOOKUP(MATCH(BB88,ef_id,0),ef,'11(eff)'!$AE$23,FALSE)))</f>
        <v>0.46428571428571436</v>
      </c>
      <c r="CP88" s="3985" t="str">
        <f>+IF(OR(BB88="",VLOOKUP(MATCH(BB88,ef_id,0),ef,'11(eff)'!$AG$23,FALSE)=""),"",IF(VLOOKUP(MATCH(BB88,ef_id,0),ef,'11(eff)'!$AG$23,FALSE)/100=VLOOKUP(MATCH(BB88,ef_id,0),ef,'11(eff)'!$AE$23,FALSE),VLOOKUP(MATCH(BB88,ef_id,0),ef,'11(eff)'!$AE$23,FALSE),""))</f>
        <v/>
      </c>
      <c r="CQ88" s="1371" t="str">
        <f t="shared" si="51"/>
        <v>Separated Overfired Air / High Energy Reagent Technology (SOFA/HERT)</v>
      </c>
      <c r="CR88" s="8580"/>
      <c r="CS88" s="2768">
        <v>6213828</v>
      </c>
      <c r="CT88" s="1594">
        <v>1480950</v>
      </c>
      <c r="CU88" s="1520">
        <v>1041250</v>
      </c>
      <c r="CV88" s="1896">
        <f t="shared" si="309"/>
        <v>250000</v>
      </c>
      <c r="CW88" s="1897">
        <v>30000</v>
      </c>
      <c r="CX88" s="1897">
        <v>50000</v>
      </c>
      <c r="CY88" s="1898"/>
      <c r="CZ88" s="2481"/>
      <c r="DA88" s="2490"/>
      <c r="DB88" s="2490"/>
      <c r="DC88" s="1896"/>
      <c r="DD88" s="1899"/>
      <c r="DE88" s="1900"/>
      <c r="DF88" s="1901"/>
      <c r="DG88" s="1901">
        <v>0</v>
      </c>
      <c r="DH88" s="1899"/>
      <c r="DI88" s="1523">
        <f>+IF(CT88="","",SUM(CU88:DC88)+SUM(DE88:DF88))</f>
        <v>1371250</v>
      </c>
      <c r="DJ88" s="1942">
        <v>109700</v>
      </c>
      <c r="DK88" s="1594">
        <v>1597960</v>
      </c>
      <c r="DL88" s="1520">
        <v>500000</v>
      </c>
      <c r="DM88" s="1896">
        <f t="shared" si="310"/>
        <v>217000</v>
      </c>
      <c r="DN88" s="1897">
        <v>20000</v>
      </c>
      <c r="DO88" s="1897"/>
      <c r="DP88" s="1898">
        <f>200000+400000</f>
        <v>600000</v>
      </c>
      <c r="DQ88" s="2481"/>
      <c r="DR88" s="2490"/>
      <c r="DS88" s="2490">
        <v>50000</v>
      </c>
      <c r="DT88" s="1896"/>
      <c r="DU88" s="1899"/>
      <c r="DV88" s="1900"/>
      <c r="DW88" s="1901"/>
      <c r="DX88" s="1901">
        <v>100000</v>
      </c>
      <c r="DY88" s="1899"/>
      <c r="DZ88" s="1523">
        <f t="shared" si="664"/>
        <v>1387000</v>
      </c>
      <c r="EA88" s="1942">
        <v>110960</v>
      </c>
      <c r="EB88" s="1520">
        <f t="shared" si="377"/>
        <v>3078910</v>
      </c>
      <c r="EC88" s="627">
        <v>1</v>
      </c>
      <c r="ED88" s="1521">
        <f t="shared" si="20"/>
        <v>3078910</v>
      </c>
      <c r="EE88" s="1908"/>
      <c r="EF88" s="1985"/>
      <c r="EG88" s="1907">
        <v>1385509.5</v>
      </c>
      <c r="EH88" s="1523">
        <f t="shared" si="353"/>
        <v>1385509.5</v>
      </c>
      <c r="EI88" s="1900">
        <f>0.05*(ED88+EH88)</f>
        <v>223220.97500000001</v>
      </c>
      <c r="EJ88" s="1901">
        <f>0.1*(ED88+EH88)</f>
        <v>446441.95</v>
      </c>
      <c r="EK88" s="2014">
        <f>0.05*(ED88+EH88)</f>
        <v>223220.97500000001</v>
      </c>
      <c r="EL88" s="1564"/>
      <c r="EM88" s="1900"/>
      <c r="EN88" s="1901"/>
      <c r="EO88" s="2014"/>
      <c r="EP88" s="1523">
        <f t="shared" si="378"/>
        <v>892883.9</v>
      </c>
      <c r="EQ88" s="1523"/>
      <c r="ER88" s="1523"/>
      <c r="ES88" s="1523"/>
      <c r="ET88" s="1523">
        <f>0.15*(ED88+EH88+EP88)</f>
        <v>803595.51</v>
      </c>
      <c r="EU88" s="1522">
        <f>0.02*(EP88+ET88)</f>
        <v>33929.588200000006</v>
      </c>
      <c r="EV88" s="1516">
        <v>19000</v>
      </c>
      <c r="EW88" s="2589"/>
      <c r="EX88" s="2589"/>
      <c r="EY88" s="2696">
        <f>+IF(BB88="","",(IF(ED88="",0,ED88)+IF(EH88="",0,EH88)+IF(EP88="",0,EP88)+IF(ET88="",0,ET88)+IF(EW88="",0,EW88)+IF(EX88="",0,EX88)))</f>
        <v>6160898.9100000001</v>
      </c>
      <c r="EZ88" s="2725"/>
      <c r="FA88" s="1521"/>
      <c r="FB88" s="1503">
        <f t="shared" si="515"/>
        <v>6160898.9100000001</v>
      </c>
      <c r="FC88" s="1488">
        <f t="shared" si="516"/>
        <v>3078910</v>
      </c>
      <c r="FD88" s="2049">
        <f t="shared" si="517"/>
        <v>1541250</v>
      </c>
      <c r="FE88" s="2033">
        <f t="shared" si="509"/>
        <v>0.50058299852870014</v>
      </c>
      <c r="FF88" s="2049">
        <f t="shared" si="518"/>
        <v>1167000</v>
      </c>
      <c r="FG88" s="2033">
        <f t="shared" si="519"/>
        <v>0.37903024122173107</v>
      </c>
      <c r="FH88" s="2049">
        <f t="shared" si="520"/>
        <v>0</v>
      </c>
      <c r="FI88" s="2033">
        <f t="shared" si="510"/>
        <v>0</v>
      </c>
      <c r="FJ88" s="1518">
        <f t="shared" si="521"/>
        <v>2708250</v>
      </c>
      <c r="FK88" s="2033">
        <f t="shared" si="522"/>
        <v>0.87961323975043115</v>
      </c>
      <c r="FL88" s="2629">
        <f t="shared" si="523"/>
        <v>50000</v>
      </c>
      <c r="FM88" s="2033">
        <f t="shared" si="524"/>
        <v>1.6239513334264398E-2</v>
      </c>
      <c r="FN88" s="2049">
        <f t="shared" si="525"/>
        <v>0</v>
      </c>
      <c r="FO88" s="2033">
        <f t="shared" si="526"/>
        <v>0</v>
      </c>
      <c r="FP88" s="2049">
        <f t="shared" si="527"/>
        <v>100000</v>
      </c>
      <c r="FQ88" s="2033">
        <f t="shared" si="528"/>
        <v>3.2479026668528796E-2</v>
      </c>
      <c r="FR88" s="2837">
        <f t="shared" si="529"/>
        <v>2758250</v>
      </c>
      <c r="FS88" s="1804">
        <f t="shared" si="530"/>
        <v>220660</v>
      </c>
      <c r="FT88" s="2061">
        <f t="shared" si="531"/>
        <v>0.08</v>
      </c>
      <c r="FU88" s="2881">
        <f t="shared" si="532"/>
        <v>0</v>
      </c>
      <c r="FV88" s="1715">
        <f t="shared" si="533"/>
        <v>7697.2749999999996</v>
      </c>
      <c r="FW88" s="2087">
        <f t="shared" si="534"/>
        <v>1385509.5</v>
      </c>
      <c r="FX88" s="1741">
        <f t="shared" si="535"/>
        <v>0.45</v>
      </c>
      <c r="FY88" s="2088">
        <f t="shared" si="536"/>
        <v>892883.9</v>
      </c>
      <c r="FZ88" s="1741">
        <f t="shared" si="537"/>
        <v>0.28999999999999998</v>
      </c>
      <c r="GA88" s="1741">
        <f t="shared" si="538"/>
        <v>0.2</v>
      </c>
      <c r="GB88" s="2088">
        <f t="shared" si="539"/>
        <v>803595.51</v>
      </c>
      <c r="GC88" s="1741">
        <f t="shared" si="540"/>
        <v>0.26100000000000001</v>
      </c>
      <c r="GD88" s="1741">
        <f t="shared" si="541"/>
        <v>0.15</v>
      </c>
      <c r="GE88" s="1610">
        <f t="shared" si="542"/>
        <v>6160898.9100000001</v>
      </c>
      <c r="GF88" s="2136">
        <f t="shared" si="543"/>
        <v>6213828.4982000003</v>
      </c>
      <c r="GG88" s="2159">
        <f t="shared" si="544"/>
        <v>8.0176013939059487E-8</v>
      </c>
      <c r="GH88" s="2505">
        <f t="shared" si="545"/>
        <v>15534.571245500001</v>
      </c>
      <c r="GI88" s="1610">
        <v>1780244</v>
      </c>
      <c r="GJ88" s="1507">
        <v>49103</v>
      </c>
      <c r="GK88" s="3440">
        <f t="shared" si="423"/>
        <v>36.260000000000005</v>
      </c>
      <c r="GL88" s="3249">
        <f t="shared" si="546"/>
        <v>1.2961711257729672E-4</v>
      </c>
      <c r="GM88" s="1225"/>
      <c r="GN88" s="1224"/>
      <c r="GO88" s="2283">
        <v>20000</v>
      </c>
      <c r="GP88" s="2284">
        <v>162716</v>
      </c>
      <c r="GQ88" s="2331">
        <f t="shared" si="582"/>
        <v>182716</v>
      </c>
      <c r="GR88" s="2327"/>
      <c r="GS88" s="2327"/>
      <c r="GT88" s="1684">
        <v>1597528</v>
      </c>
      <c r="GU88" s="2335">
        <f t="shared" si="547"/>
        <v>1780244</v>
      </c>
      <c r="GV88" s="1222">
        <f t="shared" si="548"/>
        <v>20000</v>
      </c>
      <c r="GW88" s="2248">
        <f t="shared" si="549"/>
        <v>162716</v>
      </c>
      <c r="GX88" s="2218">
        <f t="shared" si="550"/>
        <v>182716</v>
      </c>
      <c r="GY88" s="2218" t="str">
        <f t="shared" si="551"/>
        <v/>
      </c>
      <c r="GZ88" s="2218" t="str">
        <f t="shared" si="552"/>
        <v/>
      </c>
      <c r="HA88" s="1684">
        <f t="shared" si="553"/>
        <v>1597528</v>
      </c>
      <c r="HB88" s="1333">
        <f t="shared" si="432"/>
        <v>1780244</v>
      </c>
      <c r="HC88" s="2345">
        <f t="shared" si="554"/>
        <v>1780244</v>
      </c>
      <c r="HD88" s="2351">
        <f t="shared" si="375"/>
        <v>0</v>
      </c>
      <c r="HE88" s="1225"/>
      <c r="HF88" s="1518">
        <f t="shared" si="555"/>
        <v>49103</v>
      </c>
      <c r="HG88" s="1224">
        <f>+IF(OR(HC88="",$CL88=""),"",HC88/$CL88)</f>
        <v>47631.946488294299</v>
      </c>
      <c r="HH88" s="2981">
        <f>+IF(BF88="","",VALUE(LEFT(BF88,1)))</f>
        <v>2</v>
      </c>
      <c r="HI88" s="2927">
        <f>+IF(FR88="","",FR88)</f>
        <v>2758250</v>
      </c>
      <c r="HJ88" s="2069">
        <f>+IF(FP88="","",FP88)</f>
        <v>100000</v>
      </c>
      <c r="HK88" s="2069">
        <f>+IF(FN88="","",FN88)</f>
        <v>0</v>
      </c>
      <c r="HL88" s="2069">
        <f>+IF(FR88="","",IF(HH88="","",IF(HH88=4,FS88,IF(HH88=3,FS88,IF(HH88=2,$HL$7*HI88,IF(HH88=1,$HL$6*HI88,""))))))</f>
        <v>165495</v>
      </c>
      <c r="HM88" s="2934">
        <f>IF(FR88="","",SUM(HI88:HL88))</f>
        <v>3023745</v>
      </c>
      <c r="HN88" s="2911">
        <f t="shared" si="347"/>
        <v>7559.3625000000002</v>
      </c>
      <c r="HO88" s="1806">
        <f>+IF(FR88="","",IF(HH88="","",IF(HH88=4,FW88,IF(HH88=3,FW88,IF(HH88=2,$HO$7*HM88,IF(HH88=1,$HO$6*HM88,""))))))</f>
        <v>1360685.25</v>
      </c>
      <c r="HP88" s="2069">
        <f>+IF(FR88="","",IF(HH88="","",IF(HH88=4,FY88,IF(HH88=3,FY88,IF(HH88=2,$HP$7*(HM88+HO88),IF(HH88=1,$HP$6*HM88,""))))))</f>
        <v>876886.05</v>
      </c>
      <c r="HQ88" s="3010" t="str">
        <f t="shared" si="556"/>
        <v/>
      </c>
      <c r="HR88" s="1805">
        <f t="shared" si="557"/>
        <v>789197.44499999995</v>
      </c>
      <c r="HS88" s="1805">
        <f t="shared" si="558"/>
        <v>789197.44499999995</v>
      </c>
      <c r="HT88" s="2955">
        <f>+IF(FR88="","",IF(HH88="","",IF(HH88=2,$HT$7*(HP88+HR88),"")))</f>
        <v>33321.669900000001</v>
      </c>
      <c r="HU88" s="2956">
        <f>+IF(FR88="","",IF(HH88="","",IF(HH88=2,$HU$7*(HP88+HR88),"")))</f>
        <v>0</v>
      </c>
      <c r="HV88" s="2955" t="str">
        <f t="shared" si="559"/>
        <v/>
      </c>
      <c r="HW88" s="2956" t="str">
        <f t="shared" si="560"/>
        <v/>
      </c>
      <c r="HX88" s="2909">
        <f t="shared" si="199"/>
        <v>6083835.4149000002</v>
      </c>
      <c r="HY88" s="2931" t="str">
        <f t="shared" si="561"/>
        <v/>
      </c>
      <c r="HZ88" s="2956" t="str">
        <f t="shared" si="562"/>
        <v/>
      </c>
      <c r="IA88" s="1488">
        <f t="shared" si="563"/>
        <v>6083835.4149000002</v>
      </c>
      <c r="IB88" s="3040" t="str">
        <f t="shared" si="564"/>
        <v>stk added + 2%</v>
      </c>
      <c r="IC88" s="3045">
        <f t="shared" si="565"/>
        <v>15209.58853725</v>
      </c>
      <c r="ID88" s="1204"/>
      <c r="IE88" s="4097"/>
      <c r="IF88" s="2909">
        <f t="shared" si="583"/>
        <v>20000</v>
      </c>
      <c r="IG88" s="6766">
        <f>+IF(IF88="","",(IF88/IF(AO88="",IF(AO87="",IF(AO86="",AO85,AO86),AO87),AO88)))</f>
        <v>82.101806239737272</v>
      </c>
      <c r="IH88" s="4164">
        <f t="shared" si="584"/>
        <v>162716</v>
      </c>
      <c r="II88" s="6800">
        <f>+IH88/IF(AQ88="",IF(AQ87="",IF(AQ86="",AQ85,AQ86),AQ87),AQ88)</f>
        <v>0.29172598024275237</v>
      </c>
      <c r="IJ88" s="4165">
        <f t="shared" si="585"/>
        <v>182716</v>
      </c>
      <c r="IK88" s="4127">
        <v>0</v>
      </c>
      <c r="IL88" s="2069">
        <f t="shared" ref="IL88:IL90" si="670">+IF(IF88="","",IK88*$IL$8*IF88)</f>
        <v>0</v>
      </c>
      <c r="IM88" s="1805">
        <f t="shared" ref="IM88:IM90" si="671">IF(HM88="","",IK88*$IM$8*IA88)</f>
        <v>0</v>
      </c>
      <c r="IN88" s="4225" t="str">
        <f t="shared" si="588"/>
        <v/>
      </c>
      <c r="IO88" s="4225">
        <f t="shared" si="589"/>
        <v>182716</v>
      </c>
      <c r="IP88" s="4225">
        <f t="shared" ref="IP88:IP90" si="672">+IF(BB88="","",IF(IJ88="","",IJ88/IF(R88="",IF(R87="",IF(R86="",R85,R86),R87),R88)))</f>
        <v>182716</v>
      </c>
      <c r="IQ88" s="6839">
        <f t="shared" ref="IQ88:IQ90" si="673">+IF(IP88="","",IP88/IX88)</f>
        <v>0.28591401880441247</v>
      </c>
      <c r="IR88" s="4225" t="str">
        <f t="shared" ref="IR88:IR90" si="674">+IF(BB88="","",IF(IN88="","",IN88/IF(R88="",IF(R87="",IF(R86="",R85,R86),R87),R88)))</f>
        <v/>
      </c>
      <c r="IS88" s="6839" t="str">
        <f t="shared" ref="IS88:IS90" si="675">+IF(IR88="","",IR88/IX88)</f>
        <v/>
      </c>
      <c r="IT88" s="4225">
        <f t="shared" si="594"/>
        <v>182716</v>
      </c>
      <c r="IU88" s="6839">
        <f t="shared" si="595"/>
        <v>0.28591401880441247</v>
      </c>
      <c r="IV88" s="4127">
        <f t="shared" ref="IV88:IV90" si="676">+IF(D88="","",IF(IF(V88="",IF(V87="",IF(V86="",V85,V86),V87),V88)="Utility Boiler",2,1))</f>
        <v>2</v>
      </c>
      <c r="IW88" s="1805">
        <f t="shared" ref="IW88:IW89" si="677">IF(IA88="","",IF(IV88=1,$IW$5,IF(IV88=2,$IW$8,""))*IA88)</f>
        <v>456343.25552042283</v>
      </c>
      <c r="IX88" s="4189">
        <f t="shared" si="597"/>
        <v>639059.25552042283</v>
      </c>
      <c r="IY88" s="4244">
        <f t="shared" si="598"/>
        <v>1780244</v>
      </c>
      <c r="IZ88" s="4274">
        <f t="shared" si="599"/>
        <v>0.64102715385058284</v>
      </c>
      <c r="JA88" s="4275" t="str">
        <f t="shared" ref="JA88:JA90" si="678">+IF(BB88="","",IF(ISERROR(IY88-IX88),"",IF((IY88-IX88)&gt;0,"stk added + "&amp;ROUND((IY88-IX88)/IY88*100,0)&amp;"%",IF(IY88=IX88,"same TAC",(IY88-IX88)/IY88))))</f>
        <v>stk added + 64%</v>
      </c>
      <c r="JB88" s="1205"/>
      <c r="JC88" s="4322"/>
      <c r="JD88" s="1518">
        <f t="shared" si="570"/>
        <v>17624.358949818608</v>
      </c>
      <c r="JE88" s="4357">
        <f t="shared" si="571"/>
        <v>17098.575398539735</v>
      </c>
      <c r="JF88" s="7028">
        <f t="shared" si="636"/>
        <v>400</v>
      </c>
      <c r="JG88" s="2069" t="s">
        <v>1333</v>
      </c>
      <c r="JH88" s="6959">
        <f t="shared" si="601"/>
        <v>6083835.4149000002</v>
      </c>
      <c r="JI88" s="6959">
        <f>+JH88</f>
        <v>6083835.4149000002</v>
      </c>
      <c r="JJ88" s="6959"/>
      <c r="JK88" s="6959"/>
      <c r="JL88" s="6996"/>
      <c r="JM88" s="1804" t="str">
        <f t="shared" ref="JM88:JM90" si="679">+IF(D88="","",IF(JG88="SCR",(JF88*49700+459000),IF(JG88="HPWI",(0.0353*JF88+0.2915)*(10^6),"N/A")))</f>
        <v>N/A</v>
      </c>
      <c r="JN88" s="2069" t="str">
        <f t="shared" si="637"/>
        <v/>
      </c>
      <c r="JO88" s="2069">
        <f>+JI88</f>
        <v>6083835.4149000002</v>
      </c>
      <c r="JP88" s="3010"/>
      <c r="JQ88" s="3010"/>
      <c r="JR88" s="2069"/>
      <c r="JS88" s="1805">
        <f>+IF(D88="","",SUM(JO88:JR88))</f>
        <v>6083835.4149000002</v>
      </c>
      <c r="JT88" s="7130">
        <f t="shared" si="476"/>
        <v>2</v>
      </c>
      <c r="JU88" s="7131">
        <f t="shared" ref="JU88:JU90" si="680">+IF(D88="","",IF(AV88="",IF(AV87="",IF(AV86="","",AV86),AV87),AV88))</f>
        <v>461</v>
      </c>
      <c r="JV88" s="8366">
        <f t="shared" ref="JV88:JV90" si="681">+IF(D88="","",IF(AW88="",IF(AW87="",IF(AW86="","",AW86),AW87),AW88))</f>
        <v>880454</v>
      </c>
      <c r="JW88" s="8393">
        <f t="shared" ref="JW88:JW113" si="682">+CL88</f>
        <v>37.375000000000014</v>
      </c>
      <c r="JX88" s="8422">
        <f t="shared" ref="JX88:JX90" si="683">+IF(OR(D88="",JU88=""),"",IF(JT88=2,24000/JU88,""))</f>
        <v>52.060737527114966</v>
      </c>
      <c r="JY88" s="8457">
        <f t="shared" si="642"/>
        <v>7.2129975697330345E-2</v>
      </c>
      <c r="JZ88" s="7132">
        <f t="shared" ref="JZ88:JZ90" si="684">+IF(OR(D88="",JU88="",ISERROR(JF88)),"",IF(JT88=2,JF88*6180/83,""))</f>
        <v>29783.132530120482</v>
      </c>
      <c r="KA88" s="7130" t="str">
        <f t="shared" ref="KA88:KA90" si="685">+IF(OR(D88="",JV88=""),"",IF(JT88=1,JV88*10^6/$KA$8/JU88,""))</f>
        <v/>
      </c>
      <c r="KB88" s="7131" t="str">
        <f t="shared" ref="KB88:KB90" si="686">+IF(OR(D88="",KA88=""),"",IF(JT88=1,KA88*$KB$8,""))</f>
        <v/>
      </c>
      <c r="KC88" s="7132" t="str">
        <f t="shared" ref="KC88:KC90" si="687">+IF(OR(D88="",KB88=""),"",IF(JT88=1,KB88*7.48/62.4/60,""))</f>
        <v/>
      </c>
      <c r="KD88" s="7130">
        <f t="shared" ref="KD88:KD90" si="688">+IF(OR(D88="",JV88=""),"",IF(JT88=1,$KD$5*JU88*$KD$6/1000,$KD$7*JU88*$KD$8/1000))</f>
        <v>19566.684000000001</v>
      </c>
      <c r="KE88" s="8330">
        <f t="shared" ref="KE88:KE90" si="689">+IF(OR(D88="",JW88="",JW88=0),"",IF(JT88=2,JW88*$KE$8*$KG$4,""))</f>
        <v>23277.150000000009</v>
      </c>
      <c r="KF88" s="8330">
        <f t="shared" ref="KF88:KF90" si="690">+IF(OR(D88="",JW88="",JW88=0),"",IF(JT88=2,JW88*(0.95/0.05)*(18/17)*($KF$8/1000)*(2000)*$KG$4,""))</f>
        <v>15609.382941176471</v>
      </c>
      <c r="KG88" s="7131">
        <f t="shared" ref="KG88:KG90" si="691">+IF(D88="","",IF(JT88=1,$KG$2*KC88/1000*60*JU88*$KG$4*$KG$6,IF(OR(JZ88="",JY88=""),"",JZ88*$KG$8*JY88*$KG$4)))</f>
        <v>55747.259434007537</v>
      </c>
      <c r="KH88" s="7131">
        <f>IF(D88="","",IF(JT88=2,0.005*JF88*$KD$6/1000*1000*JU88,""))</f>
        <v>357883.52</v>
      </c>
      <c r="KI88" s="7131">
        <f>IF(D88="","",IF(JT88=2,0.1*0.005*JF88*$KD$6/1000*1000*JU88,""))</f>
        <v>35788.351999999999</v>
      </c>
      <c r="KJ88" s="7131">
        <f t="shared" ref="KJ88:KJ90" si="692">+IF(OR(D88="",JU88="",JV88=""),"",IF(JT88=1,KD88+KG88,KD88+KE88+KF88+KG88+KH88+KI88))</f>
        <v>507872.34837518405</v>
      </c>
      <c r="KK88" s="7131">
        <f>+IF(OR(D88="",JU88="",JV88=""),"",$KK$7*$KG$4*JU88)</f>
        <v>48362.2192</v>
      </c>
      <c r="KL88" s="7131">
        <f t="shared" ref="KL88:KL90" si="693">+IF(OR(D88="",JU88="",JV88="",JS88=""),"",IF(JT88=1,$KL$7*JS88*JU88/$KL$8,$KL$7*IF(JN88="",JS88,JN88)*JU88/$KL$8))</f>
        <v>10517.430473508375</v>
      </c>
      <c r="KM88" s="7131">
        <f t="shared" ref="KM88:KM90" si="694">+IF(D88="","",IF(KK88="",0,KK88)+IF(KL88="",0,KL88))</f>
        <v>58879.649673508378</v>
      </c>
      <c r="KN88" s="7131" t="str">
        <f>+IF(D88="","",IF(JX88&lt;41,$KN$8*JZ88*JY88,""))</f>
        <v/>
      </c>
      <c r="KO88" s="7131">
        <f t="shared" ref="KO88:KO90" si="695">+IF(OR(D88="",JU88="",JV88=""),"",IF(KM88="",0,KM88)+IF(KN88="",0,KN88))</f>
        <v>58879.649673508378</v>
      </c>
      <c r="KP88" s="7132">
        <f t="shared" ref="KP88:KP90" si="696">+IF(OR(D88="",JU88="",JV88=""),"",IF(KJ88="",0,KJ88)+IF(KO88="",0,KO88))</f>
        <v>566751.99804869248</v>
      </c>
      <c r="KQ88" s="1806">
        <f>+IF(D88="","",VLOOKUP(MATCH(BE88,ac_id,0),ad,ac!$F$8,FALSE)*JV88)</f>
        <v>264136.2</v>
      </c>
      <c r="KR88" s="3010">
        <f>+IF(D88="","",IF(JT88=1,VLOOKUP(MATCH(BE88,ac_id,0),ad,ac!$H$8,FALSE)*JU88, (VLOOKUP(MATCH(BE88,ac_id,0),ad,ac!$H$8,FALSE)*JU88^(1+VLOOKUP(MATCH(BE88,ac_id,0),ad,ac!$I$8,FALSE)))))</f>
        <v>20617.007623286485</v>
      </c>
      <c r="KS88" s="1805">
        <f t="shared" ref="KS88:KS94" si="697">+IF(D88="","",KQ88+KR88)</f>
        <v>284753.20762328652</v>
      </c>
      <c r="KT88" s="1806">
        <f t="shared" ref="KT88:KT90" si="698">+IF(D88="","",IF(KK88="","",$KT$26*KM88))</f>
        <v>35327.789804105028</v>
      </c>
      <c r="KU88" s="2069">
        <f t="shared" ref="KU88:KU90" si="699">+IF(D88="","",IF(JS88="","",$KU$26*IF(JN88="",JS88,JN88)))</f>
        <v>243353.41659600002</v>
      </c>
      <c r="KV88" s="7374">
        <f t="shared" si="667"/>
        <v>2</v>
      </c>
      <c r="KW88" s="7280">
        <f t="shared" ref="KW88:KW90" si="700">IF(JS88="","",IF(KV88=1,$KW$5,IF(KV88=2,$KW$8,""))*JS88)</f>
        <v>456343.25552042283</v>
      </c>
      <c r="KX88" s="1805">
        <f t="shared" ref="KX88:KX90" si="701">+IF(D88="","",IF(KW88="","",IF(KT88="",0,KT88)+IF(KU88="",0,KU88)+KW88))</f>
        <v>735024.46192052786</v>
      </c>
      <c r="KY88" s="2505">
        <f t="shared" ref="KY88:KY90" si="702">+IF(D88="","",IF(KX88="","",IF(KP88="",0,KP88)+KX88))</f>
        <v>1301776.4599692202</v>
      </c>
      <c r="KZ88" s="7375"/>
      <c r="LA88" s="7280">
        <f t="shared" si="668"/>
        <v>35901.170986464975</v>
      </c>
      <c r="LB88" s="7291">
        <f t="shared" si="669"/>
        <v>34830.139397169762</v>
      </c>
      <c r="LC88" s="5133"/>
      <c r="LD88" s="5132"/>
      <c r="LE88" s="5132"/>
      <c r="LF88" s="5132"/>
      <c r="LG88" s="5132"/>
      <c r="LH88" s="5132"/>
      <c r="LI88" s="5132"/>
      <c r="LJ88" s="5132"/>
    </row>
    <row r="89" spans="1:322" s="717" customFormat="1" ht="27.95" customHeight="1">
      <c r="A89" s="10539"/>
      <c r="B89" s="10521" t="str">
        <f>+IF(A89="","",VLOOKUP(MATCH(A89,tid,0),tao,'12(id)'!$J$20,FALSE))</f>
        <v/>
      </c>
      <c r="C89" s="10549"/>
      <c r="D89" s="1127" t="str">
        <f t="shared" si="48"/>
        <v>8306-03-02</v>
      </c>
      <c r="E89" s="730" t="str">
        <f>+IF(BD89="","",BD89)</f>
        <v>Selective Catalytic Reduction (SCR) with ID fans</v>
      </c>
      <c r="F89" s="730" t="str">
        <f t="shared" si="49"/>
        <v>SCR</v>
      </c>
      <c r="G89" s="5133"/>
      <c r="H89" s="5132"/>
      <c r="I89" s="5133"/>
      <c r="J89" s="719">
        <f t="shared" si="68"/>
        <v>55</v>
      </c>
      <c r="K89" s="10541"/>
      <c r="L89" s="9721"/>
      <c r="M89" s="9718"/>
      <c r="N89" s="9699"/>
      <c r="O89" s="9518"/>
      <c r="P89" s="9518"/>
      <c r="Q89" s="9714" t="str">
        <f>+IF(ISERROR(MATCH(O89,tid,0)),"",VLOOKUP(MATCH(O89,tid,0),tao,'12(id)'!$Q$20,FALSE))</f>
        <v/>
      </c>
      <c r="R89" s="10183"/>
      <c r="S89" s="9714"/>
      <c r="T89" s="10526" t="str">
        <f>+IF(ISERROR(MATCH(O89,tid,0)),"",IF(VLOOKUP(MATCH(O89,tid,0),tao,'12(id)'!$CT$20,FALSE)="","",VLOOKUP(MATCH(O89,tid,0),tao,'12(id)'!$CT$20,FALSE)))</f>
        <v/>
      </c>
      <c r="U89" s="10529" t="str">
        <f>+IF(ISERROR(MATCH(O89,tid,0)),"",IF(VLOOKUP(MATCH(O89,tid,0),tao,'12(id)'!$CU$20,FALSE)="","",VLOOKUP(MATCH(O89,tid,0),tao,'12(id)'!$CU$20,FALSE)))</f>
        <v/>
      </c>
      <c r="V89" s="9504" t="str">
        <f>+IF(O89="","",IF(VLOOKUP(MATCH(O89,tid,0),tao,'12(id)'!$T$20,FALSE)="","",VLOOKUP(MATCH(O89,tid,0),tao,'12(id)'!$T$20,FALSE)))</f>
        <v/>
      </c>
      <c r="W89" s="9504" t="str">
        <f>+IF(ISERROR(MATCH(O89,tid,0)),"",IF(VLOOKUP(MATCH(O89,tid,0),tao,'12(id)'!$CO$20,FALSE)="","",VLOOKUP(MATCH(O89,tid,0),tao,'12(id)'!$CO$20,FALSE)))</f>
        <v/>
      </c>
      <c r="X89" s="9504" t="str">
        <f>+IF(ISERROR(MATCH(O89,tid,0)),"",IF(VLOOKUP(MATCH(O89,tid,0),tao,'12(id)'!$CP$20,FALSE)="","",VLOOKUP(MATCH(O89,tid,0),tao,'12(id)'!$CP$20,FALSE)))</f>
        <v/>
      </c>
      <c r="Y89" s="8553" t="str">
        <f>+IF(ISERROR(MATCH(O89,tid,0)),"",IF(VLOOKUP(MATCH(O89,tid,0),tao,'12(id)'!$CQ$20,FALSE)="","",VLOOKUP(MATCH(O89,tid,0),tao,'12(id)'!$CQ$20,FALSE)))</f>
        <v/>
      </c>
      <c r="Z89" s="9518" t="str">
        <f>+IF(ISERROR(MATCH(O89,tid,0)),"",VLOOKUP(MATCH(O89,tid,0),tao,'12(id)'!$DB$20,FALSE)&amp;" "&amp;VLOOKUP(MATCH(O89,tid,0),tao,'12(id)'!$DC$20,FALSE))</f>
        <v/>
      </c>
      <c r="AA89" s="9518" t="str">
        <f>+IF(ISERROR(MATCH(O89,tid,0)),"",IF(VLOOKUP(MATCH(O89,tid,0),tao,'12(id)'!$DE$20,FALSE)="","",ROUND(VLOOKUP(MATCH(O89,tid,0),tao,'12(id)'!$DE$20,FALSE),0)&amp;" yrs"))</f>
        <v/>
      </c>
      <c r="AB89" s="9648" t="str">
        <f>+IF(ISERROR(MATCH(O89,tid,0)),"",VLOOKUP(MATCH(O89,tid,0),tao,'12(id)'!$DI$20,FALSE))</f>
        <v/>
      </c>
      <c r="AC89" s="9648" t="str">
        <f>+IF(ISERROR(MATCH(O89,tid,0)),"",IF(VLOOKUP(MATCH(O89,tid,0),tao,'12(id)'!$DQ$20,FALSE)="","",VLOOKUP(MATCH(O89,tid,0),tao,'12(id)'!$DQ$20,FALSE)))</f>
        <v/>
      </c>
      <c r="AD89" s="10412" t="str">
        <f>+IF(ISERROR(MATCH(O89,tid,0)),"",IF(VLOOKUP(MATCH(O89,tid,0),tao,'12(id)'!$EI$20,FALSE)="","",VLOOKUP(MATCH(O89,tid,0),tao,'12(id)'!$EI$20,FALSE)))</f>
        <v/>
      </c>
      <c r="AE89" s="10412" t="str">
        <f>+IF(ISERROR(MATCH(O89,tid,0)),"",IF(VLOOKUP(MATCH(O89,tid,0),tao,'12(id)'!$EJ$20,FALSE)="","",VLOOKUP(MATCH(O89,tid,0),tao,'12(id)'!$EJ$20,FALSE)))</f>
        <v/>
      </c>
      <c r="AF89" s="10412" t="str">
        <f>+IF(ISERROR(MATCH(O89,tid,0)),"",IF(VLOOKUP(MATCH(O89,tid,0),tao,'12(id)'!$EL$20,FALSE)="","",VLOOKUP(MATCH(O89,tid,0),tao,'12(id)'!$EL$20,FALSE)))</f>
        <v/>
      </c>
      <c r="AG89" s="10409" t="str">
        <f>+IF(ISERROR(MATCH(O89,tid,0)),"",IF(VLOOKUP(MATCH(O89,tid,0),tao,'12(id)'!$EM$20,FALSE)="","",VLOOKUP(MATCH(O89,tid,0),tao,'12(id)'!$EM$20,FALSE)))</f>
        <v/>
      </c>
      <c r="AH89" s="10439"/>
      <c r="AI89" s="10441"/>
      <c r="AJ89" s="10441"/>
      <c r="AK89" s="10441"/>
      <c r="AL89" s="10441"/>
      <c r="AM89" s="10432"/>
      <c r="AN89" s="10422"/>
      <c r="AO89" s="10457" t="str">
        <f>+IF(ISERROR(MATCH(O89,tid,0)),"",IF(VLOOKUP(MATCH(O89,tid,0),tao,'12(id)'!$GY$20,FALSE)="","",VLOOKUP(MATCH(O89,tid,0),tao,'12(id)'!$GY$20,FALSE)))</f>
        <v/>
      </c>
      <c r="AP89" s="10378" t="e">
        <f>+IF($BB89="","",IF(VLOOKUP(MATCH(O89,tid,0),tao,'12(id)'!$HE$20,FALSE)="","",VLOOKUP(MATCH(O89,tid,0),tao,'12(id)'!$HE$20,FALSE)))</f>
        <v>#N/A</v>
      </c>
      <c r="AQ89" s="10378" t="str">
        <f>+IF(ISERROR(VLOOKUP(MATCH(O89,tid,0),tao,'12(id)'!$HF$20,FALSE)),"",VLOOKUP(MATCH(O89,tid,0),tao,'12(id)'!$HF$20,FALSE))</f>
        <v/>
      </c>
      <c r="AR89" s="10381" t="str">
        <f>+IF(ISERROR(MATCH(O89,tid,0)),"",IF(VLOOKUP(MATCH(O89,tid,0),tao,'12(id)'!$HJ$20,FALSE)="","",VLOOKUP(MATCH(O89,tid,0),tao,'12(id)'!$HJ$20,FALSE)))</f>
        <v/>
      </c>
      <c r="AS89" s="10384" t="str">
        <f>+IF(ISERROR(MATCH(O89,tid,0)),"",IF(VLOOKUP(MATCH(O89,tid,0),tao,'12(id)'!$HK$20,FALSE)="","",VLOOKUP(MATCH(O89,tid,0),tao,'12(id)'!$HK$20,FALSE)))</f>
        <v/>
      </c>
      <c r="AT89" s="10387" t="str">
        <f>+IF(ISERROR(MATCH(O89,tid,0)),"",IF(VLOOKUP(MATCH(O89,tid,0),tao,'12(id)'!$HM$20,FALSE)="","",VLOOKUP(MATCH(O89,tid,0),tao,'12(id)'!$HM$20,FALSE)))</f>
        <v/>
      </c>
      <c r="AU89" s="10471"/>
      <c r="AV89" s="10473" t="str">
        <f>+IF(ISERROR(MATCH(O89,em_id,0)),"",IF(VLOOKUP(MATCH(O89,em_id,0),em,'5(em)'!$CX$18,FALSE)="","",VLOOKUP(MATCH(O89,em_id,0),em,'5(em)'!$CX$18,FALSE)))</f>
        <v/>
      </c>
      <c r="AW89" s="10489" t="str">
        <f>+IF(ISERROR(MATCH(O89,em_id,0)),"",IF(VLOOKUP(MATCH(O89,em_id,0),em,'5(em)'!$CZ$18,FALSE)="","",VLOOKUP(MATCH(O89,em_id,0),em,'5(em)'!$CZ$18,FALSE)))</f>
        <v/>
      </c>
      <c r="AX89" s="10478" t="str">
        <f t="shared" si="50"/>
        <v/>
      </c>
      <c r="AY89" s="10480"/>
      <c r="AZ89" s="10482" t="str">
        <f>+IF(ISERROR(MATCH(O89,em_id,0)),"",IF(VLOOKUP(MATCH(O89,em_id,0),em,'5(em)'!$DA$18,FALSE)="","",VLOOKUP(MATCH(O89,em_id,0),em,'5(em)'!$DA$18,FALSE)))</f>
        <v/>
      </c>
      <c r="BA89" s="741"/>
      <c r="BB89" s="742" t="str">
        <f t="shared" si="311"/>
        <v>8306-03-02</v>
      </c>
      <c r="BC89" s="743">
        <v>2</v>
      </c>
      <c r="BD89" s="730" t="str">
        <f>+IF(OR(D89="",VLOOKUP(MATCH(D89,op_id,0),op,'7(op)'!$T$18,FALSE)=""),"",VLOOKUP(MATCH(D89,op_id,0),op,'7(op)'!$T$18,FALSE))</f>
        <v>Selective Catalytic Reduction (SCR) with ID fans</v>
      </c>
      <c r="BE89" s="730" t="s">
        <v>1093</v>
      </c>
      <c r="BF89" s="730" t="s">
        <v>1862</v>
      </c>
      <c r="BG89" s="744"/>
      <c r="BH89" s="748"/>
      <c r="BI89" s="749"/>
      <c r="BJ89" s="750"/>
      <c r="BK89" s="750"/>
      <c r="BL89" s="750"/>
      <c r="BM89" s="750"/>
      <c r="BN89" s="750" t="str">
        <f t="shared" si="12"/>
        <v/>
      </c>
      <c r="BO89" s="750" t="str">
        <f t="shared" si="13"/>
        <v/>
      </c>
      <c r="BP89" s="750" t="str">
        <f t="shared" si="14"/>
        <v/>
      </c>
      <c r="BQ89" s="750" t="str">
        <f t="shared" si="15"/>
        <v/>
      </c>
      <c r="BR89" s="751"/>
      <c r="BS89" s="2382" t="s">
        <v>559</v>
      </c>
      <c r="BT89" s="753"/>
      <c r="BU89" s="3709">
        <f>+IF(BB89="","",IF(VLOOKUP(MATCH(BB89,ef_id,0),ef,'11(eff)'!$Z$23,FALSE)="","",VLOOKUP(MATCH(BB89,ef_id,0),ef,'11(eff)'!$Z$23,FALSE)))</f>
        <v>0.1</v>
      </c>
      <c r="BV89" s="3753" t="str">
        <f>+IF(BB89="","",IF(VLOOKUP(MATCH(BB89,ef_id,0),ef,'11(eff)'!$AA$23,FALSE)="","",VLOOKUP(MATCH(BB89,ef_id,0),ef,'11(eff)'!$AA$23,FALSE)))</f>
        <v/>
      </c>
      <c r="BW89" s="3778">
        <v>27.89</v>
      </c>
      <c r="BX89" s="1962">
        <f t="shared" si="511"/>
        <v>27.89</v>
      </c>
      <c r="BY89" s="1077">
        <f t="shared" si="512"/>
        <v>27.888500000000001</v>
      </c>
      <c r="BZ89" s="3259"/>
      <c r="CA89" s="3419"/>
      <c r="CB89" s="1082">
        <f t="shared" si="382"/>
        <v>50.2</v>
      </c>
      <c r="CC89" s="3867">
        <f t="shared" si="513"/>
        <v>0.64284799590216413</v>
      </c>
      <c r="CD89" s="3867">
        <f t="shared" si="514"/>
        <v>0.64285714285714279</v>
      </c>
      <c r="CE89" s="2377">
        <f>+IF(BB89="","",IF(VLOOKUP(MATCH(BB89,ef_id,0),ef,'11(eff)'!$AE$23,FALSE)="","",VLOOKUP(MATCH(BB89,ef_id,0),ef,'11(eff)'!$AE$23,FALSE)))</f>
        <v>0.9</v>
      </c>
      <c r="CF89" s="752"/>
      <c r="CG89" s="753"/>
      <c r="CH89" s="2415"/>
      <c r="CI89" s="3911">
        <f>IF(BB89="","",2000*(1-CO89)*IF(AZ89="",IF(AZ88="",(AZ87/AW87),(AZ88/AW88)),AZ89/AW89))</f>
        <v>1.8286020621179521E-2</v>
      </c>
      <c r="CJ89" s="4069" t="str">
        <f>+IF(AY88="","",AY88*(1-CO89))</f>
        <v/>
      </c>
      <c r="CK89" s="3911">
        <f>+IF($BB89="","",IF(CI89="",IF($AZ89="",IF($AZ88="",$AZ87,$AZ88),$AZ89)-CL89,IF(OR(IF($AW89="",IF($AW88="",$AW87,$AW88),$AW89)="",CI89=""),"",CI89/2000*IF($AW89="",IF($AW88="",$AW87,$AW88),$AW89))))</f>
        <v>8.0499999999999972</v>
      </c>
      <c r="CL89" s="4001">
        <f>+IF($BB89="","",IF(CI89="",CO89*IF($AZ89="",IF($AZ88="",$AZ87,$AZ88),$AZ89),IF(CK89="","",IF($AZ89="",IF($AZ88="",$AZ87,$AZ88),$AZ89)-CK89)))</f>
        <v>72.45</v>
      </c>
      <c r="CM89" s="4002">
        <f>+IF($BB89="","",IF(CL89="","",CL89/IF($AZ89="",IF($AZ88="",$AZ87,$AZ88),$AZ89)))</f>
        <v>0.9</v>
      </c>
      <c r="CN89" s="4002">
        <f>+IF($BB89="","",IF(CI89="","",(1-CI89/IF($AX89="",IF($AX88="",$AX87,$AX88),$AX89))))</f>
        <v>0.89841099654900269</v>
      </c>
      <c r="CO89" s="4003">
        <f>+IF(BB89="","",IF(VLOOKUP(MATCH(BB89,ef_id,0),ef,'11(eff)'!$AE$23,FALSE)="","",VLOOKUP(MATCH(BB89,ef_id,0),ef,'11(eff)'!$AE$23,FALSE)))</f>
        <v>0.9</v>
      </c>
      <c r="CP89" s="4004">
        <f>+IF(OR(BB89="",VLOOKUP(MATCH(BB89,ef_id,0),ef,'11(eff)'!$AG$23,FALSE)=""),"",IF(VLOOKUP(MATCH(BB89,ef_id,0),ef,'11(eff)'!$AG$23,FALSE)/100=VLOOKUP(MATCH(BB89,ef_id,0),ef,'11(eff)'!$AE$23,FALSE),VLOOKUP(MATCH(BB89,ef_id,0),ef,'11(eff)'!$AE$23,FALSE),""))</f>
        <v>0.9</v>
      </c>
      <c r="CQ89" s="752" t="str">
        <f t="shared" si="51"/>
        <v>Selective Catalytic Reduction (SCR) with ID fans</v>
      </c>
      <c r="CR89" s="754"/>
      <c r="CS89" s="2764">
        <v>145353267</v>
      </c>
      <c r="CT89" s="1590">
        <v>48186953</v>
      </c>
      <c r="CU89" s="1089">
        <v>28013121</v>
      </c>
      <c r="CV89" s="1868">
        <f t="shared" si="309"/>
        <v>12971822</v>
      </c>
      <c r="CW89" s="1869">
        <f>1310229+407394+590961</f>
        <v>2308584</v>
      </c>
      <c r="CX89" s="1869">
        <f>1184506+530766</f>
        <v>1715272</v>
      </c>
      <c r="CY89" s="1092"/>
      <c r="CZ89" s="2477">
        <f>1067898+163372+200000</f>
        <v>1431270</v>
      </c>
      <c r="DA89" s="2487"/>
      <c r="DB89" s="2487">
        <v>1746884</v>
      </c>
      <c r="DC89" s="1868"/>
      <c r="DD89" s="1902"/>
      <c r="DE89" s="1903"/>
      <c r="DF89" s="1904"/>
      <c r="DG89" s="1904"/>
      <c r="DH89" s="1902"/>
      <c r="DI89" s="1088">
        <f>+IF(CT89="","",SUM(CU89:DC89)+SUM(DE89:DF89))</f>
        <v>48186953</v>
      </c>
      <c r="DJ89" s="1943"/>
      <c r="DK89" s="1590"/>
      <c r="DL89" s="1089"/>
      <c r="DM89" s="1868" t="str">
        <f t="shared" si="310"/>
        <v/>
      </c>
      <c r="DN89" s="1869"/>
      <c r="DO89" s="1869"/>
      <c r="DP89" s="1092"/>
      <c r="DQ89" s="2477"/>
      <c r="DR89" s="2487"/>
      <c r="DS89" s="2487"/>
      <c r="DT89" s="1868"/>
      <c r="DU89" s="1902"/>
      <c r="DV89" s="1903"/>
      <c r="DW89" s="1904"/>
      <c r="DX89" s="1904"/>
      <c r="DY89" s="1902"/>
      <c r="DZ89" s="1088" t="str">
        <f t="shared" si="664"/>
        <v/>
      </c>
      <c r="EA89" s="1943"/>
      <c r="EB89" s="1089">
        <f t="shared" si="377"/>
        <v>48186953</v>
      </c>
      <c r="EC89" s="1967">
        <v>1</v>
      </c>
      <c r="ED89" s="1087">
        <f t="shared" si="20"/>
        <v>48186953</v>
      </c>
      <c r="EE89" s="1870">
        <v>636052</v>
      </c>
      <c r="EF89" s="1734">
        <v>61600978</v>
      </c>
      <c r="EG89" s="1092"/>
      <c r="EH89" s="1088">
        <f t="shared" si="353"/>
        <v>62237030</v>
      </c>
      <c r="EI89" s="1903"/>
      <c r="EJ89" s="1904"/>
      <c r="EK89" s="2015"/>
      <c r="EL89" s="1464"/>
      <c r="EM89" s="1903">
        <v>708504</v>
      </c>
      <c r="EN89" s="1904">
        <v>25701681</v>
      </c>
      <c r="EO89" s="2015">
        <v>8519100</v>
      </c>
      <c r="EP89" s="1088">
        <f t="shared" si="378"/>
        <v>34929285</v>
      </c>
      <c r="EQ89" s="2560"/>
      <c r="ER89" s="2560"/>
      <c r="ES89" s="2560"/>
      <c r="ET89" s="1464"/>
      <c r="EU89" s="1325"/>
      <c r="EV89" s="1345"/>
      <c r="EW89" s="2590"/>
      <c r="EX89" s="2590"/>
      <c r="EY89" s="2697">
        <f>+IF(BB89="","",(IF(ED89="",0,ED89)+IF(EH89="",0,EH89)+IF(EP89="",0,EP89)+IF(ET89="",0,ET89)+IF(EW89="",0,EW89)+IF(EX89="",0,EX89)))</f>
        <v>145353268</v>
      </c>
      <c r="EZ89" s="2726"/>
      <c r="FA89" s="1345"/>
      <c r="FB89" s="1479">
        <f t="shared" si="515"/>
        <v>145353268</v>
      </c>
      <c r="FC89" s="1089">
        <f t="shared" si="516"/>
        <v>48186953</v>
      </c>
      <c r="FD89" s="2048">
        <f t="shared" si="517"/>
        <v>28013121</v>
      </c>
      <c r="FE89" s="2032">
        <f t="shared" si="509"/>
        <v>0.58134244346182251</v>
      </c>
      <c r="FF89" s="2048">
        <f t="shared" si="518"/>
        <v>18426948</v>
      </c>
      <c r="FG89" s="2032">
        <f t="shared" si="519"/>
        <v>0.38240533697990825</v>
      </c>
      <c r="FH89" s="2048">
        <f t="shared" si="520"/>
        <v>0</v>
      </c>
      <c r="FI89" s="2032">
        <f t="shared" si="510"/>
        <v>0</v>
      </c>
      <c r="FJ89" s="2795">
        <f t="shared" si="521"/>
        <v>46440069</v>
      </c>
      <c r="FK89" s="2809">
        <f t="shared" si="522"/>
        <v>0.96374778044173082</v>
      </c>
      <c r="FL89" s="2781">
        <f t="shared" si="523"/>
        <v>1746884</v>
      </c>
      <c r="FM89" s="2032">
        <f t="shared" si="524"/>
        <v>3.6252219558269225E-2</v>
      </c>
      <c r="FN89" s="2781">
        <f t="shared" si="525"/>
        <v>0</v>
      </c>
      <c r="FO89" s="2771">
        <f t="shared" si="526"/>
        <v>0</v>
      </c>
      <c r="FP89" s="2781">
        <f t="shared" si="527"/>
        <v>0</v>
      </c>
      <c r="FQ89" s="2771">
        <f t="shared" si="528"/>
        <v>0</v>
      </c>
      <c r="FR89" s="2845">
        <f t="shared" si="529"/>
        <v>48186953</v>
      </c>
      <c r="FS89" s="2829" t="str">
        <f t="shared" si="530"/>
        <v/>
      </c>
      <c r="FT89" s="1515" t="str">
        <f t="shared" si="531"/>
        <v/>
      </c>
      <c r="FU89" s="2897">
        <f t="shared" si="532"/>
        <v>0</v>
      </c>
      <c r="FV89" s="1084">
        <f t="shared" si="533"/>
        <v>120467.38250000001</v>
      </c>
      <c r="FW89" s="2110">
        <f t="shared" si="534"/>
        <v>62237030</v>
      </c>
      <c r="FX89" s="1742">
        <f t="shared" si="535"/>
        <v>1.2915742981300353</v>
      </c>
      <c r="FY89" s="2111">
        <f t="shared" si="536"/>
        <v>34929285</v>
      </c>
      <c r="FZ89" s="1742">
        <f t="shared" si="537"/>
        <v>0.7248701738829596</v>
      </c>
      <c r="GA89" s="1742">
        <f t="shared" si="538"/>
        <v>0.31631973463590785</v>
      </c>
      <c r="GB89" s="2111" t="str">
        <f t="shared" si="539"/>
        <v/>
      </c>
      <c r="GC89" s="1742" t="str">
        <f t="shared" si="540"/>
        <v/>
      </c>
      <c r="GD89" s="1742" t="str">
        <f t="shared" si="541"/>
        <v/>
      </c>
      <c r="GE89" s="1091">
        <f t="shared" si="542"/>
        <v>145353268</v>
      </c>
      <c r="GF89" s="2146">
        <f t="shared" si="543"/>
        <v>145353268</v>
      </c>
      <c r="GG89" s="2174">
        <f t="shared" si="544"/>
        <v>6.8797902930128885E-9</v>
      </c>
      <c r="GH89" s="3182">
        <f t="shared" si="545"/>
        <v>363383.17</v>
      </c>
      <c r="GI89" s="3199">
        <v>37497929</v>
      </c>
      <c r="GJ89" s="3187">
        <v>746981</v>
      </c>
      <c r="GK89" s="3453">
        <f t="shared" si="423"/>
        <v>50.2</v>
      </c>
      <c r="GL89" s="3250">
        <f t="shared" si="546"/>
        <v>1.3792571490682286E-5</v>
      </c>
      <c r="GM89" s="755"/>
      <c r="GN89" s="757"/>
      <c r="GO89" s="1903">
        <v>20000</v>
      </c>
      <c r="GP89" s="2015">
        <f>+IF(GQ89="","",GQ89-GO89)</f>
        <v>108700</v>
      </c>
      <c r="GQ89" s="1464">
        <v>128700</v>
      </c>
      <c r="GR89" s="2324"/>
      <c r="GS89" s="2324"/>
      <c r="GT89" s="1088">
        <v>37369229</v>
      </c>
      <c r="GU89" s="2315">
        <f t="shared" si="547"/>
        <v>37497929</v>
      </c>
      <c r="GV89" s="756">
        <f t="shared" si="548"/>
        <v>20000</v>
      </c>
      <c r="GW89" s="2259">
        <f t="shared" si="549"/>
        <v>108700</v>
      </c>
      <c r="GX89" s="758">
        <f t="shared" si="550"/>
        <v>128700</v>
      </c>
      <c r="GY89" s="758" t="str">
        <f t="shared" si="551"/>
        <v/>
      </c>
      <c r="GZ89" s="758" t="str">
        <f t="shared" si="552"/>
        <v/>
      </c>
      <c r="HA89" s="1088">
        <f t="shared" si="553"/>
        <v>37369229</v>
      </c>
      <c r="HB89" s="2233">
        <f t="shared" si="432"/>
        <v>37497929</v>
      </c>
      <c r="HC89" s="2346">
        <f t="shared" si="554"/>
        <v>37497929</v>
      </c>
      <c r="HD89" s="1291">
        <f t="shared" si="375"/>
        <v>0</v>
      </c>
      <c r="HE89" s="755"/>
      <c r="HF89" s="1086">
        <f t="shared" si="555"/>
        <v>746981</v>
      </c>
      <c r="HG89" s="757">
        <f>+IF(OR(HC89="",$CL89=""),"",HC89/$CL89)</f>
        <v>517569.75845410628</v>
      </c>
      <c r="HH89" s="2998">
        <f>+IF(BF89="","",VALUE(LEFT(BF89,1)))</f>
        <v>4</v>
      </c>
      <c r="HI89" s="1293">
        <f>+IF(FR89="","",FR89)</f>
        <v>48186953</v>
      </c>
      <c r="HJ89" s="1734">
        <f>+IF(FP89="","",FP89)</f>
        <v>0</v>
      </c>
      <c r="HK89" s="1734">
        <f>+IF(FN89="","",FN89)</f>
        <v>0</v>
      </c>
      <c r="HL89" s="1734" t="str">
        <f>+IF(FR89="","",IF(HH89="","",IF(HH89=4,FS89,IF(HH89=3,FS89,IF(HH89=2,$HL$7*HI89,IF(HH89=1,$HL$6*HI89,""))))))</f>
        <v/>
      </c>
      <c r="HM89" s="1294">
        <f>IF(FR89="","",SUM(HI89:HL89))</f>
        <v>48186953</v>
      </c>
      <c r="HN89" s="3028">
        <f t="shared" si="347"/>
        <v>120467.38250000001</v>
      </c>
      <c r="HO89" s="2945">
        <f>+IF(FR89="","",IF(HH89="","",IF(HH89=4,FW89,IF(HH89=3,FW89,IF(HH89=2,$HO$7*HM89,IF(HH89=1,$HO$6*HM89,""))))))</f>
        <v>62237030</v>
      </c>
      <c r="HP89" s="2487">
        <f>+IF(FR89="","",IF(HH89="","",IF(HH89=4,FY89,IF(HH89=3,FY89,IF(HH89=2,$HP$7*(HM89+HO89),IF(HH89=1,$HP$6*HM89,""))))))</f>
        <v>34929285</v>
      </c>
      <c r="HQ89" s="3008" t="str">
        <f t="shared" si="556"/>
        <v/>
      </c>
      <c r="HR89" s="1092" t="str">
        <f t="shared" si="557"/>
        <v/>
      </c>
      <c r="HS89" s="1092">
        <f t="shared" si="558"/>
        <v>0</v>
      </c>
      <c r="HT89" s="2951" t="str">
        <f>+IF(FR89="","",IF(HH89="","",IF(HH89=2,$HT$7*(HP89+HR89),"")))</f>
        <v/>
      </c>
      <c r="HU89" s="2947" t="str">
        <f>+IF(FR89="","",IF(HH89="","",IF(HH89=2,$HU$7*(HP89+HR89),"")))</f>
        <v/>
      </c>
      <c r="HV89" s="2951" t="str">
        <f t="shared" si="559"/>
        <v/>
      </c>
      <c r="HW89" s="2947" t="str">
        <f t="shared" si="560"/>
        <v/>
      </c>
      <c r="HX89" s="3030">
        <f t="shared" si="199"/>
        <v>145353268</v>
      </c>
      <c r="HY89" s="2946" t="str">
        <f t="shared" si="561"/>
        <v/>
      </c>
      <c r="HZ89" s="2947" t="str">
        <f t="shared" si="562"/>
        <v/>
      </c>
      <c r="IA89" s="1089">
        <f t="shared" si="563"/>
        <v>145353268</v>
      </c>
      <c r="IB89" s="3041" t="str">
        <f t="shared" si="564"/>
        <v>same TCC</v>
      </c>
      <c r="IC89" s="2908">
        <f t="shared" si="565"/>
        <v>363383.17</v>
      </c>
      <c r="ID89" s="1289"/>
      <c r="IE89" s="4105"/>
      <c r="IF89" s="4116">
        <f t="shared" si="583"/>
        <v>20000</v>
      </c>
      <c r="IG89" s="6782">
        <f>+IF(IF89="","",(IF89/IF(AO89="",IF(AO88="",IF(AO87="",AO86,AO87),AO88),AO89)))</f>
        <v>82.101806239737272</v>
      </c>
      <c r="IH89" s="4089">
        <f t="shared" si="584"/>
        <v>108700</v>
      </c>
      <c r="II89" s="6796">
        <f>+IH89/IF(AQ89="",IF(AQ88="",IF(AQ87="",AQ86,AQ87),AQ88),AQ89)</f>
        <v>0.19488319558240852</v>
      </c>
      <c r="IJ89" s="4105">
        <f t="shared" si="585"/>
        <v>128700</v>
      </c>
      <c r="IK89" s="4142">
        <v>0</v>
      </c>
      <c r="IL89" s="4194">
        <f t="shared" si="670"/>
        <v>0</v>
      </c>
      <c r="IM89" s="4195">
        <f t="shared" si="671"/>
        <v>0</v>
      </c>
      <c r="IN89" s="4222" t="str">
        <f t="shared" si="588"/>
        <v/>
      </c>
      <c r="IO89" s="4222">
        <f t="shared" si="589"/>
        <v>128700</v>
      </c>
      <c r="IP89" s="7236">
        <f t="shared" si="672"/>
        <v>128700</v>
      </c>
      <c r="IQ89" s="7243">
        <f t="shared" si="673"/>
        <v>1.1666566309416555E-2</v>
      </c>
      <c r="IR89" s="7236" t="str">
        <f t="shared" si="674"/>
        <v/>
      </c>
      <c r="IS89" s="7243" t="str">
        <f t="shared" si="675"/>
        <v/>
      </c>
      <c r="IT89" s="4222">
        <f t="shared" si="594"/>
        <v>128700</v>
      </c>
      <c r="IU89" s="6854">
        <f t="shared" si="595"/>
        <v>1.1666566309416555E-2</v>
      </c>
      <c r="IV89" s="7270">
        <f t="shared" si="676"/>
        <v>2</v>
      </c>
      <c r="IW89" s="7256">
        <f t="shared" si="677"/>
        <v>10902823.4651451</v>
      </c>
      <c r="IX89" s="4187">
        <f t="shared" si="597"/>
        <v>11031523.4651451</v>
      </c>
      <c r="IY89" s="4255">
        <f t="shared" si="598"/>
        <v>37497929</v>
      </c>
      <c r="IZ89" s="4300">
        <f t="shared" si="599"/>
        <v>0.70580979378500874</v>
      </c>
      <c r="JA89" s="4306" t="str">
        <f t="shared" si="678"/>
        <v>stk added + 71%</v>
      </c>
      <c r="JB89" s="4158"/>
      <c r="JC89" s="4338"/>
      <c r="JD89" s="1086">
        <f t="shared" si="570"/>
        <v>219751.46344910556</v>
      </c>
      <c r="JE89" s="4337">
        <f t="shared" si="571"/>
        <v>152263.95397025673</v>
      </c>
      <c r="JF89" s="7040">
        <f t="shared" si="636"/>
        <v>400</v>
      </c>
      <c r="JG89" s="7056" t="s">
        <v>2437</v>
      </c>
      <c r="JH89" s="6971">
        <f t="shared" si="601"/>
        <v>145353268</v>
      </c>
      <c r="JI89" s="6971">
        <f>+JH89</f>
        <v>145353268</v>
      </c>
      <c r="JJ89" s="6971"/>
      <c r="JK89" s="6971"/>
      <c r="JL89" s="7008"/>
      <c r="JM89" s="7050" t="str">
        <f t="shared" si="679"/>
        <v>N/A</v>
      </c>
      <c r="JN89" s="1734" t="str">
        <f t="shared" si="637"/>
        <v/>
      </c>
      <c r="JO89" s="1734">
        <f>+JI89</f>
        <v>145353268</v>
      </c>
      <c r="JP89" s="7081"/>
      <c r="JQ89" s="7081"/>
      <c r="JR89" s="7056"/>
      <c r="JS89" s="7062">
        <f>+IF(D89="","",SUM(JO89:JR89))</f>
        <v>145353268</v>
      </c>
      <c r="JT89" s="7166">
        <f t="shared" si="476"/>
        <v>2</v>
      </c>
      <c r="JU89" s="7167">
        <f t="shared" si="680"/>
        <v>461</v>
      </c>
      <c r="JV89" s="8378">
        <f t="shared" si="681"/>
        <v>880454</v>
      </c>
      <c r="JW89" s="8405">
        <f t="shared" si="682"/>
        <v>72.45</v>
      </c>
      <c r="JX89" s="8434">
        <f t="shared" si="683"/>
        <v>52.060737527114966</v>
      </c>
      <c r="JY89" s="8469">
        <f t="shared" si="642"/>
        <v>7.2129975697330345E-2</v>
      </c>
      <c r="JZ89" s="7168">
        <f t="shared" si="684"/>
        <v>29783.132530120482</v>
      </c>
      <c r="KA89" s="7166" t="str">
        <f t="shared" si="685"/>
        <v/>
      </c>
      <c r="KB89" s="7167" t="str">
        <f t="shared" si="686"/>
        <v/>
      </c>
      <c r="KC89" s="7168" t="str">
        <f t="shared" si="687"/>
        <v/>
      </c>
      <c r="KD89" s="7166">
        <f t="shared" si="688"/>
        <v>19566.684000000001</v>
      </c>
      <c r="KE89" s="8342">
        <f t="shared" si="689"/>
        <v>45121.86</v>
      </c>
      <c r="KF89" s="8342">
        <f t="shared" si="690"/>
        <v>30258.188470588233</v>
      </c>
      <c r="KG89" s="7167">
        <f t="shared" si="691"/>
        <v>55747.259434007537</v>
      </c>
      <c r="KH89" s="7167">
        <f>IF(D89="","",IF(JT89=2,0.005*JF89*$KD$6/1000*1000*JU89,""))</f>
        <v>357883.52</v>
      </c>
      <c r="KI89" s="7167">
        <f>IF(D89="","",IF(JT89=2,0.1*0.005*JF89*$KD$6/1000*1000*JU89,""))</f>
        <v>35788.351999999999</v>
      </c>
      <c r="KJ89" s="7167">
        <f t="shared" si="692"/>
        <v>544365.86390459572</v>
      </c>
      <c r="KK89" s="7167">
        <f>+IF(OR(D89="",JU89="",JV89=""),"",$KK$7*$KG$4*JU89)</f>
        <v>48362.2192</v>
      </c>
      <c r="KL89" s="7167">
        <f t="shared" si="693"/>
        <v>251279.46205500001</v>
      </c>
      <c r="KM89" s="7167">
        <f t="shared" si="694"/>
        <v>299641.681255</v>
      </c>
      <c r="KN89" s="7167" t="str">
        <f>+IF(D89="","",IF(JX89&lt;41,$KN$8*JZ89*JY89,""))</f>
        <v/>
      </c>
      <c r="KO89" s="7167">
        <f t="shared" si="695"/>
        <v>299641.681255</v>
      </c>
      <c r="KP89" s="7168">
        <f t="shared" si="696"/>
        <v>844007.54515959579</v>
      </c>
      <c r="KQ89" s="7212">
        <f>+IF(D89="","",VLOOKUP(MATCH(BE89,ac_id,0),ad,ac!$F$8,FALSE)*JV89)</f>
        <v>264136.2</v>
      </c>
      <c r="KR89" s="7081">
        <f>+IF(D89="","",IF(JT89=1,VLOOKUP(MATCH(BE89,ac_id,0),ad,ac!$H$8,FALSE)*JU89, (VLOOKUP(MATCH(BE89,ac_id,0),ad,ac!$H$8,FALSE)*JU89^(1+VLOOKUP(MATCH(BE89,ac_id,0),ad,ac!$I$8,FALSE)))))</f>
        <v>20617.007623286485</v>
      </c>
      <c r="KS89" s="7062">
        <f t="shared" si="697"/>
        <v>284753.20762328652</v>
      </c>
      <c r="KT89" s="7212">
        <f t="shared" si="698"/>
        <v>179785.008753</v>
      </c>
      <c r="KU89" s="7056">
        <f t="shared" si="699"/>
        <v>5814130.7199999997</v>
      </c>
      <c r="KV89" s="7390">
        <f t="shared" si="667"/>
        <v>2</v>
      </c>
      <c r="KW89" s="7274">
        <f t="shared" si="700"/>
        <v>10902823.4651451</v>
      </c>
      <c r="KX89" s="7062">
        <f t="shared" si="701"/>
        <v>16896739.1938981</v>
      </c>
      <c r="KY89" s="7356">
        <f t="shared" si="702"/>
        <v>17740746.739057697</v>
      </c>
      <c r="KZ89" s="1343"/>
      <c r="LA89" s="7211">
        <f t="shared" si="668"/>
        <v>353401.3294633007</v>
      </c>
      <c r="LB89" s="1340">
        <f t="shared" si="669"/>
        <v>244868.83007671079</v>
      </c>
      <c r="LC89" s="5133"/>
      <c r="LD89" s="5132"/>
      <c r="LE89" s="5132"/>
      <c r="LF89" s="5132"/>
      <c r="LG89" s="5132"/>
      <c r="LH89" s="5132"/>
      <c r="LI89" s="5132"/>
      <c r="LJ89" s="5132"/>
    </row>
    <row r="90" spans="1:322" s="717" customFormat="1" ht="27.95" customHeight="1">
      <c r="A90" s="10539"/>
      <c r="B90" s="10521" t="str">
        <f>+IF(A90="","",VLOOKUP(MATCH(A90,tid,0),tao,'12(id)'!$J$20,FALSE))</f>
        <v/>
      </c>
      <c r="C90" s="10549"/>
      <c r="D90" s="1127" t="str">
        <f t="shared" si="48"/>
        <v>8306-03-03</v>
      </c>
      <c r="E90" s="730" t="str">
        <f>+IF(BD90="","",BD90)</f>
        <v>Selective Catalytic Reduction (SCR)</v>
      </c>
      <c r="F90" s="730" t="str">
        <f t="shared" si="49"/>
        <v>SCR</v>
      </c>
      <c r="G90" s="5133"/>
      <c r="H90" s="5132"/>
      <c r="I90" s="5133"/>
      <c r="J90" s="719">
        <f t="shared" si="68"/>
        <v>56</v>
      </c>
      <c r="K90" s="10541"/>
      <c r="L90" s="9721"/>
      <c r="M90" s="9718"/>
      <c r="N90" s="9699"/>
      <c r="O90" s="9518"/>
      <c r="P90" s="9518"/>
      <c r="Q90" s="9714"/>
      <c r="R90" s="10183"/>
      <c r="S90" s="9714"/>
      <c r="T90" s="10526"/>
      <c r="U90" s="10529"/>
      <c r="V90" s="9504"/>
      <c r="W90" s="9504"/>
      <c r="X90" s="9504"/>
      <c r="Y90" s="8553" t="str">
        <f>+IF(ISERROR(MATCH(O90,tid,0)),"",IF(VLOOKUP(MATCH(O90,tid,0),tao,'12(id)'!$CQ$20,FALSE)="","",VLOOKUP(MATCH(O90,tid,0),tao,'12(id)'!$CQ$20,FALSE)))</f>
        <v/>
      </c>
      <c r="Z90" s="9518"/>
      <c r="AA90" s="9518"/>
      <c r="AB90" s="9648"/>
      <c r="AC90" s="9648"/>
      <c r="AD90" s="10412" t="str">
        <f>+IF(ISERROR(MATCH(O90,tid,0)),"",IF(VLOOKUP(MATCH(O90,tid,0),tao,'12(id)'!$EI$20,FALSE)="","",VLOOKUP(MATCH(O90,tid,0),tao,'12(id)'!$EI$20,FALSE)))</f>
        <v/>
      </c>
      <c r="AE90" s="10412" t="str">
        <f>+IF(ISERROR(MATCH(O90,tid,0)),"",IF(VLOOKUP(MATCH(O90,tid,0),tao,'12(id)'!$EJ$20,FALSE)="","",VLOOKUP(MATCH(O90,tid,0),tao,'12(id)'!$EJ$20,FALSE)))</f>
        <v/>
      </c>
      <c r="AF90" s="10412" t="str">
        <f>+IF(ISERROR(MATCH(O90,tid,0)),"",IF(VLOOKUP(MATCH(O90,tid,0),tao,'12(id)'!$EL$20,FALSE)="","",VLOOKUP(MATCH(O90,tid,0),tao,'12(id)'!$EL$20,FALSE)))</f>
        <v/>
      </c>
      <c r="AG90" s="10409" t="str">
        <f>+IF(ISERROR(MATCH(O90,tid,0)),"",IF(VLOOKUP(MATCH(O90,tid,0),tao,'12(id)'!$EM$20,FALSE)="","",VLOOKUP(MATCH(O90,tid,0),tao,'12(id)'!$EM$20,FALSE)))</f>
        <v/>
      </c>
      <c r="AH90" s="10439"/>
      <c r="AI90" s="10441"/>
      <c r="AJ90" s="10441"/>
      <c r="AK90" s="10441"/>
      <c r="AL90" s="10441"/>
      <c r="AM90" s="10432"/>
      <c r="AN90" s="10422"/>
      <c r="AO90" s="10457" t="str">
        <f>+IF(ISERROR(MATCH(O90,tid,0)),"",IF(VLOOKUP(MATCH(O90,tid,0),tao,'12(id)'!$GY$20,FALSE)="","",VLOOKUP(MATCH(O90,tid,0),tao,'12(id)'!$GY$20,FALSE)))</f>
        <v/>
      </c>
      <c r="AP90" s="10378" t="e">
        <f>+IF($BB90="","",IF(VLOOKUP(MATCH(O90,tid,0),tao,'12(id)'!$HE$20,FALSE)="","",VLOOKUP(MATCH(O90,tid,0),tao,'12(id)'!$HE$20,FALSE)))</f>
        <v>#N/A</v>
      </c>
      <c r="AQ90" s="10378" t="str">
        <f>+IF(ISERROR(VLOOKUP(MATCH(O90,tid,0),tao,'12(id)'!$HF$20,FALSE)),"",VLOOKUP(MATCH(O90,tid,0),tao,'12(id)'!$HF$20,FALSE))</f>
        <v/>
      </c>
      <c r="AR90" s="10381" t="str">
        <f>+IF(ISERROR(MATCH(O90,tid,0)),"",IF(VLOOKUP(MATCH(O90,tid,0),tao,'12(id)'!$HJ$20,FALSE)="","",VLOOKUP(MATCH(O90,tid,0),tao,'12(id)'!$HJ$20,FALSE)))</f>
        <v/>
      </c>
      <c r="AS90" s="10384" t="str">
        <f>+IF(ISERROR(MATCH(O90,tid,0)),"",IF(VLOOKUP(MATCH(O90,tid,0),tao,'12(id)'!$HK$20,FALSE)="","",VLOOKUP(MATCH(O90,tid,0),tao,'12(id)'!$HK$20,FALSE)))</f>
        <v/>
      </c>
      <c r="AT90" s="10387" t="str">
        <f>+IF(ISERROR(MATCH(O90,tid,0)),"",IF(VLOOKUP(MATCH(O90,tid,0),tao,'12(id)'!$HM$20,FALSE)="","",VLOOKUP(MATCH(O90,tid,0),tao,'12(id)'!$HM$20,FALSE)))</f>
        <v/>
      </c>
      <c r="AU90" s="10471"/>
      <c r="AV90" s="10473"/>
      <c r="AW90" s="10489"/>
      <c r="AX90" s="10478"/>
      <c r="AY90" s="10480"/>
      <c r="AZ90" s="10482"/>
      <c r="BA90" s="741"/>
      <c r="BB90" s="742" t="str">
        <f t="shared" si="311"/>
        <v>8306-03-03</v>
      </c>
      <c r="BC90" s="743">
        <v>3</v>
      </c>
      <c r="BD90" s="730" t="str">
        <f>+IF(OR(D90="",VLOOKUP(MATCH(D90,op_id,0),op,'7(op)'!$T$18,FALSE)=""),"",VLOOKUP(MATCH(D90,op_id,0),op,'7(op)'!$T$18,FALSE))</f>
        <v>Selective Catalytic Reduction (SCR)</v>
      </c>
      <c r="BE90" s="1708" t="s">
        <v>1093</v>
      </c>
      <c r="BF90" s="1708" t="s">
        <v>1862</v>
      </c>
      <c r="BG90" s="744"/>
      <c r="BH90" s="748"/>
      <c r="BI90" s="749"/>
      <c r="BJ90" s="750"/>
      <c r="BK90" s="750"/>
      <c r="BL90" s="750"/>
      <c r="BM90" s="750"/>
      <c r="BN90" s="750"/>
      <c r="BO90" s="750"/>
      <c r="BP90" s="750"/>
      <c r="BQ90" s="750"/>
      <c r="BR90" s="751"/>
      <c r="BS90" s="2382" t="s">
        <v>559</v>
      </c>
      <c r="BT90" s="753"/>
      <c r="BU90" s="3709">
        <f>+IF(BB90="","",IF(VLOOKUP(MATCH(BB90,ef_id,0),ef,'11(eff)'!$Z$23,FALSE)="","",VLOOKUP(MATCH(BB90,ef_id,0),ef,'11(eff)'!$Z$23,FALSE)))</f>
        <v>0.1</v>
      </c>
      <c r="BV90" s="3753" t="str">
        <f>+IF(BB90="","",IF(VLOOKUP(MATCH(BB90,ef_id,0),ef,'11(eff)'!$AA$23,FALSE)="","",VLOOKUP(MATCH(BB90,ef_id,0),ef,'11(eff)'!$AA$23,FALSE)))</f>
        <v/>
      </c>
      <c r="BW90" s="3778">
        <v>27.89</v>
      </c>
      <c r="BX90" s="1962">
        <f t="shared" si="511"/>
        <v>27.89</v>
      </c>
      <c r="BY90" s="1077">
        <f t="shared" si="512"/>
        <v>27.888500000000001</v>
      </c>
      <c r="BZ90" s="3259"/>
      <c r="CA90" s="3419"/>
      <c r="CB90" s="1082">
        <f t="shared" si="382"/>
        <v>50.2</v>
      </c>
      <c r="CC90" s="3867">
        <f t="shared" si="513"/>
        <v>0.64284799590216413</v>
      </c>
      <c r="CD90" s="3867">
        <f t="shared" si="514"/>
        <v>0.64285714285714279</v>
      </c>
      <c r="CE90" s="2377">
        <f>+IF(BB90="","",IF(VLOOKUP(MATCH(BB90,ef_id,0),ef,'11(eff)'!$AE$23,FALSE)="","",VLOOKUP(MATCH(BB90,ef_id,0),ef,'11(eff)'!$AE$23,FALSE)))</f>
        <v>0.9</v>
      </c>
      <c r="CF90" s="752"/>
      <c r="CG90" s="753"/>
      <c r="CH90" s="2415"/>
      <c r="CI90" s="3911">
        <f t="shared" si="628"/>
        <v>1.8286020621179521E-2</v>
      </c>
      <c r="CJ90" s="4069" t="str">
        <f>+IF(AY88="","",AY88*(1-CO90))</f>
        <v/>
      </c>
      <c r="CK90" s="3911">
        <f>+IF($BB90="","",IF(CI90="",IF($AZ90="",IF($AZ89="",$AZ88,$AZ89),$AZ90)-CL90,IF(OR(IF($AW90="",IF($AW89="",$AW88,$AW89),$AW90)="",CI90=""),"",CI90/2000*IF($AW90="",IF($AW89="",$AW88,$AW89),$AW90))))</f>
        <v>8.0499999999999972</v>
      </c>
      <c r="CL90" s="4001">
        <f>+IF($BB90="","",IF(CI90="",CO90*IF($AZ90="",IF($AZ89="",$AZ88,$AZ89),$AZ90),IF(CK90="","",IF($AZ90="",IF($AZ89="",$AZ88,$AZ89),$AZ90)-CK90)))</f>
        <v>72.45</v>
      </c>
      <c r="CM90" s="4002">
        <f>+IF($BB90="","",IF(CL90="","",CL90/IF($AZ90="",IF($AZ89="",$AZ88,$AZ89),$AZ90)))</f>
        <v>0.9</v>
      </c>
      <c r="CN90" s="4002">
        <f>+IF($BB90="","",IF(CI90="","",(1-CI90/IF($AX90="",IF($AX89="",$AX88,$AX89),$AX90))))</f>
        <v>0.89841099654900269</v>
      </c>
      <c r="CO90" s="4003">
        <f>+IF(BB90="","",IF(VLOOKUP(MATCH(BB90,ef_id,0),ef,'11(eff)'!$AE$23,FALSE)="","",VLOOKUP(MATCH(BB90,ef_id,0),ef,'11(eff)'!$AE$23,FALSE)))</f>
        <v>0.9</v>
      </c>
      <c r="CP90" s="4004">
        <f>+IF(OR(BB90="",VLOOKUP(MATCH(BB90,ef_id,0),ef,'11(eff)'!$AG$23,FALSE)=""),"",IF(VLOOKUP(MATCH(BB90,ef_id,0),ef,'11(eff)'!$AG$23,FALSE)/100=VLOOKUP(MATCH(BB90,ef_id,0),ef,'11(eff)'!$AE$23,FALSE),VLOOKUP(MATCH(BB90,ef_id,0),ef,'11(eff)'!$AE$23,FALSE),""))</f>
        <v>0.9</v>
      </c>
      <c r="CQ90" s="752" t="str">
        <f t="shared" si="51"/>
        <v>Selective Catalytic Reduction (SCR)</v>
      </c>
      <c r="CR90" s="754"/>
      <c r="CS90" s="2764">
        <v>106812093</v>
      </c>
      <c r="CT90" s="1590">
        <v>32426295</v>
      </c>
      <c r="CU90" s="1089">
        <v>28013121</v>
      </c>
      <c r="CV90" s="1868">
        <f t="shared" si="309"/>
        <v>50000</v>
      </c>
      <c r="CW90" s="1869">
        <v>203697</v>
      </c>
      <c r="CX90" s="1869">
        <f>1184506+530766</f>
        <v>1715272</v>
      </c>
      <c r="CY90" s="1092"/>
      <c r="CZ90" s="2477">
        <f>533949+163372</f>
        <v>697321</v>
      </c>
      <c r="DA90" s="2487"/>
      <c r="DB90" s="2487">
        <v>1746884</v>
      </c>
      <c r="DC90" s="1868"/>
      <c r="DD90" s="1902"/>
      <c r="DE90" s="1903"/>
      <c r="DF90" s="1904"/>
      <c r="DG90" s="1904"/>
      <c r="DH90" s="1902"/>
      <c r="DI90" s="1088">
        <f>+IF(CT90="","",SUM(CU90:DC90)+SUM(DE90:DF90))</f>
        <v>32426295</v>
      </c>
      <c r="DJ90" s="1943"/>
      <c r="DK90" s="1590"/>
      <c r="DL90" s="1089"/>
      <c r="DM90" s="1868" t="str">
        <f t="shared" si="310"/>
        <v/>
      </c>
      <c r="DN90" s="1869"/>
      <c r="DO90" s="1869"/>
      <c r="DP90" s="1092"/>
      <c r="DQ90" s="2477"/>
      <c r="DR90" s="2487"/>
      <c r="DS90" s="2487"/>
      <c r="DT90" s="1868"/>
      <c r="DU90" s="1902"/>
      <c r="DV90" s="1903"/>
      <c r="DW90" s="1904"/>
      <c r="DX90" s="1904"/>
      <c r="DY90" s="1902"/>
      <c r="DZ90" s="1088" t="str">
        <f t="shared" si="664"/>
        <v/>
      </c>
      <c r="EA90" s="1943"/>
      <c r="EB90" s="1089">
        <f t="shared" si="377"/>
        <v>32426295</v>
      </c>
      <c r="EC90" s="1967">
        <v>1</v>
      </c>
      <c r="ED90" s="1087">
        <f t="shared" si="20"/>
        <v>32426295</v>
      </c>
      <c r="EE90" s="1870">
        <f>+EE89</f>
        <v>636052</v>
      </c>
      <c r="EF90" s="1734">
        <v>46530759</v>
      </c>
      <c r="EG90" s="1092"/>
      <c r="EH90" s="1088">
        <f t="shared" si="353"/>
        <v>47166811</v>
      </c>
      <c r="EI90" s="1903"/>
      <c r="EJ90" s="1904"/>
      <c r="EK90" s="2015"/>
      <c r="EL90" s="1464"/>
      <c r="EM90" s="1903">
        <v>633491</v>
      </c>
      <c r="EN90" s="1904">
        <v>19674495</v>
      </c>
      <c r="EO90" s="2015">
        <v>6911001</v>
      </c>
      <c r="EP90" s="1088">
        <f t="shared" si="378"/>
        <v>27218987</v>
      </c>
      <c r="EQ90" s="2560"/>
      <c r="ER90" s="2560"/>
      <c r="ES90" s="2560"/>
      <c r="ET90" s="1464"/>
      <c r="EU90" s="1325"/>
      <c r="EV90" s="1345"/>
      <c r="EW90" s="2590"/>
      <c r="EX90" s="2590"/>
      <c r="EY90" s="2697">
        <f>+IF(BB90="","",(IF(ED90="",0,ED90)+IF(EH90="",0,EH90)+IF(EP90="",0,EP90)+IF(ET90="",0,ET90)+IF(EW90="",0,EW90)+IF(EX90="",0,EX90)))</f>
        <v>106812093</v>
      </c>
      <c r="EZ90" s="2726"/>
      <c r="FA90" s="1345"/>
      <c r="FB90" s="1479">
        <f t="shared" si="515"/>
        <v>106812093</v>
      </c>
      <c r="FC90" s="1089">
        <f t="shared" si="516"/>
        <v>32426295</v>
      </c>
      <c r="FD90" s="2048">
        <f t="shared" si="517"/>
        <v>28013121</v>
      </c>
      <c r="FE90" s="2032">
        <f t="shared" si="509"/>
        <v>0.8639013800374048</v>
      </c>
      <c r="FF90" s="2048">
        <f t="shared" si="518"/>
        <v>2666290</v>
      </c>
      <c r="FG90" s="2032">
        <f t="shared" si="519"/>
        <v>8.2226168607915276E-2</v>
      </c>
      <c r="FH90" s="2048">
        <f t="shared" si="520"/>
        <v>0</v>
      </c>
      <c r="FI90" s="2032">
        <f t="shared" si="510"/>
        <v>0</v>
      </c>
      <c r="FJ90" s="2795">
        <f t="shared" si="521"/>
        <v>30679411</v>
      </c>
      <c r="FK90" s="2809">
        <f t="shared" si="522"/>
        <v>0.94612754864532012</v>
      </c>
      <c r="FL90" s="2781">
        <f t="shared" si="523"/>
        <v>1746884</v>
      </c>
      <c r="FM90" s="2032">
        <f t="shared" si="524"/>
        <v>5.3872451354679898E-2</v>
      </c>
      <c r="FN90" s="2781">
        <f t="shared" si="525"/>
        <v>0</v>
      </c>
      <c r="FO90" s="2771">
        <f t="shared" si="526"/>
        <v>0</v>
      </c>
      <c r="FP90" s="2781">
        <f t="shared" si="527"/>
        <v>0</v>
      </c>
      <c r="FQ90" s="2771">
        <f t="shared" si="528"/>
        <v>0</v>
      </c>
      <c r="FR90" s="2845">
        <f t="shared" si="529"/>
        <v>32426295</v>
      </c>
      <c r="FS90" s="2829" t="str">
        <f t="shared" si="530"/>
        <v/>
      </c>
      <c r="FT90" s="1515" t="str">
        <f t="shared" si="531"/>
        <v/>
      </c>
      <c r="FU90" s="2897">
        <f t="shared" si="532"/>
        <v>0</v>
      </c>
      <c r="FV90" s="1084">
        <f t="shared" si="533"/>
        <v>81065.737500000003</v>
      </c>
      <c r="FW90" s="2110">
        <f t="shared" si="534"/>
        <v>47166811</v>
      </c>
      <c r="FX90" s="1742">
        <f t="shared" si="535"/>
        <v>1.45458526791297</v>
      </c>
      <c r="FY90" s="2111">
        <f t="shared" si="536"/>
        <v>27218987</v>
      </c>
      <c r="FZ90" s="1742">
        <f t="shared" si="537"/>
        <v>0.83941094719578668</v>
      </c>
      <c r="GA90" s="1742" t="str">
        <f t="shared" si="538"/>
        <v/>
      </c>
      <c r="GB90" s="2111" t="str">
        <f t="shared" si="539"/>
        <v/>
      </c>
      <c r="GC90" s="1742" t="str">
        <f t="shared" si="540"/>
        <v/>
      </c>
      <c r="GD90" s="1742" t="str">
        <f t="shared" si="541"/>
        <v/>
      </c>
      <c r="GE90" s="1091">
        <f t="shared" si="542"/>
        <v>106812093</v>
      </c>
      <c r="GF90" s="2146">
        <f t="shared" si="543"/>
        <v>106812093</v>
      </c>
      <c r="GG90" s="2174">
        <f t="shared" si="544"/>
        <v>0</v>
      </c>
      <c r="GH90" s="3182">
        <f t="shared" si="545"/>
        <v>267030.23249999998</v>
      </c>
      <c r="GI90" s="3199">
        <v>27528526</v>
      </c>
      <c r="GJ90" s="3187">
        <v>548385</v>
      </c>
      <c r="GK90" s="3453">
        <f t="shared" si="423"/>
        <v>50.2</v>
      </c>
      <c r="GL90" s="3250">
        <f t="shared" si="546"/>
        <v>1.4566495817277977E-5</v>
      </c>
      <c r="GM90" s="755"/>
      <c r="GN90" s="757"/>
      <c r="GO90" s="1903">
        <v>20000</v>
      </c>
      <c r="GP90" s="2015">
        <f>+IF(GQ90="","",GQ90-GO90)</f>
        <v>47943</v>
      </c>
      <c r="GQ90" s="1464">
        <v>67943</v>
      </c>
      <c r="GR90" s="2324"/>
      <c r="GS90" s="2324"/>
      <c r="GT90" s="1088">
        <v>27460583</v>
      </c>
      <c r="GU90" s="2315">
        <f t="shared" si="547"/>
        <v>27528526</v>
      </c>
      <c r="GV90" s="756">
        <f t="shared" si="548"/>
        <v>20000</v>
      </c>
      <c r="GW90" s="2259">
        <f t="shared" si="549"/>
        <v>47943</v>
      </c>
      <c r="GX90" s="758">
        <f t="shared" si="550"/>
        <v>67943</v>
      </c>
      <c r="GY90" s="758" t="str">
        <f t="shared" si="551"/>
        <v/>
      </c>
      <c r="GZ90" s="758" t="str">
        <f t="shared" si="552"/>
        <v/>
      </c>
      <c r="HA90" s="1088">
        <f t="shared" si="553"/>
        <v>27460583</v>
      </c>
      <c r="HB90" s="2233">
        <f t="shared" si="432"/>
        <v>27528526</v>
      </c>
      <c r="HC90" s="2346">
        <f t="shared" si="554"/>
        <v>27528526</v>
      </c>
      <c r="HD90" s="1291">
        <f t="shared" si="375"/>
        <v>0</v>
      </c>
      <c r="HE90" s="755"/>
      <c r="HF90" s="1086">
        <f t="shared" si="555"/>
        <v>548385</v>
      </c>
      <c r="HG90" s="757">
        <f>+IF(OR(HC90="",$CL90=""),"",HC90/$CL90)</f>
        <v>379965.85231193923</v>
      </c>
      <c r="HH90" s="2998">
        <f>+IF(BF90="","",VALUE(LEFT(BF90,1)))</f>
        <v>4</v>
      </c>
      <c r="HI90" s="1293">
        <f>+IF(FR90="","",FR90)</f>
        <v>32426295</v>
      </c>
      <c r="HJ90" s="1734">
        <f>+IF(FP90="","",FP90)</f>
        <v>0</v>
      </c>
      <c r="HK90" s="1734">
        <f>+IF(FN90="","",FN90)</f>
        <v>0</v>
      </c>
      <c r="HL90" s="1734" t="str">
        <f>+IF(FR90="","",IF(HH90="","",IF(HH90=4,FS90,IF(HH90=3,FS90,IF(HH90=2,$HL$7*HI90,IF(HH90=1,$HL$6*HI90,""))))))</f>
        <v/>
      </c>
      <c r="HM90" s="1294">
        <f>IF(FR90="","",SUM(HI90:HL90))</f>
        <v>32426295</v>
      </c>
      <c r="HN90" s="3028">
        <f t="shared" si="347"/>
        <v>81065.737500000003</v>
      </c>
      <c r="HO90" s="2945">
        <f>+IF(FR90="","",IF(HH90="","",IF(HH90=4,FW90,IF(HH90=3,FW90,IF(HH90=2,$HO$7*HM90,IF(HH90=1,$HO$6*HM90,""))))))</f>
        <v>47166811</v>
      </c>
      <c r="HP90" s="2487">
        <f>+IF(FR90="","",IF(HH90="","",IF(HH90=4,FY90,IF(HH90=3,FY90,IF(HH90=2,$HP$7*(HM90+HO90),IF(HH90=1,$HP$6*HM90,""))))))</f>
        <v>27218987</v>
      </c>
      <c r="HQ90" s="3008" t="str">
        <f t="shared" si="556"/>
        <v/>
      </c>
      <c r="HR90" s="1092" t="str">
        <f t="shared" si="557"/>
        <v/>
      </c>
      <c r="HS90" s="1092">
        <f t="shared" si="558"/>
        <v>0</v>
      </c>
      <c r="HT90" s="2951" t="str">
        <f>+IF(FR90="","",IF(HH90="","",IF(HH90=2,$HT$7*(HP90+HR90),"")))</f>
        <v/>
      </c>
      <c r="HU90" s="2947" t="str">
        <f>+IF(FR90="","",IF(HH90="","",IF(HH90=2,$HU$7*(HP90+HR90),"")))</f>
        <v/>
      </c>
      <c r="HV90" s="2951" t="str">
        <f t="shared" si="559"/>
        <v/>
      </c>
      <c r="HW90" s="2947" t="str">
        <f t="shared" si="560"/>
        <v/>
      </c>
      <c r="HX90" s="3030">
        <f t="shared" si="199"/>
        <v>106812093</v>
      </c>
      <c r="HY90" s="2946" t="str">
        <f t="shared" si="561"/>
        <v/>
      </c>
      <c r="HZ90" s="2947" t="str">
        <f t="shared" si="562"/>
        <v/>
      </c>
      <c r="IA90" s="1089">
        <f t="shared" si="563"/>
        <v>106812093</v>
      </c>
      <c r="IB90" s="3041" t="str">
        <f t="shared" si="564"/>
        <v>same TCC</v>
      </c>
      <c r="IC90" s="2908">
        <f t="shared" si="565"/>
        <v>267030.23249999998</v>
      </c>
      <c r="ID90" s="1289"/>
      <c r="IE90" s="4105"/>
      <c r="IF90" s="4116">
        <f t="shared" si="583"/>
        <v>20000</v>
      </c>
      <c r="IG90" s="6782">
        <f>+IF(IF90="","",(IF90/IF(AO90="",IF(AO89="",IF(AO88="",AO87,AO88),AO89),AO90)))</f>
        <v>82.101806239737272</v>
      </c>
      <c r="IH90" s="4089">
        <f t="shared" si="584"/>
        <v>47943</v>
      </c>
      <c r="II90" s="6796">
        <f>+IH90/IF(AQ90="",IF(AQ89="",IF(AQ88="",AQ87,AQ88),AQ89),AQ90)</f>
        <v>8.5954784230058978E-2</v>
      </c>
      <c r="IJ90" s="4105">
        <f t="shared" si="585"/>
        <v>67943</v>
      </c>
      <c r="IK90" s="4142">
        <v>0</v>
      </c>
      <c r="IL90" s="4194">
        <f t="shared" si="670"/>
        <v>0</v>
      </c>
      <c r="IM90" s="4195">
        <f t="shared" si="671"/>
        <v>0</v>
      </c>
      <c r="IN90" s="4222" t="str">
        <f t="shared" si="588"/>
        <v/>
      </c>
      <c r="IO90" s="4222">
        <f t="shared" si="589"/>
        <v>67943</v>
      </c>
      <c r="IP90" s="7236">
        <f t="shared" si="672"/>
        <v>67943</v>
      </c>
      <c r="IQ90" s="7243">
        <f t="shared" si="673"/>
        <v>8.4089680909363307E-3</v>
      </c>
      <c r="IR90" s="7236" t="str">
        <f t="shared" si="674"/>
        <v/>
      </c>
      <c r="IS90" s="7243" t="str">
        <f t="shared" si="675"/>
        <v/>
      </c>
      <c r="IT90" s="4222">
        <f t="shared" si="594"/>
        <v>67943</v>
      </c>
      <c r="IU90" s="6854">
        <f t="shared" si="595"/>
        <v>8.4089680909363307E-3</v>
      </c>
      <c r="IV90" s="7270">
        <f t="shared" si="676"/>
        <v>2</v>
      </c>
      <c r="IW90" s="7256">
        <f>IF(IA90="","",IF(IV90=1,$IW$5,IF(IV90=2,$IW$8,""))*IA90)</f>
        <v>8011883.1172179813</v>
      </c>
      <c r="IX90" s="4187">
        <f t="shared" si="597"/>
        <v>8079826.1172179813</v>
      </c>
      <c r="IY90" s="4255">
        <f t="shared" si="598"/>
        <v>27528526</v>
      </c>
      <c r="IZ90" s="4300">
        <f t="shared" si="599"/>
        <v>0.70649259908728934</v>
      </c>
      <c r="JA90" s="4306" t="str">
        <f t="shared" si="678"/>
        <v>stk added + 71%</v>
      </c>
      <c r="JB90" s="4158"/>
      <c r="JC90" s="4338"/>
      <c r="JD90" s="1086">
        <f t="shared" si="570"/>
        <v>160952.71149836614</v>
      </c>
      <c r="JE90" s="4337">
        <f t="shared" si="571"/>
        <v>111522.78974766019</v>
      </c>
      <c r="JF90" s="7040">
        <f t="shared" si="636"/>
        <v>400</v>
      </c>
      <c r="JG90" s="7056" t="s">
        <v>1093</v>
      </c>
      <c r="JH90" s="6971">
        <f t="shared" si="601"/>
        <v>106812093</v>
      </c>
      <c r="JI90" s="6971">
        <f>+JH90</f>
        <v>106812093</v>
      </c>
      <c r="JJ90" s="6971"/>
      <c r="JK90" s="6971"/>
      <c r="JL90" s="7008"/>
      <c r="JM90" s="7050">
        <f t="shared" si="679"/>
        <v>20339000</v>
      </c>
      <c r="JN90" s="1734">
        <f t="shared" si="637"/>
        <v>35186470</v>
      </c>
      <c r="JO90" s="1734">
        <f>+JI90</f>
        <v>106812093</v>
      </c>
      <c r="JP90" s="7081"/>
      <c r="JQ90" s="7081"/>
      <c r="JR90" s="7056"/>
      <c r="JS90" s="7062">
        <f>+IF(D90="","",SUM(JO90:JR90))</f>
        <v>106812093</v>
      </c>
      <c r="JT90" s="7166">
        <f t="shared" si="476"/>
        <v>2</v>
      </c>
      <c r="JU90" s="7167">
        <f t="shared" si="680"/>
        <v>461</v>
      </c>
      <c r="JV90" s="8378">
        <f t="shared" si="681"/>
        <v>880454</v>
      </c>
      <c r="JW90" s="8405">
        <f t="shared" si="682"/>
        <v>72.45</v>
      </c>
      <c r="JX90" s="8434">
        <f t="shared" si="683"/>
        <v>52.060737527114966</v>
      </c>
      <c r="JY90" s="8469">
        <f t="shared" si="642"/>
        <v>7.2129975697330345E-2</v>
      </c>
      <c r="JZ90" s="7168">
        <f t="shared" si="684"/>
        <v>29783.132530120482</v>
      </c>
      <c r="KA90" s="7166" t="str">
        <f t="shared" si="685"/>
        <v/>
      </c>
      <c r="KB90" s="7167" t="str">
        <f t="shared" si="686"/>
        <v/>
      </c>
      <c r="KC90" s="7168" t="str">
        <f t="shared" si="687"/>
        <v/>
      </c>
      <c r="KD90" s="7166">
        <f t="shared" si="688"/>
        <v>19566.684000000001</v>
      </c>
      <c r="KE90" s="8342">
        <f t="shared" si="689"/>
        <v>45121.86</v>
      </c>
      <c r="KF90" s="8342">
        <f t="shared" si="690"/>
        <v>30258.188470588233</v>
      </c>
      <c r="KG90" s="7167">
        <f t="shared" si="691"/>
        <v>55747.259434007537</v>
      </c>
      <c r="KH90" s="7167">
        <f>IF(D90="","",IF(JT90=2,0.005*JF90*$KD$6/1000*1000*JU90,""))</f>
        <v>357883.52</v>
      </c>
      <c r="KI90" s="7167">
        <f>IF(D90="","",IF(JT90=2,0.1*0.005*JF90*$KD$6/1000*1000*JU90,""))</f>
        <v>35788.351999999999</v>
      </c>
      <c r="KJ90" s="7167">
        <f t="shared" si="692"/>
        <v>544365.86390459572</v>
      </c>
      <c r="KK90" s="7167">
        <f>+IF(OR(D90="",JU90="",JV90=""),"",$KK$7*$KG$4*JU90)</f>
        <v>48362.2192</v>
      </c>
      <c r="KL90" s="7167">
        <f t="shared" si="693"/>
        <v>60828.610012499994</v>
      </c>
      <c r="KM90" s="7167">
        <f t="shared" si="694"/>
        <v>109190.82921249999</v>
      </c>
      <c r="KN90" s="7167" t="str">
        <f>+IF(D90="","",IF(JX90&lt;41,$KN$8*JZ90*JY90,""))</f>
        <v/>
      </c>
      <c r="KO90" s="7167">
        <f t="shared" si="695"/>
        <v>109190.82921249999</v>
      </c>
      <c r="KP90" s="7168">
        <f t="shared" si="696"/>
        <v>653556.69311709574</v>
      </c>
      <c r="KQ90" s="7212">
        <f>+IF(D90="","",VLOOKUP(MATCH(BE90,ac_id,0),ad,ac!$F$8,FALSE)*JV90)</f>
        <v>264136.2</v>
      </c>
      <c r="KR90" s="7081">
        <f>+IF(D90="","",IF(JT90=1,VLOOKUP(MATCH(BE90,ac_id,0),ad,ac!$H$8,FALSE)*JU90, (VLOOKUP(MATCH(BE90,ac_id,0),ad,ac!$H$8,FALSE)*JU90^(1+VLOOKUP(MATCH(BE90,ac_id,0),ad,ac!$I$8,FALSE)))))</f>
        <v>20617.007623286485</v>
      </c>
      <c r="KS90" s="7062">
        <f t="shared" si="697"/>
        <v>284753.20762328652</v>
      </c>
      <c r="KT90" s="7212">
        <f t="shared" si="698"/>
        <v>65514.497527499989</v>
      </c>
      <c r="KU90" s="7056">
        <f t="shared" si="699"/>
        <v>1407458.8</v>
      </c>
      <c r="KV90" s="7390">
        <f t="shared" si="667"/>
        <v>2</v>
      </c>
      <c r="KW90" s="7274">
        <f t="shared" si="700"/>
        <v>8011883.1172179813</v>
      </c>
      <c r="KX90" s="7062">
        <f t="shared" si="701"/>
        <v>9484856.4147454817</v>
      </c>
      <c r="KY90" s="7356">
        <f t="shared" si="702"/>
        <v>10138413.107862577</v>
      </c>
      <c r="KZ90" s="1343"/>
      <c r="LA90" s="7211">
        <f t="shared" si="668"/>
        <v>201960.42047535011</v>
      </c>
      <c r="LB90" s="1340">
        <f t="shared" si="669"/>
        <v>139936.68885938684</v>
      </c>
      <c r="LC90" s="5133"/>
      <c r="LD90" s="5132"/>
      <c r="LE90" s="5132"/>
      <c r="LF90" s="5132"/>
      <c r="LG90" s="5132"/>
      <c r="LH90" s="5132"/>
      <c r="LI90" s="5132"/>
      <c r="LJ90" s="5132"/>
    </row>
    <row r="91" spans="1:322" s="717" customFormat="1" ht="27.95" customHeight="1">
      <c r="A91" s="10540"/>
      <c r="B91" s="10521" t="str">
        <f>+IF(A91="","",VLOOKUP(MATCH(A91,tid,0),tao,'12(id)'!$J$20,FALSE))</f>
        <v/>
      </c>
      <c r="C91" s="10549"/>
      <c r="D91" s="1031" t="str">
        <f t="shared" si="48"/>
        <v/>
      </c>
      <c r="E91" s="651"/>
      <c r="F91" s="651" t="str">
        <f t="shared" si="49"/>
        <v/>
      </c>
      <c r="G91" s="5133"/>
      <c r="H91" s="5132"/>
      <c r="I91" s="5133"/>
      <c r="J91" s="719">
        <f t="shared" si="68"/>
        <v>57</v>
      </c>
      <c r="K91" s="10541"/>
      <c r="L91" s="9721"/>
      <c r="M91" s="9718"/>
      <c r="N91" s="9699"/>
      <c r="O91" s="9666"/>
      <c r="P91" s="9666"/>
      <c r="Q91" s="9715" t="str">
        <f>+IF(ISERROR(MATCH(O91,tid,0)),"",VLOOKUP(MATCH(O91,tid,0),tao,'12(id)'!$Q$20,FALSE))</f>
        <v/>
      </c>
      <c r="R91" s="10184"/>
      <c r="S91" s="9715"/>
      <c r="T91" s="10527" t="str">
        <f>+IF(ISERROR(MATCH(O91,tid,0)),"",IF(VLOOKUP(MATCH(O91,tid,0),tao,'12(id)'!$CT$20,FALSE)="","",VLOOKUP(MATCH(O91,tid,0),tao,'12(id)'!$CT$20,FALSE)))</f>
        <v/>
      </c>
      <c r="U91" s="10530" t="str">
        <f>+IF(ISERROR(MATCH(O91,tid,0)),"",IF(VLOOKUP(MATCH(O91,tid,0),tao,'12(id)'!$CU$20,FALSE)="","",VLOOKUP(MATCH(O91,tid,0),tao,'12(id)'!$CU$20,FALSE)))</f>
        <v/>
      </c>
      <c r="V91" s="9513" t="str">
        <f>+IF(O91="","",IF(VLOOKUP(MATCH(O91,tid,0),tao,'12(id)'!$T$20,FALSE)="","",VLOOKUP(MATCH(O91,tid,0),tao,'12(id)'!$T$20,FALSE)))</f>
        <v/>
      </c>
      <c r="W91" s="9513" t="str">
        <f>+IF(ISERROR(MATCH(O91,tid,0)),"",IF(VLOOKUP(MATCH(O91,tid,0),tao,'12(id)'!$CO$20,FALSE)="","",VLOOKUP(MATCH(O91,tid,0),tao,'12(id)'!$CO$20,FALSE)))</f>
        <v/>
      </c>
      <c r="X91" s="9513" t="str">
        <f>+IF(ISERROR(MATCH(O91,tid,0)),"",IF(VLOOKUP(MATCH(O91,tid,0),tao,'12(id)'!$CP$20,FALSE)="","",VLOOKUP(MATCH(O91,tid,0),tao,'12(id)'!$CP$20,FALSE)))</f>
        <v/>
      </c>
      <c r="Y91" s="8555" t="str">
        <f>+IF(ISERROR(MATCH(O91,tid,0)),"",IF(VLOOKUP(MATCH(O91,tid,0),tao,'12(id)'!$CQ$20,FALSE)="","",VLOOKUP(MATCH(O91,tid,0),tao,'12(id)'!$CQ$20,FALSE)))</f>
        <v/>
      </c>
      <c r="Z91" s="9666" t="str">
        <f>+IF(ISERROR(MATCH(O91,tid,0)),"",VLOOKUP(MATCH(O91,tid,0),tao,'12(id)'!$DB$20,FALSE)&amp;" "&amp;VLOOKUP(MATCH(O91,tid,0),tao,'12(id)'!$DC$20,FALSE))</f>
        <v/>
      </c>
      <c r="AA91" s="9666" t="str">
        <f>+IF(ISERROR(MATCH(O91,tid,0)),"",IF(VLOOKUP(MATCH(O91,tid,0),tao,'12(id)'!$DE$20,FALSE)="","",ROUND(VLOOKUP(MATCH(O91,tid,0),tao,'12(id)'!$DE$20,FALSE),0)&amp;" yrs"))</f>
        <v/>
      </c>
      <c r="AB91" s="9653" t="str">
        <f>+IF(ISERROR(MATCH(O91,tid,0)),"",VLOOKUP(MATCH(O91,tid,0),tao,'12(id)'!$DI$20,FALSE))</f>
        <v/>
      </c>
      <c r="AC91" s="9653" t="str">
        <f>+IF(ISERROR(MATCH(O91,tid,0)),"",IF(VLOOKUP(MATCH(O91,tid,0),tao,'12(id)'!$DQ$20,FALSE)="","",VLOOKUP(MATCH(O91,tid,0),tao,'12(id)'!$DQ$20,FALSE)))</f>
        <v/>
      </c>
      <c r="AD91" s="10443" t="str">
        <f>+IF(ISERROR(MATCH(O91,tid,0)),"",IF(VLOOKUP(MATCH(O91,tid,0),tao,'12(id)'!$EI$20,FALSE)="","",VLOOKUP(MATCH(O91,tid,0),tao,'12(id)'!$EI$20,FALSE)))</f>
        <v/>
      </c>
      <c r="AE91" s="10443" t="str">
        <f>+IF(ISERROR(MATCH(O91,tid,0)),"",IF(VLOOKUP(MATCH(O91,tid,0),tao,'12(id)'!$EJ$20,FALSE)="","",VLOOKUP(MATCH(O91,tid,0),tao,'12(id)'!$EJ$20,FALSE)))</f>
        <v/>
      </c>
      <c r="AF91" s="10443" t="str">
        <f>+IF(ISERROR(MATCH(O91,tid,0)),"",IF(VLOOKUP(MATCH(O91,tid,0),tao,'12(id)'!$EL$20,FALSE)="","",VLOOKUP(MATCH(O91,tid,0),tao,'12(id)'!$EL$20,FALSE)))</f>
        <v/>
      </c>
      <c r="AG91" s="10416" t="str">
        <f>+IF(ISERROR(MATCH(O91,tid,0)),"",IF(VLOOKUP(MATCH(O91,tid,0),tao,'12(id)'!$EM$20,FALSE)="","",VLOOKUP(MATCH(O91,tid,0),tao,'12(id)'!$EM$20,FALSE)))</f>
        <v/>
      </c>
      <c r="AH91" s="10439"/>
      <c r="AI91" s="10441"/>
      <c r="AJ91" s="10441"/>
      <c r="AK91" s="10441"/>
      <c r="AL91" s="10441"/>
      <c r="AM91" s="10432"/>
      <c r="AN91" s="10422"/>
      <c r="AO91" s="10458" t="str">
        <f>+IF(ISERROR(MATCH(O91,tid,0)),"",IF(VLOOKUP(MATCH(O91,tid,0),tao,'12(id)'!$GY$20,FALSE)="","",VLOOKUP(MATCH(O91,tid,0),tao,'12(id)'!$GY$20,FALSE)))</f>
        <v/>
      </c>
      <c r="AP91" s="10379" t="str">
        <f>+IF($BB91="","",IF(VLOOKUP(MATCH(O91,tid,0),tao,'12(id)'!$HE$20,FALSE)="","",VLOOKUP(MATCH(O91,tid,0),tao,'12(id)'!$HE$20,FALSE)))</f>
        <v/>
      </c>
      <c r="AQ91" s="10379" t="str">
        <f>+IF(ISERROR(VLOOKUP(MATCH(O91,tid,0),tao,'12(id)'!$HF$20,FALSE)),"",VLOOKUP(MATCH(O91,tid,0),tao,'12(id)'!$HF$20,FALSE))</f>
        <v/>
      </c>
      <c r="AR91" s="10382" t="str">
        <f>+IF(ISERROR(MATCH(O91,tid,0)),"",IF(VLOOKUP(MATCH(O91,tid,0),tao,'12(id)'!$HJ$20,FALSE)="","",VLOOKUP(MATCH(O91,tid,0),tao,'12(id)'!$HJ$20,FALSE)))</f>
        <v/>
      </c>
      <c r="AS91" s="10385" t="str">
        <f>+IF(ISERROR(MATCH(O91,tid,0)),"",IF(VLOOKUP(MATCH(O91,tid,0),tao,'12(id)'!$HK$20,FALSE)="","",VLOOKUP(MATCH(O91,tid,0),tao,'12(id)'!$HK$20,FALSE)))</f>
        <v/>
      </c>
      <c r="AT91" s="10388" t="str">
        <f>+IF(ISERROR(MATCH(O91,tid,0)),"",IF(VLOOKUP(MATCH(O91,tid,0),tao,'12(id)'!$HM$20,FALSE)="","",VLOOKUP(MATCH(O91,tid,0),tao,'12(id)'!$HM$20,FALSE)))</f>
        <v/>
      </c>
      <c r="AU91" s="10471"/>
      <c r="AV91" s="10473" t="str">
        <f>+IF(ISERROR(MATCH(O91,em_id,0)),"",IF(VLOOKUP(MATCH(O91,em_id,0),em,'5(em)'!$CX$18,FALSE)="","",VLOOKUP(MATCH(O91,em_id,0),em,'5(em)'!$CX$18,FALSE)))</f>
        <v/>
      </c>
      <c r="AW91" s="10489" t="str">
        <f>+IF(ISERROR(MATCH(O91,em_id,0)),"",IF(VLOOKUP(MATCH(O91,em_id,0),em,'5(em)'!$CZ$18,FALSE)="","",VLOOKUP(MATCH(O91,em_id,0),em,'5(em)'!$CZ$18,FALSE)))</f>
        <v/>
      </c>
      <c r="AX91" s="10478" t="str">
        <f t="shared" si="50"/>
        <v/>
      </c>
      <c r="AY91" s="10480"/>
      <c r="AZ91" s="10482" t="str">
        <f>+IF(ISERROR(MATCH(O91,em_id,0)),"",IF(VLOOKUP(MATCH(O91,em_id,0),em,'5(em)'!$DA$18,FALSE)="","",VLOOKUP(MATCH(O91,em_id,0),em,'5(em)'!$DA$18,FALSE)))</f>
        <v/>
      </c>
      <c r="BA91" s="650"/>
      <c r="BB91" s="651" t="str">
        <f>+IF(BC91="","",IF(R91=1,(IF(O91="",LEFT(BB89,7),O91)&amp;"-0"&amp;BC91),IF(AND(LEFT(O91,4)=LEFT(O89,4),R91&gt;1),IF(LEFT(C91,1)=LEFT(C89,1),LEFT(BB89,9),O91&amp;"-0")&amp;BC91,IF(O91="",LEFT(BB89,9)&amp;BC91,O91&amp;"-0"&amp;BC91))))</f>
        <v/>
      </c>
      <c r="BC91" s="659"/>
      <c r="BD91" s="651"/>
      <c r="BE91" s="651"/>
      <c r="BF91" s="651"/>
      <c r="BG91" s="652"/>
      <c r="BH91" s="208"/>
      <c r="BI91" s="450"/>
      <c r="BJ91" s="209"/>
      <c r="BK91" s="209"/>
      <c r="BL91" s="209"/>
      <c r="BM91" s="209"/>
      <c r="BN91" s="209" t="str">
        <f t="shared" si="12"/>
        <v/>
      </c>
      <c r="BO91" s="209" t="str">
        <f t="shared" si="13"/>
        <v/>
      </c>
      <c r="BP91" s="209" t="str">
        <f t="shared" si="14"/>
        <v/>
      </c>
      <c r="BQ91" s="209" t="str">
        <f>+IF($BB91="","",IF(OR($AK91="",BJ91=""),"",(1-BJ89/$AK91)))</f>
        <v/>
      </c>
      <c r="BR91" s="210"/>
      <c r="BS91" s="2383"/>
      <c r="BT91" s="452"/>
      <c r="BU91" s="3710" t="str">
        <f>+IF(BB91="","",IF(VLOOKUP(MATCH(BB91,ef_id,0),ef,'11(eff)'!$Z$23,FALSE)="","",VLOOKUP(MATCH(BB91,ef_id,0),ef,'11(eff)'!$Z$23,FALSE)))</f>
        <v/>
      </c>
      <c r="BV91" s="3754" t="str">
        <f>+IF(BB91="","",IF(VLOOKUP(MATCH(BB91,ef_id,0),ef,'11(eff)'!$AA$23,FALSE)="","",VLOOKUP(MATCH(BB91,ef_id,0),ef,'11(eff)'!$AA$23,FALSE)))</f>
        <v/>
      </c>
      <c r="BW91" s="2368"/>
      <c r="BX91" s="3793" t="str">
        <f t="shared" si="511"/>
        <v/>
      </c>
      <c r="BY91" s="3818" t="str">
        <f t="shared" si="512"/>
        <v/>
      </c>
      <c r="BZ91" s="3397"/>
      <c r="CA91" s="3420"/>
      <c r="CB91" s="3849" t="str">
        <f t="shared" si="382"/>
        <v/>
      </c>
      <c r="CC91" s="3869" t="str">
        <f t="shared" si="513"/>
        <v/>
      </c>
      <c r="CD91" s="3869" t="str">
        <f t="shared" si="514"/>
        <v/>
      </c>
      <c r="CE91" s="2373" t="str">
        <f>+IF(BB91="","",IF(VLOOKUP(MATCH(BB91,ef_id,0),ef,'11(eff)'!$AE$23,FALSE)="","",VLOOKUP(MATCH(BB91,ef_id,0),ef,'11(eff)'!$AE$23,FALSE)))</f>
        <v/>
      </c>
      <c r="CF91" s="451"/>
      <c r="CG91" s="452"/>
      <c r="CH91" s="2410"/>
      <c r="CI91" s="3912" t="str">
        <f t="shared" si="628"/>
        <v/>
      </c>
      <c r="CJ91" s="4070"/>
      <c r="CK91" s="3912" t="str">
        <f>+IF($BB91="","",IF(OR($AW91="",CI91=""),"",CI91/2000*$AW91))</f>
        <v/>
      </c>
      <c r="CL91" s="4005" t="str">
        <f>+IF($BB91="","",IF(CK91="","",$AZ91-CK91))</f>
        <v/>
      </c>
      <c r="CM91" s="4006" t="str">
        <f>+IF($BB91="","",IF(CL91="","",CL91/$AZ91))</f>
        <v/>
      </c>
      <c r="CN91" s="4006" t="str">
        <f>+IF($BB91="","",IF(CI91="","",(1-CI91/$AX91)))</f>
        <v/>
      </c>
      <c r="CO91" s="4007"/>
      <c r="CP91" s="4008"/>
      <c r="CQ91" s="451" t="str">
        <f t="shared" si="51"/>
        <v/>
      </c>
      <c r="CR91" s="453"/>
      <c r="CS91" s="2765"/>
      <c r="CT91" s="1591"/>
      <c r="CU91" s="1496"/>
      <c r="CV91" s="1872" t="str">
        <f t="shared" si="309"/>
        <v/>
      </c>
      <c r="CW91" s="1873"/>
      <c r="CX91" s="1873"/>
      <c r="CY91" s="1874"/>
      <c r="CZ91" s="2478"/>
      <c r="DA91" s="2488"/>
      <c r="DB91" s="2488"/>
      <c r="DC91" s="1872"/>
      <c r="DD91" s="1876"/>
      <c r="DE91" s="1877"/>
      <c r="DF91" s="1878"/>
      <c r="DG91" s="1878"/>
      <c r="DH91" s="1876"/>
      <c r="DI91" s="1693" t="str">
        <f>+IF(CT91="","",SUM(CU91:DC91))</f>
        <v/>
      </c>
      <c r="DJ91" s="1938"/>
      <c r="DK91" s="1591"/>
      <c r="DL91" s="1496"/>
      <c r="DM91" s="1872" t="str">
        <f t="shared" si="310"/>
        <v/>
      </c>
      <c r="DN91" s="1873"/>
      <c r="DO91" s="1873"/>
      <c r="DP91" s="1874"/>
      <c r="DQ91" s="2478"/>
      <c r="DR91" s="2488"/>
      <c r="DS91" s="2488"/>
      <c r="DT91" s="1872"/>
      <c r="DU91" s="1876"/>
      <c r="DV91" s="1877"/>
      <c r="DW91" s="1878"/>
      <c r="DX91" s="1878"/>
      <c r="DY91" s="1876"/>
      <c r="DZ91" s="1693" t="str">
        <f t="shared" si="664"/>
        <v/>
      </c>
      <c r="EA91" s="1938"/>
      <c r="EB91" s="1496" t="str">
        <f t="shared" si="377"/>
        <v/>
      </c>
      <c r="EC91" s="1963"/>
      <c r="ED91" s="1415" t="str">
        <f t="shared" si="20"/>
        <v/>
      </c>
      <c r="EE91" s="1875"/>
      <c r="EF91" s="1733"/>
      <c r="EG91" s="1874"/>
      <c r="EH91" s="1693" t="str">
        <f t="shared" si="353"/>
        <v/>
      </c>
      <c r="EI91" s="1877"/>
      <c r="EJ91" s="1878"/>
      <c r="EK91" s="2010"/>
      <c r="EL91" s="1459"/>
      <c r="EM91" s="1877"/>
      <c r="EN91" s="1878"/>
      <c r="EO91" s="2010"/>
      <c r="EP91" s="1693" t="str">
        <f t="shared" si="378"/>
        <v/>
      </c>
      <c r="EQ91" s="2561"/>
      <c r="ER91" s="2561"/>
      <c r="ES91" s="2561"/>
      <c r="ET91" s="1459"/>
      <c r="EU91" s="1427"/>
      <c r="EV91" s="1392"/>
      <c r="EW91" s="2585"/>
      <c r="EX91" s="2585"/>
      <c r="EY91" s="2692"/>
      <c r="EZ91" s="2721"/>
      <c r="FA91" s="1392"/>
      <c r="FB91" s="1500" t="str">
        <f t="shared" si="515"/>
        <v/>
      </c>
      <c r="FC91" s="1496" t="str">
        <f t="shared" si="516"/>
        <v/>
      </c>
      <c r="FD91" s="2050" t="str">
        <f t="shared" si="517"/>
        <v/>
      </c>
      <c r="FE91" s="2034" t="str">
        <f t="shared" si="509"/>
        <v/>
      </c>
      <c r="FF91" s="2050" t="str">
        <f t="shared" si="518"/>
        <v/>
      </c>
      <c r="FG91" s="2034" t="str">
        <f t="shared" si="519"/>
        <v/>
      </c>
      <c r="FH91" s="2050" t="str">
        <f t="shared" si="520"/>
        <v/>
      </c>
      <c r="FI91" s="2034" t="str">
        <f t="shared" si="510"/>
        <v/>
      </c>
      <c r="FJ91" s="2796" t="str">
        <f t="shared" si="521"/>
        <v/>
      </c>
      <c r="FK91" s="2812" t="str">
        <f t="shared" si="522"/>
        <v/>
      </c>
      <c r="FL91" s="2784" t="str">
        <f t="shared" si="523"/>
        <v/>
      </c>
      <c r="FM91" s="2034" t="str">
        <f t="shared" si="524"/>
        <v/>
      </c>
      <c r="FN91" s="2784" t="str">
        <f t="shared" si="525"/>
        <v/>
      </c>
      <c r="FO91" s="2774" t="str">
        <f t="shared" si="526"/>
        <v/>
      </c>
      <c r="FP91" s="2784" t="str">
        <f t="shared" si="527"/>
        <v/>
      </c>
      <c r="FQ91" s="2774" t="str">
        <f t="shared" si="528"/>
        <v/>
      </c>
      <c r="FR91" s="2848" t="str">
        <f t="shared" si="529"/>
        <v/>
      </c>
      <c r="FS91" s="2830" t="str">
        <f t="shared" si="530"/>
        <v/>
      </c>
      <c r="FT91" s="1513" t="str">
        <f t="shared" si="531"/>
        <v/>
      </c>
      <c r="FU91" s="2895" t="str">
        <f t="shared" si="532"/>
        <v/>
      </c>
      <c r="FV91" s="1716" t="str">
        <f t="shared" si="533"/>
        <v/>
      </c>
      <c r="FW91" s="2112" t="str">
        <f t="shared" si="534"/>
        <v/>
      </c>
      <c r="FX91" s="1740" t="str">
        <f t="shared" si="535"/>
        <v/>
      </c>
      <c r="FY91" s="2113" t="str">
        <f t="shared" si="536"/>
        <v/>
      </c>
      <c r="FZ91" s="1740" t="str">
        <f t="shared" si="537"/>
        <v/>
      </c>
      <c r="GA91" s="1740" t="str">
        <f t="shared" si="538"/>
        <v/>
      </c>
      <c r="GB91" s="2113" t="str">
        <f t="shared" si="539"/>
        <v/>
      </c>
      <c r="GC91" s="1740" t="str">
        <f t="shared" si="540"/>
        <v/>
      </c>
      <c r="GD91" s="1740" t="str">
        <f t="shared" si="541"/>
        <v/>
      </c>
      <c r="GE91" s="1616" t="str">
        <f t="shared" si="542"/>
        <v/>
      </c>
      <c r="GF91" s="2147" t="str">
        <f t="shared" si="543"/>
        <v/>
      </c>
      <c r="GG91" s="2172" t="str">
        <f t="shared" si="544"/>
        <v/>
      </c>
      <c r="GH91" s="3180" t="str">
        <f t="shared" si="545"/>
        <v/>
      </c>
      <c r="GI91" s="3200" t="s">
        <v>939</v>
      </c>
      <c r="GJ91" s="3205"/>
      <c r="GK91" s="3454" t="str">
        <f t="shared" si="423"/>
        <v/>
      </c>
      <c r="GL91" s="3251" t="str">
        <f t="shared" si="546"/>
        <v/>
      </c>
      <c r="GM91" s="457"/>
      <c r="GN91" s="459"/>
      <c r="GO91" s="1877"/>
      <c r="GP91" s="2010"/>
      <c r="GQ91" s="1459" t="str">
        <f t="shared" si="582"/>
        <v/>
      </c>
      <c r="GR91" s="2325"/>
      <c r="GS91" s="2325"/>
      <c r="GT91" s="2340"/>
      <c r="GU91" s="2336" t="str">
        <f t="shared" si="547"/>
        <v/>
      </c>
      <c r="GV91" s="458" t="str">
        <f t="shared" si="548"/>
        <v/>
      </c>
      <c r="GW91" s="2260" t="str">
        <f t="shared" si="549"/>
        <v/>
      </c>
      <c r="GX91" s="460" t="str">
        <f t="shared" si="550"/>
        <v/>
      </c>
      <c r="GY91" s="460" t="str">
        <f t="shared" si="551"/>
        <v/>
      </c>
      <c r="GZ91" s="460" t="str">
        <f t="shared" si="552"/>
        <v/>
      </c>
      <c r="HA91" s="1693" t="str">
        <f t="shared" si="553"/>
        <v/>
      </c>
      <c r="HB91" s="2234" t="str">
        <f t="shared" si="432"/>
        <v/>
      </c>
      <c r="HC91" s="2347" t="str">
        <f t="shared" si="554"/>
        <v/>
      </c>
      <c r="HD91" s="2350" t="str">
        <f t="shared" si="375"/>
        <v/>
      </c>
      <c r="HE91" s="457"/>
      <c r="HF91" s="3256" t="str">
        <f t="shared" si="555"/>
        <v/>
      </c>
      <c r="HG91" s="459"/>
      <c r="HH91" s="2994"/>
      <c r="HI91" s="3021"/>
      <c r="HJ91" s="1733"/>
      <c r="HK91" s="1733"/>
      <c r="HL91" s="1733"/>
      <c r="HM91" s="3025"/>
      <c r="HN91" s="3026" t="str">
        <f t="shared" si="347"/>
        <v/>
      </c>
      <c r="HO91" s="2965"/>
      <c r="HP91" s="2488"/>
      <c r="HQ91" s="3011" t="str">
        <f t="shared" si="556"/>
        <v/>
      </c>
      <c r="HR91" s="1874" t="str">
        <f t="shared" si="557"/>
        <v/>
      </c>
      <c r="HS91" s="1874" t="str">
        <f t="shared" si="558"/>
        <v/>
      </c>
      <c r="HT91" s="2952"/>
      <c r="HU91" s="2954"/>
      <c r="HV91" s="2952" t="str">
        <f t="shared" si="559"/>
        <v/>
      </c>
      <c r="HW91" s="2954" t="str">
        <f t="shared" si="560"/>
        <v/>
      </c>
      <c r="HX91" s="3034" t="str">
        <f t="shared" si="199"/>
        <v/>
      </c>
      <c r="HY91" s="2953" t="str">
        <f t="shared" si="561"/>
        <v/>
      </c>
      <c r="HZ91" s="2954" t="str">
        <f t="shared" si="562"/>
        <v/>
      </c>
      <c r="IA91" s="1496" t="str">
        <f t="shared" si="563"/>
        <v/>
      </c>
      <c r="IB91" s="3038" t="str">
        <f t="shared" si="564"/>
        <v/>
      </c>
      <c r="IC91" s="3053" t="str">
        <f>+IF(IA91="","",IA91/IF(T91="",IF(T90="",IF(T89="",1,T89),T90),T91))</f>
        <v/>
      </c>
      <c r="ID91" s="1300"/>
      <c r="IE91" s="4106"/>
      <c r="IF91" s="4114" t="str">
        <f t="shared" si="583"/>
        <v/>
      </c>
      <c r="IG91" s="6779"/>
      <c r="IH91" s="4090" t="str">
        <f t="shared" si="584"/>
        <v/>
      </c>
      <c r="II91" s="6797"/>
      <c r="IJ91" s="4106" t="str">
        <f t="shared" si="585"/>
        <v/>
      </c>
      <c r="IK91" s="4143">
        <v>0</v>
      </c>
      <c r="IL91" s="4196" t="str">
        <f>+IF(IF91="","",IK91*#REF!*IF91)</f>
        <v/>
      </c>
      <c r="IM91" s="4197" t="str">
        <f>IF(HM91="","",IK91*#REF!*IA91)</f>
        <v/>
      </c>
      <c r="IN91" s="4221" t="str">
        <f t="shared" si="588"/>
        <v/>
      </c>
      <c r="IO91" s="4221" t="str">
        <f t="shared" si="589"/>
        <v/>
      </c>
      <c r="IP91" s="7234"/>
      <c r="IQ91" s="7242"/>
      <c r="IR91" s="7234"/>
      <c r="IS91" s="7242"/>
      <c r="IT91" s="4221" t="str">
        <f t="shared" si="594"/>
        <v/>
      </c>
      <c r="IU91" s="6852" t="str">
        <f t="shared" si="595"/>
        <v/>
      </c>
      <c r="IV91" s="7268"/>
      <c r="IW91" s="7254" t="str">
        <f>IF(IA91="","",#REF!*IA91)</f>
        <v/>
      </c>
      <c r="IX91" s="4188" t="str">
        <f t="shared" si="597"/>
        <v/>
      </c>
      <c r="IY91" s="4256" t="str">
        <f t="shared" si="598"/>
        <v/>
      </c>
      <c r="IZ91" s="4301" t="str">
        <f t="shared" si="599"/>
        <v/>
      </c>
      <c r="JA91" s="4302" t="str">
        <f t="shared" si="629"/>
        <v/>
      </c>
      <c r="JB91" s="4157"/>
      <c r="JC91" s="4339"/>
      <c r="JD91" s="3256" t="str">
        <f t="shared" si="570"/>
        <v/>
      </c>
      <c r="JE91" s="4364" t="str">
        <f t="shared" si="571"/>
        <v/>
      </c>
      <c r="JF91" s="7041" t="str">
        <f t="shared" si="636"/>
        <v/>
      </c>
      <c r="JG91" s="7057"/>
      <c r="JH91" s="6972" t="str">
        <f t="shared" si="601"/>
        <v/>
      </c>
      <c r="JI91" s="6972"/>
      <c r="JJ91" s="6972"/>
      <c r="JK91" s="6972"/>
      <c r="JL91" s="7009"/>
      <c r="JM91" s="7051"/>
      <c r="JN91" s="1733" t="str">
        <f t="shared" si="637"/>
        <v/>
      </c>
      <c r="JO91" s="1733"/>
      <c r="JP91" s="7082"/>
      <c r="JQ91" s="7082"/>
      <c r="JR91" s="7057"/>
      <c r="JS91" s="7063"/>
      <c r="JT91" s="7169" t="str">
        <f t="shared" si="476"/>
        <v/>
      </c>
      <c r="JU91" s="7170"/>
      <c r="JV91" s="8379"/>
      <c r="JW91" s="8406"/>
      <c r="JX91" s="8435"/>
      <c r="JY91" s="8470" t="str">
        <f t="shared" si="642"/>
        <v/>
      </c>
      <c r="JZ91" s="7171"/>
      <c r="KA91" s="7169"/>
      <c r="KB91" s="7170"/>
      <c r="KC91" s="7171"/>
      <c r="KD91" s="7169"/>
      <c r="KE91" s="8343"/>
      <c r="KF91" s="8343"/>
      <c r="KG91" s="7170"/>
      <c r="KH91" s="7170"/>
      <c r="KI91" s="7170"/>
      <c r="KJ91" s="7170"/>
      <c r="KK91" s="7170"/>
      <c r="KL91" s="7170"/>
      <c r="KM91" s="7170"/>
      <c r="KN91" s="7170"/>
      <c r="KO91" s="7170"/>
      <c r="KP91" s="7171"/>
      <c r="KQ91" s="7213"/>
      <c r="KR91" s="7082" t="str">
        <f>+IF(D91="","",IF(JT91=1,VLOOKUP(MATCH(BE91,ac_id,0),ad,ac!$H$8,FALSE)*JU91, (VLOOKUP(MATCH(BE91,ac_id,0),ad,ac!$H$8,FALSE)*JU91^(1+VLOOKUP(MATCH(BE91,ac_id,0),ad,ac!$I$8,FALSE)))))</f>
        <v/>
      </c>
      <c r="KS91" s="7063" t="str">
        <f t="shared" si="697"/>
        <v/>
      </c>
      <c r="KT91" s="7213" t="str">
        <f>+IF(D91="","",IF(KR91="","",$KT$26*KR91))</f>
        <v/>
      </c>
      <c r="KU91" s="7057" t="str">
        <f t="shared" si="666"/>
        <v/>
      </c>
      <c r="KV91" s="7393" t="str">
        <f t="shared" si="667"/>
        <v/>
      </c>
      <c r="KW91" s="7394" t="str">
        <f>IF(JS91="","",IF(KV91=2,#REF!,$KW$5)*JS91)</f>
        <v/>
      </c>
      <c r="KX91" s="7063" t="str">
        <f>+IF(D91="","",IF(KW91="","",IF(KT91="",0,KT91)+IF(KU91="",0,KU91)+KW91))</f>
        <v/>
      </c>
      <c r="KY91" s="7357" t="str">
        <f>+IF(D91="","",IF(KW91="","",KQ91+KR91+KX91))</f>
        <v/>
      </c>
      <c r="KZ91" s="7358"/>
      <c r="LA91" s="7359" t="str">
        <f t="shared" si="668"/>
        <v/>
      </c>
      <c r="LB91" s="7360" t="str">
        <f t="shared" si="669"/>
        <v/>
      </c>
      <c r="LC91" s="5133"/>
      <c r="LD91" s="5132"/>
      <c r="LE91" s="5132"/>
      <c r="LF91" s="5132"/>
      <c r="LG91" s="5132"/>
      <c r="LH91" s="5132"/>
      <c r="LI91" s="5132"/>
      <c r="LJ91" s="5132"/>
    </row>
    <row r="92" spans="1:322" s="13" customFormat="1" ht="27.95" customHeight="1">
      <c r="A92" s="10538" t="str">
        <f>+O92</f>
        <v>8306-04</v>
      </c>
      <c r="B92" s="10521" t="str">
        <f>+IF(A92="","",VLOOKUP(MATCH(A92,tid,0),tao,'12(id)'!$J$20,FALSE))</f>
        <v>NRG</v>
      </c>
      <c r="C92" s="10549" t="str">
        <f t="shared" si="47"/>
        <v>MV5 </v>
      </c>
      <c r="D92" s="1067" t="str">
        <f t="shared" si="48"/>
        <v>8306-04-01</v>
      </c>
      <c r="E92" s="3151" t="str">
        <f>+IF(BD92="","",BD92)</f>
        <v>Close Coupled Over Fire Air (CCOFA)</v>
      </c>
      <c r="F92" s="3151" t="str">
        <f t="shared" si="49"/>
        <v>New Eqp</v>
      </c>
      <c r="G92" s="5133"/>
      <c r="H92" s="5132"/>
      <c r="I92" s="5133"/>
      <c r="J92" s="719">
        <f t="shared" si="68"/>
        <v>58</v>
      </c>
      <c r="K92" s="10541">
        <f>1+K88</f>
        <v>4</v>
      </c>
      <c r="L92" s="9721"/>
      <c r="M92" s="9718"/>
      <c r="N92" s="9699"/>
      <c r="O92" s="9706" t="s">
        <v>296</v>
      </c>
      <c r="P92" s="9716" t="str">
        <f>+IF(O92="","",VLOOKUP(MATCH(O92,tid,0),tao,'12(id)'!$L$20,FALSE))</f>
        <v>Montville</v>
      </c>
      <c r="Q92" s="9704" t="str">
        <f>+IF(ISERROR(MATCH(O92,tid,0)),"",VLOOKUP(MATCH(O92,tid,0),tao,'12(id)'!$Q$20,FALSE))</f>
        <v>MV5 </v>
      </c>
      <c r="R92" s="10523">
        <v>1</v>
      </c>
      <c r="S92" s="9704"/>
      <c r="T92" s="10525">
        <f>+IF(ISERROR(MATCH(O92,tid,0)),"",IF(VLOOKUP(MATCH(O92,tid,0),tao,'12(id)'!$CT$20,FALSE)="","",VLOOKUP(MATCH(O92,tid,0),tao,'12(id)'!$CT$20,FALSE)))</f>
        <v>81</v>
      </c>
      <c r="U92" s="10528">
        <f>+IF(ISERROR(MATCH(O92,tid,0)),"",IF(VLOOKUP(MATCH(O92,tid,0),tao,'12(id)'!$CU$20,FALSE)="","",VLOOKUP(MATCH(O92,tid,0),tao,'12(id)'!$CU$20,FALSE)))</f>
        <v>488.5</v>
      </c>
      <c r="V92" s="10446" t="str">
        <f>+IF(O92="","",IF(VLOOKUP(MATCH(O92,tid,0),tao,'12(id)'!$T$20,FALSE)="","",VLOOKUP(MATCH(O92,tid,0),tao,'12(id)'!$T$20,FALSE)))</f>
        <v>Utility Boiler</v>
      </c>
      <c r="W92" s="10446" t="str">
        <f>+IF(ISERROR(MATCH(O92,tid,0)),"",IF(VLOOKUP(MATCH(O92,tid,0),tao,'12(id)'!$CO$20,FALSE)="","",VLOOKUP(MATCH(O92,tid,0),tao,'12(id)'!$CO$20,FALSE)))</f>
        <v>Combustion Engineering</v>
      </c>
      <c r="X92" s="10446" t="str">
        <f>+IF(ISERROR(MATCH(O92,tid,0)),"",IF(VLOOKUP(MATCH(O92,tid,0),tao,'12(id)'!$CP$20,FALSE)="","",VLOOKUP(MATCH(O92,tid,0),tao,'12(id)'!$CP$20,FALSE)))</f>
        <v>Tangential fired</v>
      </c>
      <c r="Y92" s="2421" t="str">
        <f>+IF(ISERROR(MATCH(O92,tid,0)),"",IF(VLOOKUP(MATCH(O92,tid,0),tao,'12(id)'!$CQ$20,FALSE)="","",VLOOKUP(MATCH(O92,tid,0),tao,'12(id)'!$CQ$20,FALSE)))</f>
        <v/>
      </c>
      <c r="Z92" s="10445" t="str">
        <f>+IF(ISERROR(MATCH(O92,tid,0)),"",VLOOKUP(MATCH(O92,tid,0),tao,'12(id)'!$DB$20,FALSE)&amp;" "&amp;VLOOKUP(MATCH(O92,tid,0),tao,'12(id)'!$DC$20,FALSE))</f>
        <v xml:space="preserve"> </v>
      </c>
      <c r="AA92" s="10445" t="str">
        <f>+IF(ISERROR(MATCH(O92,tid,0)),"",IF(VLOOKUP(MATCH(O92,tid,0),tao,'12(id)'!$DE$20,FALSE)="","",ROUND(VLOOKUP(MATCH(O92,tid,0),tao,'12(id)'!$DE$20,FALSE),0)&amp;" yrs"))</f>
        <v/>
      </c>
      <c r="AB92" s="9732" t="str">
        <f>+IF(ISERROR(MATCH(O92,tid,0)),"",VLOOKUP(MATCH(O92,tid,0),tao,'12(id)'!$DI$20,FALSE))</f>
        <v>No. 6 oil</v>
      </c>
      <c r="AC92" s="9732" t="str">
        <f>+IF(ISERROR(MATCH(O92,tid,0)),"",IF(VLOOKUP(MATCH(O92,tid,0),tao,'12(id)'!$DQ$20,FALSE)="","",VLOOKUP(MATCH(O92,tid,0),tao,'12(id)'!$DQ$20,FALSE)))</f>
        <v>Nat. Gas</v>
      </c>
      <c r="AD92" s="10411" t="str">
        <f>+IF(ISERROR(MATCH(O92,tid,0)),"",IF(VLOOKUP(MATCH(O92,tid,0),tao,'12(id)'!$EI$20,FALSE)="","",VLOOKUP(MATCH(O92,tid,0),tao,'12(id)'!$EI$20,FALSE)))</f>
        <v/>
      </c>
      <c r="AE92" s="10411" t="str">
        <f>+IF(ISERROR(MATCH(O92,tid,0)),"",IF(VLOOKUP(MATCH(O92,tid,0),tao,'12(id)'!$EJ$20,FALSE)="","",VLOOKUP(MATCH(O92,tid,0),tao,'12(id)'!$EJ$20,FALSE)))</f>
        <v/>
      </c>
      <c r="AF92" s="10411">
        <f>+IF(ISERROR(MATCH(O92,tid,0)),"",IF(VLOOKUP(MATCH(O92,tid,0),tao,'12(id)'!$EL$20,FALSE)="","",VLOOKUP(MATCH(O92,tid,0),tao,'12(id)'!$EL$20,FALSE)))</f>
        <v>0.23</v>
      </c>
      <c r="AG92" s="10408" t="str">
        <f>+IF(ISERROR(MATCH(O92,tid,0)),"",IF(VLOOKUP(MATCH(O92,tid,0),tao,'12(id)'!$EM$20,FALSE)="","",VLOOKUP(MATCH(O92,tid,0),tao,'12(id)'!$EM$20,FALSE)))</f>
        <v/>
      </c>
      <c r="AH92" s="10436" t="str">
        <f>+AH88</f>
        <v>48 hrs/year operation</v>
      </c>
      <c r="AI92" s="10441"/>
      <c r="AJ92" s="10441"/>
      <c r="AK92" s="10441"/>
      <c r="AL92" s="10441"/>
      <c r="AM92" s="10432"/>
      <c r="AN92" s="10423" t="str">
        <f>+AN88</f>
        <v>2010-2009 average</v>
      </c>
      <c r="AO92" s="10456">
        <f>+IF(ISERROR(MATCH(O92,tid,0)),"",IF(VLOOKUP(MATCH(O92,tid,0),tao,'12(id)'!$GY$20,FALSE)="","",VLOOKUP(MATCH(O92,tid,0),tao,'12(id)'!$GY$20,FALSE)))</f>
        <v>573.9</v>
      </c>
      <c r="AP92" s="10377">
        <f>+IF($BB92="","",IF(VLOOKUP(MATCH(O92,tid,0),tao,'12(id)'!$HE$20,FALSE)="","",VLOOKUP(MATCH(O92,tid,0),tao,'12(id)'!$HE$20,FALSE)))</f>
        <v>352730</v>
      </c>
      <c r="AQ92" s="10377">
        <f>+IF(ISERROR(VLOOKUP(MATCH(O92,tid,0),tao,'12(id)'!$HF$20,FALSE)),"",VLOOKUP(MATCH(O92,tid,0),tao,'12(id)'!$HF$20,FALSE))</f>
        <v>352730</v>
      </c>
      <c r="AR92" s="10380">
        <f>+IF(ISERROR(MATCH(O92,tid,0)),"",IF(VLOOKUP(MATCH(O92,tid,0),tao,'12(id)'!$HJ$20,FALSE)="","",VLOOKUP(MATCH(O92,tid,0),tao,'12(id)'!$HJ$20,FALSE)))</f>
        <v>0.23</v>
      </c>
      <c r="AS92" s="10383" t="str">
        <f>+IF(ISERROR(MATCH(O92,tid,0)),"",IF(VLOOKUP(MATCH(O92,tid,0),tao,'12(id)'!$HK$20,FALSE)="","",VLOOKUP(MATCH(O92,tid,0),tao,'12(id)'!$HK$20,FALSE)))</f>
        <v/>
      </c>
      <c r="AT92" s="10386">
        <f>+IF(ISERROR(MATCH(O92,tid,0)),"",IF(VLOOKUP(MATCH(O92,tid,0),tao,'12(id)'!$HM$20,FALSE)="","",VLOOKUP(MATCH(O92,tid,0),tao,'12(id)'!$HM$20,FALSE)))</f>
        <v>40.56</v>
      </c>
      <c r="AU92" s="10470" t="str">
        <f>+AU88</f>
        <v>CAIR-OS (max last 3 yrs)</v>
      </c>
      <c r="AV92" s="10473">
        <f>+IF(ISERROR(MATCH(O92,em_id,0)),"",IF(VLOOKUP(MATCH(O92,em_id,0),em,'5(em)'!$CX$18,FALSE)="","",VLOOKUP(MATCH(O92,em_id,0),em,'5(em)'!$CX$18,FALSE)))</f>
        <v>932</v>
      </c>
      <c r="AW92" s="10489">
        <f>+IF(ISERROR(MATCH(O92,em_id,0)),"",IF(VLOOKUP(MATCH(O92,em_id,0),em,'5(em)'!$CZ$18,FALSE)="","",VLOOKUP(MATCH(O92,em_id,0),em,'5(em)'!$CZ$18,FALSE)))</f>
        <v>567960</v>
      </c>
      <c r="AX92" s="10478">
        <f t="shared" si="50"/>
        <v>0.1</v>
      </c>
      <c r="AY92" s="10480"/>
      <c r="AZ92" s="10482">
        <f>+IF(ISERROR(MATCH(O92,em_id,0)),"",IF(VLOOKUP(MATCH(O92,em_id,0),em,'5(em)'!$DA$18,FALSE)="","",VLOOKUP(MATCH(O92,em_id,0),em,'5(em)'!$DA$18,FALSE)))</f>
        <v>27.4</v>
      </c>
      <c r="BA92" s="8635"/>
      <c r="BB92" s="1362" t="str">
        <f t="shared" ref="BB92:BB98" si="703">+IF(BC92="","",IF(R92=1,(IF(O92="",LEFT(BB91,7),O92)&amp;"-0"&amp;BC92),IF(AND(LEFT(O92,4)=LEFT(O91,4),R92&gt;1),IF(LEFT(C92,1)=LEFT(C91,1),LEFT(BB91,9),O92&amp;"-0")&amp;BC92,IF(O92="",LEFT(BB91,9)&amp;BC92,O92&amp;"-0"&amp;BC92))))</f>
        <v>8306-04-01</v>
      </c>
      <c r="BC92" s="7905">
        <v>1</v>
      </c>
      <c r="BD92" s="3151" t="str">
        <f>+IF(OR(D92="",VLOOKUP(MATCH(D92,op_id,0),op,'7(op)'!$T$18,FALSE)=""),"",VLOOKUP(MATCH(D92,op_id,0),op,'7(op)'!$T$18,FALSE))</f>
        <v>Close Coupled Over Fire Air (CCOFA)</v>
      </c>
      <c r="BE92" s="3151" t="s">
        <v>1629</v>
      </c>
      <c r="BF92" s="3151" t="s">
        <v>1861</v>
      </c>
      <c r="BG92" s="1035"/>
      <c r="BH92" s="8635"/>
      <c r="BI92" s="100"/>
      <c r="BJ92" s="100"/>
      <c r="BK92" s="100"/>
      <c r="BL92" s="100"/>
      <c r="BM92" s="100"/>
      <c r="BN92" s="100" t="str">
        <f t="shared" si="12"/>
        <v/>
      </c>
      <c r="BO92" s="100" t="str">
        <f t="shared" si="13"/>
        <v/>
      </c>
      <c r="BP92" s="100" t="str">
        <f t="shared" si="14"/>
        <v/>
      </c>
      <c r="BQ92" s="100" t="str">
        <f t="shared" si="15"/>
        <v/>
      </c>
      <c r="BR92" s="1027"/>
      <c r="BS92" s="1754" t="s">
        <v>559</v>
      </c>
      <c r="BT92" s="7905"/>
      <c r="BU92" s="3714">
        <f>+IF(BB92="","",IF(VLOOKUP(MATCH(BB92,ef_id,0),ef,'11(eff)'!$Z$23,FALSE)="","",VLOOKUP(MATCH(BB92,ef_id,0),ef,'11(eff)'!$Z$23,FALSE)))</f>
        <v>0.15</v>
      </c>
      <c r="BV92" s="3759" t="str">
        <f>+IF(BB92="","",IF(VLOOKUP(MATCH(BB92,ef_id,0),ef,'11(eff)'!$AA$23,FALSE)="","",VLOOKUP(MATCH(BB92,ef_id,0),ef,'11(eff)'!$AA$23,FALSE)))</f>
        <v/>
      </c>
      <c r="BW92" s="3781">
        <v>26.45</v>
      </c>
      <c r="BX92" s="3802">
        <f t="shared" si="511"/>
        <v>26.45</v>
      </c>
      <c r="BY92" s="3821">
        <f t="shared" si="512"/>
        <v>26.454749999999997</v>
      </c>
      <c r="BZ92" s="3400"/>
      <c r="CA92" s="3425"/>
      <c r="CB92" s="3853">
        <f t="shared" si="382"/>
        <v>14.110000000000003</v>
      </c>
      <c r="CC92" s="3874">
        <f t="shared" si="513"/>
        <v>0.34787968441814598</v>
      </c>
      <c r="CD92" s="3873">
        <f t="shared" si="514"/>
        <v>0.34782608695652184</v>
      </c>
      <c r="CE92" s="2379">
        <f>+IF(BB92="","",IF(VLOOKUP(MATCH(BB92,ef_id,0),ef,'11(eff)'!$AE$23,FALSE)="","",VLOOKUP(MATCH(BB92,ef_id,0),ef,'11(eff)'!$AE$23,FALSE)))</f>
        <v>0.34782608695652178</v>
      </c>
      <c r="CF92" s="8635"/>
      <c r="CG92" s="100"/>
      <c r="CH92" s="2417"/>
      <c r="CI92" s="4009">
        <f t="shared" si="628"/>
        <v>6.2925435655297221E-2</v>
      </c>
      <c r="CJ92" s="4062" t="str">
        <f>+IF(AY92="","",AY92*(1-CO92))</f>
        <v/>
      </c>
      <c r="CK92" s="4009">
        <f>+IF($BB92="","",IF(CI92="",IF($AZ92="",IF($AZ91="",$AZ90,$AZ91),$AZ92)-CL92,IF(OR(IF($AW92="",IF($AW91="",$AW90,$AW91),$AW92)="",CI92=""),"",CI92/2000*IF($AW92="",IF($AW91="",$AW90,$AW91),$AW92))))</f>
        <v>17.869565217391305</v>
      </c>
      <c r="CL92" s="4010">
        <f>+IF($BB92="","",IF(CI92="",CO92*IF($AZ92="",IF($AZ91="",$AZ90,$AZ91),$AZ92),IF(CK92="","",IF($AZ92="",IF($AZ91="",$AZ90,$AZ91),$AZ92)-CK92)))</f>
        <v>9.5304347826086939</v>
      </c>
      <c r="CM92" s="4011">
        <f>+IF($BB92="","",IF(CL92="","",CL92/IF($AZ92="",IF($AZ91="",$AZ90,$AZ91),$AZ92)))</f>
        <v>0.34782608695652167</v>
      </c>
      <c r="CN92" s="4011">
        <f>+IF($BB92="","",IF(CI92="","",(1-CI92/IF($AX92="",IF($AX91="",$AX90,$AX91),$AX92))))</f>
        <v>0.37074564344702787</v>
      </c>
      <c r="CO92" s="4012">
        <f>+IF(BB92="","",IF(VLOOKUP(MATCH(BB92,ef_id,0),ef,'11(eff)'!$AE$23,FALSE)="","",VLOOKUP(MATCH(BB92,ef_id,0),ef,'11(eff)'!$AE$23,FALSE)))</f>
        <v>0.34782608695652178</v>
      </c>
      <c r="CP92" s="4013" t="str">
        <f>+IF(OR(BB92="",VLOOKUP(MATCH(BB92,ef_id,0),ef,'11(eff)'!$AG$23,FALSE)=""),"",IF(VLOOKUP(MATCH(BB92,ef_id,0),ef,'11(eff)'!$AG$23,FALSE)/100=VLOOKUP(MATCH(BB92,ef_id,0),ef,'11(eff)'!$AE$23,FALSE),VLOOKUP(MATCH(BB92,ef_id,0),ef,'11(eff)'!$AE$23,FALSE),""))</f>
        <v/>
      </c>
      <c r="CQ92" s="1372" t="str">
        <f t="shared" si="51"/>
        <v>Close Coupled Over Fire Air (CCOFA)</v>
      </c>
      <c r="CR92" s="1027"/>
      <c r="CS92" s="3055">
        <v>1950050</v>
      </c>
      <c r="CT92" s="1595">
        <v>969200</v>
      </c>
      <c r="CU92" s="1525">
        <v>600000</v>
      </c>
      <c r="CV92" s="1905">
        <f t="shared" ref="CV92:CV114" si="704">+IF(CT92="","",CT92-CU92-SUM(CW92:DH92)-DJ92)</f>
        <v>150000</v>
      </c>
      <c r="CW92" s="1906">
        <v>20000</v>
      </c>
      <c r="CX92" s="1906">
        <v>50000</v>
      </c>
      <c r="CY92" s="1907"/>
      <c r="CZ92" s="2482"/>
      <c r="DA92" s="2491"/>
      <c r="DB92" s="2491"/>
      <c r="DC92" s="1905"/>
      <c r="DD92" s="1909"/>
      <c r="DE92" s="1910"/>
      <c r="DF92" s="1022"/>
      <c r="DG92" s="1022">
        <v>100000</v>
      </c>
      <c r="DH92" s="1909"/>
      <c r="DI92" s="1528">
        <f>+IF(CT92="","",SUM(CU92:DC92)+SUM(DE92:DF92))</f>
        <v>820000</v>
      </c>
      <c r="DJ92" s="1944">
        <v>49200</v>
      </c>
      <c r="DK92" s="1595"/>
      <c r="DL92" s="1525"/>
      <c r="DM92" s="1905" t="str">
        <f t="shared" ref="DM92:DM114" si="705">+IF(DK92="","",DK92-DL92-SUM(DN92:DY92)-EA92)</f>
        <v/>
      </c>
      <c r="DN92" s="1906"/>
      <c r="DO92" s="1906"/>
      <c r="DP92" s="1907"/>
      <c r="DQ92" s="2482"/>
      <c r="DR92" s="2491"/>
      <c r="DS92" s="2491"/>
      <c r="DT92" s="1905"/>
      <c r="DU92" s="1909"/>
      <c r="DV92" s="1910"/>
      <c r="DW92" s="1022"/>
      <c r="DX92" s="1022"/>
      <c r="DY92" s="1909"/>
      <c r="DZ92" s="1528" t="str">
        <f t="shared" si="664"/>
        <v/>
      </c>
      <c r="EA92" s="1944"/>
      <c r="EB92" s="1525">
        <f t="shared" si="377"/>
        <v>969200</v>
      </c>
      <c r="EC92" s="1968">
        <v>1</v>
      </c>
      <c r="ED92" s="1526">
        <f t="shared" si="20"/>
        <v>969200</v>
      </c>
      <c r="EE92" s="1908"/>
      <c r="EF92" s="1985"/>
      <c r="EG92" s="1907">
        <v>436140</v>
      </c>
      <c r="EH92" s="1528">
        <f t="shared" si="353"/>
        <v>436140</v>
      </c>
      <c r="EI92" s="1910">
        <f>0.05*(ED92+EH92)</f>
        <v>70267</v>
      </c>
      <c r="EJ92" s="1022">
        <f>0.1*(ED92+EH92)</f>
        <v>140534</v>
      </c>
      <c r="EK92" s="2016">
        <f>0.05*(ED92+EH92)</f>
        <v>70267</v>
      </c>
      <c r="EL92" s="1565"/>
      <c r="EM92" s="1910"/>
      <c r="EN92" s="1022"/>
      <c r="EO92" s="2016"/>
      <c r="EP92" s="1528">
        <f t="shared" si="378"/>
        <v>281068</v>
      </c>
      <c r="EQ92" s="2562"/>
      <c r="ER92" s="2562"/>
      <c r="ES92" s="2562"/>
      <c r="ET92" s="1528">
        <f>0.15*(ED92+EH92+EP92)</f>
        <v>252961.19999999998</v>
      </c>
      <c r="EU92" s="1527">
        <f>0.02*(EP92+ET92)</f>
        <v>10680.583999999999</v>
      </c>
      <c r="EV92" s="1524">
        <v>0</v>
      </c>
      <c r="EW92" s="2591"/>
      <c r="EX92" s="2591"/>
      <c r="EY92" s="2698">
        <f>+IF(BB92="","",(IF(ED92="",0,ED92)+IF(EH92="",0,EH92)+IF(EP92="",0,EP92)+IF(ET92="",0,ET92)+IF(EW92="",0,EW92)+IF(EX92="",0,EX92)))</f>
        <v>1939369.2</v>
      </c>
      <c r="EZ92" s="2727"/>
      <c r="FA92" s="1526"/>
      <c r="FB92" s="1504">
        <f t="shared" si="515"/>
        <v>1939369.2</v>
      </c>
      <c r="FC92" s="1525">
        <f t="shared" si="516"/>
        <v>969200</v>
      </c>
      <c r="FD92" s="2051">
        <f t="shared" si="517"/>
        <v>600000</v>
      </c>
      <c r="FE92" s="2035">
        <f t="shared" si="509"/>
        <v>0.61906727197688816</v>
      </c>
      <c r="FF92" s="2051">
        <f t="shared" si="518"/>
        <v>220000</v>
      </c>
      <c r="FG92" s="2035">
        <f t="shared" si="519"/>
        <v>0.22699133305819233</v>
      </c>
      <c r="FH92" s="2051">
        <f t="shared" si="520"/>
        <v>0</v>
      </c>
      <c r="FI92" s="2035">
        <f t="shared" si="510"/>
        <v>0</v>
      </c>
      <c r="FJ92" s="2727">
        <f t="shared" si="521"/>
        <v>820000</v>
      </c>
      <c r="FK92" s="2775">
        <f t="shared" si="522"/>
        <v>0.84605860503508046</v>
      </c>
      <c r="FL92" s="2785">
        <f t="shared" si="523"/>
        <v>0</v>
      </c>
      <c r="FM92" s="2035">
        <f t="shared" si="524"/>
        <v>0</v>
      </c>
      <c r="FN92" s="2821">
        <f t="shared" si="525"/>
        <v>0</v>
      </c>
      <c r="FO92" s="2775">
        <f t="shared" si="526"/>
        <v>0</v>
      </c>
      <c r="FP92" s="2821">
        <f t="shared" si="527"/>
        <v>100000</v>
      </c>
      <c r="FQ92" s="2775">
        <f t="shared" si="528"/>
        <v>0.10317787866281469</v>
      </c>
      <c r="FR92" s="2849">
        <f t="shared" si="529"/>
        <v>820000</v>
      </c>
      <c r="FS92" s="2831">
        <f t="shared" si="530"/>
        <v>49200</v>
      </c>
      <c r="FT92" s="2070">
        <f t="shared" si="531"/>
        <v>0.06</v>
      </c>
      <c r="FU92" s="2899">
        <f t="shared" si="532"/>
        <v>0</v>
      </c>
      <c r="FV92" s="1718">
        <f t="shared" si="533"/>
        <v>11965.432098765432</v>
      </c>
      <c r="FW92" s="2116">
        <f t="shared" si="534"/>
        <v>436140</v>
      </c>
      <c r="FX92" s="1744">
        <f t="shared" si="535"/>
        <v>0.45</v>
      </c>
      <c r="FY92" s="2117">
        <f t="shared" si="536"/>
        <v>281068</v>
      </c>
      <c r="FZ92" s="1744">
        <f t="shared" si="537"/>
        <v>0.28999999999999998</v>
      </c>
      <c r="GA92" s="1744">
        <f t="shared" si="538"/>
        <v>0.2</v>
      </c>
      <c r="GB92" s="2117">
        <f t="shared" si="539"/>
        <v>252961.19999999998</v>
      </c>
      <c r="GC92" s="1744">
        <f t="shared" si="540"/>
        <v>0.26099999999999995</v>
      </c>
      <c r="GD92" s="1744">
        <f t="shared" si="541"/>
        <v>0.15</v>
      </c>
      <c r="GE92" s="2126">
        <f t="shared" si="542"/>
        <v>1939369.2</v>
      </c>
      <c r="GF92" s="2149">
        <f t="shared" si="543"/>
        <v>1950049.784</v>
      </c>
      <c r="GG92" s="2175">
        <f t="shared" si="544"/>
        <v>-1.1076640293872231E-7</v>
      </c>
      <c r="GH92" s="3167">
        <f t="shared" si="545"/>
        <v>24074.688691358024</v>
      </c>
      <c r="GI92" s="3203">
        <v>525860</v>
      </c>
      <c r="GJ92" s="3207">
        <v>37271</v>
      </c>
      <c r="GK92" s="3457">
        <f t="shared" si="423"/>
        <v>14.110000000000003</v>
      </c>
      <c r="GL92" s="3252">
        <f t="shared" si="546"/>
        <v>6.4290545652346124E-5</v>
      </c>
      <c r="GM92" s="1309"/>
      <c r="GN92" s="1308"/>
      <c r="GO92" s="1910">
        <v>20000</v>
      </c>
      <c r="GP92" s="2016">
        <v>4517</v>
      </c>
      <c r="GQ92" s="1565">
        <f t="shared" si="582"/>
        <v>24517</v>
      </c>
      <c r="GR92" s="2328"/>
      <c r="GS92" s="2328"/>
      <c r="GT92" s="1528">
        <v>501343</v>
      </c>
      <c r="GU92" s="2337">
        <f t="shared" si="547"/>
        <v>525860</v>
      </c>
      <c r="GV92" s="69">
        <f t="shared" si="548"/>
        <v>20000</v>
      </c>
      <c r="GW92" s="2355">
        <f t="shared" si="549"/>
        <v>4517</v>
      </c>
      <c r="GX92" s="2319">
        <f t="shared" si="550"/>
        <v>24517</v>
      </c>
      <c r="GY92" s="2229" t="str">
        <f t="shared" si="551"/>
        <v/>
      </c>
      <c r="GZ92" s="2229" t="str">
        <f t="shared" si="552"/>
        <v/>
      </c>
      <c r="HA92" s="1528">
        <f t="shared" si="553"/>
        <v>501343</v>
      </c>
      <c r="HB92" s="2358">
        <f t="shared" si="432"/>
        <v>525860</v>
      </c>
      <c r="HC92" s="2359">
        <f t="shared" si="554"/>
        <v>525860</v>
      </c>
      <c r="HD92" s="2360">
        <f t="shared" si="375"/>
        <v>0</v>
      </c>
      <c r="HE92" s="1309"/>
      <c r="HF92" s="3258">
        <f t="shared" si="555"/>
        <v>37271</v>
      </c>
      <c r="HG92" s="1308">
        <f>+IF(OR(HC92="",$CL92=""),"",HC92/$CL92)</f>
        <v>55176.91605839417</v>
      </c>
      <c r="HH92" s="2999">
        <f>+IF(BF92="","",VALUE(LEFT(BF92,1)))</f>
        <v>2</v>
      </c>
      <c r="HI92" s="2928">
        <f>+IF(FR92="","",FR92)</f>
        <v>820000</v>
      </c>
      <c r="HJ92" s="1985">
        <f>+IF(FP92="","",FP92)</f>
        <v>100000</v>
      </c>
      <c r="HK92" s="1985">
        <f>+IF(FN92="","",FN92)</f>
        <v>0</v>
      </c>
      <c r="HL92" s="1985">
        <f>+IF(FR92="","",IF(HH92="","",IF(HH92=4,FS92,IF(HH92=3,FS92,IF(HH92=2,$HL$7*HI92,IF(HH92=1,$HL$6*HI92,""))))))</f>
        <v>49200</v>
      </c>
      <c r="HM92" s="2935">
        <f>IF(FR92="","",SUM(HI92:HL92))</f>
        <v>969200</v>
      </c>
      <c r="HN92" s="2912">
        <f t="shared" si="347"/>
        <v>11965.432098765432</v>
      </c>
      <c r="HO92" s="2966">
        <f>+IF(FR92="","",IF(HH92="","",IF(HH92=4,FW92,IF(HH92=3,FW92,IF(HH92=2,$HO$7*HM92,IF(HH92=1,$HO$6*HM92,""))))))</f>
        <v>436140</v>
      </c>
      <c r="HP92" s="2491">
        <f>+IF(FR92="","",IF(HH92="","",IF(HH92=4,FY92,IF(HH92=3,FY92,IF(HH92=2,$HP$7*(HM92+HO92),IF(HH92=1,$HP$6*HM92,""))))))</f>
        <v>281068</v>
      </c>
      <c r="HQ92" s="3012" t="str">
        <f t="shared" si="556"/>
        <v/>
      </c>
      <c r="HR92" s="1907">
        <f t="shared" si="557"/>
        <v>252961.19999999998</v>
      </c>
      <c r="HS92" s="1907">
        <f t="shared" si="558"/>
        <v>252961.19999999998</v>
      </c>
      <c r="HT92" s="2957">
        <f>+IF(FR92="","",IF(HH92="","",IF(HH92=2,$HT$7*(HP92+HR92),"")))</f>
        <v>10680.583999999999</v>
      </c>
      <c r="HU92" s="2959">
        <f>+IF(FR92="","",IF(HH92="","",IF(HH92=2,$HU$7*(HP92+HR92),"")))</f>
        <v>0</v>
      </c>
      <c r="HV92" s="2957" t="str">
        <f t="shared" si="559"/>
        <v/>
      </c>
      <c r="HW92" s="2959" t="str">
        <f t="shared" si="560"/>
        <v/>
      </c>
      <c r="HX92" s="3037">
        <f t="shared" si="199"/>
        <v>1950049.784</v>
      </c>
      <c r="HY92" s="2958" t="str">
        <f t="shared" si="561"/>
        <v/>
      </c>
      <c r="HZ92" s="2959" t="str">
        <f t="shared" si="562"/>
        <v/>
      </c>
      <c r="IA92" s="1525">
        <f t="shared" si="563"/>
        <v>1950049.784</v>
      </c>
      <c r="IB92" s="3042" t="str">
        <f t="shared" si="564"/>
        <v>same TCC</v>
      </c>
      <c r="IC92" s="3046">
        <f t="shared" ref="IC92:IC104" si="706">+IF(OR(IA92="",ISERROR(IA92/IF(T92="",IF(T91="",IF(T90="",1,T90),T91),T92))),"",IA92/IF(T92="",IF(T91="",IF(T90="",1,T90),T91),T92))</f>
        <v>24074.688691358024</v>
      </c>
      <c r="ID92" s="1310"/>
      <c r="IE92" s="4109"/>
      <c r="IF92" s="3329">
        <f t="shared" si="583"/>
        <v>20000</v>
      </c>
      <c r="IG92" s="6783">
        <f>+IF(IF92="","",(IF92/IF(AO92="",IF(AO91="",IF(AO90="",AO89,AO90),AO91),AO92)))</f>
        <v>34.849276877504792</v>
      </c>
      <c r="IH92" s="4180">
        <f t="shared" si="584"/>
        <v>4517</v>
      </c>
      <c r="II92" s="6801">
        <f>+IH92/IF(AQ92="",IF(AQ91="",IF(AQ90="",AQ89,AQ90),AQ91),AQ92)</f>
        <v>1.2805828820911179E-2</v>
      </c>
      <c r="IJ92" s="4181">
        <f t="shared" si="585"/>
        <v>24517</v>
      </c>
      <c r="IK92" s="4146">
        <v>0</v>
      </c>
      <c r="IL92" s="3284">
        <f t="shared" ref="IL92:IL93" si="707">+IF(IF92="","",IK92*$IL$8*IF92)</f>
        <v>0</v>
      </c>
      <c r="IM92" s="3282">
        <f t="shared" ref="IM92:IM93" si="708">IF(HM92="","",IK92*$IM$8*IA92)</f>
        <v>0</v>
      </c>
      <c r="IN92" s="4235" t="str">
        <f t="shared" si="588"/>
        <v/>
      </c>
      <c r="IO92" s="4235">
        <f t="shared" si="589"/>
        <v>24517</v>
      </c>
      <c r="IP92" s="7237">
        <f t="shared" ref="IP92:IP94" si="709">+IF(BB92="","",IF(IJ92="","",IJ92/IF(R92="",IF(R91="",IF(R90="",R89,R90),R91),R92)))</f>
        <v>24517</v>
      </c>
      <c r="IQ92" s="7244">
        <f t="shared" ref="IQ92:IQ94" si="710">+IF(IP92="","",IP92/IX92)</f>
        <v>0.14355177366305846</v>
      </c>
      <c r="IR92" s="7237" t="str">
        <f t="shared" ref="IR92:IR94" si="711">+IF(BB92="","",IF(IN92="","",IN92/IF(R92="",IF(R91="",IF(R90="",R89,R90),R91),R92)))</f>
        <v/>
      </c>
      <c r="IS92" s="7244" t="str">
        <f t="shared" ref="IS92:IS94" si="712">+IF(IR92="","",IR92/IX92)</f>
        <v/>
      </c>
      <c r="IT92" s="4235">
        <f t="shared" si="594"/>
        <v>24517</v>
      </c>
      <c r="IU92" s="6855">
        <f t="shared" si="595"/>
        <v>0.14355177366305846</v>
      </c>
      <c r="IV92" s="7271">
        <f t="shared" ref="IV92:IV94" si="713">+IF(D92="","",IF(IF(V92="",IF(V91="",IF(V90="",V89,V90),V91),V92)="Utility Boiler",2,1))</f>
        <v>2</v>
      </c>
      <c r="IW92" s="7067">
        <f t="shared" ref="IW92:IW94" si="714">IF(IA92="","",IF(IV92=1,$IW$5,IF(IV92=2,$IW$8,""))*IA92)</f>
        <v>146271.55505850981</v>
      </c>
      <c r="IX92" s="4190">
        <f t="shared" si="597"/>
        <v>170788.55505850981</v>
      </c>
      <c r="IY92" s="4259">
        <f t="shared" si="598"/>
        <v>525860</v>
      </c>
      <c r="IZ92" s="4307">
        <f t="shared" si="599"/>
        <v>0.6752204863299931</v>
      </c>
      <c r="JA92" s="4308" t="str">
        <f t="shared" ref="JA92:JA94" si="715">+IF(BB92="","",IF(ISERROR(IY92-IX92),"",IF((IY92-IX92)&gt;0,"stk added + "&amp;ROUND((IY92-IX92)/IY92*100,0)&amp;"%",IF(IY92=IX92,"same TAC",(IY92-IX92)/IY92))))</f>
        <v>stk added + 68%</v>
      </c>
      <c r="JB92" s="4117"/>
      <c r="JC92" s="4342"/>
      <c r="JD92" s="3258">
        <f t="shared" si="570"/>
        <v>12104.079026116922</v>
      </c>
      <c r="JE92" s="4366">
        <f t="shared" si="571"/>
        <v>17920.331963256052</v>
      </c>
      <c r="JF92" s="7044">
        <f t="shared" si="636"/>
        <v>81</v>
      </c>
      <c r="JG92" s="7059" t="s">
        <v>1333</v>
      </c>
      <c r="JH92" s="6975">
        <f t="shared" si="601"/>
        <v>1950049.784</v>
      </c>
      <c r="JI92" s="6975">
        <f>+JH92</f>
        <v>1950049.784</v>
      </c>
      <c r="JJ92" s="6975"/>
      <c r="JK92" s="6975"/>
      <c r="JL92" s="7012"/>
      <c r="JM92" s="7053" t="str">
        <f t="shared" ref="JM92:JM93" si="716">+IF(D92="","",IF(JG92="SCR",(JF92*49700+459000),IF(JG92="HPWI",(0.0353*JF92+0.2915)*(10^6),"N/A")))</f>
        <v>N/A</v>
      </c>
      <c r="JN92" s="1985" t="str">
        <f t="shared" si="637"/>
        <v/>
      </c>
      <c r="JO92" s="1985">
        <f t="shared" ref="JO92:JO113" si="717">+JI92</f>
        <v>1950049.784</v>
      </c>
      <c r="JP92" s="7083"/>
      <c r="JQ92" s="7083"/>
      <c r="JR92" s="7059"/>
      <c r="JS92" s="7067">
        <f>+IF(D92="","",SUM(JO92:JR92))</f>
        <v>1950049.784</v>
      </c>
      <c r="JT92" s="7178">
        <f t="shared" si="476"/>
        <v>2</v>
      </c>
      <c r="JU92" s="6265">
        <f t="shared" ref="JU92:JU94" si="718">+IF(D92="","",IF(AV92="",IF(AV91="",IF(AV90="","",AV90),AV91),AV92))</f>
        <v>932</v>
      </c>
      <c r="JV92" s="8382">
        <f t="shared" ref="JV92:JV94" si="719">+IF(D92="","",IF(AW92="",IF(AW91="",IF(AW90="","",AW90),AW91),AW92))</f>
        <v>567960</v>
      </c>
      <c r="JW92" s="8410">
        <f t="shared" si="682"/>
        <v>9.5304347826086939</v>
      </c>
      <c r="JX92" s="8439">
        <f t="shared" ref="JX92:JX94" si="720">+IF(OR(D92="",JU92=""),"",IF(JT92=2,24000/JU92,""))</f>
        <v>25.751072961373392</v>
      </c>
      <c r="JY92" s="8474">
        <f t="shared" si="642"/>
        <v>8.4860846842061244E-2</v>
      </c>
      <c r="JZ92" s="7179">
        <f t="shared" ref="JZ92:JZ94" si="721">+IF(OR(D92="",JU92="",ISERROR(JF92)),"",IF(JT92=2,JF92*6180/83,""))</f>
        <v>6031.0843373493972</v>
      </c>
      <c r="KA92" s="7178" t="str">
        <f t="shared" ref="KA92:KA94" si="722">+IF(OR(D92="",JV92=""),"",IF(JT92=1,JV92*10^6/$KA$8/JU92,""))</f>
        <v/>
      </c>
      <c r="KB92" s="6265" t="str">
        <f t="shared" ref="KB92:KB94" si="723">+IF(OR(D92="",KA92=""),"",IF(JT92=1,KA92*$KB$8,""))</f>
        <v/>
      </c>
      <c r="KC92" s="7179" t="str">
        <f t="shared" ref="KC92:KC94" si="724">+IF(OR(D92="",KB92=""),"",IF(JT92=1,KB92*7.48/62.4/60,""))</f>
        <v/>
      </c>
      <c r="KD92" s="7178">
        <f t="shared" ref="KD92:KD94" si="725">+IF(OR(D92="",JV92=""),"",IF(JT92=1,$KD$5*JU92*$KD$6/1000,$KD$7*JU92*$KD$8/1000))</f>
        <v>39557.807999999997</v>
      </c>
      <c r="KE92" s="8347">
        <f t="shared" ref="KE92:KE94" si="726">+IF(OR(D92="",JW92="",JW92=0),"",IF(JT92=2,JW92*$KE$8*$KG$4,""))</f>
        <v>5935.5547826086949</v>
      </c>
      <c r="KF92" s="8347">
        <f t="shared" ref="KF92:KF94" si="727">+IF(OR(D92="",JW92="",JW92=0),"",IF(JT92=2,JW92*(0.95/0.05)*(18/17)*($KF$8/1000)*(2000)*$KG$4,""))</f>
        <v>3980.3132071611244</v>
      </c>
      <c r="KG92" s="6265">
        <f t="shared" ref="KG92:KG94" si="728">+IF(D92="","",IF(JT92=1,$KG$2*KC92/1000*60*JU92*$KG$4*$KG$6,IF(OR(JZ92="",JY92=""),"",JZ92*$KG$8*JY92*$KG$4)))</f>
        <v>13281.285884115234</v>
      </c>
      <c r="KH92" s="6265">
        <f>IF(D92="","",IF(JT92=2,0.005*JF92*$KD$6/1000*1000*JU92,""))</f>
        <v>146514.87360000002</v>
      </c>
      <c r="KI92" s="6265">
        <f>IF(D92="","",IF(JT92=2,0.1*0.005*JF92*$KD$6/1000*1000*JU92,""))</f>
        <v>14651.487360000001</v>
      </c>
      <c r="KJ92" s="6265">
        <f t="shared" ref="KJ92:KJ94" si="729">+IF(OR(D92="",JU92="",JV92=""),"",IF(JT92=1,KD92+KG92,KD92+KE92+KF92+KG92+KH92+KI92))</f>
        <v>223921.32283388506</v>
      </c>
      <c r="KK92" s="6265">
        <f>+IF(OR(D92="",JU92="",JV92=""),"",$KK$7*$KG$4*JU92)</f>
        <v>97773.510399999999</v>
      </c>
      <c r="KL92" s="6265">
        <f t="shared" ref="KL92:KL94" si="730">+IF(OR(D92="",JU92="",JV92="",JS92=""),"",IF(JT92=1,$KL$7*JS92*JU92/$KL$8,$KL$7*IF(JN92="",JS92,JN92)*JU92/$KL$8))</f>
        <v>6815.4239950800002</v>
      </c>
      <c r="KM92" s="6265">
        <f t="shared" ref="KM92:KM94" si="731">+IF(D92="","",IF(KK92="",0,KK92)+IF(KL92="",0,KL92))</f>
        <v>104588.93439508</v>
      </c>
      <c r="KN92" s="6265">
        <f>+IF(D92="","",IF(JX92&lt;41,$KN$8*JZ92*JY92,""))</f>
        <v>148422.84803057488</v>
      </c>
      <c r="KO92" s="6265">
        <f t="shared" ref="KO92:KO94" si="732">+IF(OR(D92="",JU92="",JV92=""),"",IF(KM92="",0,KM92)+IF(KN92="",0,KN92))</f>
        <v>253011.78242565488</v>
      </c>
      <c r="KP92" s="7179">
        <f t="shared" ref="KP92:KP94" si="733">+IF(OR(D92="",JU92="",JV92=""),"",IF(KJ92="",0,KJ92)+IF(KO92="",0,KO92))</f>
        <v>476933.10525953991</v>
      </c>
      <c r="KQ92" s="7215">
        <f>+IF(D92="","",VLOOKUP(MATCH(BE92,ac_id,0),ad,ac!$F$8,FALSE)*JV92)</f>
        <v>170388</v>
      </c>
      <c r="KR92" s="7083">
        <f>+IF(D92="","",IF(JT92=1,VLOOKUP(MATCH(BE92,ac_id,0),ad,ac!$H$8,FALSE)*JU92, (VLOOKUP(MATCH(BE92,ac_id,0),ad,ac!$H$8,FALSE)*JU92^(1+VLOOKUP(MATCH(BE92,ac_id,0),ad,ac!$I$8,FALSE)))))</f>
        <v>21643.124894750814</v>
      </c>
      <c r="KS92" s="7067">
        <f t="shared" si="697"/>
        <v>192031.12489475083</v>
      </c>
      <c r="KT92" s="7215">
        <f t="shared" ref="KT92:KT94" si="734">+IF(D92="","",IF(KK92="","",$KT$26*KM92))</f>
        <v>62753.360637047997</v>
      </c>
      <c r="KU92" s="7059">
        <f t="shared" ref="KU92:KU94" si="735">+IF(D92="","",IF(JS92="","",$KU$26*IF(JN92="",JS92,JN92)))</f>
        <v>78001.99136</v>
      </c>
      <c r="KV92" s="7395">
        <f t="shared" si="667"/>
        <v>2</v>
      </c>
      <c r="KW92" s="7321">
        <f t="shared" ref="KW92:KW94" si="736">IF(JS92="","",IF(KV92=1,$KW$5,IF(KV92=2,$KW$8,""))*JS92)</f>
        <v>146271.55505850981</v>
      </c>
      <c r="KX92" s="7067">
        <f t="shared" ref="KX92:KX94" si="737">+IF(D92="","",IF(KW92="","",IF(KT92="",0,KT92)+IF(KU92="",0,KU92)+KW92))</f>
        <v>287026.90705555782</v>
      </c>
      <c r="KY92" s="7325">
        <f t="shared" ref="KY92:KY94" si="738">+IF(D92="","",IF(KX92="","",IF(KP92="",0,KP92)+KX92))</f>
        <v>763960.01231509773</v>
      </c>
      <c r="KZ92" s="7396"/>
      <c r="LA92" s="7287">
        <f t="shared" si="668"/>
        <v>54143.161751601532</v>
      </c>
      <c r="LB92" s="7300">
        <f t="shared" si="669"/>
        <v>80160.037788536734</v>
      </c>
      <c r="LC92" s="5133"/>
      <c r="LD92" s="5132"/>
      <c r="LE92" s="5132"/>
      <c r="LF92" s="5132"/>
      <c r="LG92" s="5132"/>
      <c r="LH92" s="5132"/>
      <c r="LI92" s="5132"/>
      <c r="LJ92" s="5132"/>
    </row>
    <row r="93" spans="1:322" s="717" customFormat="1" ht="27.95" customHeight="1">
      <c r="A93" s="10539"/>
      <c r="B93" s="10521" t="str">
        <f>+IF(A93="","",VLOOKUP(MATCH(A93,tid,0),tao,'12(id)'!$J$20,FALSE))</f>
        <v/>
      </c>
      <c r="C93" s="10549"/>
      <c r="D93" s="1067" t="str">
        <f t="shared" si="48"/>
        <v>8306-04-02</v>
      </c>
      <c r="E93" s="3151" t="str">
        <f>+IF(BD93="","",BD93)</f>
        <v>(HERT) High Energy Reagent Technology SNCR</v>
      </c>
      <c r="F93" s="3151" t="str">
        <f t="shared" si="49"/>
        <v>New Eqp</v>
      </c>
      <c r="G93" s="5133"/>
      <c r="H93" s="5132"/>
      <c r="I93" s="5133"/>
      <c r="J93" s="719">
        <f t="shared" si="68"/>
        <v>59</v>
      </c>
      <c r="K93" s="10553"/>
      <c r="L93" s="9721"/>
      <c r="M93" s="9718"/>
      <c r="N93" s="9699"/>
      <c r="O93" s="9518"/>
      <c r="P93" s="9520"/>
      <c r="Q93" s="9680" t="str">
        <f>+IF(ISERROR(MATCH(O93,tid,0)),"",VLOOKUP(MATCH(O93,tid,0),tao,'12(id)'!$Q$20,FALSE))</f>
        <v/>
      </c>
      <c r="R93" s="10183"/>
      <c r="S93" s="9680"/>
      <c r="T93" s="10526" t="str">
        <f>+IF(ISERROR(MATCH(O93,tid,0)),"",IF(VLOOKUP(MATCH(O93,tid,0),tao,'12(id)'!$CT$20,FALSE)="","",VLOOKUP(MATCH(O93,tid,0),tao,'12(id)'!$CT$20,FALSE)))</f>
        <v/>
      </c>
      <c r="U93" s="10529" t="str">
        <f>+IF(ISERROR(MATCH(O93,tid,0)),"",IF(VLOOKUP(MATCH(O93,tid,0),tao,'12(id)'!$CU$20,FALSE)="","",VLOOKUP(MATCH(O93,tid,0),tao,'12(id)'!$CU$20,FALSE)))</f>
        <v/>
      </c>
      <c r="V93" s="9504" t="str">
        <f>+IF(O93="","",IF(VLOOKUP(MATCH(O93,tid,0),tao,'12(id)'!$T$20,FALSE)="","",VLOOKUP(MATCH(O93,tid,0),tao,'12(id)'!$T$20,FALSE)))</f>
        <v/>
      </c>
      <c r="W93" s="9504" t="str">
        <f>+IF(ISERROR(MATCH(O93,tid,0)),"",IF(VLOOKUP(MATCH(O93,tid,0),tao,'12(id)'!$CO$20,FALSE)="","",VLOOKUP(MATCH(O93,tid,0),tao,'12(id)'!$CO$20,FALSE)))</f>
        <v/>
      </c>
      <c r="X93" s="9504" t="str">
        <f>+IF(ISERROR(MATCH(O93,tid,0)),"",IF(VLOOKUP(MATCH(O93,tid,0),tao,'12(id)'!$CP$20,FALSE)="","",VLOOKUP(MATCH(O93,tid,0),tao,'12(id)'!$CP$20,FALSE)))</f>
        <v/>
      </c>
      <c r="Y93" s="8553" t="str">
        <f>+IF(ISERROR(MATCH(O93,tid,0)),"",IF(VLOOKUP(MATCH(O93,tid,0),tao,'12(id)'!$CQ$20,FALSE)="","",VLOOKUP(MATCH(O93,tid,0),tao,'12(id)'!$CQ$20,FALSE)))</f>
        <v/>
      </c>
      <c r="Z93" s="9518" t="str">
        <f>+IF(ISERROR(MATCH(O93,tid,0)),"",VLOOKUP(MATCH(O93,tid,0),tao,'12(id)'!$DB$20,FALSE)&amp;" "&amp;VLOOKUP(MATCH(O93,tid,0),tao,'12(id)'!$DC$20,FALSE))</f>
        <v/>
      </c>
      <c r="AA93" s="9518" t="str">
        <f>+IF(ISERROR(MATCH(O93,tid,0)),"",IF(VLOOKUP(MATCH(O93,tid,0),tao,'12(id)'!$DE$20,FALSE)="","",ROUND(VLOOKUP(MATCH(O93,tid,0),tao,'12(id)'!$DE$20,FALSE),0)&amp;" yrs"))</f>
        <v/>
      </c>
      <c r="AB93" s="9648" t="str">
        <f>+IF(ISERROR(MATCH(O93,tid,0)),"",VLOOKUP(MATCH(O93,tid,0),tao,'12(id)'!$DI$20,FALSE))</f>
        <v/>
      </c>
      <c r="AC93" s="9648" t="str">
        <f>+IF(ISERROR(MATCH(O93,tid,0)),"",IF(VLOOKUP(MATCH(O93,tid,0),tao,'12(id)'!$DQ$20,FALSE)="","",VLOOKUP(MATCH(O93,tid,0),tao,'12(id)'!$DQ$20,FALSE)))</f>
        <v/>
      </c>
      <c r="AD93" s="10412" t="str">
        <f>+IF(ISERROR(MATCH(O93,tid,0)),"",IF(VLOOKUP(MATCH(O93,tid,0),tao,'12(id)'!$EI$20,FALSE)="","",VLOOKUP(MATCH(O93,tid,0),tao,'12(id)'!$EI$20,FALSE)))</f>
        <v/>
      </c>
      <c r="AE93" s="10412" t="str">
        <f>+IF(ISERROR(MATCH(O93,tid,0)),"",IF(VLOOKUP(MATCH(O93,tid,0),tao,'12(id)'!$EJ$20,FALSE)="","",VLOOKUP(MATCH(O93,tid,0),tao,'12(id)'!$EJ$20,FALSE)))</f>
        <v/>
      </c>
      <c r="AF93" s="10412" t="str">
        <f>+IF(ISERROR(MATCH(O93,tid,0)),"",IF(VLOOKUP(MATCH(O93,tid,0),tao,'12(id)'!$EL$20,FALSE)="","",VLOOKUP(MATCH(O93,tid,0),tao,'12(id)'!$EL$20,FALSE)))</f>
        <v/>
      </c>
      <c r="AG93" s="10409" t="str">
        <f>+IF(ISERROR(MATCH(O93,tid,0)),"",IF(VLOOKUP(MATCH(O93,tid,0),tao,'12(id)'!$EM$20,FALSE)="","",VLOOKUP(MATCH(O93,tid,0),tao,'12(id)'!$EM$20,FALSE)))</f>
        <v/>
      </c>
      <c r="AH93" s="10439"/>
      <c r="AI93" s="10441"/>
      <c r="AJ93" s="10441"/>
      <c r="AK93" s="10441"/>
      <c r="AL93" s="10441"/>
      <c r="AM93" s="10432"/>
      <c r="AN93" s="10422"/>
      <c r="AO93" s="10457" t="str">
        <f>+IF(ISERROR(MATCH(O93,tid,0)),"",IF(VLOOKUP(MATCH(O93,tid,0),tao,'12(id)'!$GY$20,FALSE)="","",VLOOKUP(MATCH(O93,tid,0),tao,'12(id)'!$GY$20,FALSE)))</f>
        <v/>
      </c>
      <c r="AP93" s="10378" t="e">
        <f>+IF($BB93="","",IF(VLOOKUP(MATCH(O93,tid,0),tao,'12(id)'!$HE$20,FALSE)="","",VLOOKUP(MATCH(O93,tid,0),tao,'12(id)'!$HE$20,FALSE)))</f>
        <v>#N/A</v>
      </c>
      <c r="AQ93" s="10378" t="str">
        <f>+IF(ISERROR(VLOOKUP(MATCH(O93,tid,0),tao,'12(id)'!$HF$20,FALSE)),"",VLOOKUP(MATCH(O93,tid,0),tao,'12(id)'!$HF$20,FALSE))</f>
        <v/>
      </c>
      <c r="AR93" s="10381" t="str">
        <f>+IF(ISERROR(MATCH(O93,tid,0)),"",IF(VLOOKUP(MATCH(O93,tid,0),tao,'12(id)'!$HJ$20,FALSE)="","",VLOOKUP(MATCH(O93,tid,0),tao,'12(id)'!$HJ$20,FALSE)))</f>
        <v/>
      </c>
      <c r="AS93" s="10384" t="str">
        <f>+IF(ISERROR(MATCH(O93,tid,0)),"",IF(VLOOKUP(MATCH(O93,tid,0),tao,'12(id)'!$HK$20,FALSE)="","",VLOOKUP(MATCH(O93,tid,0),tao,'12(id)'!$HK$20,FALSE)))</f>
        <v/>
      </c>
      <c r="AT93" s="10387" t="str">
        <f>+IF(ISERROR(MATCH(O93,tid,0)),"",IF(VLOOKUP(MATCH(O93,tid,0),tao,'12(id)'!$HM$20,FALSE)="","",VLOOKUP(MATCH(O93,tid,0),tao,'12(id)'!$HM$20,FALSE)))</f>
        <v/>
      </c>
      <c r="AU93" s="10471"/>
      <c r="AV93" s="10473" t="str">
        <f>+IF(ISERROR(MATCH(O93,em_id,0)),"",IF(VLOOKUP(MATCH(O93,em_id,0),em,'5(em)'!$CX$18,FALSE)="","",VLOOKUP(MATCH(O93,em_id,0),em,'5(em)'!$CX$18,FALSE)))</f>
        <v/>
      </c>
      <c r="AW93" s="10489" t="str">
        <f>+IF(ISERROR(MATCH(O93,em_id,0)),"",IF(VLOOKUP(MATCH(O93,em_id,0),em,'5(em)'!$CZ$18,FALSE)="","",VLOOKUP(MATCH(O93,em_id,0),em,'5(em)'!$CZ$18,FALSE)))</f>
        <v/>
      </c>
      <c r="AX93" s="10478" t="str">
        <f t="shared" si="50"/>
        <v/>
      </c>
      <c r="AY93" s="10480"/>
      <c r="AZ93" s="10482" t="str">
        <f>+IF(ISERROR(MATCH(O93,em_id,0)),"",IF(VLOOKUP(MATCH(O93,em_id,0),em,'5(em)'!$DA$18,FALSE)="","",VLOOKUP(MATCH(O93,em_id,0),em,'5(em)'!$DA$18,FALSE)))</f>
        <v/>
      </c>
      <c r="BA93" s="1030"/>
      <c r="BB93" s="1362" t="str">
        <f t="shared" si="703"/>
        <v>8306-04-02</v>
      </c>
      <c r="BC93" s="7905">
        <v>2</v>
      </c>
      <c r="BD93" s="3151" t="str">
        <f>+IF(OR(D93="",VLOOKUP(MATCH(D93,op_id,0),op,'7(op)'!$T$18,FALSE)=""),"",VLOOKUP(MATCH(D93,op_id,0),op,'7(op)'!$T$18,FALSE))</f>
        <v>(HERT) High Energy Reagent Technology SNCR</v>
      </c>
      <c r="BE93" s="3151" t="s">
        <v>1629</v>
      </c>
      <c r="BF93" s="3151" t="s">
        <v>1861</v>
      </c>
      <c r="BG93" s="1035"/>
      <c r="BH93" s="8635"/>
      <c r="BI93" s="100"/>
      <c r="BJ93" s="100"/>
      <c r="BK93" s="100"/>
      <c r="BL93" s="100"/>
      <c r="BM93" s="100"/>
      <c r="BN93" s="100" t="str">
        <f t="shared" si="12"/>
        <v/>
      </c>
      <c r="BO93" s="100" t="str">
        <f t="shared" si="13"/>
        <v/>
      </c>
      <c r="BP93" s="100" t="str">
        <f t="shared" si="14"/>
        <v/>
      </c>
      <c r="BQ93" s="100" t="str">
        <f t="shared" si="15"/>
        <v/>
      </c>
      <c r="BR93" s="1027"/>
      <c r="BS93" s="2382" t="s">
        <v>559</v>
      </c>
      <c r="BT93" s="7905"/>
      <c r="BU93" s="3714">
        <f>+IF(BB93="","",IF(VLOOKUP(MATCH(BB93,ef_id,0),ef,'11(eff)'!$Z$23,FALSE)="","",VLOOKUP(MATCH(BB93,ef_id,0),ef,'11(eff)'!$Z$23,FALSE)))</f>
        <v>0.15</v>
      </c>
      <c r="BV93" s="3759" t="str">
        <f>+IF(BB93="","",IF(VLOOKUP(MATCH(BB93,ef_id,0),ef,'11(eff)'!$AA$23,FALSE)="","",VLOOKUP(MATCH(BB93,ef_id,0),ef,'11(eff)'!$AA$23,FALSE)))</f>
        <v/>
      </c>
      <c r="BW93" s="3781">
        <v>26.45</v>
      </c>
      <c r="BX93" s="3802">
        <f t="shared" si="511"/>
        <v>26.45</v>
      </c>
      <c r="BY93" s="3821">
        <f t="shared" si="512"/>
        <v>26.454749999999997</v>
      </c>
      <c r="BZ93" s="3400"/>
      <c r="CA93" s="3425"/>
      <c r="CB93" s="3853">
        <f t="shared" si="382"/>
        <v>14.110000000000003</v>
      </c>
      <c r="CC93" s="3874">
        <f t="shared" si="513"/>
        <v>0.34787968441814598</v>
      </c>
      <c r="CD93" s="3873">
        <f t="shared" si="514"/>
        <v>0.34782608695652184</v>
      </c>
      <c r="CE93" s="2379">
        <f>+IF(BB93="","",IF(VLOOKUP(MATCH(BB93,ef_id,0),ef,'11(eff)'!$AE$23,FALSE)="","",VLOOKUP(MATCH(BB93,ef_id,0),ef,'11(eff)'!$AE$23,FALSE)))</f>
        <v>0.34782608695652178</v>
      </c>
      <c r="CF93" s="8635"/>
      <c r="CG93" s="100"/>
      <c r="CH93" s="2417"/>
      <c r="CI93" s="4009">
        <f t="shared" si="628"/>
        <v>6.2925435655297221E-2</v>
      </c>
      <c r="CJ93" s="4062" t="str">
        <f>+IF(AY92="","",AY92*(1-CO93))</f>
        <v/>
      </c>
      <c r="CK93" s="4009">
        <f>+IF($BB93="","",IF(CI93="",IF($AZ93="",IF($AZ92="",$AZ91,$AZ92),$AZ93)-CL93,IF(OR(IF($AW93="",IF($AW92="",$AW91,$AW92),$AW93)="",CI93=""),"",CI93/2000*IF($AW93="",IF($AW92="",$AW91,$AW92),$AW93))))</f>
        <v>17.869565217391305</v>
      </c>
      <c r="CL93" s="4010">
        <f>+IF($BB93="","",IF(CI93="",CO93*IF($AZ93="",IF($AZ92="",$AZ91,$AZ92),$AZ93),IF(CK93="","",IF($AZ93="",IF($AZ92="",$AZ91,$AZ92),$AZ93)-CK93)))</f>
        <v>9.5304347826086939</v>
      </c>
      <c r="CM93" s="4011">
        <f>+IF($BB93="","",IF(CL93="","",CL93/IF($AZ93="",IF($AZ92="",$AZ91,$AZ92),$AZ93)))</f>
        <v>0.34782608695652167</v>
      </c>
      <c r="CN93" s="4011">
        <f>+IF($BB93="","",IF(CI93="","",(1-CI93/IF($AX93="",IF($AX92="",$AX91,$AX92),$AX93))))</f>
        <v>0.37074564344702787</v>
      </c>
      <c r="CO93" s="4012">
        <f>+IF(BB93="","",IF(VLOOKUP(MATCH(BB93,ef_id,0),ef,'11(eff)'!$AE$23,FALSE)="","",VLOOKUP(MATCH(BB93,ef_id,0),ef,'11(eff)'!$AE$23,FALSE)))</f>
        <v>0.34782608695652178</v>
      </c>
      <c r="CP93" s="3985" t="str">
        <f>+IF(OR(BB93="",VLOOKUP(MATCH(BB93,ef_id,0),ef,'11(eff)'!$AG$23,FALSE)=""),"",IF(VLOOKUP(MATCH(BB93,ef_id,0),ef,'11(eff)'!$AG$23,FALSE)/100=VLOOKUP(MATCH(BB93,ef_id,0),ef,'11(eff)'!$AE$23,FALSE),VLOOKUP(MATCH(BB93,ef_id,0),ef,'11(eff)'!$AE$23,FALSE),""))</f>
        <v/>
      </c>
      <c r="CQ93" s="1371" t="str">
        <f t="shared" si="51"/>
        <v>(HERT) High Energy Reagent Technology SNCR</v>
      </c>
      <c r="CR93" s="8580"/>
      <c r="CS93" s="2768">
        <v>1602413</v>
      </c>
      <c r="CT93" s="1594">
        <v>796420</v>
      </c>
      <c r="CU93" s="1520">
        <v>250000</v>
      </c>
      <c r="CV93" s="1896">
        <f t="shared" si="704"/>
        <v>237000</v>
      </c>
      <c r="CW93" s="1897">
        <v>20000</v>
      </c>
      <c r="CX93" s="1897"/>
      <c r="CY93" s="1898">
        <v>100000</v>
      </c>
      <c r="CZ93" s="2481"/>
      <c r="DA93" s="2490"/>
      <c r="DB93" s="2490">
        <v>50000</v>
      </c>
      <c r="DC93" s="1896"/>
      <c r="DD93" s="1899"/>
      <c r="DE93" s="1900"/>
      <c r="DF93" s="1901"/>
      <c r="DG93" s="1901">
        <v>100000</v>
      </c>
      <c r="DH93" s="1899"/>
      <c r="DI93" s="1523">
        <f>+IF(CT93="","",SUM(CU93:DC93)+SUM(DE93:DF93))</f>
        <v>657000</v>
      </c>
      <c r="DJ93" s="1942">
        <v>39420</v>
      </c>
      <c r="DK93" s="1594"/>
      <c r="DL93" s="1520"/>
      <c r="DM93" s="1896" t="str">
        <f t="shared" si="705"/>
        <v/>
      </c>
      <c r="DN93" s="1897"/>
      <c r="DO93" s="1897"/>
      <c r="DP93" s="1898"/>
      <c r="DQ93" s="2481"/>
      <c r="DR93" s="2490"/>
      <c r="DS93" s="2490"/>
      <c r="DT93" s="1896"/>
      <c r="DU93" s="1899"/>
      <c r="DV93" s="1900"/>
      <c r="DW93" s="1901"/>
      <c r="DX93" s="1901"/>
      <c r="DY93" s="1899"/>
      <c r="DZ93" s="1523" t="str">
        <f t="shared" si="664"/>
        <v/>
      </c>
      <c r="EA93" s="1942"/>
      <c r="EB93" s="1525">
        <f t="shared" si="377"/>
        <v>796420</v>
      </c>
      <c r="EC93" s="1968">
        <v>1</v>
      </c>
      <c r="ED93" s="1526">
        <f t="shared" si="20"/>
        <v>796420</v>
      </c>
      <c r="EE93" s="1908"/>
      <c r="EF93" s="1985"/>
      <c r="EG93" s="1907">
        <v>358389</v>
      </c>
      <c r="EH93" s="1528">
        <f t="shared" si="353"/>
        <v>358389</v>
      </c>
      <c r="EI93" s="1910">
        <f>0.05*(ED93+EH93)</f>
        <v>57740.450000000004</v>
      </c>
      <c r="EJ93" s="1022">
        <f>0.1*(ED93+EH93)</f>
        <v>115480.90000000001</v>
      </c>
      <c r="EK93" s="2016">
        <f>0.05*(ED93+EH93)</f>
        <v>57740.450000000004</v>
      </c>
      <c r="EL93" s="1565"/>
      <c r="EM93" s="1910"/>
      <c r="EN93" s="1022"/>
      <c r="EO93" s="2016"/>
      <c r="EP93" s="1528">
        <f t="shared" si="378"/>
        <v>230961.80000000002</v>
      </c>
      <c r="EQ93" s="2562"/>
      <c r="ER93" s="2562"/>
      <c r="ES93" s="2562"/>
      <c r="ET93" s="1528">
        <f>0.15*(ED93+EH93+EP93)</f>
        <v>207865.62</v>
      </c>
      <c r="EU93" s="1527">
        <f>0.02*(EP93+ET93)</f>
        <v>8776.5484000000015</v>
      </c>
      <c r="EV93" s="1524">
        <v>0</v>
      </c>
      <c r="EW93" s="2591"/>
      <c r="EX93" s="2591"/>
      <c r="EY93" s="2698">
        <f>+IF(BB93="","",(IF(ED93="",0,ED93)+IF(EH93="",0,EH93)+IF(EP93="",0,EP93)+IF(ET93="",0,ET93)+IF(EW93="",0,EW93)+IF(EX93="",0,EX93)))</f>
        <v>1593636.42</v>
      </c>
      <c r="EZ93" s="2727"/>
      <c r="FA93" s="1526"/>
      <c r="FB93" s="1504">
        <f t="shared" si="515"/>
        <v>1593636.42</v>
      </c>
      <c r="FC93" s="1729">
        <f t="shared" si="516"/>
        <v>796420</v>
      </c>
      <c r="FD93" s="2052">
        <f t="shared" si="517"/>
        <v>250000</v>
      </c>
      <c r="FE93" s="2036">
        <f t="shared" si="509"/>
        <v>0.31390472363828131</v>
      </c>
      <c r="FF93" s="2052">
        <f t="shared" si="518"/>
        <v>357000</v>
      </c>
      <c r="FG93" s="2036">
        <f t="shared" si="519"/>
        <v>0.4482559453554657</v>
      </c>
      <c r="FH93" s="2052">
        <f t="shared" si="520"/>
        <v>0</v>
      </c>
      <c r="FI93" s="2036">
        <f t="shared" si="510"/>
        <v>0</v>
      </c>
      <c r="FJ93" s="1519">
        <f t="shared" si="521"/>
        <v>607000</v>
      </c>
      <c r="FK93" s="2036">
        <f t="shared" si="522"/>
        <v>0.76216066899374701</v>
      </c>
      <c r="FL93" s="2786">
        <f t="shared" si="523"/>
        <v>50000</v>
      </c>
      <c r="FM93" s="2036">
        <f t="shared" si="524"/>
        <v>6.278094472765626E-2</v>
      </c>
      <c r="FN93" s="2052">
        <f t="shared" si="525"/>
        <v>0</v>
      </c>
      <c r="FO93" s="2036">
        <f t="shared" si="526"/>
        <v>0</v>
      </c>
      <c r="FP93" s="2052">
        <f t="shared" si="527"/>
        <v>100000</v>
      </c>
      <c r="FQ93" s="2036">
        <f t="shared" si="528"/>
        <v>0.12556188945531252</v>
      </c>
      <c r="FR93" s="2850">
        <f t="shared" si="529"/>
        <v>657000</v>
      </c>
      <c r="FS93" s="2832">
        <f t="shared" si="530"/>
        <v>39420</v>
      </c>
      <c r="FT93" s="2072">
        <f t="shared" si="531"/>
        <v>0.06</v>
      </c>
      <c r="FU93" s="2900">
        <f t="shared" si="532"/>
        <v>0</v>
      </c>
      <c r="FV93" s="1732">
        <f t="shared" si="533"/>
        <v>9832.3456790123455</v>
      </c>
      <c r="FW93" s="2118">
        <f t="shared" si="534"/>
        <v>358389</v>
      </c>
      <c r="FX93" s="1745">
        <f t="shared" si="535"/>
        <v>0.45</v>
      </c>
      <c r="FY93" s="2119">
        <f t="shared" si="536"/>
        <v>230961.80000000002</v>
      </c>
      <c r="FZ93" s="1745">
        <f t="shared" si="537"/>
        <v>0.29000000000000004</v>
      </c>
      <c r="GA93" s="1745">
        <f t="shared" si="538"/>
        <v>0.2</v>
      </c>
      <c r="GB93" s="2119">
        <f t="shared" si="539"/>
        <v>207865.62</v>
      </c>
      <c r="GC93" s="1745">
        <f t="shared" si="540"/>
        <v>0.26100000000000001</v>
      </c>
      <c r="GD93" s="1745">
        <f t="shared" si="541"/>
        <v>0.15</v>
      </c>
      <c r="GE93" s="2127">
        <f t="shared" si="542"/>
        <v>1593636.42</v>
      </c>
      <c r="GF93" s="2150">
        <f t="shared" si="543"/>
        <v>1602412.9684000001</v>
      </c>
      <c r="GG93" s="2176">
        <f t="shared" si="544"/>
        <v>-1.9720259647471039E-8</v>
      </c>
      <c r="GH93" s="3168">
        <f t="shared" si="545"/>
        <v>19782.876153086421</v>
      </c>
      <c r="GI93" s="2127">
        <v>569623</v>
      </c>
      <c r="GJ93" s="1508">
        <v>40372</v>
      </c>
      <c r="GK93" s="3458">
        <f t="shared" si="423"/>
        <v>14.110000000000003</v>
      </c>
      <c r="GL93" s="3253">
        <f t="shared" si="546"/>
        <v>4.5501710071081405E-5</v>
      </c>
      <c r="GM93" s="1313"/>
      <c r="GN93" s="1312"/>
      <c r="GO93" s="2307">
        <v>20000</v>
      </c>
      <c r="GP93" s="2308">
        <v>137655</v>
      </c>
      <c r="GQ93" s="2332">
        <f>+IF(GP93+GO93=0,"",GP93+GO93)</f>
        <v>157655</v>
      </c>
      <c r="GR93" s="2329"/>
      <c r="GS93" s="2329"/>
      <c r="GT93" s="2341">
        <v>411968</v>
      </c>
      <c r="GU93" s="2338">
        <f t="shared" si="547"/>
        <v>569623</v>
      </c>
      <c r="GV93" s="2356">
        <f t="shared" si="548"/>
        <v>20000</v>
      </c>
      <c r="GW93" s="2357">
        <f t="shared" si="549"/>
        <v>137655</v>
      </c>
      <c r="GX93" s="2320">
        <f t="shared" si="550"/>
        <v>157655</v>
      </c>
      <c r="GY93" s="2230" t="str">
        <f t="shared" si="551"/>
        <v/>
      </c>
      <c r="GZ93" s="2230" t="str">
        <f t="shared" si="552"/>
        <v/>
      </c>
      <c r="HA93" s="2341">
        <f t="shared" si="553"/>
        <v>411968</v>
      </c>
      <c r="HB93" s="2361">
        <f t="shared" si="432"/>
        <v>569623</v>
      </c>
      <c r="HC93" s="2362">
        <f t="shared" si="554"/>
        <v>569623</v>
      </c>
      <c r="HD93" s="2363">
        <f t="shared" si="375"/>
        <v>0</v>
      </c>
      <c r="HE93" s="1313"/>
      <c r="HF93" s="1519">
        <f t="shared" si="555"/>
        <v>40372</v>
      </c>
      <c r="HG93" s="1312">
        <f>+IF(OR(HC93="",$CL93=""),"",HC93/$CL93)</f>
        <v>59768.836678832129</v>
      </c>
      <c r="HH93" s="3000">
        <f>+IF(BF93="","",VALUE(LEFT(BF93,1)))</f>
        <v>2</v>
      </c>
      <c r="HI93" s="2929">
        <f>+IF(FR93="","",FR93)</f>
        <v>657000</v>
      </c>
      <c r="HJ93" s="2071">
        <f>+IF(FP93="","",FP93)</f>
        <v>100000</v>
      </c>
      <c r="HK93" s="2071">
        <f>+IF(FN93="","",FN93)</f>
        <v>0</v>
      </c>
      <c r="HL93" s="2071">
        <f>+IF(FR93="","",IF(HH93="","",IF(HH93=4,FS93,IF(HH93=3,FS93,IF(HH93=2,$HL$7*HI93,IF(HH93=1,$HL$6*HI93,""))))))</f>
        <v>39420</v>
      </c>
      <c r="HM93" s="2936">
        <f>IF(FR93="","",SUM(HI93:HL93))</f>
        <v>796420</v>
      </c>
      <c r="HN93" s="2914">
        <f t="shared" si="347"/>
        <v>9832.3456790123455</v>
      </c>
      <c r="HO93" s="2967">
        <f>+IF(FR93="","",IF(HH93="","",IF(HH93=4,FW93,IF(HH93=3,FW93,IF(HH93=2,$HO$7*HM93,IF(HH93=1,$HO$6*HM93,""))))))</f>
        <v>358389</v>
      </c>
      <c r="HP93" s="2071">
        <f>+IF(FR93="","",IF(HH93="","",IF(HH93=4,FY93,IF(HH93=3,FY93,IF(HH93=2,$HP$7*(HM93+HO93),IF(HH93=1,$HP$6*HM93,""))))))</f>
        <v>230961.80000000002</v>
      </c>
      <c r="HQ93" s="3013" t="str">
        <f t="shared" si="556"/>
        <v/>
      </c>
      <c r="HR93" s="2968">
        <f t="shared" si="557"/>
        <v>207865.62</v>
      </c>
      <c r="HS93" s="2968">
        <f t="shared" si="558"/>
        <v>207865.62</v>
      </c>
      <c r="HT93" s="2960">
        <f>+IF(FR93="","",IF(HH93="","",IF(HH93=2,$HT$7*(HP93+HR93),"")))</f>
        <v>8776.5484000000015</v>
      </c>
      <c r="HU93" s="2961">
        <f>+IF(FR93="","",IF(HH93="","",IF(HH93=2,$HU$7*(HP93+HR93),"")))</f>
        <v>0</v>
      </c>
      <c r="HV93" s="2960" t="str">
        <f t="shared" si="559"/>
        <v/>
      </c>
      <c r="HW93" s="2961" t="str">
        <f t="shared" si="560"/>
        <v/>
      </c>
      <c r="HX93" s="2913">
        <f t="shared" si="199"/>
        <v>1602412.9683999999</v>
      </c>
      <c r="HY93" s="2932" t="str">
        <f t="shared" si="561"/>
        <v/>
      </c>
      <c r="HZ93" s="2961" t="str">
        <f t="shared" si="562"/>
        <v/>
      </c>
      <c r="IA93" s="1729">
        <f t="shared" si="563"/>
        <v>1602412.9683999999</v>
      </c>
      <c r="IB93" s="3043" t="str">
        <f t="shared" si="564"/>
        <v>stk added + 0%</v>
      </c>
      <c r="IC93" s="3047">
        <f t="shared" si="706"/>
        <v>19782.876153086418</v>
      </c>
      <c r="ID93" s="1314"/>
      <c r="IE93" s="4110"/>
      <c r="IF93" s="2913">
        <f t="shared" si="583"/>
        <v>20000</v>
      </c>
      <c r="IG93" s="6784">
        <f>+IF(IF93="","",(IF93/IF(AO93="",IF(AO92="",IF(AO91="",AO90,AO91),AO92),AO93)))</f>
        <v>34.849276877504792</v>
      </c>
      <c r="IH93" s="4182">
        <f t="shared" si="584"/>
        <v>137655</v>
      </c>
      <c r="II93" s="6802">
        <f>+IH93/IF(AQ93="",IF(AQ92="",IF(AQ91="",AQ90,AQ91),AQ92),AQ93)</f>
        <v>0.39025600317523318</v>
      </c>
      <c r="IJ93" s="4183">
        <f t="shared" si="585"/>
        <v>157655</v>
      </c>
      <c r="IK93" s="4147">
        <v>0</v>
      </c>
      <c r="IL93" s="2071">
        <f t="shared" si="707"/>
        <v>0</v>
      </c>
      <c r="IM93" s="2968">
        <f t="shared" si="708"/>
        <v>0</v>
      </c>
      <c r="IN93" s="4236" t="str">
        <f t="shared" si="588"/>
        <v/>
      </c>
      <c r="IO93" s="4236">
        <f t="shared" si="589"/>
        <v>157655</v>
      </c>
      <c r="IP93" s="4236">
        <f t="shared" si="709"/>
        <v>157655</v>
      </c>
      <c r="IQ93" s="6856">
        <f t="shared" si="710"/>
        <v>0.5674092135210983</v>
      </c>
      <c r="IR93" s="4236" t="str">
        <f t="shared" si="711"/>
        <v/>
      </c>
      <c r="IS93" s="6856" t="str">
        <f t="shared" si="712"/>
        <v/>
      </c>
      <c r="IT93" s="4236">
        <f t="shared" si="594"/>
        <v>157655</v>
      </c>
      <c r="IU93" s="6856">
        <f t="shared" si="595"/>
        <v>0.5674092135210983</v>
      </c>
      <c r="IV93" s="4147">
        <f t="shared" si="713"/>
        <v>2</v>
      </c>
      <c r="IW93" s="2968">
        <f t="shared" si="714"/>
        <v>120195.61687958975</v>
      </c>
      <c r="IX93" s="4191">
        <f t="shared" si="597"/>
        <v>277850.61687958974</v>
      </c>
      <c r="IY93" s="4260">
        <f t="shared" si="598"/>
        <v>569623</v>
      </c>
      <c r="IZ93" s="4309">
        <f t="shared" si="599"/>
        <v>0.5122201581052912</v>
      </c>
      <c r="JA93" s="4310" t="str">
        <f t="shared" si="715"/>
        <v>stk added + 51%</v>
      </c>
      <c r="JB93" s="1315"/>
      <c r="JC93" s="4343"/>
      <c r="JD93" s="1519">
        <f t="shared" si="570"/>
        <v>19691.751727823506</v>
      </c>
      <c r="JE93" s="4367">
        <f t="shared" si="571"/>
        <v>29154.033705431411</v>
      </c>
      <c r="JF93" s="7045">
        <f t="shared" si="636"/>
        <v>81</v>
      </c>
      <c r="JG93" s="7059" t="s">
        <v>1333</v>
      </c>
      <c r="JH93" s="6976">
        <f t="shared" si="601"/>
        <v>1602412.9683999999</v>
      </c>
      <c r="JI93" s="6976">
        <f>+JH93</f>
        <v>1602412.9683999999</v>
      </c>
      <c r="JJ93" s="6976"/>
      <c r="JK93" s="6976"/>
      <c r="JL93" s="7013"/>
      <c r="JM93" s="2832" t="str">
        <f t="shared" si="716"/>
        <v>N/A</v>
      </c>
      <c r="JN93" s="2071" t="str">
        <f t="shared" si="637"/>
        <v/>
      </c>
      <c r="JO93" s="2071">
        <f t="shared" si="717"/>
        <v>1602412.9683999999</v>
      </c>
      <c r="JP93" s="3013"/>
      <c r="JQ93" s="3013"/>
      <c r="JR93" s="2071"/>
      <c r="JS93" s="2968">
        <f>+IF(D93="","",SUM(JO93:JR93))</f>
        <v>1602412.9683999999</v>
      </c>
      <c r="JT93" s="7180">
        <f t="shared" si="476"/>
        <v>2</v>
      </c>
      <c r="JU93" s="7181">
        <f t="shared" si="718"/>
        <v>932</v>
      </c>
      <c r="JV93" s="8383">
        <f t="shared" si="719"/>
        <v>567960</v>
      </c>
      <c r="JW93" s="8411">
        <f t="shared" si="682"/>
        <v>9.5304347826086939</v>
      </c>
      <c r="JX93" s="8440">
        <f t="shared" si="720"/>
        <v>25.751072961373392</v>
      </c>
      <c r="JY93" s="8475">
        <f t="shared" si="642"/>
        <v>8.4860846842061244E-2</v>
      </c>
      <c r="JZ93" s="7182">
        <f t="shared" si="721"/>
        <v>6031.0843373493972</v>
      </c>
      <c r="KA93" s="7180" t="str">
        <f t="shared" si="722"/>
        <v/>
      </c>
      <c r="KB93" s="7181" t="str">
        <f t="shared" si="723"/>
        <v/>
      </c>
      <c r="KC93" s="7182" t="str">
        <f t="shared" si="724"/>
        <v/>
      </c>
      <c r="KD93" s="7180">
        <f t="shared" si="725"/>
        <v>39557.807999999997</v>
      </c>
      <c r="KE93" s="8348">
        <f t="shared" si="726"/>
        <v>5935.5547826086949</v>
      </c>
      <c r="KF93" s="8348">
        <f t="shared" si="727"/>
        <v>3980.3132071611244</v>
      </c>
      <c r="KG93" s="7181">
        <f t="shared" si="728"/>
        <v>13281.285884115234</v>
      </c>
      <c r="KH93" s="7181">
        <f>IF(D93="","",IF(JT93=2,0.005*JF93*$KD$6/1000*1000*JU93,""))</f>
        <v>146514.87360000002</v>
      </c>
      <c r="KI93" s="7181">
        <f>IF(D93="","",IF(JT93=2,0.1*0.005*JF93*$KD$6/1000*1000*JU93,""))</f>
        <v>14651.487360000001</v>
      </c>
      <c r="KJ93" s="7181">
        <f t="shared" si="729"/>
        <v>223921.32283388506</v>
      </c>
      <c r="KK93" s="7181">
        <f>+IF(OR(D93="",JU93="",JV93=""),"",$KK$7*$KG$4*JU93)</f>
        <v>97773.510399999999</v>
      </c>
      <c r="KL93" s="7181">
        <f t="shared" si="730"/>
        <v>5600.4333245580001</v>
      </c>
      <c r="KM93" s="7181">
        <f t="shared" si="731"/>
        <v>103373.943724558</v>
      </c>
      <c r="KN93" s="7181">
        <f>+IF(D93="","",IF(JX93&lt;41,$KN$8*JZ93*JY93,""))</f>
        <v>148422.84803057488</v>
      </c>
      <c r="KO93" s="7181">
        <f t="shared" si="732"/>
        <v>251796.7917551329</v>
      </c>
      <c r="KP93" s="7182">
        <f t="shared" si="733"/>
        <v>475718.11458901793</v>
      </c>
      <c r="KQ93" s="2967">
        <f>+IF(D93="","",VLOOKUP(MATCH(BE93,ac_id,0),ad,ac!$F$8,FALSE)*JV93)</f>
        <v>170388</v>
      </c>
      <c r="KR93" s="3013">
        <f>+IF(D93="","",IF(JT93=1,VLOOKUP(MATCH(BE93,ac_id,0),ad,ac!$H$8,FALSE)*JU93, (VLOOKUP(MATCH(BE93,ac_id,0),ad,ac!$H$8,FALSE)*JU93^(1+VLOOKUP(MATCH(BE93,ac_id,0),ad,ac!$I$8,FALSE)))))</f>
        <v>21643.124894750814</v>
      </c>
      <c r="KS93" s="2968">
        <f t="shared" si="697"/>
        <v>192031.12489475083</v>
      </c>
      <c r="KT93" s="2967">
        <f t="shared" si="734"/>
        <v>62024.3662347348</v>
      </c>
      <c r="KU93" s="2071">
        <f t="shared" si="735"/>
        <v>64096.518735999998</v>
      </c>
      <c r="KV93" s="7397">
        <f t="shared" si="667"/>
        <v>2</v>
      </c>
      <c r="KW93" s="7288">
        <f t="shared" si="736"/>
        <v>120195.61687958975</v>
      </c>
      <c r="KX93" s="2968">
        <f t="shared" si="737"/>
        <v>246316.50185032457</v>
      </c>
      <c r="KY93" s="3168">
        <f t="shared" si="738"/>
        <v>722034.6164393425</v>
      </c>
      <c r="KZ93" s="7398"/>
      <c r="LA93" s="7288">
        <f t="shared" si="668"/>
        <v>51171.83674268904</v>
      </c>
      <c r="LB93" s="7301">
        <f t="shared" si="669"/>
        <v>75760.931469456569</v>
      </c>
      <c r="LC93" s="5133"/>
      <c r="LD93" s="5132"/>
      <c r="LE93" s="5132"/>
      <c r="LF93" s="5132"/>
      <c r="LG93" s="5132"/>
      <c r="LH93" s="5132"/>
      <c r="LI93" s="5132"/>
      <c r="LJ93" s="5132"/>
    </row>
    <row r="94" spans="1:322" s="717" customFormat="1" ht="27.95" customHeight="1">
      <c r="A94" s="10539"/>
      <c r="B94" s="10521" t="str">
        <f>+IF(A94="","",VLOOKUP(MATCH(A94,tid,0),tao,'12(id)'!$J$20,FALSE))</f>
        <v/>
      </c>
      <c r="C94" s="10549"/>
      <c r="D94" s="1127" t="str">
        <f t="shared" si="48"/>
        <v>8306-04-03</v>
      </c>
      <c r="E94" s="730" t="str">
        <f>+IF(BD94="","",BD94)</f>
        <v>Selective Catalytic Reduction (SCR)</v>
      </c>
      <c r="F94" s="730" t="str">
        <f t="shared" si="49"/>
        <v>SCR</v>
      </c>
      <c r="G94" s="5133"/>
      <c r="H94" s="5132"/>
      <c r="I94" s="5133"/>
      <c r="J94" s="719">
        <f t="shared" si="68"/>
        <v>60</v>
      </c>
      <c r="K94" s="10553"/>
      <c r="L94" s="9721"/>
      <c r="M94" s="9718"/>
      <c r="N94" s="9699"/>
      <c r="O94" s="9518"/>
      <c r="P94" s="9520"/>
      <c r="Q94" s="9680" t="str">
        <f>+IF(ISERROR(MATCH(O94,tid,0)),"",VLOOKUP(MATCH(O94,tid,0),tao,'12(id)'!$Q$20,FALSE))</f>
        <v/>
      </c>
      <c r="R94" s="10183"/>
      <c r="S94" s="9680"/>
      <c r="T94" s="10526" t="str">
        <f>+IF(ISERROR(MATCH(O94,tid,0)),"",IF(VLOOKUP(MATCH(O94,tid,0),tao,'12(id)'!$CT$20,FALSE)="","",VLOOKUP(MATCH(O94,tid,0),tao,'12(id)'!$CT$20,FALSE)))</f>
        <v/>
      </c>
      <c r="U94" s="10529" t="str">
        <f>+IF(ISERROR(MATCH(O94,tid,0)),"",IF(VLOOKUP(MATCH(O94,tid,0),tao,'12(id)'!$CU$20,FALSE)="","",VLOOKUP(MATCH(O94,tid,0),tao,'12(id)'!$CU$20,FALSE)))</f>
        <v/>
      </c>
      <c r="V94" s="9504" t="str">
        <f>+IF(O94="","",IF(VLOOKUP(MATCH(O94,tid,0),tao,'12(id)'!$T$20,FALSE)="","",VLOOKUP(MATCH(O94,tid,0),tao,'12(id)'!$T$20,FALSE)))</f>
        <v/>
      </c>
      <c r="W94" s="9504" t="str">
        <f>+IF(ISERROR(MATCH(O94,tid,0)),"",IF(VLOOKUP(MATCH(O94,tid,0),tao,'12(id)'!$CO$20,FALSE)="","",VLOOKUP(MATCH(O94,tid,0),tao,'12(id)'!$CO$20,FALSE)))</f>
        <v/>
      </c>
      <c r="X94" s="9504" t="str">
        <f>+IF(ISERROR(MATCH(O94,tid,0)),"",IF(VLOOKUP(MATCH(O94,tid,0),tao,'12(id)'!$CP$20,FALSE)="","",VLOOKUP(MATCH(O94,tid,0),tao,'12(id)'!$CP$20,FALSE)))</f>
        <v/>
      </c>
      <c r="Y94" s="8553" t="str">
        <f>+IF(ISERROR(MATCH(O94,tid,0)),"",IF(VLOOKUP(MATCH(O94,tid,0),tao,'12(id)'!$CQ$20,FALSE)="","",VLOOKUP(MATCH(O94,tid,0),tao,'12(id)'!$CQ$20,FALSE)))</f>
        <v/>
      </c>
      <c r="Z94" s="9518" t="str">
        <f>+IF(ISERROR(MATCH(O94,tid,0)),"",VLOOKUP(MATCH(O94,tid,0),tao,'12(id)'!$DB$20,FALSE)&amp;" "&amp;VLOOKUP(MATCH(O94,tid,0),tao,'12(id)'!$DC$20,FALSE))</f>
        <v/>
      </c>
      <c r="AA94" s="9518" t="str">
        <f>+IF(ISERROR(MATCH(O94,tid,0)),"",IF(VLOOKUP(MATCH(O94,tid,0),tao,'12(id)'!$DE$20,FALSE)="","",ROUND(VLOOKUP(MATCH(O94,tid,0),tao,'12(id)'!$DE$20,FALSE),0)&amp;" yrs"))</f>
        <v/>
      </c>
      <c r="AB94" s="9648" t="str">
        <f>+IF(ISERROR(MATCH(O94,tid,0)),"",VLOOKUP(MATCH(O94,tid,0),tao,'12(id)'!$DI$20,FALSE))</f>
        <v/>
      </c>
      <c r="AC94" s="9648" t="str">
        <f>+IF(ISERROR(MATCH(O94,tid,0)),"",IF(VLOOKUP(MATCH(O94,tid,0),tao,'12(id)'!$DQ$20,FALSE)="","",VLOOKUP(MATCH(O94,tid,0),tao,'12(id)'!$DQ$20,FALSE)))</f>
        <v/>
      </c>
      <c r="AD94" s="10412" t="str">
        <f>+IF(ISERROR(MATCH(O94,tid,0)),"",IF(VLOOKUP(MATCH(O94,tid,0),tao,'12(id)'!$EI$20,FALSE)="","",VLOOKUP(MATCH(O94,tid,0),tao,'12(id)'!$EI$20,FALSE)))</f>
        <v/>
      </c>
      <c r="AE94" s="10412" t="str">
        <f>+IF(ISERROR(MATCH(O94,tid,0)),"",IF(VLOOKUP(MATCH(O94,tid,0),tao,'12(id)'!$EJ$20,FALSE)="","",VLOOKUP(MATCH(O94,tid,0),tao,'12(id)'!$EJ$20,FALSE)))</f>
        <v/>
      </c>
      <c r="AF94" s="10412" t="str">
        <f>+IF(ISERROR(MATCH(O94,tid,0)),"",IF(VLOOKUP(MATCH(O94,tid,0),tao,'12(id)'!$EL$20,FALSE)="","",VLOOKUP(MATCH(O94,tid,0),tao,'12(id)'!$EL$20,FALSE)))</f>
        <v/>
      </c>
      <c r="AG94" s="10409" t="str">
        <f>+IF(ISERROR(MATCH(O94,tid,0)),"",IF(VLOOKUP(MATCH(O94,tid,0),tao,'12(id)'!$EM$20,FALSE)="","",VLOOKUP(MATCH(O94,tid,0),tao,'12(id)'!$EM$20,FALSE)))</f>
        <v/>
      </c>
      <c r="AH94" s="10439"/>
      <c r="AI94" s="10441"/>
      <c r="AJ94" s="10441"/>
      <c r="AK94" s="10441"/>
      <c r="AL94" s="10441"/>
      <c r="AM94" s="10432"/>
      <c r="AN94" s="10422"/>
      <c r="AO94" s="10457" t="str">
        <f>+IF(ISERROR(MATCH(O94,tid,0)),"",IF(VLOOKUP(MATCH(O94,tid,0),tao,'12(id)'!$GY$20,FALSE)="","",VLOOKUP(MATCH(O94,tid,0),tao,'12(id)'!$GY$20,FALSE)))</f>
        <v/>
      </c>
      <c r="AP94" s="10378" t="e">
        <f>+IF($BB94="","",IF(VLOOKUP(MATCH(O94,tid,0),tao,'12(id)'!$HE$20,FALSE)="","",VLOOKUP(MATCH(O94,tid,0),tao,'12(id)'!$HE$20,FALSE)))</f>
        <v>#N/A</v>
      </c>
      <c r="AQ94" s="10378" t="str">
        <f>+IF(ISERROR(VLOOKUP(MATCH(O94,tid,0),tao,'12(id)'!$HF$20,FALSE)),"",VLOOKUP(MATCH(O94,tid,0),tao,'12(id)'!$HF$20,FALSE))</f>
        <v/>
      </c>
      <c r="AR94" s="10381" t="str">
        <f>+IF(ISERROR(MATCH(O94,tid,0)),"",IF(VLOOKUP(MATCH(O94,tid,0),tao,'12(id)'!$HJ$20,FALSE)="","",VLOOKUP(MATCH(O94,tid,0),tao,'12(id)'!$HJ$20,FALSE)))</f>
        <v/>
      </c>
      <c r="AS94" s="10384" t="str">
        <f>+IF(ISERROR(MATCH(O94,tid,0)),"",IF(VLOOKUP(MATCH(O94,tid,0),tao,'12(id)'!$HK$20,FALSE)="","",VLOOKUP(MATCH(O94,tid,0),tao,'12(id)'!$HK$20,FALSE)))</f>
        <v/>
      </c>
      <c r="AT94" s="10387" t="str">
        <f>+IF(ISERROR(MATCH(O94,tid,0)),"",IF(VLOOKUP(MATCH(O94,tid,0),tao,'12(id)'!$HM$20,FALSE)="","",VLOOKUP(MATCH(O94,tid,0),tao,'12(id)'!$HM$20,FALSE)))</f>
        <v/>
      </c>
      <c r="AU94" s="10471"/>
      <c r="AV94" s="10473" t="str">
        <f>+IF(ISERROR(MATCH(O94,em_id,0)),"",IF(VLOOKUP(MATCH(O94,em_id,0),em,'5(em)'!$CX$18,FALSE)="","",VLOOKUP(MATCH(O94,em_id,0),em,'5(em)'!$CX$18,FALSE)))</f>
        <v/>
      </c>
      <c r="AW94" s="10489" t="str">
        <f>+IF(ISERROR(MATCH(O94,em_id,0)),"",IF(VLOOKUP(MATCH(O94,em_id,0),em,'5(em)'!$CZ$18,FALSE)="","",VLOOKUP(MATCH(O94,em_id,0),em,'5(em)'!$CZ$18,FALSE)))</f>
        <v/>
      </c>
      <c r="AX94" s="10478" t="str">
        <f t="shared" si="50"/>
        <v/>
      </c>
      <c r="AY94" s="10480"/>
      <c r="AZ94" s="10482" t="str">
        <f>+IF(ISERROR(MATCH(O94,em_id,0)),"",IF(VLOOKUP(MATCH(O94,em_id,0),em,'5(em)'!$DA$18,FALSE)="","",VLOOKUP(MATCH(O94,em_id,0),em,'5(em)'!$DA$18,FALSE)))</f>
        <v/>
      </c>
      <c r="BA94" s="741"/>
      <c r="BB94" s="742" t="str">
        <f t="shared" si="703"/>
        <v>8306-04-03</v>
      </c>
      <c r="BC94" s="743">
        <v>3</v>
      </c>
      <c r="BD94" s="730" t="str">
        <f>+IF(OR(D94="",VLOOKUP(MATCH(D94,op_id,0),op,'7(op)'!$T$18,FALSE)=""),"",VLOOKUP(MATCH(D94,op_id,0),op,'7(op)'!$T$18,FALSE))</f>
        <v>Selective Catalytic Reduction (SCR)</v>
      </c>
      <c r="BE94" s="730" t="s">
        <v>1093</v>
      </c>
      <c r="BF94" s="730" t="s">
        <v>1862</v>
      </c>
      <c r="BG94" s="744"/>
      <c r="BH94" s="748"/>
      <c r="BI94" s="749"/>
      <c r="BJ94" s="750"/>
      <c r="BK94" s="750"/>
      <c r="BL94" s="750"/>
      <c r="BM94" s="750"/>
      <c r="BN94" s="750" t="str">
        <f t="shared" si="12"/>
        <v/>
      </c>
      <c r="BO94" s="750" t="str">
        <f t="shared" si="13"/>
        <v/>
      </c>
      <c r="BP94" s="750" t="str">
        <f t="shared" si="14"/>
        <v/>
      </c>
      <c r="BQ94" s="750" t="str">
        <f t="shared" si="15"/>
        <v/>
      </c>
      <c r="BR94" s="751"/>
      <c r="BS94" s="2382" t="s">
        <v>559</v>
      </c>
      <c r="BT94" s="753"/>
      <c r="BU94" s="3709">
        <f>+IF(BB94="","",IF(VLOOKUP(MATCH(BB94,ef_id,0),ef,'11(eff)'!$Z$23,FALSE)="","",VLOOKUP(MATCH(BB94,ef_id,0),ef,'11(eff)'!$Z$23,FALSE)))</f>
        <v>0.15</v>
      </c>
      <c r="BV94" s="3753" t="str">
        <f>+IF(BB94="","",IF(VLOOKUP(MATCH(BB94,ef_id,0),ef,'11(eff)'!$AA$23,FALSE)="","",VLOOKUP(MATCH(BB94,ef_id,0),ef,'11(eff)'!$AA$23,FALSE)))</f>
        <v/>
      </c>
      <c r="BW94" s="3778">
        <v>26.45</v>
      </c>
      <c r="BX94" s="1962">
        <f t="shared" si="511"/>
        <v>26.45</v>
      </c>
      <c r="BY94" s="1077">
        <f t="shared" si="512"/>
        <v>26.454749999999997</v>
      </c>
      <c r="BZ94" s="3259"/>
      <c r="CA94" s="3419"/>
      <c r="CB94" s="1082">
        <f t="shared" si="382"/>
        <v>14.110000000000003</v>
      </c>
      <c r="CC94" s="3867">
        <f t="shared" si="513"/>
        <v>0.34787968441814598</v>
      </c>
      <c r="CD94" s="3867">
        <f t="shared" si="514"/>
        <v>0.34782608695652184</v>
      </c>
      <c r="CE94" s="2377">
        <f>+IF(BB94="","",IF(VLOOKUP(MATCH(BB94,ef_id,0),ef,'11(eff)'!$AE$23,FALSE)="","",VLOOKUP(MATCH(BB94,ef_id,0),ef,'11(eff)'!$AE$23,FALSE)))</f>
        <v>0.9</v>
      </c>
      <c r="CF94" s="752"/>
      <c r="CG94" s="753">
        <f>+IF(AZ94="",IF(AZ93="",(AZ92/AW92),(AZ93/AW93)),AZ94/AW94)</f>
        <v>4.8242834002394533E-5</v>
      </c>
      <c r="CH94" s="2415"/>
      <c r="CI94" s="3911">
        <f t="shared" si="628"/>
        <v>9.6485668004789044E-3</v>
      </c>
      <c r="CJ94" s="4069" t="str">
        <f>+IF(AY92="","",AY92*(1-CO94))</f>
        <v/>
      </c>
      <c r="CK94" s="3911">
        <f>+IF($BB94="","",IF(CI94="",IF($AZ94="",IF($AZ93="",$AZ92,$AZ93),$AZ94)-CL94,IF(OR(IF($AW94="",IF($AW93="",$AW92,$AW93),$AW94)="",CI94=""),"",CI94/2000*IF($AW94="",IF($AW93="",$AW92,$AW93),$AW94))))</f>
        <v>2.7399999999999993</v>
      </c>
      <c r="CL94" s="4001">
        <f>+IF($BB94="","",IF(CI94="",CO94*IF($AZ94="",IF($AZ93="",$AZ92,$AZ93),$AZ94),IF(CK94="","",IF($AZ94="",IF($AZ93="",$AZ92,$AZ93),$AZ94)-CK94)))</f>
        <v>24.66</v>
      </c>
      <c r="CM94" s="4002">
        <f>+IF($BB94="","",IF(CL94="","",CL94/IF($AZ94="",IF($AZ93="",$AZ92,$AZ93),$AZ94)))</f>
        <v>0.9</v>
      </c>
      <c r="CN94" s="4002">
        <f>+IF($BB94="","",IF(CI94="","",(1-CI94/IF($AX94="",IF($AX93="",$AX92,$AX93),$AX94))))</f>
        <v>0.90351433199521092</v>
      </c>
      <c r="CO94" s="4003">
        <f>+IF(BB94="","",IF(VLOOKUP(MATCH(BB94,ef_id,0),ef,'11(eff)'!$AE$23,FALSE)="","",VLOOKUP(MATCH(BB94,ef_id,0),ef,'11(eff)'!$AE$23,FALSE)))</f>
        <v>0.9</v>
      </c>
      <c r="CP94" s="4004">
        <f>+IF(OR(BB94="",VLOOKUP(MATCH(BB94,ef_id,0),ef,'11(eff)'!$AG$23,FALSE)=""),"",IF(VLOOKUP(MATCH(BB94,ef_id,0),ef,'11(eff)'!$AG$23,FALSE)/100=VLOOKUP(MATCH(BB94,ef_id,0),ef,'11(eff)'!$AE$23,FALSE),VLOOKUP(MATCH(BB94,ef_id,0),ef,'11(eff)'!$AE$23,FALSE),""))</f>
        <v>0.9</v>
      </c>
      <c r="CQ94" s="752" t="str">
        <f t="shared" si="51"/>
        <v>Selective Catalytic Reduction (SCR)</v>
      </c>
      <c r="CR94" s="754"/>
      <c r="CS94" s="2764">
        <v>65452696</v>
      </c>
      <c r="CT94" s="1590">
        <v>15739444</v>
      </c>
      <c r="CU94" s="1089">
        <v>11205248</v>
      </c>
      <c r="CV94" s="1868">
        <f t="shared" si="704"/>
        <v>1047064</v>
      </c>
      <c r="CW94" s="1869">
        <f>142588+590961</f>
        <v>733549</v>
      </c>
      <c r="CX94" s="1869">
        <v>1184506</v>
      </c>
      <c r="CY94" s="1092"/>
      <c r="CZ94" s="2477">
        <f>533949+81686+80000</f>
        <v>695635</v>
      </c>
      <c r="DA94" s="2487"/>
      <c r="DB94" s="2487">
        <v>873442</v>
      </c>
      <c r="DC94" s="1868"/>
      <c r="DD94" s="1902"/>
      <c r="DE94" s="1903"/>
      <c r="DF94" s="1904"/>
      <c r="DG94" s="1904"/>
      <c r="DH94" s="1902"/>
      <c r="DI94" s="1088">
        <f>+IF(CT94="","",SUM(CU94:DC94)+SUM(DE94:DF94))</f>
        <v>15739444</v>
      </c>
      <c r="DJ94" s="1943"/>
      <c r="DK94" s="1590"/>
      <c r="DL94" s="1089"/>
      <c r="DM94" s="1868" t="str">
        <f t="shared" si="705"/>
        <v/>
      </c>
      <c r="DN94" s="1869"/>
      <c r="DO94" s="1869"/>
      <c r="DP94" s="1092"/>
      <c r="DQ94" s="2477"/>
      <c r="DR94" s="2487"/>
      <c r="DS94" s="2487"/>
      <c r="DT94" s="1868"/>
      <c r="DU94" s="1902"/>
      <c r="DV94" s="1903"/>
      <c r="DW94" s="1904"/>
      <c r="DX94" s="1904"/>
      <c r="DY94" s="1902"/>
      <c r="DZ94" s="1088" t="str">
        <f t="shared" si="664"/>
        <v/>
      </c>
      <c r="EA94" s="1943"/>
      <c r="EB94" s="1089">
        <f t="shared" si="377"/>
        <v>15739444</v>
      </c>
      <c r="EC94" s="1967">
        <v>1</v>
      </c>
      <c r="ED94" s="1087">
        <f t="shared" si="20"/>
        <v>15739444</v>
      </c>
      <c r="EE94" s="1870">
        <v>371030</v>
      </c>
      <c r="EF94" s="1734">
        <v>30607972</v>
      </c>
      <c r="EG94" s="1092"/>
      <c r="EH94" s="1088">
        <f t="shared" si="353"/>
        <v>30979002</v>
      </c>
      <c r="EI94" s="1903"/>
      <c r="EJ94" s="1904"/>
      <c r="EK94" s="2015"/>
      <c r="EL94" s="1464"/>
      <c r="EM94" s="1903">
        <v>558479</v>
      </c>
      <c r="EN94" s="1904">
        <v>13328721</v>
      </c>
      <c r="EO94" s="2015">
        <v>4847050</v>
      </c>
      <c r="EP94" s="1088">
        <f t="shared" si="378"/>
        <v>18734250</v>
      </c>
      <c r="EQ94" s="2560"/>
      <c r="ER94" s="2560"/>
      <c r="ES94" s="2560"/>
      <c r="ET94" s="1464"/>
      <c r="EU94" s="1325"/>
      <c r="EV94" s="1345"/>
      <c r="EW94" s="2590"/>
      <c r="EX94" s="2590"/>
      <c r="EY94" s="2697">
        <f>+IF(BB94="","",(IF(ED94="",0,ED94)+IF(EH94="",0,EH94)+IF(EP94="",0,EP94)+IF(ET94="",0,ET94)+IF(EW94="",0,EW94)+IF(EX94="",0,EX94)))</f>
        <v>65452696</v>
      </c>
      <c r="EZ94" s="2726"/>
      <c r="FA94" s="1345"/>
      <c r="FB94" s="1479">
        <f t="shared" si="515"/>
        <v>65452696</v>
      </c>
      <c r="FC94" s="1089">
        <f t="shared" si="516"/>
        <v>15739444</v>
      </c>
      <c r="FD94" s="2048">
        <f t="shared" si="517"/>
        <v>11205248</v>
      </c>
      <c r="FE94" s="2032">
        <f t="shared" si="509"/>
        <v>0.71192146304532744</v>
      </c>
      <c r="FF94" s="2048">
        <f t="shared" si="518"/>
        <v>3660754</v>
      </c>
      <c r="FG94" s="2032">
        <f t="shared" si="519"/>
        <v>0.2325847088372372</v>
      </c>
      <c r="FH94" s="2048">
        <f t="shared" si="520"/>
        <v>0</v>
      </c>
      <c r="FI94" s="2032">
        <f t="shared" si="510"/>
        <v>0</v>
      </c>
      <c r="FJ94" s="2795">
        <f t="shared" si="521"/>
        <v>14866002</v>
      </c>
      <c r="FK94" s="2809">
        <f t="shared" si="522"/>
        <v>0.94450617188256458</v>
      </c>
      <c r="FL94" s="2781">
        <f t="shared" si="523"/>
        <v>873442</v>
      </c>
      <c r="FM94" s="2032">
        <f t="shared" si="524"/>
        <v>5.5493828117435404E-2</v>
      </c>
      <c r="FN94" s="2781">
        <f t="shared" si="525"/>
        <v>0</v>
      </c>
      <c r="FO94" s="2771">
        <f t="shared" si="526"/>
        <v>0</v>
      </c>
      <c r="FP94" s="2781">
        <f t="shared" si="527"/>
        <v>0</v>
      </c>
      <c r="FQ94" s="2771">
        <f t="shared" si="528"/>
        <v>0</v>
      </c>
      <c r="FR94" s="2845">
        <f t="shared" si="529"/>
        <v>15739444</v>
      </c>
      <c r="FS94" s="2829" t="str">
        <f t="shared" si="530"/>
        <v/>
      </c>
      <c r="FT94" s="1515" t="str">
        <f t="shared" si="531"/>
        <v/>
      </c>
      <c r="FU94" s="2897">
        <f t="shared" si="532"/>
        <v>0</v>
      </c>
      <c r="FV94" s="1084">
        <f t="shared" si="533"/>
        <v>194314.12345679011</v>
      </c>
      <c r="FW94" s="2110">
        <f t="shared" si="534"/>
        <v>30979002</v>
      </c>
      <c r="FX94" s="1742">
        <f t="shared" si="535"/>
        <v>1.9682399200378362</v>
      </c>
      <c r="FY94" s="2111">
        <f t="shared" si="536"/>
        <v>18734250</v>
      </c>
      <c r="FZ94" s="1742">
        <f t="shared" si="537"/>
        <v>1.1902739385203187</v>
      </c>
      <c r="GA94" s="1742" t="str">
        <f t="shared" si="538"/>
        <v/>
      </c>
      <c r="GB94" s="2111" t="str">
        <f t="shared" si="539"/>
        <v/>
      </c>
      <c r="GC94" s="1742" t="str">
        <f t="shared" si="540"/>
        <v/>
      </c>
      <c r="GD94" s="1742" t="str">
        <f t="shared" si="541"/>
        <v/>
      </c>
      <c r="GE94" s="1091">
        <f t="shared" si="542"/>
        <v>65452696</v>
      </c>
      <c r="GF94" s="2146">
        <f t="shared" si="543"/>
        <v>65452696</v>
      </c>
      <c r="GG94" s="2174">
        <f t="shared" si="544"/>
        <v>0</v>
      </c>
      <c r="GH94" s="3182">
        <f t="shared" si="545"/>
        <v>808057.97530864202</v>
      </c>
      <c r="GI94" s="3199">
        <v>16888516</v>
      </c>
      <c r="GJ94" s="3187">
        <v>1196986</v>
      </c>
      <c r="GK94" s="3453">
        <f t="shared" si="423"/>
        <v>14.110000000000003</v>
      </c>
      <c r="GL94" s="3250">
        <f t="shared" si="546"/>
        <v>5.6630543213843941E-5</v>
      </c>
      <c r="GM94" s="755"/>
      <c r="GN94" s="757"/>
      <c r="GO94" s="1903">
        <v>4700</v>
      </c>
      <c r="GP94" s="2015">
        <f>+IF(GQ94="","",GQ94-GO94)</f>
        <v>56422</v>
      </c>
      <c r="GQ94" s="1464">
        <v>61122</v>
      </c>
      <c r="GR94" s="2324"/>
      <c r="GS94" s="2324"/>
      <c r="GT94" s="1088">
        <v>16827394</v>
      </c>
      <c r="GU94" s="2315">
        <f t="shared" si="547"/>
        <v>16888516</v>
      </c>
      <c r="GV94" s="756">
        <f t="shared" si="548"/>
        <v>4700</v>
      </c>
      <c r="GW94" s="2259">
        <f t="shared" si="549"/>
        <v>56422</v>
      </c>
      <c r="GX94" s="758">
        <f t="shared" si="550"/>
        <v>61122</v>
      </c>
      <c r="GY94" s="758" t="str">
        <f t="shared" si="551"/>
        <v/>
      </c>
      <c r="GZ94" s="758" t="str">
        <f t="shared" si="552"/>
        <v/>
      </c>
      <c r="HA94" s="1088">
        <f t="shared" si="553"/>
        <v>16827394</v>
      </c>
      <c r="HB94" s="2233">
        <f t="shared" si="432"/>
        <v>16888516</v>
      </c>
      <c r="HC94" s="2343">
        <f t="shared" si="554"/>
        <v>16888516</v>
      </c>
      <c r="HD94" s="1291">
        <f t="shared" si="375"/>
        <v>0</v>
      </c>
      <c r="HE94" s="755"/>
      <c r="HF94" s="1086">
        <f t="shared" si="555"/>
        <v>1196986</v>
      </c>
      <c r="HG94" s="757">
        <f>+IF(OR(HC94="",$CL94=""),"",HC94/$CL94)</f>
        <v>684854.66342254658</v>
      </c>
      <c r="HH94" s="2998">
        <f>+IF(BF94="","",VALUE(LEFT(BF94,1)))</f>
        <v>4</v>
      </c>
      <c r="HI94" s="1293">
        <f>+IF(FR94="","",FR94)</f>
        <v>15739444</v>
      </c>
      <c r="HJ94" s="1734">
        <f>+IF(FP94="","",FP94)</f>
        <v>0</v>
      </c>
      <c r="HK94" s="1734">
        <f>+IF(FN94="","",FN94)</f>
        <v>0</v>
      </c>
      <c r="HL94" s="1734" t="str">
        <f>+IF(FR94="","",IF(HH94="","",IF(HH94=4,FS94,IF(HH94=3,FS94,IF(HH94=2,$HL$7*HI94,IF(HH94=1,$HL$6*HI94,""))))))</f>
        <v/>
      </c>
      <c r="HM94" s="1294">
        <f>IF(FR94="","",SUM(HI94:HL94))</f>
        <v>15739444</v>
      </c>
      <c r="HN94" s="3028">
        <f t="shared" si="347"/>
        <v>194314.12345679011</v>
      </c>
      <c r="HO94" s="2945">
        <f>+IF(FR94="","",IF(HH94="","",IF(HH94=4,FW94,IF(HH94=3,FW94,IF(HH94=2,$HO$7*HM94,IF(HH94=1,$HO$6*HM94,""))))))</f>
        <v>30979002</v>
      </c>
      <c r="HP94" s="2487">
        <f>+IF(FR94="","",IF(HH94="","",IF(HH94=4,FY94,IF(HH94=3,FY94,IF(HH94=2,$HP$7*(HM94+HO94),IF(HH94=1,$HP$6*HM94,""))))))</f>
        <v>18734250</v>
      </c>
      <c r="HQ94" s="3008" t="str">
        <f t="shared" si="556"/>
        <v/>
      </c>
      <c r="HR94" s="1092" t="str">
        <f t="shared" si="557"/>
        <v/>
      </c>
      <c r="HS94" s="1092">
        <f t="shared" si="558"/>
        <v>0</v>
      </c>
      <c r="HT94" s="2951" t="str">
        <f>+IF(FR94="","",IF(HH94="","",IF(HH94=2,$HT$7*(HP94+HR94),"")))</f>
        <v/>
      </c>
      <c r="HU94" s="2947" t="str">
        <f>+IF(FR94="","",IF(HH94="","",IF(HH94=2,$HU$7*(HP94+HR94),"")))</f>
        <v/>
      </c>
      <c r="HV94" s="2951" t="str">
        <f t="shared" si="559"/>
        <v/>
      </c>
      <c r="HW94" s="2947" t="str">
        <f t="shared" si="560"/>
        <v/>
      </c>
      <c r="HX94" s="3030">
        <f t="shared" si="199"/>
        <v>65452696</v>
      </c>
      <c r="HY94" s="2946" t="str">
        <f t="shared" si="561"/>
        <v/>
      </c>
      <c r="HZ94" s="2947" t="str">
        <f t="shared" si="562"/>
        <v/>
      </c>
      <c r="IA94" s="1089">
        <f t="shared" si="563"/>
        <v>65452696</v>
      </c>
      <c r="IB94" s="3041" t="str">
        <f t="shared" si="564"/>
        <v>same TCC</v>
      </c>
      <c r="IC94" s="2908">
        <f t="shared" si="706"/>
        <v>808057.97530864202</v>
      </c>
      <c r="ID94" s="1289"/>
      <c r="IE94" s="4105"/>
      <c r="IF94" s="4116">
        <f t="shared" si="583"/>
        <v>4700</v>
      </c>
      <c r="IG94" s="6782">
        <f>+IF(IF94="","",(IF94/IF(AO94="",IF(AO93="",IF(AO92="",AO91,AO92),AO93),AO94)))</f>
        <v>8.189580066213626</v>
      </c>
      <c r="IH94" s="4089">
        <f t="shared" si="584"/>
        <v>56422</v>
      </c>
      <c r="II94" s="6796">
        <f>+IH94/IF(AQ94="",IF(AQ93="",IF(AQ92="",AQ91,AQ92),AQ93),AQ94)</f>
        <v>0.15995804156153431</v>
      </c>
      <c r="IJ94" s="4105">
        <f t="shared" si="585"/>
        <v>61122</v>
      </c>
      <c r="IK94" s="4142">
        <v>0</v>
      </c>
      <c r="IL94" s="4194">
        <f>+IF(IF94="","",IK94*$IL$8*IF94)</f>
        <v>0</v>
      </c>
      <c r="IM94" s="4195">
        <f>IF(HM94="","",IK94*$IM$8*IA94)</f>
        <v>0</v>
      </c>
      <c r="IN94" s="4222" t="str">
        <f t="shared" si="588"/>
        <v/>
      </c>
      <c r="IO94" s="4222">
        <f t="shared" si="589"/>
        <v>61122</v>
      </c>
      <c r="IP94" s="7236">
        <f t="shared" si="709"/>
        <v>61122</v>
      </c>
      <c r="IQ94" s="7243">
        <f t="shared" si="710"/>
        <v>1.2296525605611303E-2</v>
      </c>
      <c r="IR94" s="7236" t="str">
        <f t="shared" si="711"/>
        <v/>
      </c>
      <c r="IS94" s="7243" t="str">
        <f t="shared" si="712"/>
        <v/>
      </c>
      <c r="IT94" s="4222">
        <f t="shared" si="594"/>
        <v>61122</v>
      </c>
      <c r="IU94" s="6854">
        <f t="shared" si="595"/>
        <v>1.2296525605611303E-2</v>
      </c>
      <c r="IV94" s="7270">
        <f t="shared" si="713"/>
        <v>2</v>
      </c>
      <c r="IW94" s="7256">
        <f t="shared" si="714"/>
        <v>4909550.3639161987</v>
      </c>
      <c r="IX94" s="4187">
        <f t="shared" si="597"/>
        <v>4970672.3639161987</v>
      </c>
      <c r="IY94" s="4255">
        <f t="shared" si="598"/>
        <v>16888516</v>
      </c>
      <c r="IZ94" s="4300">
        <f t="shared" si="599"/>
        <v>0.70567737485542248</v>
      </c>
      <c r="JA94" s="4306" t="str">
        <f t="shared" si="715"/>
        <v>stk added + 71%</v>
      </c>
      <c r="JB94" s="4158"/>
      <c r="JC94" s="4338"/>
      <c r="JD94" s="1086">
        <f t="shared" si="570"/>
        <v>352280.1108374343</v>
      </c>
      <c r="JE94" s="4337">
        <f t="shared" si="571"/>
        <v>201568.22238102995</v>
      </c>
      <c r="JF94" s="7040">
        <f t="shared" si="636"/>
        <v>81</v>
      </c>
      <c r="JG94" s="7056" t="s">
        <v>1093</v>
      </c>
      <c r="JH94" s="6971">
        <f t="shared" si="601"/>
        <v>65452696</v>
      </c>
      <c r="JI94" s="6971">
        <f>+JH94</f>
        <v>65452696</v>
      </c>
      <c r="JJ94" s="6971"/>
      <c r="JK94" s="6971"/>
      <c r="JL94" s="7008"/>
      <c r="JM94" s="7050">
        <f t="shared" ref="JM94" si="739">+IF(D94="","",IF(JG94="SCR",(JF94*49700+459000),IF(JG94="HPWI",(0.0353*JF94+0.2915)*(10^6),"N/A")))</f>
        <v>4484700</v>
      </c>
      <c r="JN94" s="1734">
        <f t="shared" si="637"/>
        <v>7758531</v>
      </c>
      <c r="JO94" s="1734">
        <f>+JN94</f>
        <v>7758531</v>
      </c>
      <c r="JP94" s="7081"/>
      <c r="JQ94" s="7081"/>
      <c r="JR94" s="7056"/>
      <c r="JS94" s="7062">
        <f>+IF(D94="","",SUM(JO94:JR94))</f>
        <v>7758531</v>
      </c>
      <c r="JT94" s="7166">
        <f t="shared" si="476"/>
        <v>2</v>
      </c>
      <c r="JU94" s="7167">
        <f t="shared" si="718"/>
        <v>932</v>
      </c>
      <c r="JV94" s="8378">
        <f t="shared" si="719"/>
        <v>567960</v>
      </c>
      <c r="JW94" s="8405">
        <f t="shared" si="682"/>
        <v>24.66</v>
      </c>
      <c r="JX94" s="8434">
        <f t="shared" si="720"/>
        <v>25.751072961373392</v>
      </c>
      <c r="JY94" s="8469">
        <f t="shared" si="642"/>
        <v>8.4860846842061244E-2</v>
      </c>
      <c r="JZ94" s="7168">
        <f t="shared" si="721"/>
        <v>6031.0843373493972</v>
      </c>
      <c r="KA94" s="7166" t="str">
        <f t="shared" si="722"/>
        <v/>
      </c>
      <c r="KB94" s="7167" t="str">
        <f t="shared" si="723"/>
        <v/>
      </c>
      <c r="KC94" s="7168" t="str">
        <f t="shared" si="724"/>
        <v/>
      </c>
      <c r="KD94" s="7166">
        <f t="shared" si="725"/>
        <v>39557.807999999997</v>
      </c>
      <c r="KE94" s="8342">
        <f t="shared" si="726"/>
        <v>15358.248</v>
      </c>
      <c r="KF94" s="8342">
        <f t="shared" si="727"/>
        <v>10299.06042352941</v>
      </c>
      <c r="KG94" s="7167">
        <f t="shared" si="728"/>
        <v>13281.285884115234</v>
      </c>
      <c r="KH94" s="7167">
        <f>IF(D94="","",IF(JT94=2,0.005*JF94*$KD$6/1000*1000*JU94,""))</f>
        <v>146514.87360000002</v>
      </c>
      <c r="KI94" s="7167">
        <f>IF(D94="","",IF(JT94=2,0.1*0.005*JF94*$KD$6/1000*1000*JU94,""))</f>
        <v>14651.487360000001</v>
      </c>
      <c r="KJ94" s="7167">
        <f t="shared" si="729"/>
        <v>239662.76326764465</v>
      </c>
      <c r="KK94" s="7167">
        <f>+IF(OR(D94="",JU94="",JV94=""),"",$KK$7*$KG$4*JU94)</f>
        <v>97773.510399999999</v>
      </c>
      <c r="KL94" s="7167">
        <f t="shared" si="730"/>
        <v>27116.065844999997</v>
      </c>
      <c r="KM94" s="7167">
        <f t="shared" si="731"/>
        <v>124889.576245</v>
      </c>
      <c r="KN94" s="7167">
        <f>+IF(D94="","",IF(JX94&lt;41,$KN$8*JZ94*JY94,""))</f>
        <v>148422.84803057488</v>
      </c>
      <c r="KO94" s="7167">
        <f t="shared" si="732"/>
        <v>273312.42427557486</v>
      </c>
      <c r="KP94" s="7168">
        <f t="shared" si="733"/>
        <v>512975.18754321954</v>
      </c>
      <c r="KQ94" s="7212">
        <f>+IF(D94="","",VLOOKUP(MATCH(BE94,ac_id,0),ad,ac!$F$8,FALSE)*JV94)</f>
        <v>170388</v>
      </c>
      <c r="KR94" s="7081">
        <f>+IF(D94="","",IF(JT94=1,VLOOKUP(MATCH(BE94,ac_id,0),ad,ac!$H$8,FALSE)*JU94, (VLOOKUP(MATCH(BE94,ac_id,0),ad,ac!$H$8,FALSE)*JU94^(1+VLOOKUP(MATCH(BE94,ac_id,0),ad,ac!$I$8,FALSE)))))</f>
        <v>21643.124894750814</v>
      </c>
      <c r="KS94" s="7062">
        <f t="shared" si="697"/>
        <v>192031.12489475083</v>
      </c>
      <c r="KT94" s="7212">
        <f t="shared" si="734"/>
        <v>74933.745746999994</v>
      </c>
      <c r="KU94" s="7056">
        <f t="shared" si="735"/>
        <v>310341.24</v>
      </c>
      <c r="KV94" s="7390">
        <f t="shared" si="667"/>
        <v>2</v>
      </c>
      <c r="KW94" s="7274">
        <f t="shared" si="736"/>
        <v>581960.7292342108</v>
      </c>
      <c r="KX94" s="7062">
        <f t="shared" si="737"/>
        <v>967235.71498121077</v>
      </c>
      <c r="KY94" s="7356">
        <f t="shared" si="738"/>
        <v>1480210.9025244303</v>
      </c>
      <c r="KZ94" s="1343"/>
      <c r="LA94" s="7211">
        <f t="shared" si="668"/>
        <v>104905.09585573565</v>
      </c>
      <c r="LB94" s="1340">
        <f t="shared" si="669"/>
        <v>60024.773013967162</v>
      </c>
      <c r="LC94" s="5133"/>
      <c r="LD94" s="5132"/>
      <c r="LE94" s="5132"/>
      <c r="LF94" s="5132"/>
      <c r="LG94" s="5132"/>
      <c r="LH94" s="5132"/>
      <c r="LI94" s="5132"/>
      <c r="LJ94" s="5132"/>
    </row>
    <row r="95" spans="1:322" s="717" customFormat="1" ht="27.95" customHeight="1">
      <c r="A95" s="10540"/>
      <c r="B95" s="10521" t="str">
        <f>+IF(A95="","",VLOOKUP(MATCH(A95,tid,0),tao,'12(id)'!$J$20,FALSE))</f>
        <v/>
      </c>
      <c r="C95" s="10549"/>
      <c r="D95" s="1031" t="str">
        <f t="shared" si="48"/>
        <v/>
      </c>
      <c r="E95" s="651"/>
      <c r="F95" s="651" t="str">
        <f t="shared" si="49"/>
        <v/>
      </c>
      <c r="G95" s="5133"/>
      <c r="H95" s="5132"/>
      <c r="I95" s="5133"/>
      <c r="J95" s="719">
        <f t="shared" si="68"/>
        <v>61</v>
      </c>
      <c r="K95" s="10553"/>
      <c r="L95" s="9721"/>
      <c r="M95" s="9718"/>
      <c r="N95" s="9699"/>
      <c r="O95" s="9666"/>
      <c r="P95" s="9520"/>
      <c r="Q95" s="9705" t="str">
        <f>+IF(ISERROR(MATCH(O95,tid,0)),"",VLOOKUP(MATCH(O95,tid,0),tao,'12(id)'!$Q$20,FALSE))</f>
        <v/>
      </c>
      <c r="R95" s="10184"/>
      <c r="S95" s="9705"/>
      <c r="T95" s="10527" t="str">
        <f>+IF(ISERROR(MATCH(O95,tid,0)),"",IF(VLOOKUP(MATCH(O95,tid,0),tao,'12(id)'!$CT$20,FALSE)="","",VLOOKUP(MATCH(O95,tid,0),tao,'12(id)'!$CT$20,FALSE)))</f>
        <v/>
      </c>
      <c r="U95" s="10529" t="str">
        <f>+IF(ISERROR(MATCH(O95,tid,0)),"",IF(VLOOKUP(MATCH(O95,tid,0),tao,'12(id)'!$CU$20,FALSE)="","",VLOOKUP(MATCH(O95,tid,0),tao,'12(id)'!$CU$20,FALSE)))</f>
        <v/>
      </c>
      <c r="V95" s="9513" t="str">
        <f>+IF(O95="","",IF(VLOOKUP(MATCH(O95,tid,0),tao,'12(id)'!$T$20,FALSE)="","",VLOOKUP(MATCH(O95,tid,0),tao,'12(id)'!$T$20,FALSE)))</f>
        <v/>
      </c>
      <c r="W95" s="9513" t="str">
        <f>+IF(ISERROR(MATCH(O95,tid,0)),"",IF(VLOOKUP(MATCH(O95,tid,0),tao,'12(id)'!$CO$20,FALSE)="","",VLOOKUP(MATCH(O95,tid,0),tao,'12(id)'!$CO$20,FALSE)))</f>
        <v/>
      </c>
      <c r="X95" s="9513" t="str">
        <f>+IF(ISERROR(MATCH(O95,tid,0)),"",IF(VLOOKUP(MATCH(O95,tid,0),tao,'12(id)'!$CP$20,FALSE)="","",VLOOKUP(MATCH(O95,tid,0),tao,'12(id)'!$CP$20,FALSE)))</f>
        <v/>
      </c>
      <c r="Y95" s="8555" t="str">
        <f>+IF(ISERROR(MATCH(O95,tid,0)),"",IF(VLOOKUP(MATCH(O95,tid,0),tao,'12(id)'!$CQ$20,FALSE)="","",VLOOKUP(MATCH(O95,tid,0),tao,'12(id)'!$CQ$20,FALSE)))</f>
        <v/>
      </c>
      <c r="Z95" s="9666" t="str">
        <f>+IF(ISERROR(MATCH(O95,tid,0)),"",VLOOKUP(MATCH(O95,tid,0),tao,'12(id)'!$DB$20,FALSE)&amp;" "&amp;VLOOKUP(MATCH(O95,tid,0),tao,'12(id)'!$DC$20,FALSE))</f>
        <v/>
      </c>
      <c r="AA95" s="9666" t="str">
        <f>+IF(ISERROR(MATCH(O95,tid,0)),"",IF(VLOOKUP(MATCH(O95,tid,0),tao,'12(id)'!$DE$20,FALSE)="","",ROUND(VLOOKUP(MATCH(O95,tid,0),tao,'12(id)'!$DE$20,FALSE),0)&amp;" yrs"))</f>
        <v/>
      </c>
      <c r="AB95" s="9653" t="str">
        <f>+IF(ISERROR(MATCH(O95,tid,0)),"",VLOOKUP(MATCH(O95,tid,0),tao,'12(id)'!$DI$20,FALSE))</f>
        <v/>
      </c>
      <c r="AC95" s="9653" t="str">
        <f>+IF(ISERROR(MATCH(O95,tid,0)),"",IF(VLOOKUP(MATCH(O95,tid,0),tao,'12(id)'!$DQ$20,FALSE)="","",VLOOKUP(MATCH(O95,tid,0),tao,'12(id)'!$DQ$20,FALSE)))</f>
        <v/>
      </c>
      <c r="AD95" s="10443" t="str">
        <f>+IF(ISERROR(MATCH(O95,tid,0)),"",IF(VLOOKUP(MATCH(O95,tid,0),tao,'12(id)'!$EI$20,FALSE)="","",VLOOKUP(MATCH(O95,tid,0),tao,'12(id)'!$EI$20,FALSE)))</f>
        <v/>
      </c>
      <c r="AE95" s="10443" t="str">
        <f>+IF(ISERROR(MATCH(O95,tid,0)),"",IF(VLOOKUP(MATCH(O95,tid,0),tao,'12(id)'!$EJ$20,FALSE)="","",VLOOKUP(MATCH(O95,tid,0),tao,'12(id)'!$EJ$20,FALSE)))</f>
        <v/>
      </c>
      <c r="AF95" s="10443" t="str">
        <f>+IF(ISERROR(MATCH(O95,tid,0)),"",IF(VLOOKUP(MATCH(O95,tid,0),tao,'12(id)'!$EL$20,FALSE)="","",VLOOKUP(MATCH(O95,tid,0),tao,'12(id)'!$EL$20,FALSE)))</f>
        <v/>
      </c>
      <c r="AG95" s="10416" t="str">
        <f>+IF(ISERROR(MATCH(O95,tid,0)),"",IF(VLOOKUP(MATCH(O95,tid,0),tao,'12(id)'!$EM$20,FALSE)="","",VLOOKUP(MATCH(O95,tid,0),tao,'12(id)'!$EM$20,FALSE)))</f>
        <v/>
      </c>
      <c r="AH95" s="10439"/>
      <c r="AI95" s="10441"/>
      <c r="AJ95" s="10441"/>
      <c r="AK95" s="10441"/>
      <c r="AL95" s="10441"/>
      <c r="AM95" s="10432"/>
      <c r="AN95" s="10422"/>
      <c r="AO95" s="10458" t="str">
        <f>+IF(ISERROR(MATCH(O95,tid,0)),"",IF(VLOOKUP(MATCH(O95,tid,0),tao,'12(id)'!$GY$20,FALSE)="","",VLOOKUP(MATCH(O95,tid,0),tao,'12(id)'!$GY$20,FALSE)))</f>
        <v/>
      </c>
      <c r="AP95" s="10379" t="str">
        <f>+IF($BB95="","",IF(VLOOKUP(MATCH(O95,tid,0),tao,'12(id)'!$HE$20,FALSE)="","",VLOOKUP(MATCH(O95,tid,0),tao,'12(id)'!$HE$20,FALSE)))</f>
        <v/>
      </c>
      <c r="AQ95" s="10379" t="str">
        <f>+IF(ISERROR(VLOOKUP(MATCH(O95,tid,0),tao,'12(id)'!$HF$20,FALSE)),"",VLOOKUP(MATCH(O95,tid,0),tao,'12(id)'!$HF$20,FALSE))</f>
        <v/>
      </c>
      <c r="AR95" s="10382" t="str">
        <f>+IF(ISERROR(MATCH(O95,tid,0)),"",IF(VLOOKUP(MATCH(O95,tid,0),tao,'12(id)'!$HJ$20,FALSE)="","",VLOOKUP(MATCH(O95,tid,0),tao,'12(id)'!$HJ$20,FALSE)))</f>
        <v/>
      </c>
      <c r="AS95" s="10385" t="str">
        <f>+IF(ISERROR(MATCH(O95,tid,0)),"",IF(VLOOKUP(MATCH(O95,tid,0),tao,'12(id)'!$HK$20,FALSE)="","",VLOOKUP(MATCH(O95,tid,0),tao,'12(id)'!$HK$20,FALSE)))</f>
        <v/>
      </c>
      <c r="AT95" s="10388" t="str">
        <f>+IF(ISERROR(MATCH(O95,tid,0)),"",IF(VLOOKUP(MATCH(O95,tid,0),tao,'12(id)'!$HM$20,FALSE)="","",VLOOKUP(MATCH(O95,tid,0),tao,'12(id)'!$HM$20,FALSE)))</f>
        <v/>
      </c>
      <c r="AU95" s="10471" t="str">
        <f>+AU92</f>
        <v>CAIR-OS (max last 3 yrs)</v>
      </c>
      <c r="AV95" s="10473" t="str">
        <f>+IF(ISERROR(MATCH(O95,em_id,0)),"",IF(VLOOKUP(MATCH(O95,em_id,0),em,'5(em)'!$CX$18,FALSE)="","",VLOOKUP(MATCH(O95,em_id,0),em,'5(em)'!$CX$18,FALSE)))</f>
        <v/>
      </c>
      <c r="AW95" s="10489" t="str">
        <f>+IF(ISERROR(MATCH(O95,em_id,0)),"",IF(VLOOKUP(MATCH(O95,em_id,0),em,'5(em)'!$CZ$18,FALSE)="","",VLOOKUP(MATCH(O95,em_id,0),em,'5(em)'!$CZ$18,FALSE)))</f>
        <v/>
      </c>
      <c r="AX95" s="10478" t="str">
        <f t="shared" si="50"/>
        <v/>
      </c>
      <c r="AY95" s="10480"/>
      <c r="AZ95" s="10482" t="str">
        <f>+IF(ISERROR(MATCH(O95,em_id,0)),"",IF(VLOOKUP(MATCH(O95,em_id,0),em,'5(em)'!$DA$18,FALSE)="","",VLOOKUP(MATCH(O95,em_id,0),em,'5(em)'!$DA$18,FALSE)))</f>
        <v/>
      </c>
      <c r="BA95" s="650"/>
      <c r="BB95" s="651" t="str">
        <f t="shared" si="703"/>
        <v/>
      </c>
      <c r="BC95" s="659"/>
      <c r="BD95" s="651"/>
      <c r="BE95" s="651"/>
      <c r="BF95" s="651"/>
      <c r="BG95" s="652"/>
      <c r="BH95" s="208"/>
      <c r="BI95" s="450"/>
      <c r="BJ95" s="209"/>
      <c r="BK95" s="209"/>
      <c r="BL95" s="209"/>
      <c r="BM95" s="209"/>
      <c r="BN95" s="209" t="str">
        <f t="shared" si="12"/>
        <v/>
      </c>
      <c r="BO95" s="209" t="str">
        <f t="shared" si="13"/>
        <v/>
      </c>
      <c r="BP95" s="209" t="str">
        <f t="shared" si="14"/>
        <v/>
      </c>
      <c r="BQ95" s="209" t="str">
        <f t="shared" si="15"/>
        <v/>
      </c>
      <c r="BR95" s="210"/>
      <c r="BS95" s="2383"/>
      <c r="BT95" s="452"/>
      <c r="BU95" s="3710" t="str">
        <f>+IF(BB95="","",IF(VLOOKUP(MATCH(BB95,ef_id,0),ef,'11(eff)'!$Z$23,FALSE)="","",VLOOKUP(MATCH(BB95,ef_id,0),ef,'11(eff)'!$Z$23,FALSE)))</f>
        <v/>
      </c>
      <c r="BV95" s="3754" t="str">
        <f>+IF(BB95="","",IF(VLOOKUP(MATCH(BB95,ef_id,0),ef,'11(eff)'!$AA$23,FALSE)="","",VLOOKUP(MATCH(BB95,ef_id,0),ef,'11(eff)'!$AA$23,FALSE)))</f>
        <v/>
      </c>
      <c r="BW95" s="2368"/>
      <c r="BX95" s="3793" t="str">
        <f t="shared" si="511"/>
        <v/>
      </c>
      <c r="BY95" s="3818" t="str">
        <f t="shared" si="512"/>
        <v/>
      </c>
      <c r="BZ95" s="3397"/>
      <c r="CA95" s="3420"/>
      <c r="CB95" s="3849" t="str">
        <f t="shared" si="382"/>
        <v/>
      </c>
      <c r="CC95" s="3869" t="str">
        <f t="shared" si="513"/>
        <v/>
      </c>
      <c r="CD95" s="3869" t="str">
        <f t="shared" si="514"/>
        <v/>
      </c>
      <c r="CE95" s="2373" t="str">
        <f>+IF(BB95="","",IF(VLOOKUP(MATCH(BB95,ef_id,0),ef,'11(eff)'!$AE$23,FALSE)="","",VLOOKUP(MATCH(BB95,ef_id,0),ef,'11(eff)'!$AE$23,FALSE)))</f>
        <v/>
      </c>
      <c r="CF95" s="451"/>
      <c r="CG95" s="452"/>
      <c r="CH95" s="2410"/>
      <c r="CI95" s="3912" t="str">
        <f t="shared" si="628"/>
        <v/>
      </c>
      <c r="CJ95" s="4070"/>
      <c r="CK95" s="3912" t="str">
        <f>+IF($BB95="","",IF(OR($AW95="",CI95=""),"",CI95/2000*$AW95))</f>
        <v/>
      </c>
      <c r="CL95" s="4005" t="str">
        <f>+IF($BB95="","",IF(CK95="","",$AZ95-CK95))</f>
        <v/>
      </c>
      <c r="CM95" s="4006" t="str">
        <f>+IF($BB95="","",IF(CL95="","",CL95/$AZ95))</f>
        <v/>
      </c>
      <c r="CN95" s="4006" t="str">
        <f>+IF($BB95="","",IF(CI95="","",(1-CI95/$AX95)))</f>
        <v/>
      </c>
      <c r="CO95" s="4007"/>
      <c r="CP95" s="4008"/>
      <c r="CQ95" s="451" t="str">
        <f t="shared" si="51"/>
        <v/>
      </c>
      <c r="CR95" s="453"/>
      <c r="CS95" s="2765"/>
      <c r="CT95" s="1591"/>
      <c r="CU95" s="1496"/>
      <c r="CV95" s="1872" t="str">
        <f t="shared" si="704"/>
        <v/>
      </c>
      <c r="CW95" s="1873"/>
      <c r="CX95" s="1873"/>
      <c r="CY95" s="1874"/>
      <c r="CZ95" s="2478"/>
      <c r="DA95" s="2488"/>
      <c r="DB95" s="2488"/>
      <c r="DC95" s="1872"/>
      <c r="DD95" s="1876"/>
      <c r="DE95" s="1877"/>
      <c r="DF95" s="1878"/>
      <c r="DG95" s="1878"/>
      <c r="DH95" s="1876"/>
      <c r="DI95" s="1693" t="str">
        <f>+IF(CT95="","",SUM(CU95:DC95))</f>
        <v/>
      </c>
      <c r="DJ95" s="1938"/>
      <c r="DK95" s="1591"/>
      <c r="DL95" s="1496"/>
      <c r="DM95" s="1872" t="str">
        <f t="shared" si="705"/>
        <v/>
      </c>
      <c r="DN95" s="1873"/>
      <c r="DO95" s="1873"/>
      <c r="DP95" s="1874"/>
      <c r="DQ95" s="2478"/>
      <c r="DR95" s="2488"/>
      <c r="DS95" s="2488"/>
      <c r="DT95" s="1872"/>
      <c r="DU95" s="1876"/>
      <c r="DV95" s="1877"/>
      <c r="DW95" s="1878"/>
      <c r="DX95" s="1878"/>
      <c r="DY95" s="1876"/>
      <c r="DZ95" s="1693" t="str">
        <f t="shared" si="664"/>
        <v/>
      </c>
      <c r="EA95" s="1938"/>
      <c r="EB95" s="1496" t="str">
        <f t="shared" si="377"/>
        <v/>
      </c>
      <c r="EC95" s="1963"/>
      <c r="ED95" s="1415" t="str">
        <f t="shared" si="20"/>
        <v/>
      </c>
      <c r="EE95" s="1875"/>
      <c r="EF95" s="1733"/>
      <c r="EG95" s="1874"/>
      <c r="EH95" s="1693" t="str">
        <f t="shared" si="353"/>
        <v/>
      </c>
      <c r="EI95" s="1877"/>
      <c r="EJ95" s="1878"/>
      <c r="EK95" s="2010"/>
      <c r="EL95" s="1459"/>
      <c r="EM95" s="1877"/>
      <c r="EN95" s="1878"/>
      <c r="EO95" s="2010"/>
      <c r="EP95" s="1693" t="str">
        <f t="shared" si="378"/>
        <v/>
      </c>
      <c r="EQ95" s="2561"/>
      <c r="ER95" s="2561"/>
      <c r="ES95" s="2561"/>
      <c r="ET95" s="1459"/>
      <c r="EU95" s="1427"/>
      <c r="EV95" s="1392"/>
      <c r="EW95" s="2585"/>
      <c r="EX95" s="2585"/>
      <c r="EY95" s="2692"/>
      <c r="EZ95" s="2721"/>
      <c r="FA95" s="1392"/>
      <c r="FB95" s="1500" t="str">
        <f t="shared" si="515"/>
        <v/>
      </c>
      <c r="FC95" s="1496" t="str">
        <f t="shared" si="516"/>
        <v/>
      </c>
      <c r="FD95" s="2050" t="str">
        <f t="shared" si="517"/>
        <v/>
      </c>
      <c r="FE95" s="2034" t="str">
        <f t="shared" si="509"/>
        <v/>
      </c>
      <c r="FF95" s="2050" t="str">
        <f t="shared" si="518"/>
        <v/>
      </c>
      <c r="FG95" s="2034" t="str">
        <f t="shared" si="519"/>
        <v/>
      </c>
      <c r="FH95" s="2050" t="str">
        <f t="shared" si="520"/>
        <v/>
      </c>
      <c r="FI95" s="2034" t="str">
        <f t="shared" si="510"/>
        <v/>
      </c>
      <c r="FJ95" s="2796" t="str">
        <f t="shared" si="521"/>
        <v/>
      </c>
      <c r="FK95" s="2812" t="str">
        <f t="shared" si="522"/>
        <v/>
      </c>
      <c r="FL95" s="2784" t="str">
        <f t="shared" si="523"/>
        <v/>
      </c>
      <c r="FM95" s="2034" t="str">
        <f t="shared" si="524"/>
        <v/>
      </c>
      <c r="FN95" s="2784" t="str">
        <f t="shared" si="525"/>
        <v/>
      </c>
      <c r="FO95" s="2774" t="str">
        <f t="shared" si="526"/>
        <v/>
      </c>
      <c r="FP95" s="2784" t="str">
        <f t="shared" si="527"/>
        <v/>
      </c>
      <c r="FQ95" s="2774" t="str">
        <f t="shared" si="528"/>
        <v/>
      </c>
      <c r="FR95" s="2848" t="str">
        <f t="shared" si="529"/>
        <v/>
      </c>
      <c r="FS95" s="2830" t="str">
        <f t="shared" si="530"/>
        <v/>
      </c>
      <c r="FT95" s="1513" t="str">
        <f t="shared" si="531"/>
        <v/>
      </c>
      <c r="FU95" s="2895" t="str">
        <f t="shared" si="532"/>
        <v/>
      </c>
      <c r="FV95" s="1716" t="str">
        <f t="shared" si="533"/>
        <v/>
      </c>
      <c r="FW95" s="2112" t="str">
        <f t="shared" si="534"/>
        <v/>
      </c>
      <c r="FX95" s="1740" t="str">
        <f t="shared" si="535"/>
        <v/>
      </c>
      <c r="FY95" s="2113" t="str">
        <f t="shared" si="536"/>
        <v/>
      </c>
      <c r="FZ95" s="1740" t="str">
        <f t="shared" si="537"/>
        <v/>
      </c>
      <c r="GA95" s="1740" t="str">
        <f t="shared" si="538"/>
        <v/>
      </c>
      <c r="GB95" s="2113" t="str">
        <f t="shared" si="539"/>
        <v/>
      </c>
      <c r="GC95" s="1740" t="str">
        <f t="shared" si="540"/>
        <v/>
      </c>
      <c r="GD95" s="1740" t="str">
        <f t="shared" si="541"/>
        <v/>
      </c>
      <c r="GE95" s="1616" t="str">
        <f t="shared" si="542"/>
        <v/>
      </c>
      <c r="GF95" s="2147" t="str">
        <f>+IF(FB95="","",(IF(FA95="",0,FA95)-IF(EZ95="",0,EZ95))+(IF(EU95="",0,EU95)+IF(EV95="",0,EV95)+(IF(EW95="",0,EW95)+IF(EX95="",0,EX95))+IF(FC95="",0,FC95)+IF(FW95="",0,FW95)+IF(FY95="",0,FY95)+IF(GB95="",0,GB95)))</f>
        <v/>
      </c>
      <c r="GG95" s="2172" t="str">
        <f t="shared" si="544"/>
        <v/>
      </c>
      <c r="GH95" s="3180" t="str">
        <f t="shared" si="545"/>
        <v/>
      </c>
      <c r="GI95" s="3200" t="s">
        <v>939</v>
      </c>
      <c r="GJ95" s="3205"/>
      <c r="GK95" s="3454" t="str">
        <f t="shared" si="423"/>
        <v/>
      </c>
      <c r="GL95" s="3251" t="str">
        <f t="shared" si="546"/>
        <v/>
      </c>
      <c r="GM95" s="457"/>
      <c r="GN95" s="459"/>
      <c r="GO95" s="1877"/>
      <c r="GP95" s="2010"/>
      <c r="GQ95" s="1459" t="str">
        <f t="shared" si="582"/>
        <v/>
      </c>
      <c r="GR95" s="2325"/>
      <c r="GS95" s="2325"/>
      <c r="GT95" s="460"/>
      <c r="GU95" s="2316" t="str">
        <f t="shared" si="547"/>
        <v/>
      </c>
      <c r="GV95" s="458" t="str">
        <f t="shared" si="548"/>
        <v/>
      </c>
      <c r="GW95" s="2260" t="str">
        <f t="shared" si="549"/>
        <v/>
      </c>
      <c r="GX95" s="460" t="str">
        <f t="shared" si="550"/>
        <v/>
      </c>
      <c r="GY95" s="460" t="str">
        <f t="shared" si="551"/>
        <v/>
      </c>
      <c r="GZ95" s="460" t="str">
        <f t="shared" si="552"/>
        <v/>
      </c>
      <c r="HA95" s="1693" t="str">
        <f t="shared" si="553"/>
        <v/>
      </c>
      <c r="HB95" s="2234" t="str">
        <f t="shared" si="432"/>
        <v/>
      </c>
      <c r="HC95" s="2344" t="str">
        <f t="shared" si="554"/>
        <v/>
      </c>
      <c r="HD95" s="2350" t="str">
        <f t="shared" si="375"/>
        <v/>
      </c>
      <c r="HE95" s="457"/>
      <c r="HF95" s="3256" t="str">
        <f t="shared" si="555"/>
        <v/>
      </c>
      <c r="HG95" s="459"/>
      <c r="HH95" s="2994"/>
      <c r="HI95" s="3021"/>
      <c r="HJ95" s="1733"/>
      <c r="HK95" s="1733"/>
      <c r="HL95" s="1733"/>
      <c r="HM95" s="3025"/>
      <c r="HN95" s="3026" t="str">
        <f t="shared" si="347"/>
        <v/>
      </c>
      <c r="HO95" s="2965"/>
      <c r="HP95" s="2488"/>
      <c r="HQ95" s="3011" t="str">
        <f t="shared" si="556"/>
        <v/>
      </c>
      <c r="HR95" s="1874" t="str">
        <f t="shared" si="557"/>
        <v/>
      </c>
      <c r="HS95" s="1874" t="str">
        <f t="shared" si="558"/>
        <v/>
      </c>
      <c r="HT95" s="2952"/>
      <c r="HU95" s="2954"/>
      <c r="HV95" s="2952" t="str">
        <f t="shared" si="559"/>
        <v/>
      </c>
      <c r="HW95" s="2954" t="str">
        <f t="shared" si="560"/>
        <v/>
      </c>
      <c r="HX95" s="3034" t="str">
        <f t="shared" si="199"/>
        <v/>
      </c>
      <c r="HY95" s="2953" t="str">
        <f t="shared" si="561"/>
        <v/>
      </c>
      <c r="HZ95" s="2954" t="str">
        <f t="shared" si="562"/>
        <v/>
      </c>
      <c r="IA95" s="1496" t="str">
        <f t="shared" si="563"/>
        <v/>
      </c>
      <c r="IB95" s="3038" t="str">
        <f t="shared" si="564"/>
        <v/>
      </c>
      <c r="IC95" s="3053" t="str">
        <f t="shared" si="706"/>
        <v/>
      </c>
      <c r="ID95" s="1300"/>
      <c r="IE95" s="4106"/>
      <c r="IF95" s="4114" t="str">
        <f t="shared" si="583"/>
        <v/>
      </c>
      <c r="IG95" s="6779"/>
      <c r="IH95" s="4090" t="str">
        <f t="shared" si="584"/>
        <v/>
      </c>
      <c r="II95" s="6797"/>
      <c r="IJ95" s="4106" t="str">
        <f t="shared" si="585"/>
        <v/>
      </c>
      <c r="IK95" s="4143">
        <v>0</v>
      </c>
      <c r="IL95" s="4196" t="str">
        <f>+IF(IF95="","",IK95*#REF!*IF95)</f>
        <v/>
      </c>
      <c r="IM95" s="4197" t="str">
        <f>IF(HM95="","",IK95*#REF!*IA95)</f>
        <v/>
      </c>
      <c r="IN95" s="4221" t="str">
        <f t="shared" si="588"/>
        <v/>
      </c>
      <c r="IO95" s="4221" t="str">
        <f t="shared" si="589"/>
        <v/>
      </c>
      <c r="IP95" s="7234"/>
      <c r="IQ95" s="7242"/>
      <c r="IR95" s="7234"/>
      <c r="IS95" s="7242"/>
      <c r="IT95" s="4221" t="str">
        <f t="shared" si="594"/>
        <v/>
      </c>
      <c r="IU95" s="6852" t="str">
        <f t="shared" si="595"/>
        <v/>
      </c>
      <c r="IV95" s="7268"/>
      <c r="IW95" s="7254" t="str">
        <f>IF(IA95="","",#REF!*IA95)</f>
        <v/>
      </c>
      <c r="IX95" s="4188" t="str">
        <f t="shared" si="597"/>
        <v/>
      </c>
      <c r="IY95" s="4256" t="str">
        <f t="shared" si="598"/>
        <v/>
      </c>
      <c r="IZ95" s="4301" t="str">
        <f t="shared" si="599"/>
        <v/>
      </c>
      <c r="JA95" s="4302" t="str">
        <f t="shared" si="629"/>
        <v/>
      </c>
      <c r="JB95" s="4157"/>
      <c r="JC95" s="4339"/>
      <c r="JD95" s="3256" t="str">
        <f t="shared" si="570"/>
        <v/>
      </c>
      <c r="JE95" s="4364" t="str">
        <f t="shared" si="571"/>
        <v/>
      </c>
      <c r="JF95" s="7041"/>
      <c r="JG95" s="7057"/>
      <c r="JH95" s="6972"/>
      <c r="JI95" s="6972"/>
      <c r="JJ95" s="6972"/>
      <c r="JK95" s="6972"/>
      <c r="JL95" s="7009"/>
      <c r="JM95" s="7051"/>
      <c r="JN95" s="1733" t="str">
        <f t="shared" si="637"/>
        <v/>
      </c>
      <c r="JO95" s="1733"/>
      <c r="JP95" s="7082"/>
      <c r="JQ95" s="7082"/>
      <c r="JR95" s="7057"/>
      <c r="JS95" s="7063"/>
      <c r="JT95" s="7169" t="str">
        <f t="shared" si="476"/>
        <v/>
      </c>
      <c r="JU95" s="7170"/>
      <c r="JV95" s="8379"/>
      <c r="JW95" s="8406"/>
      <c r="JX95" s="8435"/>
      <c r="JY95" s="8470"/>
      <c r="JZ95" s="7171"/>
      <c r="KA95" s="7169"/>
      <c r="KB95" s="7170"/>
      <c r="KC95" s="7171"/>
      <c r="KD95" s="7169"/>
      <c r="KE95" s="8343"/>
      <c r="KF95" s="8343"/>
      <c r="KG95" s="7170"/>
      <c r="KH95" s="7170"/>
      <c r="KI95" s="7170"/>
      <c r="KJ95" s="7170"/>
      <c r="KK95" s="7170"/>
      <c r="KL95" s="7170"/>
      <c r="KM95" s="7170"/>
      <c r="KN95" s="7170"/>
      <c r="KO95" s="7170"/>
      <c r="KP95" s="7171"/>
      <c r="KQ95" s="7213"/>
      <c r="KR95" s="7082" t="str">
        <f>+IF(D95="","",IF(JT95=1,VLOOKUP(MATCH(BE95,ac_id,0),ad,ac!$H$8,FALSE)*JU95, (VLOOKUP(MATCH(BE95,ac_id,0),ad,ac!$H$8,FALSE)*JU95^(1+VLOOKUP(MATCH(BE95,ac_id,0),ad,ac!$I$8,FALSE)))))</f>
        <v/>
      </c>
      <c r="KS95" s="7063"/>
      <c r="KT95" s="7213" t="str">
        <f>+IF(D95="","",IF(KR95="","",$KT$26*KR95))</f>
        <v/>
      </c>
      <c r="KU95" s="7057" t="str">
        <f t="shared" si="666"/>
        <v/>
      </c>
      <c r="KV95" s="7393" t="str">
        <f t="shared" si="667"/>
        <v/>
      </c>
      <c r="KW95" s="7394" t="str">
        <f>IF(JS95="","",IF(KV95=2,#REF!,$KW$5)*JS95)</f>
        <v/>
      </c>
      <c r="KX95" s="7063" t="str">
        <f>+IF(D95="","",IF(KW95="","",IF(KT95="",0,KT95)+IF(KU95="",0,KU95)+KW95))</f>
        <v/>
      </c>
      <c r="KY95" s="7357" t="str">
        <f>+IF(D95="","",IF(KW95="","",KQ95+KR95+KX95))</f>
        <v/>
      </c>
      <c r="KZ95" s="7358"/>
      <c r="LA95" s="7359" t="str">
        <f t="shared" si="668"/>
        <v/>
      </c>
      <c r="LB95" s="7360" t="str">
        <f t="shared" si="669"/>
        <v/>
      </c>
      <c r="LC95" s="5133"/>
      <c r="LD95" s="5132"/>
      <c r="LE95" s="5132"/>
      <c r="LF95" s="5132"/>
      <c r="LG95" s="5132"/>
      <c r="LH95" s="5132"/>
      <c r="LI95" s="5132"/>
      <c r="LJ95" s="5132"/>
    </row>
    <row r="96" spans="1:322" s="13" customFormat="1" ht="27.95" customHeight="1">
      <c r="A96" s="10538" t="str">
        <f>+O96</f>
        <v>8306-05</v>
      </c>
      <c r="B96" s="10521" t="str">
        <f>+IF(A96="","",VLOOKUP(MATCH(A96,tid,0),tao,'12(id)'!$J$20,FALSE))</f>
        <v>NRG</v>
      </c>
      <c r="C96" s="10549" t="str">
        <f t="shared" si="47"/>
        <v>MV6 </v>
      </c>
      <c r="D96" s="1067" t="str">
        <f t="shared" si="48"/>
        <v>8306-05-01</v>
      </c>
      <c r="E96" s="3151" t="str">
        <f>+IF(BD96="","",BD96)</f>
        <v>Separated Overfired Air / High Energy Reagent Technology (SOFA/HERT)</v>
      </c>
      <c r="F96" s="3151" t="str">
        <f t="shared" si="49"/>
        <v>New Eqp</v>
      </c>
      <c r="G96" s="5133"/>
      <c r="H96" s="5132"/>
      <c r="I96" s="5133"/>
      <c r="J96" s="719">
        <f t="shared" si="68"/>
        <v>62</v>
      </c>
      <c r="K96" s="10541">
        <f>1+K92</f>
        <v>5</v>
      </c>
      <c r="L96" s="9721"/>
      <c r="M96" s="9718"/>
      <c r="N96" s="9699"/>
      <c r="O96" s="9706" t="s">
        <v>297</v>
      </c>
      <c r="P96" s="9520"/>
      <c r="Q96" s="9704" t="str">
        <f>+IF(ISERROR(MATCH(O96,tid,0)),"",VLOOKUP(MATCH(O96,tid,0),tao,'12(id)'!$Q$20,FALSE))</f>
        <v>MV6 </v>
      </c>
      <c r="R96" s="10523">
        <v>1</v>
      </c>
      <c r="S96" s="9704"/>
      <c r="T96" s="10525">
        <f>+IF(ISERROR(MATCH(O96,tid,0)),"",IF(VLOOKUP(MATCH(O96,tid,0),tao,'12(id)'!$CT$20,FALSE)="","",VLOOKUP(MATCH(O96,tid,0),tao,'12(id)'!$CT$20,FALSE)))</f>
        <v>402</v>
      </c>
      <c r="U96" s="10529" t="str">
        <f>+IF(ISERROR(MATCH(O96,tid,0)),"",IF(VLOOKUP(MATCH(O96,tid,0),tao,'12(id)'!$CU$20,FALSE)="","",VLOOKUP(MATCH(O96,tid,0),tao,'12(id)'!$CU$20,FALSE)))</f>
        <v/>
      </c>
      <c r="V96" s="10446" t="str">
        <f>+IF(O96="","",IF(VLOOKUP(MATCH(O96,tid,0),tao,'12(id)'!$T$20,FALSE)="","",VLOOKUP(MATCH(O96,tid,0),tao,'12(id)'!$T$20,FALSE)))</f>
        <v>Utility Boiler</v>
      </c>
      <c r="W96" s="10446" t="str">
        <f>+IF(ISERROR(MATCH(O96,tid,0)),"",IF(VLOOKUP(MATCH(O96,tid,0),tao,'12(id)'!$CO$20,FALSE)="","",VLOOKUP(MATCH(O96,tid,0),tao,'12(id)'!$CO$20,FALSE)))</f>
        <v>Combustion Engineering</v>
      </c>
      <c r="X96" s="10446" t="str">
        <f>+IF(ISERROR(MATCH(O96,tid,0)),"",IF(VLOOKUP(MATCH(O96,tid,0),tao,'12(id)'!$CP$20,FALSE)="","",VLOOKUP(MATCH(O96,tid,0),tao,'12(id)'!$CP$20,FALSE)))</f>
        <v>Tangential fired</v>
      </c>
      <c r="Y96" s="2421" t="str">
        <f>+IF(ISERROR(MATCH(O96,tid,0)),"",IF(VLOOKUP(MATCH(O96,tid,0),tao,'12(id)'!$CQ$20,FALSE)="","",VLOOKUP(MATCH(O96,tid,0),tao,'12(id)'!$CQ$20,FALSE)))</f>
        <v/>
      </c>
      <c r="Z96" s="10445" t="str">
        <f>+IF(ISERROR(MATCH(O96,tid,0)),"",VLOOKUP(MATCH(O96,tid,0),tao,'12(id)'!$DB$20,FALSE)&amp;" "&amp;VLOOKUP(MATCH(O96,tid,0),tao,'12(id)'!$DC$20,FALSE))</f>
        <v xml:space="preserve"> </v>
      </c>
      <c r="AA96" s="10445" t="str">
        <f>+IF(ISERROR(MATCH(O96,tid,0)),"",IF(VLOOKUP(MATCH(O96,tid,0),tao,'12(id)'!$DE$20,FALSE)="","",ROUND(VLOOKUP(MATCH(O96,tid,0),tao,'12(id)'!$DE$20,FALSE),0)&amp;" yrs"))</f>
        <v/>
      </c>
      <c r="AB96" s="9732" t="str">
        <f>+IF(ISERROR(MATCH(O96,tid,0)),"",VLOOKUP(MATCH(O96,tid,0),tao,'12(id)'!$DI$20,FALSE))</f>
        <v>No. 6 oil</v>
      </c>
      <c r="AC96" s="9732" t="str">
        <f>+IF(ISERROR(MATCH(O96,tid,0)),"",IF(VLOOKUP(MATCH(O96,tid,0),tao,'12(id)'!$DQ$20,FALSE)="","",VLOOKUP(MATCH(O96,tid,0),tao,'12(id)'!$DQ$20,FALSE)))</f>
        <v>No. 2 oil</v>
      </c>
      <c r="AD96" s="10411" t="str">
        <f>+IF(ISERROR(MATCH(O96,tid,0)),"",IF(VLOOKUP(MATCH(O96,tid,0),tao,'12(id)'!$EI$20,FALSE)="","",VLOOKUP(MATCH(O96,tid,0),tao,'12(id)'!$EI$20,FALSE)))</f>
        <v/>
      </c>
      <c r="AE96" s="10411" t="str">
        <f>+IF(ISERROR(MATCH(O96,tid,0)),"",IF(VLOOKUP(MATCH(O96,tid,0),tao,'12(id)'!$EJ$20,FALSE)="","",VLOOKUP(MATCH(O96,tid,0),tao,'12(id)'!$EJ$20,FALSE)))</f>
        <v/>
      </c>
      <c r="AF96" s="10411">
        <f>+IF(ISERROR(MATCH(O96,tid,0)),"",IF(VLOOKUP(MATCH(O96,tid,0),tao,'12(id)'!$EL$20,FALSE)="","",VLOOKUP(MATCH(O96,tid,0),tao,'12(id)'!$EL$20,FALSE)))</f>
        <v>0.27</v>
      </c>
      <c r="AG96" s="10408" t="str">
        <f>+IF(ISERROR(MATCH(O96,tid,0)),"",IF(VLOOKUP(MATCH(O96,tid,0),tao,'12(id)'!$EM$20,FALSE)="","",VLOOKUP(MATCH(O96,tid,0),tao,'12(id)'!$EM$20,FALSE)))</f>
        <v/>
      </c>
      <c r="AH96" s="10436" t="str">
        <f>+AH92</f>
        <v>48 hrs/year operation</v>
      </c>
      <c r="AI96" s="10441"/>
      <c r="AJ96" s="10441"/>
      <c r="AK96" s="10441"/>
      <c r="AL96" s="10441"/>
      <c r="AM96" s="10432"/>
      <c r="AN96" s="10423" t="str">
        <f>+AN92</f>
        <v>2010-2009 average</v>
      </c>
      <c r="AO96" s="10425">
        <f>+IF(ISERROR(MATCH(O96,tid,0)),"",IF(VLOOKUP(MATCH(O96,tid,0),tao,'12(id)'!$GY$20,FALSE)="","",VLOOKUP(MATCH(O96,tid,0),tao,'12(id)'!$GY$20,FALSE)))</f>
        <v>231.15</v>
      </c>
      <c r="AP96" s="10377">
        <f>+IF($BB96="","",IF(VLOOKUP(MATCH(O96,tid,0),tao,'12(id)'!$HE$20,FALSE)="","",VLOOKUP(MATCH(O96,tid,0),tao,'12(id)'!$HE$20,FALSE)))</f>
        <v>448035</v>
      </c>
      <c r="AQ96" s="10406">
        <f>+IF(ISERROR(VLOOKUP(MATCH(O96,tid,0),tao,'12(id)'!$HF$20,FALSE)),"",VLOOKUP(MATCH(O96,tid,0),tao,'12(id)'!$HF$20,FALSE))</f>
        <v>448035</v>
      </c>
      <c r="AR96" s="10417">
        <f>+IF(ISERROR(MATCH(O96,tid,0)),"",IF(VLOOKUP(MATCH(O96,tid,0),tao,'12(id)'!$HJ$20,FALSE)="","",VLOOKUP(MATCH(O96,tid,0),tao,'12(id)'!$HJ$20,FALSE)))</f>
        <v>0.27</v>
      </c>
      <c r="AS96" s="10419" t="str">
        <f>+IF(ISERROR(MATCH(O96,tid,0)),"",IF(VLOOKUP(MATCH(O96,tid,0),tao,'12(id)'!$HK$20,FALSE)="","",VLOOKUP(MATCH(O96,tid,0),tao,'12(id)'!$HK$20,FALSE)))</f>
        <v/>
      </c>
      <c r="AT96" s="10466">
        <f>+IF(ISERROR(MATCH(O96,tid,0)),"",IF(VLOOKUP(MATCH(O96,tid,0),tao,'12(id)'!$HM$20,FALSE)="","",VLOOKUP(MATCH(O96,tid,0),tao,'12(id)'!$HM$20,FALSE)))</f>
        <v>60.48</v>
      </c>
      <c r="AU96" s="10470" t="str">
        <f>+AU92</f>
        <v>CAIR-OS (max last 3 yrs)</v>
      </c>
      <c r="AV96" s="10473">
        <f>+IF(ISERROR(MATCH(O96,em_id,0)),"",IF(VLOOKUP(MATCH(O96,em_id,0),em,'5(em)'!$CX$18,FALSE)="","",VLOOKUP(MATCH(O96,em_id,0),em,'5(em)'!$CX$18,FALSE)))</f>
        <v>376</v>
      </c>
      <c r="AW96" s="10489">
        <f>+IF(ISERROR(MATCH(O96,em_id,0)),"",IF(VLOOKUP(MATCH(O96,em_id,0),em,'5(em)'!$CZ$18,FALSE)="","",VLOOKUP(MATCH(O96,em_id,0),em,'5(em)'!$CZ$18,FALSE)))</f>
        <v>608716</v>
      </c>
      <c r="AX96" s="10478">
        <f t="shared" si="50"/>
        <v>0.15</v>
      </c>
      <c r="AY96" s="10480"/>
      <c r="AZ96" s="10482">
        <f>+IF(ISERROR(MATCH(O96,em_id,0)),"",IF(VLOOKUP(MATCH(O96,em_id,0),em,'5(em)'!$DA$18,FALSE)="","",VLOOKUP(MATCH(O96,em_id,0),em,'5(em)'!$DA$18,FALSE)))</f>
        <v>44.3</v>
      </c>
      <c r="BA96" s="1030"/>
      <c r="BB96" s="1362" t="str">
        <f t="shared" si="703"/>
        <v>8306-05-01</v>
      </c>
      <c r="BC96" s="7905">
        <v>1</v>
      </c>
      <c r="BD96" s="3151" t="str">
        <f>+IF(OR(D96="",VLOOKUP(MATCH(D96,op_id,0),op,'7(op)'!$T$18,FALSE)=""),"",VLOOKUP(MATCH(D96,op_id,0),op,'7(op)'!$T$18,FALSE))</f>
        <v>Separated Overfired Air / High Energy Reagent Technology (SOFA/HERT)</v>
      </c>
      <c r="BE96" s="1036" t="s">
        <v>1629</v>
      </c>
      <c r="BF96" s="1036" t="s">
        <v>1861</v>
      </c>
      <c r="BG96" s="1035"/>
      <c r="BH96" s="8635"/>
      <c r="BI96" s="100"/>
      <c r="BJ96" s="100"/>
      <c r="BK96" s="100"/>
      <c r="BL96" s="100"/>
      <c r="BM96" s="100"/>
      <c r="BN96" s="100" t="str">
        <f t="shared" si="12"/>
        <v/>
      </c>
      <c r="BO96" s="100" t="str">
        <f t="shared" si="13"/>
        <v/>
      </c>
      <c r="BP96" s="100" t="str">
        <f t="shared" si="14"/>
        <v/>
      </c>
      <c r="BQ96" s="100" t="str">
        <f t="shared" si="15"/>
        <v/>
      </c>
      <c r="BR96" s="1027"/>
      <c r="BS96" s="1754" t="s">
        <v>559</v>
      </c>
      <c r="BT96" s="7905"/>
      <c r="BU96" s="3714">
        <f>+IF(BB96="","",IF(VLOOKUP(MATCH(BB96,ef_id,0),ef,'11(eff)'!$Z$23,FALSE)="","",VLOOKUP(MATCH(BB96,ef_id,0),ef,'11(eff)'!$Z$23,FALSE)))</f>
        <v>0.15</v>
      </c>
      <c r="BV96" s="3759" t="str">
        <f>+IF(BB96="","",IF(VLOOKUP(MATCH(BB96,ef_id,0),ef,'11(eff)'!$AA$23,FALSE)="","",VLOOKUP(MATCH(BB96,ef_id,0),ef,'11(eff)'!$AA$23,FALSE)))</f>
        <v/>
      </c>
      <c r="BW96" s="3781">
        <v>33.6</v>
      </c>
      <c r="BX96" s="3802">
        <f t="shared" si="511"/>
        <v>33.6</v>
      </c>
      <c r="BY96" s="3821">
        <f t="shared" si="512"/>
        <v>33.602624999999996</v>
      </c>
      <c r="BZ96" s="3400"/>
      <c r="CA96" s="3425"/>
      <c r="CB96" s="3853">
        <f t="shared" si="382"/>
        <v>26.879999999999995</v>
      </c>
      <c r="CC96" s="3874">
        <f t="shared" si="513"/>
        <v>0.44444444444444442</v>
      </c>
      <c r="CD96" s="3873">
        <f t="shared" si="514"/>
        <v>0.44444444444444453</v>
      </c>
      <c r="CE96" s="2379">
        <f>+IF(BB96="","",IF(VLOOKUP(MATCH(BB96,ef_id,0),ef,'11(eff)'!$AE$23,FALSE)="","",VLOOKUP(MATCH(BB96,ef_id,0),ef,'11(eff)'!$AE$23,FALSE)))</f>
        <v>0.44444444444444448</v>
      </c>
      <c r="CF96" s="8635"/>
      <c r="CG96" s="100"/>
      <c r="CH96" s="2417"/>
      <c r="CI96" s="4009">
        <f t="shared" si="628"/>
        <v>8.0862376251358947E-2</v>
      </c>
      <c r="CJ96" s="4062" t="str">
        <f>+IF(AY96="","",AY96*(1-CO96))</f>
        <v/>
      </c>
      <c r="CK96" s="4009">
        <f>+IF($BB96="","",IF(CI96="",IF($AZ96="",IF($AZ95="",$AZ94,$AZ95),$AZ96)-CL96,IF(OR(IF($AW96="",IF($AW95="",$AW94,$AW95),$AW96)="",CI96=""),"",CI96/2000*IF($AW96="",IF($AW95="",$AW94,$AW95),$AW96))))</f>
        <v>24.611111111111107</v>
      </c>
      <c r="CL96" s="4010">
        <f>+IF($BB96="","",IF(CI96="",CO96*IF($AZ96="",IF($AZ95="",$AZ94,$AZ95),$AZ96),IF(CK96="","",IF($AZ96="",IF($AZ95="",$AZ94,$AZ95),$AZ96)-CK96)))</f>
        <v>19.68888888888889</v>
      </c>
      <c r="CM96" s="4011">
        <f>+IF($BB96="","",IF(CL96="","",CL96/IF($AZ96="",IF($AZ95="",$AZ94,$AZ95),$AZ96)))</f>
        <v>0.44444444444444448</v>
      </c>
      <c r="CN96" s="4011">
        <f>+IF($BB96="","",IF(CI96="","",(1-CI96/IF($AX96="",IF($AX95="",$AX94,$AX95),$AX96))))</f>
        <v>0.46091749165760698</v>
      </c>
      <c r="CO96" s="4012">
        <f>+IF(BB96="","",IF(VLOOKUP(MATCH(BB96,ef_id,0),ef,'11(eff)'!$AE$23,FALSE)="","",VLOOKUP(MATCH(BB96,ef_id,0),ef,'11(eff)'!$AE$23,FALSE)))</f>
        <v>0.44444444444444448</v>
      </c>
      <c r="CP96" s="3985" t="str">
        <f>+IF(OR(BB96="",VLOOKUP(MATCH(BB96,ef_id,0),ef,'11(eff)'!$AG$23,FALSE)=""),"",IF(VLOOKUP(MATCH(BB96,ef_id,0),ef,'11(eff)'!$AG$23,FALSE)/100=VLOOKUP(MATCH(BB96,ef_id,0),ef,'11(eff)'!$AE$23,FALSE),VLOOKUP(MATCH(BB96,ef_id,0),ef,'11(eff)'!$AE$23,FALSE),""))</f>
        <v/>
      </c>
      <c r="CQ96" s="1371" t="str">
        <f t="shared" si="51"/>
        <v>Separated Overfired Air / High Energy Reagent Technology (SOFA/HERT)</v>
      </c>
      <c r="CR96" s="8580"/>
      <c r="CS96" s="2768">
        <v>6077989</v>
      </c>
      <c r="CT96" s="1594">
        <v>1509376</v>
      </c>
      <c r="CU96" s="1520">
        <v>999500</v>
      </c>
      <c r="CV96" s="1896">
        <f t="shared" si="704"/>
        <v>250100</v>
      </c>
      <c r="CW96" s="1897">
        <v>30000</v>
      </c>
      <c r="CX96" s="1906">
        <v>50000</v>
      </c>
      <c r="CY96" s="1898"/>
      <c r="CZ96" s="2481"/>
      <c r="DA96" s="2490"/>
      <c r="DB96" s="2490"/>
      <c r="DC96" s="1896"/>
      <c r="DD96" s="1899"/>
      <c r="DE96" s="1900"/>
      <c r="DF96" s="1901"/>
      <c r="DG96" s="1901">
        <v>100000</v>
      </c>
      <c r="DH96" s="1899"/>
      <c r="DI96" s="1523">
        <f>+IF(CT96="","",SUM(CU96:DC96)+SUM(DE96:DF96))</f>
        <v>1329600</v>
      </c>
      <c r="DJ96" s="1942">
        <v>79776</v>
      </c>
      <c r="DK96" s="1594">
        <v>1502020</v>
      </c>
      <c r="DL96" s="1520">
        <v>500000</v>
      </c>
      <c r="DM96" s="1896">
        <f t="shared" si="705"/>
        <v>267000</v>
      </c>
      <c r="DN96" s="1897"/>
      <c r="DO96" s="1906"/>
      <c r="DP96" s="1898">
        <f>200000+400000</f>
        <v>600000</v>
      </c>
      <c r="DQ96" s="2481"/>
      <c r="DR96" s="2490"/>
      <c r="DS96" s="2490">
        <v>50000</v>
      </c>
      <c r="DT96" s="1896"/>
      <c r="DU96" s="1899"/>
      <c r="DV96" s="1900"/>
      <c r="DW96" s="1901"/>
      <c r="DX96" s="1901"/>
      <c r="DY96" s="1899"/>
      <c r="DZ96" s="1523">
        <f t="shared" si="664"/>
        <v>1417000</v>
      </c>
      <c r="EA96" s="1942">
        <v>85020</v>
      </c>
      <c r="EB96" s="1520">
        <f t="shared" si="377"/>
        <v>3011396</v>
      </c>
      <c r="EC96" s="627">
        <v>1</v>
      </c>
      <c r="ED96" s="1521">
        <f t="shared" si="20"/>
        <v>3011396</v>
      </c>
      <c r="EE96" s="1908"/>
      <c r="EF96" s="1985"/>
      <c r="EG96" s="1907">
        <v>1355128.2</v>
      </c>
      <c r="EH96" s="1523">
        <f t="shared" ref="EH96:EH114" si="740">+IF(OR(BB96="",EB96=""),"",SUM(EE96:EG96))</f>
        <v>1355128.2</v>
      </c>
      <c r="EI96" s="1900">
        <f>0.05*(ED96+EH96)</f>
        <v>218326.21000000002</v>
      </c>
      <c r="EJ96" s="1901">
        <f>0.1*(ED96+EH96)</f>
        <v>436652.42000000004</v>
      </c>
      <c r="EK96" s="2014">
        <f>0.05*(ED96+EH96)</f>
        <v>218326.21000000002</v>
      </c>
      <c r="EL96" s="1564"/>
      <c r="EM96" s="1900"/>
      <c r="EN96" s="1901"/>
      <c r="EO96" s="2014"/>
      <c r="EP96" s="1523">
        <f t="shared" si="378"/>
        <v>873304.84000000008</v>
      </c>
      <c r="EQ96" s="1523"/>
      <c r="ER96" s="1523"/>
      <c r="ES96" s="1523"/>
      <c r="ET96" s="1523">
        <f>0.15*(ED96+EH96+EP96)</f>
        <v>785974.35600000003</v>
      </c>
      <c r="EU96" s="1522">
        <f>0.02*(EP96+ET96)</f>
        <v>33185.583919999997</v>
      </c>
      <c r="EV96" s="1516">
        <v>19000</v>
      </c>
      <c r="EW96" s="2589"/>
      <c r="EX96" s="2589"/>
      <c r="EY96" s="2696">
        <f>+IF(BB96="","",(IF(ED96="",0,ED96)+IF(EH96="",0,EH96)+IF(EP96="",0,EP96)+IF(ET96="",0,ET96)+IF(EW96="",0,EW96)+IF(EX96="",0,EX96)))</f>
        <v>6025803.3959999997</v>
      </c>
      <c r="EZ96" s="2725"/>
      <c r="FA96" s="1521"/>
      <c r="FB96" s="1503">
        <f t="shared" si="515"/>
        <v>6025803.3959999997</v>
      </c>
      <c r="FC96" s="1488">
        <f t="shared" si="516"/>
        <v>3011396</v>
      </c>
      <c r="FD96" s="2049">
        <f t="shared" si="517"/>
        <v>1499500</v>
      </c>
      <c r="FE96" s="2033">
        <f t="shared" si="509"/>
        <v>0.49794181834604284</v>
      </c>
      <c r="FF96" s="2049">
        <f t="shared" si="518"/>
        <v>1197100</v>
      </c>
      <c r="FG96" s="2033">
        <f t="shared" si="519"/>
        <v>0.39752327491967182</v>
      </c>
      <c r="FH96" s="2049">
        <f t="shared" si="520"/>
        <v>0</v>
      </c>
      <c r="FI96" s="2033">
        <f t="shared" si="510"/>
        <v>0</v>
      </c>
      <c r="FJ96" s="1518">
        <f t="shared" si="521"/>
        <v>2696600</v>
      </c>
      <c r="FK96" s="2033">
        <f t="shared" si="522"/>
        <v>0.89546509326571466</v>
      </c>
      <c r="FL96" s="2629">
        <f t="shared" si="523"/>
        <v>50000</v>
      </c>
      <c r="FM96" s="2033">
        <f t="shared" si="524"/>
        <v>1.6603595143249179E-2</v>
      </c>
      <c r="FN96" s="2049">
        <f t="shared" si="525"/>
        <v>0</v>
      </c>
      <c r="FO96" s="2033">
        <f t="shared" si="526"/>
        <v>0</v>
      </c>
      <c r="FP96" s="2049">
        <f t="shared" si="527"/>
        <v>100000</v>
      </c>
      <c r="FQ96" s="2033">
        <f t="shared" si="528"/>
        <v>3.3207190286498357E-2</v>
      </c>
      <c r="FR96" s="2837">
        <f t="shared" si="529"/>
        <v>2746600</v>
      </c>
      <c r="FS96" s="1804">
        <f t="shared" si="530"/>
        <v>164796</v>
      </c>
      <c r="FT96" s="2061">
        <f t="shared" si="531"/>
        <v>0.06</v>
      </c>
      <c r="FU96" s="2881">
        <f t="shared" si="532"/>
        <v>0</v>
      </c>
      <c r="FV96" s="1715">
        <f t="shared" si="533"/>
        <v>7491.0348258706472</v>
      </c>
      <c r="FW96" s="2087">
        <f t="shared" si="534"/>
        <v>1355128.2</v>
      </c>
      <c r="FX96" s="1741">
        <f t="shared" si="535"/>
        <v>0.45</v>
      </c>
      <c r="FY96" s="2088">
        <f t="shared" si="536"/>
        <v>873304.84000000008</v>
      </c>
      <c r="FZ96" s="1741">
        <f t="shared" si="537"/>
        <v>0.29000000000000004</v>
      </c>
      <c r="GA96" s="1741">
        <f t="shared" si="538"/>
        <v>0.2</v>
      </c>
      <c r="GB96" s="2088">
        <f t="shared" si="539"/>
        <v>785974.35600000003</v>
      </c>
      <c r="GC96" s="1741">
        <f t="shared" si="540"/>
        <v>0.26100000000000001</v>
      </c>
      <c r="GD96" s="1741">
        <f t="shared" si="541"/>
        <v>0.15</v>
      </c>
      <c r="GE96" s="1610">
        <f t="shared" si="542"/>
        <v>6025803.3959999997</v>
      </c>
      <c r="GF96" s="2136">
        <f t="shared" ref="GF96:GF113" si="741">+IF(FB96="","",(IF(FA96="",0,FA96)-IF(EZ96="",0,EZ96))+(IF(EU96="",0,EU96)+IF(EV96="",0,EV96)+(IF(EW96="",0,EW96)+IF(EX96="",0,EX96))/IF(R96="",IF(R95="",R94,R95),R96)+IF(FC96="",0,FC96)+IF(FW96="",0,FW96)+IF(FY96="",0,FY96)+IF(GB96="",0,GB96)))</f>
        <v>6077988.9799199998</v>
      </c>
      <c r="GG96" s="2159">
        <f t="shared" si="544"/>
        <v>-3.3037244051570269E-9</v>
      </c>
      <c r="GH96" s="2505">
        <f t="shared" si="545"/>
        <v>15119.375571940298</v>
      </c>
      <c r="GI96" s="1610">
        <v>1746297</v>
      </c>
      <c r="GJ96" s="1507">
        <v>64961</v>
      </c>
      <c r="GK96" s="3440">
        <f t="shared" si="423"/>
        <v>26.879999999999995</v>
      </c>
      <c r="GL96" s="3249">
        <f t="shared" si="546"/>
        <v>-8.3223010729738644E-5</v>
      </c>
      <c r="GM96" s="1225"/>
      <c r="GN96" s="1224"/>
      <c r="GO96" s="2283">
        <v>20000</v>
      </c>
      <c r="GP96" s="2284">
        <v>163692</v>
      </c>
      <c r="GQ96" s="2331">
        <f t="shared" si="582"/>
        <v>183692</v>
      </c>
      <c r="GR96" s="2327"/>
      <c r="GS96" s="2327"/>
      <c r="GT96" s="1684">
        <v>1562605</v>
      </c>
      <c r="GU96" s="2335">
        <f t="shared" si="547"/>
        <v>1746297</v>
      </c>
      <c r="GV96" s="1133">
        <f t="shared" si="548"/>
        <v>20000</v>
      </c>
      <c r="GW96" s="2243">
        <f t="shared" si="549"/>
        <v>163692</v>
      </c>
      <c r="GX96" s="2213">
        <f t="shared" si="550"/>
        <v>183692</v>
      </c>
      <c r="GY96" s="2218" t="str">
        <f t="shared" si="551"/>
        <v/>
      </c>
      <c r="GZ96" s="2218" t="str">
        <f t="shared" si="552"/>
        <v/>
      </c>
      <c r="HA96" s="1684">
        <f t="shared" si="553"/>
        <v>1562605</v>
      </c>
      <c r="HB96" s="1333">
        <f t="shared" si="432"/>
        <v>1746297</v>
      </c>
      <c r="HC96" s="2364">
        <f t="shared" si="554"/>
        <v>1746297</v>
      </c>
      <c r="HD96" s="2349">
        <f t="shared" si="375"/>
        <v>0</v>
      </c>
      <c r="HE96" s="1225"/>
      <c r="HF96" s="1518">
        <f t="shared" si="555"/>
        <v>64961</v>
      </c>
      <c r="HG96" s="1224">
        <f>+IF(OR(HC96="",$CL96=""),"",HC96/$CL96)</f>
        <v>88694.542889390519</v>
      </c>
      <c r="HH96" s="2981">
        <f>+IF(BF96="","",VALUE(LEFT(BF96,1)))</f>
        <v>2</v>
      </c>
      <c r="HI96" s="2927">
        <f>+IF(FR96="","",FR96)</f>
        <v>2746600</v>
      </c>
      <c r="HJ96" s="2069">
        <f>+IF(FP96="","",FP96)</f>
        <v>100000</v>
      </c>
      <c r="HK96" s="2069">
        <f>+IF(FN96="","",FN96)</f>
        <v>0</v>
      </c>
      <c r="HL96" s="2069">
        <f>+IF(FR96="","",IF(HH96="","",IF(HH96=4,FS96,IF(HH96=3,FS96,IF(HH96=2,$HL$7*HI96,IF(HH96=1,$HL$6*HI96,""))))))</f>
        <v>164796</v>
      </c>
      <c r="HM96" s="2934">
        <f>IF(FR96="","",SUM(HI96:HL96))</f>
        <v>3011396</v>
      </c>
      <c r="HN96" s="2911">
        <f t="shared" si="347"/>
        <v>7491.0348258706472</v>
      </c>
      <c r="HO96" s="1806">
        <f>+IF(FR96="","",IF(HH96="","",IF(HH96=4,FW96,IF(HH96=3,FW96,IF(HH96=2,$HO$7*HM96,IF(HH96=1,$HO$6*HM96,""))))))</f>
        <v>1355128.2</v>
      </c>
      <c r="HP96" s="2069">
        <f>+IF(FR96="","",IF(HH96="","",IF(HH96=4,FY96,IF(HH96=3,FY96,IF(HH96=2,$HP$7*(HM96+HO96),IF(HH96=1,$HP$6*HM96,""))))))</f>
        <v>873304.84000000008</v>
      </c>
      <c r="HQ96" s="3010" t="str">
        <f t="shared" si="556"/>
        <v/>
      </c>
      <c r="HR96" s="1805">
        <f t="shared" si="557"/>
        <v>785974.35600000003</v>
      </c>
      <c r="HS96" s="1805">
        <f t="shared" si="558"/>
        <v>785974.35600000003</v>
      </c>
      <c r="HT96" s="2955">
        <f>+IF(FR96="","",IF(HH96="","",IF(HH96=2,$HT$7*(HP96+HR96),"")))</f>
        <v>33185.583919999997</v>
      </c>
      <c r="HU96" s="2956">
        <f>+IF(FR96="","",IF(HH96="","",IF(HH96=2,$HU$7*(HP96+HR96),"")))</f>
        <v>0</v>
      </c>
      <c r="HV96" s="2955" t="str">
        <f t="shared" si="559"/>
        <v/>
      </c>
      <c r="HW96" s="2956" t="str">
        <f t="shared" si="560"/>
        <v/>
      </c>
      <c r="HX96" s="2909">
        <f t="shared" si="199"/>
        <v>6058988.9799199998</v>
      </c>
      <c r="HY96" s="2931" t="str">
        <f t="shared" si="561"/>
        <v/>
      </c>
      <c r="HZ96" s="2956" t="str">
        <f t="shared" si="562"/>
        <v/>
      </c>
      <c r="IA96" s="1488">
        <f t="shared" si="563"/>
        <v>6058988.9799199998</v>
      </c>
      <c r="IB96" s="3040" t="str">
        <f t="shared" si="564"/>
        <v>stk added + 0%</v>
      </c>
      <c r="IC96" s="3045">
        <f t="shared" si="706"/>
        <v>15072.111890348258</v>
      </c>
      <c r="ID96" s="1204"/>
      <c r="IE96" s="4097"/>
      <c r="IF96" s="2909">
        <f t="shared" si="583"/>
        <v>20000</v>
      </c>
      <c r="IG96" s="6766">
        <f>+IF(IF96="","",(IF96/IF(AO96="",IF(AO95="",IF(AO94="",AO93,AO94),AO95),AO96)))</f>
        <v>86.523902227990476</v>
      </c>
      <c r="IH96" s="4164">
        <f t="shared" si="584"/>
        <v>163692</v>
      </c>
      <c r="II96" s="6800">
        <f>+IH96/IF(AQ96="",IF(AQ95="",IF(AQ94="",AQ93,AQ94),AQ95),AQ96)</f>
        <v>0.36535538518196126</v>
      </c>
      <c r="IJ96" s="4165">
        <f t="shared" si="585"/>
        <v>183692</v>
      </c>
      <c r="IK96" s="4127">
        <v>0</v>
      </c>
      <c r="IL96" s="2069">
        <f t="shared" ref="IL96:IL98" si="742">+IF(IF96="","",IK96*$IL$8*IF96)</f>
        <v>0</v>
      </c>
      <c r="IM96" s="1805">
        <f t="shared" ref="IM96:IM98" si="743">IF(HM96="","",IK96*$IM$8*IA96)</f>
        <v>0</v>
      </c>
      <c r="IN96" s="4225" t="str">
        <f t="shared" si="588"/>
        <v/>
      </c>
      <c r="IO96" s="4225">
        <f t="shared" si="589"/>
        <v>183692</v>
      </c>
      <c r="IP96" s="4225">
        <f t="shared" ref="IP96:IP98" si="744">+IF(BB96="","",IF(IJ96="","",IJ96/IF(R96="",IF(R95="",IF(R94="",R93,R94),R95),R96)))</f>
        <v>183692</v>
      </c>
      <c r="IQ96" s="6839">
        <f t="shared" ref="IQ96:IQ98" si="745">+IF(IP96="","",IP96/IX96)</f>
        <v>0.28784110040745459</v>
      </c>
      <c r="IR96" s="4225" t="str">
        <f t="shared" ref="IR96:IR98" si="746">+IF(BB96="","",IF(IN96="","",IN96/IF(R96="",IF(R95="",IF(R94="",R93,R94),R95),R96)))</f>
        <v/>
      </c>
      <c r="IS96" s="6839" t="str">
        <f t="shared" ref="IS96:IS98" si="747">+IF(IR96="","",IR96/IX96)</f>
        <v/>
      </c>
      <c r="IT96" s="4225">
        <f t="shared" si="594"/>
        <v>183692</v>
      </c>
      <c r="IU96" s="6839">
        <f t="shared" si="595"/>
        <v>0.28784110040745459</v>
      </c>
      <c r="IV96" s="4127">
        <f t="shared" ref="IV96:IV98" si="748">+IF(D96="","",IF(IF(V96="",IF(V95="",IF(V94="",V93,V94),V95),V96)="Utility Boiler",2,1))</f>
        <v>2</v>
      </c>
      <c r="IW96" s="1805">
        <f t="shared" ref="IW96:IW98" si="749">IF(IA96="","",IF(IV96=1,$IW$5,IF(IV96=2,$IW$8,""))*IA96)</f>
        <v>454479.54582849384</v>
      </c>
      <c r="IX96" s="4189">
        <f t="shared" si="597"/>
        <v>638171.54582849378</v>
      </c>
      <c r="IY96" s="4244">
        <f t="shared" si="598"/>
        <v>1746297</v>
      </c>
      <c r="IZ96" s="4274">
        <f t="shared" si="599"/>
        <v>0.63455726842083915</v>
      </c>
      <c r="JA96" s="4275" t="str">
        <f t="shared" ref="JA96:JA98" si="750">+IF(BB96="","",IF(ISERROR(IY96-IX96),"",IF((IY96-IX96)&gt;0,"stk added + "&amp;ROUND((IY96-IX96)/IY96*100,0)&amp;"%",IF(IY96=IX96,"same TAC",(IY96-IX96)/IY96))))</f>
        <v>stk added + 63%</v>
      </c>
      <c r="JB96" s="1205"/>
      <c r="JC96" s="4322"/>
      <c r="JD96" s="1518">
        <f t="shared" si="570"/>
        <v>23741.500960881469</v>
      </c>
      <c r="JE96" s="4357">
        <f t="shared" si="571"/>
        <v>32412.776029663903</v>
      </c>
      <c r="JF96" s="7028">
        <f>+IF(D96="","",IF(T96="",IF(T95="",T94/IF(Y94="TP",2,1),T95/IF(Y95="TP",2,1)),T96/IF(Y96="TP",2,1)))</f>
        <v>402</v>
      </c>
      <c r="JG96" s="2069" t="s">
        <v>1333</v>
      </c>
      <c r="JH96" s="6959">
        <f>+IF(D96="","",IF(HX96="","",HX96))</f>
        <v>6058988.9799199998</v>
      </c>
      <c r="JI96" s="6959">
        <f>+JH96</f>
        <v>6058988.9799199998</v>
      </c>
      <c r="JJ96" s="6959"/>
      <c r="JK96" s="6959"/>
      <c r="JL96" s="6996"/>
      <c r="JM96" s="1804" t="str">
        <f t="shared" ref="JM96:JM98" si="751">+IF(D96="","",IF(JG96="SCR",(JF96*49700+459000),IF(JG96="HPWI",(0.0353*JF96+0.2915)*(10^6),"N/A")))</f>
        <v>N/A</v>
      </c>
      <c r="JN96" s="2069" t="str">
        <f t="shared" si="637"/>
        <v/>
      </c>
      <c r="JO96" s="2069">
        <f t="shared" si="717"/>
        <v>6058988.9799199998</v>
      </c>
      <c r="JP96" s="3010"/>
      <c r="JQ96" s="3010"/>
      <c r="JR96" s="2069"/>
      <c r="JS96" s="1805">
        <f>+IF(D96="","",SUM(JO96:JR96))</f>
        <v>6058988.9799199998</v>
      </c>
      <c r="JT96" s="7130">
        <f t="shared" si="476"/>
        <v>2</v>
      </c>
      <c r="JU96" s="7131">
        <f t="shared" ref="JU96:JU98" si="752">+IF(D96="","",IF(AV96="",IF(AV95="",IF(AV94="","",AV94),AV95),AV96))</f>
        <v>376</v>
      </c>
      <c r="JV96" s="8366">
        <f t="shared" ref="JV96:JV98" si="753">+IF(D96="","",IF(AW96="",IF(AW95="",IF(AW94="","",AW94),AW95),AW96))</f>
        <v>608716</v>
      </c>
      <c r="JW96" s="8393">
        <f t="shared" si="682"/>
        <v>19.68888888888889</v>
      </c>
      <c r="JX96" s="8422">
        <f t="shared" ref="JX96:JX98" si="754">+IF(OR(D96="",JU96=""),"",IF(JT96=2,24000/JU96,""))</f>
        <v>63.829787234042556</v>
      </c>
      <c r="JY96" s="8457">
        <f t="shared" ref="JY96:JY104" si="755">+IF(D96="","",IF(JT96=2,($JY$8*(1+$JY$8)^JX96)/((1+$JY$8)^JX96-1),""))</f>
        <v>7.0944844993914208E-2</v>
      </c>
      <c r="JZ96" s="7132">
        <f t="shared" ref="JZ96:JZ98" si="756">+IF(OR(D96="",JU96="",ISERROR(JF96)),"",IF(JT96=2,JF96*6180/83,""))</f>
        <v>29932.048192771083</v>
      </c>
      <c r="KA96" s="7130" t="str">
        <f t="shared" ref="KA96:KA98" si="757">+IF(OR(D96="",JV96=""),"",IF(JT96=1,JV96*10^6/$KA$8/JU96,""))</f>
        <v/>
      </c>
      <c r="KB96" s="7131" t="str">
        <f t="shared" ref="KB96:KB98" si="758">+IF(OR(D96="",KA96=""),"",IF(JT96=1,KA96*$KB$8,""))</f>
        <v/>
      </c>
      <c r="KC96" s="7132" t="str">
        <f t="shared" ref="KC96:KC98" si="759">+IF(OR(D96="",KB96=""),"",IF(JT96=1,KB96*7.48/62.4/60,""))</f>
        <v/>
      </c>
      <c r="KD96" s="7130">
        <f t="shared" ref="KD96:KD98" si="760">+IF(OR(D96="",JV96=""),"",IF(JT96=1,$KD$5*JU96*$KD$6/1000,$KD$7*JU96*$KD$8/1000))</f>
        <v>15958.944</v>
      </c>
      <c r="KE96" s="8330">
        <f t="shared" ref="KE96:KE98" si="761">+IF(OR(D96="",JW96="",JW96=0),"",IF(JT96=2,JW96*$KE$8*$KG$4,""))</f>
        <v>12262.24</v>
      </c>
      <c r="KF96" s="8330">
        <f t="shared" ref="KF96:KF98" si="762">+IF(OR(D96="",JW96="",JW96=0),"",IF(JT96=2,JW96*(0.95/0.05)*(18/17)*($KF$8/1000)*(2000)*$KG$4,""))</f>
        <v>8222.9138823529411</v>
      </c>
      <c r="KG96" s="7131">
        <f t="shared" ref="KG96:KG98" si="763">+IF(D96="","",IF(JT96=1,$KG$2*KC96/1000*60*JU96*$KG$4*$KG$6,IF(OR(JZ96="",JY96=""),"",JZ96*$KG$8*JY96*$KG$4)))</f>
        <v>55105.461278080045</v>
      </c>
      <c r="KH96" s="7131">
        <f>IF(D96="","",IF(JT96=2,0.005*JF96*$KD$6/1000*1000*JU96,""))</f>
        <v>293355.80160000006</v>
      </c>
      <c r="KI96" s="7131">
        <f>IF(D96="","",IF(JT96=2,0.1*0.005*JF96*$KD$6/1000*1000*JU96,""))</f>
        <v>29335.580160000001</v>
      </c>
      <c r="KJ96" s="7131">
        <f t="shared" ref="KJ96:KJ98" si="764">+IF(OR(D96="",JU96="",JV96=""),"",IF(JT96=1,KD96+KG96,KD96+KE96+KF96+KG96+KH96+KI96))</f>
        <v>414240.94092043303</v>
      </c>
      <c r="KK96" s="7131">
        <f>+IF(OR(D96="",JU96="",JV96=""),"",$KK$7*$KG$4*JU96)</f>
        <v>39445.107199999999</v>
      </c>
      <c r="KL96" s="7131">
        <f t="shared" ref="KL96:KL98" si="765">+IF(OR(D96="",JU96="",JV96="",JS96=""),"",IF(JT96=1,$KL$7*JS96*JU96/$KL$8,$KL$7*IF(JN96="",JS96,JN96)*JU96/$KL$8))</f>
        <v>8543.1744616872002</v>
      </c>
      <c r="KM96" s="7131">
        <f t="shared" ref="KM96:KM98" si="766">+IF(D96="","",IF(KK96="",0,KK96)+IF(KL96="",0,KL96))</f>
        <v>47988.281661687201</v>
      </c>
      <c r="KN96" s="7131" t="str">
        <f>+IF(D96="","",IF(JX96&lt;41,$KN$8*JZ96*JY96,""))</f>
        <v/>
      </c>
      <c r="KO96" s="7131">
        <f t="shared" ref="KO96:KO98" si="767">+IF(OR(D96="",JU96="",JV96=""),"",IF(KM96="",0,KM96)+IF(KN96="",0,KN96))</f>
        <v>47988.281661687201</v>
      </c>
      <c r="KP96" s="7132">
        <f t="shared" ref="KP96:KP98" si="768">+IF(OR(D96="",JU96="",JV96=""),"",IF(KJ96="",0,KJ96)+IF(KO96="",0,KO96))</f>
        <v>462229.22258212022</v>
      </c>
      <c r="KQ96" s="1806">
        <f>+IF(D96="","",VLOOKUP(MATCH(BE96,ac_id,0),ad,ac!$F$8,FALSE)*JV96)</f>
        <v>182614.8</v>
      </c>
      <c r="KR96" s="3010">
        <f>+IF(D96="","",IF(JT96=1,VLOOKUP(MATCH(BE96,ac_id,0),ad,ac!$H$8,FALSE)*JU96, (VLOOKUP(MATCH(BE96,ac_id,0),ad,ac!$H$8,FALSE)*JU96^(1+VLOOKUP(MATCH(BE96,ac_id,0),ad,ac!$I$8,FALSE)))))</f>
        <v>20329.103593470911</v>
      </c>
      <c r="KS96" s="1805">
        <f t="shared" ref="KS96:KS101" si="769">+IF(D96="","",KQ96+KR96)</f>
        <v>202943.9035934709</v>
      </c>
      <c r="KT96" s="1806">
        <f t="shared" ref="KT96:KT98" si="770">+IF(D96="","",IF(KK96="","",$KT$26*KM96))</f>
        <v>28792.968997012318</v>
      </c>
      <c r="KU96" s="2069">
        <f t="shared" ref="KU96:KU98" si="771">+IF(D96="","",IF(JS96="","",$KU$26*IF(JN96="",JS96,JN96)))</f>
        <v>242359.55919679999</v>
      </c>
      <c r="KV96" s="7374">
        <f t="shared" si="667"/>
        <v>2</v>
      </c>
      <c r="KW96" s="7280">
        <f t="shared" ref="KW96:KW98" si="772">IF(JS96="","",IF(KV96=1,$KW$5,IF(KV96=2,$KW$8,""))*JS96)</f>
        <v>454479.54582849384</v>
      </c>
      <c r="KX96" s="1805">
        <f t="shared" ref="KX96:KX98" si="773">+IF(D96="","",IF(KW96="","",IF(KT96="",0,KT96)+IF(KU96="",0,KU96)+KW96))</f>
        <v>725632.07402230613</v>
      </c>
      <c r="KY96" s="2505">
        <f t="shared" ref="KY96:KY98" si="774">+IF(D96="","",IF(KX96="","",IF(KP96="",0,KP96)+KX96))</f>
        <v>1187861.2966044263</v>
      </c>
      <c r="KZ96" s="7375"/>
      <c r="LA96" s="7280">
        <f t="shared" si="668"/>
        <v>44191.268474867058</v>
      </c>
      <c r="LB96" s="7291">
        <f t="shared" si="669"/>
        <v>60331.555696613075</v>
      </c>
      <c r="LC96" s="5133"/>
      <c r="LD96" s="5132"/>
      <c r="LE96" s="5132"/>
      <c r="LF96" s="5132"/>
      <c r="LG96" s="5132"/>
      <c r="LH96" s="5132"/>
      <c r="LI96" s="5132"/>
      <c r="LJ96" s="5132"/>
    </row>
    <row r="97" spans="1:322" s="717" customFormat="1" ht="27.95" customHeight="1">
      <c r="A97" s="10539"/>
      <c r="B97" s="10521" t="str">
        <f>+IF(A97="","",VLOOKUP(MATCH(A97,tid,0),tao,'12(id)'!$J$20,FALSE))</f>
        <v/>
      </c>
      <c r="C97" s="10549"/>
      <c r="D97" s="1127" t="str">
        <f t="shared" si="48"/>
        <v>8306-05-02</v>
      </c>
      <c r="E97" s="730" t="str">
        <f>+IF(BD97="","",BD97)</f>
        <v>Selective Catalytic Reduction (SCR) with ID fans</v>
      </c>
      <c r="F97" s="730" t="str">
        <f t="shared" si="49"/>
        <v>SCR</v>
      </c>
      <c r="G97" s="5133"/>
      <c r="H97" s="5132"/>
      <c r="I97" s="5133"/>
      <c r="J97" s="719">
        <f t="shared" si="68"/>
        <v>63</v>
      </c>
      <c r="K97" s="10559"/>
      <c r="L97" s="9721"/>
      <c r="M97" s="9718"/>
      <c r="N97" s="9699"/>
      <c r="O97" s="9518"/>
      <c r="P97" s="9520"/>
      <c r="Q97" s="9680" t="str">
        <f>+IF(ISERROR(MATCH(O97,tid,0)),"",VLOOKUP(MATCH(O97,tid,0),tao,'12(id)'!$Q$20,FALSE))</f>
        <v/>
      </c>
      <c r="R97" s="10183"/>
      <c r="S97" s="9680"/>
      <c r="T97" s="10526" t="str">
        <f>+IF(ISERROR(MATCH(O97,tid,0)),"",IF(VLOOKUP(MATCH(O97,tid,0),tao,'12(id)'!$CT$20,FALSE)="","",VLOOKUP(MATCH(O97,tid,0),tao,'12(id)'!$CT$20,FALSE)))</f>
        <v/>
      </c>
      <c r="U97" s="10529" t="str">
        <f>+IF(ISERROR(MATCH(O97,tid,0)),"",IF(VLOOKUP(MATCH(O97,tid,0),tao,'12(id)'!$CU$20,FALSE)="","",VLOOKUP(MATCH(O97,tid,0),tao,'12(id)'!$CU$20,FALSE)))</f>
        <v/>
      </c>
      <c r="V97" s="9504" t="str">
        <f>+IF(O97="","",IF(VLOOKUP(MATCH(O97,tid,0),tao,'12(id)'!$T$20,FALSE)="","",VLOOKUP(MATCH(O97,tid,0),tao,'12(id)'!$T$20,FALSE)))</f>
        <v/>
      </c>
      <c r="W97" s="9504" t="str">
        <f>+IF(ISERROR(MATCH(O97,tid,0)),"",IF(VLOOKUP(MATCH(O97,tid,0),tao,'12(id)'!$CO$20,FALSE)="","",VLOOKUP(MATCH(O97,tid,0),tao,'12(id)'!$CO$20,FALSE)))</f>
        <v/>
      </c>
      <c r="X97" s="9504" t="str">
        <f>+IF(ISERROR(MATCH(O97,tid,0)),"",IF(VLOOKUP(MATCH(O97,tid,0),tao,'12(id)'!$CP$20,FALSE)="","",VLOOKUP(MATCH(O97,tid,0),tao,'12(id)'!$CP$20,FALSE)))</f>
        <v/>
      </c>
      <c r="Y97" s="8553" t="str">
        <f>+IF(ISERROR(MATCH(O97,tid,0)),"",IF(VLOOKUP(MATCH(O97,tid,0),tao,'12(id)'!$CQ$20,FALSE)="","",VLOOKUP(MATCH(O97,tid,0),tao,'12(id)'!$CQ$20,FALSE)))</f>
        <v/>
      </c>
      <c r="Z97" s="9518" t="str">
        <f>+IF(ISERROR(MATCH(O97,tid,0)),"",VLOOKUP(MATCH(O97,tid,0),tao,'12(id)'!$DB$20,FALSE)&amp;" "&amp;VLOOKUP(MATCH(O97,tid,0),tao,'12(id)'!$DC$20,FALSE))</f>
        <v/>
      </c>
      <c r="AA97" s="9518" t="str">
        <f>+IF(ISERROR(MATCH(O97,tid,0)),"",IF(VLOOKUP(MATCH(O97,tid,0),tao,'12(id)'!$DE$20,FALSE)="","",ROUND(VLOOKUP(MATCH(O97,tid,0),tao,'12(id)'!$DE$20,FALSE),0)&amp;" yrs"))</f>
        <v/>
      </c>
      <c r="AB97" s="9648" t="str">
        <f>+IF(ISERROR(MATCH(O97,tid,0)),"",VLOOKUP(MATCH(O97,tid,0),tao,'12(id)'!$DI$20,FALSE))</f>
        <v/>
      </c>
      <c r="AC97" s="9648" t="str">
        <f>+IF(ISERROR(MATCH(O97,tid,0)),"",IF(VLOOKUP(MATCH(O97,tid,0),tao,'12(id)'!$DQ$20,FALSE)="","",VLOOKUP(MATCH(O97,tid,0),tao,'12(id)'!$DQ$20,FALSE)))</f>
        <v/>
      </c>
      <c r="AD97" s="10412" t="str">
        <f>+IF(ISERROR(MATCH(O97,tid,0)),"",IF(VLOOKUP(MATCH(O97,tid,0),tao,'12(id)'!$EI$20,FALSE)="","",VLOOKUP(MATCH(O97,tid,0),tao,'12(id)'!$EI$20,FALSE)))</f>
        <v/>
      </c>
      <c r="AE97" s="10412" t="str">
        <f>+IF(ISERROR(MATCH(O97,tid,0)),"",IF(VLOOKUP(MATCH(O97,tid,0),tao,'12(id)'!$EJ$20,FALSE)="","",VLOOKUP(MATCH(O97,tid,0),tao,'12(id)'!$EJ$20,FALSE)))</f>
        <v/>
      </c>
      <c r="AF97" s="10412" t="str">
        <f>+IF(ISERROR(MATCH(O97,tid,0)),"",IF(VLOOKUP(MATCH(O97,tid,0),tao,'12(id)'!$EL$20,FALSE)="","",VLOOKUP(MATCH(O97,tid,0),tao,'12(id)'!$EL$20,FALSE)))</f>
        <v/>
      </c>
      <c r="AG97" s="10409" t="str">
        <f>+IF(ISERROR(MATCH(O97,tid,0)),"",IF(VLOOKUP(MATCH(O97,tid,0),tao,'12(id)'!$EM$20,FALSE)="","",VLOOKUP(MATCH(O97,tid,0),tao,'12(id)'!$EM$20,FALSE)))</f>
        <v/>
      </c>
      <c r="AH97" s="10439"/>
      <c r="AI97" s="10441"/>
      <c r="AJ97" s="10441"/>
      <c r="AK97" s="10441"/>
      <c r="AL97" s="10441"/>
      <c r="AM97" s="10432"/>
      <c r="AN97" s="10422"/>
      <c r="AO97" s="10425" t="str">
        <f>+IF(ISERROR(MATCH(O97,tid,0)),"",IF(VLOOKUP(MATCH(O97,tid,0),tao,'12(id)'!$GY$20,FALSE)="","",VLOOKUP(MATCH(O97,tid,0),tao,'12(id)'!$GY$20,FALSE)))</f>
        <v/>
      </c>
      <c r="AP97" s="10378" t="e">
        <f>+IF($BB97="","",IF(VLOOKUP(MATCH(O97,tid,0),tao,'12(id)'!$HE$20,FALSE)="","",VLOOKUP(MATCH(O97,tid,0),tao,'12(id)'!$HE$20,FALSE)))</f>
        <v>#N/A</v>
      </c>
      <c r="AQ97" s="10406" t="str">
        <f>+IF(ISERROR(VLOOKUP(MATCH(O97,tid,0),tao,'12(id)'!$HF$20,FALSE)),"",VLOOKUP(MATCH(O97,tid,0),tao,'12(id)'!$HF$20,FALSE))</f>
        <v/>
      </c>
      <c r="AR97" s="10417" t="str">
        <f>+IF(ISERROR(MATCH(O97,tid,0)),"",IF(VLOOKUP(MATCH(O97,tid,0),tao,'12(id)'!$HJ$20,FALSE)="","",VLOOKUP(MATCH(O97,tid,0),tao,'12(id)'!$HJ$20,FALSE)))</f>
        <v/>
      </c>
      <c r="AS97" s="10419" t="str">
        <f>+IF(ISERROR(MATCH(O97,tid,0)),"",IF(VLOOKUP(MATCH(O97,tid,0),tao,'12(id)'!$HK$20,FALSE)="","",VLOOKUP(MATCH(O97,tid,0),tao,'12(id)'!$HK$20,FALSE)))</f>
        <v/>
      </c>
      <c r="AT97" s="10466" t="str">
        <f>+IF(ISERROR(MATCH(O97,tid,0)),"",IF(VLOOKUP(MATCH(O97,tid,0),tao,'12(id)'!$HM$20,FALSE)="","",VLOOKUP(MATCH(O97,tid,0),tao,'12(id)'!$HM$20,FALSE)))</f>
        <v/>
      </c>
      <c r="AU97" s="10471"/>
      <c r="AV97" s="10473" t="str">
        <f>+IF(ISERROR(MATCH(O97,em_id,0)),"",IF(VLOOKUP(MATCH(O97,em_id,0),em,'5(em)'!$CX$18,FALSE)="","",VLOOKUP(MATCH(O97,em_id,0),em,'5(em)'!$CX$18,FALSE)))</f>
        <v/>
      </c>
      <c r="AW97" s="10489" t="str">
        <f>+IF(ISERROR(MATCH(O97,em_id,0)),"",IF(VLOOKUP(MATCH(O97,em_id,0),em,'5(em)'!$CZ$18,FALSE)="","",VLOOKUP(MATCH(O97,em_id,0),em,'5(em)'!$CZ$18,FALSE)))</f>
        <v/>
      </c>
      <c r="AX97" s="10478" t="str">
        <f t="shared" si="50"/>
        <v/>
      </c>
      <c r="AY97" s="10480"/>
      <c r="AZ97" s="10482" t="str">
        <f>+IF(ISERROR(MATCH(O97,em_id,0)),"",IF(VLOOKUP(MATCH(O97,em_id,0),em,'5(em)'!$DA$18,FALSE)="","",VLOOKUP(MATCH(O97,em_id,0),em,'5(em)'!$DA$18,FALSE)))</f>
        <v/>
      </c>
      <c r="BA97" s="741"/>
      <c r="BB97" s="742" t="str">
        <f t="shared" si="703"/>
        <v>8306-05-02</v>
      </c>
      <c r="BC97" s="743">
        <v>2</v>
      </c>
      <c r="BD97" s="730" t="str">
        <f>+IF(OR(D97="",VLOOKUP(MATCH(D97,op_id,0),op,'7(op)'!$T$18,FALSE)=""),"",VLOOKUP(MATCH(D97,op_id,0),op,'7(op)'!$T$18,FALSE))</f>
        <v>Selective Catalytic Reduction (SCR) with ID fans</v>
      </c>
      <c r="BE97" s="730" t="s">
        <v>1093</v>
      </c>
      <c r="BF97" s="730" t="s">
        <v>1862</v>
      </c>
      <c r="BG97" s="744"/>
      <c r="BH97" s="748"/>
      <c r="BI97" s="749"/>
      <c r="BJ97" s="750"/>
      <c r="BK97" s="750"/>
      <c r="BL97" s="750"/>
      <c r="BM97" s="750"/>
      <c r="BN97" s="750" t="str">
        <f t="shared" si="12"/>
        <v/>
      </c>
      <c r="BO97" s="750" t="str">
        <f t="shared" si="13"/>
        <v/>
      </c>
      <c r="BP97" s="750" t="str">
        <f t="shared" si="14"/>
        <v/>
      </c>
      <c r="BQ97" s="750" t="str">
        <f t="shared" si="15"/>
        <v/>
      </c>
      <c r="BR97" s="751"/>
      <c r="BS97" s="2382" t="s">
        <v>559</v>
      </c>
      <c r="BT97" s="7905"/>
      <c r="BU97" s="3714">
        <f>+IF(BB97="","",IF(VLOOKUP(MATCH(BB97,ef_id,0),ef,'11(eff)'!$Z$23,FALSE)="","",VLOOKUP(MATCH(BB97,ef_id,0),ef,'11(eff)'!$Z$23,FALSE)))</f>
        <v>0.1</v>
      </c>
      <c r="BV97" s="3759" t="str">
        <f>+IF(BB97="","",IF(VLOOKUP(MATCH(BB97,ef_id,0),ef,'11(eff)'!$AA$23,FALSE)="","",VLOOKUP(MATCH(BB97,ef_id,0),ef,'11(eff)'!$AA$23,FALSE)))</f>
        <v/>
      </c>
      <c r="BW97" s="3781">
        <v>22.4</v>
      </c>
      <c r="BX97" s="3802">
        <f t="shared" si="511"/>
        <v>22.4</v>
      </c>
      <c r="BY97" s="3821">
        <f t="shared" si="512"/>
        <v>22.40175</v>
      </c>
      <c r="BZ97" s="3400"/>
      <c r="CA97" s="3425"/>
      <c r="CB97" s="3853">
        <f t="shared" si="382"/>
        <v>38.08</v>
      </c>
      <c r="CC97" s="3874">
        <f t="shared" si="513"/>
        <v>0.62962962962962965</v>
      </c>
      <c r="CD97" s="3873">
        <f t="shared" si="514"/>
        <v>0.62962962962962965</v>
      </c>
      <c r="CE97" s="2377">
        <f>+IF(BB97="","",IF(VLOOKUP(MATCH(BB97,ef_id,0),ef,'11(eff)'!$AE$23,FALSE)="","",VLOOKUP(MATCH(BB97,ef_id,0),ef,'11(eff)'!$AE$23,FALSE)))</f>
        <v>0.9</v>
      </c>
      <c r="CF97" s="752"/>
      <c r="CG97" s="753"/>
      <c r="CH97" s="2415"/>
      <c r="CI97" s="3911">
        <f t="shared" si="628"/>
        <v>1.4555227725244608E-2</v>
      </c>
      <c r="CJ97" s="4069" t="str">
        <f>+IF(AY96="","",AY96*(1-CO97))</f>
        <v/>
      </c>
      <c r="CK97" s="3911">
        <f>+IF($BB97="","",IF(CI97="",IF($AZ97="",IF($AZ96="",$AZ95,$AZ96),$AZ97)-CL97,IF(OR(IF($AW97="",IF($AW96="",$AW95,$AW96),$AW97)="",CI97=""),"",CI97/2000*IF($AW97="",IF($AW96="",$AW95,$AW96),$AW97))))</f>
        <v>4.4299999999999988</v>
      </c>
      <c r="CL97" s="4001">
        <f>+IF($BB97="","",IF(CI97="",CO97*IF($AZ97="",IF($AZ96="",$AZ95,$AZ96),$AZ97),IF(CK97="","",IF($AZ97="",IF($AZ96="",$AZ95,$AZ96),$AZ97)-CK97)))</f>
        <v>39.869999999999997</v>
      </c>
      <c r="CM97" s="4002">
        <f>+IF($BB97="","",IF(CL97="","",CL97/IF($AZ97="",IF($AZ96="",$AZ95,$AZ96),$AZ97)))</f>
        <v>0.9</v>
      </c>
      <c r="CN97" s="4002">
        <f>+IF($BB97="","",IF(CI97="","",(1-CI97/IF($AX97="",IF($AX96="",$AX95,$AX96),$AX97))))</f>
        <v>0.90296514849836929</v>
      </c>
      <c r="CO97" s="4003">
        <f>+IF(BB97="","",IF(VLOOKUP(MATCH(BB97,ef_id,0),ef,'11(eff)'!$AE$23,FALSE)="","",VLOOKUP(MATCH(BB97,ef_id,0),ef,'11(eff)'!$AE$23,FALSE)))</f>
        <v>0.9</v>
      </c>
      <c r="CP97" s="4004">
        <f>+IF(OR(BB97="",VLOOKUP(MATCH(BB97,ef_id,0),ef,'11(eff)'!$AG$23,FALSE)=""),"",IF(VLOOKUP(MATCH(BB97,ef_id,0),ef,'11(eff)'!$AG$23,FALSE)/100=VLOOKUP(MATCH(BB97,ef_id,0),ef,'11(eff)'!$AE$23,FALSE),VLOOKUP(MATCH(BB97,ef_id,0),ef,'11(eff)'!$AE$23,FALSE),""))</f>
        <v>0.9</v>
      </c>
      <c r="CQ97" s="752" t="str">
        <f t="shared" si="51"/>
        <v>Selective Catalytic Reduction (SCR) with ID fans</v>
      </c>
      <c r="CR97" s="754"/>
      <c r="CS97" s="2764">
        <v>145353267</v>
      </c>
      <c r="CT97" s="1590">
        <v>48186953</v>
      </c>
      <c r="CU97" s="1089">
        <v>28013121</v>
      </c>
      <c r="CV97" s="1868">
        <f t="shared" si="704"/>
        <v>12971822</v>
      </c>
      <c r="CW97" s="1869">
        <f>1310229+407394+590961</f>
        <v>2308584</v>
      </c>
      <c r="CX97" s="1869">
        <f>1184506+530766</f>
        <v>1715272</v>
      </c>
      <c r="CY97" s="1092"/>
      <c r="CZ97" s="2477">
        <f>1067898+163372+200000</f>
        <v>1431270</v>
      </c>
      <c r="DA97" s="2487"/>
      <c r="DB97" s="2487">
        <v>1746884</v>
      </c>
      <c r="DC97" s="1868"/>
      <c r="DD97" s="1902"/>
      <c r="DE97" s="1903"/>
      <c r="DF97" s="1904"/>
      <c r="DG97" s="1904"/>
      <c r="DH97" s="1902"/>
      <c r="DI97" s="1088">
        <f>+IF(CT97="","",SUM(CU97:DC97)+SUM(DE97:DF97))</f>
        <v>48186953</v>
      </c>
      <c r="DJ97" s="1943"/>
      <c r="DK97" s="1590"/>
      <c r="DL97" s="1089"/>
      <c r="DM97" s="1868" t="str">
        <f t="shared" si="705"/>
        <v/>
      </c>
      <c r="DN97" s="1869"/>
      <c r="DO97" s="1869"/>
      <c r="DP97" s="1092"/>
      <c r="DQ97" s="2477"/>
      <c r="DR97" s="2487"/>
      <c r="DS97" s="2487"/>
      <c r="DT97" s="1868"/>
      <c r="DU97" s="1902"/>
      <c r="DV97" s="1903"/>
      <c r="DW97" s="1904"/>
      <c r="DX97" s="1904"/>
      <c r="DY97" s="1902"/>
      <c r="DZ97" s="1088" t="str">
        <f t="shared" si="664"/>
        <v/>
      </c>
      <c r="EA97" s="1943"/>
      <c r="EB97" s="1089">
        <f t="shared" si="377"/>
        <v>48186953</v>
      </c>
      <c r="EC97" s="1967">
        <v>1</v>
      </c>
      <c r="ED97" s="1087">
        <f t="shared" si="20"/>
        <v>48186953</v>
      </c>
      <c r="EE97" s="1870">
        <v>636052</v>
      </c>
      <c r="EF97" s="1734">
        <v>61600978</v>
      </c>
      <c r="EG97" s="1092"/>
      <c r="EH97" s="1088">
        <f t="shared" si="740"/>
        <v>62237030</v>
      </c>
      <c r="EI97" s="1903"/>
      <c r="EJ97" s="1904"/>
      <c r="EK97" s="2015"/>
      <c r="EL97" s="1464"/>
      <c r="EM97" s="1903">
        <v>708504</v>
      </c>
      <c r="EN97" s="1904">
        <v>25701681</v>
      </c>
      <c r="EO97" s="2015">
        <v>8519100</v>
      </c>
      <c r="EP97" s="1088">
        <f t="shared" si="378"/>
        <v>34929285</v>
      </c>
      <c r="EQ97" s="2560"/>
      <c r="ER97" s="2560"/>
      <c r="ES97" s="2560"/>
      <c r="ET97" s="1464"/>
      <c r="EU97" s="1325"/>
      <c r="EV97" s="1345"/>
      <c r="EW97" s="2590"/>
      <c r="EX97" s="2590"/>
      <c r="EY97" s="2697">
        <f>+IF(BB97="","",(IF(ED97="",0,ED97)+IF(EH97="",0,EH97)+IF(EP97="",0,EP97)+IF(ET97="",0,ET97)+IF(EW97="",0,EW97)+IF(EX97="",0,EX97)))</f>
        <v>145353268</v>
      </c>
      <c r="EZ97" s="2726"/>
      <c r="FA97" s="1345"/>
      <c r="FB97" s="1479">
        <f t="shared" si="515"/>
        <v>145353268</v>
      </c>
      <c r="FC97" s="1089">
        <f t="shared" si="516"/>
        <v>48186953</v>
      </c>
      <c r="FD97" s="2048">
        <f t="shared" si="517"/>
        <v>28013121</v>
      </c>
      <c r="FE97" s="2032">
        <f t="shared" si="509"/>
        <v>0.58134244346182251</v>
      </c>
      <c r="FF97" s="2048">
        <f t="shared" si="518"/>
        <v>18426948</v>
      </c>
      <c r="FG97" s="2032">
        <f t="shared" si="519"/>
        <v>0.38240533697990825</v>
      </c>
      <c r="FH97" s="2048">
        <f t="shared" si="520"/>
        <v>0</v>
      </c>
      <c r="FI97" s="2032">
        <f t="shared" si="510"/>
        <v>0</v>
      </c>
      <c r="FJ97" s="2795">
        <f t="shared" si="521"/>
        <v>46440069</v>
      </c>
      <c r="FK97" s="2809">
        <f t="shared" si="522"/>
        <v>0.96374778044173082</v>
      </c>
      <c r="FL97" s="2781">
        <f t="shared" si="523"/>
        <v>1746884</v>
      </c>
      <c r="FM97" s="2032">
        <f t="shared" si="524"/>
        <v>3.6252219558269225E-2</v>
      </c>
      <c r="FN97" s="2781">
        <f t="shared" si="525"/>
        <v>0</v>
      </c>
      <c r="FO97" s="2771">
        <f t="shared" si="526"/>
        <v>0</v>
      </c>
      <c r="FP97" s="2781">
        <f t="shared" si="527"/>
        <v>0</v>
      </c>
      <c r="FQ97" s="2771">
        <f t="shared" si="528"/>
        <v>0</v>
      </c>
      <c r="FR97" s="2845">
        <f t="shared" si="529"/>
        <v>48186953</v>
      </c>
      <c r="FS97" s="2829" t="str">
        <f t="shared" si="530"/>
        <v/>
      </c>
      <c r="FT97" s="1515" t="str">
        <f t="shared" si="531"/>
        <v/>
      </c>
      <c r="FU97" s="2897">
        <f t="shared" si="532"/>
        <v>0</v>
      </c>
      <c r="FV97" s="1084">
        <f t="shared" si="533"/>
        <v>119868.04228855722</v>
      </c>
      <c r="FW97" s="2110">
        <f t="shared" si="534"/>
        <v>62237030</v>
      </c>
      <c r="FX97" s="1742">
        <f t="shared" si="535"/>
        <v>1.2915742981300353</v>
      </c>
      <c r="FY97" s="2111">
        <f t="shared" si="536"/>
        <v>34929285</v>
      </c>
      <c r="FZ97" s="1742">
        <f t="shared" si="537"/>
        <v>0.7248701738829596</v>
      </c>
      <c r="GA97" s="1742">
        <f t="shared" si="538"/>
        <v>0.31631973463590785</v>
      </c>
      <c r="GB97" s="2111" t="str">
        <f t="shared" si="539"/>
        <v/>
      </c>
      <c r="GC97" s="1742" t="str">
        <f t="shared" si="540"/>
        <v/>
      </c>
      <c r="GD97" s="1742" t="str">
        <f t="shared" si="541"/>
        <v/>
      </c>
      <c r="GE97" s="1091">
        <f t="shared" si="542"/>
        <v>145353268</v>
      </c>
      <c r="GF97" s="2146">
        <f t="shared" si="741"/>
        <v>145353268</v>
      </c>
      <c r="GG97" s="2174">
        <f t="shared" si="544"/>
        <v>6.8797902930128885E-9</v>
      </c>
      <c r="GH97" s="3182">
        <f t="shared" si="545"/>
        <v>361575.29353233828</v>
      </c>
      <c r="GI97" s="3199">
        <v>37494555</v>
      </c>
      <c r="GJ97" s="3187">
        <v>984549</v>
      </c>
      <c r="GK97" s="3453">
        <f t="shared" si="423"/>
        <v>38.08</v>
      </c>
      <c r="GL97" s="3250">
        <f t="shared" si="546"/>
        <v>-7.8126246278353604E-5</v>
      </c>
      <c r="GM97" s="755"/>
      <c r="GN97" s="757"/>
      <c r="GO97" s="1903">
        <v>20000</v>
      </c>
      <c r="GP97" s="2015">
        <f>+IF(GQ97="","",GQ97-GO97)</f>
        <v>105326</v>
      </c>
      <c r="GQ97" s="1464">
        <v>125326</v>
      </c>
      <c r="GR97" s="2324"/>
      <c r="GS97" s="2324"/>
      <c r="GT97" s="1088">
        <v>37369229</v>
      </c>
      <c r="GU97" s="2315">
        <f t="shared" si="547"/>
        <v>37494555</v>
      </c>
      <c r="GV97" s="756">
        <f t="shared" si="548"/>
        <v>20000</v>
      </c>
      <c r="GW97" s="2259">
        <f t="shared" si="549"/>
        <v>105326</v>
      </c>
      <c r="GX97" s="758">
        <f t="shared" si="550"/>
        <v>125326</v>
      </c>
      <c r="GY97" s="758" t="str">
        <f t="shared" si="551"/>
        <v/>
      </c>
      <c r="GZ97" s="758" t="str">
        <f t="shared" si="552"/>
        <v/>
      </c>
      <c r="HA97" s="1088">
        <f t="shared" si="553"/>
        <v>37369229</v>
      </c>
      <c r="HB97" s="2233">
        <f t="shared" si="432"/>
        <v>37494555</v>
      </c>
      <c r="HC97" s="2343">
        <f t="shared" si="554"/>
        <v>37494555</v>
      </c>
      <c r="HD97" s="1291">
        <f t="shared" si="375"/>
        <v>0</v>
      </c>
      <c r="HE97" s="755"/>
      <c r="HF97" s="1086">
        <f t="shared" si="555"/>
        <v>984549</v>
      </c>
      <c r="HG97" s="757">
        <f>+IF(OR(HC97="",$CL97=""),"",HC97/$CL97)</f>
        <v>940420.24078254332</v>
      </c>
      <c r="HH97" s="2998">
        <f>+IF(BF97="","",VALUE(LEFT(BF97,1)))</f>
        <v>4</v>
      </c>
      <c r="HI97" s="1293">
        <f>+IF(FR97="","",FR97)</f>
        <v>48186953</v>
      </c>
      <c r="HJ97" s="1734">
        <f>+IF(FP97="","",FP97)</f>
        <v>0</v>
      </c>
      <c r="HK97" s="1734">
        <f>+IF(FN97="","",FN97)</f>
        <v>0</v>
      </c>
      <c r="HL97" s="1734" t="str">
        <f>+IF(FR97="","",IF(HH97="","",IF(HH97=4,FS97,IF(HH97=3,FS97,IF(HH97=2,$HL$7*HI97,IF(HH97=1,$HL$6*HI97,""))))))</f>
        <v/>
      </c>
      <c r="HM97" s="1294">
        <f>IF(FR97="","",SUM(HI97:HL97))</f>
        <v>48186953</v>
      </c>
      <c r="HN97" s="3028">
        <f t="shared" si="347"/>
        <v>119868.04228855722</v>
      </c>
      <c r="HO97" s="2945">
        <f>+IF(FR97="","",IF(HH97="","",IF(HH97=4,FW97,IF(HH97=3,FW97,IF(HH97=2,$HO$7*HM97,IF(HH97=1,$HO$6*HM97,""))))))</f>
        <v>62237030</v>
      </c>
      <c r="HP97" s="2487">
        <f>+IF(FR97="","",IF(HH97="","",IF(HH97=4,FY97,IF(HH97=3,FY97,IF(HH97=2,$HP$7*(HM97+HO97),IF(HH97=1,$HP$6*HM97,""))))))</f>
        <v>34929285</v>
      </c>
      <c r="HQ97" s="3008" t="str">
        <f t="shared" si="556"/>
        <v/>
      </c>
      <c r="HR97" s="1092" t="str">
        <f t="shared" si="557"/>
        <v/>
      </c>
      <c r="HS97" s="1092">
        <f t="shared" si="558"/>
        <v>0</v>
      </c>
      <c r="HT97" s="2951" t="str">
        <f>+IF(FR97="","",IF(HH97="","",IF(HH97=2,$HT$7*(HP97+HR97),"")))</f>
        <v/>
      </c>
      <c r="HU97" s="2947" t="str">
        <f>+IF(FR97="","",IF(HH97="","",IF(HH97=2,$HU$7*(HP97+HR97),"")))</f>
        <v/>
      </c>
      <c r="HV97" s="2951" t="str">
        <f t="shared" si="559"/>
        <v/>
      </c>
      <c r="HW97" s="2947" t="str">
        <f t="shared" si="560"/>
        <v/>
      </c>
      <c r="HX97" s="3030">
        <f t="shared" si="199"/>
        <v>145353268</v>
      </c>
      <c r="HY97" s="2946" t="str">
        <f t="shared" si="561"/>
        <v/>
      </c>
      <c r="HZ97" s="2947" t="str">
        <f t="shared" si="562"/>
        <v/>
      </c>
      <c r="IA97" s="1089">
        <f t="shared" si="563"/>
        <v>145353268</v>
      </c>
      <c r="IB97" s="3041" t="str">
        <f t="shared" si="564"/>
        <v>same TCC</v>
      </c>
      <c r="IC97" s="2908">
        <f t="shared" si="706"/>
        <v>361575.29353233828</v>
      </c>
      <c r="ID97" s="1289"/>
      <c r="IE97" s="4105"/>
      <c r="IF97" s="4116">
        <f t="shared" si="583"/>
        <v>20000</v>
      </c>
      <c r="IG97" s="6782">
        <f>+IF(IF97="","",(IF97/IF(AO97="",IF(AO96="",IF(AO95="",AO94,AO95),AO96),AO97)))</f>
        <v>86.523902227990476</v>
      </c>
      <c r="IH97" s="4089">
        <f t="shared" si="584"/>
        <v>105326</v>
      </c>
      <c r="II97" s="6796">
        <f>+IH97/IF(AQ97="",IF(AQ96="",IF(AQ95="",AQ94,AQ95),AQ96),AQ97)</f>
        <v>0.23508431260950596</v>
      </c>
      <c r="IJ97" s="4105">
        <f t="shared" si="585"/>
        <v>125326</v>
      </c>
      <c r="IK97" s="4142">
        <v>0</v>
      </c>
      <c r="IL97" s="4194">
        <f t="shared" si="742"/>
        <v>0</v>
      </c>
      <c r="IM97" s="4195">
        <f t="shared" si="743"/>
        <v>0</v>
      </c>
      <c r="IN97" s="4222" t="str">
        <f t="shared" si="588"/>
        <v/>
      </c>
      <c r="IO97" s="4222">
        <f t="shared" si="589"/>
        <v>125326</v>
      </c>
      <c r="IP97" s="7236">
        <f t="shared" si="744"/>
        <v>125326</v>
      </c>
      <c r="IQ97" s="7243">
        <f t="shared" si="745"/>
        <v>1.1364191281238775E-2</v>
      </c>
      <c r="IR97" s="7236" t="str">
        <f t="shared" si="746"/>
        <v/>
      </c>
      <c r="IS97" s="7243" t="str">
        <f t="shared" si="747"/>
        <v/>
      </c>
      <c r="IT97" s="4222">
        <f t="shared" si="594"/>
        <v>125326</v>
      </c>
      <c r="IU97" s="6854">
        <f t="shared" si="595"/>
        <v>1.1364191281238775E-2</v>
      </c>
      <c r="IV97" s="7270">
        <f t="shared" si="748"/>
        <v>2</v>
      </c>
      <c r="IW97" s="7256">
        <f t="shared" si="749"/>
        <v>10902823.4651451</v>
      </c>
      <c r="IX97" s="4187">
        <f t="shared" si="597"/>
        <v>11028149.4651451</v>
      </c>
      <c r="IY97" s="4255">
        <f t="shared" si="598"/>
        <v>37494555</v>
      </c>
      <c r="IZ97" s="4300">
        <f t="shared" si="599"/>
        <v>0.70587330706698348</v>
      </c>
      <c r="JA97" s="4306" t="str">
        <f t="shared" si="750"/>
        <v>stk added + 71%</v>
      </c>
      <c r="JB97" s="4158"/>
      <c r="JC97" s="4338"/>
      <c r="JD97" s="1086">
        <f t="shared" si="570"/>
        <v>289604.76536620536</v>
      </c>
      <c r="JE97" s="4337">
        <f t="shared" si="571"/>
        <v>276602.69538864063</v>
      </c>
      <c r="JF97" s="7040">
        <f>+IF(D97="","",IF(T97="",IF(T96="",T95/IF(Y95="TP",2,1),T96/IF(Y96="TP",2,1)),T97/IF(Y97="TP",2,1)))</f>
        <v>402</v>
      </c>
      <c r="JG97" s="7056" t="s">
        <v>2437</v>
      </c>
      <c r="JH97" s="6971">
        <f>+IF(D97="","",IF(HX97="","",HX97))</f>
        <v>145353268</v>
      </c>
      <c r="JI97" s="6971">
        <f>+JH97</f>
        <v>145353268</v>
      </c>
      <c r="JJ97" s="6971"/>
      <c r="JK97" s="6971"/>
      <c r="JL97" s="7008"/>
      <c r="JM97" s="7050" t="str">
        <f t="shared" si="751"/>
        <v>N/A</v>
      </c>
      <c r="JN97" s="1734" t="str">
        <f t="shared" si="637"/>
        <v/>
      </c>
      <c r="JO97" s="1734">
        <f t="shared" si="717"/>
        <v>145353268</v>
      </c>
      <c r="JP97" s="7081"/>
      <c r="JQ97" s="7081"/>
      <c r="JR97" s="7056"/>
      <c r="JS97" s="7062">
        <f>+IF(D97="","",SUM(JO97:JR97))</f>
        <v>145353268</v>
      </c>
      <c r="JT97" s="7166">
        <f t="shared" si="476"/>
        <v>2</v>
      </c>
      <c r="JU97" s="7167">
        <f t="shared" si="752"/>
        <v>376</v>
      </c>
      <c r="JV97" s="8378">
        <f t="shared" si="753"/>
        <v>608716</v>
      </c>
      <c r="JW97" s="8405">
        <f t="shared" si="682"/>
        <v>39.869999999999997</v>
      </c>
      <c r="JX97" s="8434">
        <f t="shared" si="754"/>
        <v>63.829787234042556</v>
      </c>
      <c r="JY97" s="8469">
        <f t="shared" si="755"/>
        <v>7.0944844993914208E-2</v>
      </c>
      <c r="JZ97" s="7168">
        <f t="shared" si="756"/>
        <v>29932.048192771083</v>
      </c>
      <c r="KA97" s="7166" t="str">
        <f t="shared" si="757"/>
        <v/>
      </c>
      <c r="KB97" s="7167" t="str">
        <f t="shared" si="758"/>
        <v/>
      </c>
      <c r="KC97" s="7168" t="str">
        <f t="shared" si="759"/>
        <v/>
      </c>
      <c r="KD97" s="7166">
        <f t="shared" si="760"/>
        <v>15958.944</v>
      </c>
      <c r="KE97" s="8342">
        <f t="shared" si="761"/>
        <v>24831.035999999996</v>
      </c>
      <c r="KF97" s="8342">
        <f t="shared" si="762"/>
        <v>16651.400611764704</v>
      </c>
      <c r="KG97" s="7167">
        <f t="shared" si="763"/>
        <v>55105.461278080045</v>
      </c>
      <c r="KH97" s="7167">
        <f>IF(D97="","",IF(JT97=2,0.005*JF97*$KD$6/1000*1000*JU97,""))</f>
        <v>293355.80160000006</v>
      </c>
      <c r="KI97" s="7167">
        <f>IF(D97="","",IF(JT97=2,0.1*0.005*JF97*$KD$6/1000*1000*JU97,""))</f>
        <v>29335.580160000001</v>
      </c>
      <c r="KJ97" s="7167">
        <f t="shared" si="764"/>
        <v>435238.22364984482</v>
      </c>
      <c r="KK97" s="7167">
        <f>+IF(OR(D97="",JU97="",JV97=""),"",$KK$7*$KG$4*JU97)</f>
        <v>39445.107199999999</v>
      </c>
      <c r="KL97" s="7167">
        <f t="shared" si="765"/>
        <v>204948.10788</v>
      </c>
      <c r="KM97" s="7167">
        <f t="shared" si="766"/>
        <v>244393.21507999999</v>
      </c>
      <c r="KN97" s="7167" t="str">
        <f>+IF(D97="","",IF(JX97&lt;41,$KN$8*JZ97*JY97,""))</f>
        <v/>
      </c>
      <c r="KO97" s="7167">
        <f t="shared" si="767"/>
        <v>244393.21507999999</v>
      </c>
      <c r="KP97" s="7168">
        <f t="shared" si="768"/>
        <v>679631.43872984475</v>
      </c>
      <c r="KQ97" s="7212">
        <f>+IF(D97="","",VLOOKUP(MATCH(BE97,ac_id,0),ad,ac!$F$8,FALSE)*JV97)</f>
        <v>182614.8</v>
      </c>
      <c r="KR97" s="7081">
        <f>+IF(D97="","",IF(JT97=1,VLOOKUP(MATCH(BE97,ac_id,0),ad,ac!$H$8,FALSE)*JU97, (VLOOKUP(MATCH(BE97,ac_id,0),ad,ac!$H$8,FALSE)*JU97^(1+VLOOKUP(MATCH(BE97,ac_id,0),ad,ac!$I$8,FALSE)))))</f>
        <v>20329.103593470911</v>
      </c>
      <c r="KS97" s="7062">
        <f t="shared" si="769"/>
        <v>202943.9035934709</v>
      </c>
      <c r="KT97" s="7212">
        <f t="shared" si="770"/>
        <v>146635.92904799999</v>
      </c>
      <c r="KU97" s="7056">
        <f t="shared" si="771"/>
        <v>5814130.7199999997</v>
      </c>
      <c r="KV97" s="7390">
        <f t="shared" si="667"/>
        <v>2</v>
      </c>
      <c r="KW97" s="7274">
        <f t="shared" si="772"/>
        <v>10902823.4651451</v>
      </c>
      <c r="KX97" s="7062">
        <f t="shared" si="773"/>
        <v>16863590.1141931</v>
      </c>
      <c r="KY97" s="7356">
        <f t="shared" si="774"/>
        <v>17543221.552922945</v>
      </c>
      <c r="KZ97" s="1343"/>
      <c r="LA97" s="7211">
        <f t="shared" si="668"/>
        <v>460693.84330154798</v>
      </c>
      <c r="LB97" s="1340">
        <f t="shared" si="669"/>
        <v>440010.57318592793</v>
      </c>
      <c r="LC97" s="5133"/>
      <c r="LD97" s="5132"/>
      <c r="LE97" s="5132"/>
      <c r="LF97" s="5132"/>
      <c r="LG97" s="5132"/>
      <c r="LH97" s="5132"/>
      <c r="LI97" s="5132"/>
      <c r="LJ97" s="5132"/>
    </row>
    <row r="98" spans="1:322" s="717" customFormat="1" ht="27.95" customHeight="1">
      <c r="A98" s="10539"/>
      <c r="B98" s="10521" t="str">
        <f>+IF(A98="","",VLOOKUP(MATCH(A98,tid,0),tao,'12(id)'!$J$20,FALSE))</f>
        <v/>
      </c>
      <c r="C98" s="10549"/>
      <c r="D98" s="1127" t="str">
        <f t="shared" si="48"/>
        <v>8306-05-03</v>
      </c>
      <c r="E98" s="1708" t="str">
        <f>+IF(BD98="","",BD98)</f>
        <v>Selective Catalytic Reduction (SCR)</v>
      </c>
      <c r="F98" s="1708" t="str">
        <f t="shared" si="49"/>
        <v>SCR</v>
      </c>
      <c r="G98" s="5133"/>
      <c r="H98" s="5132"/>
      <c r="I98" s="5133"/>
      <c r="J98" s="719">
        <f t="shared" si="68"/>
        <v>64</v>
      </c>
      <c r="K98" s="10559"/>
      <c r="L98" s="9721"/>
      <c r="M98" s="9718"/>
      <c r="N98" s="9699"/>
      <c r="O98" s="9518"/>
      <c r="P98" s="9520"/>
      <c r="Q98" s="9680"/>
      <c r="R98" s="10183"/>
      <c r="S98" s="9680"/>
      <c r="T98" s="10526"/>
      <c r="U98" s="10529"/>
      <c r="V98" s="9504"/>
      <c r="W98" s="9504"/>
      <c r="X98" s="9504"/>
      <c r="Y98" s="8553" t="str">
        <f>+IF(ISERROR(MATCH(O98,tid,0)),"",IF(VLOOKUP(MATCH(O98,tid,0),tao,'12(id)'!$CQ$20,FALSE)="","",VLOOKUP(MATCH(O98,tid,0),tao,'12(id)'!$CQ$20,FALSE)))</f>
        <v/>
      </c>
      <c r="Z98" s="9518"/>
      <c r="AA98" s="9518"/>
      <c r="AB98" s="9648"/>
      <c r="AC98" s="9648"/>
      <c r="AD98" s="10412" t="str">
        <f>+IF(ISERROR(MATCH(O98,tid,0)),"",IF(VLOOKUP(MATCH(O98,tid,0),tao,'12(id)'!$EI$20,FALSE)="","",VLOOKUP(MATCH(O98,tid,0),tao,'12(id)'!$EI$20,FALSE)))</f>
        <v/>
      </c>
      <c r="AE98" s="10412" t="str">
        <f>+IF(ISERROR(MATCH(O98,tid,0)),"",IF(VLOOKUP(MATCH(O98,tid,0),tao,'12(id)'!$EJ$20,FALSE)="","",VLOOKUP(MATCH(O98,tid,0),tao,'12(id)'!$EJ$20,FALSE)))</f>
        <v/>
      </c>
      <c r="AF98" s="10412" t="str">
        <f>+IF(ISERROR(MATCH(O98,tid,0)),"",IF(VLOOKUP(MATCH(O98,tid,0),tao,'12(id)'!$EL$20,FALSE)="","",VLOOKUP(MATCH(O98,tid,0),tao,'12(id)'!$EL$20,FALSE)))</f>
        <v/>
      </c>
      <c r="AG98" s="10409" t="str">
        <f>+IF(ISERROR(MATCH(O98,tid,0)),"",IF(VLOOKUP(MATCH(O98,tid,0),tao,'12(id)'!$EM$20,FALSE)="","",VLOOKUP(MATCH(O98,tid,0),tao,'12(id)'!$EM$20,FALSE)))</f>
        <v/>
      </c>
      <c r="AH98" s="10439"/>
      <c r="AI98" s="10441"/>
      <c r="AJ98" s="10441"/>
      <c r="AK98" s="10441"/>
      <c r="AL98" s="10441"/>
      <c r="AM98" s="10432"/>
      <c r="AN98" s="10422"/>
      <c r="AO98" s="10425" t="str">
        <f>+IF(ISERROR(MATCH(O98,tid,0)),"",IF(VLOOKUP(MATCH(O98,tid,0),tao,'12(id)'!$GY$20,FALSE)="","",VLOOKUP(MATCH(O98,tid,0),tao,'12(id)'!$GY$20,FALSE)))</f>
        <v/>
      </c>
      <c r="AP98" s="10378" t="e">
        <f>+IF($BB98="","",IF(VLOOKUP(MATCH(O98,tid,0),tao,'12(id)'!$HE$20,FALSE)="","",VLOOKUP(MATCH(O98,tid,0),tao,'12(id)'!$HE$20,FALSE)))</f>
        <v>#N/A</v>
      </c>
      <c r="AQ98" s="10406" t="str">
        <f>+IF(ISERROR(VLOOKUP(MATCH(O98,tid,0),tao,'12(id)'!$HF$20,FALSE)),"",VLOOKUP(MATCH(O98,tid,0),tao,'12(id)'!$HF$20,FALSE))</f>
        <v/>
      </c>
      <c r="AR98" s="10417" t="str">
        <f>+IF(ISERROR(MATCH(O98,tid,0)),"",IF(VLOOKUP(MATCH(O98,tid,0),tao,'12(id)'!$HJ$20,FALSE)="","",VLOOKUP(MATCH(O98,tid,0),tao,'12(id)'!$HJ$20,FALSE)))</f>
        <v/>
      </c>
      <c r="AS98" s="10419" t="str">
        <f>+IF(ISERROR(MATCH(O98,tid,0)),"",IF(VLOOKUP(MATCH(O98,tid,0),tao,'12(id)'!$HK$20,FALSE)="","",VLOOKUP(MATCH(O98,tid,0),tao,'12(id)'!$HK$20,FALSE)))</f>
        <v/>
      </c>
      <c r="AT98" s="10466" t="str">
        <f>+IF(ISERROR(MATCH(O98,tid,0)),"",IF(VLOOKUP(MATCH(O98,tid,0),tao,'12(id)'!$HM$20,FALSE)="","",VLOOKUP(MATCH(O98,tid,0),tao,'12(id)'!$HM$20,FALSE)))</f>
        <v/>
      </c>
      <c r="AU98" s="10471"/>
      <c r="AV98" s="10473"/>
      <c r="AW98" s="10489"/>
      <c r="AX98" s="10478"/>
      <c r="AY98" s="10480"/>
      <c r="AZ98" s="10482"/>
      <c r="BA98" s="741"/>
      <c r="BB98" s="742" t="str">
        <f t="shared" si="703"/>
        <v>8306-05-03</v>
      </c>
      <c r="BC98" s="743">
        <v>3</v>
      </c>
      <c r="BD98" s="1708" t="str">
        <f>+IF(OR(D98="",VLOOKUP(MATCH(D98,op_id,0),op,'7(op)'!$T$18,FALSE)=""),"",VLOOKUP(MATCH(D98,op_id,0),op,'7(op)'!$T$18,FALSE))</f>
        <v>Selective Catalytic Reduction (SCR)</v>
      </c>
      <c r="BE98" s="1708" t="s">
        <v>1093</v>
      </c>
      <c r="BF98" s="1708" t="s">
        <v>1862</v>
      </c>
      <c r="BG98" s="744"/>
      <c r="BH98" s="748"/>
      <c r="BI98" s="749"/>
      <c r="BJ98" s="750"/>
      <c r="BK98" s="750"/>
      <c r="BL98" s="750"/>
      <c r="BM98" s="750"/>
      <c r="BN98" s="750"/>
      <c r="BO98" s="750"/>
      <c r="BP98" s="750"/>
      <c r="BQ98" s="750"/>
      <c r="BR98" s="751"/>
      <c r="BS98" s="2382" t="s">
        <v>559</v>
      </c>
      <c r="BT98" s="753"/>
      <c r="BU98" s="3709">
        <f>+IF(BB98="","",IF(VLOOKUP(MATCH(BB98,ef_id,0),ef,'11(eff)'!$Z$23,FALSE)="","",VLOOKUP(MATCH(BB98,ef_id,0),ef,'11(eff)'!$Z$23,FALSE)))</f>
        <v>0.1</v>
      </c>
      <c r="BV98" s="3753" t="str">
        <f>+IF(BB98="","",IF(VLOOKUP(MATCH(BB98,ef_id,0),ef,'11(eff)'!$AA$23,FALSE)="","",VLOOKUP(MATCH(BB98,ef_id,0),ef,'11(eff)'!$AA$23,FALSE)))</f>
        <v/>
      </c>
      <c r="BW98" s="3778">
        <v>22.4</v>
      </c>
      <c r="BX98" s="1962">
        <f t="shared" si="511"/>
        <v>22.4</v>
      </c>
      <c r="BY98" s="1077">
        <f t="shared" si="512"/>
        <v>22.40175</v>
      </c>
      <c r="BZ98" s="3259"/>
      <c r="CA98" s="3419"/>
      <c r="CB98" s="1082">
        <f t="shared" si="382"/>
        <v>38.08</v>
      </c>
      <c r="CC98" s="3867">
        <f t="shared" si="513"/>
        <v>0.62962962962962965</v>
      </c>
      <c r="CD98" s="3867">
        <f t="shared" si="514"/>
        <v>0.62962962962962965</v>
      </c>
      <c r="CE98" s="2377">
        <f>+IF(BB98="","",IF(VLOOKUP(MATCH(BB98,ef_id,0),ef,'11(eff)'!$AE$23,FALSE)="","",VLOOKUP(MATCH(BB98,ef_id,0),ef,'11(eff)'!$AE$23,FALSE)))</f>
        <v>0.9</v>
      </c>
      <c r="CF98" s="752"/>
      <c r="CG98" s="753"/>
      <c r="CH98" s="2415"/>
      <c r="CI98" s="3911">
        <f t="shared" si="628"/>
        <v>1.4555227725244608E-2</v>
      </c>
      <c r="CJ98" s="4069" t="str">
        <f>+IF(AY96="","",AY96*(1-CO98))</f>
        <v/>
      </c>
      <c r="CK98" s="3911">
        <f>+IF($BB98="","",IF(CI98="",IF($AZ98="",IF($AZ97="",$AZ96,$AZ97),$AZ98)-CL98,IF(OR(IF($AW98="",IF($AW97="",$AW96,$AW97),$AW98)="",CI98=""),"",CI98/2000*IF($AW98="",IF($AW97="",$AW96,$AW97),$AW98))))</f>
        <v>4.4299999999999988</v>
      </c>
      <c r="CL98" s="4001">
        <f>+IF($BB98="","",IF(CI98="",CO98*IF($AZ98="",IF($AZ97="",$AZ96,$AZ97),$AZ98),IF(CK98="","",IF($AZ98="",IF($AZ97="",$AZ96,$AZ97),$AZ98)-CK98)))</f>
        <v>39.869999999999997</v>
      </c>
      <c r="CM98" s="4002">
        <f>+IF($BB98="","",IF(CL98="","",CL98/IF($AZ98="",IF($AZ97="",$AZ96,$AZ97),$AZ98)))</f>
        <v>0.9</v>
      </c>
      <c r="CN98" s="4002">
        <f>+IF($BB98="","",IF(CI98="","",(1-CI98/IF($AX98="",IF($AX97="",$AX96,$AX97),$AX98))))</f>
        <v>0.90296514849836929</v>
      </c>
      <c r="CO98" s="4003">
        <f>+IF(BB98="","",IF(VLOOKUP(MATCH(BB98,ef_id,0),ef,'11(eff)'!$AE$23,FALSE)="","",VLOOKUP(MATCH(BB98,ef_id,0),ef,'11(eff)'!$AE$23,FALSE)))</f>
        <v>0.9</v>
      </c>
      <c r="CP98" s="4004">
        <f>+IF(OR(BB98="",VLOOKUP(MATCH(BB98,ef_id,0),ef,'11(eff)'!$AG$23,FALSE)=""),"",IF(VLOOKUP(MATCH(BB98,ef_id,0),ef,'11(eff)'!$AG$23,FALSE)/100=VLOOKUP(MATCH(BB98,ef_id,0),ef,'11(eff)'!$AE$23,FALSE),VLOOKUP(MATCH(BB98,ef_id,0),ef,'11(eff)'!$AE$23,FALSE),""))</f>
        <v>0.9</v>
      </c>
      <c r="CQ98" s="752" t="str">
        <f t="shared" si="51"/>
        <v>Selective Catalytic Reduction (SCR)</v>
      </c>
      <c r="CR98" s="754"/>
      <c r="CS98" s="2764">
        <v>106812093</v>
      </c>
      <c r="CT98" s="1590">
        <v>32426295</v>
      </c>
      <c r="CU98" s="1089">
        <v>28013121</v>
      </c>
      <c r="CV98" s="1868">
        <f t="shared" si="704"/>
        <v>50000</v>
      </c>
      <c r="CW98" s="1869">
        <v>203697</v>
      </c>
      <c r="CX98" s="1869">
        <f>1184506+530766</f>
        <v>1715272</v>
      </c>
      <c r="CY98" s="1092"/>
      <c r="CZ98" s="2477">
        <f>533949+163372</f>
        <v>697321</v>
      </c>
      <c r="DA98" s="2487"/>
      <c r="DB98" s="2487">
        <v>1746884</v>
      </c>
      <c r="DC98" s="1868"/>
      <c r="DD98" s="1902"/>
      <c r="DE98" s="1903"/>
      <c r="DF98" s="1904"/>
      <c r="DG98" s="1904"/>
      <c r="DH98" s="1902"/>
      <c r="DI98" s="1088">
        <f>+IF(CT98="","",SUM(CU98:DC98)+SUM(DE98:DF98))</f>
        <v>32426295</v>
      </c>
      <c r="DJ98" s="1943"/>
      <c r="DK98" s="1590"/>
      <c r="DL98" s="1089"/>
      <c r="DM98" s="1868" t="str">
        <f t="shared" si="705"/>
        <v/>
      </c>
      <c r="DN98" s="1869"/>
      <c r="DO98" s="1869"/>
      <c r="DP98" s="1092"/>
      <c r="DQ98" s="2477"/>
      <c r="DR98" s="2487"/>
      <c r="DS98" s="2487"/>
      <c r="DT98" s="1868"/>
      <c r="DU98" s="1902"/>
      <c r="DV98" s="1903"/>
      <c r="DW98" s="1904"/>
      <c r="DX98" s="1904"/>
      <c r="DY98" s="1902"/>
      <c r="DZ98" s="1088" t="str">
        <f t="shared" si="664"/>
        <v/>
      </c>
      <c r="EA98" s="1943"/>
      <c r="EB98" s="1089">
        <f t="shared" si="377"/>
        <v>32426295</v>
      </c>
      <c r="EC98" s="1967">
        <v>1</v>
      </c>
      <c r="ED98" s="1087">
        <f t="shared" si="20"/>
        <v>32426295</v>
      </c>
      <c r="EE98" s="1870">
        <v>636052</v>
      </c>
      <c r="EF98" s="1734">
        <v>46530759</v>
      </c>
      <c r="EG98" s="1092"/>
      <c r="EH98" s="1088">
        <f t="shared" si="740"/>
        <v>47166811</v>
      </c>
      <c r="EI98" s="1903"/>
      <c r="EJ98" s="1904"/>
      <c r="EK98" s="2015"/>
      <c r="EL98" s="1464"/>
      <c r="EM98" s="1903">
        <v>633491</v>
      </c>
      <c r="EN98" s="1904">
        <v>19674495</v>
      </c>
      <c r="EO98" s="2015">
        <v>6911001</v>
      </c>
      <c r="EP98" s="1088">
        <f t="shared" si="378"/>
        <v>27218987</v>
      </c>
      <c r="EQ98" s="2560"/>
      <c r="ER98" s="2560"/>
      <c r="ES98" s="2560"/>
      <c r="ET98" s="1464"/>
      <c r="EU98" s="1325"/>
      <c r="EV98" s="1345"/>
      <c r="EW98" s="2590"/>
      <c r="EX98" s="2590"/>
      <c r="EY98" s="2697">
        <f>+IF(BB98="","",(IF(ED98="",0,ED98)+IF(EH98="",0,EH98)+IF(EP98="",0,EP98)+IF(ET98="",0,ET98)+IF(EW98="",0,EW98)+IF(EX98="",0,EX98)))</f>
        <v>106812093</v>
      </c>
      <c r="EZ98" s="2726"/>
      <c r="FA98" s="1345"/>
      <c r="FB98" s="1479">
        <f t="shared" si="515"/>
        <v>106812093</v>
      </c>
      <c r="FC98" s="1089">
        <f t="shared" si="516"/>
        <v>32426295</v>
      </c>
      <c r="FD98" s="2048">
        <f t="shared" si="517"/>
        <v>28013121</v>
      </c>
      <c r="FE98" s="2032">
        <f t="shared" si="509"/>
        <v>0.8639013800374048</v>
      </c>
      <c r="FF98" s="2048">
        <f t="shared" si="518"/>
        <v>2666290</v>
      </c>
      <c r="FG98" s="2032">
        <f t="shared" si="519"/>
        <v>8.2226168607915276E-2</v>
      </c>
      <c r="FH98" s="2048">
        <f t="shared" si="520"/>
        <v>0</v>
      </c>
      <c r="FI98" s="2032">
        <f t="shared" si="510"/>
        <v>0</v>
      </c>
      <c r="FJ98" s="2795">
        <f t="shared" si="521"/>
        <v>30679411</v>
      </c>
      <c r="FK98" s="2809">
        <f t="shared" si="522"/>
        <v>0.94612754864532012</v>
      </c>
      <c r="FL98" s="2781">
        <f t="shared" si="523"/>
        <v>1746884</v>
      </c>
      <c r="FM98" s="2032">
        <f t="shared" si="524"/>
        <v>5.3872451354679898E-2</v>
      </c>
      <c r="FN98" s="2781">
        <f t="shared" si="525"/>
        <v>0</v>
      </c>
      <c r="FO98" s="2771">
        <f t="shared" si="526"/>
        <v>0</v>
      </c>
      <c r="FP98" s="2781">
        <f t="shared" si="527"/>
        <v>0</v>
      </c>
      <c r="FQ98" s="2771">
        <f t="shared" si="528"/>
        <v>0</v>
      </c>
      <c r="FR98" s="2845">
        <f t="shared" si="529"/>
        <v>32426295</v>
      </c>
      <c r="FS98" s="2829" t="str">
        <f t="shared" si="530"/>
        <v/>
      </c>
      <c r="FT98" s="1515" t="str">
        <f t="shared" si="531"/>
        <v/>
      </c>
      <c r="FU98" s="2897">
        <f t="shared" si="532"/>
        <v>0</v>
      </c>
      <c r="FV98" s="1084">
        <f t="shared" si="533"/>
        <v>80662.425373134334</v>
      </c>
      <c r="FW98" s="2110">
        <f t="shared" si="534"/>
        <v>47166811</v>
      </c>
      <c r="FX98" s="1742">
        <f t="shared" si="535"/>
        <v>1.45458526791297</v>
      </c>
      <c r="FY98" s="2111">
        <f t="shared" si="536"/>
        <v>27218987</v>
      </c>
      <c r="FZ98" s="1742">
        <f t="shared" si="537"/>
        <v>0.83941094719578668</v>
      </c>
      <c r="GA98" s="1742" t="str">
        <f t="shared" si="538"/>
        <v/>
      </c>
      <c r="GB98" s="2111" t="str">
        <f t="shared" si="539"/>
        <v/>
      </c>
      <c r="GC98" s="1742" t="str">
        <f t="shared" si="540"/>
        <v/>
      </c>
      <c r="GD98" s="1742" t="str">
        <f t="shared" si="541"/>
        <v/>
      </c>
      <c r="GE98" s="1091">
        <f t="shared" si="542"/>
        <v>106812093</v>
      </c>
      <c r="GF98" s="2146">
        <f t="shared" si="741"/>
        <v>106812093</v>
      </c>
      <c r="GG98" s="2174">
        <f t="shared" si="544"/>
        <v>0</v>
      </c>
      <c r="GH98" s="3182">
        <f t="shared" si="545"/>
        <v>265701.72388059704</v>
      </c>
      <c r="GI98" s="3199">
        <v>27526781</v>
      </c>
      <c r="GJ98" s="3187">
        <v>722811</v>
      </c>
      <c r="GK98" s="3453">
        <f t="shared" si="423"/>
        <v>38.08</v>
      </c>
      <c r="GL98" s="3250">
        <f t="shared" si="546"/>
        <v>-7.7680208579721449E-5</v>
      </c>
      <c r="GM98" s="755"/>
      <c r="GN98" s="757"/>
      <c r="GO98" s="1903">
        <v>20000</v>
      </c>
      <c r="GP98" s="2015">
        <f>+IF(GQ98="","",GQ98-GO98)</f>
        <v>46198</v>
      </c>
      <c r="GQ98" s="1464">
        <v>66198</v>
      </c>
      <c r="GR98" s="2324"/>
      <c r="GS98" s="2324"/>
      <c r="GT98" s="1088">
        <v>27460583</v>
      </c>
      <c r="GU98" s="2315">
        <f t="shared" si="547"/>
        <v>27526781</v>
      </c>
      <c r="GV98" s="756">
        <f t="shared" si="548"/>
        <v>20000</v>
      </c>
      <c r="GW98" s="2259">
        <f t="shared" si="549"/>
        <v>46198</v>
      </c>
      <c r="GX98" s="758">
        <f t="shared" si="550"/>
        <v>66198</v>
      </c>
      <c r="GY98" s="758" t="str">
        <f t="shared" si="551"/>
        <v/>
      </c>
      <c r="GZ98" s="758" t="str">
        <f t="shared" si="552"/>
        <v/>
      </c>
      <c r="HA98" s="1088">
        <f t="shared" si="553"/>
        <v>27460583</v>
      </c>
      <c r="HB98" s="2233">
        <f t="shared" si="432"/>
        <v>27526781</v>
      </c>
      <c r="HC98" s="2343">
        <f t="shared" si="554"/>
        <v>27526781</v>
      </c>
      <c r="HD98" s="1291">
        <f t="shared" si="375"/>
        <v>0</v>
      </c>
      <c r="HE98" s="755"/>
      <c r="HF98" s="1086">
        <f t="shared" si="555"/>
        <v>722811</v>
      </c>
      <c r="HG98" s="757">
        <f>+IF(OR(HC98="",$CL98=""),"",HC98/$CL98)</f>
        <v>690413.3684474543</v>
      </c>
      <c r="HH98" s="2998">
        <f>+IF(BF98="","",VALUE(LEFT(BF98,1)))</f>
        <v>4</v>
      </c>
      <c r="HI98" s="1293">
        <f>+IF(FR98="","",FR98)</f>
        <v>32426295</v>
      </c>
      <c r="HJ98" s="1734">
        <f>+IF(FP98="","",FP98)</f>
        <v>0</v>
      </c>
      <c r="HK98" s="1734">
        <f>+IF(FN98="","",FN98)</f>
        <v>0</v>
      </c>
      <c r="HL98" s="1734" t="str">
        <f>+IF(FR98="","",IF(HH98="","",IF(HH98=4,FS98,IF(HH98=3,FS98,IF(HH98=2,$HL$7*HI98,IF(HH98=1,$HL$6*HI98,""))))))</f>
        <v/>
      </c>
      <c r="HM98" s="1294">
        <f>IF(FR98="","",SUM(HI98:HL98))</f>
        <v>32426295</v>
      </c>
      <c r="HN98" s="3028">
        <f t="shared" si="347"/>
        <v>80662.425373134334</v>
      </c>
      <c r="HO98" s="2945">
        <f>+IF(FR98="","",IF(HH98="","",IF(HH98=4,FW98,IF(HH98=3,FW98,IF(HH98=2,$HO$7*HM98,IF(HH98=1,$HO$6*HM98,""))))))</f>
        <v>47166811</v>
      </c>
      <c r="HP98" s="2487">
        <f>+IF(FR98="","",IF(HH98="","",IF(HH98=4,FY98,IF(HH98=3,FY98,IF(HH98=2,$HP$7*(HM98+HO98),IF(HH98=1,$HP$6*HM98,""))))))</f>
        <v>27218987</v>
      </c>
      <c r="HQ98" s="3008" t="str">
        <f t="shared" si="556"/>
        <v/>
      </c>
      <c r="HR98" s="1092" t="str">
        <f t="shared" si="557"/>
        <v/>
      </c>
      <c r="HS98" s="1092">
        <f t="shared" si="558"/>
        <v>0</v>
      </c>
      <c r="HT98" s="2951" t="str">
        <f>+IF(FR98="","",IF(HH98="","",IF(HH98=2,$HT$7*(HP98+HR98),"")))</f>
        <v/>
      </c>
      <c r="HU98" s="2947" t="str">
        <f>+IF(FR98="","",IF(HH98="","",IF(HH98=2,$HU$7*(HP98+HR98),"")))</f>
        <v/>
      </c>
      <c r="HV98" s="2951" t="str">
        <f t="shared" si="559"/>
        <v/>
      </c>
      <c r="HW98" s="2947" t="str">
        <f t="shared" si="560"/>
        <v/>
      </c>
      <c r="HX98" s="3030">
        <f t="shared" si="199"/>
        <v>106812093</v>
      </c>
      <c r="HY98" s="2946" t="str">
        <f t="shared" si="561"/>
        <v/>
      </c>
      <c r="HZ98" s="2947" t="str">
        <f t="shared" si="562"/>
        <v/>
      </c>
      <c r="IA98" s="1089">
        <f t="shared" si="563"/>
        <v>106812093</v>
      </c>
      <c r="IB98" s="3041" t="str">
        <f t="shared" si="564"/>
        <v>same TCC</v>
      </c>
      <c r="IC98" s="2908">
        <f t="shared" si="706"/>
        <v>265701.72388059704</v>
      </c>
      <c r="ID98" s="1289"/>
      <c r="IE98" s="4105"/>
      <c r="IF98" s="4116">
        <f t="shared" si="583"/>
        <v>20000</v>
      </c>
      <c r="IG98" s="6782">
        <f>+IF(IF98="","",(IF98/IF(AO98="",IF(AO97="",IF(AO96="",AO95,AO96),AO97),AO98)))</f>
        <v>86.523902227990476</v>
      </c>
      <c r="IH98" s="4089">
        <f t="shared" si="584"/>
        <v>46198</v>
      </c>
      <c r="II98" s="6796">
        <f>+IH98/IF(AQ98="",IF(AQ97="",IF(AQ96="",AQ95,AQ96),AQ97),AQ98)</f>
        <v>0.10311248005178167</v>
      </c>
      <c r="IJ98" s="4105">
        <f t="shared" si="585"/>
        <v>66198</v>
      </c>
      <c r="IK98" s="4142">
        <v>0</v>
      </c>
      <c r="IL98" s="4194">
        <f t="shared" si="742"/>
        <v>0</v>
      </c>
      <c r="IM98" s="4195">
        <f t="shared" si="743"/>
        <v>0</v>
      </c>
      <c r="IN98" s="4222" t="str">
        <f t="shared" si="588"/>
        <v/>
      </c>
      <c r="IO98" s="4222">
        <f t="shared" si="589"/>
        <v>66198</v>
      </c>
      <c r="IP98" s="7236">
        <f t="shared" si="744"/>
        <v>66198</v>
      </c>
      <c r="IQ98" s="7243">
        <f t="shared" si="745"/>
        <v>8.1947679206764382E-3</v>
      </c>
      <c r="IR98" s="7236" t="str">
        <f t="shared" si="746"/>
        <v/>
      </c>
      <c r="IS98" s="7243" t="str">
        <f t="shared" si="747"/>
        <v/>
      </c>
      <c r="IT98" s="4222">
        <f t="shared" si="594"/>
        <v>66198</v>
      </c>
      <c r="IU98" s="6854">
        <f t="shared" si="595"/>
        <v>8.1947679206764382E-3</v>
      </c>
      <c r="IV98" s="7270">
        <f t="shared" si="748"/>
        <v>2</v>
      </c>
      <c r="IW98" s="7256">
        <f t="shared" si="749"/>
        <v>8011883.1172179813</v>
      </c>
      <c r="IX98" s="4187">
        <f t="shared" si="597"/>
        <v>8078081.1172179813</v>
      </c>
      <c r="IY98" s="4255">
        <f t="shared" si="598"/>
        <v>27526781</v>
      </c>
      <c r="IZ98" s="4300">
        <f t="shared" si="599"/>
        <v>0.70653738563844493</v>
      </c>
      <c r="JA98" s="4306" t="str">
        <f t="shared" si="750"/>
        <v>stk added + 71%</v>
      </c>
      <c r="JB98" s="4158"/>
      <c r="JC98" s="4338"/>
      <c r="JD98" s="1086">
        <f t="shared" si="570"/>
        <v>212134.4831202201</v>
      </c>
      <c r="JE98" s="4337">
        <f t="shared" si="571"/>
        <v>202610.51209475752</v>
      </c>
      <c r="JF98" s="7040">
        <f>+IF(D98="","",IF(T98="",IF(T97="",T96/IF(Y96="TP",2,1),T97/IF(Y97="TP",2,1)),T98/IF(Y98="TP",2,1)))</f>
        <v>402</v>
      </c>
      <c r="JG98" s="7056" t="s">
        <v>1093</v>
      </c>
      <c r="JH98" s="6971">
        <f>+IF(D98="","",IF(HX98="","",HX98))</f>
        <v>106812093</v>
      </c>
      <c r="JI98" s="6971">
        <f>+JH98</f>
        <v>106812093</v>
      </c>
      <c r="JJ98" s="6971"/>
      <c r="JK98" s="6971"/>
      <c r="JL98" s="7008"/>
      <c r="JM98" s="7050">
        <f t="shared" si="751"/>
        <v>20438400</v>
      </c>
      <c r="JN98" s="1734">
        <f t="shared" si="637"/>
        <v>35358432</v>
      </c>
      <c r="JO98" s="1734">
        <f t="shared" si="717"/>
        <v>106812093</v>
      </c>
      <c r="JP98" s="7081"/>
      <c r="JQ98" s="7081"/>
      <c r="JR98" s="7056"/>
      <c r="JS98" s="7062">
        <f>+IF(D98="","",SUM(JO98:JR98))</f>
        <v>106812093</v>
      </c>
      <c r="JT98" s="7166">
        <f t="shared" si="476"/>
        <v>2</v>
      </c>
      <c r="JU98" s="7167">
        <f t="shared" si="752"/>
        <v>376</v>
      </c>
      <c r="JV98" s="8378">
        <f t="shared" si="753"/>
        <v>608716</v>
      </c>
      <c r="JW98" s="8405">
        <f t="shared" si="682"/>
        <v>39.869999999999997</v>
      </c>
      <c r="JX98" s="8434">
        <f t="shared" si="754"/>
        <v>63.829787234042556</v>
      </c>
      <c r="JY98" s="8469">
        <f t="shared" si="755"/>
        <v>7.0944844993914208E-2</v>
      </c>
      <c r="JZ98" s="7168">
        <f t="shared" si="756"/>
        <v>29932.048192771083</v>
      </c>
      <c r="KA98" s="7166" t="str">
        <f t="shared" si="757"/>
        <v/>
      </c>
      <c r="KB98" s="7167" t="str">
        <f t="shared" si="758"/>
        <v/>
      </c>
      <c r="KC98" s="7168" t="str">
        <f t="shared" si="759"/>
        <v/>
      </c>
      <c r="KD98" s="7166">
        <f t="shared" si="760"/>
        <v>15958.944</v>
      </c>
      <c r="KE98" s="8342">
        <f t="shared" si="761"/>
        <v>24831.035999999996</v>
      </c>
      <c r="KF98" s="8342">
        <f t="shared" si="762"/>
        <v>16651.400611764704</v>
      </c>
      <c r="KG98" s="7167">
        <f t="shared" si="763"/>
        <v>55105.461278080045</v>
      </c>
      <c r="KH98" s="7167">
        <f>IF(D98="","",IF(JT98=2,0.005*JF98*$KD$6/1000*1000*JU98,""))</f>
        <v>293355.80160000006</v>
      </c>
      <c r="KI98" s="7167">
        <f>IF(D98="","",IF(JT98=2,0.1*0.005*JF98*$KD$6/1000*1000*JU98,""))</f>
        <v>29335.580160000001</v>
      </c>
      <c r="KJ98" s="7167">
        <f t="shared" si="764"/>
        <v>435238.22364984482</v>
      </c>
      <c r="KK98" s="7167">
        <f>+IF(OR(D98="",JU98="",JV98=""),"",$KK$7*$KG$4*JU98)</f>
        <v>39445.107199999999</v>
      </c>
      <c r="KL98" s="7167">
        <f t="shared" si="765"/>
        <v>49855.38912</v>
      </c>
      <c r="KM98" s="7167">
        <f t="shared" si="766"/>
        <v>89300.496320000006</v>
      </c>
      <c r="KN98" s="7167" t="str">
        <f>+IF(D98="","",IF(JX98&lt;41,$KN$8*JZ98*JY98,""))</f>
        <v/>
      </c>
      <c r="KO98" s="7167">
        <f t="shared" si="767"/>
        <v>89300.496320000006</v>
      </c>
      <c r="KP98" s="7168">
        <f t="shared" si="768"/>
        <v>524538.71996984479</v>
      </c>
      <c r="KQ98" s="7212">
        <f>+IF(D98="","",VLOOKUP(MATCH(BE98,ac_id,0),ad,ac!$F$8,FALSE)*JV98)</f>
        <v>182614.8</v>
      </c>
      <c r="KR98" s="7081">
        <f>+IF(D98="","",IF(JT98=1,VLOOKUP(MATCH(BE98,ac_id,0),ad,ac!$H$8,FALSE)*JU98, (VLOOKUP(MATCH(BE98,ac_id,0),ad,ac!$H$8,FALSE)*JU98^(1+VLOOKUP(MATCH(BE98,ac_id,0),ad,ac!$I$8,FALSE)))))</f>
        <v>20329.103593470911</v>
      </c>
      <c r="KS98" s="7062">
        <f t="shared" si="769"/>
        <v>202943.9035934709</v>
      </c>
      <c r="KT98" s="7212">
        <f t="shared" si="770"/>
        <v>53580.297792000005</v>
      </c>
      <c r="KU98" s="7056">
        <f t="shared" si="771"/>
        <v>1414337.28</v>
      </c>
      <c r="KV98" s="7390">
        <f t="shared" si="667"/>
        <v>2</v>
      </c>
      <c r="KW98" s="7274">
        <f t="shared" si="772"/>
        <v>8011883.1172179813</v>
      </c>
      <c r="KX98" s="7062">
        <f t="shared" si="773"/>
        <v>9479800.6950099804</v>
      </c>
      <c r="KY98" s="7356">
        <f t="shared" si="774"/>
        <v>10004339.414979825</v>
      </c>
      <c r="KZ98" s="1343"/>
      <c r="LA98" s="7211">
        <f t="shared" si="668"/>
        <v>262718.99724211724</v>
      </c>
      <c r="LB98" s="1340">
        <f t="shared" si="669"/>
        <v>250923.98833658957</v>
      </c>
      <c r="LC98" s="5133"/>
      <c r="LD98" s="5132"/>
      <c r="LE98" s="5132"/>
      <c r="LF98" s="5132"/>
      <c r="LG98" s="5132"/>
      <c r="LH98" s="5132"/>
      <c r="LI98" s="5132"/>
      <c r="LJ98" s="5132"/>
    </row>
    <row r="99" spans="1:322" s="717" customFormat="1" ht="27.95" customHeight="1">
      <c r="A99" s="10540"/>
      <c r="B99" s="10521" t="str">
        <f>+IF(A99="","",VLOOKUP(MATCH(A99,tid,0),tao,'12(id)'!$J$20,FALSE))</f>
        <v/>
      </c>
      <c r="C99" s="10549"/>
      <c r="D99" s="1031" t="str">
        <f t="shared" si="48"/>
        <v/>
      </c>
      <c r="E99" s="651"/>
      <c r="F99" s="651" t="str">
        <f t="shared" si="49"/>
        <v/>
      </c>
      <c r="G99" s="5133"/>
      <c r="H99" s="5132"/>
      <c r="I99" s="5133"/>
      <c r="J99" s="719">
        <f t="shared" si="68"/>
        <v>65</v>
      </c>
      <c r="K99" s="10559"/>
      <c r="L99" s="9721"/>
      <c r="M99" s="9718"/>
      <c r="N99" s="9699"/>
      <c r="O99" s="9666"/>
      <c r="P99" s="9527"/>
      <c r="Q99" s="9705" t="str">
        <f>+IF(ISERROR(MATCH(O99,tid,0)),"",VLOOKUP(MATCH(O99,tid,0),tao,'12(id)'!$Q$20,FALSE))</f>
        <v/>
      </c>
      <c r="R99" s="10184"/>
      <c r="S99" s="9705"/>
      <c r="T99" s="10527" t="str">
        <f>+IF(ISERROR(MATCH(O99,tid,0)),"",IF(VLOOKUP(MATCH(O99,tid,0),tao,'12(id)'!$CT$20,FALSE)="","",VLOOKUP(MATCH(O99,tid,0),tao,'12(id)'!$CT$20,FALSE)))</f>
        <v/>
      </c>
      <c r="U99" s="10530" t="str">
        <f>+IF(ISERROR(MATCH(O99,tid,0)),"",IF(VLOOKUP(MATCH(O99,tid,0),tao,'12(id)'!$CU$20,FALSE)="","",VLOOKUP(MATCH(O99,tid,0),tao,'12(id)'!$CU$20,FALSE)))</f>
        <v/>
      </c>
      <c r="V99" s="9513" t="str">
        <f>+IF(O99="","",IF(VLOOKUP(MATCH(O99,tid,0),tao,'12(id)'!$T$20,FALSE)="","",VLOOKUP(MATCH(O99,tid,0),tao,'12(id)'!$T$20,FALSE)))</f>
        <v/>
      </c>
      <c r="W99" s="9513" t="str">
        <f>+IF(ISERROR(MATCH(O99,tid,0)),"",IF(VLOOKUP(MATCH(O99,tid,0),tao,'12(id)'!$CO$20,FALSE)="","",VLOOKUP(MATCH(O99,tid,0),tao,'12(id)'!$CO$20,FALSE)))</f>
        <v/>
      </c>
      <c r="X99" s="9513" t="str">
        <f>+IF(ISERROR(MATCH(O99,tid,0)),"",IF(VLOOKUP(MATCH(O99,tid,0),tao,'12(id)'!$CP$20,FALSE)="","",VLOOKUP(MATCH(O99,tid,0),tao,'12(id)'!$CP$20,FALSE)))</f>
        <v/>
      </c>
      <c r="Y99" s="8555" t="str">
        <f>+IF(ISERROR(MATCH(O99,tid,0)),"",IF(VLOOKUP(MATCH(O99,tid,0),tao,'12(id)'!$CQ$20,FALSE)="","",VLOOKUP(MATCH(O99,tid,0),tao,'12(id)'!$CQ$20,FALSE)))</f>
        <v/>
      </c>
      <c r="Z99" s="9666" t="str">
        <f>+IF(ISERROR(MATCH(O99,tid,0)),"",VLOOKUP(MATCH(O99,tid,0),tao,'12(id)'!$DB$20,FALSE)&amp;" "&amp;VLOOKUP(MATCH(O99,tid,0),tao,'12(id)'!$DC$20,FALSE))</f>
        <v/>
      </c>
      <c r="AA99" s="9666" t="str">
        <f>+IF(ISERROR(MATCH(O99,tid,0)),"",IF(VLOOKUP(MATCH(O99,tid,0),tao,'12(id)'!$DE$20,FALSE)="","",ROUND(VLOOKUP(MATCH(O99,tid,0),tao,'12(id)'!$DE$20,FALSE),0)&amp;" yrs"))</f>
        <v/>
      </c>
      <c r="AB99" s="9653" t="str">
        <f>+IF(ISERROR(MATCH(O99,tid,0)),"",VLOOKUP(MATCH(O99,tid,0),tao,'12(id)'!$DI$20,FALSE))</f>
        <v/>
      </c>
      <c r="AC99" s="9653" t="str">
        <f>+IF(ISERROR(MATCH(O99,tid,0)),"",IF(VLOOKUP(MATCH(O99,tid,0),tao,'12(id)'!$DQ$20,FALSE)="","",VLOOKUP(MATCH(O99,tid,0),tao,'12(id)'!$DQ$20,FALSE)))</f>
        <v/>
      </c>
      <c r="AD99" s="10443" t="str">
        <f>+IF(ISERROR(MATCH(O99,tid,0)),"",IF(VLOOKUP(MATCH(O99,tid,0),tao,'12(id)'!$EI$20,FALSE)="","",VLOOKUP(MATCH(O99,tid,0),tao,'12(id)'!$EI$20,FALSE)))</f>
        <v/>
      </c>
      <c r="AE99" s="10443" t="str">
        <f>+IF(ISERROR(MATCH(O99,tid,0)),"",IF(VLOOKUP(MATCH(O99,tid,0),tao,'12(id)'!$EJ$20,FALSE)="","",VLOOKUP(MATCH(O99,tid,0),tao,'12(id)'!$EJ$20,FALSE)))</f>
        <v/>
      </c>
      <c r="AF99" s="10443" t="str">
        <f>+IF(ISERROR(MATCH(O99,tid,0)),"",IF(VLOOKUP(MATCH(O99,tid,0),tao,'12(id)'!$EL$20,FALSE)="","",VLOOKUP(MATCH(O99,tid,0),tao,'12(id)'!$EL$20,FALSE)))</f>
        <v/>
      </c>
      <c r="AG99" s="10416" t="str">
        <f>+IF(ISERROR(MATCH(O99,tid,0)),"",IF(VLOOKUP(MATCH(O99,tid,0),tao,'12(id)'!$EM$20,FALSE)="","",VLOOKUP(MATCH(O99,tid,0),tao,'12(id)'!$EM$20,FALSE)))</f>
        <v/>
      </c>
      <c r="AH99" s="10439"/>
      <c r="AI99" s="10441"/>
      <c r="AJ99" s="10441"/>
      <c r="AK99" s="10441"/>
      <c r="AL99" s="10441"/>
      <c r="AM99" s="10432"/>
      <c r="AN99" s="10422"/>
      <c r="AO99" s="10425" t="str">
        <f>+IF(ISERROR(MATCH(O99,tid,0)),"",IF(VLOOKUP(MATCH(O99,tid,0),tao,'12(id)'!$GY$20,FALSE)="","",VLOOKUP(MATCH(O99,tid,0),tao,'12(id)'!$GY$20,FALSE)))</f>
        <v/>
      </c>
      <c r="AP99" s="10379" t="str">
        <f>+IF($BB99="","",IF(VLOOKUP(MATCH(O99,tid,0),tao,'12(id)'!$HE$20,FALSE)="","",VLOOKUP(MATCH(O99,tid,0),tao,'12(id)'!$HE$20,FALSE)))</f>
        <v/>
      </c>
      <c r="AQ99" s="10406" t="str">
        <f>+IF(ISERROR(VLOOKUP(MATCH(O99,tid,0),tao,'12(id)'!$HF$20,FALSE)),"",VLOOKUP(MATCH(O99,tid,0),tao,'12(id)'!$HF$20,FALSE))</f>
        <v/>
      </c>
      <c r="AR99" s="10417" t="str">
        <f>+IF(ISERROR(MATCH(O99,tid,0)),"",IF(VLOOKUP(MATCH(O99,tid,0),tao,'12(id)'!$HJ$20,FALSE)="","",VLOOKUP(MATCH(O99,tid,0),tao,'12(id)'!$HJ$20,FALSE)))</f>
        <v/>
      </c>
      <c r="AS99" s="10419" t="str">
        <f>+IF(ISERROR(MATCH(O99,tid,0)),"",IF(VLOOKUP(MATCH(O99,tid,0),tao,'12(id)'!$HK$20,FALSE)="","",VLOOKUP(MATCH(O99,tid,0),tao,'12(id)'!$HK$20,FALSE)))</f>
        <v/>
      </c>
      <c r="AT99" s="10466" t="str">
        <f>+IF(ISERROR(MATCH(O99,tid,0)),"",IF(VLOOKUP(MATCH(O99,tid,0),tao,'12(id)'!$HM$20,FALSE)="","",VLOOKUP(MATCH(O99,tid,0),tao,'12(id)'!$HM$20,FALSE)))</f>
        <v/>
      </c>
      <c r="AU99" s="10471" t="str">
        <f>+AU95</f>
        <v>CAIR-OS (max last 3 yrs)</v>
      </c>
      <c r="AV99" s="10473" t="str">
        <f>+IF(ISERROR(MATCH(O99,em_id,0)),"",IF(VLOOKUP(MATCH(O99,em_id,0),em,'5(em)'!$CX$18,FALSE)="","",VLOOKUP(MATCH(O99,em_id,0),em,'5(em)'!$CX$18,FALSE)))</f>
        <v/>
      </c>
      <c r="AW99" s="10489" t="str">
        <f>+IF(ISERROR(MATCH(O99,em_id,0)),"",IF(VLOOKUP(MATCH(O99,em_id,0),em,'5(em)'!$CZ$18,FALSE)="","",VLOOKUP(MATCH(O99,em_id,0),em,'5(em)'!$CZ$18,FALSE)))</f>
        <v/>
      </c>
      <c r="AX99" s="10478" t="str">
        <f t="shared" si="50"/>
        <v/>
      </c>
      <c r="AY99" s="10480"/>
      <c r="AZ99" s="10482" t="str">
        <f>+IF(ISERROR(MATCH(O99,em_id,0)),"",IF(VLOOKUP(MATCH(O99,em_id,0),em,'5(em)'!$DA$18,FALSE)="","",VLOOKUP(MATCH(O99,em_id,0),em,'5(em)'!$DA$18,FALSE)))</f>
        <v/>
      </c>
      <c r="BA99" s="650"/>
      <c r="BB99" s="651" t="str">
        <f>+IF(BC99="","",IF(R99=1,(IF(O99="",LEFT(BB97,7),O99)&amp;"-0"&amp;BC99),IF(AND(LEFT(O99,4)=LEFT(O97,4),R99&gt;1),IF(LEFT(C99,1)=LEFT(C97,1),LEFT(BB97,9),O99&amp;"-0")&amp;BC99,IF(O99="",LEFT(BB97,9)&amp;BC99,O99&amp;"-0"&amp;BC99))))</f>
        <v/>
      </c>
      <c r="BC99" s="659"/>
      <c r="BD99" s="651" t="str">
        <f>+IF(OR(D99="",VLOOKUP(MATCH(D99,op_id,0),op,'7(op)'!$T$18,FALSE)=""),"",VLOOKUP(MATCH(D99,op_id,0),op,'7(op)'!$T$18,FALSE))</f>
        <v/>
      </c>
      <c r="BE99" s="651"/>
      <c r="BF99" s="651"/>
      <c r="BG99" s="652"/>
      <c r="BH99" s="208"/>
      <c r="BI99" s="450"/>
      <c r="BJ99" s="209"/>
      <c r="BK99" s="209"/>
      <c r="BL99" s="209"/>
      <c r="BM99" s="209"/>
      <c r="BN99" s="209" t="str">
        <f t="shared" si="12"/>
        <v/>
      </c>
      <c r="BO99" s="209" t="str">
        <f t="shared" si="13"/>
        <v/>
      </c>
      <c r="BP99" s="209" t="str">
        <f t="shared" si="14"/>
        <v/>
      </c>
      <c r="BQ99" s="209" t="str">
        <f>+IF($BB99="","",IF(OR($AK99="",BJ99=""),"",(1-BJ97/$AK99)))</f>
        <v/>
      </c>
      <c r="BR99" s="210"/>
      <c r="BS99" s="2383"/>
      <c r="BT99" s="452"/>
      <c r="BU99" s="3710" t="str">
        <f>+IF(BB99="","",IF(VLOOKUP(MATCH(BB99,ef_id,0),ef,'11(eff)'!$Z$23,FALSE)="","",VLOOKUP(MATCH(BB99,ef_id,0),ef,'11(eff)'!$Z$23,FALSE)))</f>
        <v/>
      </c>
      <c r="BV99" s="3754" t="str">
        <f>+IF(BB99="","",IF(VLOOKUP(MATCH(BB99,ef_id,0),ef,'11(eff)'!$AA$23,FALSE)="","",VLOOKUP(MATCH(BB99,ef_id,0),ef,'11(eff)'!$AA$23,FALSE)))</f>
        <v/>
      </c>
      <c r="BW99" s="2368"/>
      <c r="BX99" s="3793" t="str">
        <f t="shared" si="511"/>
        <v/>
      </c>
      <c r="BY99" s="3818" t="str">
        <f t="shared" si="512"/>
        <v/>
      </c>
      <c r="BZ99" s="3397"/>
      <c r="CA99" s="3420"/>
      <c r="CB99" s="3849" t="str">
        <f t="shared" si="382"/>
        <v/>
      </c>
      <c r="CC99" s="3869" t="str">
        <f t="shared" si="513"/>
        <v/>
      </c>
      <c r="CD99" s="3869" t="str">
        <f t="shared" si="514"/>
        <v/>
      </c>
      <c r="CE99" s="2373" t="str">
        <f>+IF(BB99="","",IF(VLOOKUP(MATCH(BB99,ef_id,0),ef,'11(eff)'!$AE$23,FALSE)="","",VLOOKUP(MATCH(BB99,ef_id,0),ef,'11(eff)'!$AE$23,FALSE)))</f>
        <v/>
      </c>
      <c r="CF99" s="451"/>
      <c r="CG99" s="452"/>
      <c r="CH99" s="2410"/>
      <c r="CI99" s="3912" t="str">
        <f t="shared" si="628"/>
        <v/>
      </c>
      <c r="CJ99" s="4070"/>
      <c r="CK99" s="3912" t="str">
        <f>+IF($BB99="","",IF(OR($AW99="",CI99=""),"",CI99/2000*$AW99))</f>
        <v/>
      </c>
      <c r="CL99" s="4005" t="str">
        <f>+IF($BB99="","",IF(CK99="","",$AZ99-CK99))</f>
        <v/>
      </c>
      <c r="CM99" s="4006" t="str">
        <f>+IF($BB99="","",IF(CL99="","",CL99/$AZ99))</f>
        <v/>
      </c>
      <c r="CN99" s="4006" t="str">
        <f>+IF($BB99="","",IF(CI99="","",(1-CI99/$AX99)))</f>
        <v/>
      </c>
      <c r="CO99" s="4007"/>
      <c r="CP99" s="4008"/>
      <c r="CQ99" s="451" t="str">
        <f t="shared" si="51"/>
        <v/>
      </c>
      <c r="CR99" s="453"/>
      <c r="CS99" s="2765"/>
      <c r="CT99" s="1591"/>
      <c r="CU99" s="1496"/>
      <c r="CV99" s="1872" t="str">
        <f t="shared" si="704"/>
        <v/>
      </c>
      <c r="CW99" s="1873"/>
      <c r="CX99" s="1873"/>
      <c r="CY99" s="1874"/>
      <c r="CZ99" s="2478"/>
      <c r="DA99" s="2488"/>
      <c r="DB99" s="2488"/>
      <c r="DC99" s="1872"/>
      <c r="DD99" s="1876"/>
      <c r="DE99" s="1877"/>
      <c r="DF99" s="1878"/>
      <c r="DG99" s="1878"/>
      <c r="DH99" s="1876"/>
      <c r="DI99" s="1693" t="str">
        <f>+IF(CT99="","",SUM(CU99:DC99))</f>
        <v/>
      </c>
      <c r="DJ99" s="1938"/>
      <c r="DK99" s="1591"/>
      <c r="DL99" s="1496"/>
      <c r="DM99" s="1872" t="str">
        <f t="shared" si="705"/>
        <v/>
      </c>
      <c r="DN99" s="1873"/>
      <c r="DO99" s="1873"/>
      <c r="DP99" s="1874"/>
      <c r="DQ99" s="2478"/>
      <c r="DR99" s="2488"/>
      <c r="DS99" s="2488"/>
      <c r="DT99" s="1872"/>
      <c r="DU99" s="1876"/>
      <c r="DV99" s="1877"/>
      <c r="DW99" s="1878"/>
      <c r="DX99" s="1878"/>
      <c r="DY99" s="1876"/>
      <c r="DZ99" s="1693" t="str">
        <f t="shared" si="664"/>
        <v/>
      </c>
      <c r="EA99" s="1938"/>
      <c r="EB99" s="1496" t="str">
        <f t="shared" ref="EB99:EB114" si="775">+IF(CT99+DK99=0,"",CT99+DK99)</f>
        <v/>
      </c>
      <c r="EC99" s="1963"/>
      <c r="ED99" s="1415" t="str">
        <f t="shared" si="20"/>
        <v/>
      </c>
      <c r="EE99" s="1875"/>
      <c r="EF99" s="1733"/>
      <c r="EG99" s="1874"/>
      <c r="EH99" s="1693" t="str">
        <f t="shared" si="740"/>
        <v/>
      </c>
      <c r="EI99" s="1877"/>
      <c r="EJ99" s="1878"/>
      <c r="EK99" s="2010"/>
      <c r="EL99" s="1459"/>
      <c r="EM99" s="1877"/>
      <c r="EN99" s="1878"/>
      <c r="EO99" s="2010"/>
      <c r="EP99" s="1693" t="str">
        <f t="shared" ref="EP99:EP114" si="776">+IF(OR(BB99="",EB99=""),"",SUM(EI99:EO99))</f>
        <v/>
      </c>
      <c r="EQ99" s="2561"/>
      <c r="ER99" s="2561"/>
      <c r="ES99" s="2561"/>
      <c r="ET99" s="1459"/>
      <c r="EU99" s="1427"/>
      <c r="EV99" s="1392"/>
      <c r="EW99" s="2585"/>
      <c r="EX99" s="2585"/>
      <c r="EY99" s="2692"/>
      <c r="EZ99" s="2721"/>
      <c r="FA99" s="1392"/>
      <c r="FB99" s="1500" t="str">
        <f t="shared" si="515"/>
        <v/>
      </c>
      <c r="FC99" s="1496" t="str">
        <f t="shared" si="516"/>
        <v/>
      </c>
      <c r="FD99" s="2050" t="str">
        <f t="shared" si="517"/>
        <v/>
      </c>
      <c r="FE99" s="2034" t="str">
        <f t="shared" si="509"/>
        <v/>
      </c>
      <c r="FF99" s="2050" t="str">
        <f t="shared" si="518"/>
        <v/>
      </c>
      <c r="FG99" s="2034" t="str">
        <f t="shared" si="519"/>
        <v/>
      </c>
      <c r="FH99" s="2050" t="str">
        <f t="shared" si="520"/>
        <v/>
      </c>
      <c r="FI99" s="2034" t="str">
        <f t="shared" si="510"/>
        <v/>
      </c>
      <c r="FJ99" s="2796" t="str">
        <f t="shared" si="521"/>
        <v/>
      </c>
      <c r="FK99" s="2812" t="str">
        <f t="shared" si="522"/>
        <v/>
      </c>
      <c r="FL99" s="2784" t="str">
        <f t="shared" si="523"/>
        <v/>
      </c>
      <c r="FM99" s="2034" t="str">
        <f t="shared" si="524"/>
        <v/>
      </c>
      <c r="FN99" s="2784" t="str">
        <f t="shared" si="525"/>
        <v/>
      </c>
      <c r="FO99" s="2774" t="str">
        <f t="shared" si="526"/>
        <v/>
      </c>
      <c r="FP99" s="2784" t="str">
        <f t="shared" si="527"/>
        <v/>
      </c>
      <c r="FQ99" s="2774" t="str">
        <f t="shared" si="528"/>
        <v/>
      </c>
      <c r="FR99" s="2848" t="str">
        <f t="shared" si="529"/>
        <v/>
      </c>
      <c r="FS99" s="2830" t="str">
        <f t="shared" si="530"/>
        <v/>
      </c>
      <c r="FT99" s="1513" t="str">
        <f t="shared" si="531"/>
        <v/>
      </c>
      <c r="FU99" s="2895" t="str">
        <f t="shared" si="532"/>
        <v/>
      </c>
      <c r="FV99" s="1716" t="str">
        <f t="shared" si="533"/>
        <v/>
      </c>
      <c r="FW99" s="2112" t="str">
        <f t="shared" si="534"/>
        <v/>
      </c>
      <c r="FX99" s="1740" t="str">
        <f t="shared" si="535"/>
        <v/>
      </c>
      <c r="FY99" s="2113" t="str">
        <f t="shared" si="536"/>
        <v/>
      </c>
      <c r="FZ99" s="1740" t="str">
        <f t="shared" si="537"/>
        <v/>
      </c>
      <c r="GA99" s="1740" t="str">
        <f t="shared" si="538"/>
        <v/>
      </c>
      <c r="GB99" s="2113" t="str">
        <f t="shared" si="539"/>
        <v/>
      </c>
      <c r="GC99" s="1740" t="str">
        <f t="shared" si="540"/>
        <v/>
      </c>
      <c r="GD99" s="1740" t="str">
        <f t="shared" si="541"/>
        <v/>
      </c>
      <c r="GE99" s="1616" t="str">
        <f t="shared" si="542"/>
        <v/>
      </c>
      <c r="GF99" s="2147" t="str">
        <f t="shared" si="741"/>
        <v/>
      </c>
      <c r="GG99" s="2172" t="str">
        <f t="shared" si="544"/>
        <v/>
      </c>
      <c r="GH99" s="3180" t="str">
        <f t="shared" si="545"/>
        <v/>
      </c>
      <c r="GI99" s="3200" t="s">
        <v>939</v>
      </c>
      <c r="GJ99" s="3205"/>
      <c r="GK99" s="3454" t="str">
        <f t="shared" si="423"/>
        <v/>
      </c>
      <c r="GL99" s="3251" t="str">
        <f t="shared" si="546"/>
        <v/>
      </c>
      <c r="GM99" s="457"/>
      <c r="GN99" s="459"/>
      <c r="GO99" s="1877"/>
      <c r="GP99" s="2010"/>
      <c r="GQ99" s="1459" t="str">
        <f t="shared" si="582"/>
        <v/>
      </c>
      <c r="GR99" s="2325"/>
      <c r="GS99" s="2325"/>
      <c r="GT99" s="460"/>
      <c r="GU99" s="2316" t="str">
        <f t="shared" si="547"/>
        <v/>
      </c>
      <c r="GV99" s="458" t="str">
        <f t="shared" si="548"/>
        <v/>
      </c>
      <c r="GW99" s="2260" t="str">
        <f t="shared" si="549"/>
        <v/>
      </c>
      <c r="GX99" s="460" t="str">
        <f t="shared" si="550"/>
        <v/>
      </c>
      <c r="GY99" s="460" t="str">
        <f t="shared" si="551"/>
        <v/>
      </c>
      <c r="GZ99" s="460" t="str">
        <f t="shared" si="552"/>
        <v/>
      </c>
      <c r="HA99" s="1693" t="str">
        <f t="shared" si="553"/>
        <v/>
      </c>
      <c r="HB99" s="2234" t="str">
        <f t="shared" si="432"/>
        <v/>
      </c>
      <c r="HC99" s="2344" t="str">
        <f t="shared" si="554"/>
        <v/>
      </c>
      <c r="HD99" s="2350" t="str">
        <f t="shared" si="375"/>
        <v/>
      </c>
      <c r="HE99" s="457"/>
      <c r="HF99" s="3256" t="str">
        <f t="shared" si="555"/>
        <v/>
      </c>
      <c r="HG99" s="459"/>
      <c r="HH99" s="2994"/>
      <c r="HI99" s="3021"/>
      <c r="HJ99" s="1733"/>
      <c r="HK99" s="1733"/>
      <c r="HL99" s="1733"/>
      <c r="HM99" s="3025"/>
      <c r="HN99" s="3026" t="str">
        <f t="shared" si="347"/>
        <v/>
      </c>
      <c r="HO99" s="2965"/>
      <c r="HP99" s="2488"/>
      <c r="HQ99" s="3011" t="str">
        <f t="shared" si="556"/>
        <v/>
      </c>
      <c r="HR99" s="1874" t="str">
        <f t="shared" si="557"/>
        <v/>
      </c>
      <c r="HS99" s="1874" t="str">
        <f t="shared" si="558"/>
        <v/>
      </c>
      <c r="HT99" s="2952"/>
      <c r="HU99" s="2954"/>
      <c r="HV99" s="2952" t="str">
        <f t="shared" si="559"/>
        <v/>
      </c>
      <c r="HW99" s="2954" t="str">
        <f t="shared" si="560"/>
        <v/>
      </c>
      <c r="HX99" s="3034" t="str">
        <f t="shared" si="199"/>
        <v/>
      </c>
      <c r="HY99" s="2953" t="str">
        <f t="shared" si="561"/>
        <v/>
      </c>
      <c r="HZ99" s="2954" t="str">
        <f t="shared" si="562"/>
        <v/>
      </c>
      <c r="IA99" s="1496" t="str">
        <f t="shared" si="563"/>
        <v/>
      </c>
      <c r="IB99" s="3038" t="str">
        <f t="shared" si="564"/>
        <v/>
      </c>
      <c r="IC99" s="3053" t="str">
        <f t="shared" si="706"/>
        <v/>
      </c>
      <c r="ID99" s="1300"/>
      <c r="IE99" s="4106"/>
      <c r="IF99" s="4114"/>
      <c r="IG99" s="6779"/>
      <c r="IH99" s="4090"/>
      <c r="II99" s="6797"/>
      <c r="IJ99" s="4106"/>
      <c r="IK99" s="4143">
        <v>0</v>
      </c>
      <c r="IL99" s="4196"/>
      <c r="IM99" s="4197"/>
      <c r="IN99" s="4221"/>
      <c r="IO99" s="4221"/>
      <c r="IP99" s="7234"/>
      <c r="IQ99" s="7242"/>
      <c r="IR99" s="7234"/>
      <c r="IS99" s="7242"/>
      <c r="IT99" s="4221"/>
      <c r="IU99" s="6852" t="str">
        <f t="shared" si="595"/>
        <v/>
      </c>
      <c r="IV99" s="7268"/>
      <c r="IW99" s="7254" t="str">
        <f>IF(IA99="","",#REF!*IA99)</f>
        <v/>
      </c>
      <c r="IX99" s="4188"/>
      <c r="IY99" s="4256"/>
      <c r="IZ99" s="4301"/>
      <c r="JA99" s="4302"/>
      <c r="JB99" s="4157"/>
      <c r="JC99" s="4339"/>
      <c r="JD99" s="3256"/>
      <c r="JE99" s="4364"/>
      <c r="JF99" s="7041"/>
      <c r="JG99" s="7057"/>
      <c r="JH99" s="6972"/>
      <c r="JI99" s="6972"/>
      <c r="JJ99" s="6972"/>
      <c r="JK99" s="6972"/>
      <c r="JL99" s="7009"/>
      <c r="JM99" s="7051"/>
      <c r="JN99" s="1733" t="str">
        <f t="shared" si="637"/>
        <v/>
      </c>
      <c r="JO99" s="1733"/>
      <c r="JP99" s="7082"/>
      <c r="JQ99" s="7082"/>
      <c r="JR99" s="7057"/>
      <c r="JS99" s="7063"/>
      <c r="JT99" s="7169" t="str">
        <f t="shared" si="476"/>
        <v/>
      </c>
      <c r="JU99" s="7170"/>
      <c r="JV99" s="8379"/>
      <c r="JW99" s="8406"/>
      <c r="JX99" s="8435"/>
      <c r="JY99" s="8470" t="str">
        <f t="shared" si="755"/>
        <v/>
      </c>
      <c r="JZ99" s="7171"/>
      <c r="KA99" s="7169"/>
      <c r="KB99" s="7170"/>
      <c r="KC99" s="7171"/>
      <c r="KD99" s="7169"/>
      <c r="KE99" s="8343"/>
      <c r="KF99" s="8343"/>
      <c r="KG99" s="7170"/>
      <c r="KH99" s="7170"/>
      <c r="KI99" s="7170"/>
      <c r="KJ99" s="7170"/>
      <c r="KK99" s="7170"/>
      <c r="KL99" s="7170"/>
      <c r="KM99" s="7170"/>
      <c r="KN99" s="7170"/>
      <c r="KO99" s="7170"/>
      <c r="KP99" s="7171"/>
      <c r="KQ99" s="7213" t="str">
        <f>+IF(D99="","",VLOOKUP(MATCH(BE99,ac_id,0),ad,ac!$F$8,FALSE)*JV99)</f>
        <v/>
      </c>
      <c r="KR99" s="7082" t="str">
        <f>+IF(D99="","",IF(JT99=1,VLOOKUP(MATCH(BE99,ac_id,0),ad,ac!$H$8,FALSE)*JU99, (VLOOKUP(MATCH(BE99,ac_id,0),ad,ac!$H$8,FALSE)*JU99^(1+VLOOKUP(MATCH(BE99,ac_id,0),ad,ac!$I$8,FALSE)))))</f>
        <v/>
      </c>
      <c r="KS99" s="7063" t="str">
        <f t="shared" si="769"/>
        <v/>
      </c>
      <c r="KT99" s="7213" t="str">
        <f>+IF(D99="","",IF(KR99="","",$KT$26*KR99))</f>
        <v/>
      </c>
      <c r="KU99" s="7057" t="str">
        <f t="shared" si="666"/>
        <v/>
      </c>
      <c r="KV99" s="7393" t="str">
        <f t="shared" si="667"/>
        <v/>
      </c>
      <c r="KW99" s="7394" t="str">
        <f>IF(JS99="","",IF(KV99=2,#REF!,$KW$5)*JS99)</f>
        <v/>
      </c>
      <c r="KX99" s="7063" t="str">
        <f>+IF(D99="","",IF(KW99="","",IF(KT99="",0,KT99)+IF(KU99="",0,KU99)+KW99))</f>
        <v/>
      </c>
      <c r="KY99" s="7357" t="str">
        <f>+IF(D99="","",IF(KW99="","",KQ99+KR99+KX99))</f>
        <v/>
      </c>
      <c r="KZ99" s="7358"/>
      <c r="LA99" s="7359" t="str">
        <f t="shared" si="668"/>
        <v/>
      </c>
      <c r="LB99" s="7360" t="str">
        <f t="shared" si="669"/>
        <v/>
      </c>
      <c r="LC99" s="5133"/>
      <c r="LD99" s="5132"/>
      <c r="LE99" s="5132"/>
      <c r="LF99" s="5132"/>
      <c r="LG99" s="5132"/>
      <c r="LH99" s="5132"/>
      <c r="LI99" s="5132"/>
      <c r="LJ99" s="5132"/>
    </row>
    <row r="100" spans="1:322" s="13" customFormat="1" ht="27.95" customHeight="1">
      <c r="A100" s="10538" t="str">
        <f>+O100</f>
        <v>8306-06</v>
      </c>
      <c r="B100" s="10521" t="str">
        <f>+IF(A100="","",VLOOKUP(MATCH(A100,tid,0),tao,'12(id)'!$J$20,FALSE))</f>
        <v>NRG</v>
      </c>
      <c r="C100" s="10549" t="str">
        <f t="shared" si="47"/>
        <v>NH1 </v>
      </c>
      <c r="D100" s="1067" t="str">
        <f t="shared" si="48"/>
        <v>8306-06-01</v>
      </c>
      <c r="E100" s="3151" t="str">
        <f>+IF(BD100="","",BD100)</f>
        <v>Separated Overfired Air / High Energy Reagent Technology (SOFA/HERT)</v>
      </c>
      <c r="F100" s="3151" t="str">
        <f t="shared" ref="F100:F114" si="777">IF(BE100="","",BE100)</f>
        <v>New Eqp</v>
      </c>
      <c r="G100" s="5133"/>
      <c r="H100" s="5132"/>
      <c r="I100" s="5133"/>
      <c r="J100" s="719">
        <f t="shared" si="68"/>
        <v>66</v>
      </c>
      <c r="K100" s="10541">
        <f>1+K96</f>
        <v>6</v>
      </c>
      <c r="L100" s="9721"/>
      <c r="M100" s="9718"/>
      <c r="N100" s="9699"/>
      <c r="O100" s="9706" t="s">
        <v>298</v>
      </c>
      <c r="P100" s="9716" t="str">
        <f>+IF(O100="","",VLOOKUP(MATCH(O100,tid,0),tao,'12(id)'!$L$20,FALSE))</f>
        <v>Norwalk Harbor Station</v>
      </c>
      <c r="Q100" s="9704" t="str">
        <f>+IF(ISERROR(MATCH(O100,tid,0)),"",VLOOKUP(MATCH(O100,tid,0),tao,'12(id)'!$Q$20,FALSE))</f>
        <v>NH1 </v>
      </c>
      <c r="R100" s="10523">
        <v>1</v>
      </c>
      <c r="S100" s="9704"/>
      <c r="T100" s="10525">
        <f>+IF(ISERROR(MATCH(O100,tid,0)),"",IF(VLOOKUP(MATCH(O100,tid,0),tao,'12(id)'!$CT$20,FALSE)="","",VLOOKUP(MATCH(O100,tid,0),tao,'12(id)'!$CT$20,FALSE)))</f>
        <v>164</v>
      </c>
      <c r="U100" s="10528">
        <f>+IF(ISERROR(MATCH(O100,tid,0)),"",IF(VLOOKUP(MATCH(O100,tid,0),tao,'12(id)'!$CU$20,FALSE)="","",VLOOKUP(MATCH(O100,tid,0),tao,'12(id)'!$CU$20,FALSE)))</f>
        <v>353</v>
      </c>
      <c r="V100" s="10446" t="str">
        <f>+IF(O100="","",IF(VLOOKUP(MATCH(O100,tid,0),tao,'12(id)'!$T$20,FALSE)="","",VLOOKUP(MATCH(O100,tid,0),tao,'12(id)'!$T$20,FALSE)))</f>
        <v>Utility Boiler</v>
      </c>
      <c r="W100" s="10446" t="str">
        <f>+IF(ISERROR(MATCH(O100,tid,0)),"",IF(VLOOKUP(MATCH(O100,tid,0),tao,'12(id)'!$CO$20,FALSE)="","",VLOOKUP(MATCH(O100,tid,0),tao,'12(id)'!$CO$20,FALSE)))</f>
        <v>Combustion Engineering</v>
      </c>
      <c r="X100" s="10446" t="str">
        <f>+IF(ISERROR(MATCH(O100,tid,0)),"",IF(VLOOKUP(MATCH(O100,tid,0),tao,'12(id)'!$CP$20,FALSE)="","",VLOOKUP(MATCH(O100,tid,0),tao,'12(id)'!$CP$20,FALSE)))</f>
        <v>Tangential fired</v>
      </c>
      <c r="Y100" s="2421" t="str">
        <f>+IF(ISERROR(MATCH(O100,tid,0)),"",IF(VLOOKUP(MATCH(O100,tid,0),tao,'12(id)'!$CQ$20,FALSE)="","",VLOOKUP(MATCH(O100,tid,0),tao,'12(id)'!$CQ$20,FALSE)))</f>
        <v/>
      </c>
      <c r="Z100" s="10445" t="str">
        <f>+IF(ISERROR(MATCH(O100,tid,0)),"",VLOOKUP(MATCH(O100,tid,0),tao,'12(id)'!$DB$20,FALSE)&amp;" "&amp;VLOOKUP(MATCH(O100,tid,0),tao,'12(id)'!$DC$20,FALSE))</f>
        <v xml:space="preserve"> </v>
      </c>
      <c r="AA100" s="10445" t="str">
        <f>+IF(ISERROR(MATCH(O100,tid,0)),"",IF(VLOOKUP(MATCH(O100,tid,0),tao,'12(id)'!$DE$20,FALSE)="","",ROUND(VLOOKUP(MATCH(O100,tid,0),tao,'12(id)'!$DE$20,FALSE),0)&amp;" yrs"))</f>
        <v/>
      </c>
      <c r="AB100" s="9732" t="str">
        <f>+IF(ISERROR(MATCH(O100,tid,0)),"",VLOOKUP(MATCH(O100,tid,0),tao,'12(id)'!$DI$20,FALSE))</f>
        <v>No. 6 oil</v>
      </c>
      <c r="AC100" s="9732" t="str">
        <f>+IF(ISERROR(MATCH(O100,tid,0)),"",IF(VLOOKUP(MATCH(O100,tid,0),tao,'12(id)'!$DQ$20,FALSE)="","",VLOOKUP(MATCH(O100,tid,0),tao,'12(id)'!$DQ$20,FALSE)))</f>
        <v>No. 2 oil</v>
      </c>
      <c r="AD100" s="10411" t="str">
        <f>+IF(ISERROR(MATCH(O100,tid,0)),"",IF(VLOOKUP(MATCH(O100,tid,0),tao,'12(id)'!$EI$20,FALSE)="","",VLOOKUP(MATCH(O100,tid,0),tao,'12(id)'!$EI$20,FALSE)))</f>
        <v/>
      </c>
      <c r="AE100" s="10411" t="str">
        <f>+IF(ISERROR(MATCH(O100,tid,0)),"",IF(VLOOKUP(MATCH(O100,tid,0),tao,'12(id)'!$EJ$20,FALSE)="","",VLOOKUP(MATCH(O100,tid,0),tao,'12(id)'!$EJ$20,FALSE)))</f>
        <v/>
      </c>
      <c r="AF100" s="10411">
        <f>+IF(ISERROR(MATCH(O100,tid,0)),"",IF(VLOOKUP(MATCH(O100,tid,0),tao,'12(id)'!$EL$20,FALSE)="","",VLOOKUP(MATCH(O100,tid,0),tao,'12(id)'!$EL$20,FALSE)))</f>
        <v>0.21</v>
      </c>
      <c r="AG100" s="10408" t="str">
        <f>+IF(ISERROR(MATCH(O100,tid,0)),"",IF(VLOOKUP(MATCH(O100,tid,0),tao,'12(id)'!$EM$20,FALSE)="","",VLOOKUP(MATCH(O100,tid,0),tao,'12(id)'!$EM$20,FALSE)))</f>
        <v/>
      </c>
      <c r="AH100" s="10436" t="str">
        <f>+AH96</f>
        <v>48 hrs/year operation</v>
      </c>
      <c r="AI100" s="10441"/>
      <c r="AJ100" s="10441"/>
      <c r="AK100" s="10441"/>
      <c r="AL100" s="10441"/>
      <c r="AM100" s="10432"/>
      <c r="AN100" s="10423" t="str">
        <f>+AN96</f>
        <v>2010-2009 average</v>
      </c>
      <c r="AO100" s="10425">
        <f>+IF(ISERROR(MATCH(O100,tid,0)),"",IF(VLOOKUP(MATCH(O100,tid,0),tao,'12(id)'!$GY$20,FALSE)="","",VLOOKUP(MATCH(O100,tid,0),tao,'12(id)'!$GY$20,FALSE)))</f>
        <v>418.45</v>
      </c>
      <c r="AP100" s="10377">
        <f>+IF($BB100="","",IF(VLOOKUP(MATCH(O100,tid,0),tao,'12(id)'!$HE$20,FALSE)="","",VLOOKUP(MATCH(O100,tid,0),tao,'12(id)'!$HE$20,FALSE)))</f>
        <v>299765</v>
      </c>
      <c r="AQ100" s="10406">
        <f>+IF(ISERROR(VLOOKUP(MATCH(O100,tid,0),tao,'12(id)'!$HF$20,FALSE)),"",VLOOKUP(MATCH(O100,tid,0),tao,'12(id)'!$HF$20,FALSE))</f>
        <v>299765</v>
      </c>
      <c r="AR100" s="10417">
        <f>+IF(ISERROR(MATCH(O100,tid,0)),"",IF(VLOOKUP(MATCH(O100,tid,0),tao,'12(id)'!$HJ$20,FALSE)="","",VLOOKUP(MATCH(O100,tid,0),tao,'12(id)'!$HJ$20,FALSE)))</f>
        <v>0.21</v>
      </c>
      <c r="AS100" s="10419" t="str">
        <f>+IF(ISERROR(MATCH(O100,tid,0)),"",IF(VLOOKUP(MATCH(O100,tid,0),tao,'12(id)'!$HK$20,FALSE)="","",VLOOKUP(MATCH(O100,tid,0),tao,'12(id)'!$HK$20,FALSE)))</f>
        <v/>
      </c>
      <c r="AT100" s="10466">
        <f>+IF(ISERROR(MATCH(O100,tid,0)),"",IF(VLOOKUP(MATCH(O100,tid,0),tao,'12(id)'!$HM$20,FALSE)="","",VLOOKUP(MATCH(O100,tid,0),tao,'12(id)'!$HM$20,FALSE)))</f>
        <v>31.48</v>
      </c>
      <c r="AU100" s="10470" t="str">
        <f>+AU96</f>
        <v>CAIR-OS (max last 3 yrs)</v>
      </c>
      <c r="AV100" s="10473">
        <f>+IF(ISERROR(MATCH(O100,em_id,0)),"",IF(VLOOKUP(MATCH(O100,em_id,0),em,'5(em)'!$CX$18,FALSE)="","",VLOOKUP(MATCH(O100,em_id,0),em,'5(em)'!$CX$18,FALSE)))</f>
        <v>829</v>
      </c>
      <c r="AW100" s="10489">
        <f>+IF(ISERROR(MATCH(O100,em_id,0)),"",IF(VLOOKUP(MATCH(O100,em_id,0),em,'5(em)'!$CZ$18,FALSE)="","",VLOOKUP(MATCH(O100,em_id,0),em,'5(em)'!$CZ$18,FALSE)))</f>
        <v>624903</v>
      </c>
      <c r="AX100" s="10478">
        <f t="shared" si="50"/>
        <v>0.16</v>
      </c>
      <c r="AY100" s="10480"/>
      <c r="AZ100" s="10482">
        <f>+IF(ISERROR(MATCH(O100,em_id,0)),"",IF(VLOOKUP(MATCH(O100,em_id,0),em,'5(em)'!$DA$18,FALSE)="","",VLOOKUP(MATCH(O100,em_id,0),em,'5(em)'!$DA$18,FALSE)))</f>
        <v>49.5</v>
      </c>
      <c r="BA100" s="1030"/>
      <c r="BB100" s="1362" t="str">
        <f t="shared" ref="BB100:BB111" si="778">+IF(BC100="","",IF(R100=1,(IF(O100="",LEFT(BB99,7),O100)&amp;"-0"&amp;BC100),IF(AND(LEFT(O100,4)=LEFT(O99,4),R100&gt;1),IF(LEFT(C100,1)=LEFT(C99,1),LEFT(BB99,9),O100&amp;"-0")&amp;BC100,IF(O100="",LEFT(BB99,9)&amp;BC100,O100&amp;"-0"&amp;BC100))))</f>
        <v>8306-06-01</v>
      </c>
      <c r="BC100" s="7905">
        <v>1</v>
      </c>
      <c r="BD100" s="3151" t="str">
        <f>+IF(OR(D100="",VLOOKUP(MATCH(D100,op_id,0),op,'7(op)'!$T$18,FALSE)=""),"",VLOOKUP(MATCH(D100,op_id,0),op,'7(op)'!$T$18,FALSE))</f>
        <v>Separated Overfired Air / High Energy Reagent Technology (SOFA/HERT)</v>
      </c>
      <c r="BE100" s="1036" t="s">
        <v>1629</v>
      </c>
      <c r="BF100" s="1036" t="s">
        <v>1861</v>
      </c>
      <c r="BG100" s="1035"/>
      <c r="BH100" s="8635"/>
      <c r="BI100" s="100"/>
      <c r="BJ100" s="100"/>
      <c r="BK100" s="100"/>
      <c r="BL100" s="100"/>
      <c r="BM100" s="100"/>
      <c r="BN100" s="100" t="str">
        <f t="shared" si="12"/>
        <v/>
      </c>
      <c r="BO100" s="100" t="str">
        <f t="shared" si="13"/>
        <v/>
      </c>
      <c r="BP100" s="100" t="str">
        <f t="shared" si="14"/>
        <v/>
      </c>
      <c r="BQ100" s="100" t="str">
        <f t="shared" si="15"/>
        <v/>
      </c>
      <c r="BR100" s="1027"/>
      <c r="BS100" s="1754" t="s">
        <v>559</v>
      </c>
      <c r="BT100" s="7905"/>
      <c r="BU100" s="3714">
        <f>+IF(BB100="","",IF(VLOOKUP(MATCH(BB100,ef_id,0),ef,'11(eff)'!$Z$23,FALSE)="","",VLOOKUP(MATCH(BB100,ef_id,0),ef,'11(eff)'!$Z$23,FALSE)))</f>
        <v>0.15</v>
      </c>
      <c r="BV100" s="3759" t="str">
        <f>+IF(BB100="","",IF(VLOOKUP(MATCH(BB100,ef_id,0),ef,'11(eff)'!$AA$23,FALSE)="","",VLOOKUP(MATCH(BB100,ef_id,0),ef,'11(eff)'!$AA$23,FALSE)))</f>
        <v/>
      </c>
      <c r="BW100" s="3781">
        <v>22.48</v>
      </c>
      <c r="BX100" s="3802">
        <f t="shared" si="511"/>
        <v>22.48</v>
      </c>
      <c r="BY100" s="3821">
        <f t="shared" si="512"/>
        <v>22.482374999999998</v>
      </c>
      <c r="BZ100" s="3400"/>
      <c r="CA100" s="3425"/>
      <c r="CB100" s="3853">
        <f t="shared" si="382"/>
        <v>9</v>
      </c>
      <c r="CC100" s="3874">
        <f t="shared" si="513"/>
        <v>0.28589580686149935</v>
      </c>
      <c r="CD100" s="3873">
        <f t="shared" si="514"/>
        <v>0.2857142857142857</v>
      </c>
      <c r="CE100" s="2379">
        <f>+IF(BB100="","",IF(VLOOKUP(MATCH(BB100,ef_id,0),ef,'11(eff)'!$AE$23,FALSE)="","",VLOOKUP(MATCH(BB100,ef_id,0),ef,'11(eff)'!$AE$23,FALSE)))</f>
        <v>0.2857142857142857</v>
      </c>
      <c r="CF100" s="8635"/>
      <c r="CG100" s="100"/>
      <c r="CH100" s="2417"/>
      <c r="CI100" s="4009">
        <f t="shared" si="628"/>
        <v>0.11316041963998529</v>
      </c>
      <c r="CJ100" s="4062" t="str">
        <f>+IF(AY100="","",AY100*(1-CO100))</f>
        <v/>
      </c>
      <c r="CK100" s="4009">
        <f>+IF($BB100="","",IF(CI100="",IF($AZ100="",IF($AZ99="",$AZ98,$AZ99),$AZ100)-CL100,IF(OR(IF($AW100="",IF($AW99="",$AW98,$AW99),$AW100)="",CI100=""),"",CI100/2000*IF($AW100="",IF($AW99="",$AW98,$AW99),$AW100))))</f>
        <v>35.357142857142861</v>
      </c>
      <c r="CL100" s="4010">
        <f>+IF($BB100="","",IF(CI100="",CO100*IF($AZ100="",IF($AZ99="",$AZ98,$AZ99),$AZ100),IF(CK100="","",IF($AZ100="",IF($AZ99="",$AZ98,$AZ99),$AZ100)-CK100)))</f>
        <v>14.142857142857139</v>
      </c>
      <c r="CM100" s="4011">
        <f>+IF($BB100="","",IF(CL100="","",CL100/IF($AZ100="",IF($AZ99="",$AZ98,$AZ99),$AZ100)))</f>
        <v>0.28571428571428564</v>
      </c>
      <c r="CN100" s="4011">
        <f>+IF($BB100="","",IF(CI100="","",(1-CI100/IF($AX100="",IF($AX99="",$AX98,$AX99),$AX100))))</f>
        <v>0.29274737725009203</v>
      </c>
      <c r="CO100" s="4012">
        <f>+IF(BB100="","",IF(VLOOKUP(MATCH(BB100,ef_id,0),ef,'11(eff)'!$AE$23,FALSE)="","",VLOOKUP(MATCH(BB100,ef_id,0),ef,'11(eff)'!$AE$23,FALSE)))</f>
        <v>0.2857142857142857</v>
      </c>
      <c r="CP100" s="3985" t="str">
        <f>+IF(OR(BB100="",VLOOKUP(MATCH(BB100,ef_id,0),ef,'11(eff)'!$AG$23,FALSE)=""),"",IF(VLOOKUP(MATCH(BB100,ef_id,0),ef,'11(eff)'!$AG$23,FALSE)/100=VLOOKUP(MATCH(BB100,ef_id,0),ef,'11(eff)'!$AE$23,FALSE),VLOOKUP(MATCH(BB100,ef_id,0),ef,'11(eff)'!$AE$23,FALSE),""))</f>
        <v/>
      </c>
      <c r="CQ100" s="1371" t="str">
        <f t="shared" si="51"/>
        <v>Separated Overfired Air / High Energy Reagent Technology (SOFA/HERT)</v>
      </c>
      <c r="CR100" s="8580"/>
      <c r="CS100" s="2768">
        <v>5857063</v>
      </c>
      <c r="CT100" s="1594">
        <v>1860912</v>
      </c>
      <c r="CU100" s="1520">
        <v>1481238</v>
      </c>
      <c r="CV100" s="1896">
        <f t="shared" si="704"/>
        <v>50000</v>
      </c>
      <c r="CW100" s="1897">
        <v>30000</v>
      </c>
      <c r="CX100" s="1897">
        <v>100000</v>
      </c>
      <c r="CY100" s="1898"/>
      <c r="CZ100" s="2481"/>
      <c r="DA100" s="2490"/>
      <c r="DB100" s="2490"/>
      <c r="DC100" s="1896"/>
      <c r="DD100" s="1899"/>
      <c r="DE100" s="1900"/>
      <c r="DF100" s="1901"/>
      <c r="DG100" s="1901">
        <v>100000</v>
      </c>
      <c r="DH100" s="1899"/>
      <c r="DI100" s="1523">
        <f t="shared" ref="DI100:DI114" si="779">+IF(CT100="","",SUM(CU100:DC100)+SUM(DE100:DF100))</f>
        <v>1661238</v>
      </c>
      <c r="DJ100" s="1942">
        <v>99674</v>
      </c>
      <c r="DK100" s="1594">
        <v>1047639</v>
      </c>
      <c r="DL100" s="1520">
        <v>500000</v>
      </c>
      <c r="DM100" s="1896">
        <f t="shared" si="705"/>
        <v>35000</v>
      </c>
      <c r="DN100" s="1897">
        <v>20000</v>
      </c>
      <c r="DO100" s="1897">
        <v>13339</v>
      </c>
      <c r="DP100" s="1898">
        <f>200000+170000</f>
        <v>370000</v>
      </c>
      <c r="DQ100" s="2481"/>
      <c r="DR100" s="2490"/>
      <c r="DS100" s="2490">
        <v>50000</v>
      </c>
      <c r="DT100" s="1896"/>
      <c r="DU100" s="1899"/>
      <c r="DV100" s="1900"/>
      <c r="DW100" s="1901"/>
      <c r="DX100" s="1901"/>
      <c r="DY100" s="1899"/>
      <c r="DZ100" s="1523">
        <f t="shared" si="664"/>
        <v>988339</v>
      </c>
      <c r="EA100" s="1942">
        <v>59300</v>
      </c>
      <c r="EB100" s="1520">
        <f t="shared" si="775"/>
        <v>2908551</v>
      </c>
      <c r="EC100" s="627">
        <v>1</v>
      </c>
      <c r="ED100" s="1521">
        <f t="shared" si="20"/>
        <v>2908551</v>
      </c>
      <c r="EE100" s="1908"/>
      <c r="EF100" s="1985"/>
      <c r="EG100" s="1907">
        <v>1308847.95</v>
      </c>
      <c r="EH100" s="1523">
        <f t="shared" si="740"/>
        <v>1308847.95</v>
      </c>
      <c r="EI100" s="1900">
        <f>0.05*(ED100+EH100)</f>
        <v>210869.94750000001</v>
      </c>
      <c r="EJ100" s="1901">
        <f>0.1*(ED100+EH100)</f>
        <v>421739.89500000002</v>
      </c>
      <c r="EK100" s="2014">
        <f>0.05*(ED100+EH100)</f>
        <v>210869.94750000001</v>
      </c>
      <c r="EL100" s="1564"/>
      <c r="EM100" s="1900"/>
      <c r="EN100" s="1901"/>
      <c r="EO100" s="2014"/>
      <c r="EP100" s="1523">
        <f t="shared" si="776"/>
        <v>843479.79</v>
      </c>
      <c r="EQ100" s="1523"/>
      <c r="ER100" s="1523"/>
      <c r="ES100" s="1523"/>
      <c r="ET100" s="1523">
        <f>0.15*(ED100+EH100+EP100)</f>
        <v>759131.81099999999</v>
      </c>
      <c r="EU100" s="1522">
        <f>0.02*(EP100+ET100)</f>
        <v>32052.232019999999</v>
      </c>
      <c r="EV100" s="1516">
        <v>5000</v>
      </c>
      <c r="EW100" s="2589"/>
      <c r="EX100" s="2589"/>
      <c r="EY100" s="2696">
        <f>+IF(BB100="","",(IF(ED100="",0,ED100)+IF(EH100="",0,EH100)+IF(EP100="",0,EP100)+IF(ET100="",0,ET100)+IF(EW100="",0,EW100)+IF(EX100="",0,EX100)))</f>
        <v>5820010.551</v>
      </c>
      <c r="EZ100" s="2725"/>
      <c r="FA100" s="1521"/>
      <c r="FB100" s="1503">
        <f t="shared" si="515"/>
        <v>5820010.551</v>
      </c>
      <c r="FC100" s="1488">
        <f t="shared" si="516"/>
        <v>2908551</v>
      </c>
      <c r="FD100" s="2049">
        <f t="shared" si="517"/>
        <v>1981238</v>
      </c>
      <c r="FE100" s="2033">
        <f t="shared" si="509"/>
        <v>0.68117698469100252</v>
      </c>
      <c r="FF100" s="2049">
        <f t="shared" si="518"/>
        <v>618339</v>
      </c>
      <c r="FG100" s="2033">
        <f t="shared" si="519"/>
        <v>0.2125934872725285</v>
      </c>
      <c r="FH100" s="2049">
        <f t="shared" si="520"/>
        <v>0</v>
      </c>
      <c r="FI100" s="2033">
        <f t="shared" si="510"/>
        <v>0</v>
      </c>
      <c r="FJ100" s="1518">
        <f t="shared" si="521"/>
        <v>2599577</v>
      </c>
      <c r="FK100" s="2033">
        <f t="shared" si="522"/>
        <v>0.89377047196353099</v>
      </c>
      <c r="FL100" s="2629">
        <f t="shared" si="523"/>
        <v>50000</v>
      </c>
      <c r="FM100" s="2033">
        <f t="shared" si="524"/>
        <v>1.7190690484712147E-2</v>
      </c>
      <c r="FN100" s="2049">
        <f t="shared" si="525"/>
        <v>0</v>
      </c>
      <c r="FO100" s="2033">
        <f t="shared" si="526"/>
        <v>0</v>
      </c>
      <c r="FP100" s="2049">
        <f t="shared" si="527"/>
        <v>100000</v>
      </c>
      <c r="FQ100" s="2033">
        <f t="shared" si="528"/>
        <v>3.4381380969424294E-2</v>
      </c>
      <c r="FR100" s="2837">
        <f t="shared" si="529"/>
        <v>2649577</v>
      </c>
      <c r="FS100" s="1804">
        <f t="shared" si="530"/>
        <v>158974</v>
      </c>
      <c r="FT100" s="2061">
        <f t="shared" si="531"/>
        <v>5.999976600038421E-2</v>
      </c>
      <c r="FU100" s="2881">
        <f t="shared" si="532"/>
        <v>0</v>
      </c>
      <c r="FV100" s="1715">
        <f t="shared" si="533"/>
        <v>17735.067073170732</v>
      </c>
      <c r="FW100" s="2087">
        <f t="shared" si="534"/>
        <v>1308847.95</v>
      </c>
      <c r="FX100" s="1741">
        <f t="shared" si="535"/>
        <v>0.45</v>
      </c>
      <c r="FY100" s="2088">
        <f t="shared" si="536"/>
        <v>843479.79</v>
      </c>
      <c r="FZ100" s="1741">
        <f t="shared" si="537"/>
        <v>0.29000000000000004</v>
      </c>
      <c r="GA100" s="1741">
        <f t="shared" si="538"/>
        <v>0.2</v>
      </c>
      <c r="GB100" s="2088">
        <f t="shared" si="539"/>
        <v>759131.81099999999</v>
      </c>
      <c r="GC100" s="1741">
        <f t="shared" si="540"/>
        <v>0.26100000000000001</v>
      </c>
      <c r="GD100" s="1741">
        <f t="shared" si="541"/>
        <v>0.15</v>
      </c>
      <c r="GE100" s="1610">
        <f t="shared" si="542"/>
        <v>5820010.551</v>
      </c>
      <c r="GF100" s="2136">
        <f t="shared" si="741"/>
        <v>5857062.78302</v>
      </c>
      <c r="GG100" s="2159">
        <f t="shared" si="544"/>
        <v>-3.7045872369745325E-8</v>
      </c>
      <c r="GH100" s="2505">
        <f t="shared" si="545"/>
        <v>35713.797457439025</v>
      </c>
      <c r="GI100" s="1610">
        <v>1516150</v>
      </c>
      <c r="GJ100" s="1507">
        <v>168593</v>
      </c>
      <c r="GK100" s="3440">
        <f t="shared" si="423"/>
        <v>9</v>
      </c>
      <c r="GL100" s="3249">
        <f t="shared" si="546"/>
        <v>7.8229160694024043E-4</v>
      </c>
      <c r="GM100" s="1225"/>
      <c r="GN100" s="1224"/>
      <c r="GO100" s="2283">
        <v>5000</v>
      </c>
      <c r="GP100" s="2284">
        <v>5343</v>
      </c>
      <c r="GQ100" s="2331">
        <f t="shared" si="582"/>
        <v>10343</v>
      </c>
      <c r="GR100" s="2327"/>
      <c r="GS100" s="2327"/>
      <c r="GT100" s="1684">
        <v>1505807</v>
      </c>
      <c r="GU100" s="2335">
        <f t="shared" si="547"/>
        <v>1516150</v>
      </c>
      <c r="GV100" s="1133">
        <f t="shared" si="548"/>
        <v>5000</v>
      </c>
      <c r="GW100" s="2243">
        <f t="shared" si="549"/>
        <v>5343</v>
      </c>
      <c r="GX100" s="2213">
        <f t="shared" si="550"/>
        <v>10343</v>
      </c>
      <c r="GY100" s="2218" t="str">
        <f t="shared" si="551"/>
        <v/>
      </c>
      <c r="GZ100" s="2218" t="str">
        <f t="shared" si="552"/>
        <v/>
      </c>
      <c r="HA100" s="1684">
        <f t="shared" si="553"/>
        <v>1505807</v>
      </c>
      <c r="HB100" s="1333">
        <f t="shared" si="432"/>
        <v>1516150</v>
      </c>
      <c r="HC100" s="2364">
        <f t="shared" si="554"/>
        <v>1516150</v>
      </c>
      <c r="HD100" s="2349">
        <f t="shared" si="375"/>
        <v>0</v>
      </c>
      <c r="HE100" s="1225"/>
      <c r="HF100" s="1518">
        <f t="shared" si="555"/>
        <v>168593</v>
      </c>
      <c r="HG100" s="1224">
        <f>+IF(OR(HC100="",$CL100=""),"",HC100/$CL100)</f>
        <v>107202.52525252529</v>
      </c>
      <c r="HH100" s="2981">
        <f>+IF(BF100="","",VALUE(LEFT(BF100,1)))</f>
        <v>2</v>
      </c>
      <c r="HI100" s="2927">
        <f>+IF(FR100="","",FR100)</f>
        <v>2649577</v>
      </c>
      <c r="HJ100" s="2069">
        <f>+IF(FP100="","",FP100)</f>
        <v>100000</v>
      </c>
      <c r="HK100" s="2069">
        <f>+IF(FN100="","",FN100)</f>
        <v>0</v>
      </c>
      <c r="HL100" s="2069">
        <f>+IF(FR100="","",IF(HH100="","",IF(HH100=4,FS100,IF(HH100=3,FS100,IF(HH100=2,$HL$7*HI100,IF(HH100=1,$HL$6*HI100,""))))))</f>
        <v>158974.62</v>
      </c>
      <c r="HM100" s="2934">
        <f>IF(FR100="","",SUM(HI100:HL100))</f>
        <v>2908551.62</v>
      </c>
      <c r="HN100" s="2911">
        <f t="shared" si="347"/>
        <v>17735.070853658537</v>
      </c>
      <c r="HO100" s="1806">
        <f>+IF(FR100="","",IF(HH100="","",IF(HH100=4,FW100,IF(HH100=3,FW100,IF(HH100=2,$HO$7*HM100,IF(HH100=1,$HO$6*HM100,""))))))</f>
        <v>1308848.2290000001</v>
      </c>
      <c r="HP100" s="2069">
        <f>+IF(FR100="","",IF(HH100="","",IF(HH100=4,FY100,IF(HH100=3,FY100,IF(HH100=2,$HP$7*(HM100+HO100),IF(HH100=1,$HP$6*HM100,""))))))</f>
        <v>843479.96980000008</v>
      </c>
      <c r="HQ100" s="3010" t="str">
        <f t="shared" si="556"/>
        <v/>
      </c>
      <c r="HR100" s="1805">
        <f t="shared" si="557"/>
        <v>759131.97282000002</v>
      </c>
      <c r="HS100" s="1805">
        <f t="shared" si="558"/>
        <v>759131.97282000002</v>
      </c>
      <c r="HT100" s="2955">
        <f>+IF(FR100="","",IF(HH100="","",IF(HH100=2,$HT$7*(HP100+HR100),"")))</f>
        <v>32052.238852400002</v>
      </c>
      <c r="HU100" s="2956">
        <f>+IF(FR100="","",IF(HH100="","",IF(HH100=2,$HU$7*(HP100+HR100),"")))</f>
        <v>0</v>
      </c>
      <c r="HV100" s="2955" t="str">
        <f t="shared" si="559"/>
        <v/>
      </c>
      <c r="HW100" s="2956" t="str">
        <f t="shared" si="560"/>
        <v/>
      </c>
      <c r="HX100" s="2909">
        <f t="shared" si="199"/>
        <v>5852064.0304724006</v>
      </c>
      <c r="HY100" s="2931" t="str">
        <f t="shared" si="561"/>
        <v/>
      </c>
      <c r="HZ100" s="2956" t="str">
        <f t="shared" si="562"/>
        <v/>
      </c>
      <c r="IA100" s="1488">
        <f t="shared" si="563"/>
        <v>5852064.0304724006</v>
      </c>
      <c r="IB100" s="3040" t="str">
        <f t="shared" si="564"/>
        <v>stk added + 0%</v>
      </c>
      <c r="IC100" s="3045">
        <f t="shared" si="706"/>
        <v>35683.317258978052</v>
      </c>
      <c r="ID100" s="1204"/>
      <c r="IE100" s="4097"/>
      <c r="IF100" s="2909">
        <f t="shared" ref="IF100:IF113" si="780">+IF(GO100="","",GO100)</f>
        <v>5000</v>
      </c>
      <c r="IG100" s="6766">
        <f>+IF(IF100="","",(IF100/IF(AO100="",IF(AO99="",IF(AO98="",AO97,AO98),AO99),AO100)))</f>
        <v>11.94885888397658</v>
      </c>
      <c r="IH100" s="4164">
        <f t="shared" ref="IH100:IH113" si="781">+IF(GP100="","",GP100)</f>
        <v>5343</v>
      </c>
      <c r="II100" s="6800">
        <f>+IH100/IF(AQ100="",IF(AQ99="",IF(AQ98="",AQ97,AQ98),AQ99),AQ100)</f>
        <v>1.7823962103647856E-2</v>
      </c>
      <c r="IJ100" s="4165">
        <f t="shared" ref="IJ100:IJ113" si="782">+IF(SUM(IF(IH100="",0,IH100)+IF(IF100="",0,IF100))=0,"",IF(IH100="",0,IH100)+IF(IF100="",0,IF100))</f>
        <v>10343</v>
      </c>
      <c r="IK100" s="4127">
        <v>0</v>
      </c>
      <c r="IL100" s="2069">
        <f>+IF(IF100="","",IK100*$IL$8*IF100)</f>
        <v>0</v>
      </c>
      <c r="IM100" s="1805">
        <f>IF(HM100="","",IK100*$IM$8*IA100)</f>
        <v>0</v>
      </c>
      <c r="IN100" s="4225" t="str">
        <f t="shared" ref="IN100:IN113" si="783">+IF(SUM(IF(IM100="",0,IM100)+IF(IL100="",0,IL100))=0,"",IF(IM100="",0,IM100)+IF(IL100="",0,IL100))</f>
        <v/>
      </c>
      <c r="IO100" s="4225">
        <f t="shared" ref="IO100:IO113" si="784">+IF(SUM(IF(IN100="",0,IN100)+IF(IJ100="",0,IJ100))=0,"",IF(IN100="",0,IN100)+IF(IJ100="",0,IJ100))</f>
        <v>10343</v>
      </c>
      <c r="IP100" s="4225">
        <f t="shared" ref="IP100:IP101" si="785">+IF(BB100="","",IF(IJ100="","",IJ100/IF(R100="",IF(R99="",IF(R98="",R97,R98),R99),R100)))</f>
        <v>10343</v>
      </c>
      <c r="IQ100" s="6839">
        <f t="shared" ref="IQ100:IQ101" si="786">+IF(IP100="","",IP100/IX100)</f>
        <v>2.3020187964013762E-2</v>
      </c>
      <c r="IR100" s="4225" t="str">
        <f t="shared" ref="IR100:IR101" si="787">+IF(BB100="","",IF(IN100="","",IN100/IF(R100="",IF(R99="",IF(R98="",R97,R98),R99),R100)))</f>
        <v/>
      </c>
      <c r="IS100" s="6839" t="str">
        <f t="shared" ref="IS100:IS101" si="788">+IF(IR100="","",IR100/IX100)</f>
        <v/>
      </c>
      <c r="IT100" s="4225">
        <f t="shared" ref="IT100:IT113" si="789">+IF(BB100="","",IF(IO100="","",IO100/IF(R100="",IF(R99="",IF(R98="",R97,R98),R99),R100)))</f>
        <v>10343</v>
      </c>
      <c r="IU100" s="6839">
        <f t="shared" si="595"/>
        <v>2.3020187964013762E-2</v>
      </c>
      <c r="IV100" s="4127">
        <f t="shared" ref="IV100:IV101" si="790">+IF(D100="","",IF(IF(V100="",IF(V99="",IF(V98="",V97,V98),V99),V100)="Utility Boiler",2,1))</f>
        <v>2</v>
      </c>
      <c r="IW100" s="1805">
        <f t="shared" ref="IW100:IW101" si="791">IF(IA100="","",IF(IV100=1,$IW$5,IF(IV100=2,$IW$8,""))*IA100)</f>
        <v>438958.28355896409</v>
      </c>
      <c r="IX100" s="4189">
        <f t="shared" ref="IX100:IX113" si="792">+IF(SUM(IF(IW100="",0,IW100)+IF(IT100="",0,IT100))=0,IY100,IF(IW100="",0,IW100)+IF(IT100="",0,IT100))</f>
        <v>449301.28355896409</v>
      </c>
      <c r="IY100" s="4244">
        <f t="shared" ref="IY100:IY113" si="793">+HC100</f>
        <v>1516150</v>
      </c>
      <c r="IZ100" s="4274">
        <f t="shared" ref="IZ100:IZ113" si="794">+IF(IY100="","",(IY100-IX100)/IY100)</f>
        <v>0.70365644325497867</v>
      </c>
      <c r="JA100" s="4275" t="str">
        <f t="shared" ref="JA100:JA101" si="795">+IF(BB100="","",IF(ISERROR(IY100-IX100),"",IF((IY100-IX100)&gt;0,"stk added + "&amp;ROUND((IY100-IX100)/IY100*100,0)&amp;"%",IF(IY100=IX100,"same TAC",(IY100-IX100)/IY100))))</f>
        <v>stk added + 70%</v>
      </c>
      <c r="JB100" s="1205"/>
      <c r="JC100" s="4322"/>
      <c r="JD100" s="1518">
        <f t="shared" ref="JD100:JD111" si="796">+IF(OR(IX100="",$CB100=""),"",IX100/$CB100)</f>
        <v>49922.364839884896</v>
      </c>
      <c r="JE100" s="4357">
        <f t="shared" ref="JE100:JE111" si="797">+IF(OR(IX100="",$CL100=""),"",IX100/$CL100)</f>
        <v>31768.77762538131</v>
      </c>
      <c r="JF100" s="7028">
        <f>+IF(D100="","",IF(T100="",IF(T99="",T98/IF(Y98="TP",2,1),T99/IF(Y99="TP",2,1)),T100/IF(Y100="TP",2,1)))</f>
        <v>164</v>
      </c>
      <c r="JG100" s="2069" t="s">
        <v>2437</v>
      </c>
      <c r="JH100" s="6959">
        <f>+IF(D100="","",IF(HX100="","",HX100))</f>
        <v>5852064.0304724006</v>
      </c>
      <c r="JI100" s="6959">
        <f>+JH100</f>
        <v>5852064.0304724006</v>
      </c>
      <c r="JJ100" s="6959"/>
      <c r="JK100" s="6959"/>
      <c r="JL100" s="6996"/>
      <c r="JM100" s="1804" t="str">
        <f t="shared" ref="JM100:JM101" si="798">+IF(D100="","",IF(JG100="SCR",(JF100*49700+459000),IF(JG100="HPWI",(0.0353*JF100+0.2915)*(10^6),"N/A")))</f>
        <v>N/A</v>
      </c>
      <c r="JN100" s="2069" t="str">
        <f t="shared" si="637"/>
        <v/>
      </c>
      <c r="JO100" s="2069">
        <f t="shared" si="717"/>
        <v>5852064.0304724006</v>
      </c>
      <c r="JP100" s="3010"/>
      <c r="JQ100" s="3010"/>
      <c r="JR100" s="2069"/>
      <c r="JS100" s="1805">
        <f>+IF(D100="","",SUM(JO100:JR100))</f>
        <v>5852064.0304724006</v>
      </c>
      <c r="JT100" s="7130">
        <f t="shared" si="476"/>
        <v>2</v>
      </c>
      <c r="JU100" s="7131">
        <f t="shared" ref="JU100:JU101" si="799">+IF(D100="","",IF(AV100="",IF(AV99="",IF(AV98="","",AV98),AV99),AV100))</f>
        <v>829</v>
      </c>
      <c r="JV100" s="8366">
        <f t="shared" ref="JV100:JV101" si="800">+IF(D100="","",IF(AW100="",IF(AW99="",IF(AW98="","",AW98),AW99),AW100))</f>
        <v>624903</v>
      </c>
      <c r="JW100" s="8393">
        <f t="shared" si="682"/>
        <v>14.142857142857139</v>
      </c>
      <c r="JX100" s="8422">
        <f t="shared" ref="JX100:JX101" si="801">+IF(OR(D100="",JU100=""),"",IF(JT100=2,24000/JU100,""))</f>
        <v>28.950542822677924</v>
      </c>
      <c r="JY100" s="8457">
        <f t="shared" si="755"/>
        <v>8.1493326110807354E-2</v>
      </c>
      <c r="JZ100" s="7132">
        <f t="shared" ref="JZ100:JZ101" si="802">+IF(OR(D100="",JU100="",ISERROR(JF100)),"",IF(JT100=2,JF100*6180/83,""))</f>
        <v>12211.084337349397</v>
      </c>
      <c r="KA100" s="7130" t="str">
        <f t="shared" ref="KA100:KA101" si="803">+IF(OR(D100="",JV100=""),"",IF(JT100=1,JV100*10^6/$KA$8/JU100,""))</f>
        <v/>
      </c>
      <c r="KB100" s="7131" t="str">
        <f t="shared" ref="KB100:KB101" si="804">+IF(OR(D100="",KA100=""),"",IF(JT100=1,KA100*$KB$8,""))</f>
        <v/>
      </c>
      <c r="KC100" s="7132" t="str">
        <f t="shared" ref="KC100:KC101" si="805">+IF(OR(D100="",KB100=""),"",IF(JT100=1,KB100*7.48/62.4/60,""))</f>
        <v/>
      </c>
      <c r="KD100" s="7130">
        <f t="shared" ref="KD100:KD101" si="806">+IF(OR(D100="",JV100=""),"",IF(JT100=1,$KD$5*JU100*$KD$6/1000,$KD$7*JU100*$KD$8/1000))</f>
        <v>35186.076000000001</v>
      </c>
      <c r="KE100" s="8330">
        <f t="shared" ref="KE100:KE101" si="807">+IF(OR(D100="",JW100="",JW100=0),"",IF(JT100=2,JW100*$KE$8*$KG$4,""))</f>
        <v>8808.1714285714261</v>
      </c>
      <c r="KF100" s="8330">
        <f t="shared" ref="KF100:KF101" si="808">+IF(OR(D100="",JW100="",JW100=0),"",IF(JT100=2,JW100*(0.95/0.05)*(18/17)*($KF$8/1000)*(2000)*$KG$4,""))</f>
        <v>5906.6561344537795</v>
      </c>
      <c r="KG100" s="7131">
        <f t="shared" ref="KG100:KG101" si="809">+IF(D100="","",IF(JT100=1,$KG$2*KC100/1000*60*JU100*$KG$4*$KG$6,IF(OR(JZ100="",JY100=""),"",JZ100*$KG$8*JY100*$KG$4)))</f>
        <v>25823.412735921334</v>
      </c>
      <c r="KH100" s="7131">
        <f>IF(D100="","",IF(JT100=2,0.005*JF100*$KD$6/1000*1000*JU100,""))</f>
        <v>263863.40480000008</v>
      </c>
      <c r="KI100" s="7131">
        <f>IF(D100="","",IF(JT100=2,0.1*0.005*JF100*$KD$6/1000*1000*JU100,""))</f>
        <v>26386.340480000003</v>
      </c>
      <c r="KJ100" s="7131">
        <f t="shared" ref="KJ100:KJ101" si="810">+IF(OR(D100="",JU100="",JV100=""),"",IF(JT100=1,KD100+KG100,KD100+KE100+KF100+KG100+KH100+KI100))</f>
        <v>365974.06157894665</v>
      </c>
      <c r="KK100" s="7131">
        <f>+IF(OR(D100="",JU100="",JV100=""),"",$KK$7*$KG$4*JU100)</f>
        <v>86968.068800000008</v>
      </c>
      <c r="KL100" s="7131">
        <f t="shared" ref="KL100:KL101" si="811">+IF(OR(D100="",JU100="",JV100="",JS100=""),"",IF(JT100=1,$KL$7*JS100*JU100/$KL$8,$KL$7*IF(JN100="",JS100,JN100)*JU100/$KL$8))</f>
        <v>18192.604054731073</v>
      </c>
      <c r="KM100" s="7131">
        <f t="shared" ref="KM100:KM101" si="812">+IF(D100="","",IF(KK100="",0,KK100)+IF(KL100="",0,KL100))</f>
        <v>105160.67285473108</v>
      </c>
      <c r="KN100" s="7131">
        <f>+IF(D100="","",IF(JX100&lt;41,$KN$8*JZ100*JY100,""))</f>
        <v>288585.34464035404</v>
      </c>
      <c r="KO100" s="7131">
        <f t="shared" ref="KO100:KO101" si="813">+IF(OR(D100="",JU100="",JV100=""),"",IF(KM100="",0,KM100)+IF(KN100="",0,KN100))</f>
        <v>393746.01749508514</v>
      </c>
      <c r="KP100" s="7132">
        <f t="shared" ref="KP100:KP101" si="814">+IF(OR(D100="",JU100="",JV100=""),"",IF(KJ100="",0,KJ100)+IF(KO100="",0,KO100))</f>
        <v>759720.07907403179</v>
      </c>
      <c r="KQ100" s="1806">
        <f>+IF(D100="","",VLOOKUP(MATCH(BE100,ac_id,0),ad,ac!$F$8,FALSE)*JV100)</f>
        <v>187470.9</v>
      </c>
      <c r="KR100" s="3010">
        <f>+IF(D100="","",IF(JT100=1,VLOOKUP(MATCH(BE100,ac_id,0),ad,ac!$H$8,FALSE)*JU100, (VLOOKUP(MATCH(BE100,ac_id,0),ad,ac!$H$8,FALSE)*JU100^(1+VLOOKUP(MATCH(BE100,ac_id,0),ad,ac!$I$8,FALSE)))))</f>
        <v>21468.936441029684</v>
      </c>
      <c r="KS100" s="1805">
        <f t="shared" si="769"/>
        <v>208939.83644102968</v>
      </c>
      <c r="KT100" s="1806">
        <f t="shared" ref="KT100:KT101" si="815">+IF(D100="","",IF(KK100="","",$KT$26*KM100))</f>
        <v>63096.403712838641</v>
      </c>
      <c r="KU100" s="2069">
        <f t="shared" ref="KU100:KU101" si="816">+IF(D100="","",IF(JS100="","",$KU$26*IF(JN100="",JS100,JN100)))</f>
        <v>234082.56121889604</v>
      </c>
      <c r="KV100" s="7374">
        <f t="shared" si="667"/>
        <v>2</v>
      </c>
      <c r="KW100" s="7280">
        <f t="shared" ref="KW100:KW101" si="817">IF(JS100="","",IF(KV100=1,$KW$5,IF(KV100=2,$KW$8,""))*JS100)</f>
        <v>438958.28355896409</v>
      </c>
      <c r="KX100" s="1805">
        <f t="shared" ref="KX100:KX101" si="818">+IF(D100="","",IF(KW100="","",IF(KT100="",0,KT100)+IF(KU100="",0,KU100)+KW100))</f>
        <v>736137.24849069875</v>
      </c>
      <c r="KY100" s="2505">
        <f t="shared" ref="KY100:KY101" si="819">+IF(D100="","",IF(KX100="","",IF(KP100="",0,KP100)+KX100))</f>
        <v>1495857.3275647305</v>
      </c>
      <c r="KZ100" s="7375"/>
      <c r="LA100" s="7280">
        <f t="shared" si="668"/>
        <v>166206.36972941449</v>
      </c>
      <c r="LB100" s="7291">
        <f t="shared" si="669"/>
        <v>105767.68982780926</v>
      </c>
      <c r="LC100" s="5133"/>
      <c r="LD100" s="5132"/>
      <c r="LE100" s="5132"/>
      <c r="LF100" s="5132"/>
      <c r="LG100" s="5132"/>
      <c r="LH100" s="5132"/>
      <c r="LI100" s="5132"/>
      <c r="LJ100" s="5132"/>
    </row>
    <row r="101" spans="1:322" s="717" customFormat="1" ht="27.95" customHeight="1">
      <c r="A101" s="10539"/>
      <c r="B101" s="10521" t="str">
        <f>+IF(A101="","",VLOOKUP(MATCH(A101,tid,0),tao,'12(id)'!$J$20,FALSE))</f>
        <v/>
      </c>
      <c r="C101" s="10549"/>
      <c r="D101" s="1127" t="str">
        <f t="shared" si="48"/>
        <v>8306-06-02</v>
      </c>
      <c r="E101" s="730" t="str">
        <f>+IF(BD101="","",BD101)</f>
        <v>Selective Catalytic Reduction (SCR) with ID fans</v>
      </c>
      <c r="F101" s="730" t="str">
        <f t="shared" si="777"/>
        <v>SCR</v>
      </c>
      <c r="G101" s="5133"/>
      <c r="H101" s="5132"/>
      <c r="I101" s="5133"/>
      <c r="J101" s="719">
        <f t="shared" ref="J101:J114" si="820">1+J100</f>
        <v>67</v>
      </c>
      <c r="K101" s="10541"/>
      <c r="L101" s="9721"/>
      <c r="M101" s="9718"/>
      <c r="N101" s="9699"/>
      <c r="O101" s="9518"/>
      <c r="P101" s="9520"/>
      <c r="Q101" s="9680" t="str">
        <f>+IF(ISERROR(MATCH(O101,tid,0)),"",VLOOKUP(MATCH(O101,tid,0),tao,'12(id)'!$Q$20,FALSE))</f>
        <v/>
      </c>
      <c r="R101" s="10183"/>
      <c r="S101" s="9680"/>
      <c r="T101" s="10526" t="str">
        <f>+IF(ISERROR(MATCH(O101,tid,0)),"",IF(VLOOKUP(MATCH(O101,tid,0),tao,'12(id)'!$CT$20,FALSE)="","",VLOOKUP(MATCH(O101,tid,0),tao,'12(id)'!$CT$20,FALSE)))</f>
        <v/>
      </c>
      <c r="U101" s="10529" t="str">
        <f>+IF(ISERROR(MATCH(O101,tid,0)),"",IF(VLOOKUP(MATCH(O101,tid,0),tao,'12(id)'!$CU$20,FALSE)="","",VLOOKUP(MATCH(O101,tid,0),tao,'12(id)'!$CU$20,FALSE)))</f>
        <v/>
      </c>
      <c r="V101" s="9504" t="str">
        <f>+IF(O101="","",IF(VLOOKUP(MATCH(O101,tid,0),tao,'12(id)'!$T$20,FALSE)="","",VLOOKUP(MATCH(O101,tid,0),tao,'12(id)'!$T$20,FALSE)))</f>
        <v/>
      </c>
      <c r="W101" s="9504" t="str">
        <f>+IF(ISERROR(MATCH(O101,tid,0)),"",IF(VLOOKUP(MATCH(O101,tid,0),tao,'12(id)'!$CO$20,FALSE)="","",VLOOKUP(MATCH(O101,tid,0),tao,'12(id)'!$CO$20,FALSE)))</f>
        <v/>
      </c>
      <c r="X101" s="9504" t="str">
        <f>+IF(ISERROR(MATCH(O101,tid,0)),"",IF(VLOOKUP(MATCH(O101,tid,0),tao,'12(id)'!$CP$20,FALSE)="","",VLOOKUP(MATCH(O101,tid,0),tao,'12(id)'!$CP$20,FALSE)))</f>
        <v/>
      </c>
      <c r="Y101" s="8553" t="str">
        <f>+IF(ISERROR(MATCH(O101,tid,0)),"",IF(VLOOKUP(MATCH(O101,tid,0),tao,'12(id)'!$CQ$20,FALSE)="","",VLOOKUP(MATCH(O101,tid,0),tao,'12(id)'!$CQ$20,FALSE)))</f>
        <v/>
      </c>
      <c r="Z101" s="9518" t="str">
        <f>+IF(ISERROR(MATCH(O101,tid,0)),"",VLOOKUP(MATCH(O101,tid,0),tao,'12(id)'!$DB$20,FALSE)&amp;" "&amp;VLOOKUP(MATCH(O101,tid,0),tao,'12(id)'!$DC$20,FALSE))</f>
        <v/>
      </c>
      <c r="AA101" s="9518" t="str">
        <f>+IF(ISERROR(MATCH(O101,tid,0)),"",IF(VLOOKUP(MATCH(O101,tid,0),tao,'12(id)'!$DE$20,FALSE)="","",ROUND(VLOOKUP(MATCH(O101,tid,0),tao,'12(id)'!$DE$20,FALSE),0)&amp;" yrs"))</f>
        <v/>
      </c>
      <c r="AB101" s="9648" t="str">
        <f>+IF(ISERROR(MATCH(O101,tid,0)),"",VLOOKUP(MATCH(O101,tid,0),tao,'12(id)'!$DI$20,FALSE))</f>
        <v/>
      </c>
      <c r="AC101" s="9648" t="str">
        <f>+IF(ISERROR(MATCH(O101,tid,0)),"",IF(VLOOKUP(MATCH(O101,tid,0),tao,'12(id)'!$DQ$20,FALSE)="","",VLOOKUP(MATCH(O101,tid,0),tao,'12(id)'!$DQ$20,FALSE)))</f>
        <v/>
      </c>
      <c r="AD101" s="10412" t="str">
        <f>+IF(ISERROR(MATCH(O101,tid,0)),"",IF(VLOOKUP(MATCH(O101,tid,0),tao,'12(id)'!$EI$20,FALSE)="","",VLOOKUP(MATCH(O101,tid,0),tao,'12(id)'!$EI$20,FALSE)))</f>
        <v/>
      </c>
      <c r="AE101" s="10412" t="str">
        <f>+IF(ISERROR(MATCH(O101,tid,0)),"",IF(VLOOKUP(MATCH(O101,tid,0),tao,'12(id)'!$EJ$20,FALSE)="","",VLOOKUP(MATCH(O101,tid,0),tao,'12(id)'!$EJ$20,FALSE)))</f>
        <v/>
      </c>
      <c r="AF101" s="10412" t="str">
        <f>+IF(ISERROR(MATCH(O101,tid,0)),"",IF(VLOOKUP(MATCH(O101,tid,0),tao,'12(id)'!$EL$20,FALSE)="","",VLOOKUP(MATCH(O101,tid,0),tao,'12(id)'!$EL$20,FALSE)))</f>
        <v/>
      </c>
      <c r="AG101" s="10409" t="str">
        <f>+IF(ISERROR(MATCH(O101,tid,0)),"",IF(VLOOKUP(MATCH(O101,tid,0),tao,'12(id)'!$EM$20,FALSE)="","",VLOOKUP(MATCH(O101,tid,0),tao,'12(id)'!$EM$20,FALSE)))</f>
        <v/>
      </c>
      <c r="AH101" s="10439"/>
      <c r="AI101" s="10441"/>
      <c r="AJ101" s="10441"/>
      <c r="AK101" s="10441"/>
      <c r="AL101" s="10441"/>
      <c r="AM101" s="10432"/>
      <c r="AN101" s="10422"/>
      <c r="AO101" s="10425" t="str">
        <f>+IF(ISERROR(MATCH(O101,tid,0)),"",IF(VLOOKUP(MATCH(O101,tid,0),tao,'12(id)'!$GY$20,FALSE)="","",VLOOKUP(MATCH(O101,tid,0),tao,'12(id)'!$GY$20,FALSE)))</f>
        <v/>
      </c>
      <c r="AP101" s="10378" t="e">
        <f>+IF($BB101="","",IF(VLOOKUP(MATCH(O101,tid,0),tao,'12(id)'!$HE$20,FALSE)="","",VLOOKUP(MATCH(O101,tid,0),tao,'12(id)'!$HE$20,FALSE)))</f>
        <v>#N/A</v>
      </c>
      <c r="AQ101" s="10406" t="str">
        <f>+IF(ISERROR(VLOOKUP(MATCH(O101,tid,0),tao,'12(id)'!$HF$20,FALSE)),"",VLOOKUP(MATCH(O101,tid,0),tao,'12(id)'!$HF$20,FALSE))</f>
        <v/>
      </c>
      <c r="AR101" s="10417" t="str">
        <f>+IF(ISERROR(MATCH(O101,tid,0)),"",IF(VLOOKUP(MATCH(O101,tid,0),tao,'12(id)'!$HJ$20,FALSE)="","",VLOOKUP(MATCH(O101,tid,0),tao,'12(id)'!$HJ$20,FALSE)))</f>
        <v/>
      </c>
      <c r="AS101" s="10419" t="str">
        <f>+IF(ISERROR(MATCH(O101,tid,0)),"",IF(VLOOKUP(MATCH(O101,tid,0),tao,'12(id)'!$HK$20,FALSE)="","",VLOOKUP(MATCH(O101,tid,0),tao,'12(id)'!$HK$20,FALSE)))</f>
        <v/>
      </c>
      <c r="AT101" s="10466" t="str">
        <f>+IF(ISERROR(MATCH(O101,tid,0)),"",IF(VLOOKUP(MATCH(O101,tid,0),tao,'12(id)'!$HM$20,FALSE)="","",VLOOKUP(MATCH(O101,tid,0),tao,'12(id)'!$HM$20,FALSE)))</f>
        <v/>
      </c>
      <c r="AU101" s="10471"/>
      <c r="AV101" s="10473" t="str">
        <f>+IF(ISERROR(MATCH(O101,em_id,0)),"",IF(VLOOKUP(MATCH(O101,em_id,0),em,'5(em)'!$CX$18,FALSE)="","",VLOOKUP(MATCH(O101,em_id,0),em,'5(em)'!$CX$18,FALSE)))</f>
        <v/>
      </c>
      <c r="AW101" s="10489" t="str">
        <f>+IF(ISERROR(MATCH(O101,em_id,0)),"",IF(VLOOKUP(MATCH(O101,em_id,0),em,'5(em)'!$CZ$18,FALSE)="","",VLOOKUP(MATCH(O101,em_id,0),em,'5(em)'!$CZ$18,FALSE)))</f>
        <v/>
      </c>
      <c r="AX101" s="10478" t="str">
        <f t="shared" si="50"/>
        <v/>
      </c>
      <c r="AY101" s="10480"/>
      <c r="AZ101" s="10482" t="str">
        <f>+IF(ISERROR(MATCH(O101,em_id,0)),"",IF(VLOOKUP(MATCH(O101,em_id,0),em,'5(em)'!$DA$18,FALSE)="","",VLOOKUP(MATCH(O101,em_id,0),em,'5(em)'!$DA$18,FALSE)))</f>
        <v/>
      </c>
      <c r="BA101" s="741"/>
      <c r="BB101" s="742" t="str">
        <f t="shared" si="778"/>
        <v>8306-06-02</v>
      </c>
      <c r="BC101" s="743">
        <v>2</v>
      </c>
      <c r="BD101" s="730" t="str">
        <f>+IF(OR(D101="",VLOOKUP(MATCH(D101,op_id,0),op,'7(op)'!$T$18,FALSE)=""),"",VLOOKUP(MATCH(D101,op_id,0),op,'7(op)'!$T$18,FALSE))</f>
        <v>Selective Catalytic Reduction (SCR) with ID fans</v>
      </c>
      <c r="BE101" s="730" t="s">
        <v>1093</v>
      </c>
      <c r="BF101" s="730" t="s">
        <v>1862</v>
      </c>
      <c r="BG101" s="744"/>
      <c r="BH101" s="748"/>
      <c r="BI101" s="749"/>
      <c r="BJ101" s="750"/>
      <c r="BK101" s="750"/>
      <c r="BL101" s="750"/>
      <c r="BM101" s="750"/>
      <c r="BN101" s="750" t="str">
        <f t="shared" si="12"/>
        <v/>
      </c>
      <c r="BO101" s="750" t="str">
        <f t="shared" si="13"/>
        <v/>
      </c>
      <c r="BP101" s="750" t="str">
        <f t="shared" si="14"/>
        <v/>
      </c>
      <c r="BQ101" s="750" t="str">
        <f t="shared" si="15"/>
        <v/>
      </c>
      <c r="BR101" s="751"/>
      <c r="BS101" s="2382" t="s">
        <v>559</v>
      </c>
      <c r="BT101" s="7905"/>
      <c r="BU101" s="3714">
        <f>+IF(BB101="","",IF(VLOOKUP(MATCH(BB101,ef_id,0),ef,'11(eff)'!$Z$23,FALSE)="","",VLOOKUP(MATCH(BB101,ef_id,0),ef,'11(eff)'!$Z$23,FALSE)))</f>
        <v>0.1</v>
      </c>
      <c r="BV101" s="3759" t="str">
        <f>+IF(BB101="","",IF(VLOOKUP(MATCH(BB101,ef_id,0),ef,'11(eff)'!$AA$23,FALSE)="","",VLOOKUP(MATCH(BB101,ef_id,0),ef,'11(eff)'!$AA$23,FALSE)))</f>
        <v/>
      </c>
      <c r="BW101" s="3781">
        <v>14.99</v>
      </c>
      <c r="BX101" s="3802">
        <f t="shared" si="511"/>
        <v>14.99</v>
      </c>
      <c r="BY101" s="3821">
        <f t="shared" si="512"/>
        <v>14.988250000000001</v>
      </c>
      <c r="BZ101" s="3400"/>
      <c r="CA101" s="3425"/>
      <c r="CB101" s="3853">
        <f t="shared" si="382"/>
        <v>16.490000000000002</v>
      </c>
      <c r="CC101" s="3874">
        <f t="shared" si="513"/>
        <v>0.52382465057179162</v>
      </c>
      <c r="CD101" s="3873">
        <f t="shared" si="514"/>
        <v>0.52380952380952372</v>
      </c>
      <c r="CE101" s="2377">
        <f>+IF(BB101="","",IF(VLOOKUP(MATCH(BB101,ef_id,0),ef,'11(eff)'!$AE$23,FALSE)="","",VLOOKUP(MATCH(BB101,ef_id,0),ef,'11(eff)'!$AE$23,FALSE)))</f>
        <v>0.9</v>
      </c>
      <c r="CF101" s="752"/>
      <c r="CG101" s="753"/>
      <c r="CH101" s="2415"/>
      <c r="CI101" s="3911">
        <f t="shared" si="628"/>
        <v>1.5842458749597933E-2</v>
      </c>
      <c r="CJ101" s="4069" t="str">
        <f>+IF(AY100="","",AY100*(1-CO101))</f>
        <v/>
      </c>
      <c r="CK101" s="3911">
        <f>+IF($BB101="","",IF(CI101="",IF($AZ101="",IF($AZ100="",$AZ99,$AZ100),$AZ101)-CL101,IF(OR(IF($AW101="",IF($AW100="",$AW99,$AW100),$AW101)="",CI101=""),"",CI101/2000*IF($AW101="",IF($AW100="",$AW99,$AW100),$AW101))))</f>
        <v>4.9499999999999984</v>
      </c>
      <c r="CL101" s="4001">
        <f>+IF($BB101="","",IF(CI101="",CO101*IF($AZ101="",IF($AZ100="",$AZ99,$AZ100),$AZ101),IF(CK101="","",IF($AZ101="",IF($AZ100="",$AZ99,$AZ100),$AZ101)-CK101)))</f>
        <v>44.550000000000004</v>
      </c>
      <c r="CM101" s="4002">
        <f>+IF($BB101="","",IF(CL101="","",CL101/IF($AZ101="",IF($AZ100="",$AZ99,$AZ100),$AZ101)))</f>
        <v>0.90000000000000013</v>
      </c>
      <c r="CN101" s="4002">
        <f>+IF($BB101="","",IF(CI101="","",(1-CI101/IF($AX101="",IF($AX100="",$AX99,$AX100),$AX101))))</f>
        <v>0.90098463281501295</v>
      </c>
      <c r="CO101" s="4003">
        <f>+IF(BB101="","",IF(VLOOKUP(MATCH(BB101,ef_id,0),ef,'11(eff)'!$AE$23,FALSE)="","",VLOOKUP(MATCH(BB101,ef_id,0),ef,'11(eff)'!$AE$23,FALSE)))</f>
        <v>0.9</v>
      </c>
      <c r="CP101" s="4004">
        <f>+IF(OR(BB101="",VLOOKUP(MATCH(BB101,ef_id,0),ef,'11(eff)'!$AG$23,FALSE)=""),"",IF(VLOOKUP(MATCH(BB101,ef_id,0),ef,'11(eff)'!$AG$23,FALSE)/100=VLOOKUP(MATCH(BB101,ef_id,0),ef,'11(eff)'!$AE$23,FALSE),VLOOKUP(MATCH(BB101,ef_id,0),ef,'11(eff)'!$AE$23,FALSE),""))</f>
        <v>0.9</v>
      </c>
      <c r="CQ101" s="752" t="str">
        <f t="shared" si="51"/>
        <v>Selective Catalytic Reduction (SCR) with ID fans</v>
      </c>
      <c r="CR101" s="754"/>
      <c r="CS101" s="2764">
        <v>82710409</v>
      </c>
      <c r="CT101" s="1590">
        <v>22170691</v>
      </c>
      <c r="CU101" s="1089">
        <v>16807873</v>
      </c>
      <c r="CV101" s="1868">
        <f t="shared" si="704"/>
        <v>1261476</v>
      </c>
      <c r="CW101" s="1869">
        <f>203697+295481</f>
        <v>499178</v>
      </c>
      <c r="CX101" s="1869">
        <f>1184506+530766</f>
        <v>1715272</v>
      </c>
      <c r="CY101" s="1092"/>
      <c r="CZ101" s="2477">
        <f>640739+98023+100000</f>
        <v>838762</v>
      </c>
      <c r="DA101" s="2487"/>
      <c r="DB101" s="2487">
        <v>1048130</v>
      </c>
      <c r="DC101" s="1868"/>
      <c r="DD101" s="1902"/>
      <c r="DE101" s="1903"/>
      <c r="DF101" s="1904"/>
      <c r="DG101" s="1904"/>
      <c r="DH101" s="1902"/>
      <c r="DI101" s="1088">
        <f t="shared" si="779"/>
        <v>22170691</v>
      </c>
      <c r="DJ101" s="1943"/>
      <c r="DK101" s="1590"/>
      <c r="DL101" s="1089"/>
      <c r="DM101" s="1868" t="str">
        <f t="shared" si="705"/>
        <v/>
      </c>
      <c r="DN101" s="1869"/>
      <c r="DO101" s="1869"/>
      <c r="DP101" s="1092"/>
      <c r="DQ101" s="2477"/>
      <c r="DR101" s="2487"/>
      <c r="DS101" s="2487"/>
      <c r="DT101" s="1868"/>
      <c r="DU101" s="1902"/>
      <c r="DV101" s="1903"/>
      <c r="DW101" s="1904"/>
      <c r="DX101" s="1904"/>
      <c r="DY101" s="1902"/>
      <c r="DZ101" s="1088" t="str">
        <f t="shared" si="664"/>
        <v/>
      </c>
      <c r="EA101" s="1943"/>
      <c r="EB101" s="1089">
        <f t="shared" si="775"/>
        <v>22170691</v>
      </c>
      <c r="EC101" s="1967">
        <v>1</v>
      </c>
      <c r="ED101" s="1087">
        <f t="shared" si="20"/>
        <v>22170691</v>
      </c>
      <c r="EE101" s="1870">
        <v>432189</v>
      </c>
      <c r="EF101" s="1734">
        <v>37321875</v>
      </c>
      <c r="EG101" s="1092"/>
      <c r="EH101" s="1088">
        <f t="shared" si="740"/>
        <v>37754064</v>
      </c>
      <c r="EI101" s="1903"/>
      <c r="EJ101" s="1904"/>
      <c r="EK101" s="2015"/>
      <c r="EL101" s="1464"/>
      <c r="EM101" s="1903">
        <v>588484</v>
      </c>
      <c r="EN101" s="1904">
        <v>16615711</v>
      </c>
      <c r="EO101" s="2015">
        <v>5581460</v>
      </c>
      <c r="EP101" s="1088">
        <f t="shared" si="776"/>
        <v>22785655</v>
      </c>
      <c r="EQ101" s="2560"/>
      <c r="ER101" s="2560"/>
      <c r="ES101" s="2560"/>
      <c r="ET101" s="1464"/>
      <c r="EU101" s="1325"/>
      <c r="EV101" s="1345"/>
      <c r="EW101" s="2590"/>
      <c r="EX101" s="2590"/>
      <c r="EY101" s="2697">
        <f>+IF(BB101="","",(IF(ED101="",0,ED101)+IF(EH101="",0,EH101)+IF(EP101="",0,EP101)+IF(ET101="",0,ET101)+IF(EW101="",0,EW101)+IF(EX101="",0,EX101)))</f>
        <v>82710410</v>
      </c>
      <c r="EZ101" s="2726"/>
      <c r="FA101" s="1345"/>
      <c r="FB101" s="1479">
        <f t="shared" si="515"/>
        <v>82710410</v>
      </c>
      <c r="FC101" s="1089">
        <f t="shared" si="516"/>
        <v>22170691</v>
      </c>
      <c r="FD101" s="2048">
        <f t="shared" si="517"/>
        <v>16807873</v>
      </c>
      <c r="FE101" s="2032">
        <f t="shared" si="509"/>
        <v>0.7581122753458609</v>
      </c>
      <c r="FF101" s="2048">
        <f t="shared" si="518"/>
        <v>4314688</v>
      </c>
      <c r="FG101" s="2032">
        <f t="shared" si="519"/>
        <v>0.19461224731335619</v>
      </c>
      <c r="FH101" s="2048">
        <f t="shared" si="520"/>
        <v>0</v>
      </c>
      <c r="FI101" s="2032">
        <f t="shared" si="510"/>
        <v>0</v>
      </c>
      <c r="FJ101" s="2795">
        <f t="shared" si="521"/>
        <v>21122561</v>
      </c>
      <c r="FK101" s="2809">
        <f t="shared" si="522"/>
        <v>0.95272452265921703</v>
      </c>
      <c r="FL101" s="2781">
        <f t="shared" si="523"/>
        <v>1048130</v>
      </c>
      <c r="FM101" s="2032">
        <f t="shared" si="524"/>
        <v>4.7275477340782926E-2</v>
      </c>
      <c r="FN101" s="2781">
        <f t="shared" si="525"/>
        <v>0</v>
      </c>
      <c r="FO101" s="2771">
        <f t="shared" si="526"/>
        <v>0</v>
      </c>
      <c r="FP101" s="2781">
        <f t="shared" si="527"/>
        <v>0</v>
      </c>
      <c r="FQ101" s="2771">
        <f t="shared" si="528"/>
        <v>0</v>
      </c>
      <c r="FR101" s="2845">
        <f t="shared" si="529"/>
        <v>22170691</v>
      </c>
      <c r="FS101" s="2829" t="str">
        <f t="shared" si="530"/>
        <v/>
      </c>
      <c r="FT101" s="1515" t="str">
        <f t="shared" si="531"/>
        <v/>
      </c>
      <c r="FU101" s="2897">
        <f t="shared" si="532"/>
        <v>0</v>
      </c>
      <c r="FV101" s="1084">
        <f t="shared" si="533"/>
        <v>135187.14024390245</v>
      </c>
      <c r="FW101" s="2110">
        <f t="shared" si="534"/>
        <v>37754064</v>
      </c>
      <c r="FX101" s="1742">
        <f t="shared" si="535"/>
        <v>1.7028817008906036</v>
      </c>
      <c r="FY101" s="2111">
        <f t="shared" si="536"/>
        <v>22785655</v>
      </c>
      <c r="FZ101" s="1742">
        <f t="shared" si="537"/>
        <v>1.0277377010937547</v>
      </c>
      <c r="GA101" s="1742">
        <f t="shared" si="538"/>
        <v>0.38023776651235369</v>
      </c>
      <c r="GB101" s="2111" t="str">
        <f t="shared" si="539"/>
        <v/>
      </c>
      <c r="GC101" s="1742" t="str">
        <f t="shared" si="540"/>
        <v/>
      </c>
      <c r="GD101" s="1742" t="str">
        <f t="shared" si="541"/>
        <v/>
      </c>
      <c r="GE101" s="1091">
        <f t="shared" si="542"/>
        <v>82710410</v>
      </c>
      <c r="GF101" s="2146">
        <f t="shared" si="741"/>
        <v>82710410</v>
      </c>
      <c r="GG101" s="2174">
        <f t="shared" si="544"/>
        <v>1.2090376477758014E-8</v>
      </c>
      <c r="GH101" s="3182">
        <f t="shared" si="545"/>
        <v>504331.76829268294</v>
      </c>
      <c r="GI101" s="3199">
        <v>21346446</v>
      </c>
      <c r="GJ101" s="3187">
        <v>1294738</v>
      </c>
      <c r="GK101" s="3453">
        <f t="shared" si="423"/>
        <v>16.490000000000002</v>
      </c>
      <c r="GL101" s="3250">
        <f t="shared" si="546"/>
        <v>1.7721682938982112E-4</v>
      </c>
      <c r="GM101" s="755"/>
      <c r="GN101" s="757"/>
      <c r="GO101" s="1903">
        <v>20000</v>
      </c>
      <c r="GP101" s="2015">
        <f>+IF(GQ101="","",GQ101-GO101)</f>
        <v>62224</v>
      </c>
      <c r="GQ101" s="1464">
        <v>82224</v>
      </c>
      <c r="GR101" s="2324"/>
      <c r="GS101" s="2324"/>
      <c r="GT101" s="1088">
        <v>21264222</v>
      </c>
      <c r="GU101" s="2315">
        <f t="shared" si="547"/>
        <v>21346446</v>
      </c>
      <c r="GV101" s="756">
        <f t="shared" si="548"/>
        <v>20000</v>
      </c>
      <c r="GW101" s="2259">
        <f t="shared" si="549"/>
        <v>62224</v>
      </c>
      <c r="GX101" s="758">
        <f t="shared" si="550"/>
        <v>82224</v>
      </c>
      <c r="GY101" s="758" t="str">
        <f t="shared" si="551"/>
        <v/>
      </c>
      <c r="GZ101" s="758" t="str">
        <f t="shared" si="552"/>
        <v/>
      </c>
      <c r="HA101" s="1088">
        <f t="shared" si="553"/>
        <v>21264222</v>
      </c>
      <c r="HB101" s="2233">
        <f t="shared" si="432"/>
        <v>21346446</v>
      </c>
      <c r="HC101" s="2343">
        <f t="shared" si="554"/>
        <v>21346446</v>
      </c>
      <c r="HD101" s="1291">
        <f t="shared" si="375"/>
        <v>0</v>
      </c>
      <c r="HE101" s="755"/>
      <c r="HF101" s="1086">
        <f t="shared" si="555"/>
        <v>1294738</v>
      </c>
      <c r="HG101" s="757">
        <f>+IF(OR(HC101="",$CL101=""),"",HC101/$CL101)</f>
        <v>479157.03703703696</v>
      </c>
      <c r="HH101" s="2998">
        <f>+IF(BF101="","",VALUE(LEFT(BF101,1)))</f>
        <v>4</v>
      </c>
      <c r="HI101" s="1293">
        <f>+IF(FR101="","",FR101)</f>
        <v>22170691</v>
      </c>
      <c r="HJ101" s="1734">
        <f>+IF(FP101="","",FP101)</f>
        <v>0</v>
      </c>
      <c r="HK101" s="1734">
        <f>+IF(FN101="","",FN101)</f>
        <v>0</v>
      </c>
      <c r="HL101" s="1734" t="str">
        <f>+IF(FR101="","",IF(HH101="","",IF(HH101=4,FS101,IF(HH101=3,FS101,IF(HH101=2,$HL$7*HI101,IF(HH101=1,$HL$6*HI101,""))))))</f>
        <v/>
      </c>
      <c r="HM101" s="1294">
        <f>IF(FR101="","",SUM(HI101:HL101))</f>
        <v>22170691</v>
      </c>
      <c r="HN101" s="3028">
        <f t="shared" si="347"/>
        <v>135187.14024390245</v>
      </c>
      <c r="HO101" s="2945">
        <f>+IF(FR101="","",IF(HH101="","",IF(HH101=4,FW101,IF(HH101=3,FW101,IF(HH101=2,$HO$7*HM101,IF(HH101=1,$HO$6*HM101,""))))))</f>
        <v>37754064</v>
      </c>
      <c r="HP101" s="2487">
        <f>+IF(FR101="","",IF(HH101="","",IF(HH101=4,FY101,IF(HH101=3,FY101,IF(HH101=2,$HP$7*(HM101+HO101),IF(HH101=1,$HP$6*HM101,""))))))</f>
        <v>22785655</v>
      </c>
      <c r="HQ101" s="3008" t="str">
        <f t="shared" si="556"/>
        <v/>
      </c>
      <c r="HR101" s="1092" t="str">
        <f t="shared" si="557"/>
        <v/>
      </c>
      <c r="HS101" s="1092">
        <f t="shared" si="558"/>
        <v>0</v>
      </c>
      <c r="HT101" s="2951" t="str">
        <f>+IF(FR101="","",IF(HH101="","",IF(HH101=2,$HT$7*(HP101+HR101),"")))</f>
        <v/>
      </c>
      <c r="HU101" s="2947" t="str">
        <f>+IF(FR101="","",IF(HH101="","",IF(HH101=2,$HU$7*(HP101+HR101),"")))</f>
        <v/>
      </c>
      <c r="HV101" s="2951" t="str">
        <f t="shared" si="559"/>
        <v/>
      </c>
      <c r="HW101" s="2947" t="str">
        <f t="shared" si="560"/>
        <v/>
      </c>
      <c r="HX101" s="3030">
        <f t="shared" si="199"/>
        <v>82710410</v>
      </c>
      <c r="HY101" s="2946" t="str">
        <f t="shared" si="561"/>
        <v/>
      </c>
      <c r="HZ101" s="2947" t="str">
        <f t="shared" si="562"/>
        <v/>
      </c>
      <c r="IA101" s="1089">
        <f t="shared" si="563"/>
        <v>82710410</v>
      </c>
      <c r="IB101" s="3041" t="str">
        <f t="shared" si="564"/>
        <v>same TCC</v>
      </c>
      <c r="IC101" s="2908">
        <f t="shared" si="706"/>
        <v>504331.76829268294</v>
      </c>
      <c r="ID101" s="1289"/>
      <c r="IE101" s="4105"/>
      <c r="IF101" s="4116">
        <f t="shared" si="780"/>
        <v>20000</v>
      </c>
      <c r="IG101" s="6782">
        <f>+IF(IF101="","",(IF101/IF(AO101="",IF(AO100="",IF(AO99="",AO98,AO99),AO100),AO101)))</f>
        <v>47.795435535906321</v>
      </c>
      <c r="IH101" s="4089">
        <f t="shared" si="781"/>
        <v>62224</v>
      </c>
      <c r="II101" s="6796">
        <f>+IH101/IF(AQ101="",IF(AQ100="",IF(AQ99="",AQ98,AQ99),AQ100),AQ101)</f>
        <v>0.20757593448201092</v>
      </c>
      <c r="IJ101" s="4105">
        <f t="shared" si="782"/>
        <v>82224</v>
      </c>
      <c r="IK101" s="4142">
        <v>0</v>
      </c>
      <c r="IL101" s="4194">
        <f>+IF(IF101="","",IK101*$IL$8*IF101)</f>
        <v>0</v>
      </c>
      <c r="IM101" s="4195">
        <f>IF(HM101="","",IK101*$IM$8*IA101)</f>
        <v>0</v>
      </c>
      <c r="IN101" s="4222" t="str">
        <f t="shared" si="783"/>
        <v/>
      </c>
      <c r="IO101" s="4222">
        <f t="shared" si="784"/>
        <v>82224</v>
      </c>
      <c r="IP101" s="7236">
        <f t="shared" si="785"/>
        <v>82224</v>
      </c>
      <c r="IQ101" s="7243">
        <f t="shared" si="786"/>
        <v>1.3079954020331339E-2</v>
      </c>
      <c r="IR101" s="7236" t="str">
        <f t="shared" si="787"/>
        <v/>
      </c>
      <c r="IS101" s="7243" t="str">
        <f t="shared" si="788"/>
        <v/>
      </c>
      <c r="IT101" s="4222">
        <f t="shared" si="789"/>
        <v>82224</v>
      </c>
      <c r="IU101" s="6854">
        <f t="shared" si="595"/>
        <v>1.3079954020331339E-2</v>
      </c>
      <c r="IV101" s="7270">
        <f t="shared" si="790"/>
        <v>2</v>
      </c>
      <c r="IW101" s="7256">
        <f t="shared" si="791"/>
        <v>6204036.6299832482</v>
      </c>
      <c r="IX101" s="4187">
        <f t="shared" si="792"/>
        <v>6286260.6299832482</v>
      </c>
      <c r="IY101" s="4255">
        <f t="shared" si="793"/>
        <v>21346446</v>
      </c>
      <c r="IZ101" s="4300">
        <f t="shared" si="794"/>
        <v>0.70551254152643261</v>
      </c>
      <c r="JA101" s="4306" t="str">
        <f t="shared" si="795"/>
        <v>stk added + 71%</v>
      </c>
      <c r="JB101" s="4158"/>
      <c r="JC101" s="4338"/>
      <c r="JD101" s="1086">
        <f t="shared" si="796"/>
        <v>381216.5330493176</v>
      </c>
      <c r="JE101" s="4337">
        <f t="shared" si="797"/>
        <v>141105.73804676201</v>
      </c>
      <c r="JF101" s="7040">
        <f>+IF(D101="","",IF(T101="",IF(T100="",T99/IF(Y99="TP",2,1),T100/IF(Y100="TP",2,1)),T101/IF(Y101="TP",2,1)))</f>
        <v>164</v>
      </c>
      <c r="JG101" s="7056" t="s">
        <v>1093</v>
      </c>
      <c r="JH101" s="6971">
        <f>+IF(D101="","",IF(HX101="","",HX101))</f>
        <v>82710410</v>
      </c>
      <c r="JI101" s="6971">
        <f>+JH101</f>
        <v>82710410</v>
      </c>
      <c r="JJ101" s="6971"/>
      <c r="JK101" s="6971"/>
      <c r="JL101" s="7008"/>
      <c r="JM101" s="7050">
        <f t="shared" si="798"/>
        <v>8609800</v>
      </c>
      <c r="JN101" s="1734">
        <f t="shared" si="637"/>
        <v>14894954</v>
      </c>
      <c r="JO101" s="1734">
        <f t="shared" si="717"/>
        <v>82710410</v>
      </c>
      <c r="JP101" s="7081"/>
      <c r="JQ101" s="7081"/>
      <c r="JR101" s="7056"/>
      <c r="JS101" s="7062">
        <f>+IF(D101="","",SUM(JO101:JR101))</f>
        <v>82710410</v>
      </c>
      <c r="JT101" s="7166">
        <f t="shared" si="476"/>
        <v>2</v>
      </c>
      <c r="JU101" s="7167">
        <f t="shared" si="799"/>
        <v>829</v>
      </c>
      <c r="JV101" s="8378">
        <f t="shared" si="800"/>
        <v>624903</v>
      </c>
      <c r="JW101" s="8405">
        <f t="shared" si="682"/>
        <v>44.550000000000004</v>
      </c>
      <c r="JX101" s="8434">
        <f t="shared" si="801"/>
        <v>28.950542822677924</v>
      </c>
      <c r="JY101" s="8469">
        <f t="shared" si="755"/>
        <v>8.1493326110807354E-2</v>
      </c>
      <c r="JZ101" s="7168">
        <f t="shared" si="802"/>
        <v>12211.084337349397</v>
      </c>
      <c r="KA101" s="7166" t="str">
        <f t="shared" si="803"/>
        <v/>
      </c>
      <c r="KB101" s="7167" t="str">
        <f t="shared" si="804"/>
        <v/>
      </c>
      <c r="KC101" s="7168" t="str">
        <f t="shared" si="805"/>
        <v/>
      </c>
      <c r="KD101" s="7166">
        <f t="shared" si="806"/>
        <v>35186.076000000001</v>
      </c>
      <c r="KE101" s="8342">
        <f t="shared" si="807"/>
        <v>27745.74</v>
      </c>
      <c r="KF101" s="8342">
        <f t="shared" si="808"/>
        <v>18605.966823529408</v>
      </c>
      <c r="KG101" s="7167">
        <f t="shared" si="809"/>
        <v>25823.412735921334</v>
      </c>
      <c r="KH101" s="7167">
        <f>IF(D101="","",IF(JT101=2,0.005*JF101*$KD$6/1000*1000*JU101,""))</f>
        <v>263863.40480000008</v>
      </c>
      <c r="KI101" s="7167">
        <f>IF(D101="","",IF(JT101=2,0.1*0.005*JF101*$KD$6/1000*1000*JU101,""))</f>
        <v>26386.340480000003</v>
      </c>
      <c r="KJ101" s="7167">
        <f t="shared" si="810"/>
        <v>397610.94083945081</v>
      </c>
      <c r="KK101" s="7167">
        <f>+IF(OR(D101="",JU101="",JV101=""),"",$KK$7*$KG$4*JU101)</f>
        <v>86968.068800000008</v>
      </c>
      <c r="KL101" s="7167">
        <f t="shared" si="811"/>
        <v>46304.688247500002</v>
      </c>
      <c r="KM101" s="7167">
        <f t="shared" si="812"/>
        <v>133272.7570475</v>
      </c>
      <c r="KN101" s="7167">
        <f>+IF(D101="","",IF(JX101&lt;41,$KN$8*JZ101*JY101,""))</f>
        <v>288585.34464035404</v>
      </c>
      <c r="KO101" s="7167">
        <f t="shared" si="813"/>
        <v>421858.10168785404</v>
      </c>
      <c r="KP101" s="7168">
        <f t="shared" si="814"/>
        <v>819469.04252730485</v>
      </c>
      <c r="KQ101" s="7212">
        <f>+IF(D101="","",VLOOKUP(MATCH(BE101,ac_id,0),ad,ac!$F$8,FALSE)*JV101)</f>
        <v>187470.9</v>
      </c>
      <c r="KR101" s="7081">
        <f>+IF(D101="","",IF(JT101=1,VLOOKUP(MATCH(BE101,ac_id,0),ad,ac!$H$8,FALSE)*JU101, (VLOOKUP(MATCH(BE101,ac_id,0),ad,ac!$H$8,FALSE)*JU101^(1+VLOOKUP(MATCH(BE101,ac_id,0),ad,ac!$I$8,FALSE)))))</f>
        <v>21468.936441029684</v>
      </c>
      <c r="KS101" s="7062">
        <f t="shared" si="769"/>
        <v>208939.83644102968</v>
      </c>
      <c r="KT101" s="7212">
        <f t="shared" si="815"/>
        <v>79963.654228499989</v>
      </c>
      <c r="KU101" s="7056">
        <f t="shared" si="816"/>
        <v>595798.16</v>
      </c>
      <c r="KV101" s="7390">
        <f t="shared" si="667"/>
        <v>2</v>
      </c>
      <c r="KW101" s="7274">
        <f t="shared" si="817"/>
        <v>6204036.6299832482</v>
      </c>
      <c r="KX101" s="7062">
        <f t="shared" si="818"/>
        <v>6879798.4442117484</v>
      </c>
      <c r="KY101" s="7356">
        <f t="shared" si="819"/>
        <v>7699267.4867390534</v>
      </c>
      <c r="KZ101" s="1343"/>
      <c r="LA101" s="7211">
        <f t="shared" si="668"/>
        <v>466905.24479921482</v>
      </c>
      <c r="LB101" s="1340">
        <f t="shared" si="669"/>
        <v>172823.06367539961</v>
      </c>
      <c r="LC101" s="5133"/>
      <c r="LD101" s="5132"/>
      <c r="LE101" s="5132"/>
      <c r="LF101" s="5132"/>
      <c r="LG101" s="5132"/>
      <c r="LH101" s="5132"/>
      <c r="LI101" s="5132"/>
      <c r="LJ101" s="5132"/>
    </row>
    <row r="102" spans="1:322" s="717" customFormat="1" ht="27.95" customHeight="1">
      <c r="A102" s="10540"/>
      <c r="B102" s="10521" t="str">
        <f>+IF(A102="","",VLOOKUP(MATCH(A102,tid,0),tao,'12(id)'!$J$20,FALSE))</f>
        <v/>
      </c>
      <c r="C102" s="10549"/>
      <c r="D102" s="1031" t="str">
        <f t="shared" si="48"/>
        <v/>
      </c>
      <c r="E102" s="651"/>
      <c r="F102" s="651" t="str">
        <f t="shared" si="777"/>
        <v/>
      </c>
      <c r="G102" s="5133"/>
      <c r="H102" s="5132"/>
      <c r="I102" s="5133"/>
      <c r="J102" s="719">
        <f t="shared" si="820"/>
        <v>68</v>
      </c>
      <c r="K102" s="10541"/>
      <c r="L102" s="9721"/>
      <c r="M102" s="9718"/>
      <c r="N102" s="9699"/>
      <c r="O102" s="9666"/>
      <c r="P102" s="9520"/>
      <c r="Q102" s="9705" t="str">
        <f>+IF(ISERROR(MATCH(O102,tid,0)),"",VLOOKUP(MATCH(O102,tid,0),tao,'12(id)'!$Q$20,FALSE))</f>
        <v/>
      </c>
      <c r="R102" s="10184"/>
      <c r="S102" s="9705"/>
      <c r="T102" s="10527" t="str">
        <f>+IF(ISERROR(MATCH(O102,tid,0)),"",IF(VLOOKUP(MATCH(O102,tid,0),tao,'12(id)'!$CT$20,FALSE)="","",VLOOKUP(MATCH(O102,tid,0),tao,'12(id)'!$CT$20,FALSE)))</f>
        <v/>
      </c>
      <c r="U102" s="10529" t="str">
        <f>+IF(ISERROR(MATCH(O102,tid,0)),"",IF(VLOOKUP(MATCH(O102,tid,0),tao,'12(id)'!$CU$20,FALSE)="","",VLOOKUP(MATCH(O102,tid,0),tao,'12(id)'!$CU$20,FALSE)))</f>
        <v/>
      </c>
      <c r="V102" s="9513" t="str">
        <f>+IF(O102="","",IF(VLOOKUP(MATCH(O102,tid,0),tao,'12(id)'!$T$20,FALSE)="","",VLOOKUP(MATCH(O102,tid,0),tao,'12(id)'!$T$20,FALSE)))</f>
        <v/>
      </c>
      <c r="W102" s="9513" t="str">
        <f>+IF(ISERROR(MATCH(O102,tid,0)),"",IF(VLOOKUP(MATCH(O102,tid,0),tao,'12(id)'!$CO$20,FALSE)="","",VLOOKUP(MATCH(O102,tid,0),tao,'12(id)'!$CO$20,FALSE)))</f>
        <v/>
      </c>
      <c r="X102" s="9513" t="str">
        <f>+IF(ISERROR(MATCH(O102,tid,0)),"",IF(VLOOKUP(MATCH(O102,tid,0),tao,'12(id)'!$CP$20,FALSE)="","",VLOOKUP(MATCH(O102,tid,0),tao,'12(id)'!$CP$20,FALSE)))</f>
        <v/>
      </c>
      <c r="Y102" s="8555" t="str">
        <f>+IF(ISERROR(MATCH(O102,tid,0)),"",IF(VLOOKUP(MATCH(O102,tid,0),tao,'12(id)'!$CQ$20,FALSE)="","",VLOOKUP(MATCH(O102,tid,0),tao,'12(id)'!$CQ$20,FALSE)))</f>
        <v/>
      </c>
      <c r="Z102" s="9666" t="str">
        <f>+IF(ISERROR(MATCH(O102,tid,0)),"",VLOOKUP(MATCH(O102,tid,0),tao,'12(id)'!$DB$20,FALSE)&amp;" "&amp;VLOOKUP(MATCH(O102,tid,0),tao,'12(id)'!$DC$20,FALSE))</f>
        <v/>
      </c>
      <c r="AA102" s="9666" t="str">
        <f>+IF(ISERROR(MATCH(O102,tid,0)),"",IF(VLOOKUP(MATCH(O102,tid,0),tao,'12(id)'!$DE$20,FALSE)="","",ROUND(VLOOKUP(MATCH(O102,tid,0),tao,'12(id)'!$DE$20,FALSE),0)&amp;" yrs"))</f>
        <v/>
      </c>
      <c r="AB102" s="9653" t="str">
        <f>+IF(ISERROR(MATCH(O102,tid,0)),"",VLOOKUP(MATCH(O102,tid,0),tao,'12(id)'!$DI$20,FALSE))</f>
        <v/>
      </c>
      <c r="AC102" s="9653" t="str">
        <f>+IF(ISERROR(MATCH(O102,tid,0)),"",IF(VLOOKUP(MATCH(O102,tid,0),tao,'12(id)'!$DQ$20,FALSE)="","",VLOOKUP(MATCH(O102,tid,0),tao,'12(id)'!$DQ$20,FALSE)))</f>
        <v/>
      </c>
      <c r="AD102" s="10443" t="str">
        <f>+IF(ISERROR(MATCH(O102,tid,0)),"",IF(VLOOKUP(MATCH(O102,tid,0),tao,'12(id)'!$EI$20,FALSE)="","",VLOOKUP(MATCH(O102,tid,0),tao,'12(id)'!$EI$20,FALSE)))</f>
        <v/>
      </c>
      <c r="AE102" s="10443" t="str">
        <f>+IF(ISERROR(MATCH(O102,tid,0)),"",IF(VLOOKUP(MATCH(O102,tid,0),tao,'12(id)'!$EJ$20,FALSE)="","",VLOOKUP(MATCH(O102,tid,0),tao,'12(id)'!$EJ$20,FALSE)))</f>
        <v/>
      </c>
      <c r="AF102" s="10443" t="str">
        <f>+IF(ISERROR(MATCH(O102,tid,0)),"",IF(VLOOKUP(MATCH(O102,tid,0),tao,'12(id)'!$EL$20,FALSE)="","",VLOOKUP(MATCH(O102,tid,0),tao,'12(id)'!$EL$20,FALSE)))</f>
        <v/>
      </c>
      <c r="AG102" s="10416" t="str">
        <f>+IF(ISERROR(MATCH(O102,tid,0)),"",IF(VLOOKUP(MATCH(O102,tid,0),tao,'12(id)'!$EM$20,FALSE)="","",VLOOKUP(MATCH(O102,tid,0),tao,'12(id)'!$EM$20,FALSE)))</f>
        <v/>
      </c>
      <c r="AH102" s="10439"/>
      <c r="AI102" s="10441"/>
      <c r="AJ102" s="10441"/>
      <c r="AK102" s="10441"/>
      <c r="AL102" s="10441"/>
      <c r="AM102" s="10432"/>
      <c r="AN102" s="10422"/>
      <c r="AO102" s="10425" t="str">
        <f>+IF(ISERROR(MATCH(O102,tid,0)),"",IF(VLOOKUP(MATCH(O102,tid,0),tao,'12(id)'!$GY$20,FALSE)="","",VLOOKUP(MATCH(O102,tid,0),tao,'12(id)'!$GY$20,FALSE)))</f>
        <v/>
      </c>
      <c r="AP102" s="10379" t="str">
        <f>+IF($BB102="","",IF(VLOOKUP(MATCH(O102,tid,0),tao,'12(id)'!$HE$20,FALSE)="","",VLOOKUP(MATCH(O102,tid,0),tao,'12(id)'!$HE$20,FALSE)))</f>
        <v/>
      </c>
      <c r="AQ102" s="10406" t="str">
        <f>+IF(ISERROR(VLOOKUP(MATCH(O102,tid,0),tao,'12(id)'!$HF$20,FALSE)),"",VLOOKUP(MATCH(O102,tid,0),tao,'12(id)'!$HF$20,FALSE))</f>
        <v/>
      </c>
      <c r="AR102" s="10417" t="str">
        <f>+IF(ISERROR(MATCH(O102,tid,0)),"",IF(VLOOKUP(MATCH(O102,tid,0),tao,'12(id)'!$HJ$20,FALSE)="","",VLOOKUP(MATCH(O102,tid,0),tao,'12(id)'!$HJ$20,FALSE)))</f>
        <v/>
      </c>
      <c r="AS102" s="10419" t="str">
        <f>+IF(ISERROR(MATCH(O102,tid,0)),"",IF(VLOOKUP(MATCH(O102,tid,0),tao,'12(id)'!$HK$20,FALSE)="","",VLOOKUP(MATCH(O102,tid,0),tao,'12(id)'!$HK$20,FALSE)))</f>
        <v/>
      </c>
      <c r="AT102" s="10466" t="str">
        <f>+IF(ISERROR(MATCH(O102,tid,0)),"",IF(VLOOKUP(MATCH(O102,tid,0),tao,'12(id)'!$HM$20,FALSE)="","",VLOOKUP(MATCH(O102,tid,0),tao,'12(id)'!$HM$20,FALSE)))</f>
        <v/>
      </c>
      <c r="AU102" s="10471" t="str">
        <f>+AU99</f>
        <v>CAIR-OS (max last 3 yrs)</v>
      </c>
      <c r="AV102" s="10473" t="str">
        <f>+IF(ISERROR(MATCH(O102,em_id,0)),"",IF(VLOOKUP(MATCH(O102,em_id,0),em,'5(em)'!$CX$18,FALSE)="","",VLOOKUP(MATCH(O102,em_id,0),em,'5(em)'!$CX$18,FALSE)))</f>
        <v/>
      </c>
      <c r="AW102" s="10489" t="str">
        <f>+IF(ISERROR(MATCH(O102,em_id,0)),"",IF(VLOOKUP(MATCH(O102,em_id,0),em,'5(em)'!$CZ$18,FALSE)="","",VLOOKUP(MATCH(O102,em_id,0),em,'5(em)'!$CZ$18,FALSE)))</f>
        <v/>
      </c>
      <c r="AX102" s="10478" t="str">
        <f t="shared" si="50"/>
        <v/>
      </c>
      <c r="AY102" s="10480"/>
      <c r="AZ102" s="10482" t="str">
        <f>+IF(ISERROR(MATCH(O102,em_id,0)),"",IF(VLOOKUP(MATCH(O102,em_id,0),em,'5(em)'!$DA$18,FALSE)="","",VLOOKUP(MATCH(O102,em_id,0),em,'5(em)'!$DA$18,FALSE)))</f>
        <v/>
      </c>
      <c r="BA102" s="650"/>
      <c r="BB102" s="651" t="str">
        <f t="shared" si="778"/>
        <v/>
      </c>
      <c r="BC102" s="659"/>
      <c r="BD102" s="651" t="str">
        <f>+IF(OR(D102="",VLOOKUP(MATCH(D102,op_id,0),op,'7(op)'!$T$18,FALSE)=""),"",VLOOKUP(MATCH(D102,op_id,0),op,'7(op)'!$T$18,FALSE))</f>
        <v/>
      </c>
      <c r="BE102" s="651"/>
      <c r="BF102" s="651"/>
      <c r="BG102" s="652"/>
      <c r="BH102" s="208"/>
      <c r="BI102" s="450"/>
      <c r="BJ102" s="209"/>
      <c r="BK102" s="209"/>
      <c r="BL102" s="209"/>
      <c r="BM102" s="209"/>
      <c r="BN102" s="209" t="str">
        <f t="shared" si="12"/>
        <v/>
      </c>
      <c r="BO102" s="209" t="str">
        <f t="shared" si="13"/>
        <v/>
      </c>
      <c r="BP102" s="209" t="str">
        <f t="shared" si="14"/>
        <v/>
      </c>
      <c r="BQ102" s="209" t="str">
        <f t="shared" si="15"/>
        <v/>
      </c>
      <c r="BR102" s="210"/>
      <c r="BS102" s="2383"/>
      <c r="BT102" s="452"/>
      <c r="BU102" s="3710" t="str">
        <f>+IF(BB102="","",IF(VLOOKUP(MATCH(BB102,ef_id,0),ef,'11(eff)'!$Z$23,FALSE)="","",VLOOKUP(MATCH(BB102,ef_id,0),ef,'11(eff)'!$Z$23,FALSE)))</f>
        <v/>
      </c>
      <c r="BV102" s="3754" t="str">
        <f>+IF(BB102="","",IF(VLOOKUP(MATCH(BB102,ef_id,0),ef,'11(eff)'!$AA$23,FALSE)="","",VLOOKUP(MATCH(BB102,ef_id,0),ef,'11(eff)'!$AA$23,FALSE)))</f>
        <v/>
      </c>
      <c r="BW102" s="2368"/>
      <c r="BX102" s="3793" t="str">
        <f t="shared" si="511"/>
        <v/>
      </c>
      <c r="BY102" s="3818" t="str">
        <f t="shared" si="512"/>
        <v/>
      </c>
      <c r="BZ102" s="3397"/>
      <c r="CA102" s="3420"/>
      <c r="CB102" s="3849" t="str">
        <f t="shared" si="382"/>
        <v/>
      </c>
      <c r="CC102" s="3869" t="str">
        <f t="shared" si="513"/>
        <v/>
      </c>
      <c r="CD102" s="3869" t="str">
        <f t="shared" si="514"/>
        <v/>
      </c>
      <c r="CE102" s="2373" t="str">
        <f>+IF(BB102="","",IF(VLOOKUP(MATCH(BB102,ef_id,0),ef,'11(eff)'!$AE$23,FALSE)="","",VLOOKUP(MATCH(BB102,ef_id,0),ef,'11(eff)'!$AE$23,FALSE)))</f>
        <v/>
      </c>
      <c r="CF102" s="451"/>
      <c r="CG102" s="452"/>
      <c r="CH102" s="2410"/>
      <c r="CI102" s="3912" t="str">
        <f t="shared" si="628"/>
        <v/>
      </c>
      <c r="CJ102" s="4070" t="str">
        <f>+IF(AY100="","",AY100*(1-CO102))</f>
        <v/>
      </c>
      <c r="CK102" s="3912" t="str">
        <f>+IF($BB102="","",IF(OR($AW102="",CI102=""),"",CI102/2000*$AW102))</f>
        <v/>
      </c>
      <c r="CL102" s="4005" t="str">
        <f>+IF($BB102="","",IF(CK102="","",$AZ102-CK102))</f>
        <v/>
      </c>
      <c r="CM102" s="4006" t="str">
        <f>+IF($BB102="","",IF(CL102="","",CL102/$AZ102))</f>
        <v/>
      </c>
      <c r="CN102" s="4006" t="str">
        <f>+IF($BB102="","",IF(CI102="","",(1-CI102/$AX102)))</f>
        <v/>
      </c>
      <c r="CO102" s="4007"/>
      <c r="CP102" s="4008"/>
      <c r="CQ102" s="451" t="str">
        <f t="shared" si="51"/>
        <v/>
      </c>
      <c r="CR102" s="453"/>
      <c r="CS102" s="2765"/>
      <c r="CT102" s="1591"/>
      <c r="CU102" s="1496"/>
      <c r="CV102" s="1872" t="str">
        <f t="shared" si="704"/>
        <v/>
      </c>
      <c r="CW102" s="1873"/>
      <c r="CX102" s="1873"/>
      <c r="CY102" s="1874"/>
      <c r="CZ102" s="2478"/>
      <c r="DA102" s="2488"/>
      <c r="DB102" s="2488"/>
      <c r="DC102" s="1872"/>
      <c r="DD102" s="1876"/>
      <c r="DE102" s="1877"/>
      <c r="DF102" s="1878"/>
      <c r="DG102" s="1878"/>
      <c r="DH102" s="1876"/>
      <c r="DI102" s="1693" t="str">
        <f t="shared" si="779"/>
        <v/>
      </c>
      <c r="DJ102" s="1938"/>
      <c r="DK102" s="1591"/>
      <c r="DL102" s="1496"/>
      <c r="DM102" s="1872" t="str">
        <f t="shared" si="705"/>
        <v/>
      </c>
      <c r="DN102" s="1873"/>
      <c r="DO102" s="1873"/>
      <c r="DP102" s="1874"/>
      <c r="DQ102" s="2478"/>
      <c r="DR102" s="2488"/>
      <c r="DS102" s="2488"/>
      <c r="DT102" s="1872"/>
      <c r="DU102" s="1876"/>
      <c r="DV102" s="1877"/>
      <c r="DW102" s="1878"/>
      <c r="DX102" s="1878"/>
      <c r="DY102" s="1876"/>
      <c r="DZ102" s="1693" t="str">
        <f t="shared" si="664"/>
        <v/>
      </c>
      <c r="EA102" s="1938"/>
      <c r="EB102" s="1496" t="str">
        <f t="shared" si="775"/>
        <v/>
      </c>
      <c r="EC102" s="1963"/>
      <c r="ED102" s="1415" t="str">
        <f t="shared" si="20"/>
        <v/>
      </c>
      <c r="EE102" s="1875"/>
      <c r="EF102" s="1733"/>
      <c r="EG102" s="1874"/>
      <c r="EH102" s="1693" t="str">
        <f t="shared" si="740"/>
        <v/>
      </c>
      <c r="EI102" s="1877"/>
      <c r="EJ102" s="1878"/>
      <c r="EK102" s="2010"/>
      <c r="EL102" s="1459"/>
      <c r="EM102" s="1877"/>
      <c r="EN102" s="1878"/>
      <c r="EO102" s="2010"/>
      <c r="EP102" s="1693" t="str">
        <f t="shared" si="776"/>
        <v/>
      </c>
      <c r="EQ102" s="2561"/>
      <c r="ER102" s="2561"/>
      <c r="ES102" s="2561"/>
      <c r="ET102" s="1459"/>
      <c r="EU102" s="1427"/>
      <c r="EV102" s="1392"/>
      <c r="EW102" s="2585"/>
      <c r="EX102" s="2585"/>
      <c r="EY102" s="2692"/>
      <c r="EZ102" s="2721"/>
      <c r="FA102" s="1392"/>
      <c r="FB102" s="1500" t="str">
        <f t="shared" si="515"/>
        <v/>
      </c>
      <c r="FC102" s="1496" t="str">
        <f t="shared" si="516"/>
        <v/>
      </c>
      <c r="FD102" s="2050" t="str">
        <f t="shared" si="517"/>
        <v/>
      </c>
      <c r="FE102" s="2034" t="str">
        <f t="shared" si="509"/>
        <v/>
      </c>
      <c r="FF102" s="2050" t="str">
        <f t="shared" si="518"/>
        <v/>
      </c>
      <c r="FG102" s="2034" t="str">
        <f t="shared" si="519"/>
        <v/>
      </c>
      <c r="FH102" s="2050" t="str">
        <f t="shared" si="520"/>
        <v/>
      </c>
      <c r="FI102" s="2034" t="str">
        <f t="shared" si="510"/>
        <v/>
      </c>
      <c r="FJ102" s="2796" t="str">
        <f t="shared" si="521"/>
        <v/>
      </c>
      <c r="FK102" s="2812" t="str">
        <f t="shared" si="522"/>
        <v/>
      </c>
      <c r="FL102" s="2784" t="str">
        <f t="shared" si="523"/>
        <v/>
      </c>
      <c r="FM102" s="2034" t="str">
        <f t="shared" si="524"/>
        <v/>
      </c>
      <c r="FN102" s="2784" t="str">
        <f t="shared" si="525"/>
        <v/>
      </c>
      <c r="FO102" s="2774" t="str">
        <f t="shared" si="526"/>
        <v/>
      </c>
      <c r="FP102" s="2784" t="str">
        <f t="shared" si="527"/>
        <v/>
      </c>
      <c r="FQ102" s="2774" t="str">
        <f t="shared" si="528"/>
        <v/>
      </c>
      <c r="FR102" s="2848" t="str">
        <f t="shared" si="529"/>
        <v/>
      </c>
      <c r="FS102" s="2830" t="str">
        <f t="shared" si="530"/>
        <v/>
      </c>
      <c r="FT102" s="1513" t="str">
        <f t="shared" si="531"/>
        <v/>
      </c>
      <c r="FU102" s="2895" t="str">
        <f t="shared" si="532"/>
        <v/>
      </c>
      <c r="FV102" s="1716" t="str">
        <f t="shared" si="533"/>
        <v/>
      </c>
      <c r="FW102" s="2112" t="str">
        <f t="shared" si="534"/>
        <v/>
      </c>
      <c r="FX102" s="1740" t="str">
        <f t="shared" si="535"/>
        <v/>
      </c>
      <c r="FY102" s="2113" t="str">
        <f t="shared" si="536"/>
        <v/>
      </c>
      <c r="FZ102" s="1740" t="str">
        <f t="shared" si="537"/>
        <v/>
      </c>
      <c r="GA102" s="1740" t="str">
        <f t="shared" si="538"/>
        <v/>
      </c>
      <c r="GB102" s="2113" t="str">
        <f t="shared" si="539"/>
        <v/>
      </c>
      <c r="GC102" s="1740" t="str">
        <f t="shared" si="540"/>
        <v/>
      </c>
      <c r="GD102" s="1740" t="str">
        <f t="shared" si="541"/>
        <v/>
      </c>
      <c r="GE102" s="1616" t="str">
        <f t="shared" si="542"/>
        <v/>
      </c>
      <c r="GF102" s="2147" t="str">
        <f t="shared" si="741"/>
        <v/>
      </c>
      <c r="GG102" s="2172" t="str">
        <f t="shared" si="544"/>
        <v/>
      </c>
      <c r="GH102" s="3180" t="str">
        <f t="shared" si="545"/>
        <v/>
      </c>
      <c r="GI102" s="3200" t="s">
        <v>939</v>
      </c>
      <c r="GJ102" s="3205"/>
      <c r="GK102" s="3454" t="str">
        <f t="shared" si="423"/>
        <v/>
      </c>
      <c r="GL102" s="3251" t="str">
        <f t="shared" si="546"/>
        <v/>
      </c>
      <c r="GM102" s="457"/>
      <c r="GN102" s="459"/>
      <c r="GO102" s="1877"/>
      <c r="GP102" s="2010"/>
      <c r="GQ102" s="1459" t="str">
        <f t="shared" si="582"/>
        <v/>
      </c>
      <c r="GR102" s="2325"/>
      <c r="GS102" s="2325"/>
      <c r="GT102" s="1693"/>
      <c r="GU102" s="2336" t="str">
        <f t="shared" si="547"/>
        <v/>
      </c>
      <c r="GV102" s="458" t="str">
        <f t="shared" si="548"/>
        <v/>
      </c>
      <c r="GW102" s="2260" t="str">
        <f t="shared" si="549"/>
        <v/>
      </c>
      <c r="GX102" s="460" t="str">
        <f t="shared" si="550"/>
        <v/>
      </c>
      <c r="GY102" s="460" t="str">
        <f t="shared" si="551"/>
        <v/>
      </c>
      <c r="GZ102" s="460" t="str">
        <f t="shared" si="552"/>
        <v/>
      </c>
      <c r="HA102" s="1693" t="str">
        <f t="shared" si="553"/>
        <v/>
      </c>
      <c r="HB102" s="2234" t="str">
        <f t="shared" si="432"/>
        <v/>
      </c>
      <c r="HC102" s="2344" t="str">
        <f t="shared" si="554"/>
        <v/>
      </c>
      <c r="HD102" s="2350" t="str">
        <f t="shared" si="375"/>
        <v/>
      </c>
      <c r="HE102" s="457"/>
      <c r="HF102" s="3256" t="str">
        <f t="shared" si="555"/>
        <v/>
      </c>
      <c r="HG102" s="459"/>
      <c r="HH102" s="2994"/>
      <c r="HI102" s="3021"/>
      <c r="HJ102" s="1733"/>
      <c r="HK102" s="1733"/>
      <c r="HL102" s="1733"/>
      <c r="HM102" s="3025"/>
      <c r="HN102" s="3026" t="str">
        <f t="shared" si="347"/>
        <v/>
      </c>
      <c r="HO102" s="2965"/>
      <c r="HP102" s="2488"/>
      <c r="HQ102" s="3011" t="str">
        <f t="shared" si="556"/>
        <v/>
      </c>
      <c r="HR102" s="1874" t="str">
        <f t="shared" si="557"/>
        <v/>
      </c>
      <c r="HS102" s="1874" t="str">
        <f t="shared" si="558"/>
        <v/>
      </c>
      <c r="HT102" s="2952"/>
      <c r="HU102" s="2954"/>
      <c r="HV102" s="2952" t="str">
        <f t="shared" si="559"/>
        <v/>
      </c>
      <c r="HW102" s="2954" t="str">
        <f t="shared" si="560"/>
        <v/>
      </c>
      <c r="HX102" s="3034" t="str">
        <f t="shared" si="199"/>
        <v/>
      </c>
      <c r="HY102" s="2953" t="str">
        <f t="shared" si="561"/>
        <v/>
      </c>
      <c r="HZ102" s="2954" t="str">
        <f t="shared" si="562"/>
        <v/>
      </c>
      <c r="IA102" s="1496" t="str">
        <f t="shared" si="563"/>
        <v/>
      </c>
      <c r="IB102" s="3038" t="str">
        <f t="shared" si="564"/>
        <v/>
      </c>
      <c r="IC102" s="3053" t="str">
        <f t="shared" si="706"/>
        <v/>
      </c>
      <c r="ID102" s="1300"/>
      <c r="IE102" s="4106"/>
      <c r="IF102" s="4114" t="str">
        <f t="shared" si="780"/>
        <v/>
      </c>
      <c r="IG102" s="6779"/>
      <c r="IH102" s="4090" t="str">
        <f t="shared" si="781"/>
        <v/>
      </c>
      <c r="II102" s="6797"/>
      <c r="IJ102" s="4106" t="str">
        <f t="shared" si="782"/>
        <v/>
      </c>
      <c r="IK102" s="4143">
        <v>0</v>
      </c>
      <c r="IL102" s="4196" t="str">
        <f>+IF(IF102="","",IK102*#REF!*IF102)</f>
        <v/>
      </c>
      <c r="IM102" s="4197" t="str">
        <f>IF(HM102="","",IK102*#REF!*IA102)</f>
        <v/>
      </c>
      <c r="IN102" s="4221" t="str">
        <f t="shared" si="783"/>
        <v/>
      </c>
      <c r="IO102" s="4221" t="str">
        <f t="shared" si="784"/>
        <v/>
      </c>
      <c r="IP102" s="7234"/>
      <c r="IQ102" s="7242"/>
      <c r="IR102" s="7234"/>
      <c r="IS102" s="7242"/>
      <c r="IT102" s="4221" t="str">
        <f t="shared" si="789"/>
        <v/>
      </c>
      <c r="IU102" s="6852" t="str">
        <f t="shared" si="595"/>
        <v/>
      </c>
      <c r="IV102" s="7268"/>
      <c r="IW102" s="7254" t="str">
        <f>IF(IA102="","",#REF!*IA102)</f>
        <v/>
      </c>
      <c r="IX102" s="4188" t="str">
        <f t="shared" si="792"/>
        <v/>
      </c>
      <c r="IY102" s="4256" t="str">
        <f t="shared" si="793"/>
        <v/>
      </c>
      <c r="IZ102" s="4301" t="str">
        <f t="shared" si="794"/>
        <v/>
      </c>
      <c r="JA102" s="4302" t="str">
        <f t="shared" ref="JA102:JA112" si="821">+IF(BB102="","",IF(ISERROR(IY102-IX102),"",IF((IY102-IX102)&gt;0,"stk added + "&amp;ROUND((IY102-IX102)/IY102*100,0)&amp;"%",IF(IY102=IX102,"same TCC",(IY102-IX102)/IY102))))</f>
        <v/>
      </c>
      <c r="JB102" s="4157"/>
      <c r="JC102" s="4339"/>
      <c r="JD102" s="3256" t="str">
        <f t="shared" si="796"/>
        <v/>
      </c>
      <c r="JE102" s="4364" t="str">
        <f t="shared" si="797"/>
        <v/>
      </c>
      <c r="JF102" s="7041" t="str">
        <f>+IF(D102="","",IF(T102="",IF(T101="",T100/IF(Y100="TP",2,1),T101/IF(Y101="TP",2,1)),T102/IF(Y102="TP",2,1)))</f>
        <v/>
      </c>
      <c r="JG102" s="7057"/>
      <c r="JH102" s="6972"/>
      <c r="JI102" s="6972"/>
      <c r="JJ102" s="6972"/>
      <c r="JK102" s="6972"/>
      <c r="JL102" s="7009"/>
      <c r="JM102" s="7051"/>
      <c r="JN102" s="1733" t="str">
        <f t="shared" si="637"/>
        <v/>
      </c>
      <c r="JO102" s="1733"/>
      <c r="JP102" s="7082"/>
      <c r="JQ102" s="7082"/>
      <c r="JR102" s="7057"/>
      <c r="JS102" s="7063"/>
      <c r="JT102" s="7169" t="str">
        <f t="shared" si="476"/>
        <v/>
      </c>
      <c r="JU102" s="7170"/>
      <c r="JV102" s="8379"/>
      <c r="JW102" s="8406"/>
      <c r="JX102" s="8435"/>
      <c r="JY102" s="8470" t="str">
        <f t="shared" si="755"/>
        <v/>
      </c>
      <c r="JZ102" s="7171"/>
      <c r="KA102" s="7169"/>
      <c r="KB102" s="7170"/>
      <c r="KC102" s="7171"/>
      <c r="KD102" s="7169"/>
      <c r="KE102" s="8343"/>
      <c r="KF102" s="8343"/>
      <c r="KG102" s="7170"/>
      <c r="KH102" s="7170"/>
      <c r="KI102" s="7170"/>
      <c r="KJ102" s="7170"/>
      <c r="KK102" s="7170"/>
      <c r="KL102" s="7170"/>
      <c r="KM102" s="7170"/>
      <c r="KN102" s="7170"/>
      <c r="KO102" s="7170"/>
      <c r="KP102" s="7171"/>
      <c r="KQ102" s="7213" t="str">
        <f>+IF(D102="","",VLOOKUP(MATCH(BE102,ac_id,0),ad,ac!$F$8,FALSE)*JV102)</f>
        <v/>
      </c>
      <c r="KR102" s="7082" t="str">
        <f>+IF(D102="","",IF(JT102=1,VLOOKUP(MATCH(BE102,ac_id,0),ad,ac!$H$8,FALSE)*JU102, (VLOOKUP(MATCH(BE102,ac_id,0),ad,ac!$H$8,FALSE)*JU102^(1+VLOOKUP(MATCH(BE102,ac_id,0),ad,ac!$I$8,FALSE)))))</f>
        <v/>
      </c>
      <c r="KS102" s="7063"/>
      <c r="KT102" s="7213" t="str">
        <f>+IF(D102="","",IF(KR102="","",$KT$26*KR102))</f>
        <v/>
      </c>
      <c r="KU102" s="7057" t="str">
        <f t="shared" si="666"/>
        <v/>
      </c>
      <c r="KV102" s="7393" t="str">
        <f t="shared" si="667"/>
        <v/>
      </c>
      <c r="KW102" s="7394" t="str">
        <f>IF(JS102="","",IF(KV102=2,#REF!,$KW$5)*JS102)</f>
        <v/>
      </c>
      <c r="KX102" s="7063" t="str">
        <f>+IF(D102="","",IF(KW102="","",IF(KT102="",0,KT102)+IF(KU102="",0,KU102)+KW102))</f>
        <v/>
      </c>
      <c r="KY102" s="7357" t="str">
        <f>+IF(D102="","",IF(KW102="","",KQ102+KR102+KX102))</f>
        <v/>
      </c>
      <c r="KZ102" s="7358"/>
      <c r="LA102" s="7359" t="str">
        <f t="shared" si="668"/>
        <v/>
      </c>
      <c r="LB102" s="7360" t="str">
        <f t="shared" si="669"/>
        <v/>
      </c>
      <c r="LC102" s="5133"/>
      <c r="LD102" s="5132"/>
      <c r="LE102" s="5132"/>
      <c r="LF102" s="5132"/>
      <c r="LG102" s="5132"/>
      <c r="LH102" s="5132"/>
      <c r="LI102" s="5132"/>
      <c r="LJ102" s="5132"/>
    </row>
    <row r="103" spans="1:322" s="13" customFormat="1" ht="27.95" customHeight="1">
      <c r="A103" s="10538" t="str">
        <f>+O103</f>
        <v>8306-07</v>
      </c>
      <c r="B103" s="10521" t="str">
        <f>+IF(A103="","",VLOOKUP(MATCH(A103,tid,0),tao,'12(id)'!$J$20,FALSE))</f>
        <v>NRG</v>
      </c>
      <c r="C103" s="10549" t="str">
        <f t="shared" si="47"/>
        <v>NH2 </v>
      </c>
      <c r="D103" s="1067" t="str">
        <f t="shared" si="48"/>
        <v>8306-07-01</v>
      </c>
      <c r="E103" s="3151" t="str">
        <f>+IF(BD103="","",BD103)</f>
        <v>Separated Overfired Air / High Energy Reagent Technology (SOFA/HERT)</v>
      </c>
      <c r="F103" s="3151" t="str">
        <f t="shared" si="777"/>
        <v>New Eqp</v>
      </c>
      <c r="G103" s="5133"/>
      <c r="H103" s="5132"/>
      <c r="I103" s="5133"/>
      <c r="J103" s="745">
        <f t="shared" si="820"/>
        <v>69</v>
      </c>
      <c r="K103" s="10541">
        <f>1+K100</f>
        <v>7</v>
      </c>
      <c r="L103" s="9721"/>
      <c r="M103" s="9718"/>
      <c r="N103" s="9699"/>
      <c r="O103" s="9706" t="s">
        <v>299</v>
      </c>
      <c r="P103" s="9520"/>
      <c r="Q103" s="9704" t="str">
        <f>+IF(ISERROR(MATCH(O103,tid,0)),"",VLOOKUP(MATCH(O103,tid,0),tao,'12(id)'!$Q$20,FALSE))</f>
        <v>NH2 </v>
      </c>
      <c r="R103" s="10523">
        <v>1</v>
      </c>
      <c r="S103" s="9704"/>
      <c r="T103" s="10525">
        <f>+IF(ISERROR(MATCH(O103,tid,0)),"",IF(VLOOKUP(MATCH(O103,tid,0),tao,'12(id)'!$CT$20,FALSE)="","",VLOOKUP(MATCH(O103,tid,0),tao,'12(id)'!$CT$20,FALSE)))</f>
        <v>172</v>
      </c>
      <c r="U103" s="10529" t="str">
        <f>+IF(ISERROR(MATCH(O103,tid,0)),"",IF(VLOOKUP(MATCH(O103,tid,0),tao,'12(id)'!$CU$20,FALSE)="","",VLOOKUP(MATCH(O103,tid,0),tao,'12(id)'!$CU$20,FALSE)))</f>
        <v/>
      </c>
      <c r="V103" s="10446" t="str">
        <f>+IF(O103="","",IF(VLOOKUP(MATCH(O103,tid,0),tao,'12(id)'!$T$20,FALSE)="","",VLOOKUP(MATCH(O103,tid,0),tao,'12(id)'!$T$20,FALSE)))</f>
        <v>Utility Boiler</v>
      </c>
      <c r="W103" s="10446" t="str">
        <f>+IF(ISERROR(MATCH(O103,tid,0)),"",IF(VLOOKUP(MATCH(O103,tid,0),tao,'12(id)'!$CO$20,FALSE)="","",VLOOKUP(MATCH(O103,tid,0),tao,'12(id)'!$CO$20,FALSE)))</f>
        <v>Combustion Engineering</v>
      </c>
      <c r="X103" s="10446" t="str">
        <f>+IF(ISERROR(MATCH(O103,tid,0)),"",IF(VLOOKUP(MATCH(O103,tid,0),tao,'12(id)'!$CP$20,FALSE)="","",VLOOKUP(MATCH(O103,tid,0),tao,'12(id)'!$CP$20,FALSE)))</f>
        <v>Tangential fired</v>
      </c>
      <c r="Y103" s="2421" t="str">
        <f>+IF(ISERROR(MATCH(O103,tid,0)),"",IF(VLOOKUP(MATCH(O103,tid,0),tao,'12(id)'!$CQ$20,FALSE)="","",VLOOKUP(MATCH(O103,tid,0),tao,'12(id)'!$CQ$20,FALSE)))</f>
        <v/>
      </c>
      <c r="Z103" s="10445" t="str">
        <f>+IF(ISERROR(MATCH(O103,tid,0)),"",VLOOKUP(MATCH(O103,tid,0),tao,'12(id)'!$DB$20,FALSE)&amp;" "&amp;VLOOKUP(MATCH(O103,tid,0),tao,'12(id)'!$DC$20,FALSE))</f>
        <v xml:space="preserve"> </v>
      </c>
      <c r="AA103" s="10445" t="str">
        <f>+IF(ISERROR(MATCH(O103,tid,0)),"",IF(VLOOKUP(MATCH(O103,tid,0),tao,'12(id)'!$DE$20,FALSE)="","",ROUND(VLOOKUP(MATCH(O103,tid,0),tao,'12(id)'!$DE$20,FALSE),0)&amp;" yrs"))</f>
        <v/>
      </c>
      <c r="AB103" s="9732" t="str">
        <f>+IF(ISERROR(MATCH(O103,tid,0)),"",VLOOKUP(MATCH(O103,tid,0),tao,'12(id)'!$DI$20,FALSE))</f>
        <v>No. 6 oil</v>
      </c>
      <c r="AC103" s="9732" t="str">
        <f>+IF(ISERROR(MATCH(O103,tid,0)),"",IF(VLOOKUP(MATCH(O103,tid,0),tao,'12(id)'!$DQ$20,FALSE)="","",VLOOKUP(MATCH(O103,tid,0),tao,'12(id)'!$DQ$20,FALSE)))</f>
        <v>No. 2 oil</v>
      </c>
      <c r="AD103" s="10411" t="str">
        <f>+IF(ISERROR(MATCH(O103,tid,0)),"",IF(VLOOKUP(MATCH(O103,tid,0),tao,'12(id)'!$EI$20,FALSE)="","",VLOOKUP(MATCH(O103,tid,0),tao,'12(id)'!$EI$20,FALSE)))</f>
        <v/>
      </c>
      <c r="AE103" s="10411" t="str">
        <f>+IF(ISERROR(MATCH(O103,tid,0)),"",IF(VLOOKUP(MATCH(O103,tid,0),tao,'12(id)'!$EJ$20,FALSE)="","",VLOOKUP(MATCH(O103,tid,0),tao,'12(id)'!$EJ$20,FALSE)))</f>
        <v/>
      </c>
      <c r="AF103" s="10411">
        <f>+IF(ISERROR(MATCH(O103,tid,0)),"",IF(VLOOKUP(MATCH(O103,tid,0),tao,'12(id)'!$EL$20,FALSE)="","",VLOOKUP(MATCH(O103,tid,0),tao,'12(id)'!$EL$20,FALSE)))</f>
        <v>0.21</v>
      </c>
      <c r="AG103" s="10408" t="str">
        <f>+IF(ISERROR(MATCH(O103,tid,0)),"",IF(VLOOKUP(MATCH(O103,tid,0),tao,'12(id)'!$EM$20,FALSE)="","",VLOOKUP(MATCH(O103,tid,0),tao,'12(id)'!$EM$20,FALSE)))</f>
        <v/>
      </c>
      <c r="AH103" s="10436" t="str">
        <f>+AH100</f>
        <v>48 hrs/year operation</v>
      </c>
      <c r="AI103" s="10441"/>
      <c r="AJ103" s="10441"/>
      <c r="AK103" s="10441"/>
      <c r="AL103" s="10441"/>
      <c r="AM103" s="10432"/>
      <c r="AN103" s="10423" t="str">
        <f>+AN100</f>
        <v>2010-2009 average</v>
      </c>
      <c r="AO103" s="10425">
        <f>+IF(ISERROR(MATCH(O103,tid,0)),"",IF(VLOOKUP(MATCH(O103,tid,0),tao,'12(id)'!$GY$20,FALSE)="","",VLOOKUP(MATCH(O103,tid,0),tao,'12(id)'!$GY$20,FALSE)))</f>
        <v>565.35</v>
      </c>
      <c r="AP103" s="10377">
        <f>+IF($BB103="","",IF(VLOOKUP(MATCH(O103,tid,0),tao,'12(id)'!$HE$20,FALSE)="","",VLOOKUP(MATCH(O103,tid,0),tao,'12(id)'!$HE$20,FALSE)))</f>
        <v>370125</v>
      </c>
      <c r="AQ103" s="10406">
        <f>+IF(ISERROR(VLOOKUP(MATCH(O103,tid,0),tao,'12(id)'!$HF$20,FALSE)),"",VLOOKUP(MATCH(O103,tid,0),tao,'12(id)'!$HF$20,FALSE))</f>
        <v>370125</v>
      </c>
      <c r="AR103" s="10417">
        <f>+IF(ISERROR(MATCH(O103,tid,0)),"",IF(VLOOKUP(MATCH(O103,tid,0),tao,'12(id)'!$HJ$20,FALSE)="","",VLOOKUP(MATCH(O103,tid,0),tao,'12(id)'!$HJ$20,FALSE)))</f>
        <v>0.21</v>
      </c>
      <c r="AS103" s="10419" t="str">
        <f>+IF(ISERROR(MATCH(O103,tid,0)),"",IF(VLOOKUP(MATCH(O103,tid,0),tao,'12(id)'!$HK$20,FALSE)="","",VLOOKUP(MATCH(O103,tid,0),tao,'12(id)'!$HK$20,FALSE)))</f>
        <v/>
      </c>
      <c r="AT103" s="10466">
        <f>+IF(ISERROR(MATCH(O103,tid,0)),"",IF(VLOOKUP(MATCH(O103,tid,0),tao,'12(id)'!$HM$20,FALSE)="","",VLOOKUP(MATCH(O103,tid,0),tao,'12(id)'!$HM$20,FALSE)))</f>
        <v>38.86</v>
      </c>
      <c r="AU103" s="10470" t="str">
        <f>+AU100</f>
        <v>CAIR-OS (max last 3 yrs)</v>
      </c>
      <c r="AV103" s="10473">
        <f>+IF(ISERROR(MATCH(O103,em_id,0)),"",IF(VLOOKUP(MATCH(O103,em_id,0),em,'5(em)'!$CX$18,FALSE)="","",VLOOKUP(MATCH(O103,em_id,0),em,'5(em)'!$CX$18,FALSE)))</f>
        <v>1523</v>
      </c>
      <c r="AW103" s="10489">
        <f>+IF(ISERROR(MATCH(O103,em_id,0)),"",IF(VLOOKUP(MATCH(O103,em_id,0),em,'5(em)'!$CZ$18,FALSE)="","",VLOOKUP(MATCH(O103,em_id,0),em,'5(em)'!$CZ$18,FALSE)))</f>
        <v>1027131</v>
      </c>
      <c r="AX103" s="10478">
        <f t="shared" si="50"/>
        <v>0.15</v>
      </c>
      <c r="AY103" s="10480"/>
      <c r="AZ103" s="10482">
        <f>+IF(ISERROR(MATCH(O103,em_id,0)),"",IF(VLOOKUP(MATCH(O103,em_id,0),em,'5(em)'!$DA$18,FALSE)="","",VLOOKUP(MATCH(O103,em_id,0),em,'5(em)'!$DA$18,FALSE)))</f>
        <v>76.7</v>
      </c>
      <c r="BA103" s="1030"/>
      <c r="BB103" s="1362" t="str">
        <f t="shared" si="778"/>
        <v>8306-07-01</v>
      </c>
      <c r="BC103" s="7905">
        <v>1</v>
      </c>
      <c r="BD103" s="3151" t="str">
        <f>+IF(OR(D103="",VLOOKUP(MATCH(D103,op_id,0),op,'7(op)'!$T$18,FALSE)=""),"",VLOOKUP(MATCH(D103,op_id,0),op,'7(op)'!$T$18,FALSE))</f>
        <v>Separated Overfired Air / High Energy Reagent Technology (SOFA/HERT)</v>
      </c>
      <c r="BE103" s="1036" t="s">
        <v>1629</v>
      </c>
      <c r="BF103" s="1036" t="s">
        <v>1861</v>
      </c>
      <c r="BG103" s="1035"/>
      <c r="BH103" s="8635"/>
      <c r="BI103" s="100"/>
      <c r="BJ103" s="100"/>
      <c r="BK103" s="100"/>
      <c r="BL103" s="100"/>
      <c r="BM103" s="100"/>
      <c r="BN103" s="100" t="str">
        <f t="shared" si="12"/>
        <v/>
      </c>
      <c r="BO103" s="100" t="str">
        <f t="shared" si="13"/>
        <v/>
      </c>
      <c r="BP103" s="100" t="str">
        <f t="shared" si="14"/>
        <v/>
      </c>
      <c r="BQ103" s="100" t="str">
        <f t="shared" si="15"/>
        <v/>
      </c>
      <c r="BR103" s="1027"/>
      <c r="BS103" s="1754" t="s">
        <v>559</v>
      </c>
      <c r="BT103" s="7905"/>
      <c r="BU103" s="3714">
        <f>+IF(BB103="","",IF(VLOOKUP(MATCH(BB103,ef_id,0),ef,'11(eff)'!$Z$23,FALSE)="","",VLOOKUP(MATCH(BB103,ef_id,0),ef,'11(eff)'!$Z$23,FALSE)))</f>
        <v>0.15</v>
      </c>
      <c r="BV103" s="3759" t="str">
        <f>+IF(BB103="","",IF(VLOOKUP(MATCH(BB103,ef_id,0),ef,'11(eff)'!$AA$23,FALSE)="","",VLOOKUP(MATCH(BB103,ef_id,0),ef,'11(eff)'!$AA$23,FALSE)))</f>
        <v/>
      </c>
      <c r="BW103" s="3781">
        <v>27.76</v>
      </c>
      <c r="BX103" s="3802">
        <f t="shared" si="511"/>
        <v>27.76</v>
      </c>
      <c r="BY103" s="3821">
        <f t="shared" si="512"/>
        <v>27.759374999999999</v>
      </c>
      <c r="BZ103" s="3400"/>
      <c r="CA103" s="3425"/>
      <c r="CB103" s="3853">
        <f t="shared" si="382"/>
        <v>11.099999999999998</v>
      </c>
      <c r="CC103" s="3874">
        <f>+IF(OR($BB103="",BW103=""),"",IF(CB103="",IF(CD103="",IF(CD103="",IF(CE103="","",CE103)),CD103),CB103/IF($AT103="",IF($AT102="",$AT101,$AT102),$AT103)))</f>
        <v>0.28564076170869784</v>
      </c>
      <c r="CD103" s="3873">
        <f t="shared" si="514"/>
        <v>0.2857142857142857</v>
      </c>
      <c r="CE103" s="2379">
        <f>+IF(BB103="","",IF(VLOOKUP(MATCH(BB103,ef_id,0),ef,'11(eff)'!$AE$23,FALSE)="","",VLOOKUP(MATCH(BB103,ef_id,0),ef,'11(eff)'!$AE$23,FALSE)))</f>
        <v>0.45</v>
      </c>
      <c r="CF103" s="8635"/>
      <c r="CG103" s="100"/>
      <c r="CH103" s="2417"/>
      <c r="CI103" s="4009">
        <f t="shared" si="628"/>
        <v>8.2141421104026655E-2</v>
      </c>
      <c r="CJ103" s="4062" t="str">
        <f>+IF(AY103="","",AY103*(1-CO103))</f>
        <v/>
      </c>
      <c r="CK103" s="4009">
        <f>+IF($BB103="","",IF(CI103="",IF($AZ103="",IF($AZ102="",$AZ101,$AZ102),$AZ103)-CL103,IF(OR(IF($AW103="",IF($AW102="",$AW101,$AW102),$AW103)="",CI103=""),"",CI103/2000*IF($AW103="",IF($AW102="",$AW101,$AW102),$AW103))))</f>
        <v>42.185000000000002</v>
      </c>
      <c r="CL103" s="4010">
        <f>+IF($BB103="","",IF(CI103="",CO103*IF($AZ103="",IF($AZ102="",$AZ101,$AZ102),$AZ103),IF(CK103="","",IF($AZ103="",IF($AZ102="",$AZ101,$AZ102),$AZ103)-CK103)))</f>
        <v>34.515000000000001</v>
      </c>
      <c r="CM103" s="4011">
        <f>+IF($BB103="","",IF(CL103="","",CL103/IF($AZ103="",IF($AZ102="",$AZ101,$AZ102),$AZ103)))</f>
        <v>0.45</v>
      </c>
      <c r="CN103" s="4011">
        <f>+IF($BB103="","",IF(CI103="","",(1-CI103/IF($AX103="",IF($AX102="",$AX101,$AX102),$AX103))))</f>
        <v>0.45239052597315565</v>
      </c>
      <c r="CO103" s="4012">
        <f>+IF(BB103="","",IF(VLOOKUP(MATCH(BB103,ef_id,0),ef,'11(eff)'!$AE$23,FALSE)="","",VLOOKUP(MATCH(BB103,ef_id,0),ef,'11(eff)'!$AE$23,FALSE)))</f>
        <v>0.45</v>
      </c>
      <c r="CP103" s="3985">
        <f>+IF(OR(BB103="",VLOOKUP(MATCH(BB103,ef_id,0),ef,'11(eff)'!$AG$23,FALSE)=""),"",IF(VLOOKUP(MATCH(BB103,ef_id,0),ef,'11(eff)'!$AG$23,FALSE)/100=VLOOKUP(MATCH(BB103,ef_id,0),ef,'11(eff)'!$AE$23,FALSE),VLOOKUP(MATCH(BB103,ef_id,0),ef,'11(eff)'!$AE$23,FALSE),""))</f>
        <v>0.45</v>
      </c>
      <c r="CQ103" s="1371" t="str">
        <f>+IF(BD103="","",BD103)</f>
        <v>Separated Overfired Air / High Energy Reagent Technology (SOFA/HERT)</v>
      </c>
      <c r="CR103" s="8580"/>
      <c r="CS103" s="2768">
        <v>5857063</v>
      </c>
      <c r="CT103" s="1594">
        <v>1860912</v>
      </c>
      <c r="CU103" s="1520">
        <v>1481238</v>
      </c>
      <c r="CV103" s="1896">
        <f t="shared" si="704"/>
        <v>50000</v>
      </c>
      <c r="CW103" s="1897">
        <v>30000</v>
      </c>
      <c r="CX103" s="1897">
        <v>100000</v>
      </c>
      <c r="CY103" s="1898"/>
      <c r="CZ103" s="2481"/>
      <c r="DA103" s="2490"/>
      <c r="DB103" s="2490"/>
      <c r="DC103" s="1896"/>
      <c r="DD103" s="1899"/>
      <c r="DE103" s="1900"/>
      <c r="DF103" s="1901"/>
      <c r="DG103" s="1901">
        <v>100000</v>
      </c>
      <c r="DH103" s="1899"/>
      <c r="DI103" s="1523">
        <f t="shared" si="779"/>
        <v>1661238</v>
      </c>
      <c r="DJ103" s="1942">
        <v>99674</v>
      </c>
      <c r="DK103" s="1594">
        <v>1047639</v>
      </c>
      <c r="DL103" s="1520">
        <v>500000</v>
      </c>
      <c r="DM103" s="1896">
        <f t="shared" si="705"/>
        <v>35000</v>
      </c>
      <c r="DN103" s="1897">
        <v>20000</v>
      </c>
      <c r="DO103" s="1897">
        <v>13339</v>
      </c>
      <c r="DP103" s="1898">
        <f>200000+170000</f>
        <v>370000</v>
      </c>
      <c r="DQ103" s="2481"/>
      <c r="DR103" s="2490"/>
      <c r="DS103" s="2490">
        <v>50000</v>
      </c>
      <c r="DT103" s="1896"/>
      <c r="DU103" s="1899"/>
      <c r="DV103" s="1900"/>
      <c r="DW103" s="1901"/>
      <c r="DX103" s="1901"/>
      <c r="DY103" s="1899"/>
      <c r="DZ103" s="1523">
        <f t="shared" si="664"/>
        <v>988339</v>
      </c>
      <c r="EA103" s="1942">
        <v>59300</v>
      </c>
      <c r="EB103" s="1520">
        <f t="shared" si="775"/>
        <v>2908551</v>
      </c>
      <c r="EC103" s="627">
        <f t="shared" ref="EC103:EC111" si="822">+IF(BB103="","",1)</f>
        <v>1</v>
      </c>
      <c r="ED103" s="1521">
        <f t="shared" si="20"/>
        <v>2908551</v>
      </c>
      <c r="EE103" s="1908"/>
      <c r="EF103" s="1985"/>
      <c r="EG103" s="1907">
        <v>1308847.95</v>
      </c>
      <c r="EH103" s="1523">
        <f t="shared" si="740"/>
        <v>1308847.95</v>
      </c>
      <c r="EI103" s="1900">
        <f>0.05*(ED103+EH103)</f>
        <v>210869.94750000001</v>
      </c>
      <c r="EJ103" s="1901">
        <f>0.1*(ED103+EH103)</f>
        <v>421739.89500000002</v>
      </c>
      <c r="EK103" s="2014">
        <f>0.05*(ED103+EH103)</f>
        <v>210869.94750000001</v>
      </c>
      <c r="EL103" s="1564"/>
      <c r="EM103" s="1900"/>
      <c r="EN103" s="1901"/>
      <c r="EO103" s="2014"/>
      <c r="EP103" s="1523">
        <f t="shared" si="776"/>
        <v>843479.79</v>
      </c>
      <c r="EQ103" s="1523"/>
      <c r="ER103" s="1523"/>
      <c r="ES103" s="1523"/>
      <c r="ET103" s="1523">
        <f>0.15*(ED103+EH103+EP103)</f>
        <v>759131.81099999999</v>
      </c>
      <c r="EU103" s="1522">
        <f>0.02*(EP103+ET103)</f>
        <v>32052.232019999999</v>
      </c>
      <c r="EV103" s="1516">
        <v>5000</v>
      </c>
      <c r="EW103" s="2589"/>
      <c r="EX103" s="2589"/>
      <c r="EY103" s="2696">
        <f>+IF(BB103="","",(IF(ED103="",0,ED103)+IF(EH103="",0,EH103)+IF(EP103="",0,EP103)+IF(ET103="",0,ET103)+IF(EW103="",0,EW103)+IF(EX103="",0,EX103)))</f>
        <v>5820010.551</v>
      </c>
      <c r="EZ103" s="2725"/>
      <c r="FA103" s="1521"/>
      <c r="FB103" s="1503">
        <f t="shared" si="515"/>
        <v>5820010.551</v>
      </c>
      <c r="FC103" s="1488">
        <f t="shared" si="516"/>
        <v>2908551</v>
      </c>
      <c r="FD103" s="2049">
        <f t="shared" si="517"/>
        <v>1981238</v>
      </c>
      <c r="FE103" s="2033">
        <f t="shared" si="509"/>
        <v>0.68117698469100252</v>
      </c>
      <c r="FF103" s="2049">
        <f t="shared" si="518"/>
        <v>618339</v>
      </c>
      <c r="FG103" s="2033">
        <f t="shared" si="519"/>
        <v>0.2125934872725285</v>
      </c>
      <c r="FH103" s="2049">
        <f t="shared" si="520"/>
        <v>0</v>
      </c>
      <c r="FI103" s="2033">
        <f t="shared" si="510"/>
        <v>0</v>
      </c>
      <c r="FJ103" s="1518">
        <f t="shared" si="521"/>
        <v>2599577</v>
      </c>
      <c r="FK103" s="2033">
        <f t="shared" si="522"/>
        <v>0.89377047196353099</v>
      </c>
      <c r="FL103" s="2629">
        <f t="shared" si="523"/>
        <v>50000</v>
      </c>
      <c r="FM103" s="2033">
        <f t="shared" si="524"/>
        <v>1.7190690484712147E-2</v>
      </c>
      <c r="FN103" s="2049">
        <f t="shared" si="525"/>
        <v>0</v>
      </c>
      <c r="FO103" s="2033">
        <f t="shared" si="526"/>
        <v>0</v>
      </c>
      <c r="FP103" s="2049">
        <f t="shared" si="527"/>
        <v>100000</v>
      </c>
      <c r="FQ103" s="2033">
        <f t="shared" si="528"/>
        <v>3.4381380969424294E-2</v>
      </c>
      <c r="FR103" s="2837">
        <f t="shared" si="529"/>
        <v>2649577</v>
      </c>
      <c r="FS103" s="1804">
        <f t="shared" si="530"/>
        <v>158974</v>
      </c>
      <c r="FT103" s="2061">
        <f t="shared" si="531"/>
        <v>5.999976600038421E-2</v>
      </c>
      <c r="FU103" s="2881">
        <f t="shared" si="532"/>
        <v>0</v>
      </c>
      <c r="FV103" s="1715">
        <f t="shared" si="533"/>
        <v>16910.180232558141</v>
      </c>
      <c r="FW103" s="2122">
        <f t="shared" si="534"/>
        <v>1308847.95</v>
      </c>
      <c r="FX103" s="1741">
        <f t="shared" si="535"/>
        <v>0.45</v>
      </c>
      <c r="FY103" s="2088">
        <f t="shared" si="536"/>
        <v>843479.79</v>
      </c>
      <c r="FZ103" s="1741">
        <f t="shared" si="537"/>
        <v>0.29000000000000004</v>
      </c>
      <c r="GA103" s="1741">
        <f t="shared" si="538"/>
        <v>0.2</v>
      </c>
      <c r="GB103" s="2088">
        <f t="shared" si="539"/>
        <v>759131.81099999999</v>
      </c>
      <c r="GC103" s="1741">
        <f t="shared" si="540"/>
        <v>0.26100000000000001</v>
      </c>
      <c r="GD103" s="1741">
        <f t="shared" si="541"/>
        <v>0.15</v>
      </c>
      <c r="GE103" s="1610">
        <f t="shared" si="542"/>
        <v>5820010.551</v>
      </c>
      <c r="GF103" s="2136">
        <f t="shared" si="741"/>
        <v>5857062.78302</v>
      </c>
      <c r="GG103" s="2159">
        <f t="shared" si="544"/>
        <v>-3.7045872369745325E-8</v>
      </c>
      <c r="GH103" s="2505">
        <f t="shared" si="545"/>
        <v>34052.690598953486</v>
      </c>
      <c r="GI103" s="1610">
        <v>1516440</v>
      </c>
      <c r="GJ103" s="1507">
        <v>136570</v>
      </c>
      <c r="GK103" s="3440">
        <f t="shared" si="423"/>
        <v>11.099999999999998</v>
      </c>
      <c r="GL103" s="3249">
        <f t="shared" si="546"/>
        <v>-3.3840679663353721E-4</v>
      </c>
      <c r="GM103" s="1225"/>
      <c r="GN103" s="1224"/>
      <c r="GO103" s="2283">
        <v>5000</v>
      </c>
      <c r="GP103" s="2284">
        <v>5633</v>
      </c>
      <c r="GQ103" s="2331">
        <f t="shared" si="582"/>
        <v>10633</v>
      </c>
      <c r="GR103" s="2327"/>
      <c r="GS103" s="2327"/>
      <c r="GT103" s="1684">
        <v>1505807</v>
      </c>
      <c r="GU103" s="2335">
        <f t="shared" si="547"/>
        <v>1516440</v>
      </c>
      <c r="GV103" s="1133">
        <f t="shared" si="548"/>
        <v>5000</v>
      </c>
      <c r="GW103" s="2243">
        <f t="shared" si="549"/>
        <v>5633</v>
      </c>
      <c r="GX103" s="2213">
        <f t="shared" si="550"/>
        <v>10633</v>
      </c>
      <c r="GY103" s="2218" t="str">
        <f t="shared" si="551"/>
        <v/>
      </c>
      <c r="GZ103" s="2218" t="str">
        <f t="shared" si="552"/>
        <v/>
      </c>
      <c r="HA103" s="1684">
        <f t="shared" si="553"/>
        <v>1505807</v>
      </c>
      <c r="HB103" s="1333">
        <f t="shared" si="432"/>
        <v>1516440</v>
      </c>
      <c r="HC103" s="2364">
        <f t="shared" si="554"/>
        <v>1516440</v>
      </c>
      <c r="HD103" s="2349">
        <f t="shared" si="375"/>
        <v>0</v>
      </c>
      <c r="HE103" s="1225"/>
      <c r="HF103" s="1518">
        <f t="shared" si="555"/>
        <v>136570</v>
      </c>
      <c r="HG103" s="1224">
        <f>+IF(OR(HC103="",$CL103=""),"",HC103/$CL103)</f>
        <v>43935.680139069969</v>
      </c>
      <c r="HH103" s="2981">
        <f>+IF(BF103="","",VALUE(LEFT(BF103,1)))</f>
        <v>2</v>
      </c>
      <c r="HI103" s="2927">
        <f>+IF(FR103="","",FR103)</f>
        <v>2649577</v>
      </c>
      <c r="HJ103" s="2069">
        <f>+IF(FP103="","",FP103)</f>
        <v>100000</v>
      </c>
      <c r="HK103" s="2069">
        <f>+IF(FN103="","",FN103)</f>
        <v>0</v>
      </c>
      <c r="HL103" s="2069">
        <f>+IF(FR103="","",IF(HH103="","",IF(HH103=4,FS103,IF(HH103=3,FS103,IF(HH103=2,$HL$7*HI103,IF(HH103=1,$HL$6*HI103,""))))))</f>
        <v>158974.62</v>
      </c>
      <c r="HM103" s="2934">
        <f>IF(FR103="","",SUM(HI103:HL103))</f>
        <v>2908551.62</v>
      </c>
      <c r="HN103" s="2911">
        <f t="shared" si="347"/>
        <v>16910.183837209304</v>
      </c>
      <c r="HO103" s="1806">
        <f>+IF(FR103="","",IF(HH103="","",IF(HH103=4,FW103,IF(HH103=3,FW103,IF(HH103=2,$HO$7*HM103,IF(HH103=1,$HO$6*HM103,""))))))</f>
        <v>1308848.2290000001</v>
      </c>
      <c r="HP103" s="2069">
        <f>+IF(FR103="","",IF(HH103="","",IF(HH103=4,FY103,IF(HH103=3,FY103,IF(HH103=2,$HP$7*(HM103+HO103),IF(HH103=1,$HP$6*HM103,""))))))</f>
        <v>843479.96980000008</v>
      </c>
      <c r="HQ103" s="3010" t="str">
        <f t="shared" si="556"/>
        <v/>
      </c>
      <c r="HR103" s="1805">
        <f t="shared" si="557"/>
        <v>759131.97282000002</v>
      </c>
      <c r="HS103" s="1805">
        <f t="shared" si="558"/>
        <v>759131.97282000002</v>
      </c>
      <c r="HT103" s="2955">
        <f>+IF(FR103="","",IF(HH103="","",IF(HH103=2,$HT$7*(HP103+HR103),"")))</f>
        <v>32052.238852400002</v>
      </c>
      <c r="HU103" s="2956">
        <f>+IF(FR103="","",IF(HH103="","",IF(HH103=2,$HU$7*(HP103+HR103),"")))</f>
        <v>0</v>
      </c>
      <c r="HV103" s="2955" t="str">
        <f t="shared" si="559"/>
        <v/>
      </c>
      <c r="HW103" s="2956" t="str">
        <f t="shared" si="560"/>
        <v/>
      </c>
      <c r="HX103" s="2909">
        <f t="shared" si="199"/>
        <v>5852064.0304724006</v>
      </c>
      <c r="HY103" s="2931" t="str">
        <f t="shared" si="561"/>
        <v/>
      </c>
      <c r="HZ103" s="2956" t="str">
        <f t="shared" si="562"/>
        <v/>
      </c>
      <c r="IA103" s="1488">
        <f t="shared" si="563"/>
        <v>5852064.0304724006</v>
      </c>
      <c r="IB103" s="3040" t="str">
        <f t="shared" si="564"/>
        <v>stk added + 0%</v>
      </c>
      <c r="IC103" s="3045">
        <f t="shared" si="706"/>
        <v>34023.628084141863</v>
      </c>
      <c r="ID103" s="1204"/>
      <c r="IE103" s="4097"/>
      <c r="IF103" s="2909">
        <f t="shared" si="780"/>
        <v>5000</v>
      </c>
      <c r="IG103" s="6766">
        <f>+IF(IF103="","",(IF103/IF(AO103="",IF(AO102="",IF(AO101="",AO100,AO101),AO102),AO103)))</f>
        <v>8.8440788891836917</v>
      </c>
      <c r="IH103" s="4164">
        <f t="shared" si="781"/>
        <v>5633</v>
      </c>
      <c r="II103" s="6800">
        <f>+IH103/IF(AQ103="",IF(AQ102="",IF(AQ101="",AQ100,AQ101),AQ102),AQ103)</f>
        <v>1.521918270854441E-2</v>
      </c>
      <c r="IJ103" s="4165">
        <f t="shared" si="782"/>
        <v>10633</v>
      </c>
      <c r="IK103" s="4127">
        <v>0</v>
      </c>
      <c r="IL103" s="2069">
        <f t="shared" ref="IL103:IL104" si="823">+IF(IF103="","",IK103*$IL$8*IF103)</f>
        <v>0</v>
      </c>
      <c r="IM103" s="1805">
        <f t="shared" ref="IM103:IM104" si="824">IF(HM103="","",IK103*$IM$8*IA103)</f>
        <v>0</v>
      </c>
      <c r="IN103" s="4225" t="str">
        <f t="shared" si="783"/>
        <v/>
      </c>
      <c r="IO103" s="4225">
        <f t="shared" si="784"/>
        <v>10633</v>
      </c>
      <c r="IP103" s="4225">
        <f t="shared" ref="IP103:IP104" si="825">+IF(BB103="","",IF(IJ103="","",IJ103/IF(R103="",IF(R102="",IF(R101="",R100,R101),R102),R103)))</f>
        <v>10633</v>
      </c>
      <c r="IQ103" s="6839">
        <f t="shared" ref="IQ103:IQ104" si="826">+IF(IP103="","",IP103/IX103)</f>
        <v>2.3650369544153935E-2</v>
      </c>
      <c r="IR103" s="4225" t="str">
        <f t="shared" ref="IR103:IR104" si="827">+IF(BB103="","",IF(IN103="","",IN103/IF(R103="",IF(R102="",IF(R101="",R100,R101),R102),R103)))</f>
        <v/>
      </c>
      <c r="IS103" s="6839" t="str">
        <f t="shared" ref="IS103:IS104" si="828">+IF(IR103="","",IR103/IX103)</f>
        <v/>
      </c>
      <c r="IT103" s="4225">
        <f t="shared" si="789"/>
        <v>10633</v>
      </c>
      <c r="IU103" s="6839">
        <f t="shared" si="595"/>
        <v>2.3650369544153935E-2</v>
      </c>
      <c r="IV103" s="4127">
        <f t="shared" ref="IV103:IV104" si="829">+IF(D103="","",IF(IF(V103="",IF(V102="",IF(V101="",V100,V101),V102),V103)="Utility Boiler",2,1))</f>
        <v>2</v>
      </c>
      <c r="IW103" s="1805">
        <f t="shared" ref="IW103:IW104" si="830">IF(IA103="","",IF(IV103=1,$IW$5,IF(IV103=2,$IW$8,""))*IA103)</f>
        <v>438958.28355896409</v>
      </c>
      <c r="IX103" s="4189">
        <f t="shared" si="792"/>
        <v>449591.28355896409</v>
      </c>
      <c r="IY103" s="4244">
        <f t="shared" si="793"/>
        <v>1516440</v>
      </c>
      <c r="IZ103" s="4274">
        <f t="shared" si="794"/>
        <v>0.70352187784616338</v>
      </c>
      <c r="JA103" s="4275" t="str">
        <f t="shared" ref="JA103:JA104" si="831">+IF(BB103="","",IF(ISERROR(IY103-IX103),"",IF((IY103-IX103)&gt;0,"stk added + "&amp;ROUND((IY103-IX103)/IY103*100,0)&amp;"%",IF(IY103=IX103,"same TAC",(IY103-IX103)/IY103))))</f>
        <v>stk added + 70%</v>
      </c>
      <c r="JB103" s="1205"/>
      <c r="JC103" s="4322"/>
      <c r="JD103" s="1518">
        <f t="shared" si="796"/>
        <v>40503.719239546321</v>
      </c>
      <c r="JE103" s="4357">
        <f t="shared" si="797"/>
        <v>13025.967943183083</v>
      </c>
      <c r="JF103" s="7028">
        <f>+IF(D103="","",IF(T103="",IF(T102="",T101/IF(Y101="TP",2,1),T102/IF(Y102="TP",2,1)),T103/IF(Y103="TP",2,1)))</f>
        <v>172</v>
      </c>
      <c r="JG103" s="2069" t="s">
        <v>2437</v>
      </c>
      <c r="JH103" s="6959">
        <f>+IF(D103="","",IF(HX103="","",HX103))</f>
        <v>5852064.0304724006</v>
      </c>
      <c r="JI103" s="6959">
        <f>+JH103</f>
        <v>5852064.0304724006</v>
      </c>
      <c r="JJ103" s="6959"/>
      <c r="JK103" s="6959"/>
      <c r="JL103" s="6996"/>
      <c r="JM103" s="1804" t="str">
        <f t="shared" ref="JM103:JM104" si="832">+IF(D103="","",IF(JG103="SCR",(JF103*49700+459000),IF(JG103="HPWI",(0.0353*JF103+0.2915)*(10^6),"N/A")))</f>
        <v>N/A</v>
      </c>
      <c r="JN103" s="2069" t="str">
        <f t="shared" si="637"/>
        <v/>
      </c>
      <c r="JO103" s="2069">
        <f t="shared" si="717"/>
        <v>5852064.0304724006</v>
      </c>
      <c r="JP103" s="3010"/>
      <c r="JQ103" s="3010"/>
      <c r="JR103" s="2069"/>
      <c r="JS103" s="1805">
        <f>+IF(D103="","",SUM(JO103:JR103))</f>
        <v>5852064.0304724006</v>
      </c>
      <c r="JT103" s="7130">
        <f t="shared" si="476"/>
        <v>2</v>
      </c>
      <c r="JU103" s="7131">
        <f t="shared" ref="JU103:JU104" si="833">+IF(D103="","",IF(AV103="",IF(AV102="",IF(AV101="","",AV101),AV102),AV103))</f>
        <v>1523</v>
      </c>
      <c r="JV103" s="8366">
        <f t="shared" ref="JV103:JV104" si="834">+IF(D103="","",IF(AW103="",IF(AW102="",IF(AW101="","",AW101),AW102),AW103))</f>
        <v>1027131</v>
      </c>
      <c r="JW103" s="8393">
        <f t="shared" si="682"/>
        <v>34.515000000000001</v>
      </c>
      <c r="JX103" s="8422">
        <f t="shared" ref="JX103:JX104" si="835">+IF(OR(D103="",JU103=""),"",IF(JT103=2,24000/JU103,""))</f>
        <v>15.758371634931057</v>
      </c>
      <c r="JY103" s="8457">
        <f t="shared" si="755"/>
        <v>0.10675904132266419</v>
      </c>
      <c r="JZ103" s="7132">
        <f t="shared" ref="JZ103:JZ104" si="836">+IF(OR(D103="",JU103="",ISERROR(JF103)),"",IF(JT103=2,JF103*6180/83,""))</f>
        <v>12806.746987951807</v>
      </c>
      <c r="KA103" s="7130" t="str">
        <f t="shared" ref="KA103:KA104" si="837">+IF(OR(D103="",JV103=""),"",IF(JT103=1,JV103*10^6/$KA$8/JU103,""))</f>
        <v/>
      </c>
      <c r="KB103" s="7131" t="str">
        <f t="shared" ref="KB103:KB104" si="838">+IF(OR(D103="",KA103=""),"",IF(JT103=1,KA103*$KB$8,""))</f>
        <v/>
      </c>
      <c r="KC103" s="7132" t="str">
        <f t="shared" ref="KC103:KC104" si="839">+IF(OR(D103="",KB103=""),"",IF(JT103=1,KB103*7.48/62.4/60,""))</f>
        <v/>
      </c>
      <c r="KD103" s="7130">
        <f t="shared" ref="KD103:KD104" si="840">+IF(OR(D103="",JV103=""),"",IF(JT103=1,$KD$5*JU103*$KD$6/1000,$KD$7*JU103*$KD$8/1000))</f>
        <v>64642.212</v>
      </c>
      <c r="KE103" s="8330">
        <f t="shared" ref="KE103:KE104" si="841">+IF(OR(D103="",JW103="",JW103=0),"",IF(JT103=2,JW103*$KE$8*$KG$4,""))</f>
        <v>21495.941999999999</v>
      </c>
      <c r="KF103" s="8330">
        <f t="shared" ref="KF103:KF104" si="842">+IF(OR(D103="",JW103="",JW103=0),"",IF(JT103=2,JW103*(0.95/0.05)*(18/17)*($KF$8/1000)*(2000)*$KG$4,""))</f>
        <v>14414.925811764704</v>
      </c>
      <c r="KG103" s="7131">
        <f t="shared" ref="KG103:KG104" si="843">+IF(D103="","",IF(JT103=1,$KG$2*KC103/1000*60*JU103*$KG$4*$KG$6,IF(OR(JZ103="",JY103=""),"",JZ103*$KG$8*JY103*$KG$4)))</f>
        <v>35479.775001742171</v>
      </c>
      <c r="KH103" s="7131">
        <f>IF(D103="","",IF(JT103=2,0.005*JF103*$KD$6/1000*1000*JU103,""))</f>
        <v>508404.20480000007</v>
      </c>
      <c r="KI103" s="7131">
        <f>IF(D103="","",IF(JT103=2,0.1*0.005*JF103*$KD$6/1000*1000*JU103,""))</f>
        <v>50840.420480000008</v>
      </c>
      <c r="KJ103" s="7131">
        <f t="shared" ref="KJ103:KJ104" si="844">+IF(OR(D103="",JU103="",JV103=""),"",IF(JT103=1,KD103+KG103,KD103+KE103+KF103+KG103+KH103+KI103))</f>
        <v>695277.48009350698</v>
      </c>
      <c r="KK103" s="7131">
        <f>+IF(OR(D103="",JU103="",JV103=""),"",$KK$7*$KG$4*JU103)</f>
        <v>159773.66560000001</v>
      </c>
      <c r="KL103" s="7131">
        <f t="shared" ref="KL103:KL104" si="845">+IF(OR(D103="",JU103="",JV103="",JS103=""),"",IF(JT103=1,$KL$7*JS103*JU103/$KL$8,$KL$7*IF(JN103="",JS103,JN103)*JU103/$KL$8))</f>
        <v>33422.6006940355</v>
      </c>
      <c r="KM103" s="7131">
        <f t="shared" ref="KM103:KM104" si="846">+IF(D103="","",IF(KK103="",0,KK103)+IF(KL103="",0,KL103))</f>
        <v>193196.26629403551</v>
      </c>
      <c r="KN103" s="7131">
        <f>+IF(D103="","",IF(JX103&lt;41,$KN$8*JZ103*JY103,""))</f>
        <v>396498.44895973912</v>
      </c>
      <c r="KO103" s="7131">
        <f t="shared" ref="KO103:KO104" si="847">+IF(OR(D103="",JU103="",JV103=""),"",IF(KM103="",0,KM103)+IF(KN103="",0,KN103))</f>
        <v>589694.71525377466</v>
      </c>
      <c r="KP103" s="7132">
        <f t="shared" ref="KP103:KP104" si="848">+IF(OR(D103="",JU103="",JV103=""),"",IF(KJ103="",0,KJ103)+IF(KO103="",0,KO103))</f>
        <v>1284972.1953472816</v>
      </c>
      <c r="KQ103" s="1806">
        <f>+IF(D103="","",VLOOKUP(MATCH(BE103,ac_id,0),ad,ac!$F$8,FALSE)*JV103)</f>
        <v>308139.3</v>
      </c>
      <c r="KR103" s="3010">
        <f>+IF(D103="","",IF(JT103=1,VLOOKUP(MATCH(BE103,ac_id,0),ad,ac!$H$8,FALSE)*JU103, (VLOOKUP(MATCH(BE103,ac_id,0),ad,ac!$H$8,FALSE)*JU103^(1+VLOOKUP(MATCH(BE103,ac_id,0),ad,ac!$I$8,FALSE)))))</f>
        <v>22389.096127631106</v>
      </c>
      <c r="KS103" s="1805">
        <f>+IF(D103="","",KQ103+KR103)</f>
        <v>330528.39612763107</v>
      </c>
      <c r="KT103" s="1806">
        <f t="shared" ref="KT103:KT104" si="849">+IF(D103="","",IF(KK103="","",$KT$26*KM103))</f>
        <v>115917.7597764213</v>
      </c>
      <c r="KU103" s="2069">
        <f t="shared" ref="KU103:KU104" si="850">+IF(D103="","",IF(JS103="","",$KU$26*IF(JN103="",JS103,JN103)))</f>
        <v>234082.56121889604</v>
      </c>
      <c r="KV103" s="7374">
        <f t="shared" si="667"/>
        <v>2</v>
      </c>
      <c r="KW103" s="7280">
        <f t="shared" ref="KW103:KW104" si="851">IF(JS103="","",IF(KV103=1,$KW$5,IF(KV103=2,$KW$8,""))*JS103)</f>
        <v>438958.28355896409</v>
      </c>
      <c r="KX103" s="1805">
        <f t="shared" ref="KX103:KX104" si="852">+IF(D103="","",IF(KW103="","",IF(KT103="",0,KT103)+IF(KU103="",0,KU103)+KW103))</f>
        <v>788958.60455428134</v>
      </c>
      <c r="KY103" s="2505">
        <f t="shared" ref="KY103:KY104" si="853">+IF(D103="","",IF(KX103="","",IF(KP103="",0,KP103)+KX103))</f>
        <v>2073930.799901563</v>
      </c>
      <c r="KZ103" s="7375"/>
      <c r="LA103" s="7280">
        <f t="shared" si="668"/>
        <v>186840.61260374443</v>
      </c>
      <c r="LB103" s="7291">
        <f t="shared" si="669"/>
        <v>60087.811093772645</v>
      </c>
      <c r="LC103" s="5133"/>
      <c r="LD103" s="5132"/>
      <c r="LE103" s="5132"/>
      <c r="LF103" s="5132"/>
      <c r="LG103" s="5132"/>
      <c r="LH103" s="5132"/>
      <c r="LI103" s="5132"/>
      <c r="LJ103" s="5132"/>
    </row>
    <row r="104" spans="1:322" s="717" customFormat="1" ht="27.95" customHeight="1">
      <c r="A104" s="10539"/>
      <c r="B104" s="10521" t="str">
        <f>+IF(A104="","",VLOOKUP(MATCH(A104,tid,0),tao,'12(id)'!$J$20,FALSE))</f>
        <v/>
      </c>
      <c r="C104" s="10549"/>
      <c r="D104" s="1127" t="str">
        <f t="shared" si="48"/>
        <v>8306-07-02</v>
      </c>
      <c r="E104" s="730" t="str">
        <f>+IF(BD104="","",BD104)</f>
        <v>Selective Catalytic Reduction (SCR) with ID fans</v>
      </c>
      <c r="F104" s="730" t="str">
        <f t="shared" si="777"/>
        <v>SCR</v>
      </c>
      <c r="G104" s="5133"/>
      <c r="H104" s="5132"/>
      <c r="I104" s="5133"/>
      <c r="J104" s="745">
        <f t="shared" si="820"/>
        <v>70</v>
      </c>
      <c r="K104" s="10553"/>
      <c r="L104" s="9721"/>
      <c r="M104" s="9718"/>
      <c r="N104" s="9699"/>
      <c r="O104" s="9518"/>
      <c r="P104" s="9520"/>
      <c r="Q104" s="9680" t="str">
        <f>+IF(ISERROR(MATCH(O104,tid,0)),"",VLOOKUP(MATCH(O104,tid,0),tao,'12(id)'!$Q$20,FALSE))</f>
        <v/>
      </c>
      <c r="R104" s="10183"/>
      <c r="S104" s="9680"/>
      <c r="T104" s="10526" t="str">
        <f>+IF(ISERROR(MATCH(O104,tid,0)),"",IF(VLOOKUP(MATCH(O104,tid,0),tao,'12(id)'!$CT$20,FALSE)="","",VLOOKUP(MATCH(O104,tid,0),tao,'12(id)'!$CT$20,FALSE)))</f>
        <v/>
      </c>
      <c r="U104" s="10529" t="str">
        <f>+IF(ISERROR(MATCH(O104,tid,0)),"",IF(VLOOKUP(MATCH(O104,tid,0),tao,'12(id)'!$CU$20,FALSE)="","",VLOOKUP(MATCH(O104,tid,0),tao,'12(id)'!$CU$20,FALSE)))</f>
        <v/>
      </c>
      <c r="V104" s="9504" t="str">
        <f>+IF(O104="","",IF(VLOOKUP(MATCH(O104,tid,0),tao,'12(id)'!$T$20,FALSE)="","",VLOOKUP(MATCH(O104,tid,0),tao,'12(id)'!$T$20,FALSE)))</f>
        <v/>
      </c>
      <c r="W104" s="9504" t="str">
        <f>+IF(ISERROR(MATCH(O104,tid,0)),"",IF(VLOOKUP(MATCH(O104,tid,0),tao,'12(id)'!$CO$20,FALSE)="","",VLOOKUP(MATCH(O104,tid,0),tao,'12(id)'!$CO$20,FALSE)))</f>
        <v/>
      </c>
      <c r="X104" s="9504" t="str">
        <f>+IF(ISERROR(MATCH(O104,tid,0)),"",IF(VLOOKUP(MATCH(O104,tid,0),tao,'12(id)'!$CP$20,FALSE)="","",VLOOKUP(MATCH(O104,tid,0),tao,'12(id)'!$CP$20,FALSE)))</f>
        <v/>
      </c>
      <c r="Y104" s="8553" t="str">
        <f>+IF(ISERROR(MATCH(O104,tid,0)),"",IF(VLOOKUP(MATCH(O104,tid,0),tao,'12(id)'!$CQ$20,FALSE)="","",VLOOKUP(MATCH(O104,tid,0),tao,'12(id)'!$CQ$20,FALSE)))</f>
        <v/>
      </c>
      <c r="Z104" s="9518" t="str">
        <f>+IF(ISERROR(MATCH(O104,tid,0)),"",VLOOKUP(MATCH(O104,tid,0),tao,'12(id)'!$DB$20,FALSE)&amp;" "&amp;VLOOKUP(MATCH(O104,tid,0),tao,'12(id)'!$DC$20,FALSE))</f>
        <v/>
      </c>
      <c r="AA104" s="9518" t="str">
        <f>+IF(ISERROR(MATCH(O104,tid,0)),"",IF(VLOOKUP(MATCH(O104,tid,0),tao,'12(id)'!$DE$20,FALSE)="","",ROUND(VLOOKUP(MATCH(O104,tid,0),tao,'12(id)'!$DE$20,FALSE),0)&amp;" yrs"))</f>
        <v/>
      </c>
      <c r="AB104" s="9648" t="str">
        <f>+IF(ISERROR(MATCH(O104,tid,0)),"",VLOOKUP(MATCH(O104,tid,0),tao,'12(id)'!$DI$20,FALSE))</f>
        <v/>
      </c>
      <c r="AC104" s="9648" t="str">
        <f>+IF(ISERROR(MATCH(O104,tid,0)),"",IF(VLOOKUP(MATCH(O104,tid,0),tao,'12(id)'!$DQ$20,FALSE)="","",VLOOKUP(MATCH(O104,tid,0),tao,'12(id)'!$DQ$20,FALSE)))</f>
        <v/>
      </c>
      <c r="AD104" s="10412" t="str">
        <f>+IF(ISERROR(MATCH(O104,tid,0)),"",IF(VLOOKUP(MATCH(O104,tid,0),tao,'12(id)'!$EI$20,FALSE)="","",VLOOKUP(MATCH(O104,tid,0),tao,'12(id)'!$EI$20,FALSE)))</f>
        <v/>
      </c>
      <c r="AE104" s="10412" t="str">
        <f>+IF(ISERROR(MATCH(O104,tid,0)),"",IF(VLOOKUP(MATCH(O104,tid,0),tao,'12(id)'!$EJ$20,FALSE)="","",VLOOKUP(MATCH(O104,tid,0),tao,'12(id)'!$EJ$20,FALSE)))</f>
        <v/>
      </c>
      <c r="AF104" s="10412" t="str">
        <f>+IF(ISERROR(MATCH(O104,tid,0)),"",IF(VLOOKUP(MATCH(O104,tid,0),tao,'12(id)'!$EL$20,FALSE)="","",VLOOKUP(MATCH(O104,tid,0),tao,'12(id)'!$EL$20,FALSE)))</f>
        <v/>
      </c>
      <c r="AG104" s="10409" t="str">
        <f>+IF(ISERROR(MATCH(O104,tid,0)),"",IF(VLOOKUP(MATCH(O104,tid,0),tao,'12(id)'!$EM$20,FALSE)="","",VLOOKUP(MATCH(O104,tid,0),tao,'12(id)'!$EM$20,FALSE)))</f>
        <v/>
      </c>
      <c r="AH104" s="10439"/>
      <c r="AI104" s="10441"/>
      <c r="AJ104" s="10441"/>
      <c r="AK104" s="10441"/>
      <c r="AL104" s="10441"/>
      <c r="AM104" s="10432"/>
      <c r="AN104" s="10422"/>
      <c r="AO104" s="10425" t="str">
        <f>+IF(ISERROR(MATCH(O104,tid,0)),"",IF(VLOOKUP(MATCH(O104,tid,0),tao,'12(id)'!$GY$20,FALSE)="","",VLOOKUP(MATCH(O104,tid,0),tao,'12(id)'!$GY$20,FALSE)))</f>
        <v/>
      </c>
      <c r="AP104" s="10378" t="e">
        <f>+IF($BB104="","",IF(VLOOKUP(MATCH(O104,tid,0),tao,'12(id)'!$HE$20,FALSE)="","",VLOOKUP(MATCH(O104,tid,0),tao,'12(id)'!$HE$20,FALSE)))</f>
        <v>#N/A</v>
      </c>
      <c r="AQ104" s="10406" t="str">
        <f>+IF(ISERROR(VLOOKUP(MATCH(O104,tid,0),tao,'12(id)'!$HF$20,FALSE)),"",VLOOKUP(MATCH(O104,tid,0),tao,'12(id)'!$HF$20,FALSE))</f>
        <v/>
      </c>
      <c r="AR104" s="10417" t="str">
        <f>+IF(ISERROR(MATCH(O104,tid,0)),"",IF(VLOOKUP(MATCH(O104,tid,0),tao,'12(id)'!$HJ$20,FALSE)="","",VLOOKUP(MATCH(O104,tid,0),tao,'12(id)'!$HJ$20,FALSE)))</f>
        <v/>
      </c>
      <c r="AS104" s="10419" t="str">
        <f>+IF(ISERROR(MATCH(O104,tid,0)),"",IF(VLOOKUP(MATCH(O104,tid,0),tao,'12(id)'!$HK$20,FALSE)="","",VLOOKUP(MATCH(O104,tid,0),tao,'12(id)'!$HK$20,FALSE)))</f>
        <v/>
      </c>
      <c r="AT104" s="10466" t="str">
        <f>+IF(ISERROR(MATCH(O104,tid,0)),"",IF(VLOOKUP(MATCH(O104,tid,0),tao,'12(id)'!$HM$20,FALSE)="","",VLOOKUP(MATCH(O104,tid,0),tao,'12(id)'!$HM$20,FALSE)))</f>
        <v/>
      </c>
      <c r="AU104" s="10471"/>
      <c r="AV104" s="10473" t="str">
        <f>+IF(ISERROR(MATCH(O104,em_id,0)),"",IF(VLOOKUP(MATCH(O104,em_id,0),em,'5(em)'!$CX$18,FALSE)="","",VLOOKUP(MATCH(O104,em_id,0),em,'5(em)'!$CX$18,FALSE)))</f>
        <v/>
      </c>
      <c r="AW104" s="10489" t="str">
        <f>+IF(ISERROR(MATCH(O104,em_id,0)),"",IF(VLOOKUP(MATCH(O104,em_id,0),em,'5(em)'!$CZ$18,FALSE)="","",VLOOKUP(MATCH(O104,em_id,0),em,'5(em)'!$CZ$18,FALSE)))</f>
        <v/>
      </c>
      <c r="AX104" s="10478" t="str">
        <f t="shared" si="50"/>
        <v/>
      </c>
      <c r="AY104" s="10480"/>
      <c r="AZ104" s="10482" t="str">
        <f>+IF(ISERROR(MATCH(O104,em_id,0)),"",IF(VLOOKUP(MATCH(O104,em_id,0),em,'5(em)'!$DA$18,FALSE)="","",VLOOKUP(MATCH(O104,em_id,0),em,'5(em)'!$DA$18,FALSE)))</f>
        <v/>
      </c>
      <c r="BA104" s="741"/>
      <c r="BB104" s="742" t="str">
        <f t="shared" si="778"/>
        <v>8306-07-02</v>
      </c>
      <c r="BC104" s="743">
        <v>2</v>
      </c>
      <c r="BD104" s="730" t="str">
        <f>+IF(OR(D104="",VLOOKUP(MATCH(D104,op_id,0),op,'7(op)'!$T$18,FALSE)=""),"",VLOOKUP(MATCH(D104,op_id,0),op,'7(op)'!$T$18,FALSE))</f>
        <v>Selective Catalytic Reduction (SCR) with ID fans</v>
      </c>
      <c r="BE104" s="730" t="s">
        <v>1093</v>
      </c>
      <c r="BF104" s="730" t="s">
        <v>1862</v>
      </c>
      <c r="BG104" s="744"/>
      <c r="BH104" s="748"/>
      <c r="BI104" s="749"/>
      <c r="BJ104" s="750"/>
      <c r="BK104" s="750"/>
      <c r="BL104" s="750"/>
      <c r="BM104" s="750"/>
      <c r="BN104" s="750" t="str">
        <f t="shared" ref="BN104:BN114" si="854">+IF($BB104="","",IF(OR($AJ104="",BJ104=""),"",BJ104/2000*$AJ104))</f>
        <v/>
      </c>
      <c r="BO104" s="750" t="str">
        <f t="shared" ref="BO104:BO114" si="855">+IF($BB104="","",IF(OR($AM104="",BN104=""),"",$AM104-BN104))</f>
        <v/>
      </c>
      <c r="BP104" s="750" t="str">
        <f t="shared" ref="BP104:BP114" si="856">+IF($BB104="","",IF(OR($AM104="",BO104=""),"",BO104/$AM104))</f>
        <v/>
      </c>
      <c r="BQ104" s="750" t="str">
        <f t="shared" ref="BQ104:BQ114" si="857">+IF($BB104="","",IF(OR($AK104="",BJ104=""),"",(1-BJ103/$AK104)))</f>
        <v/>
      </c>
      <c r="BR104" s="751"/>
      <c r="BS104" s="2382" t="s">
        <v>559</v>
      </c>
      <c r="BT104" s="7905"/>
      <c r="BU104" s="3714">
        <f>+IF(BB104="","",IF(VLOOKUP(MATCH(BB104,ef_id,0),ef,'11(eff)'!$Z$23,FALSE)="","",VLOOKUP(MATCH(BB104,ef_id,0),ef,'11(eff)'!$Z$23,FALSE)))</f>
        <v>0.1</v>
      </c>
      <c r="BV104" s="3759" t="str">
        <f>+IF(BB104="","",IF(VLOOKUP(MATCH(BB104,ef_id,0),ef,'11(eff)'!$AA$23,FALSE)="","",VLOOKUP(MATCH(BB104,ef_id,0),ef,'11(eff)'!$AA$23,FALSE)))</f>
        <v/>
      </c>
      <c r="BW104" s="3781">
        <v>18.510000000000002</v>
      </c>
      <c r="BX104" s="3802">
        <f>+IF(OR(GI104="",GI104=0),"",IF(OR(BB104="",BW104=""),IF(AND(GJ104&gt;0,GI104&gt;0,GI104/GJ104&gt;1,BW104=0,BW104=""),GI104/GJ104/IF(R104="",IF(R103="",R102,R103),R104),""),BW104/IF(R104="",IF(R103="",R102,R103),R104)))</f>
        <v>18.510000000000002</v>
      </c>
      <c r="BY104" s="3821">
        <f t="shared" si="512"/>
        <v>18.506250000000001</v>
      </c>
      <c r="BZ104" s="3400"/>
      <c r="CA104" s="3425"/>
      <c r="CB104" s="3853">
        <f t="shared" si="382"/>
        <v>20.349999999999998</v>
      </c>
      <c r="CC104" s="3874">
        <f t="shared" si="513"/>
        <v>0.52367472979927943</v>
      </c>
      <c r="CD104" s="3873">
        <f t="shared" si="514"/>
        <v>0.52380952380952372</v>
      </c>
      <c r="CE104" s="2377">
        <f>+IF(BB104="","",IF(VLOOKUP(MATCH(BB104,ef_id,0),ef,'11(eff)'!$AE$23,FALSE)="","",VLOOKUP(MATCH(BB104,ef_id,0),ef,'11(eff)'!$AE$23,FALSE)))</f>
        <v>0.9</v>
      </c>
      <c r="CF104" s="752"/>
      <c r="CG104" s="753"/>
      <c r="CH104" s="2415"/>
      <c r="CI104" s="3911">
        <f t="shared" si="628"/>
        <v>1.4934803837095752E-2</v>
      </c>
      <c r="CJ104" s="4069" t="str">
        <f>+IF(AY103="","",AY103*(1-CO104))</f>
        <v/>
      </c>
      <c r="CK104" s="3911">
        <f>+IF($BB104="","",IF(CI104="",IF($AZ104="",IF($AZ103="",$AZ102,$AZ103),$AZ104)-CL104,IF(OR(IF($AW104="",IF($AW103="",$AW102,$AW103),$AW104)="",CI104=""),"",CI104/2000*IF($AW104="",IF($AW103="",$AW102,$AW103),$AW104))))</f>
        <v>7.669999999999999</v>
      </c>
      <c r="CL104" s="4001">
        <f>+IF($BB104="","",IF(CI104="",CO104*IF($AZ104="",IF($AZ103="",$AZ102,$AZ103),$AZ104),IF(CK104="","",IF($AZ104="",IF($AZ103="",$AZ102,$AZ103),$AZ104)-CK104)))</f>
        <v>69.03</v>
      </c>
      <c r="CM104" s="4002">
        <f>+IF($BB104="","",IF(CL104="","",CL104/IF($AZ104="",IF($AZ103="",$AZ102,$AZ103),$AZ104)))</f>
        <v>0.9</v>
      </c>
      <c r="CN104" s="4002">
        <f>+IF($BB104="","",IF(CI104="","",(1-CI104/IF($AX104="",IF($AX103="",$AX102,$AX103),$AX104))))</f>
        <v>0.90043464108602833</v>
      </c>
      <c r="CO104" s="4003">
        <f>+IF(BB104="","",IF(VLOOKUP(MATCH(BB104,ef_id,0),ef,'11(eff)'!$AE$23,FALSE)="","",VLOOKUP(MATCH(BB104,ef_id,0),ef,'11(eff)'!$AE$23,FALSE)))</f>
        <v>0.9</v>
      </c>
      <c r="CP104" s="4004">
        <f>+IF(OR(BB104="",VLOOKUP(MATCH(BB104,ef_id,0),ef,'11(eff)'!$AG$23,FALSE)=""),"",IF(VLOOKUP(MATCH(BB104,ef_id,0),ef,'11(eff)'!$AG$23,FALSE)/100=VLOOKUP(MATCH(BB104,ef_id,0),ef,'11(eff)'!$AE$23,FALSE),VLOOKUP(MATCH(BB104,ef_id,0),ef,'11(eff)'!$AE$23,FALSE),""))</f>
        <v>0.9</v>
      </c>
      <c r="CQ104" s="752" t="str">
        <f>+IF(BD104="","",BD104)</f>
        <v>Selective Catalytic Reduction (SCR) with ID fans</v>
      </c>
      <c r="CR104" s="754"/>
      <c r="CS104" s="2764">
        <v>82710409</v>
      </c>
      <c r="CT104" s="1590">
        <v>22170691</v>
      </c>
      <c r="CU104" s="1089">
        <v>16807873</v>
      </c>
      <c r="CV104" s="1868">
        <f t="shared" si="704"/>
        <v>1261476</v>
      </c>
      <c r="CW104" s="1869">
        <f>203697+295481</f>
        <v>499178</v>
      </c>
      <c r="CX104" s="1869">
        <f>1184506+530766</f>
        <v>1715272</v>
      </c>
      <c r="CY104" s="1092"/>
      <c r="CZ104" s="2477">
        <f>640739+98023+100000</f>
        <v>838762</v>
      </c>
      <c r="DA104" s="2487"/>
      <c r="DB104" s="2487">
        <v>1048130</v>
      </c>
      <c r="DC104" s="1868"/>
      <c r="DD104" s="1902"/>
      <c r="DE104" s="1903"/>
      <c r="DF104" s="1904"/>
      <c r="DG104" s="1904"/>
      <c r="DH104" s="1902"/>
      <c r="DI104" s="1088">
        <f t="shared" si="779"/>
        <v>22170691</v>
      </c>
      <c r="DJ104" s="1943"/>
      <c r="DK104" s="1590"/>
      <c r="DL104" s="1089"/>
      <c r="DM104" s="1868" t="str">
        <f t="shared" si="705"/>
        <v/>
      </c>
      <c r="DN104" s="1869"/>
      <c r="DO104" s="1869"/>
      <c r="DP104" s="1092"/>
      <c r="DQ104" s="2477"/>
      <c r="DR104" s="2487"/>
      <c r="DS104" s="2487"/>
      <c r="DT104" s="1868"/>
      <c r="DU104" s="1902"/>
      <c r="DV104" s="1903"/>
      <c r="DW104" s="1904"/>
      <c r="DX104" s="1904"/>
      <c r="DY104" s="1902"/>
      <c r="DZ104" s="1088" t="str">
        <f t="shared" si="664"/>
        <v/>
      </c>
      <c r="EA104" s="1943"/>
      <c r="EB104" s="1089">
        <f t="shared" si="775"/>
        <v>22170691</v>
      </c>
      <c r="EC104" s="1967">
        <f t="shared" si="822"/>
        <v>1</v>
      </c>
      <c r="ED104" s="1087">
        <f t="shared" ref="ED104:ED114" si="858">+IF(EB104&gt;0,IF(ISERROR(EB104*EC104),"",EB104*EC104),"")</f>
        <v>22170691</v>
      </c>
      <c r="EE104" s="1870">
        <v>432189</v>
      </c>
      <c r="EF104" s="1734">
        <v>37321875</v>
      </c>
      <c r="EG104" s="1092"/>
      <c r="EH104" s="1088">
        <f t="shared" si="740"/>
        <v>37754064</v>
      </c>
      <c r="EI104" s="1903"/>
      <c r="EJ104" s="1904"/>
      <c r="EK104" s="2015"/>
      <c r="EL104" s="1464"/>
      <c r="EM104" s="1903">
        <v>588484</v>
      </c>
      <c r="EN104" s="1904">
        <v>16615711</v>
      </c>
      <c r="EO104" s="2015">
        <v>5581460</v>
      </c>
      <c r="EP104" s="1088">
        <f t="shared" si="776"/>
        <v>22785655</v>
      </c>
      <c r="EQ104" s="2560"/>
      <c r="ER104" s="2560"/>
      <c r="ES104" s="2560"/>
      <c r="ET104" s="1464"/>
      <c r="EU104" s="1325"/>
      <c r="EV104" s="1345"/>
      <c r="EW104" s="2590"/>
      <c r="EX104" s="2590"/>
      <c r="EY104" s="2697">
        <f>+IF(BB104="","",(IF(ED104="",0,ED104)+IF(EH104="",0,EH104)+IF(EP104="",0,EP104)+IF(ET104="",0,ET104)+IF(EW104="",0,EW104)+IF(EX104="",0,EX104)))</f>
        <v>82710410</v>
      </c>
      <c r="EZ104" s="2726"/>
      <c r="FA104" s="1345"/>
      <c r="FB104" s="1479">
        <f t="shared" si="515"/>
        <v>82710410</v>
      </c>
      <c r="FC104" s="1089">
        <f t="shared" si="516"/>
        <v>22170691</v>
      </c>
      <c r="FD104" s="2048">
        <f t="shared" si="517"/>
        <v>16807873</v>
      </c>
      <c r="FE104" s="2032">
        <f t="shared" si="509"/>
        <v>0.7581122753458609</v>
      </c>
      <c r="FF104" s="2048">
        <f t="shared" si="518"/>
        <v>4314688</v>
      </c>
      <c r="FG104" s="2032">
        <f t="shared" si="519"/>
        <v>0.19461224731335619</v>
      </c>
      <c r="FH104" s="2048">
        <f t="shared" si="520"/>
        <v>0</v>
      </c>
      <c r="FI104" s="2032">
        <f t="shared" si="510"/>
        <v>0</v>
      </c>
      <c r="FJ104" s="2795">
        <f t="shared" si="521"/>
        <v>21122561</v>
      </c>
      <c r="FK104" s="2809">
        <f t="shared" si="522"/>
        <v>0.95272452265921703</v>
      </c>
      <c r="FL104" s="2781">
        <f t="shared" si="523"/>
        <v>1048130</v>
      </c>
      <c r="FM104" s="2032">
        <f t="shared" si="524"/>
        <v>4.7275477340782926E-2</v>
      </c>
      <c r="FN104" s="2781">
        <f t="shared" si="525"/>
        <v>0</v>
      </c>
      <c r="FO104" s="2771">
        <f t="shared" si="526"/>
        <v>0</v>
      </c>
      <c r="FP104" s="2781">
        <f t="shared" si="527"/>
        <v>0</v>
      </c>
      <c r="FQ104" s="2771">
        <f t="shared" si="528"/>
        <v>0</v>
      </c>
      <c r="FR104" s="2845">
        <f t="shared" si="529"/>
        <v>22170691</v>
      </c>
      <c r="FS104" s="2829" t="str">
        <f t="shared" si="530"/>
        <v/>
      </c>
      <c r="FT104" s="1515" t="str">
        <f t="shared" si="531"/>
        <v/>
      </c>
      <c r="FU104" s="2897">
        <f t="shared" si="532"/>
        <v>0</v>
      </c>
      <c r="FV104" s="1084">
        <f t="shared" si="533"/>
        <v>128899.36627906977</v>
      </c>
      <c r="FW104" s="2110">
        <f t="shared" si="534"/>
        <v>37754064</v>
      </c>
      <c r="FX104" s="1742">
        <f t="shared" si="535"/>
        <v>1.7028817008906036</v>
      </c>
      <c r="FY104" s="2111">
        <f t="shared" si="536"/>
        <v>22785655</v>
      </c>
      <c r="FZ104" s="1742">
        <f t="shared" si="537"/>
        <v>1.0277377010937547</v>
      </c>
      <c r="GA104" s="1742">
        <f t="shared" si="538"/>
        <v>0.38023776651235369</v>
      </c>
      <c r="GB104" s="2111" t="str">
        <f t="shared" si="539"/>
        <v/>
      </c>
      <c r="GC104" s="1742" t="str">
        <f t="shared" si="540"/>
        <v/>
      </c>
      <c r="GD104" s="1742" t="str">
        <f t="shared" si="541"/>
        <v/>
      </c>
      <c r="GE104" s="1091">
        <f t="shared" si="542"/>
        <v>82710410</v>
      </c>
      <c r="GF104" s="2146">
        <f t="shared" si="741"/>
        <v>82710410</v>
      </c>
      <c r="GG104" s="2174">
        <f t="shared" si="544"/>
        <v>1.2090376477758014E-8</v>
      </c>
      <c r="GH104" s="3182">
        <f t="shared" si="545"/>
        <v>480874.47674418607</v>
      </c>
      <c r="GI104" s="3199">
        <v>21365116</v>
      </c>
      <c r="GJ104" s="3187">
        <v>1049528</v>
      </c>
      <c r="GK104" s="3453">
        <f t="shared" si="423"/>
        <v>20.349999999999998</v>
      </c>
      <c r="GL104" s="3250">
        <f t="shared" si="546"/>
        <v>-3.3810448396817948E-4</v>
      </c>
      <c r="GM104" s="755"/>
      <c r="GN104" s="757"/>
      <c r="GO104" s="1903">
        <v>20000</v>
      </c>
      <c r="GP104" s="2015">
        <f>+IF(GQ104="","",GQ104-GO104)</f>
        <v>80894</v>
      </c>
      <c r="GQ104" s="1464">
        <v>100894</v>
      </c>
      <c r="GR104" s="2324"/>
      <c r="GS104" s="2324"/>
      <c r="GT104" s="1088">
        <v>21264222</v>
      </c>
      <c r="GU104" s="2315">
        <f t="shared" si="547"/>
        <v>21365116</v>
      </c>
      <c r="GV104" s="756">
        <f t="shared" si="548"/>
        <v>20000</v>
      </c>
      <c r="GW104" s="2259">
        <f t="shared" si="549"/>
        <v>80894</v>
      </c>
      <c r="GX104" s="758">
        <f t="shared" si="550"/>
        <v>100894</v>
      </c>
      <c r="GY104" s="758" t="str">
        <f t="shared" si="551"/>
        <v/>
      </c>
      <c r="GZ104" s="758" t="str">
        <f t="shared" si="552"/>
        <v/>
      </c>
      <c r="HA104" s="1088">
        <f t="shared" si="553"/>
        <v>21264222</v>
      </c>
      <c r="HB104" s="2233">
        <f t="shared" si="432"/>
        <v>21365116</v>
      </c>
      <c r="HC104" s="2343">
        <f t="shared" si="554"/>
        <v>21365116</v>
      </c>
      <c r="HD104" s="1291">
        <f t="shared" si="375"/>
        <v>0</v>
      </c>
      <c r="HE104" s="755"/>
      <c r="HF104" s="1086">
        <f t="shared" si="555"/>
        <v>1049528</v>
      </c>
      <c r="HG104" s="757">
        <f>+IF(OR(HC104="",$CL104=""),"",HC104/$CL104)</f>
        <v>309504.79501665942</v>
      </c>
      <c r="HH104" s="2998">
        <f>+IF(BF104="","",VALUE(LEFT(BF104,1)))</f>
        <v>4</v>
      </c>
      <c r="HI104" s="1293">
        <f>+IF(FR104="","",FR104)</f>
        <v>22170691</v>
      </c>
      <c r="HJ104" s="1734">
        <f>+IF(FP104="","",FP104)</f>
        <v>0</v>
      </c>
      <c r="HK104" s="1734">
        <f>+IF(FN104="","",FN104)</f>
        <v>0</v>
      </c>
      <c r="HL104" s="1734" t="str">
        <f>+IF(FR104="","",IF(HH104="","",IF(HH104=4,FS104,IF(HH104=3,FS104,IF(HH104=2,$HL$7*HI104,IF(HH104=1,$HL$6*HI104,""))))))</f>
        <v/>
      </c>
      <c r="HM104" s="1294">
        <f>IF(FR104="","",SUM(HI104:HL104))</f>
        <v>22170691</v>
      </c>
      <c r="HN104" s="3028">
        <f t="shared" si="347"/>
        <v>128899.36627906977</v>
      </c>
      <c r="HO104" s="2945">
        <f>+IF(FR104="","",IF(HH104="","",IF(HH104=4,FW104,IF(HH104=3,FW104,IF(HH104=2,$HO$7*HM104,IF(HH104=1,$HO$6*HM104,""))))))</f>
        <v>37754064</v>
      </c>
      <c r="HP104" s="2487">
        <f>+IF(FR104="","",IF(HH104="","",IF(HH104=4,FY104,IF(HH104=3,FY104,IF(HH104=2,$HP$7*(HM104+HO104),IF(HH104=1,$HP$6*HM104,""))))))</f>
        <v>22785655</v>
      </c>
      <c r="HQ104" s="3008" t="str">
        <f t="shared" si="556"/>
        <v/>
      </c>
      <c r="HR104" s="1092" t="str">
        <f t="shared" si="557"/>
        <v/>
      </c>
      <c r="HS104" s="1092">
        <f t="shared" si="558"/>
        <v>0</v>
      </c>
      <c r="HT104" s="2951" t="str">
        <f>+IF(FR104="","",IF(HH104="","",IF(HH104=2,$HT$7*(HP104+HR104),"")))</f>
        <v/>
      </c>
      <c r="HU104" s="2947" t="str">
        <f>+IF(FR104="","",IF(HH104="","",IF(HH104=2,$HU$7*(HP104+HR104),"")))</f>
        <v/>
      </c>
      <c r="HV104" s="2951" t="str">
        <f t="shared" si="559"/>
        <v/>
      </c>
      <c r="HW104" s="2947" t="str">
        <f t="shared" si="560"/>
        <v/>
      </c>
      <c r="HX104" s="3030">
        <f t="shared" si="199"/>
        <v>82710410</v>
      </c>
      <c r="HY104" s="2946" t="str">
        <f t="shared" si="561"/>
        <v/>
      </c>
      <c r="HZ104" s="2947" t="str">
        <f t="shared" si="562"/>
        <v/>
      </c>
      <c r="IA104" s="1089">
        <f t="shared" si="563"/>
        <v>82710410</v>
      </c>
      <c r="IB104" s="3041" t="str">
        <f t="shared" si="564"/>
        <v>same TCC</v>
      </c>
      <c r="IC104" s="2908">
        <f t="shared" si="706"/>
        <v>480874.47674418607</v>
      </c>
      <c r="ID104" s="1289"/>
      <c r="IE104" s="4105"/>
      <c r="IF104" s="4116">
        <f t="shared" si="780"/>
        <v>20000</v>
      </c>
      <c r="IG104" s="6782">
        <f>+IF(IF104="","",(IF104/IF(AO104="",IF(AO103="",IF(AO102="",AO101,AO102),AO103),AO104)))</f>
        <v>35.376315556734767</v>
      </c>
      <c r="IH104" s="4089">
        <f t="shared" si="781"/>
        <v>80894</v>
      </c>
      <c r="II104" s="6796">
        <f>+IH104/IF(AQ104="",IF(AQ103="",IF(AQ102="",AQ101,AQ102),AQ103),AQ104)</f>
        <v>0.21855859506923336</v>
      </c>
      <c r="IJ104" s="4105">
        <f t="shared" si="782"/>
        <v>100894</v>
      </c>
      <c r="IK104" s="4142">
        <v>0</v>
      </c>
      <c r="IL104" s="4194">
        <f t="shared" si="823"/>
        <v>0</v>
      </c>
      <c r="IM104" s="4195">
        <f t="shared" si="824"/>
        <v>0</v>
      </c>
      <c r="IN104" s="4222" t="str">
        <f t="shared" si="783"/>
        <v/>
      </c>
      <c r="IO104" s="4222">
        <f t="shared" si="784"/>
        <v>100894</v>
      </c>
      <c r="IP104" s="7236">
        <f t="shared" si="825"/>
        <v>100894</v>
      </c>
      <c r="IQ104" s="7243">
        <f t="shared" si="826"/>
        <v>1.6002396524427434E-2</v>
      </c>
      <c r="IR104" s="7236" t="str">
        <f t="shared" si="827"/>
        <v/>
      </c>
      <c r="IS104" s="7243" t="str">
        <f t="shared" si="828"/>
        <v/>
      </c>
      <c r="IT104" s="4222">
        <f t="shared" si="789"/>
        <v>100894</v>
      </c>
      <c r="IU104" s="6854">
        <f t="shared" si="595"/>
        <v>1.6002396524427434E-2</v>
      </c>
      <c r="IV104" s="7270">
        <f t="shared" si="829"/>
        <v>2</v>
      </c>
      <c r="IW104" s="7256">
        <f t="shared" si="830"/>
        <v>6204036.6299832482</v>
      </c>
      <c r="IX104" s="4187">
        <f t="shared" si="792"/>
        <v>6304930.6299832482</v>
      </c>
      <c r="IY104" s="4255">
        <f t="shared" si="793"/>
        <v>21365116</v>
      </c>
      <c r="IZ104" s="4300">
        <f t="shared" si="794"/>
        <v>0.7048960263083407</v>
      </c>
      <c r="JA104" s="4306" t="str">
        <f t="shared" si="831"/>
        <v>stk added + 70%</v>
      </c>
      <c r="JB104" s="4158"/>
      <c r="JC104" s="4338"/>
      <c r="JD104" s="1086">
        <f t="shared" si="796"/>
        <v>309824.60098197783</v>
      </c>
      <c r="JE104" s="4337">
        <f t="shared" si="797"/>
        <v>91336.094886038656</v>
      </c>
      <c r="JF104" s="7040">
        <f>+IF(D104="","",IF(T104="",IF(T103="",T102/IF(Y102="TP",2,1),T103/IF(Y103="TP",2,1)),T104/IF(Y104="TP",2,1)))</f>
        <v>172</v>
      </c>
      <c r="JG104" s="7056" t="s">
        <v>1093</v>
      </c>
      <c r="JH104" s="6971">
        <f>+IF(D104="","",IF(HX104="","",HX104))</f>
        <v>82710410</v>
      </c>
      <c r="JI104" s="6971">
        <f>+JH104</f>
        <v>82710410</v>
      </c>
      <c r="JJ104" s="6971"/>
      <c r="JK104" s="6971"/>
      <c r="JL104" s="7008"/>
      <c r="JM104" s="7050">
        <f t="shared" si="832"/>
        <v>9007400</v>
      </c>
      <c r="JN104" s="1734">
        <f t="shared" si="637"/>
        <v>15582802</v>
      </c>
      <c r="JO104" s="1734">
        <f t="shared" si="717"/>
        <v>82710410</v>
      </c>
      <c r="JP104" s="7081"/>
      <c r="JQ104" s="7081"/>
      <c r="JR104" s="7056"/>
      <c r="JS104" s="7062">
        <f>+IF(D104="","",SUM(JO104:JR104))</f>
        <v>82710410</v>
      </c>
      <c r="JT104" s="7166">
        <f t="shared" si="476"/>
        <v>2</v>
      </c>
      <c r="JU104" s="7167">
        <f t="shared" si="833"/>
        <v>1523</v>
      </c>
      <c r="JV104" s="8378">
        <f t="shared" si="834"/>
        <v>1027131</v>
      </c>
      <c r="JW104" s="8405">
        <f t="shared" si="682"/>
        <v>69.03</v>
      </c>
      <c r="JX104" s="8434">
        <f t="shared" si="835"/>
        <v>15.758371634931057</v>
      </c>
      <c r="JY104" s="8469">
        <f t="shared" si="755"/>
        <v>0.10675904132266419</v>
      </c>
      <c r="JZ104" s="7168">
        <f t="shared" si="836"/>
        <v>12806.746987951807</v>
      </c>
      <c r="KA104" s="7166" t="str">
        <f t="shared" si="837"/>
        <v/>
      </c>
      <c r="KB104" s="7167" t="str">
        <f t="shared" si="838"/>
        <v/>
      </c>
      <c r="KC104" s="7168" t="str">
        <f t="shared" si="839"/>
        <v/>
      </c>
      <c r="KD104" s="7166">
        <f t="shared" si="840"/>
        <v>64642.212</v>
      </c>
      <c r="KE104" s="8342">
        <f t="shared" si="841"/>
        <v>42991.883999999998</v>
      </c>
      <c r="KF104" s="8342">
        <f t="shared" si="842"/>
        <v>28829.851623529408</v>
      </c>
      <c r="KG104" s="7167">
        <f t="shared" si="843"/>
        <v>35479.775001742171</v>
      </c>
      <c r="KH104" s="7167">
        <f>IF(D104="","",IF(JT104=2,0.005*JF104*$KD$6/1000*1000*JU104,""))</f>
        <v>508404.20480000007</v>
      </c>
      <c r="KI104" s="7167">
        <f>IF(D104="","",IF(JT104=2,0.1*0.005*JF104*$KD$6/1000*1000*JU104,""))</f>
        <v>50840.420480000008</v>
      </c>
      <c r="KJ104" s="7167">
        <f t="shared" si="844"/>
        <v>731188.34790527157</v>
      </c>
      <c r="KK104" s="7167">
        <f>+IF(OR(D104="",JU104="",JV104=""),"",$KK$7*$KG$4*JU104)</f>
        <v>159773.66560000001</v>
      </c>
      <c r="KL104" s="7167">
        <f t="shared" si="845"/>
        <v>88997.277922499998</v>
      </c>
      <c r="KM104" s="7167">
        <f t="shared" si="846"/>
        <v>248770.94352249999</v>
      </c>
      <c r="KN104" s="7167">
        <f>+IF(D104="","",IF(JX104&lt;41,$KN$8*JZ104*JY104,""))</f>
        <v>396498.44895973912</v>
      </c>
      <c r="KO104" s="7167">
        <f t="shared" si="847"/>
        <v>645269.39248223905</v>
      </c>
      <c r="KP104" s="7168">
        <f t="shared" si="848"/>
        <v>1376457.7403875105</v>
      </c>
      <c r="KQ104" s="7212">
        <f>+IF(D104="","",VLOOKUP(MATCH(BE104,ac_id,0),ad,ac!$F$8,FALSE)*JV104)</f>
        <v>308139.3</v>
      </c>
      <c r="KR104" s="7081">
        <f>+IF(D104="","",IF(JT104=1,VLOOKUP(MATCH(BE104,ac_id,0),ad,ac!$H$8,FALSE)*JU104, (VLOOKUP(MATCH(BE104,ac_id,0),ad,ac!$H$8,FALSE)*JU104^(1+VLOOKUP(MATCH(BE104,ac_id,0),ad,ac!$I$8,FALSE)))))</f>
        <v>22389.096127631106</v>
      </c>
      <c r="KS104" s="7062">
        <f>+IF(D104="","",KQ104+KR104)</f>
        <v>330528.39612763107</v>
      </c>
      <c r="KT104" s="7212">
        <f t="shared" si="849"/>
        <v>149262.56611349998</v>
      </c>
      <c r="KU104" s="7056">
        <f t="shared" si="850"/>
        <v>623312.07999999996</v>
      </c>
      <c r="KV104" s="7390">
        <f t="shared" si="667"/>
        <v>2</v>
      </c>
      <c r="KW104" s="7274">
        <f t="shared" si="851"/>
        <v>6204036.6299832482</v>
      </c>
      <c r="KX104" s="7062">
        <f t="shared" si="852"/>
        <v>6976611.2760967482</v>
      </c>
      <c r="KY104" s="7356">
        <f t="shared" si="853"/>
        <v>8353069.0164842587</v>
      </c>
      <c r="KZ104" s="1343"/>
      <c r="LA104" s="7211">
        <f t="shared" si="668"/>
        <v>410470.22194025846</v>
      </c>
      <c r="LB104" s="1340">
        <f t="shared" si="669"/>
        <v>121006.35979261565</v>
      </c>
      <c r="LC104" s="5133"/>
      <c r="LD104" s="5132"/>
      <c r="LE104" s="5132"/>
      <c r="LF104" s="5132"/>
      <c r="LG104" s="5132"/>
      <c r="LH104" s="5132"/>
      <c r="LI104" s="5132"/>
      <c r="LJ104" s="5132"/>
    </row>
    <row r="105" spans="1:322" s="717" customFormat="1" ht="27.95" customHeight="1" thickBot="1">
      <c r="A105" s="10563"/>
      <c r="B105" s="10522" t="str">
        <f>+IF(A105="","",VLOOKUP(MATCH(A105,tid,0),tao,'12(id)'!$J$20,FALSE))</f>
        <v/>
      </c>
      <c r="C105" s="10551"/>
      <c r="D105" s="1031" t="str">
        <f t="shared" ref="D105:D114" si="859">+BB105</f>
        <v/>
      </c>
      <c r="E105" s="651"/>
      <c r="F105" s="651" t="str">
        <f t="shared" si="777"/>
        <v/>
      </c>
      <c r="G105" s="5133"/>
      <c r="H105" s="5132"/>
      <c r="I105" s="5133"/>
      <c r="J105" s="745">
        <f t="shared" si="820"/>
        <v>71</v>
      </c>
      <c r="K105" s="10554"/>
      <c r="L105" s="10567"/>
      <c r="M105" s="9719"/>
      <c r="N105" s="9700"/>
      <c r="O105" s="9519"/>
      <c r="P105" s="9521"/>
      <c r="Q105" s="9681" t="str">
        <f>+IF(ISERROR(MATCH(O105,tid,0)),"",VLOOKUP(MATCH(O105,tid,0),tao,'12(id)'!$Q$20,FALSE))</f>
        <v/>
      </c>
      <c r="R105" s="10524"/>
      <c r="S105" s="9681"/>
      <c r="T105" s="10531" t="str">
        <f>+IF(ISERROR(MATCH(O105,tid,0)),"",IF(VLOOKUP(MATCH(O105,tid,0),tao,'12(id)'!$CT$20,FALSE)="","",VLOOKUP(MATCH(O105,tid,0),tao,'12(id)'!$CT$20,FALSE)))</f>
        <v/>
      </c>
      <c r="U105" s="10545" t="str">
        <f>+IF(ISERROR(MATCH(O105,tid,0)),"",IF(VLOOKUP(MATCH(O105,tid,0),tao,'12(id)'!$CU$20,FALSE)="","",VLOOKUP(MATCH(O105,tid,0),tao,'12(id)'!$CU$20,FALSE)))</f>
        <v/>
      </c>
      <c r="V105" s="9487" t="str">
        <f>+IF(O105="","",IF(VLOOKUP(MATCH(O105,tid,0),tao,'12(id)'!$T$20,FALSE)="","",VLOOKUP(MATCH(O105,tid,0),tao,'12(id)'!$T$20,FALSE)))</f>
        <v/>
      </c>
      <c r="W105" s="9487" t="str">
        <f>+IF(ISERROR(MATCH(O105,tid,0)),"",IF(VLOOKUP(MATCH(O105,tid,0),tao,'12(id)'!$CO$20,FALSE)="","",VLOOKUP(MATCH(O105,tid,0),tao,'12(id)'!$CO$20,FALSE)))</f>
        <v/>
      </c>
      <c r="X105" s="9487" t="str">
        <f>+IF(ISERROR(MATCH(O105,tid,0)),"",IF(VLOOKUP(MATCH(O105,tid,0),tao,'12(id)'!$CP$20,FALSE)="","",VLOOKUP(MATCH(O105,tid,0),tao,'12(id)'!$CP$20,FALSE)))</f>
        <v/>
      </c>
      <c r="Y105" s="8552" t="str">
        <f>+IF(ISERROR(MATCH(O105,tid,0)),"",IF(VLOOKUP(MATCH(O105,tid,0),tao,'12(id)'!$CQ$20,FALSE)="","",VLOOKUP(MATCH(O105,tid,0),tao,'12(id)'!$CQ$20,FALSE)))</f>
        <v/>
      </c>
      <c r="Z105" s="9519" t="str">
        <f>+IF(ISERROR(MATCH(O105,tid,0)),"",VLOOKUP(MATCH(O105,tid,0),tao,'12(id)'!$DB$20,FALSE)&amp;" "&amp;VLOOKUP(MATCH(O105,tid,0),tao,'12(id)'!$DC$20,FALSE))</f>
        <v/>
      </c>
      <c r="AA105" s="9519" t="str">
        <f>+IF(ISERROR(MATCH(O105,tid,0)),"",IF(VLOOKUP(MATCH(O105,tid,0),tao,'12(id)'!$DE$20,FALSE)="","",ROUND(VLOOKUP(MATCH(O105,tid,0),tao,'12(id)'!$DE$20,FALSE),0)&amp;" yrs"))</f>
        <v/>
      </c>
      <c r="AB105" s="9645" t="str">
        <f>+IF(ISERROR(MATCH(O105,tid,0)),"",VLOOKUP(MATCH(O105,tid,0),tao,'12(id)'!$DI$20,FALSE))</f>
        <v/>
      </c>
      <c r="AC105" s="9645" t="str">
        <f>+IF(ISERROR(MATCH(O105,tid,0)),"",IF(VLOOKUP(MATCH(O105,tid,0),tao,'12(id)'!$DQ$20,FALSE)="","",VLOOKUP(MATCH(O105,tid,0),tao,'12(id)'!$DQ$20,FALSE)))</f>
        <v/>
      </c>
      <c r="AD105" s="10413" t="str">
        <f>+IF(ISERROR(MATCH(O105,tid,0)),"",IF(VLOOKUP(MATCH(O105,tid,0),tao,'12(id)'!$EI$20,FALSE)="","",VLOOKUP(MATCH(O105,tid,0),tao,'12(id)'!$EI$20,FALSE)))</f>
        <v/>
      </c>
      <c r="AE105" s="10413" t="str">
        <f>+IF(ISERROR(MATCH(O105,tid,0)),"",IF(VLOOKUP(MATCH(O105,tid,0),tao,'12(id)'!$EJ$20,FALSE)="","",VLOOKUP(MATCH(O105,tid,0),tao,'12(id)'!$EJ$20,FALSE)))</f>
        <v/>
      </c>
      <c r="AF105" s="10413" t="str">
        <f>+IF(ISERROR(MATCH(O105,tid,0)),"",IF(VLOOKUP(MATCH(O105,tid,0),tao,'12(id)'!$EL$20,FALSE)="","",VLOOKUP(MATCH(O105,tid,0),tao,'12(id)'!$EL$20,FALSE)))</f>
        <v/>
      </c>
      <c r="AG105" s="10410" t="str">
        <f>+IF(ISERROR(MATCH(O105,tid,0)),"",IF(VLOOKUP(MATCH(O105,tid,0),tao,'12(id)'!$EM$20,FALSE)="","",VLOOKUP(MATCH(O105,tid,0),tao,'12(id)'!$EM$20,FALSE)))</f>
        <v/>
      </c>
      <c r="AH105" s="10475"/>
      <c r="AI105" s="10476"/>
      <c r="AJ105" s="10476"/>
      <c r="AK105" s="10476"/>
      <c r="AL105" s="10476"/>
      <c r="AM105" s="10477"/>
      <c r="AN105" s="10424"/>
      <c r="AO105" s="10426" t="str">
        <f>+IF(ISERROR(MATCH(O105,tid,0)),"",IF(VLOOKUP(MATCH(O105,tid,0),tao,'12(id)'!$GY$20,FALSE)="","",VLOOKUP(MATCH(O105,tid,0),tao,'12(id)'!$GY$20,FALSE)))</f>
        <v/>
      </c>
      <c r="AP105" s="10431" t="str">
        <f>+IF($BB105="","",IF(VLOOKUP(MATCH(O105,tid,0),tao,'12(id)'!$HE$20,FALSE)="","",VLOOKUP(MATCH(O105,tid,0),tao,'12(id)'!$HE$20,FALSE)))</f>
        <v/>
      </c>
      <c r="AQ105" s="10427" t="str">
        <f>+IF(ISERROR(VLOOKUP(MATCH(O105,tid,0),tao,'12(id)'!$HF$20,FALSE)),"",VLOOKUP(MATCH(O105,tid,0),tao,'12(id)'!$HF$20,FALSE))</f>
        <v/>
      </c>
      <c r="AR105" s="10464" t="str">
        <f>+IF(ISERROR(MATCH(O105,tid,0)),"",IF(VLOOKUP(MATCH(O105,tid,0),tao,'12(id)'!$HJ$20,FALSE)="","",VLOOKUP(MATCH(O105,tid,0),tao,'12(id)'!$HJ$20,FALSE)))</f>
        <v/>
      </c>
      <c r="AS105" s="10465" t="str">
        <f>+IF(ISERROR(MATCH(O105,tid,0)),"",IF(VLOOKUP(MATCH(O105,tid,0),tao,'12(id)'!$HK$20,FALSE)="","",VLOOKUP(MATCH(O105,tid,0),tao,'12(id)'!$HK$20,FALSE)))</f>
        <v/>
      </c>
      <c r="AT105" s="10519" t="str">
        <f>+IF(ISERROR(MATCH(O105,tid,0)),"",IF(VLOOKUP(MATCH(O105,tid,0),tao,'12(id)'!$HM$20,FALSE)="","",VLOOKUP(MATCH(O105,tid,0),tao,'12(id)'!$HM$20,FALSE)))</f>
        <v/>
      </c>
      <c r="AU105" s="10472" t="str">
        <f>+AU102</f>
        <v>CAIR-OS (max last 3 yrs)</v>
      </c>
      <c r="AV105" s="10474" t="str">
        <f>+IF(ISERROR(MATCH(O105,em_id,0)),"",IF(VLOOKUP(MATCH(O105,em_id,0),em,'5(em)'!$CX$18,FALSE)="","",VLOOKUP(MATCH(O105,em_id,0),em,'5(em)'!$CX$18,FALSE)))</f>
        <v/>
      </c>
      <c r="AW105" s="10516" t="str">
        <f>+IF(ISERROR(MATCH(O105,em_id,0)),"",IF(VLOOKUP(MATCH(O105,em_id,0),em,'5(em)'!$CZ$18,FALSE)="","",VLOOKUP(MATCH(O105,em_id,0),em,'5(em)'!$CZ$18,FALSE)))</f>
        <v/>
      </c>
      <c r="AX105" s="10517" t="str">
        <f t="shared" ref="AX105:AX114" si="860">+IF(OR(AW105="",AZ105=""),"",ROUND(2000*AZ105/AW105,2))</f>
        <v/>
      </c>
      <c r="AY105" s="10518"/>
      <c r="AZ105" s="10547" t="str">
        <f>+IF(ISERROR(MATCH(O105,em_id,0)),"",IF(VLOOKUP(MATCH(O105,em_id,0),em,'5(em)'!$DA$18,FALSE)="","",VLOOKUP(MATCH(O105,em_id,0),em,'5(em)'!$DA$18,FALSE)))</f>
        <v/>
      </c>
      <c r="BA105" s="650"/>
      <c r="BB105" s="651" t="str">
        <f t="shared" si="778"/>
        <v/>
      </c>
      <c r="BC105" s="659"/>
      <c r="BD105" s="651"/>
      <c r="BE105" s="651"/>
      <c r="BF105" s="651"/>
      <c r="BG105" s="655"/>
      <c r="BH105" s="436"/>
      <c r="BI105" s="461"/>
      <c r="BJ105" s="462"/>
      <c r="BK105" s="462"/>
      <c r="BL105" s="462"/>
      <c r="BM105" s="462"/>
      <c r="BN105" s="462" t="str">
        <f t="shared" si="854"/>
        <v/>
      </c>
      <c r="BO105" s="462" t="str">
        <f t="shared" si="855"/>
        <v/>
      </c>
      <c r="BP105" s="462" t="str">
        <f t="shared" si="856"/>
        <v/>
      </c>
      <c r="BQ105" s="462" t="str">
        <f t="shared" si="857"/>
        <v/>
      </c>
      <c r="BR105" s="463"/>
      <c r="BS105" s="2384"/>
      <c r="BT105" s="465"/>
      <c r="BU105" s="3711" t="str">
        <f>+IF(BB105="","",IF(VLOOKUP(MATCH(BB105,ef_id,0),ef,'11(eff)'!$Z$23,FALSE)="","",VLOOKUP(MATCH(BB105,ef_id,0),ef,'11(eff)'!$Z$23,FALSE)))</f>
        <v/>
      </c>
      <c r="BV105" s="3755" t="str">
        <f>+IF(BB105="","",IF(VLOOKUP(MATCH(BB105,ef_id,0),ef,'11(eff)'!$AA$23,FALSE)="","",VLOOKUP(MATCH(BB105,ef_id,0),ef,'11(eff)'!$AA$23,FALSE)))</f>
        <v/>
      </c>
      <c r="BW105" s="2369"/>
      <c r="BX105" s="3794" t="str">
        <f>+IF(OR(GI105="",GI105=0),"",IF(OR(BB105="",BW105=""),IF(AND(GJ105&gt;0,GI105&gt;0,GI105/GJ105&gt;1,BW105=0,BW105=""),GI105/GJ105/IF(R105="",IF(R104="",R103,R104),R105),""),BW105/IF(R105="",IF(R104="",R103,R104),R105)))</f>
        <v/>
      </c>
      <c r="BY105" s="3819" t="str">
        <f t="shared" si="512"/>
        <v/>
      </c>
      <c r="BZ105" s="3398"/>
      <c r="CA105" s="3421"/>
      <c r="CB105" s="3850" t="str">
        <f t="shared" si="382"/>
        <v/>
      </c>
      <c r="CC105" s="3870" t="str">
        <f t="shared" si="513"/>
        <v/>
      </c>
      <c r="CD105" s="3870" t="str">
        <f t="shared" si="514"/>
        <v/>
      </c>
      <c r="CE105" s="2374" t="str">
        <f>+IF(BB105="","",IF(VLOOKUP(MATCH(BB105,ef_id,0),ef,'11(eff)'!$AE$23,FALSE)="","",VLOOKUP(MATCH(BB105,ef_id,0),ef,'11(eff)'!$AE$23,FALSE)))</f>
        <v/>
      </c>
      <c r="CF105" s="464"/>
      <c r="CG105" s="465"/>
      <c r="CH105" s="2411"/>
      <c r="CI105" s="3913" t="str">
        <f t="shared" si="628"/>
        <v/>
      </c>
      <c r="CJ105" s="4071" t="str">
        <f>+IF(AY103="","",AY103*(1-CO105))</f>
        <v/>
      </c>
      <c r="CK105" s="3913" t="str">
        <f>+IF($BB105="","",IF(OR($AW105="",CI105=""),"",CI105/2000*$AW105))</f>
        <v/>
      </c>
      <c r="CL105" s="4014" t="str">
        <f>+IF($BB105="","",IF(CK105="","",$AZ105-CK105))</f>
        <v/>
      </c>
      <c r="CM105" s="4015" t="str">
        <f>+IF($BB105="","",IF(CL105="","",CL105/$AZ105))</f>
        <v/>
      </c>
      <c r="CN105" s="4015" t="str">
        <f>+IF($BB105="","",IF(CI105="","",(1-CI105/$AX105)))</f>
        <v/>
      </c>
      <c r="CO105" s="4016"/>
      <c r="CP105" s="4017"/>
      <c r="CQ105" s="464" t="str">
        <f t="shared" ref="CQ105:CQ114" si="861">+IF(BD105="","",BD105)</f>
        <v/>
      </c>
      <c r="CR105" s="466"/>
      <c r="CS105" s="2766"/>
      <c r="CT105" s="1592"/>
      <c r="CU105" s="1497"/>
      <c r="CV105" s="1879" t="str">
        <f t="shared" si="704"/>
        <v/>
      </c>
      <c r="CW105" s="1880"/>
      <c r="CX105" s="1880"/>
      <c r="CY105" s="1881"/>
      <c r="CZ105" s="2479"/>
      <c r="DA105" s="2489"/>
      <c r="DB105" s="2489"/>
      <c r="DC105" s="1879"/>
      <c r="DD105" s="1883"/>
      <c r="DE105" s="1884"/>
      <c r="DF105" s="1885"/>
      <c r="DG105" s="1885"/>
      <c r="DH105" s="1883"/>
      <c r="DI105" s="1694" t="str">
        <f t="shared" si="779"/>
        <v/>
      </c>
      <c r="DJ105" s="1939"/>
      <c r="DK105" s="1592"/>
      <c r="DL105" s="1497"/>
      <c r="DM105" s="1879" t="str">
        <f t="shared" si="705"/>
        <v/>
      </c>
      <c r="DN105" s="1880"/>
      <c r="DO105" s="1880"/>
      <c r="DP105" s="1881"/>
      <c r="DQ105" s="2479"/>
      <c r="DR105" s="2489"/>
      <c r="DS105" s="2489"/>
      <c r="DT105" s="1879"/>
      <c r="DU105" s="1883"/>
      <c r="DV105" s="1884"/>
      <c r="DW105" s="1885"/>
      <c r="DX105" s="1885"/>
      <c r="DY105" s="1883"/>
      <c r="DZ105" s="1694" t="str">
        <f t="shared" si="664"/>
        <v/>
      </c>
      <c r="EA105" s="1939"/>
      <c r="EB105" s="1497" t="str">
        <f t="shared" si="775"/>
        <v/>
      </c>
      <c r="EC105" s="1964" t="str">
        <f t="shared" si="822"/>
        <v/>
      </c>
      <c r="ED105" s="1416" t="str">
        <f t="shared" si="858"/>
        <v/>
      </c>
      <c r="EE105" s="1882"/>
      <c r="EF105" s="1735"/>
      <c r="EG105" s="1881"/>
      <c r="EH105" s="1694" t="str">
        <f t="shared" si="740"/>
        <v/>
      </c>
      <c r="EI105" s="1884"/>
      <c r="EJ105" s="1885"/>
      <c r="EK105" s="2011"/>
      <c r="EL105" s="1460"/>
      <c r="EM105" s="1884"/>
      <c r="EN105" s="1885"/>
      <c r="EO105" s="2011"/>
      <c r="EP105" s="1694" t="str">
        <f t="shared" si="776"/>
        <v/>
      </c>
      <c r="EQ105" s="1694"/>
      <c r="ER105" s="1694"/>
      <c r="ES105" s="1694"/>
      <c r="ET105" s="1460"/>
      <c r="EU105" s="1428"/>
      <c r="EV105" s="1393"/>
      <c r="EW105" s="2586"/>
      <c r="EX105" s="2586"/>
      <c r="EY105" s="2693"/>
      <c r="EZ105" s="2722"/>
      <c r="FA105" s="1393"/>
      <c r="FB105" s="1501" t="str">
        <f t="shared" si="515"/>
        <v/>
      </c>
      <c r="FC105" s="1497" t="str">
        <f t="shared" si="516"/>
        <v/>
      </c>
      <c r="FD105" s="2053" t="str">
        <f t="shared" si="517"/>
        <v/>
      </c>
      <c r="FE105" s="2037" t="str">
        <f t="shared" si="509"/>
        <v/>
      </c>
      <c r="FF105" s="2053" t="str">
        <f t="shared" si="518"/>
        <v/>
      </c>
      <c r="FG105" s="2037" t="str">
        <f t="shared" si="519"/>
        <v/>
      </c>
      <c r="FH105" s="2053" t="str">
        <f t="shared" si="520"/>
        <v/>
      </c>
      <c r="FI105" s="2037" t="str">
        <f t="shared" si="510"/>
        <v/>
      </c>
      <c r="FJ105" s="2797" t="str">
        <f t="shared" si="521"/>
        <v/>
      </c>
      <c r="FK105" s="2813" t="str">
        <f t="shared" si="522"/>
        <v/>
      </c>
      <c r="FL105" s="2787" t="str">
        <f t="shared" si="523"/>
        <v/>
      </c>
      <c r="FM105" s="2037" t="str">
        <f t="shared" si="524"/>
        <v/>
      </c>
      <c r="FN105" s="2787" t="str">
        <f t="shared" si="525"/>
        <v/>
      </c>
      <c r="FO105" s="2776" t="str">
        <f t="shared" si="526"/>
        <v/>
      </c>
      <c r="FP105" s="2787" t="str">
        <f t="shared" si="527"/>
        <v/>
      </c>
      <c r="FQ105" s="2776" t="str">
        <f t="shared" si="528"/>
        <v/>
      </c>
      <c r="FR105" s="2851" t="str">
        <f t="shared" si="529"/>
        <v/>
      </c>
      <c r="FS105" s="2833" t="str">
        <f t="shared" si="530"/>
        <v/>
      </c>
      <c r="FT105" s="1514" t="str">
        <f t="shared" si="531"/>
        <v/>
      </c>
      <c r="FU105" s="2896" t="str">
        <f t="shared" si="532"/>
        <v/>
      </c>
      <c r="FV105" s="1717" t="str">
        <f t="shared" si="533"/>
        <v/>
      </c>
      <c r="FW105" s="2114" t="str">
        <f t="shared" si="534"/>
        <v/>
      </c>
      <c r="FX105" s="1743" t="str">
        <f t="shared" si="535"/>
        <v/>
      </c>
      <c r="FY105" s="2115" t="str">
        <f t="shared" si="536"/>
        <v/>
      </c>
      <c r="FZ105" s="1743" t="str">
        <f t="shared" si="537"/>
        <v/>
      </c>
      <c r="GA105" s="1743" t="str">
        <f t="shared" si="538"/>
        <v/>
      </c>
      <c r="GB105" s="2115" t="str">
        <f t="shared" si="539"/>
        <v/>
      </c>
      <c r="GC105" s="1743" t="str">
        <f t="shared" si="540"/>
        <v/>
      </c>
      <c r="GD105" s="1743" t="str">
        <f t="shared" si="541"/>
        <v/>
      </c>
      <c r="GE105" s="1617" t="str">
        <f t="shared" si="542"/>
        <v/>
      </c>
      <c r="GF105" s="2148" t="str">
        <f t="shared" si="741"/>
        <v/>
      </c>
      <c r="GG105" s="2173" t="str">
        <f t="shared" si="544"/>
        <v/>
      </c>
      <c r="GH105" s="3181" t="str">
        <f>+IF(IF(T105="",T104,T105)="","",IF(GF105="","",GF105/IF(T105="",T104,T105)))</f>
        <v/>
      </c>
      <c r="GI105" s="3201" t="s">
        <v>939</v>
      </c>
      <c r="GJ105" s="3206"/>
      <c r="GK105" s="3455" t="str">
        <f t="shared" si="423"/>
        <v/>
      </c>
      <c r="GL105" s="3248" t="str">
        <f t="shared" si="546"/>
        <v/>
      </c>
      <c r="GM105" s="469"/>
      <c r="GN105" s="471"/>
      <c r="GO105" s="1884"/>
      <c r="GP105" s="2011"/>
      <c r="GQ105" s="1460" t="str">
        <f t="shared" si="582"/>
        <v/>
      </c>
      <c r="GR105" s="2326"/>
      <c r="GS105" s="2326"/>
      <c r="GT105" s="472"/>
      <c r="GU105" s="2317" t="str">
        <f t="shared" ref="GU105:GU114" si="862">+IF(OR(SUM(GQ105:GT105)=0,GT105=""),IF(GK105=1,GJ105*GK105,IF(GI105="","",GI105)),SUM(GQ105:GT105))</f>
        <v/>
      </c>
      <c r="GV105" s="470" t="str">
        <f>+IF(OR(GO105="",IF(R105="",R104,R105)=""),"",GO105/IF(R105="",R104,R105))</f>
        <v/>
      </c>
      <c r="GW105" s="2261" t="str">
        <f>+IF(OR(GP105="",IF(R105="",R104,R105)=""),"",GP105/IF(R105="",R104,R105))</f>
        <v/>
      </c>
      <c r="GX105" s="472" t="str">
        <f>+IF(OR(GQ105="",IF(R105="",R104,R105)=""),"",GQ105/IF(R105="",R104,R105))</f>
        <v/>
      </c>
      <c r="GY105" s="472" t="str">
        <f>+IF(OR(GR105="",IF(R105="",R104,R105)=""),"",GR105/IF(R105="",R104,R105))</f>
        <v/>
      </c>
      <c r="GZ105" s="472" t="str">
        <f>+IF(OR(GS105="",IF(R105="",R104,R105)=""),"",GS105/IF(R105="",R104,R105))</f>
        <v/>
      </c>
      <c r="HA105" s="1694" t="str">
        <f>+IF(OR(GT105="",IF(R105="",R104,R105)=""),"",GT105/IF(R105="",R104,R105))</f>
        <v/>
      </c>
      <c r="HB105" s="467" t="str">
        <f t="shared" si="432"/>
        <v/>
      </c>
      <c r="HC105" s="2348" t="str">
        <f>+IF(OR(GU105="",IF(R105="",R104,R105)=""),"",GU105/IF(R105="",R104,R105))</f>
        <v/>
      </c>
      <c r="HD105" s="2353" t="str">
        <f t="shared" si="375"/>
        <v/>
      </c>
      <c r="HE105" s="469"/>
      <c r="HF105" s="3257" t="str">
        <f t="shared" si="555"/>
        <v/>
      </c>
      <c r="HG105" s="471"/>
      <c r="HH105" s="2995"/>
      <c r="HI105" s="3020"/>
      <c r="HJ105" s="1735"/>
      <c r="HK105" s="1735"/>
      <c r="HL105" s="1735"/>
      <c r="HM105" s="3024"/>
      <c r="HN105" s="3027" t="str">
        <f>+IF(FR105="","",HM105/IF(T105="",IF(T104="",1,T104),T105))</f>
        <v/>
      </c>
      <c r="HO105" s="2964"/>
      <c r="HP105" s="2489"/>
      <c r="HQ105" s="3009" t="str">
        <f t="shared" si="556"/>
        <v/>
      </c>
      <c r="HR105" s="1881" t="str">
        <f t="shared" si="557"/>
        <v/>
      </c>
      <c r="HS105" s="1881" t="str">
        <f t="shared" si="558"/>
        <v/>
      </c>
      <c r="HT105" s="2948"/>
      <c r="HU105" s="2950"/>
      <c r="HV105" s="2948" t="str">
        <f t="shared" si="559"/>
        <v/>
      </c>
      <c r="HW105" s="2950" t="str">
        <f t="shared" si="560"/>
        <v/>
      </c>
      <c r="HX105" s="3035" t="str">
        <f t="shared" si="199"/>
        <v/>
      </c>
      <c r="HY105" s="2949"/>
      <c r="HZ105" s="2950"/>
      <c r="IA105" s="1497"/>
      <c r="IB105" s="3039" t="str">
        <f t="shared" si="564"/>
        <v/>
      </c>
      <c r="IC105" s="3054"/>
      <c r="ID105" s="1303"/>
      <c r="IE105" s="4107"/>
      <c r="IF105" s="4115" t="str">
        <f t="shared" si="780"/>
        <v/>
      </c>
      <c r="IG105" s="6780"/>
      <c r="IH105" s="4091" t="str">
        <f t="shared" si="781"/>
        <v/>
      </c>
      <c r="II105" s="6798"/>
      <c r="IJ105" s="4107" t="str">
        <f t="shared" si="782"/>
        <v/>
      </c>
      <c r="IK105" s="4144">
        <v>0</v>
      </c>
      <c r="IL105" s="4198" t="str">
        <f>+IF(IF105="","",IK105*#REF!*IF105)</f>
        <v/>
      </c>
      <c r="IM105" s="1883" t="str">
        <f>IF(HM105="","",IK105*#REF!*IA105)</f>
        <v/>
      </c>
      <c r="IN105" s="1939" t="str">
        <f t="shared" si="783"/>
        <v/>
      </c>
      <c r="IO105" s="1939" t="str">
        <f t="shared" si="784"/>
        <v/>
      </c>
      <c r="IP105" s="7235"/>
      <c r="IQ105" s="6853"/>
      <c r="IR105" s="7235"/>
      <c r="IS105" s="6853"/>
      <c r="IT105" s="1939" t="str">
        <f t="shared" si="789"/>
        <v/>
      </c>
      <c r="IU105" s="6853"/>
      <c r="IV105" s="7269"/>
      <c r="IW105" s="7255" t="str">
        <f>IF(IA105="","",#REF!*IA105)</f>
        <v/>
      </c>
      <c r="IX105" s="1460" t="str">
        <f t="shared" si="792"/>
        <v/>
      </c>
      <c r="IY105" s="4257" t="str">
        <f t="shared" si="793"/>
        <v/>
      </c>
      <c r="IZ105" s="4303" t="str">
        <f t="shared" si="794"/>
        <v/>
      </c>
      <c r="JA105" s="4304" t="str">
        <f t="shared" si="821"/>
        <v/>
      </c>
      <c r="JB105" s="1305"/>
      <c r="JC105" s="4340"/>
      <c r="JD105" s="3257" t="str">
        <f t="shared" si="796"/>
        <v/>
      </c>
      <c r="JE105" s="4365" t="str">
        <f t="shared" si="797"/>
        <v/>
      </c>
      <c r="JF105" s="7042"/>
      <c r="JG105" s="7058"/>
      <c r="JH105" s="6973"/>
      <c r="JI105" s="6973"/>
      <c r="JJ105" s="6973"/>
      <c r="JK105" s="6973"/>
      <c r="JL105" s="7010"/>
      <c r="JM105" s="7052"/>
      <c r="JN105" s="1735" t="str">
        <f t="shared" si="637"/>
        <v/>
      </c>
      <c r="JO105" s="1735"/>
      <c r="JP105" s="7064"/>
      <c r="JQ105" s="7064"/>
      <c r="JR105" s="7058"/>
      <c r="JS105" s="7065"/>
      <c r="JT105" s="7172" t="str">
        <f t="shared" si="476"/>
        <v/>
      </c>
      <c r="JU105" s="7173"/>
      <c r="JV105" s="8380"/>
      <c r="JW105" s="8407"/>
      <c r="JX105" s="8436"/>
      <c r="JY105" s="8471"/>
      <c r="JZ105" s="7174"/>
      <c r="KA105" s="7172"/>
      <c r="KB105" s="7173"/>
      <c r="KC105" s="7174"/>
      <c r="KD105" s="7172"/>
      <c r="KE105" s="8344"/>
      <c r="KF105" s="8344"/>
      <c r="KG105" s="7173"/>
      <c r="KH105" s="7173"/>
      <c r="KI105" s="7173"/>
      <c r="KJ105" s="7173"/>
      <c r="KK105" s="7173"/>
      <c r="KL105" s="7173"/>
      <c r="KM105" s="7173"/>
      <c r="KN105" s="7173"/>
      <c r="KO105" s="7173"/>
      <c r="KP105" s="7174"/>
      <c r="KQ105" s="7214" t="str">
        <f>+IF(D105="","",VLOOKUP(MATCH(BE105,ac_id,0),ad,ac!$F$8,FALSE)*JV105)</f>
        <v/>
      </c>
      <c r="KR105" s="7064" t="str">
        <f>+IF(D105="","",IF(JT105=1,VLOOKUP(MATCH(BE105,ac_id,0),ad,ac!$H$8,FALSE)*JU105, (VLOOKUP(MATCH(BE105,ac_id,0),ad,ac!$H$8,FALSE)*JU105^(1+VLOOKUP(MATCH(BE105,ac_id,0),ad,ac!$I$8,FALSE)))))</f>
        <v/>
      </c>
      <c r="KS105" s="7065"/>
      <c r="KT105" s="7214" t="str">
        <f>+IF(D105="","",IF(KR105="","",$KT$26*KR105))</f>
        <v/>
      </c>
      <c r="KU105" s="7058" t="str">
        <f t="shared" si="666"/>
        <v/>
      </c>
      <c r="KV105" s="7392" t="str">
        <f t="shared" si="667"/>
        <v/>
      </c>
      <c r="KW105" s="7345" t="str">
        <f>IF(JS105="","",IF(KV105=2,#REF!,$KW$5)*JS105)</f>
        <v/>
      </c>
      <c r="KX105" s="7065" t="str">
        <f>+IF(D105="","",IF(KW105="","",IF(KT105="",0,KT105)+IF(KU105="",0,KU105)+KW105))</f>
        <v/>
      </c>
      <c r="KY105" s="7361" t="str">
        <f>+IF(D105="","",IF(KW105="","",KQ105+KR105+KX105))</f>
        <v/>
      </c>
      <c r="KZ105" s="7362"/>
      <c r="LA105" s="7363" t="str">
        <f t="shared" si="668"/>
        <v/>
      </c>
      <c r="LB105" s="7364" t="str">
        <f t="shared" si="669"/>
        <v/>
      </c>
      <c r="LC105" s="5133"/>
      <c r="LD105" s="5132"/>
      <c r="LE105" s="5132"/>
      <c r="LF105" s="5132"/>
      <c r="LG105" s="5132"/>
      <c r="LH105" s="5132"/>
      <c r="LI105" s="5132"/>
      <c r="LJ105" s="5132"/>
    </row>
    <row r="106" spans="1:322" s="13" customFormat="1" ht="27.95" customHeight="1">
      <c r="A106" s="10543" t="str">
        <f>+O106</f>
        <v>8305-01</v>
      </c>
      <c r="B106" s="10520" t="str">
        <f>+IF(A106="","",VLOOKUP(MATCH(A106,tid,0),tao,'12(id)'!$J$20,FALSE))</f>
        <v>PSEG</v>
      </c>
      <c r="C106" s="10552" t="str">
        <f>+Q106</f>
        <v>NHB1</v>
      </c>
      <c r="D106" s="33" t="str">
        <f t="shared" si="859"/>
        <v>8305-01-01</v>
      </c>
      <c r="E106" s="1033" t="str">
        <f t="shared" ref="E106:E113" si="863">+IF(BD106="","",BD106)</f>
        <v>Low NOx Burners (LNB)</v>
      </c>
      <c r="F106" s="1033" t="str">
        <f t="shared" si="777"/>
        <v>New Eqp</v>
      </c>
      <c r="G106" s="5133"/>
      <c r="H106" s="5132"/>
      <c r="I106" s="5133"/>
      <c r="J106" s="745">
        <f t="shared" si="820"/>
        <v>72</v>
      </c>
      <c r="K106" s="10555">
        <f>1+K103</f>
        <v>8</v>
      </c>
      <c r="L106" s="9517">
        <v>5</v>
      </c>
      <c r="M106" s="10556" t="str">
        <f>+IF(O106="","",VLOOKUP(MATCH(O106,tid,0),tao,'12(id)'!$I$20,FALSE))</f>
        <v>PSEG Power LLC, PSEG Fossil LLC, PSEG Power Connecticut</v>
      </c>
      <c r="N106" s="9698">
        <v>8305</v>
      </c>
      <c r="O106" s="9701" t="s">
        <v>290</v>
      </c>
      <c r="P106" s="9517" t="str">
        <f>+IF(O106="","",VLOOKUP(MATCH(O106,tid,0),tao,'12(id)'!$L$20,FALSE))</f>
        <v>New Haven Harbor</v>
      </c>
      <c r="Q106" s="9679" t="str">
        <f>+IF(ISERROR(MATCH(O106,tid,0)),"",VLOOKUP(MATCH(O106,tid,0),tao,'12(id)'!$Q$20,FALSE))</f>
        <v>NHB1</v>
      </c>
      <c r="R106" s="10534">
        <v>1</v>
      </c>
      <c r="S106" s="9679"/>
      <c r="T106" s="10546" t="str">
        <f>+IF(ISERROR(MATCH(O106,tid,0)),"",IF(VLOOKUP(MATCH(O106,tid,0),tao,'12(id)'!$CT$20,FALSE)="","",VLOOKUP(MATCH(O106,tid,0),tao,'12(id)'!$CT$20,FALSE)))</f>
        <v>Unit is a steam boiler, only</v>
      </c>
      <c r="U106" s="10544" t="str">
        <f>+IF(ISERROR(MATCH(O106,tid,0)),"",IF(VLOOKUP(MATCH(O106,tid,0),tao,'12(id)'!$CU$20,FALSE)="","",VLOOKUP(MATCH(O106,tid,0),tao,'12(id)'!$CU$20,FALSE)))</f>
        <v/>
      </c>
      <c r="V106" s="9486" t="str">
        <f>+IF(O106="","",IF(VLOOKUP(MATCH(O106,tid,0),tao,'12(id)'!$T$20,FALSE)="","",VLOOKUP(MATCH(O106,tid,0),tao,'12(id)'!$T$20,FALSE)))</f>
        <v>Utility Boiler</v>
      </c>
      <c r="W106" s="9486" t="str">
        <f>+IF(ISERROR(MATCH(O106,tid,0)),"",IF(VLOOKUP(MATCH(O106,tid,0),tao,'12(id)'!$CO$20,FALSE)="","",VLOOKUP(MATCH(O106,tid,0),tao,'12(id)'!$CO$20,FALSE)))</f>
        <v>Not Known</v>
      </c>
      <c r="X106" s="9486" t="str">
        <f>+IF(ISERROR(MATCH(O106,tid,0)),"",IF(VLOOKUP(MATCH(O106,tid,0),tao,'12(id)'!$CP$20,FALSE)="","",VLOOKUP(MATCH(O106,tid,0),tao,'12(id)'!$CP$20,FALSE)))</f>
        <v/>
      </c>
      <c r="Y106" s="8551" t="str">
        <f>+IF(ISERROR(MATCH(O106,tid,0)),"",IF(VLOOKUP(MATCH(O106,tid,0),tao,'12(id)'!$CQ$20,FALSE)="","",VLOOKUP(MATCH(O106,tid,0),tao,'12(id)'!$CQ$20,FALSE)))</f>
        <v/>
      </c>
      <c r="Z106" s="9517" t="str">
        <f>+IF(ISERROR(MATCH(O106,tid,0)),"",VLOOKUP(MATCH(O106,tid,0),tao,'12(id)'!$DB$20,FALSE)&amp;" "&amp;VLOOKUP(MATCH(O106,tid,0),tao,'12(id)'!$DC$20,FALSE))</f>
        <v xml:space="preserve"> 1975</v>
      </c>
      <c r="AA106" s="9517" t="str">
        <f ca="1">+IF(ISERROR(MATCH(O106,tid,0)),"",IF(VLOOKUP(MATCH(O106,tid,0),tao,'12(id)'!$DE$20,FALSE)="","",ROUND(VLOOKUP(MATCH(O106,tid,0),tao,'12(id)'!$DE$20,FALSE),0)&amp;" yrs"))</f>
        <v>40 yrs</v>
      </c>
      <c r="AB106" s="9644" t="str">
        <f>+IF(ISERROR(MATCH(O106,tid,0)),"",VLOOKUP(MATCH(O106,tid,0),tao,'12(id)'!$DI$20,FALSE))</f>
        <v>No. 6 oil</v>
      </c>
      <c r="AC106" s="9644" t="str">
        <f>+IF(ISERROR(MATCH(O106,tid,0)),"",IF(VLOOKUP(MATCH(O106,tid,0),tao,'12(id)'!$DQ$20,FALSE)="","",VLOOKUP(MATCH(O106,tid,0),tao,'12(id)'!$DQ$20,FALSE)))</f>
        <v/>
      </c>
      <c r="AD106" s="10442">
        <f>+IF(ISERROR(MATCH(O106,tid,0)),"",IF(VLOOKUP(MATCH(O106,tid,0),tao,'12(id)'!$EI$20,FALSE)="","",VLOOKUP(MATCH(O106,tid,0),tao,'12(id)'!$EI$20,FALSE)))</f>
        <v>0.4</v>
      </c>
      <c r="AE106" s="10442" t="str">
        <f>+IF(ISERROR(MATCH(O106,tid,0)),"",IF(VLOOKUP(MATCH(O106,tid,0),tao,'12(id)'!$EJ$20,FALSE)="","",VLOOKUP(MATCH(O106,tid,0),tao,'12(id)'!$EJ$20,FALSE)))</f>
        <v/>
      </c>
      <c r="AF106" s="10442">
        <f>+IF(ISERROR(MATCH(O106,tid,0)),"",IF(VLOOKUP(MATCH(O106,tid,0),tao,'12(id)'!$EL$20,FALSE)="","",VLOOKUP(MATCH(O106,tid,0),tao,'12(id)'!$EL$20,FALSE)))</f>
        <v>0.4</v>
      </c>
      <c r="AG106" s="10415" t="str">
        <f>+IF(ISERROR(MATCH(O106,tid,0)),"",IF(VLOOKUP(MATCH(O106,tid,0),tao,'12(id)'!$EM$20,FALSE)="","",VLOOKUP(MATCH(O106,tid,0),tao,'12(id)'!$EM$20,FALSE)))</f>
        <v/>
      </c>
      <c r="AH106" s="10438" t="str">
        <f>+AH103</f>
        <v>48 hrs/year operation</v>
      </c>
      <c r="AI106" s="10440"/>
      <c r="AJ106" s="10440"/>
      <c r="AK106" s="10440"/>
      <c r="AL106" s="10440"/>
      <c r="AM106" s="10459"/>
      <c r="AN106" s="10421" t="str">
        <f>+AN103</f>
        <v>2010-2009 average</v>
      </c>
      <c r="AO106" s="10451" t="str">
        <f>+IF(ISERROR(MATCH(O106,tid,0)),"",IF(VLOOKUP(MATCH(O106,tid,0),tao,'12(id)'!$GY$20,FALSE)="","",VLOOKUP(MATCH(O106,tid,0),tao,'12(id)'!$GY$20,FALSE)))</f>
        <v/>
      </c>
      <c r="AP106" s="10414" t="str">
        <f>+IF($BB106="","",IF(VLOOKUP(MATCH(O106,tid,0),tao,'12(id)'!$HE$20,FALSE)="","",VLOOKUP(MATCH(O106,tid,0),tao,'12(id)'!$HE$20,FALSE)))</f>
        <v/>
      </c>
      <c r="AQ106" s="10461" t="str">
        <f>+IF(ISERROR(VLOOKUP(MATCH(O106,tid,0),tao,'12(id)'!$HF$20,FALSE)),"",VLOOKUP(MATCH(O106,tid,0),tao,'12(id)'!$HF$20,FALSE))</f>
        <v/>
      </c>
      <c r="AR106" s="10462">
        <f>+IF(ISERROR(MATCH(O106,tid,0)),"",IF(VLOOKUP(MATCH(O106,tid,0),tao,'12(id)'!$HJ$20,FALSE)="","",VLOOKUP(MATCH(O106,tid,0),tao,'12(id)'!$HJ$20,FALSE)))</f>
        <v>0.4</v>
      </c>
      <c r="AS106" s="10463" t="str">
        <f>+IF(ISERROR(MATCH(O106,tid,0)),"",IF(VLOOKUP(MATCH(O106,tid,0),tao,'12(id)'!$HK$20,FALSE)="","",VLOOKUP(MATCH(O106,tid,0),tao,'12(id)'!$HK$20,FALSE)))</f>
        <v/>
      </c>
      <c r="AT106" s="10468" t="str">
        <f>+IF(ISERROR(MATCH(O106,tid,0)),"",IF(VLOOKUP(MATCH(O106,tid,0),tao,'12(id)'!$HM$20,FALSE)="","",VLOOKUP(MATCH(O106,tid,0),tao,'12(id)'!$HM$20,FALSE)))</f>
        <v/>
      </c>
      <c r="AU106" s="10494" t="str">
        <f>+AU103</f>
        <v>CAIR-OS (max last 3 yrs)</v>
      </c>
      <c r="AV106" s="10495">
        <f>+IF(ISERROR(MATCH(O106,em_id,0)),"",IF(VLOOKUP(MATCH(O106,em_id,0),em,'5(em)'!$CX$18,FALSE)="","",VLOOKUP(MATCH(O106,em_id,0),em,'5(em)'!$CX$18,FALSE)))</f>
        <v>849</v>
      </c>
      <c r="AW106" s="10496">
        <f>+IF(ISERROR(MATCH(O106,em_id,0)),"",IF(VLOOKUP(MATCH(O106,em_id,0),em,'5(em)'!$CZ$18,FALSE)="","",VLOOKUP(MATCH(O106,em_id,0),em,'5(em)'!$CZ$18,FALSE)))</f>
        <v>1485780</v>
      </c>
      <c r="AX106" s="10484">
        <f t="shared" si="860"/>
        <v>0.14000000000000001</v>
      </c>
      <c r="AY106" s="10485"/>
      <c r="AZ106" s="10486">
        <f>+IF(ISERROR(MATCH(O106,em_id,0)),"",IF(VLOOKUP(MATCH(O106,em_id,0),em,'5(em)'!$DA$18,FALSE)="","",VLOOKUP(MATCH(O106,em_id,0),em,'5(em)'!$DA$18,FALSE)))</f>
        <v>102</v>
      </c>
      <c r="BA106" s="1028"/>
      <c r="BB106" s="4454" t="str">
        <f t="shared" si="778"/>
        <v>8305-01-01</v>
      </c>
      <c r="BC106" s="33">
        <v>1</v>
      </c>
      <c r="BD106" s="1033" t="str">
        <f>+IF(OR(D106="",VLOOKUP(MATCH(D106,op_id,0),op,'7(op)'!$T$18,FALSE)=""),"",VLOOKUP(MATCH(D106,op_id,0),op,'7(op)'!$T$18,FALSE))</f>
        <v>Low NOx Burners (LNB)</v>
      </c>
      <c r="BE106" s="1033" t="s">
        <v>1629</v>
      </c>
      <c r="BF106" s="1033" t="s">
        <v>1862</v>
      </c>
      <c r="BG106" s="1037"/>
      <c r="BH106" s="8579"/>
      <c r="BI106" s="8574"/>
      <c r="BJ106" s="8574"/>
      <c r="BK106" s="8574"/>
      <c r="BL106" s="8574"/>
      <c r="BM106" s="8574"/>
      <c r="BN106" s="8574" t="str">
        <f t="shared" si="854"/>
        <v/>
      </c>
      <c r="BO106" s="8574" t="str">
        <f t="shared" si="855"/>
        <v/>
      </c>
      <c r="BP106" s="8574" t="str">
        <f t="shared" si="856"/>
        <v/>
      </c>
      <c r="BQ106" s="8574" t="str">
        <f t="shared" si="857"/>
        <v/>
      </c>
      <c r="BR106" s="8581"/>
      <c r="BS106" s="1753"/>
      <c r="BT106" s="1050"/>
      <c r="BU106" s="3715" t="str">
        <f>+IF(BB106="","",IF(VLOOKUP(MATCH(BB106,ef_id,0),ef,'11(eff)'!$Z$23,FALSE)="","",VLOOKUP(MATCH(BB106,ef_id,0),ef,'11(eff)'!$Z$23,FALSE)))</f>
        <v/>
      </c>
      <c r="BV106" s="3760" t="str">
        <f>+IF(BB106="","",IF(VLOOKUP(MATCH(BB106,ef_id,0),ef,'11(eff)'!$AA$23,FALSE)="","",VLOOKUP(MATCH(BB106,ef_id,0),ef,'11(eff)'!$AA$23,FALSE)))</f>
        <v/>
      </c>
      <c r="BW106" s="3782"/>
      <c r="BX106" s="3803" t="str">
        <f t="shared" ref="BX106:BX114" si="864">+IF(OR(BB106="",BW106=""),"",BW106/IF(R106="",IF(R105="",R104,R105),R106))</f>
        <v/>
      </c>
      <c r="BY106" s="3822" t="str">
        <f t="shared" si="512"/>
        <v/>
      </c>
      <c r="BZ106" s="1065"/>
      <c r="CA106" s="3426"/>
      <c r="CB106" s="3854"/>
      <c r="CC106" s="3891" t="str">
        <f t="shared" ref="CC106:CC114" si="865">+IF(OR($BB106="",BW106=""),"",IF(CB106="",IF(CD106="",IF(CD106="",IF(CE106="","",CE106)),CD106),CB106/IF($AT106="",IF($AT105="",$AT104,$AT105),$AT106)))</f>
        <v/>
      </c>
      <c r="CD106" s="3891" t="str">
        <f t="shared" si="514"/>
        <v/>
      </c>
      <c r="CE106" s="3908">
        <f>+IF(BB106="","",IF(VLOOKUP(MATCH(BB106,ef_id,0),ef,'11(eff)'!$AE$23,FALSE)="","",VLOOKUP(MATCH(BB106,ef_id,0),ef,'11(eff)'!$AE$23,FALSE)))</f>
        <v>0.3</v>
      </c>
      <c r="CF106" s="8579"/>
      <c r="CG106" s="1025"/>
      <c r="CH106" s="2418"/>
      <c r="CI106" s="3999">
        <f t="shared" si="628"/>
        <v>9.6111133546016234E-2</v>
      </c>
      <c r="CJ106" s="4072" t="str">
        <f>+IF(AY106="","",AY106*(1-CO106))</f>
        <v/>
      </c>
      <c r="CK106" s="3999">
        <f>+IF($BB106="","",IF(CI106="",IF($AZ106="",IF($AZ105="",$AZ104,$AZ105),$AZ106)-CL106,IF(OR(IF($AW106="",IF($AW105="",$AW104,$AW105),$AW106)="",CI106=""),"",CI106/2000*IF($AW106="",IF($AW105="",$AW104,$AW105),$AW106))))</f>
        <v>71.400000000000006</v>
      </c>
      <c r="CL106" s="4000">
        <f>+IF($BB106="","",IF(CI106="",CO106*IF($AZ106="",IF($AZ105="",$AZ104,$AZ105),$AZ106),IF(CK106="","",IF($AZ106="",IF($AZ105="",$AZ104,$AZ105),$AZ106)-CK106)))</f>
        <v>30.599999999999994</v>
      </c>
      <c r="CM106" s="3983">
        <f>+IF($BB106="","",IF(CL106="","",CL106/IF($AZ106="",IF($AZ105="",$AZ104,$AZ105),$AZ106)))</f>
        <v>0.29999999999999993</v>
      </c>
      <c r="CN106" s="3983">
        <f>+IF($BB106="","",IF(CI106="","",(1-CI106/IF($AX106="",IF($AX105="",$AX104,$AX105),$AX106))))</f>
        <v>0.31349190324274123</v>
      </c>
      <c r="CO106" s="3984">
        <f>+IF(BB106="","",IF(VLOOKUP(MATCH(BB106,ef_id,0),ef,'11(eff)'!$AE$23,FALSE)="","",VLOOKUP(MATCH(BB106,ef_id,0),ef,'11(eff)'!$AE$23,FALSE)))</f>
        <v>0.3</v>
      </c>
      <c r="CP106" s="4018">
        <f>+IF(OR(BB106="",VLOOKUP(MATCH(BB106,ef_id,0),ef,'11(eff)'!$AG$23,FALSE)=""),"",IF(VLOOKUP(MATCH(BB106,ef_id,0),ef,'11(eff)'!$AG$23,FALSE)/100=VLOOKUP(MATCH(BB106,ef_id,0),ef,'11(eff)'!$AE$23,FALSE),VLOOKUP(MATCH(BB106,ef_id,0),ef,'11(eff)'!$AE$23,FALSE),""))</f>
        <v>0.3</v>
      </c>
      <c r="CQ106" s="1373" t="str">
        <f t="shared" si="861"/>
        <v>Low NOx Burners (LNB)</v>
      </c>
      <c r="CR106" s="1026"/>
      <c r="CS106" s="3056">
        <v>133450</v>
      </c>
      <c r="CT106" s="1596">
        <v>133450</v>
      </c>
      <c r="CU106" s="1499">
        <v>133450</v>
      </c>
      <c r="CV106" s="1911">
        <f t="shared" si="704"/>
        <v>0</v>
      </c>
      <c r="CW106" s="1912"/>
      <c r="CX106" s="1912"/>
      <c r="CY106" s="1913"/>
      <c r="CZ106" s="2483"/>
      <c r="DA106" s="2492"/>
      <c r="DB106" s="2492"/>
      <c r="DC106" s="1911"/>
      <c r="DD106" s="1914"/>
      <c r="DE106" s="1915"/>
      <c r="DF106" s="1916"/>
      <c r="DG106" s="1916"/>
      <c r="DH106" s="1914"/>
      <c r="DI106" s="1696">
        <f t="shared" si="779"/>
        <v>133450</v>
      </c>
      <c r="DJ106" s="1945"/>
      <c r="DK106" s="1596"/>
      <c r="DL106" s="1499"/>
      <c r="DM106" s="1911" t="str">
        <f t="shared" si="705"/>
        <v/>
      </c>
      <c r="DN106" s="1912"/>
      <c r="DO106" s="1912"/>
      <c r="DP106" s="1913"/>
      <c r="DQ106" s="2483"/>
      <c r="DR106" s="2492"/>
      <c r="DS106" s="2492"/>
      <c r="DT106" s="1911"/>
      <c r="DU106" s="1914"/>
      <c r="DV106" s="1915"/>
      <c r="DW106" s="1916"/>
      <c r="DX106" s="1916"/>
      <c r="DY106" s="1914"/>
      <c r="DZ106" s="1696" t="str">
        <f t="shared" si="664"/>
        <v/>
      </c>
      <c r="EA106" s="1945"/>
      <c r="EB106" s="1499">
        <f t="shared" si="775"/>
        <v>133450</v>
      </c>
      <c r="EC106" s="1969">
        <f t="shared" si="822"/>
        <v>1</v>
      </c>
      <c r="ED106" s="1621">
        <f t="shared" si="858"/>
        <v>133450</v>
      </c>
      <c r="EE106" s="1986"/>
      <c r="EF106" s="1987"/>
      <c r="EG106" s="1988"/>
      <c r="EH106" s="1714">
        <f t="shared" si="740"/>
        <v>0</v>
      </c>
      <c r="EI106" s="2017"/>
      <c r="EJ106" s="1916"/>
      <c r="EK106" s="2018"/>
      <c r="EL106" s="1620"/>
      <c r="EM106" s="2017"/>
      <c r="EN106" s="1916"/>
      <c r="EO106" s="2018"/>
      <c r="EP106" s="1714">
        <f t="shared" si="776"/>
        <v>0</v>
      </c>
      <c r="EQ106" s="1714"/>
      <c r="ER106" s="1714"/>
      <c r="ES106" s="1714"/>
      <c r="ET106" s="1465">
        <f t="shared" ref="ET106:ET111" si="866">+IF(OR(BB106="",EB106=""),"",SUM(EQ106:ES106))</f>
        <v>0</v>
      </c>
      <c r="EU106" s="1432"/>
      <c r="EV106" s="1400"/>
      <c r="EW106" s="2592"/>
      <c r="EX106" s="2592"/>
      <c r="EY106" s="2699">
        <f t="shared" ref="EY106:EY111" si="867">+IF(BB106="","",(IF(ED106="",0,ED106)+IF(EH106="",0,EH106)+IF(EP106="",0,EP106)+IF(ET106="",0,ET106)+IF(EW106="",0,EW106)+IF(EX106="",0,EX106)))</f>
        <v>133450</v>
      </c>
      <c r="EZ106" s="2728"/>
      <c r="FA106" s="1400"/>
      <c r="FB106" s="1505">
        <f t="shared" si="515"/>
        <v>133450</v>
      </c>
      <c r="FC106" s="1730">
        <f t="shared" si="516"/>
        <v>133450</v>
      </c>
      <c r="FD106" s="2054">
        <f t="shared" si="517"/>
        <v>133450</v>
      </c>
      <c r="FE106" s="2038">
        <f t="shared" si="509"/>
        <v>1</v>
      </c>
      <c r="FF106" s="2054">
        <f t="shared" si="518"/>
        <v>0</v>
      </c>
      <c r="FG106" s="2038">
        <f t="shared" si="519"/>
        <v>0</v>
      </c>
      <c r="FH106" s="2054">
        <f t="shared" si="520"/>
        <v>0</v>
      </c>
      <c r="FI106" s="2038">
        <f t="shared" si="510"/>
        <v>0</v>
      </c>
      <c r="FJ106" s="1509">
        <f t="shared" si="521"/>
        <v>133450</v>
      </c>
      <c r="FK106" s="2038">
        <f t="shared" si="522"/>
        <v>1</v>
      </c>
      <c r="FL106" s="2788">
        <f t="shared" si="523"/>
        <v>0</v>
      </c>
      <c r="FM106" s="2038">
        <f t="shared" si="524"/>
        <v>0</v>
      </c>
      <c r="FN106" s="2054">
        <f t="shared" si="525"/>
        <v>0</v>
      </c>
      <c r="FO106" s="2038">
        <f t="shared" si="526"/>
        <v>0</v>
      </c>
      <c r="FP106" s="2054">
        <f t="shared" si="527"/>
        <v>0</v>
      </c>
      <c r="FQ106" s="2038">
        <f t="shared" si="528"/>
        <v>0</v>
      </c>
      <c r="FR106" s="2852">
        <f t="shared" si="529"/>
        <v>133450</v>
      </c>
      <c r="FS106" s="2834" t="str">
        <f t="shared" si="530"/>
        <v/>
      </c>
      <c r="FT106" s="2073" t="str">
        <f t="shared" si="531"/>
        <v/>
      </c>
      <c r="FU106" s="2901">
        <f t="shared" si="532"/>
        <v>0</v>
      </c>
      <c r="FV106" s="1537">
        <f t="shared" si="533"/>
        <v>133450</v>
      </c>
      <c r="FW106" s="2120">
        <f t="shared" si="534"/>
        <v>0</v>
      </c>
      <c r="FX106" s="1746">
        <f t="shared" si="535"/>
        <v>0</v>
      </c>
      <c r="FY106" s="2121">
        <f t="shared" si="536"/>
        <v>0</v>
      </c>
      <c r="FZ106" s="1746">
        <f t="shared" si="537"/>
        <v>0</v>
      </c>
      <c r="GA106" s="1746">
        <f t="shared" si="538"/>
        <v>0</v>
      </c>
      <c r="GB106" s="2121">
        <f t="shared" si="539"/>
        <v>0</v>
      </c>
      <c r="GC106" s="1746">
        <f t="shared" si="540"/>
        <v>0</v>
      </c>
      <c r="GD106" s="1746">
        <f t="shared" si="541"/>
        <v>0</v>
      </c>
      <c r="GE106" s="2128">
        <f t="shared" si="542"/>
        <v>133450</v>
      </c>
      <c r="GF106" s="2151">
        <f t="shared" si="741"/>
        <v>133450</v>
      </c>
      <c r="GG106" s="2177">
        <f t="shared" si="544"/>
        <v>0</v>
      </c>
      <c r="GH106" s="3169" t="str">
        <f t="shared" ref="GH106:GH113" si="868">+IF(ISERROR(GF106/IF(T106="",IF(T105="",T104,T105),T106)),"",IF(IF(T106="",IF(T105="",T104,T105),T106)="","",IF(GF106="","",GF106/IF(T106="",IF(T105="",T104,T105),T106))))</f>
        <v/>
      </c>
      <c r="GI106" s="2128" t="s">
        <v>939</v>
      </c>
      <c r="GJ106" s="1509">
        <v>4448</v>
      </c>
      <c r="GK106" s="3459">
        <f t="shared" si="423"/>
        <v>1</v>
      </c>
      <c r="GL106" s="3254" t="str">
        <f t="shared" si="546"/>
        <v/>
      </c>
      <c r="GM106" s="1318"/>
      <c r="GN106" s="1317"/>
      <c r="GO106" s="2020"/>
      <c r="GP106" s="2021"/>
      <c r="GQ106" s="2333" t="str">
        <f t="shared" si="582"/>
        <v/>
      </c>
      <c r="GR106" s="2330"/>
      <c r="GS106" s="2330"/>
      <c r="GT106" s="2321"/>
      <c r="GU106" s="3384">
        <f t="shared" si="862"/>
        <v>4448</v>
      </c>
      <c r="GV106" s="1316" t="str">
        <f t="shared" ref="GV106:GV113" si="869">+IF(OR(GO106="",IF(R106="",IF(R105="",R104,R105),R106)=""),"",GO106/IF(R106="",IF(R105="",R104,R105),R106))</f>
        <v/>
      </c>
      <c r="GW106" s="2264" t="str">
        <f t="shared" ref="GW106:GW113" si="870">+IF(OR(GP106="",IF(R106="",IF(R105="",R104,R105),R106)=""),"",GP106/IF(R106="",IF(R105="",R104,R105),R106))</f>
        <v/>
      </c>
      <c r="GX106" s="2231" t="str">
        <f t="shared" ref="GX106:GX113" si="871">+IF(OR(GQ106="",IF(R106="",IF(R105="",R104,R105),R106)=""),"",GQ106/IF(R106="",IF(R105="",R104,R105),R106))</f>
        <v/>
      </c>
      <c r="GY106" s="2231" t="str">
        <f t="shared" ref="GY106:GY113" si="872">+IF(OR(GR106="",IF(R106="",IF(R105="",R104,R105),R106)=""),"",GR106/IF(R106="",IF(R105="",R104,R105),R106))</f>
        <v/>
      </c>
      <c r="GZ106" s="2321" t="str">
        <f t="shared" ref="GZ106:GZ113" si="873">+IF(OR(GS106="",IF(R106="",IF(R105="",R104,R105),R106)=""),"",GS106/IF(R106="",IF(R105="",R104,R105),R106))</f>
        <v/>
      </c>
      <c r="HA106" s="2342" t="str">
        <f t="shared" ref="HA106:HA113" si="874">+IF(OR(GT106="",IF(R106="",IF(R105="",R104,R105),R106)=""),"",GT106/IF(R106="",IF(R105="",R104,R105),R106))</f>
        <v/>
      </c>
      <c r="HB106" s="3246" t="str">
        <f t="shared" si="432"/>
        <v/>
      </c>
      <c r="HC106" s="3386">
        <f t="shared" ref="HC106:HC113" si="875">+IF(OR(GU106="",IF(R106="",IF(R105="",R104,R105),R106)=""),"",GU106/IF(R106="",IF(R105="",R104,R105),R106))</f>
        <v>4448</v>
      </c>
      <c r="HD106" s="2354" t="str">
        <f t="shared" si="375"/>
        <v/>
      </c>
      <c r="HE106" s="1318"/>
      <c r="HF106" s="3204">
        <f t="shared" si="555"/>
        <v>4448</v>
      </c>
      <c r="HG106" s="1317"/>
      <c r="HH106" s="3001"/>
      <c r="HI106" s="2930">
        <f t="shared" ref="HI106:HI113" si="876">+IF(FR106="","",FR106)</f>
        <v>133450</v>
      </c>
      <c r="HJ106" s="1972">
        <f t="shared" ref="HJ106:HJ113" si="877">+IF(FP106="","",FP106)</f>
        <v>0</v>
      </c>
      <c r="HK106" s="1972">
        <f t="shared" ref="HK106:HK113" si="878">+IF(FN106="","",FN106)</f>
        <v>0</v>
      </c>
      <c r="HL106" s="1972" t="str">
        <f t="shared" ref="HL106:HL113" si="879">+IF(FR106="","",IF(HH106="","",IF(HH106=4,FS106,IF(HH106=3,FS106,IF(HH106=2,$HL$7*HI106,IF(HH106=1,$HL$6*HI106,""))))))</f>
        <v/>
      </c>
      <c r="HM106" s="2937">
        <f t="shared" ref="HM106:HM113" si="880">IF(FR106="","",SUM(HI106:HL106))</f>
        <v>133450</v>
      </c>
      <c r="HN106" s="2916" t="str">
        <f t="shared" ref="HN106:HN113" si="881">+IF(ISERROR(HM106/IF(T106="",IF(T105="",IF(T104="",1,T104),T105),T106)),"",IF(FR106="","",HM106/IF(T106="",IF(T105="",IF(T104="",1,T104),T105),T106)))</f>
        <v/>
      </c>
      <c r="HO106" s="1971" t="str">
        <f t="shared" ref="HO106:HO113" si="882">+IF(FR106="","",IF(HH106="","",IF(HH106=4,FW106,IF(HH106=3,FW106,IF(HH106=2,$HO$7*HM106,IF(HH106=1,$HO$6*HM106,""))))))</f>
        <v/>
      </c>
      <c r="HP106" s="1972" t="str">
        <f t="shared" ref="HP106:HP113" si="883">+IF(FR106="","",IF(HH106="","",IF(HH106=4,FY106,IF(HH106=3,FY106,IF(HH106=2,$HP$7*(HM106+HO106),IF(HH106=1,$HP$6*HM106,""))))))</f>
        <v/>
      </c>
      <c r="HQ106" s="3014" t="str">
        <f t="shared" si="556"/>
        <v/>
      </c>
      <c r="HR106" s="1973" t="str">
        <f t="shared" si="557"/>
        <v/>
      </c>
      <c r="HS106" s="1973">
        <f t="shared" si="558"/>
        <v>0</v>
      </c>
      <c r="HT106" s="2962" t="str">
        <f t="shared" ref="HT106:HT113" si="884">+IF(FR106="","",IF(HH106="","",IF(HH106=2,$HT$7*(HP106+HR106),"")))</f>
        <v/>
      </c>
      <c r="HU106" s="2963" t="str">
        <f t="shared" ref="HU106:HU113" si="885">+IF(FR106="","",IF(HH106="","",IF(HH106=2,$HU$7*(HP106+HR106),"")))</f>
        <v/>
      </c>
      <c r="HV106" s="2962" t="str">
        <f t="shared" si="559"/>
        <v/>
      </c>
      <c r="HW106" s="2963" t="str">
        <f t="shared" si="560"/>
        <v/>
      </c>
      <c r="HX106" s="2915">
        <f t="shared" si="199"/>
        <v>133450</v>
      </c>
      <c r="HY106" s="2933" t="str">
        <f t="shared" ref="HY106:HY113" si="886">+IF(EZ106="","",EZ106/IF(R106="",IF(R105="",IF(R104="",1,R104),R105),R106))</f>
        <v/>
      </c>
      <c r="HZ106" s="2963" t="str">
        <f t="shared" ref="HZ106:HZ113" si="887">+IF(FA106="","",FA106/IF(R106="",IF(R105="",IF(R104="",1,R104),R105),R106))</f>
        <v/>
      </c>
      <c r="IA106" s="1730">
        <f t="shared" ref="IA106:IA113" si="888">+IF(HM106="","",HX106-IF(HY106="",0,HY106)+IF(HZ106="",0,HZ106))</f>
        <v>133450</v>
      </c>
      <c r="IB106" s="3044" t="str">
        <f t="shared" si="564"/>
        <v>same TCC</v>
      </c>
      <c r="IC106" s="3048" t="str">
        <f t="shared" ref="IC106:IC113" si="889">+IF(OR(IA106="",ISERROR(IA106/IF(T106="",IF(T105="",IF(T104="",1,T104),T105),T106))),"",IA106/IF(T106="",IF(T105="",IF(T104="",1,T104),T105),T106))</f>
        <v/>
      </c>
      <c r="ID106" s="1319"/>
      <c r="IE106" s="4111"/>
      <c r="IF106" s="2915" t="str">
        <f t="shared" si="780"/>
        <v/>
      </c>
      <c r="IG106" s="6785"/>
      <c r="IH106" s="4184" t="str">
        <f t="shared" si="781"/>
        <v/>
      </c>
      <c r="II106" s="6803"/>
      <c r="IJ106" s="4185" t="str">
        <f t="shared" si="782"/>
        <v/>
      </c>
      <c r="IK106" s="4148">
        <v>0</v>
      </c>
      <c r="IL106" s="1972" t="str">
        <f t="shared" ref="IL106:IL107" si="890">+IF(IF106="","",IK106*$IL$8*IF106)</f>
        <v/>
      </c>
      <c r="IM106" s="1973">
        <f t="shared" ref="IM106:IM107" si="891">IF(HM106="","",IK106*$IM$8*IA106)</f>
        <v>0</v>
      </c>
      <c r="IN106" s="4237" t="str">
        <f t="shared" si="783"/>
        <v/>
      </c>
      <c r="IO106" s="4237" t="str">
        <f t="shared" si="784"/>
        <v/>
      </c>
      <c r="IP106" s="4237" t="str">
        <f t="shared" ref="IP106:IP107" si="892">+IF(BB106="","",IF(IJ106="","",IJ106/IF(R106="",IF(R105="",IF(R104="",R103,R104),R105),R106)))</f>
        <v/>
      </c>
      <c r="IQ106" s="6857" t="str">
        <f t="shared" ref="IQ106:IQ107" si="893">+IF(IP106="","",IP106/IX106)</f>
        <v/>
      </c>
      <c r="IR106" s="4237" t="str">
        <f t="shared" ref="IR106:IR107" si="894">+IF(BB106="","",IF(IN106="","",IN106/IF(R106="",IF(R105="",IF(R104="",R103,R104),R105),R106)))</f>
        <v/>
      </c>
      <c r="IS106" s="6857" t="str">
        <f t="shared" ref="IS106:IS107" si="895">+IF(IR106="","",IR106/IX106)</f>
        <v/>
      </c>
      <c r="IT106" s="4237" t="str">
        <f t="shared" si="789"/>
        <v/>
      </c>
      <c r="IU106" s="6857"/>
      <c r="IV106" s="4148">
        <f t="shared" ref="IV106:IV107" si="896">+IF(D106="","",IF(IF(V106="",IF(V105="",IF(V104="",V103,V104),V105),V106)="Utility Boiler",2,1))</f>
        <v>2</v>
      </c>
      <c r="IW106" s="1973">
        <f t="shared" ref="IW106:IW107" si="897">IF(IA106="","",IF(IV106=1,$IW$5,IF(IV106=2,$IW$8,""))*IA106)</f>
        <v>10009.969582683298</v>
      </c>
      <c r="IX106" s="4192">
        <f t="shared" si="792"/>
        <v>10009.969582683298</v>
      </c>
      <c r="IY106" s="4261">
        <f t="shared" si="793"/>
        <v>4448</v>
      </c>
      <c r="IZ106" s="4311">
        <f t="shared" si="794"/>
        <v>-1.2504428018622522</v>
      </c>
      <c r="JA106" s="4312">
        <f t="shared" ref="JA106:JA107" si="898">+IF(BB106="","",IF(ISERROR(IY106-IX106),"",IF((IY106-IX106)&gt;0,"stk added + "&amp;ROUND((IY106-IX106)/IY106*100,0)&amp;"%",IF(IY106=IX106,"same TAC",(IY106-IX106)/IY106))))</f>
        <v>-1.2504428018622522</v>
      </c>
      <c r="JB106" s="1320"/>
      <c r="JC106" s="4344"/>
      <c r="JD106" s="3204" t="str">
        <f t="shared" si="796"/>
        <v/>
      </c>
      <c r="JE106" s="4368">
        <f t="shared" si="797"/>
        <v>327.12318897657843</v>
      </c>
      <c r="JF106" s="7046"/>
      <c r="JG106" s="1972" t="s">
        <v>1333</v>
      </c>
      <c r="JH106" s="6977">
        <f>+IF(D106="","",IF(HX106="","",HX106))</f>
        <v>133450</v>
      </c>
      <c r="JI106" s="6977">
        <f>+JH106</f>
        <v>133450</v>
      </c>
      <c r="JJ106" s="6977"/>
      <c r="JK106" s="6977"/>
      <c r="JL106" s="7014"/>
      <c r="JM106" s="2834" t="str">
        <f t="shared" ref="JM106:JM107" si="899">+IF(D106="","",IF(JG106="SCR",(JF106*49700+459000),IF(JG106="HPWI",(0.0353*JF106+0.2915)*(10^6),"N/A")))</f>
        <v>N/A</v>
      </c>
      <c r="JN106" s="1972" t="str">
        <f t="shared" si="637"/>
        <v/>
      </c>
      <c r="JO106" s="1972">
        <f t="shared" si="717"/>
        <v>133450</v>
      </c>
      <c r="JP106" s="3014"/>
      <c r="JQ106" s="3014"/>
      <c r="JR106" s="1972"/>
      <c r="JS106" s="1973">
        <f>+IF(D106="","",SUM(JO106:JR106))</f>
        <v>133450</v>
      </c>
      <c r="JT106" s="7183">
        <f t="shared" si="476"/>
        <v>2</v>
      </c>
      <c r="JU106" s="6283">
        <f t="shared" ref="JU106:JU107" si="900">+IF(D106="","",IF(AV106="",IF(AV105="",IF(AV104="","",AV104),AV105),AV106))</f>
        <v>849</v>
      </c>
      <c r="JV106" s="8384">
        <f t="shared" ref="JV106:JV107" si="901">+IF(D106="","",IF(AW106="",IF(AW105="",IF(AW104="","",AW104),AW105),AW106))</f>
        <v>1485780</v>
      </c>
      <c r="JW106" s="8412">
        <f t="shared" si="682"/>
        <v>30.599999999999994</v>
      </c>
      <c r="JX106" s="8441">
        <f t="shared" ref="JX106:JX107" si="902">+IF(OR(D106="",JU106=""),"",IF(JT106=2,24000/JU106,""))</f>
        <v>28.268551236749115</v>
      </c>
      <c r="JY106" s="8476">
        <f>+IF(D106="","",IF(JT106=2,($JY$8*(1+$JY$8)^JX106)/((1+$JY$8)^JX106-1),""))</f>
        <v>8.213013753573839E-2</v>
      </c>
      <c r="JZ106" s="7184">
        <f t="shared" ref="JZ106:JZ107" si="903">+IF(OR(D106="",JU106="",ISERROR(JF106)),"",IF(JT106=2,JF106*6180/83,""))</f>
        <v>0</v>
      </c>
      <c r="KA106" s="7183" t="str">
        <f t="shared" ref="KA106:KA107" si="904">+IF(OR(D106="",JV106=""),"",IF(JT106=1,JV106*10^6/$KA$8/JU106,""))</f>
        <v/>
      </c>
      <c r="KB106" s="6283" t="str">
        <f t="shared" ref="KB106:KB107" si="905">+IF(OR(D106="",KA106=""),"",IF(JT106=1,KA106*$KB$8,""))</f>
        <v/>
      </c>
      <c r="KC106" s="7184" t="str">
        <f t="shared" ref="KC106:KC107" si="906">+IF(OR(D106="",KB106=""),"",IF(JT106=1,KB106*7.48/62.4/60,""))</f>
        <v/>
      </c>
      <c r="KD106" s="7183">
        <f t="shared" ref="KD106:KD107" si="907">+IF(OR(D106="",JV106=""),"",IF(JT106=1,$KD$5*JU106*$KD$6/1000,$KD$7*JU106*$KD$8/1000))</f>
        <v>36034.955999999998</v>
      </c>
      <c r="KE106" s="8349">
        <f t="shared" ref="KE106:KE107" si="908">+IF(OR(D106="",JW106="",JW106=0),"",IF(JT106=2,JW106*$KE$8*$KG$4,""))</f>
        <v>19057.679999999997</v>
      </c>
      <c r="KF106" s="8349">
        <f t="shared" ref="KF106:KF107" si="909">+IF(OR(D106="",JW106="",JW106=0),"",IF(JT106=2,JW106*(0.95/0.05)*(18/17)*($KF$8/1000)*(2000)*$KG$4,""))</f>
        <v>12779.855999999994</v>
      </c>
      <c r="KG106" s="6283">
        <f t="shared" ref="KG106:KG107" si="910">+IF(D106="","",IF(JT106=1,$KG$2*KC106/1000*60*JU106*$KG$4*$KG$6,IF(OR(JZ106="",JY106=""),"",JZ106*$KG$8*JY106*$KG$4)))</f>
        <v>0</v>
      </c>
      <c r="KH106" s="6283">
        <f>IF(D106="","",IF(JT106=2,0.005*JF106*$KD$6/1000*1000*JU106,""))</f>
        <v>0</v>
      </c>
      <c r="KI106" s="6283">
        <f>IF(D106="","",IF(JT106=2,0.1*0.005*JF106*$KD$6/1000*1000*JU106,""))</f>
        <v>0</v>
      </c>
      <c r="KJ106" s="6283">
        <f t="shared" ref="KJ106:KJ107" si="911">+IF(OR(D106="",JU106="",JV106=""),"",IF(JT106=1,KD106+KG106,KD106+KE106+KF106+KG106+KH106+KI106))</f>
        <v>67872.491999999998</v>
      </c>
      <c r="KK106" s="6283">
        <f>+IF(OR(D106="",JU106="",JV106=""),"",$KK$7*$KG$4*JU106)</f>
        <v>89066.212800000008</v>
      </c>
      <c r="KL106" s="6283">
        <f t="shared" ref="KL106:KL107" si="912">+IF(OR(D106="",JU106="",JV106="",JS106=""),"",IF(JT106=1,$KL$7*JS106*JU106/$KL$8,$KL$7*IF(JN106="",JS106,JN106)*JU106/$KL$8))</f>
        <v>424.87143750000001</v>
      </c>
      <c r="KM106" s="6283">
        <f t="shared" ref="KM106:KM107" si="913">+IF(D106="","",IF(KK106="",0,KK106)+IF(KL106="",0,KL106))</f>
        <v>89491.084237500007</v>
      </c>
      <c r="KN106" s="6283">
        <f>+IF(D106="","",IF(JX106&lt;41,$KN$8*JZ106*JY106,""))</f>
        <v>0</v>
      </c>
      <c r="KO106" s="6283">
        <f t="shared" ref="KO106:KO107" si="914">+IF(OR(D106="",JU106="",JV106=""),"",IF(KM106="",0,KM106)+IF(KN106="",0,KN106))</f>
        <v>89491.084237500007</v>
      </c>
      <c r="KP106" s="7184">
        <f t="shared" ref="KP106:KP107" si="915">+IF(OR(D106="",JU106="",JV106=""),"",IF(KJ106="",0,KJ106)+IF(KO106="",0,KO106))</f>
        <v>157363.5762375</v>
      </c>
      <c r="KQ106" s="1971">
        <f>+IF(D106="","",VLOOKUP(MATCH(BE106,ac_id,0),ad,ac!$F$8,FALSE)*JV106)</f>
        <v>445734</v>
      </c>
      <c r="KR106" s="3014">
        <f>+IF(D106="","",IF(JT106=1,VLOOKUP(MATCH(BE106,ac_id,0),ad,ac!$H$8,FALSE)*JU106, (VLOOKUP(MATCH(BE106,ac_id,0),ad,ac!$H$8,FALSE)*JU106^(1+VLOOKUP(MATCH(BE106,ac_id,0),ad,ac!$I$8,FALSE)))))</f>
        <v>21504.279607441218</v>
      </c>
      <c r="KS106" s="1973">
        <f>+IF(D106="","",KQ106+KR106)</f>
        <v>467238.27960744122</v>
      </c>
      <c r="KT106" s="1971">
        <f t="shared" ref="KT106:KT107" si="916">+IF(D106="","",IF(KK106="","",$KT$26*KM106))</f>
        <v>53694.6505425</v>
      </c>
      <c r="KU106" s="1972">
        <f t="shared" ref="KU106:KU107" si="917">+IF(D106="","",IF(JS106="","",$KU$26*IF(JN106="",JS106,JN106)))</f>
        <v>5338</v>
      </c>
      <c r="KV106" s="7399">
        <f t="shared" si="667"/>
        <v>2</v>
      </c>
      <c r="KW106" s="7289">
        <f t="shared" ref="KW106:KW107" si="918">IF(JS106="","",IF(KV106=1,$KW$5,IF(KV106=2,$KW$8,""))*JS106)</f>
        <v>10009.969582683298</v>
      </c>
      <c r="KX106" s="1973">
        <f t="shared" ref="KX106:KX107" si="919">+IF(D106="","",IF(KW106="","",IF(KT106="",0,KT106)+IF(KU106="",0,KU106)+KW106))</f>
        <v>69042.620125183297</v>
      </c>
      <c r="KY106" s="3169">
        <f t="shared" ref="KY106:KY107" si="920">+IF(D106="","",IF(KX106="","",IF(KP106="",0,KP106)+KX106))</f>
        <v>226406.19636268332</v>
      </c>
      <c r="KZ106" s="7400"/>
      <c r="LA106" s="7289" t="str">
        <f t="shared" si="668"/>
        <v/>
      </c>
      <c r="LB106" s="7302">
        <f t="shared" si="669"/>
        <v>7398.8953059700443</v>
      </c>
      <c r="LC106" s="5133"/>
      <c r="LD106" s="5132"/>
      <c r="LE106" s="5132"/>
      <c r="LF106" s="5132"/>
      <c r="LG106" s="5132"/>
      <c r="LH106" s="5132"/>
      <c r="LI106" s="5132"/>
      <c r="LJ106" s="5132"/>
    </row>
    <row r="107" spans="1:322" s="717" customFormat="1" ht="27.95" customHeight="1">
      <c r="A107" s="10539"/>
      <c r="B107" s="10521" t="str">
        <f>+IF(A107="","",VLOOKUP(MATCH(A107,tid,0),tao,'12(id)'!$J$20,FALSE))</f>
        <v/>
      </c>
      <c r="C107" s="10549"/>
      <c r="D107" s="1067" t="str">
        <f t="shared" si="859"/>
        <v>8305-01-02</v>
      </c>
      <c r="E107" s="3151" t="str">
        <f t="shared" si="863"/>
        <v>Flue Gas Recirculation (FGR)</v>
      </c>
      <c r="F107" s="3151" t="str">
        <f t="shared" si="777"/>
        <v>New Eqp</v>
      </c>
      <c r="G107" s="5133"/>
      <c r="H107" s="5132"/>
      <c r="I107" s="5133"/>
      <c r="J107" s="745">
        <f t="shared" si="820"/>
        <v>73</v>
      </c>
      <c r="K107" s="10541"/>
      <c r="L107" s="9518"/>
      <c r="M107" s="10557"/>
      <c r="N107" s="9699"/>
      <c r="O107" s="9702"/>
      <c r="P107" s="9518"/>
      <c r="Q107" s="9680" t="str">
        <f>+IF(ISERROR(MATCH(O107,tid,0)),"",VLOOKUP(MATCH(O107,tid,0),tao,'12(id)'!$Q$20,FALSE))</f>
        <v/>
      </c>
      <c r="R107" s="10183"/>
      <c r="S107" s="9680"/>
      <c r="T107" s="10526" t="str">
        <f>+IF(ISERROR(MATCH(O107,tid,0)),"",IF(VLOOKUP(MATCH(O107,tid,0),tao,'12(id)'!$CT$20,FALSE)="","",VLOOKUP(MATCH(O107,tid,0),tao,'12(id)'!$CT$20,FALSE)))</f>
        <v/>
      </c>
      <c r="U107" s="10529" t="str">
        <f>+IF(ISERROR(MATCH(O107,tid,0)),"",IF(VLOOKUP(MATCH(O107,tid,0),tao,'12(id)'!$CU$20,FALSE)="","",VLOOKUP(MATCH(O107,tid,0),tao,'12(id)'!$CU$20,FALSE)))</f>
        <v/>
      </c>
      <c r="V107" s="9504" t="str">
        <f>+IF(O107="","",IF(VLOOKUP(MATCH(O107,tid,0),tao,'12(id)'!$T$20,FALSE)="","",VLOOKUP(MATCH(O107,tid,0),tao,'12(id)'!$T$20,FALSE)))</f>
        <v/>
      </c>
      <c r="W107" s="9504" t="str">
        <f>+IF(ISERROR(MATCH(O107,tid,0)),"",IF(VLOOKUP(MATCH(O107,tid,0),tao,'12(id)'!$CO$20,FALSE)="","",VLOOKUP(MATCH(O107,tid,0),tao,'12(id)'!$CO$20,FALSE)))</f>
        <v/>
      </c>
      <c r="X107" s="9504" t="str">
        <f>+IF(ISERROR(MATCH(O107,tid,0)),"",IF(VLOOKUP(MATCH(O107,tid,0),tao,'12(id)'!$CP$20,FALSE)="","",VLOOKUP(MATCH(O107,tid,0),tao,'12(id)'!$CP$20,FALSE)))</f>
        <v/>
      </c>
      <c r="Y107" s="8553" t="str">
        <f>+IF(ISERROR(MATCH(O107,tid,0)),"",IF(VLOOKUP(MATCH(O107,tid,0),tao,'12(id)'!$CQ$20,FALSE)="","",VLOOKUP(MATCH(O107,tid,0),tao,'12(id)'!$CQ$20,FALSE)))</f>
        <v/>
      </c>
      <c r="Z107" s="9518" t="str">
        <f>+IF(ISERROR(MATCH(O107,tid,0)),"",VLOOKUP(MATCH(O107,tid,0),tao,'12(id)'!$DB$20,FALSE)&amp;" "&amp;VLOOKUP(MATCH(O107,tid,0),tao,'12(id)'!$DC$20,FALSE))</f>
        <v/>
      </c>
      <c r="AA107" s="9518" t="str">
        <f>+IF(ISERROR(MATCH(O107,tid,0)),"",IF(VLOOKUP(MATCH(O107,tid,0),tao,'12(id)'!$DE$20,FALSE)="","",ROUND(VLOOKUP(MATCH(O107,tid,0),tao,'12(id)'!$DE$20,FALSE),0)&amp;" yrs"))</f>
        <v/>
      </c>
      <c r="AB107" s="9648" t="str">
        <f>+IF(ISERROR(MATCH(O107,tid,0)),"",VLOOKUP(MATCH(O107,tid,0),tao,'12(id)'!$DI$20,FALSE))</f>
        <v/>
      </c>
      <c r="AC107" s="9648" t="str">
        <f>+IF(ISERROR(MATCH(O107,tid,0)),"",IF(VLOOKUP(MATCH(O107,tid,0),tao,'12(id)'!$DQ$20,FALSE)="","",VLOOKUP(MATCH(O107,tid,0),tao,'12(id)'!$DQ$20,FALSE)))</f>
        <v/>
      </c>
      <c r="AD107" s="10412" t="str">
        <f>+IF(ISERROR(MATCH(O107,tid,0)),"",IF(VLOOKUP(MATCH(O107,tid,0),tao,'12(id)'!$EI$20,FALSE)="","",VLOOKUP(MATCH(O107,tid,0),tao,'12(id)'!$EI$20,FALSE)))</f>
        <v/>
      </c>
      <c r="AE107" s="10412" t="str">
        <f>+IF(ISERROR(MATCH(O107,tid,0)),"",IF(VLOOKUP(MATCH(O107,tid,0),tao,'12(id)'!$EJ$20,FALSE)="","",VLOOKUP(MATCH(O107,tid,0),tao,'12(id)'!$EJ$20,FALSE)))</f>
        <v/>
      </c>
      <c r="AF107" s="10412" t="str">
        <f>+IF(ISERROR(MATCH(O107,tid,0)),"",IF(VLOOKUP(MATCH(O107,tid,0),tao,'12(id)'!$EL$20,FALSE)="","",VLOOKUP(MATCH(O107,tid,0),tao,'12(id)'!$EL$20,FALSE)))</f>
        <v/>
      </c>
      <c r="AG107" s="10409" t="str">
        <f>+IF(ISERROR(MATCH(O107,tid,0)),"",IF(VLOOKUP(MATCH(O107,tid,0),tao,'12(id)'!$EM$20,FALSE)="","",VLOOKUP(MATCH(O107,tid,0),tao,'12(id)'!$EM$20,FALSE)))</f>
        <v/>
      </c>
      <c r="AH107" s="10439"/>
      <c r="AI107" s="10441"/>
      <c r="AJ107" s="10441"/>
      <c r="AK107" s="10441"/>
      <c r="AL107" s="10441"/>
      <c r="AM107" s="10432"/>
      <c r="AN107" s="10422"/>
      <c r="AO107" s="10425" t="str">
        <f>+IF(ISERROR(MATCH(O107,tid,0)),"",IF(VLOOKUP(MATCH(O107,tid,0),tao,'12(id)'!$GY$20,FALSE)="","",VLOOKUP(MATCH(O107,tid,0),tao,'12(id)'!$GY$20,FALSE)))</f>
        <v/>
      </c>
      <c r="AP107" s="10378" t="e">
        <f>+IF($BB107="","",IF(VLOOKUP(MATCH(O107,tid,0),tao,'12(id)'!$HE$20,FALSE)="","",VLOOKUP(MATCH(O107,tid,0),tao,'12(id)'!$HE$20,FALSE)))</f>
        <v>#N/A</v>
      </c>
      <c r="AQ107" s="10406" t="str">
        <f>+IF(ISERROR(VLOOKUP(MATCH(O107,tid,0),tao,'12(id)'!$HF$20,FALSE)),"",VLOOKUP(MATCH(O107,tid,0),tao,'12(id)'!$HF$20,FALSE))</f>
        <v/>
      </c>
      <c r="AR107" s="10417" t="str">
        <f>+IF(ISERROR(MATCH(O107,tid,0)),"",IF(VLOOKUP(MATCH(O107,tid,0),tao,'12(id)'!$HJ$20,FALSE)="","",VLOOKUP(MATCH(O107,tid,0),tao,'12(id)'!$HJ$20,FALSE)))</f>
        <v/>
      </c>
      <c r="AS107" s="10419" t="str">
        <f>+IF(ISERROR(MATCH(O107,tid,0)),"",IF(VLOOKUP(MATCH(O107,tid,0),tao,'12(id)'!$HK$20,FALSE)="","",VLOOKUP(MATCH(O107,tid,0),tao,'12(id)'!$HK$20,FALSE)))</f>
        <v/>
      </c>
      <c r="AT107" s="10466" t="str">
        <f>+IF(ISERROR(MATCH(O107,tid,0)),"",IF(VLOOKUP(MATCH(O107,tid,0),tao,'12(id)'!$HM$20,FALSE)="","",VLOOKUP(MATCH(O107,tid,0),tao,'12(id)'!$HM$20,FALSE)))</f>
        <v/>
      </c>
      <c r="AU107" s="10471"/>
      <c r="AV107" s="10473" t="str">
        <f>+IF(ISERROR(MATCH(O107,em_id,0)),"",IF(VLOOKUP(MATCH(O107,em_id,0),em,'5(em)'!$CX$18,FALSE)="","",VLOOKUP(MATCH(O107,em_id,0),em,'5(em)'!$CX$18,FALSE)))</f>
        <v/>
      </c>
      <c r="AW107" s="10489" t="str">
        <f>+IF(ISERROR(MATCH(O107,em_id,0)),"",IF(VLOOKUP(MATCH(O107,em_id,0),em,'5(em)'!$CZ$18,FALSE)="","",VLOOKUP(MATCH(O107,em_id,0),em,'5(em)'!$CZ$18,FALSE)))</f>
        <v/>
      </c>
      <c r="AX107" s="10478" t="str">
        <f t="shared" si="860"/>
        <v/>
      </c>
      <c r="AY107" s="10480"/>
      <c r="AZ107" s="10482" t="str">
        <f>+IF(ISERROR(MATCH(O107,em_id,0)),"",IF(VLOOKUP(MATCH(O107,em_id,0),em,'5(em)'!$DA$18,FALSE)="","",VLOOKUP(MATCH(O107,em_id,0),em,'5(em)'!$DA$18,FALSE)))</f>
        <v/>
      </c>
      <c r="BA107" s="1030"/>
      <c r="BB107" s="1362" t="str">
        <f t="shared" si="778"/>
        <v>8305-01-02</v>
      </c>
      <c r="BC107" s="7905">
        <v>2</v>
      </c>
      <c r="BD107" s="3151" t="str">
        <f>+IF(OR(D107="",VLOOKUP(MATCH(D107,op_id,0),op,'7(op)'!$T$18,FALSE)=""),"",VLOOKUP(MATCH(D107,op_id,0),op,'7(op)'!$T$18,FALSE))</f>
        <v>Flue Gas Recirculation (FGR)</v>
      </c>
      <c r="BE107" s="3151" t="s">
        <v>1629</v>
      </c>
      <c r="BF107" s="3151" t="s">
        <v>1862</v>
      </c>
      <c r="BG107" s="1035"/>
      <c r="BH107" s="8635"/>
      <c r="BI107" s="100"/>
      <c r="BJ107" s="100"/>
      <c r="BK107" s="100"/>
      <c r="BL107" s="100"/>
      <c r="BM107" s="100"/>
      <c r="BN107" s="100" t="str">
        <f t="shared" si="854"/>
        <v/>
      </c>
      <c r="BO107" s="100" t="str">
        <f t="shared" si="855"/>
        <v/>
      </c>
      <c r="BP107" s="100" t="str">
        <f t="shared" si="856"/>
        <v/>
      </c>
      <c r="BQ107" s="100" t="str">
        <f t="shared" si="857"/>
        <v/>
      </c>
      <c r="BR107" s="1027"/>
      <c r="BS107" s="1754"/>
      <c r="BT107" s="1047"/>
      <c r="BU107" s="3714" t="str">
        <f>+IF(BB107="","",IF(VLOOKUP(MATCH(BB107,ef_id,0),ef,'11(eff)'!$Z$23,FALSE)="","",VLOOKUP(MATCH(BB107,ef_id,0),ef,'11(eff)'!$Z$23,FALSE)))</f>
        <v/>
      </c>
      <c r="BV107" s="3759" t="str">
        <f>+IF(BB107="","",IF(VLOOKUP(MATCH(BB107,ef_id,0),ef,'11(eff)'!$AA$23,FALSE)="","",VLOOKUP(MATCH(BB107,ef_id,0),ef,'11(eff)'!$AA$23,FALSE)))</f>
        <v/>
      </c>
      <c r="BW107" s="3781"/>
      <c r="BX107" s="3802" t="str">
        <f t="shared" si="864"/>
        <v/>
      </c>
      <c r="BY107" s="3823" t="str">
        <f t="shared" si="512"/>
        <v/>
      </c>
      <c r="BZ107" s="3401"/>
      <c r="CA107" s="3427"/>
      <c r="CB107" s="3855">
        <f>+IF(OR(BX107="",BX107=0),IF(CA107="",IF(GJ107="","",GI107/GJ107/IF(R107="",IF(R106="",R105,R106),R107)),CA107),IF(AT107="",IF(AT106="",AT105,AT106),AT107)-BX107)</f>
        <v>3.5234179478012155</v>
      </c>
      <c r="CC107" s="3875" t="str">
        <f t="shared" si="865"/>
        <v/>
      </c>
      <c r="CD107" s="3875" t="str">
        <f t="shared" si="514"/>
        <v/>
      </c>
      <c r="CE107" s="2379">
        <f>+IF(BB107="","",IF(VLOOKUP(MATCH(BB107,ef_id,0),ef,'11(eff)'!$AE$23,FALSE)="","",VLOOKUP(MATCH(BB107,ef_id,0),ef,'11(eff)'!$AE$23,FALSE)))</f>
        <v>0.3</v>
      </c>
      <c r="CF107" s="8635"/>
      <c r="CG107" s="100"/>
      <c r="CH107" s="2417"/>
      <c r="CI107" s="4009">
        <f t="shared" si="628"/>
        <v>9.6111133546016234E-2</v>
      </c>
      <c r="CJ107" s="4062" t="str">
        <f>+IF(AY106="","",AY106*(1-CO107))</f>
        <v/>
      </c>
      <c r="CK107" s="4009">
        <f>+IF($BB107="","",IF(CI107="",IF($AZ107="",IF($AZ106="",$AZ105,$AZ106),$AZ107)-CL107,IF(OR(IF($AW107="",IF($AW106="",$AW105,$AW106),$AW107)="",CI107=""),"",CI107/2000*IF($AW107="",IF($AW106="",$AW105,$AW106),$AW107))))</f>
        <v>71.400000000000006</v>
      </c>
      <c r="CL107" s="4010">
        <f>+IF($BB107="","",IF(CI107="",CO107*IF($AZ107="",IF($AZ106="",$AZ105,$AZ106),$AZ107),IF(CK107="","",IF($AZ107="",IF($AZ106="",$AZ105,$AZ106),$AZ107)-CK107)))</f>
        <v>30.599999999999994</v>
      </c>
      <c r="CM107" s="4011">
        <f>+IF($BB107="","",IF(CL107="","",CL107/IF($AZ107="",IF($AZ106="",$AZ105,$AZ106),$AZ107)))</f>
        <v>0.29999999999999993</v>
      </c>
      <c r="CN107" s="4011">
        <f>+IF($BB107="","",IF(CI107="","",(1-CI107/IF($AX107="",IF($AX106="",$AX105,$AX106),$AX107))))</f>
        <v>0.31349190324274123</v>
      </c>
      <c r="CO107" s="4012">
        <f>+IF(BB107="","",IF(VLOOKUP(MATCH(BB107,ef_id,0),ef,'11(eff)'!$AE$23,FALSE)="","",VLOOKUP(MATCH(BB107,ef_id,0),ef,'11(eff)'!$AE$23,FALSE)))</f>
        <v>0.3</v>
      </c>
      <c r="CP107" s="3985">
        <f>+IF(OR(BB107="",VLOOKUP(MATCH(BB107,ef_id,0),ef,'11(eff)'!$AG$23,FALSE)=""),"",IF(VLOOKUP(MATCH(BB107,ef_id,0),ef,'11(eff)'!$AG$23,FALSE)/100=VLOOKUP(MATCH(BB107,ef_id,0),ef,'11(eff)'!$AE$23,FALSE),VLOOKUP(MATCH(BB107,ef_id,0),ef,'11(eff)'!$AE$23,FALSE),""))</f>
        <v>0.3</v>
      </c>
      <c r="CQ107" s="1371" t="str">
        <f t="shared" si="861"/>
        <v>Flue Gas Recirculation (FGR)</v>
      </c>
      <c r="CR107" s="8580"/>
      <c r="CS107" s="2768">
        <v>101676</v>
      </c>
      <c r="CT107" s="1597">
        <v>101676</v>
      </c>
      <c r="CU107" s="1480">
        <v>101676</v>
      </c>
      <c r="CV107" s="1917">
        <f t="shared" si="704"/>
        <v>0</v>
      </c>
      <c r="CW107" s="1918"/>
      <c r="CX107" s="1918"/>
      <c r="CY107" s="1919"/>
      <c r="CZ107" s="2484"/>
      <c r="DA107" s="2493"/>
      <c r="DB107" s="2493"/>
      <c r="DC107" s="1917"/>
      <c r="DD107" s="1920"/>
      <c r="DE107" s="1921"/>
      <c r="DF107" s="1922"/>
      <c r="DG107" s="1922"/>
      <c r="DH107" s="1920"/>
      <c r="DI107" s="1697">
        <f t="shared" si="779"/>
        <v>101676</v>
      </c>
      <c r="DJ107" s="1946"/>
      <c r="DK107" s="1597"/>
      <c r="DL107" s="1480"/>
      <c r="DM107" s="1917" t="str">
        <f t="shared" si="705"/>
        <v/>
      </c>
      <c r="DN107" s="1918"/>
      <c r="DO107" s="1918"/>
      <c r="DP107" s="1919"/>
      <c r="DQ107" s="2484"/>
      <c r="DR107" s="2493"/>
      <c r="DS107" s="2493"/>
      <c r="DT107" s="1917"/>
      <c r="DU107" s="1920"/>
      <c r="DV107" s="1921"/>
      <c r="DW107" s="1922"/>
      <c r="DX107" s="1922"/>
      <c r="DY107" s="1920"/>
      <c r="DZ107" s="1697" t="str">
        <f t="shared" si="664"/>
        <v/>
      </c>
      <c r="EA107" s="1946"/>
      <c r="EB107" s="1480">
        <f t="shared" si="775"/>
        <v>101676</v>
      </c>
      <c r="EC107" s="1970">
        <f t="shared" si="822"/>
        <v>1</v>
      </c>
      <c r="ED107" s="1418">
        <f t="shared" si="858"/>
        <v>101676</v>
      </c>
      <c r="EE107" s="1989"/>
      <c r="EF107" s="1990"/>
      <c r="EG107" s="1991"/>
      <c r="EH107" s="1697">
        <f t="shared" si="740"/>
        <v>0</v>
      </c>
      <c r="EI107" s="1921"/>
      <c r="EJ107" s="1922"/>
      <c r="EK107" s="2019"/>
      <c r="EL107" s="1620"/>
      <c r="EM107" s="1921"/>
      <c r="EN107" s="1922"/>
      <c r="EO107" s="2019"/>
      <c r="EP107" s="1697">
        <f t="shared" si="776"/>
        <v>0</v>
      </c>
      <c r="EQ107" s="1697"/>
      <c r="ER107" s="1697"/>
      <c r="ES107" s="1697"/>
      <c r="ET107" s="1463">
        <f t="shared" si="866"/>
        <v>0</v>
      </c>
      <c r="EU107" s="1431"/>
      <c r="EV107" s="1399"/>
      <c r="EW107" s="2593"/>
      <c r="EX107" s="2593"/>
      <c r="EY107" s="2700">
        <f t="shared" si="867"/>
        <v>101676</v>
      </c>
      <c r="EZ107" s="2729"/>
      <c r="FA107" s="1399"/>
      <c r="FB107" s="1506">
        <f t="shared" si="515"/>
        <v>101676</v>
      </c>
      <c r="FC107" s="1729">
        <f t="shared" si="516"/>
        <v>101676</v>
      </c>
      <c r="FD107" s="2052">
        <f t="shared" si="517"/>
        <v>101676</v>
      </c>
      <c r="FE107" s="2036">
        <f t="shared" si="509"/>
        <v>1</v>
      </c>
      <c r="FF107" s="2052">
        <f t="shared" si="518"/>
        <v>0</v>
      </c>
      <c r="FG107" s="2036">
        <f t="shared" si="519"/>
        <v>0</v>
      </c>
      <c r="FH107" s="2052">
        <f t="shared" si="520"/>
        <v>0</v>
      </c>
      <c r="FI107" s="2036">
        <f t="shared" si="510"/>
        <v>0</v>
      </c>
      <c r="FJ107" s="1508">
        <f t="shared" si="521"/>
        <v>101676</v>
      </c>
      <c r="FK107" s="2036">
        <f t="shared" si="522"/>
        <v>1</v>
      </c>
      <c r="FL107" s="2786">
        <f t="shared" si="523"/>
        <v>0</v>
      </c>
      <c r="FM107" s="2036">
        <f t="shared" si="524"/>
        <v>0</v>
      </c>
      <c r="FN107" s="2052">
        <f t="shared" si="525"/>
        <v>0</v>
      </c>
      <c r="FO107" s="2036">
        <f t="shared" si="526"/>
        <v>0</v>
      </c>
      <c r="FP107" s="2052">
        <f t="shared" si="527"/>
        <v>0</v>
      </c>
      <c r="FQ107" s="2036">
        <f t="shared" si="528"/>
        <v>0</v>
      </c>
      <c r="FR107" s="2850">
        <f t="shared" si="529"/>
        <v>101676</v>
      </c>
      <c r="FS107" s="2832" t="str">
        <f t="shared" si="530"/>
        <v/>
      </c>
      <c r="FT107" s="2072" t="str">
        <f t="shared" si="531"/>
        <v/>
      </c>
      <c r="FU107" s="2900">
        <f t="shared" si="532"/>
        <v>0</v>
      </c>
      <c r="FV107" s="1535">
        <f t="shared" si="533"/>
        <v>101676</v>
      </c>
      <c r="FW107" s="2118">
        <f t="shared" si="534"/>
        <v>0</v>
      </c>
      <c r="FX107" s="1745">
        <f t="shared" si="535"/>
        <v>0</v>
      </c>
      <c r="FY107" s="2119">
        <f t="shared" si="536"/>
        <v>0</v>
      </c>
      <c r="FZ107" s="1745">
        <f t="shared" si="537"/>
        <v>0</v>
      </c>
      <c r="GA107" s="1745">
        <f t="shared" si="538"/>
        <v>0</v>
      </c>
      <c r="GB107" s="2119">
        <f t="shared" si="539"/>
        <v>0</v>
      </c>
      <c r="GC107" s="1745">
        <f t="shared" si="540"/>
        <v>0</v>
      </c>
      <c r="GD107" s="1745">
        <f t="shared" si="541"/>
        <v>0</v>
      </c>
      <c r="GE107" s="2127">
        <f t="shared" si="542"/>
        <v>101676</v>
      </c>
      <c r="GF107" s="2150">
        <f t="shared" si="741"/>
        <v>101676</v>
      </c>
      <c r="GG107" s="2176">
        <f t="shared" si="544"/>
        <v>0</v>
      </c>
      <c r="GH107" s="3168" t="str">
        <f t="shared" si="868"/>
        <v/>
      </c>
      <c r="GI107" s="2127">
        <v>9855</v>
      </c>
      <c r="GJ107" s="1508">
        <v>2797</v>
      </c>
      <c r="GK107" s="3458">
        <f t="shared" si="423"/>
        <v>3.5234179478012155</v>
      </c>
      <c r="GL107" s="3253">
        <f t="shared" si="546"/>
        <v>0</v>
      </c>
      <c r="GM107" s="1313"/>
      <c r="GN107" s="1312"/>
      <c r="GO107" s="2307"/>
      <c r="GP107" s="2308"/>
      <c r="GQ107" s="2332" t="str">
        <f t="shared" si="582"/>
        <v/>
      </c>
      <c r="GR107" s="2329"/>
      <c r="GS107" s="2329"/>
      <c r="GT107" s="2320"/>
      <c r="GU107" s="2338">
        <f t="shared" si="862"/>
        <v>9855</v>
      </c>
      <c r="GV107" s="1311" t="str">
        <f t="shared" si="869"/>
        <v/>
      </c>
      <c r="GW107" s="2263" t="str">
        <f t="shared" si="870"/>
        <v/>
      </c>
      <c r="GX107" s="2230" t="str">
        <f t="shared" si="871"/>
        <v/>
      </c>
      <c r="GY107" s="2230" t="str">
        <f t="shared" si="872"/>
        <v/>
      </c>
      <c r="GZ107" s="2320" t="str">
        <f t="shared" si="873"/>
        <v/>
      </c>
      <c r="HA107" s="2341" t="str">
        <f t="shared" si="874"/>
        <v/>
      </c>
      <c r="HB107" s="2361" t="str">
        <f t="shared" si="432"/>
        <v/>
      </c>
      <c r="HC107" s="2362">
        <f t="shared" si="875"/>
        <v>9855</v>
      </c>
      <c r="HD107" s="2352" t="str">
        <f t="shared" si="375"/>
        <v/>
      </c>
      <c r="HE107" s="1313"/>
      <c r="HF107" s="1519">
        <f t="shared" si="555"/>
        <v>2797</v>
      </c>
      <c r="HG107" s="1312"/>
      <c r="HH107" s="3000"/>
      <c r="HI107" s="2929">
        <f t="shared" si="876"/>
        <v>101676</v>
      </c>
      <c r="HJ107" s="2071">
        <f t="shared" si="877"/>
        <v>0</v>
      </c>
      <c r="HK107" s="2071">
        <f t="shared" si="878"/>
        <v>0</v>
      </c>
      <c r="HL107" s="2071" t="str">
        <f t="shared" si="879"/>
        <v/>
      </c>
      <c r="HM107" s="2936">
        <f t="shared" si="880"/>
        <v>101676</v>
      </c>
      <c r="HN107" s="2914" t="str">
        <f t="shared" si="881"/>
        <v/>
      </c>
      <c r="HO107" s="2967" t="str">
        <f t="shared" si="882"/>
        <v/>
      </c>
      <c r="HP107" s="2071" t="str">
        <f t="shared" si="883"/>
        <v/>
      </c>
      <c r="HQ107" s="3013" t="str">
        <f t="shared" si="556"/>
        <v/>
      </c>
      <c r="HR107" s="2968" t="str">
        <f t="shared" si="557"/>
        <v/>
      </c>
      <c r="HS107" s="2968">
        <f t="shared" si="558"/>
        <v>0</v>
      </c>
      <c r="HT107" s="2960" t="str">
        <f t="shared" si="884"/>
        <v/>
      </c>
      <c r="HU107" s="2961" t="str">
        <f t="shared" si="885"/>
        <v/>
      </c>
      <c r="HV107" s="2960" t="str">
        <f t="shared" si="559"/>
        <v/>
      </c>
      <c r="HW107" s="2961" t="str">
        <f t="shared" si="560"/>
        <v/>
      </c>
      <c r="HX107" s="2913">
        <f t="shared" si="199"/>
        <v>101676</v>
      </c>
      <c r="HY107" s="2932" t="str">
        <f t="shared" si="886"/>
        <v/>
      </c>
      <c r="HZ107" s="2961" t="str">
        <f t="shared" si="887"/>
        <v/>
      </c>
      <c r="IA107" s="1729">
        <f t="shared" si="888"/>
        <v>101676</v>
      </c>
      <c r="IB107" s="3043" t="str">
        <f t="shared" si="564"/>
        <v>same TCC</v>
      </c>
      <c r="IC107" s="3047" t="str">
        <f t="shared" si="889"/>
        <v/>
      </c>
      <c r="ID107" s="1314"/>
      <c r="IE107" s="4110"/>
      <c r="IF107" s="2913" t="str">
        <f t="shared" si="780"/>
        <v/>
      </c>
      <c r="IG107" s="6784"/>
      <c r="IH107" s="4182" t="str">
        <f t="shared" si="781"/>
        <v/>
      </c>
      <c r="II107" s="6802"/>
      <c r="IJ107" s="4183" t="str">
        <f t="shared" si="782"/>
        <v/>
      </c>
      <c r="IK107" s="4147">
        <v>0</v>
      </c>
      <c r="IL107" s="2071" t="str">
        <f t="shared" si="890"/>
        <v/>
      </c>
      <c r="IM107" s="2968">
        <f t="shared" si="891"/>
        <v>0</v>
      </c>
      <c r="IN107" s="4236" t="str">
        <f t="shared" si="783"/>
        <v/>
      </c>
      <c r="IO107" s="4236" t="str">
        <f t="shared" si="784"/>
        <v/>
      </c>
      <c r="IP107" s="4236" t="str">
        <f t="shared" si="892"/>
        <v/>
      </c>
      <c r="IQ107" s="6856" t="str">
        <f t="shared" si="893"/>
        <v/>
      </c>
      <c r="IR107" s="4236" t="str">
        <f t="shared" si="894"/>
        <v/>
      </c>
      <c r="IS107" s="6856" t="str">
        <f t="shared" si="895"/>
        <v/>
      </c>
      <c r="IT107" s="4236" t="str">
        <f t="shared" si="789"/>
        <v/>
      </c>
      <c r="IU107" s="6856"/>
      <c r="IV107" s="4147">
        <f t="shared" si="896"/>
        <v>2</v>
      </c>
      <c r="IW107" s="2968">
        <f t="shared" si="897"/>
        <v>7626.6292041132037</v>
      </c>
      <c r="IX107" s="4191">
        <f t="shared" si="792"/>
        <v>7626.6292041132037</v>
      </c>
      <c r="IY107" s="4260">
        <f t="shared" si="793"/>
        <v>9855</v>
      </c>
      <c r="IZ107" s="4309">
        <f t="shared" si="794"/>
        <v>0.22611575808085199</v>
      </c>
      <c r="JA107" s="4310" t="str">
        <f t="shared" si="898"/>
        <v>stk added + 23%</v>
      </c>
      <c r="JB107" s="1315"/>
      <c r="JC107" s="4343"/>
      <c r="JD107" s="1519">
        <f t="shared" si="796"/>
        <v>2164.5542246478572</v>
      </c>
      <c r="JE107" s="4367">
        <f t="shared" si="797"/>
        <v>249.23624850043154</v>
      </c>
      <c r="JF107" s="7045"/>
      <c r="JG107" s="7059" t="s">
        <v>1333</v>
      </c>
      <c r="JH107" s="6976">
        <f>+IF(D107="","",IF(HX107="","",HX107))</f>
        <v>101676</v>
      </c>
      <c r="JI107" s="6976">
        <f>+JH107</f>
        <v>101676</v>
      </c>
      <c r="JJ107" s="6976"/>
      <c r="JK107" s="6976"/>
      <c r="JL107" s="7013"/>
      <c r="JM107" s="2832" t="str">
        <f t="shared" si="899"/>
        <v>N/A</v>
      </c>
      <c r="JN107" s="2071" t="str">
        <f t="shared" si="637"/>
        <v/>
      </c>
      <c r="JO107" s="2071">
        <f t="shared" si="717"/>
        <v>101676</v>
      </c>
      <c r="JP107" s="3013"/>
      <c r="JQ107" s="3013"/>
      <c r="JR107" s="2071"/>
      <c r="JS107" s="2968">
        <f>+IF(D107="","",SUM(JO107:JR107))</f>
        <v>101676</v>
      </c>
      <c r="JT107" s="7180">
        <f t="shared" si="476"/>
        <v>2</v>
      </c>
      <c r="JU107" s="7181">
        <f t="shared" si="900"/>
        <v>849</v>
      </c>
      <c r="JV107" s="8383">
        <f t="shared" si="901"/>
        <v>1485780</v>
      </c>
      <c r="JW107" s="8411">
        <f t="shared" si="682"/>
        <v>30.599999999999994</v>
      </c>
      <c r="JX107" s="8440">
        <f t="shared" si="902"/>
        <v>28.268551236749115</v>
      </c>
      <c r="JY107" s="8475">
        <f t="shared" ref="JY107:JY111" si="921">+IF(D107="","",IF(JT107=2,($JY$8*(1+$JY$8)^JX107)/((1+$JY$8)^JX107-1),""))</f>
        <v>8.213013753573839E-2</v>
      </c>
      <c r="JZ107" s="7182">
        <f t="shared" si="903"/>
        <v>0</v>
      </c>
      <c r="KA107" s="7180" t="str">
        <f t="shared" si="904"/>
        <v/>
      </c>
      <c r="KB107" s="7181" t="str">
        <f t="shared" si="905"/>
        <v/>
      </c>
      <c r="KC107" s="7182" t="str">
        <f t="shared" si="906"/>
        <v/>
      </c>
      <c r="KD107" s="7180">
        <f t="shared" si="907"/>
        <v>36034.955999999998</v>
      </c>
      <c r="KE107" s="8348">
        <f t="shared" si="908"/>
        <v>19057.679999999997</v>
      </c>
      <c r="KF107" s="8348">
        <f t="shared" si="909"/>
        <v>12779.855999999994</v>
      </c>
      <c r="KG107" s="7181">
        <f t="shared" si="910"/>
        <v>0</v>
      </c>
      <c r="KH107" s="7181">
        <f>IF(D107="","",IF(JT107=2,0.005*JF107*$KD$6/1000*1000*JU107,""))</f>
        <v>0</v>
      </c>
      <c r="KI107" s="7181">
        <f>IF(D107="","",IF(JT107=2,0.1*0.005*JF107*$KD$6/1000*1000*JU107,""))</f>
        <v>0</v>
      </c>
      <c r="KJ107" s="7181">
        <f t="shared" si="911"/>
        <v>67872.491999999998</v>
      </c>
      <c r="KK107" s="7181">
        <f>+IF(OR(D107="",JU107="",JV107=""),"",$KK$7*$KG$4*JU107)</f>
        <v>89066.212800000008</v>
      </c>
      <c r="KL107" s="7181">
        <f t="shared" si="912"/>
        <v>323.71096499999999</v>
      </c>
      <c r="KM107" s="7181">
        <f t="shared" si="913"/>
        <v>89389.923765000014</v>
      </c>
      <c r="KN107" s="7181">
        <f>+IF(D107="","",IF(JX107&lt;41,$KN$8*JZ107*JY107,""))</f>
        <v>0</v>
      </c>
      <c r="KO107" s="7181">
        <f t="shared" si="914"/>
        <v>89389.923765000014</v>
      </c>
      <c r="KP107" s="7182">
        <f t="shared" si="915"/>
        <v>157262.41576500001</v>
      </c>
      <c r="KQ107" s="2967">
        <f>+IF(D107="","",VLOOKUP(MATCH(BE107,ac_id,0),ad,ac!$F$8,FALSE)*JV107)</f>
        <v>445734</v>
      </c>
      <c r="KR107" s="3013">
        <f>+IF(D107="","",IF(JT107=1,VLOOKUP(MATCH(BE107,ac_id,0),ad,ac!$H$8,FALSE)*JU107, (VLOOKUP(MATCH(BE107,ac_id,0),ad,ac!$H$8,FALSE)*JU107^(1+VLOOKUP(MATCH(BE107,ac_id,0),ad,ac!$I$8,FALSE)))))</f>
        <v>21504.279607441218</v>
      </c>
      <c r="KS107" s="2968">
        <f>+IF(D107="","",KQ107+KR107)</f>
        <v>467238.27960744122</v>
      </c>
      <c r="KT107" s="2967">
        <f t="shared" si="916"/>
        <v>53633.954259000006</v>
      </c>
      <c r="KU107" s="2071">
        <f t="shared" si="917"/>
        <v>4067.04</v>
      </c>
      <c r="KV107" s="7397">
        <f t="shared" si="667"/>
        <v>2</v>
      </c>
      <c r="KW107" s="7288">
        <f t="shared" si="918"/>
        <v>7626.6292041132037</v>
      </c>
      <c r="KX107" s="2968">
        <f t="shared" si="919"/>
        <v>65327.62346311321</v>
      </c>
      <c r="KY107" s="3168">
        <f t="shared" si="920"/>
        <v>222590.03922811322</v>
      </c>
      <c r="KZ107" s="7398"/>
      <c r="LA107" s="7288">
        <f t="shared" si="668"/>
        <v>63174.463695690785</v>
      </c>
      <c r="LB107" s="7301">
        <f t="shared" si="669"/>
        <v>7274.1842885004335</v>
      </c>
      <c r="LC107" s="5133"/>
      <c r="LD107" s="5132"/>
      <c r="LE107" s="5132"/>
      <c r="LF107" s="5132"/>
      <c r="LG107" s="5132"/>
      <c r="LH107" s="5132"/>
      <c r="LI107" s="5132"/>
      <c r="LJ107" s="5132"/>
    </row>
    <row r="108" spans="1:322" s="717" customFormat="1" ht="27.95" customHeight="1">
      <c r="A108" s="10540"/>
      <c r="B108" s="10521" t="str">
        <f>+IF(A108="","",VLOOKUP(MATCH(A108,tid,0),tao,'12(id)'!$J$20,FALSE))</f>
        <v/>
      </c>
      <c r="C108" s="10549"/>
      <c r="D108" s="1031" t="str">
        <f t="shared" si="859"/>
        <v/>
      </c>
      <c r="E108" s="651" t="str">
        <f t="shared" si="863"/>
        <v/>
      </c>
      <c r="F108" s="651" t="str">
        <f t="shared" si="777"/>
        <v/>
      </c>
      <c r="G108" s="5133"/>
      <c r="H108" s="5132"/>
      <c r="I108" s="5133"/>
      <c r="J108" s="745">
        <f t="shared" si="820"/>
        <v>74</v>
      </c>
      <c r="K108" s="10541"/>
      <c r="L108" s="9518"/>
      <c r="M108" s="10557"/>
      <c r="N108" s="9699"/>
      <c r="O108" s="9703"/>
      <c r="P108" s="9666"/>
      <c r="Q108" s="9705" t="str">
        <f>+IF(ISERROR(MATCH(O108,tid,0)),"",VLOOKUP(MATCH(O108,tid,0),tao,'12(id)'!$Q$20,FALSE))</f>
        <v/>
      </c>
      <c r="R108" s="10184"/>
      <c r="S108" s="9705"/>
      <c r="T108" s="10527" t="str">
        <f>+IF(ISERROR(MATCH(O108,tid,0)),"",IF(VLOOKUP(MATCH(O108,tid,0),tao,'12(id)'!$CT$20,FALSE)="","",VLOOKUP(MATCH(O108,tid,0),tao,'12(id)'!$CT$20,FALSE)))</f>
        <v/>
      </c>
      <c r="U108" s="10529" t="str">
        <f>+IF(ISERROR(MATCH(O108,tid,0)),"",IF(VLOOKUP(MATCH(O108,tid,0),tao,'12(id)'!$CU$20,FALSE)="","",VLOOKUP(MATCH(O108,tid,0),tao,'12(id)'!$CU$20,FALSE)))</f>
        <v/>
      </c>
      <c r="V108" s="9513" t="str">
        <f>+IF(O108="","",IF(VLOOKUP(MATCH(O108,tid,0),tao,'12(id)'!$T$20,FALSE)="","",VLOOKUP(MATCH(O108,tid,0),tao,'12(id)'!$T$20,FALSE)))</f>
        <v/>
      </c>
      <c r="W108" s="9513" t="str">
        <f>+IF(ISERROR(MATCH(O108,tid,0)),"",IF(VLOOKUP(MATCH(O108,tid,0),tao,'12(id)'!$CO$20,FALSE)="","",VLOOKUP(MATCH(O108,tid,0),tao,'12(id)'!$CO$20,FALSE)))</f>
        <v/>
      </c>
      <c r="X108" s="9513" t="str">
        <f>+IF(ISERROR(MATCH(O108,tid,0)),"",IF(VLOOKUP(MATCH(O108,tid,0),tao,'12(id)'!$CP$20,FALSE)="","",VLOOKUP(MATCH(O108,tid,0),tao,'12(id)'!$CP$20,FALSE)))</f>
        <v/>
      </c>
      <c r="Y108" s="8555" t="str">
        <f>+IF(ISERROR(MATCH(O108,tid,0)),"",IF(VLOOKUP(MATCH(O108,tid,0),tao,'12(id)'!$CQ$20,FALSE)="","",VLOOKUP(MATCH(O108,tid,0),tao,'12(id)'!$CQ$20,FALSE)))</f>
        <v/>
      </c>
      <c r="Z108" s="9666" t="str">
        <f>+IF(ISERROR(MATCH(O108,tid,0)),"",VLOOKUP(MATCH(O108,tid,0),tao,'12(id)'!$DB$20,FALSE)&amp;" "&amp;VLOOKUP(MATCH(O108,tid,0),tao,'12(id)'!$DC$20,FALSE))</f>
        <v/>
      </c>
      <c r="AA108" s="9666" t="str">
        <f>+IF(ISERROR(MATCH(O108,tid,0)),"",IF(VLOOKUP(MATCH(O108,tid,0),tao,'12(id)'!$DE$20,FALSE)="","",ROUND(VLOOKUP(MATCH(O108,tid,0),tao,'12(id)'!$DE$20,FALSE),0)&amp;" yrs"))</f>
        <v/>
      </c>
      <c r="AB108" s="9653" t="str">
        <f>+IF(ISERROR(MATCH(O108,tid,0)),"",VLOOKUP(MATCH(O108,tid,0),tao,'12(id)'!$DI$20,FALSE))</f>
        <v/>
      </c>
      <c r="AC108" s="9653" t="str">
        <f>+IF(ISERROR(MATCH(O108,tid,0)),"",IF(VLOOKUP(MATCH(O108,tid,0),tao,'12(id)'!$DQ$20,FALSE)="","",VLOOKUP(MATCH(O108,tid,0),tao,'12(id)'!$DQ$20,FALSE)))</f>
        <v/>
      </c>
      <c r="AD108" s="10443" t="str">
        <f>+IF(ISERROR(MATCH(O108,tid,0)),"",IF(VLOOKUP(MATCH(O108,tid,0),tao,'12(id)'!$EI$20,FALSE)="","",VLOOKUP(MATCH(O108,tid,0),tao,'12(id)'!$EI$20,FALSE)))</f>
        <v/>
      </c>
      <c r="AE108" s="10443" t="str">
        <f>+IF(ISERROR(MATCH(O108,tid,0)),"",IF(VLOOKUP(MATCH(O108,tid,0),tao,'12(id)'!$EJ$20,FALSE)="","",VLOOKUP(MATCH(O108,tid,0),tao,'12(id)'!$EJ$20,FALSE)))</f>
        <v/>
      </c>
      <c r="AF108" s="10443" t="str">
        <f>+IF(ISERROR(MATCH(O108,tid,0)),"",IF(VLOOKUP(MATCH(O108,tid,0),tao,'12(id)'!$EL$20,FALSE)="","",VLOOKUP(MATCH(O108,tid,0),tao,'12(id)'!$EL$20,FALSE)))</f>
        <v/>
      </c>
      <c r="AG108" s="10416" t="str">
        <f>+IF(ISERROR(MATCH(O108,tid,0)),"",IF(VLOOKUP(MATCH(O108,tid,0),tao,'12(id)'!$EM$20,FALSE)="","",VLOOKUP(MATCH(O108,tid,0),tao,'12(id)'!$EM$20,FALSE)))</f>
        <v/>
      </c>
      <c r="AH108" s="10439"/>
      <c r="AI108" s="10441"/>
      <c r="AJ108" s="10441"/>
      <c r="AK108" s="10441"/>
      <c r="AL108" s="10441"/>
      <c r="AM108" s="10432"/>
      <c r="AN108" s="10422"/>
      <c r="AO108" s="10425" t="str">
        <f>+IF(ISERROR(MATCH(O108,tid,0)),"",IF(VLOOKUP(MATCH(O108,tid,0),tao,'12(id)'!$GY$20,FALSE)="","",VLOOKUP(MATCH(O108,tid,0),tao,'12(id)'!$GY$20,FALSE)))</f>
        <v/>
      </c>
      <c r="AP108" s="10379" t="str">
        <f>+IF($BB108="","",IF(VLOOKUP(MATCH(O108,tid,0),tao,'12(id)'!$HE$20,FALSE)="","",VLOOKUP(MATCH(O108,tid,0),tao,'12(id)'!$HE$20,FALSE)))</f>
        <v/>
      </c>
      <c r="AQ108" s="10406" t="str">
        <f>+IF(ISERROR(VLOOKUP(MATCH(O108,tid,0),tao,'12(id)'!$HF$20,FALSE)),"",VLOOKUP(MATCH(O108,tid,0),tao,'12(id)'!$HF$20,FALSE))</f>
        <v/>
      </c>
      <c r="AR108" s="10417" t="str">
        <f>+IF(ISERROR(MATCH(O108,tid,0)),"",IF(VLOOKUP(MATCH(O108,tid,0),tao,'12(id)'!$HJ$20,FALSE)="","",VLOOKUP(MATCH(O108,tid,0),tao,'12(id)'!$HJ$20,FALSE)))</f>
        <v/>
      </c>
      <c r="AS108" s="10419" t="str">
        <f>+IF(ISERROR(MATCH(O108,tid,0)),"",IF(VLOOKUP(MATCH(O108,tid,0),tao,'12(id)'!$HK$20,FALSE)="","",VLOOKUP(MATCH(O108,tid,0),tao,'12(id)'!$HK$20,FALSE)))</f>
        <v/>
      </c>
      <c r="AT108" s="10466" t="str">
        <f>+IF(ISERROR(MATCH(O108,tid,0)),"",IF(VLOOKUP(MATCH(O108,tid,0),tao,'12(id)'!$HM$20,FALSE)="","",VLOOKUP(MATCH(O108,tid,0),tao,'12(id)'!$HM$20,FALSE)))</f>
        <v/>
      </c>
      <c r="AU108" s="10471" t="str">
        <f>+AU105</f>
        <v>CAIR-OS (max last 3 yrs)</v>
      </c>
      <c r="AV108" s="10473" t="str">
        <f>+IF(ISERROR(MATCH(O108,em_id,0)),"",IF(VLOOKUP(MATCH(O108,em_id,0),em,'5(em)'!$CX$18,FALSE)="","",VLOOKUP(MATCH(O108,em_id,0),em,'5(em)'!$CX$18,FALSE)))</f>
        <v/>
      </c>
      <c r="AW108" s="10489" t="str">
        <f>+IF(ISERROR(MATCH(O108,em_id,0)),"",IF(VLOOKUP(MATCH(O108,em_id,0),em,'5(em)'!$CZ$18,FALSE)="","",VLOOKUP(MATCH(O108,em_id,0),em,'5(em)'!$CZ$18,FALSE)))</f>
        <v/>
      </c>
      <c r="AX108" s="10478" t="str">
        <f t="shared" si="860"/>
        <v/>
      </c>
      <c r="AY108" s="10480"/>
      <c r="AZ108" s="10482" t="str">
        <f>+IF(ISERROR(MATCH(O108,em_id,0)),"",IF(VLOOKUP(MATCH(O108,em_id,0),em,'5(em)'!$DA$18,FALSE)="","",VLOOKUP(MATCH(O108,em_id,0),em,'5(em)'!$DA$18,FALSE)))</f>
        <v/>
      </c>
      <c r="BA108" s="650"/>
      <c r="BB108" s="651" t="str">
        <f t="shared" si="778"/>
        <v/>
      </c>
      <c r="BC108" s="659"/>
      <c r="BD108" s="651" t="str">
        <f>+IF(OR(D108="",VLOOKUP(MATCH(D108,op_id,0),op,'7(op)'!$T$18,FALSE)=""),"",VLOOKUP(MATCH(D108,op_id,0),op,'7(op)'!$T$18,FALSE))</f>
        <v/>
      </c>
      <c r="BE108" s="651"/>
      <c r="BF108" s="651"/>
      <c r="BG108" s="652"/>
      <c r="BH108" s="1040"/>
      <c r="BI108" s="1041"/>
      <c r="BJ108" s="1041"/>
      <c r="BK108" s="1041"/>
      <c r="BL108" s="1041"/>
      <c r="BM108" s="1041"/>
      <c r="BN108" s="1041" t="str">
        <f t="shared" si="854"/>
        <v/>
      </c>
      <c r="BO108" s="1041" t="str">
        <f t="shared" si="855"/>
        <v/>
      </c>
      <c r="BP108" s="1041" t="str">
        <f t="shared" si="856"/>
        <v/>
      </c>
      <c r="BQ108" s="1041" t="str">
        <f t="shared" si="857"/>
        <v/>
      </c>
      <c r="BR108" s="1042"/>
      <c r="BS108" s="2385"/>
      <c r="BT108" s="1048"/>
      <c r="BU108" s="3716" t="str">
        <f>+IF(BB108="","",IF(VLOOKUP(MATCH(BB108,ef_id,0),ef,'11(eff)'!$Z$23,FALSE)="","",VLOOKUP(MATCH(BB108,ef_id,0),ef,'11(eff)'!$Z$23,FALSE)))</f>
        <v/>
      </c>
      <c r="BV108" s="3761" t="str">
        <f>+IF(BB108="","",IF(VLOOKUP(MATCH(BB108,ef_id,0),ef,'11(eff)'!$AA$23,FALSE)="","",VLOOKUP(MATCH(BB108,ef_id,0),ef,'11(eff)'!$AA$23,FALSE)))</f>
        <v/>
      </c>
      <c r="BW108" s="3783"/>
      <c r="BX108" s="3804" t="str">
        <f t="shared" si="864"/>
        <v/>
      </c>
      <c r="BY108" s="3818" t="str">
        <f t="shared" si="512"/>
        <v/>
      </c>
      <c r="BZ108" s="3397"/>
      <c r="CA108" s="3420"/>
      <c r="CB108" s="3856" t="str">
        <f>+IF(OR(BX108="",BX108=0),IF(CA108="",IF(GJ108="","",GI108/GJ108/IF(R108="",IF(R107="",R106,R107),R108)),CA108),IF(AT108="",IF(AT107="",AT106,AT107),AT108)-BX108)</f>
        <v/>
      </c>
      <c r="CC108" s="3876" t="str">
        <f t="shared" si="865"/>
        <v/>
      </c>
      <c r="CD108" s="3876" t="str">
        <f t="shared" si="514"/>
        <v/>
      </c>
      <c r="CE108" s="2380" t="str">
        <f>+IF(BB108="","",IF(VLOOKUP(MATCH(BB108,ef_id,0),ef,'11(eff)'!$AE$23,FALSE)="","",VLOOKUP(MATCH(BB108,ef_id,0),ef,'11(eff)'!$AE$23,FALSE)))</f>
        <v/>
      </c>
      <c r="CF108" s="1040"/>
      <c r="CG108" s="1041"/>
      <c r="CH108" s="2419"/>
      <c r="CI108" s="4019" t="str">
        <f t="shared" si="628"/>
        <v/>
      </c>
      <c r="CJ108" s="4073" t="str">
        <f>+IF(AY106="","",AY106*(1-CO108))</f>
        <v/>
      </c>
      <c r="CK108" s="4019" t="str">
        <f>+IF($BB108="","",IF(OR($AW108="",CI108=""),"",CI108/2000*$AW108))</f>
        <v/>
      </c>
      <c r="CL108" s="4020" t="str">
        <f>+IF($BB108="","",IF(CK108="","",$AZ108-CK108))</f>
        <v/>
      </c>
      <c r="CM108" s="4021" t="str">
        <f>+IF($BB108="","",IF(CL108="","",CL108/$AZ108))</f>
        <v/>
      </c>
      <c r="CN108" s="4021" t="str">
        <f>+IF($BB108="","",IF(CI108="","",(1-CI108/$AX108)))</f>
        <v/>
      </c>
      <c r="CO108" s="4022"/>
      <c r="CP108" s="4023"/>
      <c r="CQ108" s="1374" t="str">
        <f t="shared" si="861"/>
        <v/>
      </c>
      <c r="CR108" s="1042"/>
      <c r="CS108" s="2765"/>
      <c r="CT108" s="1591"/>
      <c r="CU108" s="1496"/>
      <c r="CV108" s="1872" t="str">
        <f t="shared" si="704"/>
        <v/>
      </c>
      <c r="CW108" s="1873"/>
      <c r="CX108" s="1873"/>
      <c r="CY108" s="1874"/>
      <c r="CZ108" s="2478"/>
      <c r="DA108" s="2488"/>
      <c r="DB108" s="2488"/>
      <c r="DC108" s="1872"/>
      <c r="DD108" s="1876"/>
      <c r="DE108" s="1877"/>
      <c r="DF108" s="1878"/>
      <c r="DG108" s="1878"/>
      <c r="DH108" s="1876"/>
      <c r="DI108" s="1693" t="str">
        <f t="shared" si="779"/>
        <v/>
      </c>
      <c r="DJ108" s="1938"/>
      <c r="DK108" s="1591"/>
      <c r="DL108" s="1496"/>
      <c r="DM108" s="1872" t="str">
        <f t="shared" si="705"/>
        <v/>
      </c>
      <c r="DN108" s="1873"/>
      <c r="DO108" s="1873"/>
      <c r="DP108" s="1874"/>
      <c r="DQ108" s="2478"/>
      <c r="DR108" s="2488"/>
      <c r="DS108" s="2488"/>
      <c r="DT108" s="1872"/>
      <c r="DU108" s="1876"/>
      <c r="DV108" s="1877"/>
      <c r="DW108" s="1878"/>
      <c r="DX108" s="1878"/>
      <c r="DY108" s="1876"/>
      <c r="DZ108" s="1693" t="str">
        <f t="shared" si="664"/>
        <v/>
      </c>
      <c r="EA108" s="1938"/>
      <c r="EB108" s="1496" t="str">
        <f t="shared" si="775"/>
        <v/>
      </c>
      <c r="EC108" s="1963" t="str">
        <f t="shared" si="822"/>
        <v/>
      </c>
      <c r="ED108" s="1415" t="str">
        <f t="shared" si="858"/>
        <v/>
      </c>
      <c r="EE108" s="1875"/>
      <c r="EF108" s="1733"/>
      <c r="EG108" s="1874"/>
      <c r="EH108" s="1693" t="str">
        <f t="shared" si="740"/>
        <v/>
      </c>
      <c r="EI108" s="1877"/>
      <c r="EJ108" s="1878"/>
      <c r="EK108" s="2010"/>
      <c r="EL108" s="1459"/>
      <c r="EM108" s="1877"/>
      <c r="EN108" s="1878"/>
      <c r="EO108" s="2010"/>
      <c r="EP108" s="1693" t="str">
        <f t="shared" si="776"/>
        <v/>
      </c>
      <c r="EQ108" s="2561"/>
      <c r="ER108" s="2561"/>
      <c r="ES108" s="2561"/>
      <c r="ET108" s="1459" t="str">
        <f t="shared" si="866"/>
        <v/>
      </c>
      <c r="EU108" s="1427"/>
      <c r="EV108" s="1392"/>
      <c r="EW108" s="2585"/>
      <c r="EX108" s="2585"/>
      <c r="EY108" s="2692" t="str">
        <f t="shared" si="867"/>
        <v/>
      </c>
      <c r="EZ108" s="2721"/>
      <c r="FA108" s="1392"/>
      <c r="FB108" s="1500" t="str">
        <f t="shared" si="515"/>
        <v/>
      </c>
      <c r="FC108" s="1496" t="str">
        <f t="shared" si="516"/>
        <v/>
      </c>
      <c r="FD108" s="2050" t="str">
        <f t="shared" si="517"/>
        <v/>
      </c>
      <c r="FE108" s="2034" t="str">
        <f t="shared" si="509"/>
        <v/>
      </c>
      <c r="FF108" s="2050" t="str">
        <f t="shared" si="518"/>
        <v/>
      </c>
      <c r="FG108" s="2034" t="str">
        <f t="shared" si="519"/>
        <v/>
      </c>
      <c r="FH108" s="2050" t="str">
        <f t="shared" si="520"/>
        <v/>
      </c>
      <c r="FI108" s="2034" t="str">
        <f t="shared" si="510"/>
        <v/>
      </c>
      <c r="FJ108" s="2796" t="str">
        <f t="shared" si="521"/>
        <v/>
      </c>
      <c r="FK108" s="2812" t="str">
        <f t="shared" si="522"/>
        <v/>
      </c>
      <c r="FL108" s="2784" t="str">
        <f t="shared" si="523"/>
        <v/>
      </c>
      <c r="FM108" s="2034" t="str">
        <f t="shared" si="524"/>
        <v/>
      </c>
      <c r="FN108" s="2784" t="str">
        <f t="shared" si="525"/>
        <v/>
      </c>
      <c r="FO108" s="2774" t="str">
        <f t="shared" si="526"/>
        <v/>
      </c>
      <c r="FP108" s="2784" t="str">
        <f t="shared" si="527"/>
        <v/>
      </c>
      <c r="FQ108" s="2774" t="str">
        <f t="shared" si="528"/>
        <v/>
      </c>
      <c r="FR108" s="2848" t="str">
        <f t="shared" si="529"/>
        <v/>
      </c>
      <c r="FS108" s="2830" t="str">
        <f t="shared" si="530"/>
        <v/>
      </c>
      <c r="FT108" s="1513" t="str">
        <f t="shared" si="531"/>
        <v/>
      </c>
      <c r="FU108" s="2895" t="str">
        <f t="shared" si="532"/>
        <v/>
      </c>
      <c r="FV108" s="1534" t="str">
        <f t="shared" si="533"/>
        <v/>
      </c>
      <c r="FW108" s="2112" t="str">
        <f t="shared" si="534"/>
        <v/>
      </c>
      <c r="FX108" s="1740" t="str">
        <f t="shared" si="535"/>
        <v/>
      </c>
      <c r="FY108" s="2113" t="str">
        <f t="shared" si="536"/>
        <v/>
      </c>
      <c r="FZ108" s="1740" t="str">
        <f t="shared" si="537"/>
        <v/>
      </c>
      <c r="GA108" s="1740" t="str">
        <f t="shared" si="538"/>
        <v/>
      </c>
      <c r="GB108" s="2113" t="str">
        <f t="shared" si="539"/>
        <v/>
      </c>
      <c r="GC108" s="1740" t="str">
        <f t="shared" si="540"/>
        <v/>
      </c>
      <c r="GD108" s="1740" t="str">
        <f t="shared" si="541"/>
        <v/>
      </c>
      <c r="GE108" s="1616" t="str">
        <f t="shared" si="542"/>
        <v/>
      </c>
      <c r="GF108" s="2147" t="str">
        <f t="shared" si="741"/>
        <v/>
      </c>
      <c r="GG108" s="2172" t="str">
        <f t="shared" si="544"/>
        <v/>
      </c>
      <c r="GH108" s="3180" t="str">
        <f t="shared" si="868"/>
        <v/>
      </c>
      <c r="GI108" s="3200" t="s">
        <v>939</v>
      </c>
      <c r="GJ108" s="3205"/>
      <c r="GK108" s="3454" t="str">
        <f t="shared" si="423"/>
        <v/>
      </c>
      <c r="GL108" s="3251" t="str">
        <f t="shared" si="546"/>
        <v/>
      </c>
      <c r="GM108" s="457"/>
      <c r="GN108" s="459"/>
      <c r="GO108" s="1877"/>
      <c r="GP108" s="2010"/>
      <c r="GQ108" s="1459" t="str">
        <f t="shared" si="582"/>
        <v/>
      </c>
      <c r="GR108" s="2325"/>
      <c r="GS108" s="2325"/>
      <c r="GT108" s="460"/>
      <c r="GU108" s="2336" t="str">
        <f t="shared" si="862"/>
        <v/>
      </c>
      <c r="GV108" s="458" t="str">
        <f t="shared" si="869"/>
        <v/>
      </c>
      <c r="GW108" s="2260" t="str">
        <f t="shared" si="870"/>
        <v/>
      </c>
      <c r="GX108" s="460" t="str">
        <f t="shared" si="871"/>
        <v/>
      </c>
      <c r="GY108" s="460" t="str">
        <f t="shared" si="872"/>
        <v/>
      </c>
      <c r="GZ108" s="460" t="str">
        <f t="shared" si="873"/>
        <v/>
      </c>
      <c r="HA108" s="1693" t="str">
        <f t="shared" si="874"/>
        <v/>
      </c>
      <c r="HB108" s="2234" t="str">
        <f t="shared" si="432"/>
        <v/>
      </c>
      <c r="HC108" s="2344" t="str">
        <f t="shared" si="875"/>
        <v/>
      </c>
      <c r="HD108" s="2350" t="str">
        <f t="shared" si="375"/>
        <v/>
      </c>
      <c r="HE108" s="457"/>
      <c r="HF108" s="3256" t="str">
        <f t="shared" si="555"/>
        <v/>
      </c>
      <c r="HG108" s="459"/>
      <c r="HH108" s="2994"/>
      <c r="HI108" s="3021" t="str">
        <f t="shared" si="876"/>
        <v/>
      </c>
      <c r="HJ108" s="1733" t="str">
        <f t="shared" si="877"/>
        <v/>
      </c>
      <c r="HK108" s="1733" t="str">
        <f t="shared" si="878"/>
        <v/>
      </c>
      <c r="HL108" s="1733" t="str">
        <f t="shared" si="879"/>
        <v/>
      </c>
      <c r="HM108" s="3025" t="str">
        <f t="shared" si="880"/>
        <v/>
      </c>
      <c r="HN108" s="3026" t="str">
        <f t="shared" si="881"/>
        <v/>
      </c>
      <c r="HO108" s="2965" t="str">
        <f t="shared" si="882"/>
        <v/>
      </c>
      <c r="HP108" s="2488" t="str">
        <f t="shared" si="883"/>
        <v/>
      </c>
      <c r="HQ108" s="3011" t="str">
        <f t="shared" si="556"/>
        <v/>
      </c>
      <c r="HR108" s="1874" t="str">
        <f t="shared" si="557"/>
        <v/>
      </c>
      <c r="HS108" s="1874" t="str">
        <f t="shared" si="558"/>
        <v/>
      </c>
      <c r="HT108" s="2952" t="str">
        <f t="shared" si="884"/>
        <v/>
      </c>
      <c r="HU108" s="2954" t="str">
        <f t="shared" si="885"/>
        <v/>
      </c>
      <c r="HV108" s="2952" t="str">
        <f t="shared" si="559"/>
        <v/>
      </c>
      <c r="HW108" s="2954" t="str">
        <f t="shared" si="560"/>
        <v/>
      </c>
      <c r="HX108" s="3034" t="str">
        <f t="shared" si="199"/>
        <v/>
      </c>
      <c r="HY108" s="2953" t="str">
        <f t="shared" si="886"/>
        <v/>
      </c>
      <c r="HZ108" s="2954" t="str">
        <f t="shared" si="887"/>
        <v/>
      </c>
      <c r="IA108" s="1496" t="str">
        <f t="shared" si="888"/>
        <v/>
      </c>
      <c r="IB108" s="3038" t="str">
        <f t="shared" si="564"/>
        <v/>
      </c>
      <c r="IC108" s="3053" t="str">
        <f t="shared" si="889"/>
        <v/>
      </c>
      <c r="ID108" s="1300"/>
      <c r="IE108" s="4106"/>
      <c r="IF108" s="4114" t="str">
        <f t="shared" si="780"/>
        <v/>
      </c>
      <c r="IG108" s="6779"/>
      <c r="IH108" s="4090" t="str">
        <f t="shared" si="781"/>
        <v/>
      </c>
      <c r="II108" s="6797"/>
      <c r="IJ108" s="4106" t="str">
        <f t="shared" si="782"/>
        <v/>
      </c>
      <c r="IK108" s="4143">
        <v>0</v>
      </c>
      <c r="IL108" s="4196" t="str">
        <f>+IF(IF108="","",IK108*#REF!*IF108)</f>
        <v/>
      </c>
      <c r="IM108" s="4197" t="str">
        <f>IF(HM108="","",IK108*#REF!*IA108)</f>
        <v/>
      </c>
      <c r="IN108" s="4221" t="str">
        <f t="shared" si="783"/>
        <v/>
      </c>
      <c r="IO108" s="4221" t="str">
        <f t="shared" si="784"/>
        <v/>
      </c>
      <c r="IP108" s="7234"/>
      <c r="IQ108" s="7242"/>
      <c r="IR108" s="7234"/>
      <c r="IS108" s="7242"/>
      <c r="IT108" s="4221" t="str">
        <f t="shared" si="789"/>
        <v/>
      </c>
      <c r="IU108" s="6852"/>
      <c r="IV108" s="7268"/>
      <c r="IW108" s="7254" t="str">
        <f>IF(IA108="","",IF(HA108="","",#REF!*IA108))</f>
        <v/>
      </c>
      <c r="IX108" s="4188" t="str">
        <f t="shared" si="792"/>
        <v/>
      </c>
      <c r="IY108" s="4256" t="str">
        <f t="shared" si="793"/>
        <v/>
      </c>
      <c r="IZ108" s="4301" t="str">
        <f t="shared" si="794"/>
        <v/>
      </c>
      <c r="JA108" s="4302" t="str">
        <f t="shared" si="821"/>
        <v/>
      </c>
      <c r="JB108" s="4157"/>
      <c r="JC108" s="4339"/>
      <c r="JD108" s="3256" t="str">
        <f t="shared" si="796"/>
        <v/>
      </c>
      <c r="JE108" s="4364" t="str">
        <f t="shared" si="797"/>
        <v/>
      </c>
      <c r="JF108" s="7041" t="str">
        <f>+IF(D108="","",IF(T108="",IF(T107="",T106/IF(Y106="TP",2,1),T107/IF(Y107="TP",2,1)),T108/IF(Y108="TP",2,1)))</f>
        <v/>
      </c>
      <c r="JG108" s="7057"/>
      <c r="JH108" s="6972"/>
      <c r="JI108" s="6972"/>
      <c r="JJ108" s="6972"/>
      <c r="JK108" s="6972"/>
      <c r="JL108" s="7009"/>
      <c r="JM108" s="7051"/>
      <c r="JN108" s="1733" t="str">
        <f t="shared" si="637"/>
        <v/>
      </c>
      <c r="JO108" s="1733"/>
      <c r="JP108" s="7082"/>
      <c r="JQ108" s="7082"/>
      <c r="JR108" s="7057"/>
      <c r="JS108" s="7063"/>
      <c r="JT108" s="7169" t="str">
        <f t="shared" si="476"/>
        <v/>
      </c>
      <c r="JU108" s="7170"/>
      <c r="JV108" s="8379"/>
      <c r="JW108" s="8406"/>
      <c r="JX108" s="8435"/>
      <c r="JY108" s="8470" t="str">
        <f t="shared" si="921"/>
        <v/>
      </c>
      <c r="JZ108" s="7171"/>
      <c r="KA108" s="7169"/>
      <c r="KB108" s="7170"/>
      <c r="KC108" s="7171"/>
      <c r="KD108" s="7169"/>
      <c r="KE108" s="8343"/>
      <c r="KF108" s="8343"/>
      <c r="KG108" s="7170"/>
      <c r="KH108" s="7170"/>
      <c r="KI108" s="7170"/>
      <c r="KJ108" s="7170"/>
      <c r="KK108" s="7170"/>
      <c r="KL108" s="7170"/>
      <c r="KM108" s="7170"/>
      <c r="KN108" s="7170"/>
      <c r="KO108" s="7170"/>
      <c r="KP108" s="7171"/>
      <c r="KQ108" s="7213" t="str">
        <f>+IF(D108="","",VLOOKUP(MATCH(BE108,ac_id,0),ad,ac!$F$8,FALSE)*JV108)</f>
        <v/>
      </c>
      <c r="KR108" s="7082" t="str">
        <f>+IF(D108="","",IF(JT108=1,VLOOKUP(MATCH(BE108,ac_id,0),ad,ac!$H$8,FALSE)*JU108, (VLOOKUP(MATCH(BE108,ac_id,0),ad,ac!$H$8,FALSE)*JU108^(1+VLOOKUP(MATCH(BE108,ac_id,0),ad,ac!$I$8,FALSE)))))</f>
        <v/>
      </c>
      <c r="KS108" s="7063"/>
      <c r="KT108" s="7213" t="str">
        <f>+IF(D108="","",IF(KR108="","",$KT$26*KR108))</f>
        <v/>
      </c>
      <c r="KU108" s="7057" t="str">
        <f t="shared" si="666"/>
        <v/>
      </c>
      <c r="KV108" s="7393" t="str">
        <f t="shared" si="667"/>
        <v/>
      </c>
      <c r="KW108" s="7394" t="str">
        <f>IF(JS108="","",IF(KV108=2,#REF!,$KW$5)*JS108)</f>
        <v/>
      </c>
      <c r="KX108" s="7063" t="str">
        <f>+IF(D108="","",IF(KW108="","",IF(KT108="",0,KT108)+IF(KU108="",0,KU108)+KW108))</f>
        <v/>
      </c>
      <c r="KY108" s="7357" t="str">
        <f>+IF(D108="","",IF(KW108="","",KQ108+KR108+KX108))</f>
        <v/>
      </c>
      <c r="KZ108" s="7358"/>
      <c r="LA108" s="7359" t="str">
        <f t="shared" si="668"/>
        <v/>
      </c>
      <c r="LB108" s="7360" t="str">
        <f t="shared" si="669"/>
        <v/>
      </c>
      <c r="LC108" s="5133"/>
      <c r="LD108" s="5132"/>
      <c r="LE108" s="5132"/>
      <c r="LF108" s="5132"/>
      <c r="LG108" s="5132"/>
      <c r="LH108" s="5132"/>
      <c r="LI108" s="5132"/>
      <c r="LJ108" s="5132"/>
    </row>
    <row r="109" spans="1:322" s="13" customFormat="1" ht="27.95" customHeight="1">
      <c r="A109" s="10538" t="str">
        <f>+O109</f>
        <v>8305-02</v>
      </c>
      <c r="B109" s="10521" t="str">
        <f>+IF(A109="","",VLOOKUP(MATCH(A109,tid,0),tao,'12(id)'!$J$20,FALSE))</f>
        <v>PSEG</v>
      </c>
      <c r="C109" s="10549" t="str">
        <f>+Q109</f>
        <v>BHB2</v>
      </c>
      <c r="D109" s="3337" t="str">
        <f t="shared" si="859"/>
        <v>8305-02-01</v>
      </c>
      <c r="E109" s="3339" t="str">
        <f t="shared" si="863"/>
        <v>Selective Catalytic Reduction (SCR)</v>
      </c>
      <c r="F109" s="3339" t="str">
        <f t="shared" si="777"/>
        <v>SCR</v>
      </c>
      <c r="G109" s="5133"/>
      <c r="H109" s="5132"/>
      <c r="I109" s="5133"/>
      <c r="J109" s="745">
        <f t="shared" si="820"/>
        <v>75</v>
      </c>
      <c r="K109" s="10541">
        <f>1+K106</f>
        <v>9</v>
      </c>
      <c r="L109" s="9518"/>
      <c r="M109" s="10557"/>
      <c r="N109" s="9699"/>
      <c r="O109" s="9707" t="s">
        <v>291</v>
      </c>
      <c r="P109" s="9709" t="str">
        <f>+IF(O109="","",VLOOKUP(MATCH(O109,tid,0),tao,'12(id)'!$L$20,FALSE))</f>
        <v>Bridgeport Harbor Station</v>
      </c>
      <c r="Q109" s="9710" t="str">
        <f>+IF(ISERROR(MATCH(O109,tid,0)),"",VLOOKUP(MATCH(O109,tid,0),tao,'12(id)'!$Q$20,FALSE))</f>
        <v>BHB2</v>
      </c>
      <c r="R109" s="10533">
        <v>1</v>
      </c>
      <c r="S109" s="9710"/>
      <c r="T109" s="10532">
        <f>+IF(ISERROR(MATCH(O109,tid,0)),"",IF(VLOOKUP(MATCH(O109,tid,0),tao,'12(id)'!$CT$20,FALSE)="","",VLOOKUP(MATCH(O109,tid,0),tao,'12(id)'!$CT$20,FALSE)))</f>
        <v>170</v>
      </c>
      <c r="U109" s="10529">
        <f>+IF(ISERROR(MATCH(O109,tid,0)),"",IF(VLOOKUP(MATCH(O109,tid,0),tao,'12(id)'!$CU$20,FALSE)="","",VLOOKUP(MATCH(O109,tid,0),tao,'12(id)'!$CU$20,FALSE)))</f>
        <v>602</v>
      </c>
      <c r="V109" s="10447" t="str">
        <f>+IF(O109="","",IF(VLOOKUP(MATCH(O109,tid,0),tao,'12(id)'!$T$20,FALSE)="","",VLOOKUP(MATCH(O109,tid,0),tao,'12(id)'!$T$20,FALSE)))</f>
        <v>Utility Boiler</v>
      </c>
      <c r="W109" s="10447" t="str">
        <f>+IF(ISERROR(MATCH(O109,tid,0)),"",IF(VLOOKUP(MATCH(O109,tid,0),tao,'12(id)'!$CO$20,FALSE)="","",VLOOKUP(MATCH(O109,tid,0),tao,'12(id)'!$CO$20,FALSE)))</f>
        <v>Babcock and Wilcox</v>
      </c>
      <c r="X109" s="10446" t="str">
        <f>+IF(ISERROR(MATCH(O109,tid,0)),"",IF(VLOOKUP(MATCH(O109,tid,0),tao,'12(id)'!$CP$20,FALSE)="","",VLOOKUP(MATCH(O109,tid,0),tao,'12(id)'!$CP$20,FALSE)))</f>
        <v/>
      </c>
      <c r="Y109" s="2421" t="str">
        <f>+IF(ISERROR(MATCH(O109,tid,0)),"",IF(VLOOKUP(MATCH(O109,tid,0),tao,'12(id)'!$CQ$20,FALSE)="","",VLOOKUP(MATCH(O109,tid,0),tao,'12(id)'!$CQ$20,FALSE)))</f>
        <v/>
      </c>
      <c r="Z109" s="10445" t="str">
        <f>+IF(ISERROR(MATCH(O109,tid,0)),"",VLOOKUP(MATCH(O109,tid,0),tao,'12(id)'!$DB$20,FALSE)&amp;" "&amp;VLOOKUP(MATCH(O109,tid,0),tao,'12(id)'!$DC$20,FALSE))</f>
        <v>Aug 1961</v>
      </c>
      <c r="AA109" s="10445" t="str">
        <f ca="1">+IF(ISERROR(MATCH(O109,tid,0)),"",IF(VLOOKUP(MATCH(O109,tid,0),tao,'12(id)'!$DE$20,FALSE)="","",ROUND(VLOOKUP(MATCH(O109,tid,0),tao,'12(id)'!$DE$20,FALSE),0)&amp;" yrs"))</f>
        <v>54 yrs</v>
      </c>
      <c r="AB109" s="9732" t="str">
        <f>+IF(ISERROR(MATCH(O109,tid,0)),"",VLOOKUP(MATCH(O109,tid,0),tao,'12(id)'!$DI$20,FALSE))</f>
        <v>No. 6 oil</v>
      </c>
      <c r="AC109" s="9732" t="str">
        <f>+IF(ISERROR(MATCH(O109,tid,0)),"",IF(VLOOKUP(MATCH(O109,tid,0),tao,'12(id)'!$DQ$20,FALSE)="","",VLOOKUP(MATCH(O109,tid,0),tao,'12(id)'!$DQ$20,FALSE)))</f>
        <v>No. 2 oil</v>
      </c>
      <c r="AD109" s="10411" t="str">
        <f>+IF(ISERROR(MATCH(O109,tid,0)),"",IF(VLOOKUP(MATCH(O109,tid,0),tao,'12(id)'!$EI$20,FALSE)="","",VLOOKUP(MATCH(O109,tid,0),tao,'12(id)'!$EI$20,FALSE)))</f>
        <v/>
      </c>
      <c r="AE109" s="10411" t="str">
        <f>+IF(ISERROR(MATCH(O109,tid,0)),"",IF(VLOOKUP(MATCH(O109,tid,0),tao,'12(id)'!$EJ$20,FALSE)="","",VLOOKUP(MATCH(O109,tid,0),tao,'12(id)'!$EJ$20,FALSE)))</f>
        <v/>
      </c>
      <c r="AF109" s="10411" t="str">
        <f>+IF(ISERROR(MATCH(O109,tid,0)),"",IF(VLOOKUP(MATCH(O109,tid,0),tao,'12(id)'!$EL$20,FALSE)="","",VLOOKUP(MATCH(O109,tid,0),tao,'12(id)'!$EL$20,FALSE)))</f>
        <v/>
      </c>
      <c r="AG109" s="10408" t="str">
        <f>+IF(ISERROR(MATCH(O109,tid,0)),"",IF(VLOOKUP(MATCH(O109,tid,0),tao,'12(id)'!$EM$20,FALSE)="","",VLOOKUP(MATCH(O109,tid,0),tao,'12(id)'!$EM$20,FALSE)))</f>
        <v/>
      </c>
      <c r="AH109" s="10436" t="str">
        <f>+AH106</f>
        <v>48 hrs/year operation</v>
      </c>
      <c r="AI109" s="10441"/>
      <c r="AJ109" s="10441"/>
      <c r="AK109" s="10441"/>
      <c r="AL109" s="10441"/>
      <c r="AM109" s="10432"/>
      <c r="AN109" s="10423" t="str">
        <f>+AN106</f>
        <v>2010-2009 average</v>
      </c>
      <c r="AO109" s="10425" t="str">
        <f>+IF(ISERROR(MATCH(O109,tid,0)),"",IF(VLOOKUP(MATCH(O109,tid,0),tao,'12(id)'!$GY$20,FALSE)="","",VLOOKUP(MATCH(O109,tid,0),tao,'12(id)'!$GY$20,FALSE)))</f>
        <v/>
      </c>
      <c r="AP109" s="10377" t="str">
        <f>+IF($BB109="","",IF(VLOOKUP(MATCH(O109,tid,0),tao,'12(id)'!$HE$20,FALSE)="","",VLOOKUP(MATCH(O109,tid,0),tao,'12(id)'!$HE$20,FALSE)))</f>
        <v/>
      </c>
      <c r="AQ109" s="10406" t="str">
        <f>+IF(ISERROR(VLOOKUP(MATCH(O109,tid,0),tao,'12(id)'!$HF$20,FALSE)),"",VLOOKUP(MATCH(O109,tid,0),tao,'12(id)'!$HF$20,FALSE))</f>
        <v/>
      </c>
      <c r="AR109" s="10417" t="str">
        <f>+IF(ISERROR(MATCH(O109,tid,0)),"",IF(VLOOKUP(MATCH(O109,tid,0),tao,'12(id)'!$HJ$20,FALSE)="","",VLOOKUP(MATCH(O109,tid,0),tao,'12(id)'!$HJ$20,FALSE)))</f>
        <v/>
      </c>
      <c r="AS109" s="10419" t="str">
        <f>+IF(ISERROR(MATCH(O109,tid,0)),"",IF(VLOOKUP(MATCH(O109,tid,0),tao,'12(id)'!$HK$20,FALSE)="","",VLOOKUP(MATCH(O109,tid,0),tao,'12(id)'!$HK$20,FALSE)))</f>
        <v/>
      </c>
      <c r="AT109" s="10466" t="str">
        <f>+IF(ISERROR(MATCH(O109,tid,0)),"",IF(VLOOKUP(MATCH(O109,tid,0),tao,'12(id)'!$HM$20,FALSE)="","",VLOOKUP(MATCH(O109,tid,0),tao,'12(id)'!$HM$20,FALSE)))</f>
        <v/>
      </c>
      <c r="AU109" s="10470" t="str">
        <f>+AU106</f>
        <v>CAIR-OS (max last 3 yrs)</v>
      </c>
      <c r="AV109" s="10473">
        <f>+IF(ISERROR(MATCH(O109,em_id,0)),"",IF(VLOOKUP(MATCH(O109,em_id,0),em,'5(em)'!$CX$18,FALSE)="","",VLOOKUP(MATCH(O109,em_id,0),em,'5(em)'!$CX$18,FALSE)))</f>
        <v>122</v>
      </c>
      <c r="AW109" s="10489">
        <f>+IF(ISERROR(MATCH(O109,em_id,0)),"",IF(VLOOKUP(MATCH(O109,em_id,0),em,'5(em)'!$CZ$18,FALSE)="","",VLOOKUP(MATCH(O109,em_id,0),em,'5(em)'!$CZ$18,FALSE)))</f>
        <v>85201</v>
      </c>
      <c r="AX109" s="10478">
        <f t="shared" si="860"/>
        <v>0.28000000000000003</v>
      </c>
      <c r="AY109" s="10480"/>
      <c r="AZ109" s="10482">
        <f>+IF(ISERROR(MATCH(O109,em_id,0)),"",IF(VLOOKUP(MATCH(O109,em_id,0),em,'5(em)'!$DA$18,FALSE)="","",VLOOKUP(MATCH(O109,em_id,0),em,'5(em)'!$DA$18,FALSE)))</f>
        <v>11.8</v>
      </c>
      <c r="BA109" s="3338"/>
      <c r="BB109" s="4456" t="str">
        <f t="shared" si="778"/>
        <v>8305-02-01</v>
      </c>
      <c r="BC109" s="3337">
        <v>1</v>
      </c>
      <c r="BD109" s="3339" t="str">
        <f>+IF(OR(D109="",VLOOKUP(MATCH(D109,op_id,0),op,'7(op)'!$T$18,FALSE)=""),"",VLOOKUP(MATCH(D109,op_id,0),op,'7(op)'!$T$18,FALSE))</f>
        <v>Selective Catalytic Reduction (SCR)</v>
      </c>
      <c r="BE109" s="3339" t="s">
        <v>1093</v>
      </c>
      <c r="BF109" s="3339" t="s">
        <v>1862</v>
      </c>
      <c r="BG109" s="3340"/>
      <c r="BH109" s="3341"/>
      <c r="BI109" s="3342"/>
      <c r="BJ109" s="3342"/>
      <c r="BK109" s="3342"/>
      <c r="BL109" s="3342"/>
      <c r="BM109" s="3342"/>
      <c r="BN109" s="3342" t="str">
        <f t="shared" si="854"/>
        <v/>
      </c>
      <c r="BO109" s="3342" t="str">
        <f t="shared" si="855"/>
        <v/>
      </c>
      <c r="BP109" s="3342" t="str">
        <f t="shared" si="856"/>
        <v/>
      </c>
      <c r="BQ109" s="3342" t="str">
        <f t="shared" si="857"/>
        <v/>
      </c>
      <c r="BR109" s="3343"/>
      <c r="BS109" s="3344"/>
      <c r="BT109" s="3345"/>
      <c r="BU109" s="3717" t="str">
        <f>+IF(BB109="","",IF(VLOOKUP(MATCH(BB109,ef_id,0),ef,'11(eff)'!$Z$23,FALSE)="","",VLOOKUP(MATCH(BB109,ef_id,0),ef,'11(eff)'!$Z$23,FALSE)))</f>
        <v/>
      </c>
      <c r="BV109" s="3762" t="str">
        <f>+IF(BB109="","",IF(VLOOKUP(MATCH(BB109,ef_id,0),ef,'11(eff)'!$AA$23,FALSE)="","",VLOOKUP(MATCH(BB109,ef_id,0),ef,'11(eff)'!$AA$23,FALSE)))</f>
        <v/>
      </c>
      <c r="BW109" s="3784"/>
      <c r="BX109" s="3805" t="str">
        <f t="shared" si="864"/>
        <v/>
      </c>
      <c r="BY109" s="1077" t="str">
        <f t="shared" si="512"/>
        <v/>
      </c>
      <c r="BZ109" s="3259"/>
      <c r="CA109" s="3419"/>
      <c r="CB109" s="3857">
        <f>+IF(OR(BX109="",BX109=0),IF(CA109="",IF(GJ109="","",GI109/GJ109/R109),CA109),AT109-BX109)</f>
        <v>2.0554734772172343</v>
      </c>
      <c r="CC109" s="3877" t="str">
        <f t="shared" si="865"/>
        <v/>
      </c>
      <c r="CD109" s="3877" t="str">
        <f t="shared" si="514"/>
        <v/>
      </c>
      <c r="CE109" s="3346">
        <f>+IF(BB109="","",IF(VLOOKUP(MATCH(BB109,ef_id,0),ef,'11(eff)'!$AE$23,FALSE)="","",VLOOKUP(MATCH(BB109,ef_id,0),ef,'11(eff)'!$AE$23,FALSE)))</f>
        <v>0.9</v>
      </c>
      <c r="CF109" s="3341"/>
      <c r="CG109" s="3347"/>
      <c r="CH109" s="3348"/>
      <c r="CI109" s="4024">
        <f t="shared" si="628"/>
        <v>2.7699205408387217E-2</v>
      </c>
      <c r="CJ109" s="4074" t="str">
        <f>+IF(AY109="","",AY109*(1-CO109))</f>
        <v/>
      </c>
      <c r="CK109" s="4024">
        <f>+IF($BB109="","",IF(CI109="",IF($AZ109="",IF($AZ108="",$AZ107,$AZ108),$AZ109)-CL109,IF(OR(IF($AW109="",IF($AW108="",$AW107,$AW108),$AW109)="",CI109=""),"",CI109/2000*IF($AW109="",IF($AW108="",$AW107,$AW108),$AW109))))</f>
        <v>1.1799999999999995</v>
      </c>
      <c r="CL109" s="4025">
        <f>+IF($BB109="","",IF(CI109="",CO109*IF($AZ109="",IF($AZ108="",$AZ107,$AZ108),$AZ109),IF(CK109="","",IF($AZ109="",IF($AZ108="",$AZ107,$AZ108),$AZ109)-CK109)))</f>
        <v>10.620000000000001</v>
      </c>
      <c r="CM109" s="4026">
        <f>+IF($BB109="","",IF(CL109="","",CL109/IF($AZ109="",IF($AZ108="",$AZ107,$AZ108),$AZ109)))</f>
        <v>0.9</v>
      </c>
      <c r="CN109" s="4026">
        <f>+IF($BB109="","",IF(CI109="","",(1-CI109/IF($AX109="",IF($AX108="",$AX107,$AX108),$AX109))))</f>
        <v>0.9010742663986171</v>
      </c>
      <c r="CO109" s="4027">
        <f>+IF(BB109="","",IF(VLOOKUP(MATCH(BB109,ef_id,0),ef,'11(eff)'!$AE$23,FALSE)="","",VLOOKUP(MATCH(BB109,ef_id,0),ef,'11(eff)'!$AE$23,FALSE)))</f>
        <v>0.9</v>
      </c>
      <c r="CP109" s="4028">
        <f>+IF(OR(BB109="",VLOOKUP(MATCH(BB109,ef_id,0),ef,'11(eff)'!$AG$23,FALSE)=""),"",IF(VLOOKUP(MATCH(BB109,ef_id,0),ef,'11(eff)'!$AG$23,FALSE)/100=VLOOKUP(MATCH(BB109,ef_id,0),ef,'11(eff)'!$AE$23,FALSE),VLOOKUP(MATCH(BB109,ef_id,0),ef,'11(eff)'!$AE$23,FALSE),""))</f>
        <v>0.9</v>
      </c>
      <c r="CQ109" s="3349" t="str">
        <f t="shared" si="861"/>
        <v>Selective Catalytic Reduction (SCR)</v>
      </c>
      <c r="CR109" s="3350"/>
      <c r="CS109" s="3351">
        <v>17483068</v>
      </c>
      <c r="CT109" s="3352">
        <v>17483068</v>
      </c>
      <c r="CU109" s="3353">
        <v>17483068</v>
      </c>
      <c r="CV109" s="3354">
        <f t="shared" si="704"/>
        <v>0</v>
      </c>
      <c r="CW109" s="3355"/>
      <c r="CX109" s="3355"/>
      <c r="CY109" s="3356"/>
      <c r="CZ109" s="3357"/>
      <c r="DA109" s="3358"/>
      <c r="DB109" s="3358"/>
      <c r="DC109" s="3354"/>
      <c r="DD109" s="3359"/>
      <c r="DE109" s="3360"/>
      <c r="DF109" s="3361"/>
      <c r="DG109" s="3361"/>
      <c r="DH109" s="3359"/>
      <c r="DI109" s="3362">
        <f t="shared" si="779"/>
        <v>17483068</v>
      </c>
      <c r="DJ109" s="3363"/>
      <c r="DK109" s="3352"/>
      <c r="DL109" s="3353"/>
      <c r="DM109" s="3354" t="str">
        <f t="shared" si="705"/>
        <v/>
      </c>
      <c r="DN109" s="3355"/>
      <c r="DO109" s="3355"/>
      <c r="DP109" s="3356"/>
      <c r="DQ109" s="3357"/>
      <c r="DR109" s="3358"/>
      <c r="DS109" s="3358"/>
      <c r="DT109" s="3354"/>
      <c r="DU109" s="3359"/>
      <c r="DV109" s="3360"/>
      <c r="DW109" s="3361"/>
      <c r="DX109" s="3361"/>
      <c r="DY109" s="3359"/>
      <c r="DZ109" s="3362" t="str">
        <f t="shared" si="664"/>
        <v/>
      </c>
      <c r="EA109" s="3363"/>
      <c r="EB109" s="3353">
        <f t="shared" si="775"/>
        <v>17483068</v>
      </c>
      <c r="EC109" s="3364">
        <f t="shared" si="822"/>
        <v>1</v>
      </c>
      <c r="ED109" s="3365">
        <f t="shared" si="858"/>
        <v>17483068</v>
      </c>
      <c r="EE109" s="1870"/>
      <c r="EF109" s="1734"/>
      <c r="EG109" s="1092"/>
      <c r="EH109" s="3362">
        <f t="shared" si="740"/>
        <v>0</v>
      </c>
      <c r="EI109" s="3360"/>
      <c r="EJ109" s="3361"/>
      <c r="EK109" s="3366"/>
      <c r="EL109" s="3367"/>
      <c r="EM109" s="3360"/>
      <c r="EN109" s="3361"/>
      <c r="EO109" s="3366"/>
      <c r="EP109" s="3362">
        <f t="shared" si="776"/>
        <v>0</v>
      </c>
      <c r="EQ109" s="3362"/>
      <c r="ER109" s="3362"/>
      <c r="ES109" s="3362"/>
      <c r="ET109" s="3367">
        <f t="shared" si="866"/>
        <v>0</v>
      </c>
      <c r="EU109" s="3368"/>
      <c r="EV109" s="3369"/>
      <c r="EW109" s="3370"/>
      <c r="EX109" s="3370"/>
      <c r="EY109" s="3371">
        <f t="shared" si="867"/>
        <v>17483068</v>
      </c>
      <c r="EZ109" s="3372"/>
      <c r="FA109" s="3369"/>
      <c r="FB109" s="3373">
        <f t="shared" si="515"/>
        <v>17483068</v>
      </c>
      <c r="FC109" s="1489">
        <f t="shared" si="516"/>
        <v>17483068</v>
      </c>
      <c r="FD109" s="2601">
        <f t="shared" si="517"/>
        <v>17483068</v>
      </c>
      <c r="FE109" s="2605">
        <f t="shared" si="509"/>
        <v>1</v>
      </c>
      <c r="FF109" s="2601">
        <f t="shared" si="518"/>
        <v>0</v>
      </c>
      <c r="FG109" s="2605">
        <f t="shared" si="519"/>
        <v>0</v>
      </c>
      <c r="FH109" s="2601">
        <f t="shared" si="520"/>
        <v>0</v>
      </c>
      <c r="FI109" s="2605">
        <f t="shared" si="510"/>
        <v>0</v>
      </c>
      <c r="FJ109" s="2606">
        <f t="shared" si="521"/>
        <v>17483068</v>
      </c>
      <c r="FK109" s="2605">
        <f t="shared" si="522"/>
        <v>1</v>
      </c>
      <c r="FL109" s="2634">
        <f t="shared" si="523"/>
        <v>0</v>
      </c>
      <c r="FM109" s="2605">
        <f t="shared" si="524"/>
        <v>0</v>
      </c>
      <c r="FN109" s="2601">
        <f t="shared" si="525"/>
        <v>0</v>
      </c>
      <c r="FO109" s="2605">
        <f t="shared" si="526"/>
        <v>0</v>
      </c>
      <c r="FP109" s="2601">
        <f t="shared" si="527"/>
        <v>0</v>
      </c>
      <c r="FQ109" s="2605">
        <f t="shared" si="528"/>
        <v>0</v>
      </c>
      <c r="FR109" s="2838">
        <f t="shared" si="529"/>
        <v>17483068</v>
      </c>
      <c r="FS109" s="1811" t="str">
        <f t="shared" si="530"/>
        <v/>
      </c>
      <c r="FT109" s="2062" t="str">
        <f t="shared" si="531"/>
        <v/>
      </c>
      <c r="FU109" s="2882">
        <f t="shared" si="532"/>
        <v>0</v>
      </c>
      <c r="FV109" s="3374">
        <f t="shared" si="533"/>
        <v>102841.57647058823</v>
      </c>
      <c r="FW109" s="3375">
        <f t="shared" si="534"/>
        <v>0</v>
      </c>
      <c r="FX109" s="3376">
        <f t="shared" si="535"/>
        <v>0</v>
      </c>
      <c r="FY109" s="3377">
        <f t="shared" si="536"/>
        <v>0</v>
      </c>
      <c r="FZ109" s="3376">
        <f t="shared" si="537"/>
        <v>0</v>
      </c>
      <c r="GA109" s="3376">
        <f t="shared" si="538"/>
        <v>0</v>
      </c>
      <c r="GB109" s="3377">
        <f t="shared" si="539"/>
        <v>0</v>
      </c>
      <c r="GC109" s="3376">
        <f t="shared" si="540"/>
        <v>0</v>
      </c>
      <c r="GD109" s="3376">
        <f t="shared" si="541"/>
        <v>0</v>
      </c>
      <c r="GE109" s="1611">
        <f t="shared" si="542"/>
        <v>17483068</v>
      </c>
      <c r="GF109" s="2137">
        <f t="shared" si="741"/>
        <v>17483068</v>
      </c>
      <c r="GG109" s="2160">
        <f t="shared" si="544"/>
        <v>0</v>
      </c>
      <c r="GH109" s="1750">
        <f t="shared" si="868"/>
        <v>102841.57647058823</v>
      </c>
      <c r="GI109" s="1611">
        <v>596854</v>
      </c>
      <c r="GJ109" s="2606">
        <v>290373</v>
      </c>
      <c r="GK109" s="3441">
        <f t="shared" si="423"/>
        <v>2.0554734772172343</v>
      </c>
      <c r="GL109" s="3378">
        <f t="shared" si="546"/>
        <v>0</v>
      </c>
      <c r="GM109" s="1226"/>
      <c r="GN109" s="1229"/>
      <c r="GO109" s="2285"/>
      <c r="GP109" s="2286"/>
      <c r="GQ109" s="3379" t="str">
        <f t="shared" si="582"/>
        <v/>
      </c>
      <c r="GR109" s="3380"/>
      <c r="GS109" s="3380"/>
      <c r="GT109" s="2214"/>
      <c r="GU109" s="2737">
        <f>+IF(OR(SUM(GQ109:GT109)=0,GT109=""),IF(GK109=1,GJ109*GK109,IF(GI109="","",GI109)),SUM(GQ109:GT109))</f>
        <v>596854</v>
      </c>
      <c r="GV109" s="1227" t="str">
        <f t="shared" si="869"/>
        <v/>
      </c>
      <c r="GW109" s="2249" t="str">
        <f t="shared" si="870"/>
        <v/>
      </c>
      <c r="GX109" s="2219" t="str">
        <f t="shared" si="871"/>
        <v/>
      </c>
      <c r="GY109" s="2219" t="str">
        <f t="shared" si="872"/>
        <v/>
      </c>
      <c r="GZ109" s="2214" t="str">
        <f t="shared" si="873"/>
        <v/>
      </c>
      <c r="HA109" s="1685" t="str">
        <f t="shared" si="874"/>
        <v/>
      </c>
      <c r="HB109" s="1334" t="str">
        <f t="shared" si="432"/>
        <v/>
      </c>
      <c r="HC109" s="3387">
        <f t="shared" si="875"/>
        <v>596854</v>
      </c>
      <c r="HD109" s="3381" t="str">
        <f t="shared" si="375"/>
        <v/>
      </c>
      <c r="HE109" s="1226"/>
      <c r="HF109" s="2554">
        <f t="shared" si="555"/>
        <v>290373</v>
      </c>
      <c r="HG109" s="1229"/>
      <c r="HH109" s="2982"/>
      <c r="HI109" s="3062">
        <f t="shared" si="876"/>
        <v>17483068</v>
      </c>
      <c r="HJ109" s="2440">
        <f t="shared" si="877"/>
        <v>0</v>
      </c>
      <c r="HK109" s="2440">
        <f t="shared" si="878"/>
        <v>0</v>
      </c>
      <c r="HL109" s="2440" t="str">
        <f t="shared" si="879"/>
        <v/>
      </c>
      <c r="HM109" s="3088">
        <f t="shared" si="880"/>
        <v>17483068</v>
      </c>
      <c r="HN109" s="3097">
        <f t="shared" si="881"/>
        <v>102841.57647058823</v>
      </c>
      <c r="HO109" s="1813" t="str">
        <f t="shared" si="882"/>
        <v/>
      </c>
      <c r="HP109" s="2440" t="str">
        <f t="shared" si="883"/>
        <v/>
      </c>
      <c r="HQ109" s="3382" t="str">
        <f t="shared" si="556"/>
        <v/>
      </c>
      <c r="HR109" s="1812" t="str">
        <f t="shared" si="557"/>
        <v/>
      </c>
      <c r="HS109" s="1812">
        <f t="shared" si="558"/>
        <v>0</v>
      </c>
      <c r="HT109" s="3111" t="str">
        <f t="shared" si="884"/>
        <v/>
      </c>
      <c r="HU109" s="3113" t="str">
        <f t="shared" si="885"/>
        <v/>
      </c>
      <c r="HV109" s="3111" t="str">
        <f t="shared" si="559"/>
        <v/>
      </c>
      <c r="HW109" s="3113" t="str">
        <f t="shared" si="560"/>
        <v/>
      </c>
      <c r="HX109" s="3004">
        <f t="shared" si="199"/>
        <v>17483068</v>
      </c>
      <c r="HY109" s="3075" t="str">
        <f t="shared" si="886"/>
        <v/>
      </c>
      <c r="HZ109" s="3113" t="str">
        <f t="shared" si="887"/>
        <v/>
      </c>
      <c r="IA109" s="1489">
        <f t="shared" si="888"/>
        <v>17483068</v>
      </c>
      <c r="IB109" s="3104" t="str">
        <f t="shared" si="564"/>
        <v>same TCC</v>
      </c>
      <c r="IC109" s="3383">
        <f t="shared" si="889"/>
        <v>102841.57647058823</v>
      </c>
      <c r="ID109" s="1206"/>
      <c r="IE109" s="4098"/>
      <c r="IF109" s="3004" t="str">
        <f t="shared" si="780"/>
        <v/>
      </c>
      <c r="IG109" s="6767"/>
      <c r="IH109" s="4166" t="str">
        <f t="shared" si="781"/>
        <v/>
      </c>
      <c r="II109" s="6804"/>
      <c r="IJ109" s="4167" t="str">
        <f t="shared" si="782"/>
        <v/>
      </c>
      <c r="IK109" s="4128">
        <v>0</v>
      </c>
      <c r="IL109" s="2440" t="str">
        <f t="shared" ref="IL109:IL111" si="922">+IF(IF109="","",IK109*$IL$8*IF109)</f>
        <v/>
      </c>
      <c r="IM109" s="1812">
        <f t="shared" ref="IM109:IM111" si="923">IF(HM109="","",IK109*$IM$8*IA109)</f>
        <v>0</v>
      </c>
      <c r="IN109" s="4226" t="str">
        <f t="shared" si="783"/>
        <v/>
      </c>
      <c r="IO109" s="4226" t="str">
        <f t="shared" si="784"/>
        <v/>
      </c>
      <c r="IP109" s="4226" t="str">
        <f t="shared" ref="IP109:IP111" si="924">+IF(BB109="","",IF(IJ109="","",IJ109/IF(R109="",IF(R108="",IF(R107="",R106,R107),R108),R109)))</f>
        <v/>
      </c>
      <c r="IQ109" s="6840" t="str">
        <f t="shared" ref="IQ109:IQ111" si="925">+IF(IP109="","",IP109/IX109)</f>
        <v/>
      </c>
      <c r="IR109" s="4226" t="str">
        <f t="shared" ref="IR109:IR111" si="926">+IF(BB109="","",IF(IN109="","",IN109/IF(R109="",IF(R108="",IF(R107="",R106,R107),R108),R109)))</f>
        <v/>
      </c>
      <c r="IS109" s="6840" t="str">
        <f t="shared" ref="IS109:IS111" si="927">+IF(IR109="","",IR109/IX109)</f>
        <v/>
      </c>
      <c r="IT109" s="4226" t="str">
        <f t="shared" si="789"/>
        <v/>
      </c>
      <c r="IU109" s="6840"/>
      <c r="IV109" s="4128">
        <f t="shared" ref="IV109:IV111" si="928">+IF(D109="","",IF(IF(V109="",IF(V108="",IF(V107="",V106,V107),V108),V109)="Utility Boiler",2,1))</f>
        <v>2</v>
      </c>
      <c r="IW109" s="1812">
        <f t="shared" ref="IW109:IW111" si="929">IF(IA109="","",IF(IV109=1,$IW$5,IF(IV109=2,$IW$8,""))*IA109)</f>
        <v>1311389.8755487727</v>
      </c>
      <c r="IX109" s="4193">
        <f t="shared" si="792"/>
        <v>1311389.8755487727</v>
      </c>
      <c r="IY109" s="4245">
        <f t="shared" si="793"/>
        <v>596854</v>
      </c>
      <c r="IZ109" s="4276">
        <f t="shared" si="794"/>
        <v>-1.1971702887955391</v>
      </c>
      <c r="JA109" s="4277">
        <f t="shared" ref="JA109:JA111" si="930">+IF(BB109="","",IF(ISERROR(IY109-IX109),"",IF((IY109-IX109)&gt;0,"stk added + "&amp;ROUND((IY109-IX109)/IY109*100,0)&amp;"%",IF(IY109=IX109,"same TAC",(IY109-IX109)/IY109))))</f>
        <v>-1.1971702887955391</v>
      </c>
      <c r="JB109" s="1207"/>
      <c r="JC109" s="4323"/>
      <c r="JD109" s="2554">
        <f t="shared" si="796"/>
        <v>637998.92826842715</v>
      </c>
      <c r="JE109" s="4358">
        <f t="shared" si="797"/>
        <v>123483.03912888632</v>
      </c>
      <c r="JF109" s="7029">
        <f>+IF(D109="","",IF(T109="",IF(T108="",T107/IF(Y107="TP",2,1),T108/IF(Y108="TP",2,1)),T109/IF(Y109="TP",2,1)))</f>
        <v>170</v>
      </c>
      <c r="JG109" s="2440" t="s">
        <v>1093</v>
      </c>
      <c r="JH109" s="6960">
        <f>+IF(D109="","",IF(HX109="","",HX109))</f>
        <v>17483068</v>
      </c>
      <c r="JI109" s="6960">
        <f>+JH109</f>
        <v>17483068</v>
      </c>
      <c r="JJ109" s="6960"/>
      <c r="JK109" s="6960"/>
      <c r="JL109" s="6997"/>
      <c r="JM109" s="1811">
        <f t="shared" ref="JM109:JM111" si="931">+IF(D109="","",IF(JG109="SCR",(JF109*49700+459000),IF(JG109="HPWI",(0.0353*JF109+0.2915)*(10^6),"N/A")))</f>
        <v>8908000</v>
      </c>
      <c r="JN109" s="2440">
        <f t="shared" si="637"/>
        <v>15410840</v>
      </c>
      <c r="JO109" s="2440">
        <f t="shared" si="717"/>
        <v>17483068</v>
      </c>
      <c r="JP109" s="3382"/>
      <c r="JQ109" s="3382"/>
      <c r="JR109" s="2440"/>
      <c r="JS109" s="1812">
        <f>+IF(D109="","",SUM(JO109:JR109))</f>
        <v>17483068</v>
      </c>
      <c r="JT109" s="7133">
        <f t="shared" si="476"/>
        <v>2</v>
      </c>
      <c r="JU109" s="7134">
        <f t="shared" ref="JU109:JU111" si="932">+IF(D109="","",IF(AV109="",IF(AV108="",IF(AV107="","",AV107),AV108),AV109))</f>
        <v>122</v>
      </c>
      <c r="JV109" s="8367">
        <f t="shared" ref="JV109:JV111" si="933">+IF(D109="","",IF(AW109="",IF(AW108="",IF(AW107="","",AW107),AW108),AW109))</f>
        <v>85201</v>
      </c>
      <c r="JW109" s="8394">
        <f t="shared" si="682"/>
        <v>10.620000000000001</v>
      </c>
      <c r="JX109" s="8423">
        <f t="shared" ref="JX109:JX111" si="934">+IF(OR(D109="",JU109=""),"",IF(JT109=2,24000/JU109,""))</f>
        <v>196.72131147540983</v>
      </c>
      <c r="JY109" s="8458">
        <f t="shared" si="921"/>
        <v>7.0000116060243603E-2</v>
      </c>
      <c r="JZ109" s="7135">
        <f t="shared" ref="JZ109:JZ111" si="935">+IF(OR(D109="",JU109="",ISERROR(JF109)),"",IF(JT109=2,JF109*6180/83,""))</f>
        <v>12657.831325301206</v>
      </c>
      <c r="KA109" s="7133" t="str">
        <f t="shared" ref="KA109:KA111" si="936">+IF(OR(D109="",JV109=""),"",IF(JT109=1,JV109*10^6/$KA$8/JU109,""))</f>
        <v/>
      </c>
      <c r="KB109" s="7134" t="str">
        <f t="shared" ref="KB109:KB111" si="937">+IF(OR(D109="",KA109=""),"",IF(JT109=1,KA109*$KB$8,""))</f>
        <v/>
      </c>
      <c r="KC109" s="7135" t="str">
        <f t="shared" ref="KC109:KC111" si="938">+IF(OR(D109="",KB109=""),"",IF(JT109=1,KB109*7.48/62.4/60,""))</f>
        <v/>
      </c>
      <c r="KD109" s="7133">
        <f t="shared" ref="KD109:KD111" si="939">+IF(OR(D109="",JV109=""),"",IF(JT109=1,$KD$5*JU109*$KD$6/1000,$KD$7*JU109*$KD$8/1000))</f>
        <v>5178.1679999999997</v>
      </c>
      <c r="KE109" s="8331">
        <f t="shared" ref="KE109:KE111" si="940">+IF(OR(D109="",JW109="",JW109=0),"",IF(JT109=2,JW109*$KE$8*$KG$4,""))</f>
        <v>6614.1360000000004</v>
      </c>
      <c r="KF109" s="8331">
        <f t="shared" ref="KF109:KF111" si="941">+IF(OR(D109="",JW109="",JW109=0),"",IF(JT109=2,JW109*(0.95/0.05)*(18/17)*($KF$8/1000)*(2000)*$KG$4,""))</f>
        <v>4435.3617882352937</v>
      </c>
      <c r="KG109" s="7134">
        <f t="shared" ref="KG109:KG111" si="942">+IF(D109="","",IF(JT109=1,$KG$2*KC109/1000*60*JU109*$KG$4*$KG$6,IF(OR(JZ109="",JY109=""),"",JZ109*$KG$8*JY109*$KG$4)))</f>
        <v>22992.988724801755</v>
      </c>
      <c r="KH109" s="7134">
        <f>IF(D109="","",IF(JT109=2,0.005*JF109*$KD$6/1000*1000*JU109,""))</f>
        <v>40252.192000000003</v>
      </c>
      <c r="KI109" s="7134">
        <f>IF(D109="","",IF(JT109=2,0.1*0.005*JF109*$KD$6/1000*1000*JU109,""))</f>
        <v>4025.2192000000009</v>
      </c>
      <c r="KJ109" s="7134">
        <f t="shared" ref="KJ109:KJ111" si="943">+IF(OR(D109="",JU109="",JV109=""),"",IF(JT109=1,KD109+KG109,KD109+KE109+KF109+KG109+KH109+KI109))</f>
        <v>83498.065713037053</v>
      </c>
      <c r="KK109" s="7134">
        <f>+IF(OR(D109="",JU109="",JV109=""),"",$KK$7*$KG$4*JU109)</f>
        <v>12798.678400000001</v>
      </c>
      <c r="KL109" s="7134">
        <f t="shared" ref="KL109:KL111" si="944">+IF(OR(D109="",JU109="",JV109="",JS109=""),"",IF(JT109=1,$KL$7*JS109*JU109/$KL$8,$KL$7*IF(JN109="",JS109,JN109)*JU109/$KL$8))</f>
        <v>7050.4592999999995</v>
      </c>
      <c r="KM109" s="7134">
        <f t="shared" ref="KM109:KM111" si="945">+IF(D109="","",IF(KK109="",0,KK109)+IF(KL109="",0,KL109))</f>
        <v>19849.137699999999</v>
      </c>
      <c r="KN109" s="7134" t="str">
        <f>+IF(D109="","",IF(JX109&lt;41,$KN$8*JZ109*JY109,""))</f>
        <v/>
      </c>
      <c r="KO109" s="7134">
        <f t="shared" ref="KO109:KO111" si="946">+IF(OR(D109="",JU109="",JV109=""),"",IF(KM109="",0,KM109)+IF(KN109="",0,KN109))</f>
        <v>19849.137699999999</v>
      </c>
      <c r="KP109" s="7135">
        <f t="shared" ref="KP109:KP111" si="947">+IF(OR(D109="",JU109="",JV109=""),"",IF(KJ109="",0,KJ109)+IF(KO109="",0,KO109))</f>
        <v>103347.20341303706</v>
      </c>
      <c r="KQ109" s="1813">
        <f>+IF(D109="","",VLOOKUP(MATCH(BE109,ac_id,0),ad,ac!$F$8,FALSE)*JV109)</f>
        <v>25560.3</v>
      </c>
      <c r="KR109" s="3382">
        <f>+IF(D109="","",IF(JT109=1,VLOOKUP(MATCH(BE109,ac_id,0),ad,ac!$H$8,FALSE)*JU109, (VLOOKUP(MATCH(BE109,ac_id,0),ad,ac!$H$8,FALSE)*JU109^(1+VLOOKUP(MATCH(BE109,ac_id,0),ad,ac!$I$8,FALSE)))))</f>
        <v>18810.013011870171</v>
      </c>
      <c r="KS109" s="1812">
        <f>+IF(D109="","",KQ109+KR109)</f>
        <v>44370.313011870167</v>
      </c>
      <c r="KT109" s="1813">
        <f t="shared" ref="KT109:KT111" si="948">+IF(D109="","",IF(KK109="","",$KT$26*KM109))</f>
        <v>11909.482619999999</v>
      </c>
      <c r="KU109" s="2440">
        <f t="shared" ref="KU109:KU111" si="949">+IF(D109="","",IF(JS109="","",$KU$26*IF(JN109="",JS109,JN109)))</f>
        <v>616433.6</v>
      </c>
      <c r="KV109" s="7376">
        <f t="shared" si="667"/>
        <v>2</v>
      </c>
      <c r="KW109" s="7281">
        <f t="shared" ref="KW109:KW111" si="950">IF(JS109="","",IF(KV109=1,$KW$5,IF(KV109=2,$KW$8,""))*JS109)</f>
        <v>1311389.8755487727</v>
      </c>
      <c r="KX109" s="1812">
        <f t="shared" ref="KX109:KX111" si="951">+IF(D109="","",IF(KW109="","",IF(KT109="",0,KT109)+IF(KU109="",0,KU109)+KW109))</f>
        <v>1939732.9581687727</v>
      </c>
      <c r="KY109" s="1750">
        <f t="shared" ref="KY109:KY111" si="952">+IF(D109="","",IF(KX109="","",IF(KP109="",0,KP109)+KX109))</f>
        <v>2043080.1615818099</v>
      </c>
      <c r="KZ109" s="7377"/>
      <c r="LA109" s="7281">
        <f t="shared" si="668"/>
        <v>993970.57866579585</v>
      </c>
      <c r="LB109" s="7292">
        <f t="shared" si="669"/>
        <v>192380.42952747736</v>
      </c>
      <c r="LC109" s="5133"/>
      <c r="LD109" s="5132"/>
      <c r="LE109" s="5132"/>
      <c r="LF109" s="5132"/>
      <c r="LG109" s="5132"/>
      <c r="LH109" s="5132"/>
      <c r="LI109" s="5132"/>
      <c r="LJ109" s="5132"/>
    </row>
    <row r="110" spans="1:322" s="717" customFormat="1" ht="27.95" customHeight="1">
      <c r="A110" s="10539"/>
      <c r="B110" s="10521" t="str">
        <f>+IF(A110="","",VLOOKUP(MATCH(A110,tid,0),tao,'12(id)'!$J$20,FALSE))</f>
        <v/>
      </c>
      <c r="C110" s="10550"/>
      <c r="D110" s="3260" t="str">
        <f t="shared" si="859"/>
        <v>8305-02-02</v>
      </c>
      <c r="E110" s="3264" t="str">
        <f t="shared" si="863"/>
        <v>Combination of Control Technologies
LNB + OFA + SNCR</v>
      </c>
      <c r="F110" s="3264" t="str">
        <f t="shared" si="777"/>
        <v>New Eqp</v>
      </c>
      <c r="G110" s="5133"/>
      <c r="H110" s="5132"/>
      <c r="I110" s="5133"/>
      <c r="J110" s="745">
        <f t="shared" si="820"/>
        <v>76</v>
      </c>
      <c r="K110" s="10542"/>
      <c r="L110" s="9518"/>
      <c r="M110" s="10557"/>
      <c r="N110" s="9699"/>
      <c r="O110" s="9287"/>
      <c r="P110" s="9287"/>
      <c r="Q110" s="9287"/>
      <c r="R110" s="9287"/>
      <c r="S110" s="9287"/>
      <c r="T110" s="10526"/>
      <c r="U110" s="10529"/>
      <c r="V110" s="9287"/>
      <c r="W110" s="9287"/>
      <c r="X110" s="9504"/>
      <c r="Y110" s="8553"/>
      <c r="Z110" s="9518"/>
      <c r="AA110" s="9518"/>
      <c r="AB110" s="9648"/>
      <c r="AC110" s="9648"/>
      <c r="AD110" s="10412" t="str">
        <f>+IF(ISERROR(MATCH(O110,tid,0)),"",IF(VLOOKUP(MATCH(O110,tid,0),tao,'12(id)'!$EI$20,FALSE)="","",VLOOKUP(MATCH(O110,tid,0),tao,'12(id)'!$EI$20,FALSE)))</f>
        <v/>
      </c>
      <c r="AE110" s="10412" t="str">
        <f>+IF(ISERROR(MATCH(O110,tid,0)),"",IF(VLOOKUP(MATCH(O110,tid,0),tao,'12(id)'!$EJ$20,FALSE)="","",VLOOKUP(MATCH(O110,tid,0),tao,'12(id)'!$EJ$20,FALSE)))</f>
        <v/>
      </c>
      <c r="AF110" s="10412" t="str">
        <f>+IF(ISERROR(MATCH(O110,tid,0)),"",IF(VLOOKUP(MATCH(O110,tid,0),tao,'12(id)'!$EL$20,FALSE)="","",VLOOKUP(MATCH(O110,tid,0),tao,'12(id)'!$EL$20,FALSE)))</f>
        <v/>
      </c>
      <c r="AG110" s="10409" t="str">
        <f>+IF(ISERROR(MATCH(O110,tid,0)),"",IF(VLOOKUP(MATCH(O110,tid,0),tao,'12(id)'!$EM$20,FALSE)="","",VLOOKUP(MATCH(O110,tid,0),tao,'12(id)'!$EM$20,FALSE)))</f>
        <v/>
      </c>
      <c r="AH110" s="10535"/>
      <c r="AI110" s="10452"/>
      <c r="AJ110" s="10452"/>
      <c r="AK110" s="10452"/>
      <c r="AL110" s="10452"/>
      <c r="AM110" s="10433"/>
      <c r="AN110" s="10444"/>
      <c r="AO110" s="10450" t="str">
        <f>+IF(ISERROR(MATCH(O110,tid,0)),"",IF(VLOOKUP(MATCH(O110,tid,0),tao,'12(id)'!$GY$20,FALSE)="","",VLOOKUP(MATCH(O110,tid,0),tao,'12(id)'!$GY$20,FALSE)))</f>
        <v/>
      </c>
      <c r="AP110" s="10378" t="e">
        <f>+IF($BB110="","",IF(VLOOKUP(MATCH(O110,tid,0),tao,'12(id)'!$HE$20,FALSE)="","",VLOOKUP(MATCH(O110,tid,0),tao,'12(id)'!$HE$20,FALSE)))</f>
        <v>#N/A</v>
      </c>
      <c r="AQ110" s="10460" t="str">
        <f>+IF(ISERROR(VLOOKUP(MATCH(O110,tid,0),tao,'12(id)'!$HF$20,FALSE)),"",VLOOKUP(MATCH(O110,tid,0),tao,'12(id)'!$HF$20,FALSE))</f>
        <v/>
      </c>
      <c r="AR110" s="10428" t="str">
        <f>+IF(ISERROR(MATCH(O110,tid,0)),"",IF(VLOOKUP(MATCH(O110,tid,0),tao,'12(id)'!$HJ$20,FALSE)="","",VLOOKUP(MATCH(O110,tid,0),tao,'12(id)'!$HJ$20,FALSE)))</f>
        <v/>
      </c>
      <c r="AS110" s="10429" t="str">
        <f>+IF(ISERROR(MATCH(O110,tid,0)),"",IF(VLOOKUP(MATCH(O110,tid,0),tao,'12(id)'!$HK$20,FALSE)="","",VLOOKUP(MATCH(O110,tid,0),tao,'12(id)'!$HK$20,FALSE)))</f>
        <v/>
      </c>
      <c r="AT110" s="10469" t="str">
        <f>+IF(ISERROR(MATCH(O110,tid,0)),"",IF(VLOOKUP(MATCH(O110,tid,0),tao,'12(id)'!$HM$20,FALSE)="","",VLOOKUP(MATCH(O110,tid,0),tao,'12(id)'!$HM$20,FALSE)))</f>
        <v/>
      </c>
      <c r="AU110" s="10487"/>
      <c r="AV110" s="10488"/>
      <c r="AW110" s="10490"/>
      <c r="AX110" s="10491"/>
      <c r="AY110" s="10492"/>
      <c r="AZ110" s="10493"/>
      <c r="BA110" s="3261"/>
      <c r="BB110" s="3262" t="str">
        <f t="shared" si="778"/>
        <v>8305-02-02</v>
      </c>
      <c r="BC110" s="3263">
        <v>2</v>
      </c>
      <c r="BD110" s="3264" t="str">
        <f>+IF(OR(D110="",VLOOKUP(MATCH(D110,op_id,0),op,'7(op)'!$T$18,FALSE)=""),"",VLOOKUP(MATCH(D110,op_id,0),op,'7(op)'!$T$18,FALSE))</f>
        <v>Combination of Control Technologies
LNB + OFA + SNCR</v>
      </c>
      <c r="BE110" s="3264" t="s">
        <v>1629</v>
      </c>
      <c r="BF110" s="3151" t="s">
        <v>1862</v>
      </c>
      <c r="BG110" s="3265"/>
      <c r="BH110" s="3266"/>
      <c r="BI110" s="3267"/>
      <c r="BJ110" s="3268"/>
      <c r="BK110" s="3268"/>
      <c r="BL110" s="3268"/>
      <c r="BM110" s="3268"/>
      <c r="BN110" s="3268"/>
      <c r="BO110" s="3268"/>
      <c r="BP110" s="3268"/>
      <c r="BQ110" s="3268"/>
      <c r="BR110" s="3269"/>
      <c r="BS110" s="3270"/>
      <c r="BT110" s="3271"/>
      <c r="BU110" s="3718" t="str">
        <f>+IF(BB110="","",IF(VLOOKUP(MATCH(BB110,ef_id,0),ef,'11(eff)'!$Z$23,FALSE)="","",VLOOKUP(MATCH(BB110,ef_id,0),ef,'11(eff)'!$Z$23,FALSE)))</f>
        <v/>
      </c>
      <c r="BV110" s="3763" t="str">
        <f>+IF(BB110="","",IF(VLOOKUP(MATCH(BB110,ef_id,0),ef,'11(eff)'!$AA$23,FALSE)="","",VLOOKUP(MATCH(BB110,ef_id,0),ef,'11(eff)'!$AA$23,FALSE)))</f>
        <v/>
      </c>
      <c r="BW110" s="3785"/>
      <c r="BX110" s="3806" t="str">
        <f t="shared" si="864"/>
        <v/>
      </c>
      <c r="BY110" s="3824" t="str">
        <f t="shared" si="512"/>
        <v/>
      </c>
      <c r="BZ110" s="3272"/>
      <c r="CA110" s="3428"/>
      <c r="CB110" s="3858">
        <f>+IF(OR(BX110="",BX110=0),IF(CA110="",IF(GJ110="","",GI110/GJ110/IF(R110="",IF(R109="",R108,R109),R110)),CA110),IF(AT110="",IF(AT109="",AT108,AT109),AT110)-BX110)</f>
        <v>1.9924871309690939</v>
      </c>
      <c r="CC110" s="3878" t="str">
        <f t="shared" si="865"/>
        <v/>
      </c>
      <c r="CD110" s="3878" t="str">
        <f t="shared" si="514"/>
        <v/>
      </c>
      <c r="CE110" s="3273">
        <f>+IF(BB110="","",IF(VLOOKUP(MATCH(BB110,ef_id,0),ef,'11(eff)'!$AE$23,FALSE)="","",VLOOKUP(MATCH(BB110,ef_id,0),ef,'11(eff)'!$AE$23,FALSE)))</f>
        <v>0.45</v>
      </c>
      <c r="CF110" s="3274"/>
      <c r="CG110" s="3271"/>
      <c r="CH110" s="3275"/>
      <c r="CI110" s="3914">
        <f t="shared" si="628"/>
        <v>0.15234562974612972</v>
      </c>
      <c r="CJ110" s="4075" t="str">
        <f>+IF(AY109="","",AY109*(1-CO110))</f>
        <v/>
      </c>
      <c r="CK110" s="3914">
        <f>+IF($BB110="","",IF(CI110="",IF($AZ110="",IF($AZ109="",$AZ108,$AZ109),$AZ110)-CL110,IF(OR(IF($AW110="",IF($AW109="",$AW108,$AW109),$AW110)="",CI110=""),"",CI110/2000*IF($AW110="",IF($AW109="",$AW108,$AW109),$AW110))))</f>
        <v>6.4899999999999993</v>
      </c>
      <c r="CL110" s="4029">
        <f>+IF($BB110="","",IF(CI110="",CO110*IF($AZ110="",IF($AZ109="",$AZ108,$AZ109),$AZ110),IF(CK110="","",IF($AZ110="",IF($AZ109="",$AZ108,$AZ109),$AZ110)-CK110)))</f>
        <v>5.3100000000000014</v>
      </c>
      <c r="CM110" s="4030">
        <f>+IF($BB110="","",IF(CL110="","",CL110/IF($AZ110="",IF($AZ109="",$AZ108,$AZ109),$AZ110)))</f>
        <v>0.45000000000000007</v>
      </c>
      <c r="CN110" s="4030">
        <f>+IF($BB110="","",IF(CI110="","",(1-CI110/IF($AX110="",IF($AX109="",$AX108,$AX109),$AX110))))</f>
        <v>0.45590846519239392</v>
      </c>
      <c r="CO110" s="4031">
        <f>+IF(BB110="","",IF(VLOOKUP(MATCH(BB110,ef_id,0),ef,'11(eff)'!$AE$23,FALSE)="","",VLOOKUP(MATCH(BB110,ef_id,0),ef,'11(eff)'!$AE$23,FALSE)))</f>
        <v>0.45</v>
      </c>
      <c r="CP110" s="4032">
        <f>+IF(OR(BB110="",VLOOKUP(MATCH(BB110,ef_id,0),ef,'11(eff)'!$AG$23,FALSE)=""),"",IF(VLOOKUP(MATCH(BB110,ef_id,0),ef,'11(eff)'!$AG$23,FALSE)/100=VLOOKUP(MATCH(BB110,ef_id,0),ef,'11(eff)'!$AE$23,FALSE),VLOOKUP(MATCH(BB110,ef_id,0),ef,'11(eff)'!$AE$23,FALSE),""))</f>
        <v>0.45</v>
      </c>
      <c r="CQ110" s="3274" t="str">
        <f t="shared" si="861"/>
        <v>Combination of Control Technologies
LNB + OFA + SNCR</v>
      </c>
      <c r="CR110" s="3276"/>
      <c r="CS110" s="3277">
        <v>5537165</v>
      </c>
      <c r="CT110" s="3278">
        <v>5537165</v>
      </c>
      <c r="CU110" s="3279">
        <v>5537165</v>
      </c>
      <c r="CV110" s="3280">
        <f t="shared" si="704"/>
        <v>0</v>
      </c>
      <c r="CW110" s="3281"/>
      <c r="CX110" s="3281"/>
      <c r="CY110" s="3282"/>
      <c r="CZ110" s="3283"/>
      <c r="DA110" s="3284"/>
      <c r="DB110" s="3284"/>
      <c r="DC110" s="3280"/>
      <c r="DD110" s="3285"/>
      <c r="DE110" s="3286"/>
      <c r="DF110" s="3287"/>
      <c r="DG110" s="3287"/>
      <c r="DH110" s="3285"/>
      <c r="DI110" s="3288">
        <f t="shared" si="779"/>
        <v>5537165</v>
      </c>
      <c r="DJ110" s="3289"/>
      <c r="DK110" s="3278"/>
      <c r="DL110" s="3279"/>
      <c r="DM110" s="3280" t="str">
        <f t="shared" si="705"/>
        <v/>
      </c>
      <c r="DN110" s="3281"/>
      <c r="DO110" s="3281"/>
      <c r="DP110" s="3282"/>
      <c r="DQ110" s="3283"/>
      <c r="DR110" s="3284"/>
      <c r="DS110" s="3284"/>
      <c r="DT110" s="3280"/>
      <c r="DU110" s="3285"/>
      <c r="DV110" s="3286"/>
      <c r="DW110" s="3287"/>
      <c r="DX110" s="3287"/>
      <c r="DY110" s="3285"/>
      <c r="DZ110" s="3288" t="str">
        <f t="shared" si="664"/>
        <v/>
      </c>
      <c r="EA110" s="3289"/>
      <c r="EB110" s="3279">
        <f t="shared" si="775"/>
        <v>5537165</v>
      </c>
      <c r="EC110" s="3290">
        <f t="shared" si="822"/>
        <v>1</v>
      </c>
      <c r="ED110" s="3291">
        <f t="shared" si="858"/>
        <v>5537165</v>
      </c>
      <c r="EE110" s="3292"/>
      <c r="EF110" s="3284"/>
      <c r="EG110" s="3282"/>
      <c r="EH110" s="3288">
        <f t="shared" si="740"/>
        <v>0</v>
      </c>
      <c r="EI110" s="3286"/>
      <c r="EJ110" s="3287"/>
      <c r="EK110" s="3293"/>
      <c r="EL110" s="3294"/>
      <c r="EM110" s="3286"/>
      <c r="EN110" s="3287"/>
      <c r="EO110" s="3293"/>
      <c r="EP110" s="3288">
        <f t="shared" si="776"/>
        <v>0</v>
      </c>
      <c r="EQ110" s="3288"/>
      <c r="ER110" s="3288"/>
      <c r="ES110" s="3288"/>
      <c r="ET110" s="3294">
        <f t="shared" si="866"/>
        <v>0</v>
      </c>
      <c r="EU110" s="3295"/>
      <c r="EV110" s="3296"/>
      <c r="EW110" s="2591"/>
      <c r="EX110" s="2591"/>
      <c r="EY110" s="3297">
        <f t="shared" si="867"/>
        <v>5537165</v>
      </c>
      <c r="EZ110" s="3298"/>
      <c r="FA110" s="3296"/>
      <c r="FB110" s="3299">
        <f t="shared" si="515"/>
        <v>5537165</v>
      </c>
      <c r="FC110" s="3279">
        <f t="shared" si="516"/>
        <v>5537165</v>
      </c>
      <c r="FD110" s="3300">
        <f t="shared" si="517"/>
        <v>5537165</v>
      </c>
      <c r="FE110" s="3301">
        <f t="shared" si="509"/>
        <v>1</v>
      </c>
      <c r="FF110" s="3300">
        <f t="shared" si="518"/>
        <v>0</v>
      </c>
      <c r="FG110" s="3301">
        <f t="shared" si="519"/>
        <v>0</v>
      </c>
      <c r="FH110" s="3300">
        <f t="shared" si="520"/>
        <v>0</v>
      </c>
      <c r="FI110" s="3301">
        <f t="shared" si="510"/>
        <v>0</v>
      </c>
      <c r="FJ110" s="3207">
        <f t="shared" si="521"/>
        <v>5537165</v>
      </c>
      <c r="FK110" s="3302">
        <f t="shared" si="522"/>
        <v>1</v>
      </c>
      <c r="FL110" s="3300">
        <f t="shared" si="523"/>
        <v>0</v>
      </c>
      <c r="FM110" s="3301">
        <f t="shared" si="524"/>
        <v>0</v>
      </c>
      <c r="FN110" s="3300">
        <f t="shared" si="525"/>
        <v>0</v>
      </c>
      <c r="FO110" s="3301">
        <f t="shared" si="526"/>
        <v>0</v>
      </c>
      <c r="FP110" s="3300">
        <f t="shared" si="527"/>
        <v>0</v>
      </c>
      <c r="FQ110" s="3301">
        <f t="shared" si="528"/>
        <v>0</v>
      </c>
      <c r="FR110" s="3303">
        <f t="shared" si="529"/>
        <v>5537165</v>
      </c>
      <c r="FS110" s="3281" t="str">
        <f t="shared" si="530"/>
        <v/>
      </c>
      <c r="FT110" s="3304" t="str">
        <f t="shared" si="531"/>
        <v/>
      </c>
      <c r="FU110" s="2899">
        <f t="shared" si="532"/>
        <v>0</v>
      </c>
      <c r="FV110" s="3305">
        <f t="shared" si="533"/>
        <v>32571.558823529413</v>
      </c>
      <c r="FW110" s="3306">
        <f t="shared" si="534"/>
        <v>0</v>
      </c>
      <c r="FX110" s="3307">
        <f t="shared" si="535"/>
        <v>0</v>
      </c>
      <c r="FY110" s="3308">
        <f t="shared" si="536"/>
        <v>0</v>
      </c>
      <c r="FZ110" s="3307">
        <f t="shared" si="537"/>
        <v>0</v>
      </c>
      <c r="GA110" s="3307">
        <f t="shared" si="538"/>
        <v>0</v>
      </c>
      <c r="GB110" s="3308">
        <f t="shared" si="539"/>
        <v>0</v>
      </c>
      <c r="GC110" s="3307">
        <f t="shared" si="540"/>
        <v>0</v>
      </c>
      <c r="GD110" s="3307">
        <f t="shared" si="541"/>
        <v>0</v>
      </c>
      <c r="GE110" s="3203">
        <f t="shared" si="542"/>
        <v>5537165</v>
      </c>
      <c r="GF110" s="3309">
        <f t="shared" si="741"/>
        <v>5537165</v>
      </c>
      <c r="GG110" s="3310">
        <f t="shared" si="544"/>
        <v>0</v>
      </c>
      <c r="GH110" s="3311">
        <f t="shared" si="868"/>
        <v>32571.558823529413</v>
      </c>
      <c r="GI110" s="3203">
        <v>391715</v>
      </c>
      <c r="GJ110" s="3207">
        <v>196596</v>
      </c>
      <c r="GK110" s="3457">
        <f t="shared" si="423"/>
        <v>1.9924871309690939</v>
      </c>
      <c r="GL110" s="3312">
        <f>+IF(OR(BB110="",GI110="",GJ110=""),"",(GJ110-GI110/GK110)/GJ110)</f>
        <v>0</v>
      </c>
      <c r="GM110" s="3313"/>
      <c r="GN110" s="3314"/>
      <c r="GO110" s="3286"/>
      <c r="GP110" s="3293"/>
      <c r="GQ110" s="3294" t="str">
        <f t="shared" si="582"/>
        <v/>
      </c>
      <c r="GR110" s="3315"/>
      <c r="GS110" s="3315"/>
      <c r="GT110" s="3316"/>
      <c r="GU110" s="3385">
        <f t="shared" si="862"/>
        <v>391715</v>
      </c>
      <c r="GV110" s="3317" t="str">
        <f t="shared" si="869"/>
        <v/>
      </c>
      <c r="GW110" s="3318" t="str">
        <f t="shared" si="870"/>
        <v/>
      </c>
      <c r="GX110" s="3316" t="str">
        <f t="shared" si="871"/>
        <v/>
      </c>
      <c r="GY110" s="3316" t="str">
        <f t="shared" si="872"/>
        <v/>
      </c>
      <c r="GZ110" s="3316" t="str">
        <f t="shared" si="873"/>
        <v/>
      </c>
      <c r="HA110" s="3288" t="str">
        <f t="shared" si="874"/>
        <v/>
      </c>
      <c r="HB110" s="3319" t="str">
        <f t="shared" si="432"/>
        <v/>
      </c>
      <c r="HC110" s="3388">
        <f t="shared" si="875"/>
        <v>391715</v>
      </c>
      <c r="HD110" s="3320" t="str">
        <f t="shared" si="375"/>
        <v/>
      </c>
      <c r="HE110" s="3313"/>
      <c r="HF110" s="3321">
        <f t="shared" si="555"/>
        <v>196596</v>
      </c>
      <c r="HG110" s="3314"/>
      <c r="HH110" s="3322"/>
      <c r="HI110" s="3323">
        <f t="shared" si="876"/>
        <v>5537165</v>
      </c>
      <c r="HJ110" s="3284">
        <f t="shared" si="877"/>
        <v>0</v>
      </c>
      <c r="HK110" s="3284">
        <f t="shared" si="878"/>
        <v>0</v>
      </c>
      <c r="HL110" s="3284" t="str">
        <f t="shared" si="879"/>
        <v/>
      </c>
      <c r="HM110" s="3324">
        <f t="shared" si="880"/>
        <v>5537165</v>
      </c>
      <c r="HN110" s="3325">
        <f t="shared" si="881"/>
        <v>32571.558823529413</v>
      </c>
      <c r="HO110" s="3292" t="str">
        <f t="shared" si="882"/>
        <v/>
      </c>
      <c r="HP110" s="3284" t="str">
        <f t="shared" si="883"/>
        <v/>
      </c>
      <c r="HQ110" s="3326" t="str">
        <f t="shared" si="556"/>
        <v/>
      </c>
      <c r="HR110" s="3282" t="str">
        <f t="shared" si="557"/>
        <v/>
      </c>
      <c r="HS110" s="3282">
        <f t="shared" si="558"/>
        <v>0</v>
      </c>
      <c r="HT110" s="3327" t="str">
        <f t="shared" si="884"/>
        <v/>
      </c>
      <c r="HU110" s="3328" t="str">
        <f t="shared" si="885"/>
        <v/>
      </c>
      <c r="HV110" s="3327" t="str">
        <f t="shared" si="559"/>
        <v/>
      </c>
      <c r="HW110" s="3328" t="str">
        <f t="shared" si="560"/>
        <v/>
      </c>
      <c r="HX110" s="3329">
        <f t="shared" si="199"/>
        <v>5537165</v>
      </c>
      <c r="HY110" s="3330" t="str">
        <f t="shared" si="886"/>
        <v/>
      </c>
      <c r="HZ110" s="3328" t="str">
        <f t="shared" si="887"/>
        <v/>
      </c>
      <c r="IA110" s="3279">
        <f t="shared" si="888"/>
        <v>5537165</v>
      </c>
      <c r="IB110" s="3331" t="str">
        <f t="shared" si="564"/>
        <v>same TCC</v>
      </c>
      <c r="IC110" s="3332">
        <f t="shared" si="889"/>
        <v>32571.558823529413</v>
      </c>
      <c r="ID110" s="3333"/>
      <c r="IE110" s="3335"/>
      <c r="IF110" s="3333" t="str">
        <f t="shared" si="780"/>
        <v/>
      </c>
      <c r="IG110" s="6786"/>
      <c r="IH110" s="3334" t="str">
        <f t="shared" si="781"/>
        <v/>
      </c>
      <c r="II110" s="6805"/>
      <c r="IJ110" s="3335" t="str">
        <f t="shared" si="782"/>
        <v/>
      </c>
      <c r="IK110" s="4149">
        <v>0</v>
      </c>
      <c r="IL110" s="3287" t="str">
        <f t="shared" si="922"/>
        <v/>
      </c>
      <c r="IM110" s="3285">
        <f t="shared" si="923"/>
        <v>0</v>
      </c>
      <c r="IN110" s="3289" t="str">
        <f t="shared" si="783"/>
        <v/>
      </c>
      <c r="IO110" s="3289" t="str">
        <f t="shared" si="784"/>
        <v/>
      </c>
      <c r="IP110" s="7238" t="str">
        <f t="shared" si="924"/>
        <v/>
      </c>
      <c r="IQ110" s="7245" t="str">
        <f t="shared" si="925"/>
        <v/>
      </c>
      <c r="IR110" s="7238" t="str">
        <f t="shared" si="926"/>
        <v/>
      </c>
      <c r="IS110" s="7245" t="str">
        <f t="shared" si="927"/>
        <v/>
      </c>
      <c r="IT110" s="3289" t="str">
        <f t="shared" si="789"/>
        <v/>
      </c>
      <c r="IU110" s="6858"/>
      <c r="IV110" s="7272">
        <f t="shared" si="928"/>
        <v>2</v>
      </c>
      <c r="IW110" s="7257">
        <f t="shared" si="929"/>
        <v>415337.97845109453</v>
      </c>
      <c r="IX110" s="3294">
        <f t="shared" si="792"/>
        <v>415337.97845109453</v>
      </c>
      <c r="IY110" s="4259">
        <f t="shared" si="793"/>
        <v>391715</v>
      </c>
      <c r="IZ110" s="4313">
        <f t="shared" si="794"/>
        <v>-6.0306545450377266E-2</v>
      </c>
      <c r="JA110" s="4314">
        <f t="shared" si="930"/>
        <v>-6.0306545450377266E-2</v>
      </c>
      <c r="JB110" s="3336"/>
      <c r="JC110" s="4345"/>
      <c r="JD110" s="3321">
        <f t="shared" si="796"/>
        <v>208452.02560936238</v>
      </c>
      <c r="JE110" s="4369">
        <f t="shared" si="797"/>
        <v>78218.075037870891</v>
      </c>
      <c r="JF110" s="7044">
        <f>+IF(D110="","",IF(T110="",IF(T109="",T108/IF(Y108="TP",2,1),T109/IF(Y109="TP",2,1)),T110/IF(Y110="TP",2,1)))</f>
        <v>170</v>
      </c>
      <c r="JG110" s="7059" t="s">
        <v>2437</v>
      </c>
      <c r="JH110" s="6975">
        <f>+IF(D110="","",IF(HX110="","",HX110))</f>
        <v>5537165</v>
      </c>
      <c r="JI110" s="6975">
        <f>+JH110</f>
        <v>5537165</v>
      </c>
      <c r="JJ110" s="6975"/>
      <c r="JK110" s="6975"/>
      <c r="JL110" s="7012"/>
      <c r="JM110" s="7053" t="str">
        <f t="shared" si="931"/>
        <v>N/A</v>
      </c>
      <c r="JN110" s="3284" t="str">
        <f t="shared" si="637"/>
        <v/>
      </c>
      <c r="JO110" s="3284">
        <f t="shared" si="717"/>
        <v>5537165</v>
      </c>
      <c r="JP110" s="7083"/>
      <c r="JQ110" s="7083"/>
      <c r="JR110" s="7059"/>
      <c r="JS110" s="7067">
        <f>+IF(D110="","",SUM(JO110:JR110))</f>
        <v>5537165</v>
      </c>
      <c r="JT110" s="7178">
        <f t="shared" si="476"/>
        <v>2</v>
      </c>
      <c r="JU110" s="6265">
        <f t="shared" si="932"/>
        <v>122</v>
      </c>
      <c r="JV110" s="8382">
        <f t="shared" si="933"/>
        <v>85201</v>
      </c>
      <c r="JW110" s="8410">
        <f t="shared" si="682"/>
        <v>5.3100000000000014</v>
      </c>
      <c r="JX110" s="8439">
        <f t="shared" si="934"/>
        <v>196.72131147540983</v>
      </c>
      <c r="JY110" s="8474">
        <f t="shared" si="921"/>
        <v>7.0000116060243603E-2</v>
      </c>
      <c r="JZ110" s="7179">
        <f t="shared" si="935"/>
        <v>12657.831325301206</v>
      </c>
      <c r="KA110" s="7178" t="str">
        <f t="shared" si="936"/>
        <v/>
      </c>
      <c r="KB110" s="6265" t="str">
        <f t="shared" si="937"/>
        <v/>
      </c>
      <c r="KC110" s="7179" t="str">
        <f t="shared" si="938"/>
        <v/>
      </c>
      <c r="KD110" s="7178">
        <f t="shared" si="939"/>
        <v>5178.1679999999997</v>
      </c>
      <c r="KE110" s="8347">
        <f t="shared" si="940"/>
        <v>3307.0680000000011</v>
      </c>
      <c r="KF110" s="8347">
        <f t="shared" si="941"/>
        <v>2217.6808941176473</v>
      </c>
      <c r="KG110" s="6265">
        <f t="shared" si="942"/>
        <v>22992.988724801755</v>
      </c>
      <c r="KH110" s="6265">
        <f>IF(D110="","",IF(JT110=2,0.005*JF110*$KD$6/1000*1000*JU110,""))</f>
        <v>40252.192000000003</v>
      </c>
      <c r="KI110" s="6265">
        <f>IF(D110="","",IF(JT110=2,0.1*0.005*JF110*$KD$6/1000*1000*JU110,""))</f>
        <v>4025.2192000000009</v>
      </c>
      <c r="KJ110" s="6265">
        <f t="shared" si="943"/>
        <v>77973.316818919411</v>
      </c>
      <c r="KK110" s="6265">
        <f>+IF(OR(D110="",JU110="",JV110=""),"",$KK$7*$KG$4*JU110)</f>
        <v>12798.678400000001</v>
      </c>
      <c r="KL110" s="6265">
        <f t="shared" si="944"/>
        <v>2533.2529875</v>
      </c>
      <c r="KM110" s="6265">
        <f t="shared" si="945"/>
        <v>15331.931387500001</v>
      </c>
      <c r="KN110" s="6265" t="str">
        <f>+IF(D110="","",IF(JX110&lt;41,$KN$8*JZ110*JY110,""))</f>
        <v/>
      </c>
      <c r="KO110" s="6265">
        <f t="shared" si="946"/>
        <v>15331.931387500001</v>
      </c>
      <c r="KP110" s="7179">
        <f t="shared" si="947"/>
        <v>93305.248206419405</v>
      </c>
      <c r="KQ110" s="7215">
        <f>+IF(D110="","",VLOOKUP(MATCH(BE110,ac_id,0),ad,ac!$F$8,FALSE)*JV110)</f>
        <v>25560.3</v>
      </c>
      <c r="KR110" s="7083">
        <f>+IF(D110="","",IF(JT110=1,VLOOKUP(MATCH(BE110,ac_id,0),ad,ac!$H$8,FALSE)*JU110, (VLOOKUP(MATCH(BE110,ac_id,0),ad,ac!$H$8,FALSE)*JU110^(1+VLOOKUP(MATCH(BE110,ac_id,0),ad,ac!$I$8,FALSE)))))</f>
        <v>18810.013011870171</v>
      </c>
      <c r="KS110" s="7067">
        <f>+IF(D110="","",KQ110+KR110)</f>
        <v>44370.313011870167</v>
      </c>
      <c r="KT110" s="7215">
        <f t="shared" si="948"/>
        <v>9199.1588324999993</v>
      </c>
      <c r="KU110" s="7059">
        <f t="shared" si="949"/>
        <v>221486.6</v>
      </c>
      <c r="KV110" s="7395">
        <f t="shared" si="667"/>
        <v>2</v>
      </c>
      <c r="KW110" s="7321">
        <f t="shared" si="950"/>
        <v>415337.97845109453</v>
      </c>
      <c r="KX110" s="7067">
        <f t="shared" si="951"/>
        <v>646023.73728359456</v>
      </c>
      <c r="KY110" s="7325">
        <f t="shared" si="952"/>
        <v>739328.98549001396</v>
      </c>
      <c r="KZ110" s="7368"/>
      <c r="LA110" s="7369">
        <f t="shared" si="668"/>
        <v>371058.3491349445</v>
      </c>
      <c r="LB110" s="7370">
        <f t="shared" si="669"/>
        <v>139233.3306007559</v>
      </c>
      <c r="LC110" s="5133"/>
      <c r="LD110" s="5132"/>
      <c r="LE110" s="5132"/>
      <c r="LF110" s="5132"/>
      <c r="LG110" s="5132"/>
      <c r="LH110" s="5132"/>
      <c r="LI110" s="5132"/>
      <c r="LJ110" s="5132"/>
    </row>
    <row r="111" spans="1:322" s="717" customFormat="1" ht="27.95" customHeight="1">
      <c r="A111" s="10539"/>
      <c r="B111" s="10521" t="str">
        <f>+IF(A111="","",VLOOKUP(MATCH(A111,tid,0),tao,'12(id)'!$J$20,FALSE))</f>
        <v/>
      </c>
      <c r="C111" s="10550"/>
      <c r="D111" s="3260" t="str">
        <f t="shared" si="859"/>
        <v>8305-02-03</v>
      </c>
      <c r="E111" s="3264" t="str">
        <f t="shared" si="863"/>
        <v>Combination of Control Technologies
LNB + OFA + FGR</v>
      </c>
      <c r="F111" s="3264" t="str">
        <f t="shared" si="777"/>
        <v>New Eqp</v>
      </c>
      <c r="G111" s="5133"/>
      <c r="H111" s="5132"/>
      <c r="I111" s="5133"/>
      <c r="J111" s="745">
        <f t="shared" si="820"/>
        <v>77</v>
      </c>
      <c r="K111" s="10542"/>
      <c r="L111" s="9518"/>
      <c r="M111" s="10557"/>
      <c r="N111" s="9699"/>
      <c r="O111" s="9287"/>
      <c r="P111" s="9287"/>
      <c r="Q111" s="9287"/>
      <c r="R111" s="9287"/>
      <c r="S111" s="9287"/>
      <c r="T111" s="10526"/>
      <c r="U111" s="10529"/>
      <c r="V111" s="9287"/>
      <c r="W111" s="9287"/>
      <c r="X111" s="9504"/>
      <c r="Y111" s="8553"/>
      <c r="Z111" s="9518"/>
      <c r="AA111" s="9518"/>
      <c r="AB111" s="9648"/>
      <c r="AC111" s="9648"/>
      <c r="AD111" s="10412" t="str">
        <f>+IF(ISERROR(MATCH(O111,tid,0)),"",IF(VLOOKUP(MATCH(O111,tid,0),tao,'12(id)'!$EI$20,FALSE)="","",VLOOKUP(MATCH(O111,tid,0),tao,'12(id)'!$EI$20,FALSE)))</f>
        <v/>
      </c>
      <c r="AE111" s="10412" t="str">
        <f>+IF(ISERROR(MATCH(O111,tid,0)),"",IF(VLOOKUP(MATCH(O111,tid,0),tao,'12(id)'!$EJ$20,FALSE)="","",VLOOKUP(MATCH(O111,tid,0),tao,'12(id)'!$EJ$20,FALSE)))</f>
        <v/>
      </c>
      <c r="AF111" s="10412" t="str">
        <f>+IF(ISERROR(MATCH(O111,tid,0)),"",IF(VLOOKUP(MATCH(O111,tid,0),tao,'12(id)'!$EL$20,FALSE)="","",VLOOKUP(MATCH(O111,tid,0),tao,'12(id)'!$EL$20,FALSE)))</f>
        <v/>
      </c>
      <c r="AG111" s="10409" t="str">
        <f>+IF(ISERROR(MATCH(O111,tid,0)),"",IF(VLOOKUP(MATCH(O111,tid,0),tao,'12(id)'!$EM$20,FALSE)="","",VLOOKUP(MATCH(O111,tid,0),tao,'12(id)'!$EM$20,FALSE)))</f>
        <v/>
      </c>
      <c r="AH111" s="10535"/>
      <c r="AI111" s="10452"/>
      <c r="AJ111" s="10452"/>
      <c r="AK111" s="10452"/>
      <c r="AL111" s="10452"/>
      <c r="AM111" s="10433"/>
      <c r="AN111" s="10444"/>
      <c r="AO111" s="10450" t="str">
        <f>+IF(ISERROR(MATCH(O111,tid,0)),"",IF(VLOOKUP(MATCH(O111,tid,0),tao,'12(id)'!$GY$20,FALSE)="","",VLOOKUP(MATCH(O111,tid,0),tao,'12(id)'!$GY$20,FALSE)))</f>
        <v/>
      </c>
      <c r="AP111" s="10378" t="e">
        <f>+IF($BB111="","",IF(VLOOKUP(MATCH(O111,tid,0),tao,'12(id)'!$HE$20,FALSE)="","",VLOOKUP(MATCH(O111,tid,0),tao,'12(id)'!$HE$20,FALSE)))</f>
        <v>#N/A</v>
      </c>
      <c r="AQ111" s="10460" t="str">
        <f>+IF(ISERROR(VLOOKUP(MATCH(O111,tid,0),tao,'12(id)'!$HF$20,FALSE)),"",VLOOKUP(MATCH(O111,tid,0),tao,'12(id)'!$HF$20,FALSE))</f>
        <v/>
      </c>
      <c r="AR111" s="10428" t="str">
        <f>+IF(ISERROR(MATCH(O111,tid,0)),"",IF(VLOOKUP(MATCH(O111,tid,0),tao,'12(id)'!$HJ$20,FALSE)="","",VLOOKUP(MATCH(O111,tid,0),tao,'12(id)'!$HJ$20,FALSE)))</f>
        <v/>
      </c>
      <c r="AS111" s="10429" t="str">
        <f>+IF(ISERROR(MATCH(O111,tid,0)),"",IF(VLOOKUP(MATCH(O111,tid,0),tao,'12(id)'!$HK$20,FALSE)="","",VLOOKUP(MATCH(O111,tid,0),tao,'12(id)'!$HK$20,FALSE)))</f>
        <v/>
      </c>
      <c r="AT111" s="10469" t="str">
        <f>+IF(ISERROR(MATCH(O111,tid,0)),"",IF(VLOOKUP(MATCH(O111,tid,0),tao,'12(id)'!$HM$20,FALSE)="","",VLOOKUP(MATCH(O111,tid,0),tao,'12(id)'!$HM$20,FALSE)))</f>
        <v/>
      </c>
      <c r="AU111" s="10487"/>
      <c r="AV111" s="10488"/>
      <c r="AW111" s="10490"/>
      <c r="AX111" s="10491"/>
      <c r="AY111" s="10492"/>
      <c r="AZ111" s="10493"/>
      <c r="BA111" s="3261"/>
      <c r="BB111" s="3262" t="str">
        <f t="shared" si="778"/>
        <v>8305-02-03</v>
      </c>
      <c r="BC111" s="3263">
        <v>3</v>
      </c>
      <c r="BD111" s="3264" t="str">
        <f>+IF(OR(D111="",VLOOKUP(MATCH(D111,op_id,0),op,'7(op)'!$T$18,FALSE)=""),"",VLOOKUP(MATCH(D111,op_id,0),op,'7(op)'!$T$18,FALSE))</f>
        <v>Combination of Control Technologies
LNB + OFA + FGR</v>
      </c>
      <c r="BE111" s="3264" t="s">
        <v>1629</v>
      </c>
      <c r="BF111" s="3151" t="s">
        <v>1862</v>
      </c>
      <c r="BG111" s="3265"/>
      <c r="BH111" s="3266"/>
      <c r="BI111" s="3267"/>
      <c r="BJ111" s="3268"/>
      <c r="BK111" s="3268"/>
      <c r="BL111" s="3268"/>
      <c r="BM111" s="3268"/>
      <c r="BN111" s="3268"/>
      <c r="BO111" s="3268"/>
      <c r="BP111" s="3268"/>
      <c r="BQ111" s="3268"/>
      <c r="BR111" s="3269"/>
      <c r="BS111" s="3270"/>
      <c r="BT111" s="3271"/>
      <c r="BU111" s="3718" t="str">
        <f>+IF(BB111="","",IF(VLOOKUP(MATCH(BB111,ef_id,0),ef,'11(eff)'!$Z$23,FALSE)="","",VLOOKUP(MATCH(BB111,ef_id,0),ef,'11(eff)'!$Z$23,FALSE)))</f>
        <v/>
      </c>
      <c r="BV111" s="3763" t="str">
        <f>+IF(BB111="","",IF(VLOOKUP(MATCH(BB111,ef_id,0),ef,'11(eff)'!$AA$23,FALSE)="","",VLOOKUP(MATCH(BB111,ef_id,0),ef,'11(eff)'!$AA$23,FALSE)))</f>
        <v/>
      </c>
      <c r="BW111" s="3785"/>
      <c r="BX111" s="3806" t="str">
        <f t="shared" si="864"/>
        <v/>
      </c>
      <c r="BY111" s="3824" t="str">
        <f t="shared" si="512"/>
        <v/>
      </c>
      <c r="BZ111" s="3272"/>
      <c r="CA111" s="3428"/>
      <c r="CB111" s="3858">
        <f>+IF(OR(BX111="",BX111=0),IF(CA111="",IF(GJ111="","",GI111/GJ111/IF(R111="",IF(R110="",R109,R110),R111)),CA111),IF(AT111="",IF(AT110="",AT109,AT110),AT111)-BX111)</f>
        <v>1.0001222892548509</v>
      </c>
      <c r="CC111" s="3878" t="str">
        <f t="shared" si="865"/>
        <v/>
      </c>
      <c r="CD111" s="3878" t="str">
        <f t="shared" si="514"/>
        <v/>
      </c>
      <c r="CE111" s="3273">
        <f>+IF(BB111="","",IF(VLOOKUP(MATCH(BB111,ef_id,0),ef,'11(eff)'!$AE$23,FALSE)="","",VLOOKUP(MATCH(BB111,ef_id,0),ef,'11(eff)'!$AE$23,FALSE)))</f>
        <v>0.45</v>
      </c>
      <c r="CF111" s="3274"/>
      <c r="CG111" s="3271"/>
      <c r="CH111" s="3275"/>
      <c r="CI111" s="3914">
        <f>IF(BB111="","",2000*(1-CO111)*IF(AZ111="",IF(AZ110="",(AZ109/AW109),(AZ110/AW110)),AZ111/AW111))</f>
        <v>0.15234562974612972</v>
      </c>
      <c r="CJ111" s="4075" t="str">
        <f>+IF(AY109="","",AY109*(1-CO111))</f>
        <v/>
      </c>
      <c r="CK111" s="3914">
        <f>+IF($BB111="","",IF(CI111="",IF($AZ111="",IF($AZ110="",$AZ109,$AZ110),$AZ111)-CL111,IF(OR(IF($AW111="",IF($AW110="",$AW109,$AW110),$AW111)="",CI111=""),"",CI111/2000*IF($AW111="",IF($AW110="",$AW109,$AW110),$AW111))))</f>
        <v>6.4899999999999993</v>
      </c>
      <c r="CL111" s="4029">
        <f>+IF($BB111="","",IF(CI111="",CO111*IF($AZ111="",IF($AZ110="",$AZ109,$AZ110),$AZ111),IF(CK111="","",IF($AZ111="",IF($AZ110="",$AZ109,$AZ110),$AZ111)-CK111)))</f>
        <v>5.3100000000000014</v>
      </c>
      <c r="CM111" s="4030">
        <f>+IF($BB111="","",IF(CL111="","",CL111/IF($AZ111="",IF($AZ110="",$AZ109,$AZ110),$AZ111)))</f>
        <v>0.45000000000000007</v>
      </c>
      <c r="CN111" s="4030">
        <f>+IF($BB111="","",IF(CI111="","",(1-CI111/IF($AX111="",IF($AX110="",$AX109,$AX110),$AX111))))</f>
        <v>0.45590846519239392</v>
      </c>
      <c r="CO111" s="4031">
        <f>+IF(BB111="","",IF(VLOOKUP(MATCH(BB111,ef_id,0),ef,'11(eff)'!$AE$23,FALSE)="","",VLOOKUP(MATCH(BB111,ef_id,0),ef,'11(eff)'!$AE$23,FALSE)))</f>
        <v>0.45</v>
      </c>
      <c r="CP111" s="4032">
        <f>+IF(OR(BB111="",VLOOKUP(MATCH(BB111,ef_id,0),ef,'11(eff)'!$AG$23,FALSE)=""),"",IF(VLOOKUP(MATCH(BB111,ef_id,0),ef,'11(eff)'!$AG$23,FALSE)/100=VLOOKUP(MATCH(BB111,ef_id,0),ef,'11(eff)'!$AE$23,FALSE),VLOOKUP(MATCH(BB111,ef_id,0),ef,'11(eff)'!$AE$23,FALSE),""))</f>
        <v>0.45</v>
      </c>
      <c r="CQ111" s="3274" t="str">
        <f t="shared" si="861"/>
        <v>Combination of Control Technologies
LNB + OFA + FGR</v>
      </c>
      <c r="CR111" s="3276"/>
      <c r="CS111" s="3277">
        <v>4271527</v>
      </c>
      <c r="CT111" s="3278">
        <v>4271527</v>
      </c>
      <c r="CU111" s="3279">
        <v>4271527</v>
      </c>
      <c r="CV111" s="3280">
        <f t="shared" si="704"/>
        <v>0</v>
      </c>
      <c r="CW111" s="3281"/>
      <c r="CX111" s="3281"/>
      <c r="CY111" s="3282"/>
      <c r="CZ111" s="3283"/>
      <c r="DA111" s="3284"/>
      <c r="DB111" s="3284"/>
      <c r="DC111" s="3280"/>
      <c r="DD111" s="3285"/>
      <c r="DE111" s="3286"/>
      <c r="DF111" s="3287"/>
      <c r="DG111" s="3287"/>
      <c r="DH111" s="3285"/>
      <c r="DI111" s="3288">
        <f t="shared" si="779"/>
        <v>4271527</v>
      </c>
      <c r="DJ111" s="3289"/>
      <c r="DK111" s="3278"/>
      <c r="DL111" s="3279"/>
      <c r="DM111" s="3280" t="str">
        <f t="shared" si="705"/>
        <v/>
      </c>
      <c r="DN111" s="3281"/>
      <c r="DO111" s="3281"/>
      <c r="DP111" s="3282"/>
      <c r="DQ111" s="3283"/>
      <c r="DR111" s="3284"/>
      <c r="DS111" s="3284"/>
      <c r="DT111" s="3280"/>
      <c r="DU111" s="3285"/>
      <c r="DV111" s="3286"/>
      <c r="DW111" s="3287"/>
      <c r="DX111" s="3287"/>
      <c r="DY111" s="3285"/>
      <c r="DZ111" s="3288" t="str">
        <f t="shared" si="664"/>
        <v/>
      </c>
      <c r="EA111" s="3289"/>
      <c r="EB111" s="3279">
        <f t="shared" si="775"/>
        <v>4271527</v>
      </c>
      <c r="EC111" s="3290">
        <f t="shared" si="822"/>
        <v>1</v>
      </c>
      <c r="ED111" s="3291">
        <f t="shared" si="858"/>
        <v>4271527</v>
      </c>
      <c r="EE111" s="3292"/>
      <c r="EF111" s="3284"/>
      <c r="EG111" s="3282"/>
      <c r="EH111" s="3288">
        <f t="shared" si="740"/>
        <v>0</v>
      </c>
      <c r="EI111" s="3286"/>
      <c r="EJ111" s="3287"/>
      <c r="EK111" s="3293"/>
      <c r="EL111" s="3294"/>
      <c r="EM111" s="3286"/>
      <c r="EN111" s="3287"/>
      <c r="EO111" s="3293"/>
      <c r="EP111" s="3288">
        <f t="shared" si="776"/>
        <v>0</v>
      </c>
      <c r="EQ111" s="3288"/>
      <c r="ER111" s="3288"/>
      <c r="ES111" s="3288"/>
      <c r="ET111" s="3294">
        <f t="shared" si="866"/>
        <v>0</v>
      </c>
      <c r="EU111" s="3295"/>
      <c r="EV111" s="3296"/>
      <c r="EW111" s="2591"/>
      <c r="EX111" s="2591"/>
      <c r="EY111" s="3297">
        <f t="shared" si="867"/>
        <v>4271527</v>
      </c>
      <c r="EZ111" s="3298"/>
      <c r="FA111" s="3296"/>
      <c r="FB111" s="3299">
        <f t="shared" si="515"/>
        <v>4271527</v>
      </c>
      <c r="FC111" s="3279">
        <f t="shared" si="516"/>
        <v>4271527</v>
      </c>
      <c r="FD111" s="3300">
        <f t="shared" si="517"/>
        <v>4271527</v>
      </c>
      <c r="FE111" s="3301">
        <f t="shared" si="509"/>
        <v>1</v>
      </c>
      <c r="FF111" s="3300">
        <f t="shared" si="518"/>
        <v>0</v>
      </c>
      <c r="FG111" s="3301">
        <f t="shared" si="519"/>
        <v>0</v>
      </c>
      <c r="FH111" s="3300">
        <f t="shared" si="520"/>
        <v>0</v>
      </c>
      <c r="FI111" s="3301">
        <f t="shared" si="510"/>
        <v>0</v>
      </c>
      <c r="FJ111" s="3207">
        <f t="shared" si="521"/>
        <v>4271527</v>
      </c>
      <c r="FK111" s="3302">
        <f t="shared" si="522"/>
        <v>1</v>
      </c>
      <c r="FL111" s="3300">
        <f t="shared" si="523"/>
        <v>0</v>
      </c>
      <c r="FM111" s="3301">
        <f t="shared" si="524"/>
        <v>0</v>
      </c>
      <c r="FN111" s="3300">
        <f t="shared" si="525"/>
        <v>0</v>
      </c>
      <c r="FO111" s="3301">
        <f t="shared" si="526"/>
        <v>0</v>
      </c>
      <c r="FP111" s="3300">
        <f t="shared" si="527"/>
        <v>0</v>
      </c>
      <c r="FQ111" s="3301">
        <f t="shared" si="528"/>
        <v>0</v>
      </c>
      <c r="FR111" s="3303">
        <f t="shared" si="529"/>
        <v>4271527</v>
      </c>
      <c r="FS111" s="3281" t="str">
        <f t="shared" si="530"/>
        <v/>
      </c>
      <c r="FT111" s="3304" t="str">
        <f t="shared" si="531"/>
        <v/>
      </c>
      <c r="FU111" s="2899">
        <f t="shared" si="532"/>
        <v>0</v>
      </c>
      <c r="FV111" s="3305">
        <f t="shared" si="533"/>
        <v>25126.629411764705</v>
      </c>
      <c r="FW111" s="3306">
        <f t="shared" si="534"/>
        <v>0</v>
      </c>
      <c r="FX111" s="3307">
        <f t="shared" si="535"/>
        <v>0</v>
      </c>
      <c r="FY111" s="3308">
        <f t="shared" si="536"/>
        <v>0</v>
      </c>
      <c r="FZ111" s="3307">
        <f t="shared" si="537"/>
        <v>0</v>
      </c>
      <c r="GA111" s="3307" t="str">
        <f t="shared" si="538"/>
        <v/>
      </c>
      <c r="GB111" s="3308">
        <f t="shared" si="539"/>
        <v>0</v>
      </c>
      <c r="GC111" s="3307">
        <f t="shared" si="540"/>
        <v>0</v>
      </c>
      <c r="GD111" s="3307" t="str">
        <f t="shared" si="541"/>
        <v/>
      </c>
      <c r="GE111" s="3203">
        <f t="shared" si="542"/>
        <v>4271527</v>
      </c>
      <c r="GF111" s="3309">
        <f t="shared" si="741"/>
        <v>4271527</v>
      </c>
      <c r="GG111" s="3310">
        <f t="shared" si="544"/>
        <v>0</v>
      </c>
      <c r="GH111" s="3311">
        <f t="shared" si="868"/>
        <v>25126.629411764705</v>
      </c>
      <c r="GI111" s="3203">
        <v>122675</v>
      </c>
      <c r="GJ111" s="3207">
        <v>122660</v>
      </c>
      <c r="GK111" s="3457">
        <f t="shared" si="423"/>
        <v>1.0001222892548509</v>
      </c>
      <c r="GL111" s="3312">
        <f>+IF(OR(BB111="",GI111="",GJ111=""),"",(GJ111-GI111/GK111)/GJ111)</f>
        <v>1.1863619132860633E-16</v>
      </c>
      <c r="GM111" s="3313"/>
      <c r="GN111" s="3314"/>
      <c r="GO111" s="3286"/>
      <c r="GP111" s="3293"/>
      <c r="GQ111" s="3294" t="str">
        <f t="shared" si="582"/>
        <v/>
      </c>
      <c r="GR111" s="3315"/>
      <c r="GS111" s="3315"/>
      <c r="GT111" s="3316"/>
      <c r="GU111" s="3385">
        <f t="shared" si="862"/>
        <v>122675</v>
      </c>
      <c r="GV111" s="3317" t="str">
        <f t="shared" si="869"/>
        <v/>
      </c>
      <c r="GW111" s="3318" t="str">
        <f t="shared" si="870"/>
        <v/>
      </c>
      <c r="GX111" s="3316" t="str">
        <f t="shared" si="871"/>
        <v/>
      </c>
      <c r="GY111" s="3316" t="str">
        <f t="shared" si="872"/>
        <v/>
      </c>
      <c r="GZ111" s="3316" t="str">
        <f t="shared" si="873"/>
        <v/>
      </c>
      <c r="HA111" s="3288" t="str">
        <f t="shared" si="874"/>
        <v/>
      </c>
      <c r="HB111" s="3319" t="str">
        <f t="shared" si="432"/>
        <v/>
      </c>
      <c r="HC111" s="3388">
        <f t="shared" si="875"/>
        <v>122675</v>
      </c>
      <c r="HD111" s="3320" t="str">
        <f t="shared" si="375"/>
        <v/>
      </c>
      <c r="HE111" s="3313"/>
      <c r="HF111" s="3321">
        <f t="shared" si="555"/>
        <v>122660</v>
      </c>
      <c r="HG111" s="3314"/>
      <c r="HH111" s="3322"/>
      <c r="HI111" s="3323">
        <f t="shared" si="876"/>
        <v>4271527</v>
      </c>
      <c r="HJ111" s="3284">
        <f t="shared" si="877"/>
        <v>0</v>
      </c>
      <c r="HK111" s="3284">
        <f t="shared" si="878"/>
        <v>0</v>
      </c>
      <c r="HL111" s="3284" t="str">
        <f t="shared" si="879"/>
        <v/>
      </c>
      <c r="HM111" s="3324">
        <f t="shared" si="880"/>
        <v>4271527</v>
      </c>
      <c r="HN111" s="3325">
        <f t="shared" si="881"/>
        <v>25126.629411764705</v>
      </c>
      <c r="HO111" s="3292" t="str">
        <f t="shared" si="882"/>
        <v/>
      </c>
      <c r="HP111" s="3284" t="str">
        <f t="shared" si="883"/>
        <v/>
      </c>
      <c r="HQ111" s="3326" t="str">
        <f t="shared" si="556"/>
        <v/>
      </c>
      <c r="HR111" s="3282" t="str">
        <f t="shared" si="557"/>
        <v/>
      </c>
      <c r="HS111" s="3282">
        <f t="shared" si="558"/>
        <v>0</v>
      </c>
      <c r="HT111" s="3327" t="str">
        <f t="shared" si="884"/>
        <v/>
      </c>
      <c r="HU111" s="3328" t="str">
        <f t="shared" si="885"/>
        <v/>
      </c>
      <c r="HV111" s="3327" t="str">
        <f t="shared" si="559"/>
        <v/>
      </c>
      <c r="HW111" s="3328" t="str">
        <f t="shared" si="560"/>
        <v/>
      </c>
      <c r="HX111" s="3329">
        <f t="shared" si="199"/>
        <v>4271527</v>
      </c>
      <c r="HY111" s="3330" t="str">
        <f t="shared" si="886"/>
        <v/>
      </c>
      <c r="HZ111" s="3328" t="str">
        <f t="shared" si="887"/>
        <v/>
      </c>
      <c r="IA111" s="3279">
        <f t="shared" si="888"/>
        <v>4271527</v>
      </c>
      <c r="IB111" s="3331" t="str">
        <f t="shared" si="564"/>
        <v>same TCC</v>
      </c>
      <c r="IC111" s="3332">
        <f t="shared" si="889"/>
        <v>25126.629411764705</v>
      </c>
      <c r="ID111" s="3333"/>
      <c r="IE111" s="3335"/>
      <c r="IF111" s="3333" t="str">
        <f t="shared" si="780"/>
        <v/>
      </c>
      <c r="IG111" s="6786"/>
      <c r="IH111" s="3334" t="str">
        <f t="shared" si="781"/>
        <v/>
      </c>
      <c r="II111" s="6805"/>
      <c r="IJ111" s="3335" t="str">
        <f t="shared" si="782"/>
        <v/>
      </c>
      <c r="IK111" s="4149">
        <v>0</v>
      </c>
      <c r="IL111" s="3287" t="str">
        <f t="shared" si="922"/>
        <v/>
      </c>
      <c r="IM111" s="3285">
        <f t="shared" si="923"/>
        <v>0</v>
      </c>
      <c r="IN111" s="3289" t="str">
        <f t="shared" si="783"/>
        <v/>
      </c>
      <c r="IO111" s="3289" t="str">
        <f t="shared" si="784"/>
        <v/>
      </c>
      <c r="IP111" s="7238" t="str">
        <f t="shared" si="924"/>
        <v/>
      </c>
      <c r="IQ111" s="7245" t="str">
        <f t="shared" si="925"/>
        <v/>
      </c>
      <c r="IR111" s="7238" t="str">
        <f t="shared" si="926"/>
        <v/>
      </c>
      <c r="IS111" s="7245" t="str">
        <f t="shared" si="927"/>
        <v/>
      </c>
      <c r="IT111" s="3289" t="str">
        <f t="shared" si="789"/>
        <v/>
      </c>
      <c r="IU111" s="6858"/>
      <c r="IV111" s="7272">
        <f t="shared" si="928"/>
        <v>2</v>
      </c>
      <c r="IW111" s="7257">
        <f t="shared" si="929"/>
        <v>320403.5619453761</v>
      </c>
      <c r="IX111" s="3294">
        <f t="shared" si="792"/>
        <v>320403.5619453761</v>
      </c>
      <c r="IY111" s="4259">
        <f t="shared" si="793"/>
        <v>122675</v>
      </c>
      <c r="IZ111" s="4313">
        <f t="shared" si="794"/>
        <v>-1.6118081267200008</v>
      </c>
      <c r="JA111" s="4314">
        <f t="shared" si="930"/>
        <v>-1.6118081267200008</v>
      </c>
      <c r="JB111" s="3336"/>
      <c r="JC111" s="4345"/>
      <c r="JD111" s="3321">
        <f t="shared" si="796"/>
        <v>320364.38482347527</v>
      </c>
      <c r="JE111" s="4369">
        <f t="shared" si="797"/>
        <v>60339.653850353301</v>
      </c>
      <c r="JF111" s="7044">
        <f>+IF(D111="","",IF(T111="",IF(T110="",T109/IF(Y109="TP",2,1),T110/IF(Y110="TP",2,1)),T111/IF(Y111="TP",2,1)))</f>
        <v>170</v>
      </c>
      <c r="JG111" s="7059" t="s">
        <v>2437</v>
      </c>
      <c r="JH111" s="6975">
        <f>+IF(D111="","",IF(HX111="","",HX111))</f>
        <v>4271527</v>
      </c>
      <c r="JI111" s="6975">
        <f>+JH111</f>
        <v>4271527</v>
      </c>
      <c r="JJ111" s="6975"/>
      <c r="JK111" s="6975"/>
      <c r="JL111" s="7012"/>
      <c r="JM111" s="7053" t="str">
        <f t="shared" si="931"/>
        <v>N/A</v>
      </c>
      <c r="JN111" s="3284" t="str">
        <f t="shared" si="637"/>
        <v/>
      </c>
      <c r="JO111" s="3284">
        <f t="shared" si="717"/>
        <v>4271527</v>
      </c>
      <c r="JP111" s="7083"/>
      <c r="JQ111" s="7083"/>
      <c r="JR111" s="7059"/>
      <c r="JS111" s="7067">
        <f>+IF(D111="","",SUM(JO111:JR111))</f>
        <v>4271527</v>
      </c>
      <c r="JT111" s="7178">
        <f t="shared" si="476"/>
        <v>2</v>
      </c>
      <c r="JU111" s="6265">
        <f t="shared" si="932"/>
        <v>122</v>
      </c>
      <c r="JV111" s="8382">
        <f t="shared" si="933"/>
        <v>85201</v>
      </c>
      <c r="JW111" s="8410">
        <f t="shared" si="682"/>
        <v>5.3100000000000014</v>
      </c>
      <c r="JX111" s="8439">
        <f t="shared" si="934"/>
        <v>196.72131147540983</v>
      </c>
      <c r="JY111" s="8474">
        <f t="shared" si="921"/>
        <v>7.0000116060243603E-2</v>
      </c>
      <c r="JZ111" s="7179">
        <f t="shared" si="935"/>
        <v>12657.831325301206</v>
      </c>
      <c r="KA111" s="7178" t="str">
        <f t="shared" si="936"/>
        <v/>
      </c>
      <c r="KB111" s="6265" t="str">
        <f t="shared" si="937"/>
        <v/>
      </c>
      <c r="KC111" s="7179" t="str">
        <f t="shared" si="938"/>
        <v/>
      </c>
      <c r="KD111" s="7178">
        <f t="shared" si="939"/>
        <v>5178.1679999999997</v>
      </c>
      <c r="KE111" s="8347">
        <f t="shared" si="940"/>
        <v>3307.0680000000011</v>
      </c>
      <c r="KF111" s="8347">
        <f t="shared" si="941"/>
        <v>2217.6808941176473</v>
      </c>
      <c r="KG111" s="6265">
        <f t="shared" si="942"/>
        <v>22992.988724801755</v>
      </c>
      <c r="KH111" s="6265">
        <f>IF(D111="","",IF(JT111=2,0.005*JF111*$KD$6/1000*1000*JU111,""))</f>
        <v>40252.192000000003</v>
      </c>
      <c r="KI111" s="6265">
        <f>IF(D111="","",IF(JT111=2,0.1*0.005*JF111*$KD$6/1000*1000*JU111,""))</f>
        <v>4025.2192000000009</v>
      </c>
      <c r="KJ111" s="6265">
        <f t="shared" si="943"/>
        <v>77973.316818919411</v>
      </c>
      <c r="KK111" s="6265">
        <f>+IF(OR(D111="",JU111="",JV111=""),"",$KK$7*$KG$4*JU111)</f>
        <v>12798.678400000001</v>
      </c>
      <c r="KL111" s="6265">
        <f t="shared" si="944"/>
        <v>1954.2236025</v>
      </c>
      <c r="KM111" s="6265">
        <f t="shared" si="945"/>
        <v>14752.902002500001</v>
      </c>
      <c r="KN111" s="6265" t="str">
        <f>+IF(D111="","",IF(JX111&lt;41,$KN$8*JZ111*JY111,""))</f>
        <v/>
      </c>
      <c r="KO111" s="6265">
        <f t="shared" si="946"/>
        <v>14752.902002500001</v>
      </c>
      <c r="KP111" s="7179">
        <f t="shared" si="947"/>
        <v>92726.218821419418</v>
      </c>
      <c r="KQ111" s="7215">
        <f>+IF(D111="","",VLOOKUP(MATCH(BE111,ac_id,0),ad,ac!$F$8,FALSE)*JV111)</f>
        <v>25560.3</v>
      </c>
      <c r="KR111" s="7083">
        <f>+IF(D111="","",IF(JT111=1,VLOOKUP(MATCH(BE111,ac_id,0),ad,ac!$H$8,FALSE)*JU111, (VLOOKUP(MATCH(BE111,ac_id,0),ad,ac!$H$8,FALSE)*JU111^(1+VLOOKUP(MATCH(BE111,ac_id,0),ad,ac!$I$8,FALSE)))))</f>
        <v>18810.013011870171</v>
      </c>
      <c r="KS111" s="7067">
        <f>+IF(D111="","",KQ111+KR111)</f>
        <v>44370.313011870167</v>
      </c>
      <c r="KT111" s="7215">
        <f t="shared" si="948"/>
        <v>8851.7412015000009</v>
      </c>
      <c r="KU111" s="7059">
        <f t="shared" si="949"/>
        <v>170861.08000000002</v>
      </c>
      <c r="KV111" s="7395">
        <f t="shared" si="667"/>
        <v>2</v>
      </c>
      <c r="KW111" s="7321">
        <f t="shared" si="950"/>
        <v>320403.5619453761</v>
      </c>
      <c r="KX111" s="7067">
        <f t="shared" si="951"/>
        <v>500116.38314687612</v>
      </c>
      <c r="KY111" s="7325">
        <f t="shared" si="952"/>
        <v>592842.60196829552</v>
      </c>
      <c r="KZ111" s="7368"/>
      <c r="LA111" s="7369">
        <f t="shared" si="668"/>
        <v>592770.11255293351</v>
      </c>
      <c r="LB111" s="7370">
        <f t="shared" si="669"/>
        <v>111646.4410486432</v>
      </c>
      <c r="LC111" s="5133"/>
      <c r="LD111" s="5132"/>
      <c r="LE111" s="5132"/>
      <c r="LF111" s="5132"/>
      <c r="LG111" s="5132"/>
      <c r="LH111" s="5132"/>
      <c r="LI111" s="5132"/>
      <c r="LJ111" s="5132"/>
    </row>
    <row r="112" spans="1:322" s="717" customFormat="1" ht="27.95" customHeight="1">
      <c r="A112" s="10540"/>
      <c r="B112" s="10521" t="str">
        <f>+IF(A112="","",VLOOKUP(MATCH(A112,tid,0),tao,'12(id)'!$J$20,FALSE))</f>
        <v/>
      </c>
      <c r="C112" s="10549"/>
      <c r="D112" s="1031" t="str">
        <f t="shared" si="859"/>
        <v/>
      </c>
      <c r="E112" s="651" t="str">
        <f t="shared" si="863"/>
        <v/>
      </c>
      <c r="F112" s="651" t="str">
        <f t="shared" si="777"/>
        <v/>
      </c>
      <c r="G112" s="5133"/>
      <c r="H112" s="5132"/>
      <c r="I112" s="5133"/>
      <c r="J112" s="745">
        <f t="shared" si="820"/>
        <v>78</v>
      </c>
      <c r="K112" s="10541"/>
      <c r="L112" s="9518"/>
      <c r="M112" s="10557"/>
      <c r="N112" s="9699"/>
      <c r="O112" s="9708"/>
      <c r="P112" s="9287"/>
      <c r="Q112" s="9708"/>
      <c r="R112" s="9708"/>
      <c r="S112" s="9708"/>
      <c r="T112" s="10527"/>
      <c r="U112" s="10529" t="str">
        <f>+IF(ISERROR(MATCH(O112,tid,0)),"",IF(VLOOKUP(MATCH(O112,tid,0),tao,'12(id)'!$CU$20,FALSE)="","",VLOOKUP(MATCH(O112,tid,0),tao,'12(id)'!$CU$20,FALSE)))</f>
        <v/>
      </c>
      <c r="V112" s="9708"/>
      <c r="W112" s="9708"/>
      <c r="X112" s="9513" t="str">
        <f>+IF(ISERROR(MATCH(O112,tid,0)),"",IF(VLOOKUP(MATCH(O112,tid,0),tao,'12(id)'!$CP$20,FALSE)="","",VLOOKUP(MATCH(O112,tid,0),tao,'12(id)'!$CP$20,FALSE)))</f>
        <v/>
      </c>
      <c r="Y112" s="8555" t="str">
        <f>+IF(ISERROR(MATCH(O112,tid,0)),"",IF(VLOOKUP(MATCH(O112,tid,0),tao,'12(id)'!$CQ$20,FALSE)="","",VLOOKUP(MATCH(O112,tid,0),tao,'12(id)'!$CQ$20,FALSE)))</f>
        <v/>
      </c>
      <c r="Z112" s="9666" t="str">
        <f>+IF(ISERROR(MATCH(O112,tid,0)),"",VLOOKUP(MATCH(O112,tid,0),tao,'12(id)'!$DB$20,FALSE)&amp;" "&amp;VLOOKUP(MATCH(O112,tid,0),tao,'12(id)'!$DC$20,FALSE))</f>
        <v/>
      </c>
      <c r="AA112" s="9666" t="str">
        <f>+IF(ISERROR(MATCH(O112,tid,0)),"",IF(VLOOKUP(MATCH(O112,tid,0),tao,'12(id)'!$DE$20,FALSE)="","",ROUND(VLOOKUP(MATCH(O112,tid,0),tao,'12(id)'!$DE$20,FALSE),0)&amp;" yrs"))</f>
        <v/>
      </c>
      <c r="AB112" s="9653" t="str">
        <f>+IF(ISERROR(MATCH(O112,tid,0)),"",VLOOKUP(MATCH(O112,tid,0),tao,'12(id)'!$DI$20,FALSE))</f>
        <v/>
      </c>
      <c r="AC112" s="9653" t="str">
        <f>+IF(ISERROR(MATCH(O112,tid,0)),"",IF(VLOOKUP(MATCH(O112,tid,0),tao,'12(id)'!$DQ$20,FALSE)="","",VLOOKUP(MATCH(O112,tid,0),tao,'12(id)'!$DQ$20,FALSE)))</f>
        <v/>
      </c>
      <c r="AD112" s="10443" t="str">
        <f>+IF(ISERROR(MATCH(O112,tid,0)),"",IF(VLOOKUP(MATCH(O112,tid,0),tao,'12(id)'!$EI$20,FALSE)="","",VLOOKUP(MATCH(O112,tid,0),tao,'12(id)'!$EI$20,FALSE)))</f>
        <v/>
      </c>
      <c r="AE112" s="10443" t="str">
        <f>+IF(ISERROR(MATCH(O112,tid,0)),"",IF(VLOOKUP(MATCH(O112,tid,0),tao,'12(id)'!$EJ$20,FALSE)="","",VLOOKUP(MATCH(O112,tid,0),tao,'12(id)'!$EJ$20,FALSE)))</f>
        <v/>
      </c>
      <c r="AF112" s="10443" t="str">
        <f>+IF(ISERROR(MATCH(O112,tid,0)),"",IF(VLOOKUP(MATCH(O112,tid,0),tao,'12(id)'!$EL$20,FALSE)="","",VLOOKUP(MATCH(O112,tid,0),tao,'12(id)'!$EL$20,FALSE)))</f>
        <v/>
      </c>
      <c r="AG112" s="10416" t="str">
        <f>+IF(ISERROR(MATCH(O112,tid,0)),"",IF(VLOOKUP(MATCH(O112,tid,0),tao,'12(id)'!$EM$20,FALSE)="","",VLOOKUP(MATCH(O112,tid,0),tao,'12(id)'!$EM$20,FALSE)))</f>
        <v/>
      </c>
      <c r="AH112" s="10439"/>
      <c r="AI112" s="10441"/>
      <c r="AJ112" s="10441"/>
      <c r="AK112" s="10441"/>
      <c r="AL112" s="10441"/>
      <c r="AM112" s="10432"/>
      <c r="AN112" s="10422"/>
      <c r="AO112" s="10425" t="str">
        <f>+IF(ISERROR(MATCH(O112,tid,0)),"",IF(VLOOKUP(MATCH(O112,tid,0),tao,'12(id)'!$GY$20,FALSE)="","",VLOOKUP(MATCH(O112,tid,0),tao,'12(id)'!$GY$20,FALSE)))</f>
        <v/>
      </c>
      <c r="AP112" s="10379" t="str">
        <f>+IF($BB112="","",IF(VLOOKUP(MATCH(O112,tid,0),tao,'12(id)'!$HE$20,FALSE)="","",VLOOKUP(MATCH(O112,tid,0),tao,'12(id)'!$HE$20,FALSE)))</f>
        <v/>
      </c>
      <c r="AQ112" s="10406" t="str">
        <f>+IF(ISERROR(VLOOKUP(MATCH(O112,tid,0),tao,'12(id)'!$HF$20,FALSE)),"",VLOOKUP(MATCH(O112,tid,0),tao,'12(id)'!$HF$20,FALSE))</f>
        <v/>
      </c>
      <c r="AR112" s="10417" t="str">
        <f>+IF(ISERROR(MATCH(O112,tid,0)),"",IF(VLOOKUP(MATCH(O112,tid,0),tao,'12(id)'!$HJ$20,FALSE)="","",VLOOKUP(MATCH(O112,tid,0),tao,'12(id)'!$HJ$20,FALSE)))</f>
        <v/>
      </c>
      <c r="AS112" s="10419" t="str">
        <f>+IF(ISERROR(MATCH(O112,tid,0)),"",IF(VLOOKUP(MATCH(O112,tid,0),tao,'12(id)'!$HK$20,FALSE)="","",VLOOKUP(MATCH(O112,tid,0),tao,'12(id)'!$HK$20,FALSE)))</f>
        <v/>
      </c>
      <c r="AT112" s="10466" t="str">
        <f>+IF(ISERROR(MATCH(O112,tid,0)),"",IF(VLOOKUP(MATCH(O112,tid,0),tao,'12(id)'!$HM$20,FALSE)="","",VLOOKUP(MATCH(O112,tid,0),tao,'12(id)'!$HM$20,FALSE)))</f>
        <v/>
      </c>
      <c r="AU112" s="10471" t="str">
        <f>+AU108</f>
        <v>CAIR-OS (max last 3 yrs)</v>
      </c>
      <c r="AV112" s="10473" t="str">
        <f>+IF(ISERROR(MATCH(O112,em_id,0)),"",IF(VLOOKUP(MATCH(O112,em_id,0),em,'5(em)'!$CX$18,FALSE)="","",VLOOKUP(MATCH(O112,em_id,0),em,'5(em)'!$CX$18,FALSE)))</f>
        <v/>
      </c>
      <c r="AW112" s="10489" t="str">
        <f>+IF(ISERROR(MATCH(O112,em_id,0)),"",IF(VLOOKUP(MATCH(O112,em_id,0),em,'5(em)'!$CZ$18,FALSE)="","",VLOOKUP(MATCH(O112,em_id,0),em,'5(em)'!$CZ$18,FALSE)))</f>
        <v/>
      </c>
      <c r="AX112" s="10478" t="str">
        <f t="shared" si="860"/>
        <v/>
      </c>
      <c r="AY112" s="10480"/>
      <c r="AZ112" s="10482" t="str">
        <f>+IF(ISERROR(MATCH(O112,em_id,0)),"",IF(VLOOKUP(MATCH(O112,em_id,0),em,'5(em)'!$DA$18,FALSE)="","",VLOOKUP(MATCH(O112,em_id,0),em,'5(em)'!$DA$18,FALSE)))</f>
        <v/>
      </c>
      <c r="BA112" s="650"/>
      <c r="BB112" s="651" t="str">
        <f>+IF(BC112="","",IF(R112=1,(IF(O112="",LEFT(#REF!,7),O112)&amp;"-0"&amp;BC112),IF(AND(LEFT(O112,4)=LEFT(#REF!,4),R112&gt;1),IF(LEFT(C112,1)=LEFT(#REF!,1),LEFT(#REF!,9),O112&amp;"-0")&amp;BC112,IF(O112="",LEFT(#REF!,9)&amp;BC112,O112&amp;"-0"&amp;BC112))))</f>
        <v/>
      </c>
      <c r="BC112" s="659"/>
      <c r="BD112" s="651"/>
      <c r="BE112" s="651"/>
      <c r="BF112" s="651"/>
      <c r="BG112" s="652"/>
      <c r="BH112" s="208"/>
      <c r="BI112" s="450"/>
      <c r="BJ112" s="209"/>
      <c r="BK112" s="209"/>
      <c r="BL112" s="209"/>
      <c r="BM112" s="209"/>
      <c r="BN112" s="209" t="str">
        <f t="shared" si="854"/>
        <v/>
      </c>
      <c r="BO112" s="209" t="str">
        <f t="shared" si="855"/>
        <v/>
      </c>
      <c r="BP112" s="209" t="str">
        <f t="shared" si="856"/>
        <v/>
      </c>
      <c r="BQ112" s="209" t="str">
        <f>+IF($BB112="","",IF(OR($AK112="",BJ112=""),"",(1-#REF!/$AK112)))</f>
        <v/>
      </c>
      <c r="BR112" s="210"/>
      <c r="BS112" s="2383"/>
      <c r="BT112" s="452"/>
      <c r="BU112" s="3710" t="str">
        <f>+IF(BB112="","",IF(VLOOKUP(MATCH(BB112,ef_id,0),ef,'11(eff)'!$Z$23,FALSE)="","",VLOOKUP(MATCH(BB112,ef_id,0),ef,'11(eff)'!$Z$23,FALSE)))</f>
        <v/>
      </c>
      <c r="BV112" s="3754" t="str">
        <f>+IF(BB112="","",IF(VLOOKUP(MATCH(BB112,ef_id,0),ef,'11(eff)'!$AA$23,FALSE)="","",VLOOKUP(MATCH(BB112,ef_id,0),ef,'11(eff)'!$AA$23,FALSE)))</f>
        <v/>
      </c>
      <c r="BW112" s="2368"/>
      <c r="BX112" s="3793" t="str">
        <f t="shared" si="864"/>
        <v/>
      </c>
      <c r="BY112" s="3818" t="str">
        <f t="shared" si="512"/>
        <v/>
      </c>
      <c r="BZ112" s="3397"/>
      <c r="CA112" s="3420"/>
      <c r="CB112" s="3849" t="str">
        <f>+IF(OR(BX112="",BX112=0),IF(CA112="",IF(GJ112="","",GI112/GJ112/IF(R112="",IF(R111="",R110,R111),R112)),CA112),IF(AT112="",IF(AT111="",AT110,AT111),AT112)-BX112)</f>
        <v/>
      </c>
      <c r="CC112" s="3869" t="str">
        <f t="shared" si="865"/>
        <v/>
      </c>
      <c r="CD112" s="3869" t="str">
        <f t="shared" si="514"/>
        <v/>
      </c>
      <c r="CE112" s="2373" t="str">
        <f>+IF(BB112="","",IF(VLOOKUP(MATCH(BB112,ef_id,0),ef,'11(eff)'!$AE$23,FALSE)="","",VLOOKUP(MATCH(BB112,ef_id,0),ef,'11(eff)'!$AE$23,FALSE)))</f>
        <v/>
      </c>
      <c r="CF112" s="451"/>
      <c r="CG112" s="452"/>
      <c r="CH112" s="2410"/>
      <c r="CI112" s="3912" t="str">
        <f t="shared" si="628"/>
        <v/>
      </c>
      <c r="CJ112" s="4070"/>
      <c r="CK112" s="3912" t="str">
        <f>+IF($BB112="","",IF(OR($AW112="",CI112=""),"",CI112/2000*$AW112))</f>
        <v/>
      </c>
      <c r="CL112" s="4005" t="str">
        <f>+IF($BB112="","",IF(CK112="","",$AZ112-CK112))</f>
        <v/>
      </c>
      <c r="CM112" s="4006" t="str">
        <f>+IF($BB112="","",IF(CL112="","",CL112/$AZ112))</f>
        <v/>
      </c>
      <c r="CN112" s="4006" t="str">
        <f>+IF($BB112="","",IF(CI112="","",(1-CI112/$AX112)))</f>
        <v/>
      </c>
      <c r="CO112" s="4007"/>
      <c r="CP112" s="4008"/>
      <c r="CQ112" s="451" t="str">
        <f t="shared" si="861"/>
        <v/>
      </c>
      <c r="CR112" s="453"/>
      <c r="CS112" s="2765"/>
      <c r="CT112" s="1591"/>
      <c r="CU112" s="1496"/>
      <c r="CV112" s="1872" t="str">
        <f t="shared" si="704"/>
        <v/>
      </c>
      <c r="CW112" s="1873"/>
      <c r="CX112" s="1873"/>
      <c r="CY112" s="1874"/>
      <c r="CZ112" s="2478"/>
      <c r="DA112" s="2488"/>
      <c r="DB112" s="2488"/>
      <c r="DC112" s="1872"/>
      <c r="DD112" s="1876"/>
      <c r="DE112" s="1877"/>
      <c r="DF112" s="1878"/>
      <c r="DG112" s="1878"/>
      <c r="DH112" s="1876"/>
      <c r="DI112" s="1693" t="str">
        <f t="shared" si="779"/>
        <v/>
      </c>
      <c r="DJ112" s="1938"/>
      <c r="DK112" s="1591"/>
      <c r="DL112" s="1496"/>
      <c r="DM112" s="1872" t="str">
        <f t="shared" si="705"/>
        <v/>
      </c>
      <c r="DN112" s="1873"/>
      <c r="DO112" s="1873"/>
      <c r="DP112" s="1874"/>
      <c r="DQ112" s="2478"/>
      <c r="DR112" s="2488"/>
      <c r="DS112" s="2488"/>
      <c r="DT112" s="1872"/>
      <c r="DU112" s="1876"/>
      <c r="DV112" s="1877"/>
      <c r="DW112" s="1878"/>
      <c r="DX112" s="1878"/>
      <c r="DY112" s="1876"/>
      <c r="DZ112" s="1693" t="str">
        <f t="shared" si="664"/>
        <v/>
      </c>
      <c r="EA112" s="1938"/>
      <c r="EB112" s="1496" t="str">
        <f t="shared" si="775"/>
        <v/>
      </c>
      <c r="EC112" s="1963"/>
      <c r="ED112" s="1415" t="str">
        <f t="shared" si="858"/>
        <v/>
      </c>
      <c r="EE112" s="1875"/>
      <c r="EF112" s="1733"/>
      <c r="EG112" s="1874"/>
      <c r="EH112" s="1693" t="str">
        <f t="shared" si="740"/>
        <v/>
      </c>
      <c r="EI112" s="1877"/>
      <c r="EJ112" s="1878"/>
      <c r="EK112" s="2010"/>
      <c r="EL112" s="1459"/>
      <c r="EM112" s="1877"/>
      <c r="EN112" s="1878"/>
      <c r="EO112" s="2010"/>
      <c r="EP112" s="1693" t="str">
        <f t="shared" si="776"/>
        <v/>
      </c>
      <c r="EQ112" s="2561"/>
      <c r="ER112" s="2561"/>
      <c r="ES112" s="2561"/>
      <c r="ET112" s="1459"/>
      <c r="EU112" s="1427"/>
      <c r="EV112" s="1392"/>
      <c r="EW112" s="2585"/>
      <c r="EX112" s="2585"/>
      <c r="EY112" s="2692"/>
      <c r="EZ112" s="2721"/>
      <c r="FA112" s="1392"/>
      <c r="FB112" s="1500" t="str">
        <f t="shared" si="515"/>
        <v/>
      </c>
      <c r="FC112" s="1496" t="str">
        <f t="shared" si="516"/>
        <v/>
      </c>
      <c r="FD112" s="2050" t="str">
        <f t="shared" si="517"/>
        <v/>
      </c>
      <c r="FE112" s="2034" t="str">
        <f t="shared" si="509"/>
        <v/>
      </c>
      <c r="FF112" s="2050" t="str">
        <f t="shared" si="518"/>
        <v/>
      </c>
      <c r="FG112" s="2034" t="str">
        <f t="shared" si="519"/>
        <v/>
      </c>
      <c r="FH112" s="2050" t="str">
        <f t="shared" si="520"/>
        <v/>
      </c>
      <c r="FI112" s="2034" t="str">
        <f t="shared" si="510"/>
        <v/>
      </c>
      <c r="FJ112" s="2796" t="str">
        <f t="shared" si="521"/>
        <v/>
      </c>
      <c r="FK112" s="2812" t="str">
        <f t="shared" si="522"/>
        <v/>
      </c>
      <c r="FL112" s="2784" t="str">
        <f t="shared" si="523"/>
        <v/>
      </c>
      <c r="FM112" s="2034" t="str">
        <f t="shared" si="524"/>
        <v/>
      </c>
      <c r="FN112" s="2784" t="str">
        <f t="shared" si="525"/>
        <v/>
      </c>
      <c r="FO112" s="2774" t="str">
        <f t="shared" si="526"/>
        <v/>
      </c>
      <c r="FP112" s="2784" t="str">
        <f t="shared" si="527"/>
        <v/>
      </c>
      <c r="FQ112" s="2774" t="str">
        <f t="shared" si="528"/>
        <v/>
      </c>
      <c r="FR112" s="2848" t="str">
        <f t="shared" si="529"/>
        <v/>
      </c>
      <c r="FS112" s="2830" t="str">
        <f t="shared" si="530"/>
        <v/>
      </c>
      <c r="FT112" s="1513" t="str">
        <f t="shared" si="531"/>
        <v/>
      </c>
      <c r="FU112" s="2895" t="str">
        <f t="shared" si="532"/>
        <v/>
      </c>
      <c r="FV112" s="1534" t="str">
        <f t="shared" si="533"/>
        <v/>
      </c>
      <c r="FW112" s="2112" t="str">
        <f t="shared" si="534"/>
        <v/>
      </c>
      <c r="FX112" s="1740" t="str">
        <f t="shared" si="535"/>
        <v/>
      </c>
      <c r="FY112" s="2113" t="str">
        <f t="shared" si="536"/>
        <v/>
      </c>
      <c r="FZ112" s="1740" t="str">
        <f t="shared" si="537"/>
        <v/>
      </c>
      <c r="GA112" s="1740" t="str">
        <f t="shared" si="538"/>
        <v/>
      </c>
      <c r="GB112" s="2113" t="str">
        <f t="shared" si="539"/>
        <v/>
      </c>
      <c r="GC112" s="1740" t="str">
        <f t="shared" si="540"/>
        <v/>
      </c>
      <c r="GD112" s="1740" t="str">
        <f t="shared" si="541"/>
        <v/>
      </c>
      <c r="GE112" s="1616" t="str">
        <f t="shared" si="542"/>
        <v/>
      </c>
      <c r="GF112" s="2147" t="str">
        <f t="shared" si="741"/>
        <v/>
      </c>
      <c r="GG112" s="2172" t="str">
        <f t="shared" si="544"/>
        <v/>
      </c>
      <c r="GH112" s="3180" t="str">
        <f t="shared" si="868"/>
        <v/>
      </c>
      <c r="GI112" s="3200"/>
      <c r="GJ112" s="3205"/>
      <c r="GK112" s="3454" t="str">
        <f t="shared" si="423"/>
        <v/>
      </c>
      <c r="GL112" s="3251" t="str">
        <f>+IF(OR(BB112="",GI112="",GJ112=""),"",(GJ112-GI112/GK112)/GJ112)</f>
        <v/>
      </c>
      <c r="GM112" s="457"/>
      <c r="GN112" s="459"/>
      <c r="GO112" s="1877"/>
      <c r="GP112" s="2010"/>
      <c r="GQ112" s="1459"/>
      <c r="GR112" s="2325"/>
      <c r="GS112" s="2325"/>
      <c r="GT112" s="460"/>
      <c r="GU112" s="2336" t="str">
        <f t="shared" si="862"/>
        <v/>
      </c>
      <c r="GV112" s="458" t="str">
        <f t="shared" si="869"/>
        <v/>
      </c>
      <c r="GW112" s="2260" t="str">
        <f t="shared" si="870"/>
        <v/>
      </c>
      <c r="GX112" s="460" t="str">
        <f t="shared" si="871"/>
        <v/>
      </c>
      <c r="GY112" s="460" t="str">
        <f t="shared" si="872"/>
        <v/>
      </c>
      <c r="GZ112" s="460" t="str">
        <f t="shared" si="873"/>
        <v/>
      </c>
      <c r="HA112" s="1693" t="str">
        <f t="shared" si="874"/>
        <v/>
      </c>
      <c r="HB112" s="2234" t="str">
        <f t="shared" si="432"/>
        <v/>
      </c>
      <c r="HC112" s="2344" t="str">
        <f t="shared" si="875"/>
        <v/>
      </c>
      <c r="HD112" s="2350" t="str">
        <f t="shared" si="375"/>
        <v/>
      </c>
      <c r="HE112" s="457"/>
      <c r="HF112" s="3256" t="str">
        <f t="shared" si="555"/>
        <v/>
      </c>
      <c r="HG112" s="459"/>
      <c r="HH112" s="2994"/>
      <c r="HI112" s="3021" t="str">
        <f t="shared" si="876"/>
        <v/>
      </c>
      <c r="HJ112" s="1733" t="str">
        <f t="shared" si="877"/>
        <v/>
      </c>
      <c r="HK112" s="1733" t="str">
        <f t="shared" si="878"/>
        <v/>
      </c>
      <c r="HL112" s="1733" t="str">
        <f t="shared" si="879"/>
        <v/>
      </c>
      <c r="HM112" s="3025" t="str">
        <f t="shared" si="880"/>
        <v/>
      </c>
      <c r="HN112" s="3026" t="str">
        <f t="shared" si="881"/>
        <v/>
      </c>
      <c r="HO112" s="2965" t="str">
        <f t="shared" si="882"/>
        <v/>
      </c>
      <c r="HP112" s="2488" t="str">
        <f t="shared" si="883"/>
        <v/>
      </c>
      <c r="HQ112" s="3011" t="str">
        <f t="shared" si="556"/>
        <v/>
      </c>
      <c r="HR112" s="1874" t="str">
        <f t="shared" si="557"/>
        <v/>
      </c>
      <c r="HS112" s="1874" t="str">
        <f t="shared" si="558"/>
        <v/>
      </c>
      <c r="HT112" s="2952" t="str">
        <f t="shared" si="884"/>
        <v/>
      </c>
      <c r="HU112" s="2954" t="str">
        <f t="shared" si="885"/>
        <v/>
      </c>
      <c r="HV112" s="2952" t="str">
        <f t="shared" si="559"/>
        <v/>
      </c>
      <c r="HW112" s="2954" t="str">
        <f t="shared" si="560"/>
        <v/>
      </c>
      <c r="HX112" s="3034" t="str">
        <f t="shared" si="199"/>
        <v/>
      </c>
      <c r="HY112" s="2953" t="str">
        <f t="shared" si="886"/>
        <v/>
      </c>
      <c r="HZ112" s="2954" t="str">
        <f t="shared" si="887"/>
        <v/>
      </c>
      <c r="IA112" s="1496" t="str">
        <f t="shared" si="888"/>
        <v/>
      </c>
      <c r="IB112" s="3038" t="str">
        <f t="shared" si="564"/>
        <v/>
      </c>
      <c r="IC112" s="3053" t="str">
        <f t="shared" si="889"/>
        <v/>
      </c>
      <c r="ID112" s="1300"/>
      <c r="IE112" s="4106"/>
      <c r="IF112" s="4114" t="str">
        <f t="shared" si="780"/>
        <v/>
      </c>
      <c r="IG112" s="6779"/>
      <c r="IH112" s="4090" t="str">
        <f t="shared" si="781"/>
        <v/>
      </c>
      <c r="II112" s="6797"/>
      <c r="IJ112" s="4106" t="str">
        <f t="shared" si="782"/>
        <v/>
      </c>
      <c r="IK112" s="4143">
        <v>0</v>
      </c>
      <c r="IL112" s="4196" t="str">
        <f>+IF(IF112="","",IK112*#REF!*IF112)</f>
        <v/>
      </c>
      <c r="IM112" s="4197" t="str">
        <f>IF(HM112="","",IK112*#REF!*IA112)</f>
        <v/>
      </c>
      <c r="IN112" s="4221" t="str">
        <f t="shared" si="783"/>
        <v/>
      </c>
      <c r="IO112" s="4221" t="str">
        <f t="shared" si="784"/>
        <v/>
      </c>
      <c r="IP112" s="7234"/>
      <c r="IQ112" s="7242"/>
      <c r="IR112" s="7234"/>
      <c r="IS112" s="7242"/>
      <c r="IT112" s="4221" t="str">
        <f t="shared" si="789"/>
        <v/>
      </c>
      <c r="IU112" s="6852"/>
      <c r="IV112" s="7268"/>
      <c r="IW112" s="7254" t="str">
        <f>IF(IA112="","",#REF!*IA112)</f>
        <v/>
      </c>
      <c r="IX112" s="4188" t="str">
        <f t="shared" si="792"/>
        <v/>
      </c>
      <c r="IY112" s="4256" t="str">
        <f t="shared" si="793"/>
        <v/>
      </c>
      <c r="IZ112" s="4301" t="str">
        <f t="shared" si="794"/>
        <v/>
      </c>
      <c r="JA112" s="4302" t="str">
        <f t="shared" si="821"/>
        <v/>
      </c>
      <c r="JB112" s="4157"/>
      <c r="JC112" s="4339"/>
      <c r="JD112" s="3256"/>
      <c r="JE112" s="4364"/>
      <c r="JF112" s="7041"/>
      <c r="JG112" s="7057"/>
      <c r="JH112" s="6972" t="str">
        <f>+IF(D112="","",IF(GE112="","",GE112))</f>
        <v/>
      </c>
      <c r="JI112" s="6972"/>
      <c r="JJ112" s="6972"/>
      <c r="JK112" s="6972"/>
      <c r="JL112" s="7009"/>
      <c r="JM112" s="7051"/>
      <c r="JN112" s="1733" t="str">
        <f t="shared" si="637"/>
        <v/>
      </c>
      <c r="JO112" s="1733"/>
      <c r="JP112" s="7082"/>
      <c r="JQ112" s="7082"/>
      <c r="JR112" s="7057"/>
      <c r="JS112" s="7063"/>
      <c r="JT112" s="7169" t="str">
        <f t="shared" si="476"/>
        <v/>
      </c>
      <c r="JU112" s="7170"/>
      <c r="JV112" s="8379"/>
      <c r="JW112" s="8406"/>
      <c r="JX112" s="8435"/>
      <c r="JY112" s="8470"/>
      <c r="JZ112" s="7171"/>
      <c r="KA112" s="7169"/>
      <c r="KB112" s="7170"/>
      <c r="KC112" s="7171"/>
      <c r="KD112" s="7169"/>
      <c r="KE112" s="8343"/>
      <c r="KF112" s="8343"/>
      <c r="KG112" s="7170"/>
      <c r="KH112" s="7170"/>
      <c r="KI112" s="7170"/>
      <c r="KJ112" s="7170"/>
      <c r="KK112" s="7170"/>
      <c r="KL112" s="7170"/>
      <c r="KM112" s="7170"/>
      <c r="KN112" s="7170"/>
      <c r="KO112" s="7170"/>
      <c r="KP112" s="7171"/>
      <c r="KQ112" s="7213" t="str">
        <f>+IF(D112="","",VLOOKUP(MATCH(BE112,ac_id,0),ad,ac!$F$8,FALSE)*JV112)</f>
        <v/>
      </c>
      <c r="KR112" s="7082" t="str">
        <f>+IF(D112="","",VLOOKUP(MATCH(BE112,ac_id,0),ad,ac!$H$8,FALSE)*JU112^(IF(JT112=2,VLOOKUP(MATCH(BE112,ac_id,0),ad,ac!$I$8,FALSE),1)))</f>
        <v/>
      </c>
      <c r="KS112" s="7063"/>
      <c r="KT112" s="7213" t="str">
        <f>+IF(D112="","",IF(KR112="","",$KT$26*KR112))</f>
        <v/>
      </c>
      <c r="KU112" s="7057" t="str">
        <f t="shared" si="666"/>
        <v/>
      </c>
      <c r="KV112" s="7393" t="str">
        <f t="shared" si="667"/>
        <v/>
      </c>
      <c r="KW112" s="7394" t="str">
        <f>IF(JS112="","",IF(KV112=2,#REF!,$KW$5)*JS112)</f>
        <v/>
      </c>
      <c r="KX112" s="7063" t="str">
        <f>+IF(D112="","",IF(KW112="","",IF(KT112="",0,KT112)+IF(KU112="",0,KU112)+KW112))</f>
        <v/>
      </c>
      <c r="KY112" s="7357" t="str">
        <f>+IF(D112="","",IF(KW112="","",KQ112+KR112+KX112))</f>
        <v/>
      </c>
      <c r="KZ112" s="7358"/>
      <c r="LA112" s="7359" t="str">
        <f t="shared" si="668"/>
        <v/>
      </c>
      <c r="LB112" s="7360" t="str">
        <f t="shared" si="669"/>
        <v/>
      </c>
      <c r="LC112" s="5133"/>
      <c r="LD112" s="5132"/>
      <c r="LE112" s="5132"/>
      <c r="LF112" s="5132"/>
      <c r="LG112" s="5132"/>
      <c r="LH112" s="5132"/>
      <c r="LI112" s="5132"/>
      <c r="LJ112" s="5132"/>
    </row>
    <row r="113" spans="1:322" s="8304" customFormat="1" ht="27.95" customHeight="1">
      <c r="A113" s="10536" t="str">
        <f>+O113</f>
        <v>8305-03</v>
      </c>
      <c r="B113" s="10521" t="str">
        <f>+IF(A113="","",VLOOKUP(MATCH(A113,tid,0),tao,'12(id)'!$J$20,FALSE))</f>
        <v>PSEG</v>
      </c>
      <c r="C113" s="10549" t="str">
        <f>+Q113</f>
        <v>BHB3</v>
      </c>
      <c r="D113" s="8184" t="str">
        <f t="shared" si="859"/>
        <v>8305-03-01</v>
      </c>
      <c r="E113" s="8185" t="str">
        <f t="shared" si="863"/>
        <v>Work in progress, PSEG asks for more time to develop a solution, due to limited information on the NOx control technologies feasibility on coal boliers</v>
      </c>
      <c r="F113" s="8185" t="str">
        <f t="shared" si="777"/>
        <v/>
      </c>
      <c r="G113" s="7780"/>
      <c r="H113" s="8186"/>
      <c r="I113" s="7780"/>
      <c r="J113" s="8187">
        <f t="shared" si="820"/>
        <v>79</v>
      </c>
      <c r="K113" s="10541">
        <f>1+K109</f>
        <v>10</v>
      </c>
      <c r="L113" s="9518"/>
      <c r="M113" s="10557"/>
      <c r="N113" s="9699"/>
      <c r="O113" s="9711" t="s">
        <v>292</v>
      </c>
      <c r="P113" s="9287"/>
      <c r="Q113" s="9704" t="str">
        <f>+IF(ISERROR(MATCH(O113,tid,0)),"",VLOOKUP(MATCH(O113,tid,0),tao,'12(id)'!$Q$20,FALSE))</f>
        <v>BHB3</v>
      </c>
      <c r="R113" s="10523">
        <v>1</v>
      </c>
      <c r="S113" s="9704"/>
      <c r="T113" s="10525">
        <f>+IF(ISERROR(MATCH(O113,tid,0)),"",IF(VLOOKUP(MATCH(O113,tid,0),tao,'12(id)'!$CT$20,FALSE)="","",VLOOKUP(MATCH(O113,tid,0),tao,'12(id)'!$CT$20,FALSE)))</f>
        <v>410</v>
      </c>
      <c r="U113" s="10529" t="str">
        <f>+IF(ISERROR(MATCH(O113,tid,0)),"",IF(VLOOKUP(MATCH(O113,tid,0),tao,'12(id)'!$CU$20,FALSE)="","",VLOOKUP(MATCH(O113,tid,0),tao,'12(id)'!$CU$20,FALSE)))</f>
        <v/>
      </c>
      <c r="V113" s="10446" t="str">
        <f>+IF(O113="","",IF(VLOOKUP(MATCH(O113,tid,0),tao,'12(id)'!$T$20,FALSE)="","",VLOOKUP(MATCH(O113,tid,0),tao,'12(id)'!$T$20,FALSE)))</f>
        <v>Utility Boiler</v>
      </c>
      <c r="W113" s="10446" t="str">
        <f>+IF(ISERROR(MATCH(O113,tid,0)),"",IF(VLOOKUP(MATCH(O113,tid,0),tao,'12(id)'!$CO$20,FALSE)="","",VLOOKUP(MATCH(O113,tid,0),tao,'12(id)'!$CO$20,FALSE)))</f>
        <v>Combustion Engineering</v>
      </c>
      <c r="X113" s="10446" t="str">
        <f>+IF(ISERROR(MATCH(O113,tid,0)),"",IF(VLOOKUP(MATCH(O113,tid,0),tao,'12(id)'!$CP$20,FALSE)="","",VLOOKUP(MATCH(O113,tid,0),tao,'12(id)'!$CP$20,FALSE)))</f>
        <v/>
      </c>
      <c r="Y113" s="8188" t="str">
        <f>+IF(ISERROR(MATCH(O113,tid,0)),"",IF(VLOOKUP(MATCH(O113,tid,0),tao,'12(id)'!$CQ$20,FALSE)="","",VLOOKUP(MATCH(O113,tid,0),tao,'12(id)'!$CQ$20,FALSE)))</f>
        <v/>
      </c>
      <c r="Z113" s="10445" t="str">
        <f>+IF(ISERROR(MATCH(O113,tid,0)),"",VLOOKUP(MATCH(O113,tid,0),tao,'12(id)'!$DB$20,FALSE)&amp;" "&amp;VLOOKUP(MATCH(O113,tid,0),tao,'12(id)'!$DC$20,FALSE))</f>
        <v>Aug 1968</v>
      </c>
      <c r="AA113" s="10445" t="str">
        <f ca="1">+IF(ISERROR(MATCH(O113,tid,0)),"",IF(VLOOKUP(MATCH(O113,tid,0),tao,'12(id)'!$DE$20,FALSE)="","",ROUND(VLOOKUP(MATCH(O113,tid,0),tao,'12(id)'!$DE$20,FALSE),0)&amp;" yrs"))</f>
        <v>46 yrs</v>
      </c>
      <c r="AB113" s="9732" t="str">
        <f>+IF(ISERROR(MATCH(O113,tid,0)),"",VLOOKUP(MATCH(O113,tid,0),tao,'12(id)'!$DI$20,FALSE))</f>
        <v>Coal</v>
      </c>
      <c r="AC113" s="9732" t="str">
        <f>+IF(ISERROR(MATCH(O113,tid,0)),"",IF(VLOOKUP(MATCH(O113,tid,0),tao,'12(id)'!$DQ$20,FALSE)="","",VLOOKUP(MATCH(O113,tid,0),tao,'12(id)'!$DQ$20,FALSE)))</f>
        <v>No. 6 oil</v>
      </c>
      <c r="AD113" s="10411" t="str">
        <f>+IF(ISERROR(MATCH(O113,tid,0)),"",IF(VLOOKUP(MATCH(O113,tid,0),tao,'12(id)'!$EI$20,FALSE)="","",VLOOKUP(MATCH(O113,tid,0),tao,'12(id)'!$EI$20,FALSE)))</f>
        <v/>
      </c>
      <c r="AE113" s="10411" t="str">
        <f>+IF(ISERROR(MATCH(O113,tid,0)),"",IF(VLOOKUP(MATCH(O113,tid,0),tao,'12(id)'!$EJ$20,FALSE)="","",VLOOKUP(MATCH(O113,tid,0),tao,'12(id)'!$EJ$20,FALSE)))</f>
        <v/>
      </c>
      <c r="AF113" s="10411" t="str">
        <f>+IF(ISERROR(MATCH(O113,tid,0)),"",IF(VLOOKUP(MATCH(O113,tid,0),tao,'12(id)'!$EL$20,FALSE)="","",VLOOKUP(MATCH(O113,tid,0),tao,'12(id)'!$EL$20,FALSE)))</f>
        <v/>
      </c>
      <c r="AG113" s="10448" t="str">
        <f>+IF(ISERROR(MATCH(O113,tid,0)),"",IF(VLOOKUP(MATCH(O113,tid,0),tao,'12(id)'!$EM$20,FALSE)="","",VLOOKUP(MATCH(O113,tid,0),tao,'12(id)'!$EM$20,FALSE)))</f>
        <v/>
      </c>
      <c r="AH113" s="10436" t="str">
        <f>+AH109</f>
        <v>48 hrs/year operation</v>
      </c>
      <c r="AI113" s="10434"/>
      <c r="AJ113" s="10434"/>
      <c r="AK113" s="10434"/>
      <c r="AL113" s="10434"/>
      <c r="AM113" s="10453"/>
      <c r="AN113" s="10423" t="str">
        <f>+AN109</f>
        <v>2010-2009 average</v>
      </c>
      <c r="AO113" s="10425" t="str">
        <f>+IF(ISERROR(MATCH(O113,tid,0)),"",IF(VLOOKUP(MATCH(O113,tid,0),tao,'12(id)'!$GY$20,FALSE)="","",VLOOKUP(MATCH(O113,tid,0),tao,'12(id)'!$GY$20,FALSE)))</f>
        <v/>
      </c>
      <c r="AP113" s="10377" t="str">
        <f>+IF($BB113="","",IF(VLOOKUP(MATCH(O113,tid,0),tao,'12(id)'!$HE$20,FALSE)="","",VLOOKUP(MATCH(O113,tid,0),tao,'12(id)'!$HE$20,FALSE)))</f>
        <v/>
      </c>
      <c r="AQ113" s="10406" t="str">
        <f>+IF(ISERROR(VLOOKUP(MATCH(O113,tid,0),tao,'12(id)'!$HF$20,FALSE)),"",VLOOKUP(MATCH(O113,tid,0),tao,'12(id)'!$HF$20,FALSE))</f>
        <v/>
      </c>
      <c r="AR113" s="10417" t="str">
        <f>+IF(ISERROR(MATCH(O113,tid,0)),"",IF(VLOOKUP(MATCH(O113,tid,0),tao,'12(id)'!$HJ$20,FALSE)="","",VLOOKUP(MATCH(O113,tid,0),tao,'12(id)'!$HJ$20,FALSE)))</f>
        <v/>
      </c>
      <c r="AS113" s="10419" t="str">
        <f>+IF(ISERROR(MATCH(O113,tid,0)),"",IF(VLOOKUP(MATCH(O113,tid,0),tao,'12(id)'!$HK$20,FALSE)="","",VLOOKUP(MATCH(O113,tid,0),tao,'12(id)'!$HK$20,FALSE)))</f>
        <v/>
      </c>
      <c r="AT113" s="10466" t="str">
        <f>+IF(ISERROR(MATCH(O113,tid,0)),"",IF(VLOOKUP(MATCH(O113,tid,0),tao,'12(id)'!$HM$20,FALSE)="","",VLOOKUP(MATCH(O113,tid,0),tao,'12(id)'!$HM$20,FALSE)))</f>
        <v/>
      </c>
      <c r="AU113" s="10470" t="str">
        <f>+AU109</f>
        <v>CAIR-OS (max last 3 yrs)</v>
      </c>
      <c r="AV113" s="10473">
        <f>+IF(ISERROR(MATCH(O113,em_id,0)),"",IF(VLOOKUP(MATCH(O113,em_id,0),em,'5(em)'!$CX$18,FALSE)="","",VLOOKUP(MATCH(O113,em_id,0),em,'5(em)'!$CX$18,FALSE)))</f>
        <v>3474</v>
      </c>
      <c r="AW113" s="10489">
        <f>+IF(ISERROR(MATCH(O113,em_id,0)),"",IF(VLOOKUP(MATCH(O113,em_id,0),em,'5(em)'!$CZ$18,FALSE)="","",VLOOKUP(MATCH(O113,em_id,0),em,'5(em)'!$CZ$18,FALSE)))</f>
        <v>13163750</v>
      </c>
      <c r="AX113" s="10478">
        <f t="shared" si="860"/>
        <v>0.14000000000000001</v>
      </c>
      <c r="AY113" s="10480"/>
      <c r="AZ113" s="10482">
        <f>+IF(ISERROR(MATCH(O113,em_id,0)),"",IF(VLOOKUP(MATCH(O113,em_id,0),em,'5(em)'!$DA$18,FALSE)="","",VLOOKUP(MATCH(O113,em_id,0),em,'5(em)'!$DA$18,FALSE)))</f>
        <v>916.7</v>
      </c>
      <c r="BA113" s="8189"/>
      <c r="BB113" s="8190" t="str">
        <f>+IF(BC113="","",IF(R113=1,(IF(O113="",LEFT(BB112,7),O113)&amp;"-0"&amp;BC113),IF(AND(LEFT(O113,4)=LEFT(O112,4),R113&gt;1),IF(LEFT(C113,1)=LEFT(C112,1),LEFT(BB112,9),O113&amp;"-0")&amp;BC113,IF(O113="",LEFT(BB112,9)&amp;BC113,O113&amp;"-0"&amp;BC113))))</f>
        <v>8305-03-01</v>
      </c>
      <c r="BC113" s="8184">
        <v>1</v>
      </c>
      <c r="BD113" s="8305" t="str">
        <f>+IF(OR(D113="",VLOOKUP(MATCH(D113,op_id,0),op,'7(op)'!$T$18,FALSE)=""),"",VLOOKUP(MATCH(D113,op_id,0),op,'7(op)'!$T$18,FALSE))</f>
        <v>Work in progress, PSEG asks for more time to develop a solution, due to limited information on the NOx control technologies feasibility on coal boliers</v>
      </c>
      <c r="BE113" s="8185"/>
      <c r="BF113" s="8185" t="s">
        <v>1862</v>
      </c>
      <c r="BG113" s="8191"/>
      <c r="BH113" s="8189"/>
      <c r="BI113" s="8192"/>
      <c r="BJ113" s="8192"/>
      <c r="BK113" s="8192"/>
      <c r="BL113" s="8192"/>
      <c r="BM113" s="8192"/>
      <c r="BN113" s="8192" t="str">
        <f t="shared" si="854"/>
        <v/>
      </c>
      <c r="BO113" s="8192" t="str">
        <f t="shared" si="855"/>
        <v/>
      </c>
      <c r="BP113" s="8192" t="str">
        <f t="shared" si="856"/>
        <v/>
      </c>
      <c r="BQ113" s="8192" t="str">
        <f t="shared" si="857"/>
        <v/>
      </c>
      <c r="BR113" s="8193"/>
      <c r="BS113" s="8194"/>
      <c r="BT113" s="8192"/>
      <c r="BU113" s="8195" t="str">
        <f>+IF(BB113="","",IF(VLOOKUP(MATCH(BB113,ef_id,0),ef,'11(eff)'!$Z$23,FALSE)="","",VLOOKUP(MATCH(BB113,ef_id,0),ef,'11(eff)'!$Z$23,FALSE)))</f>
        <v/>
      </c>
      <c r="BV113" s="8196" t="str">
        <f>+IF(BB113="","",IF(VLOOKUP(MATCH(BB113,ef_id,0),ef,'11(eff)'!$AA$23,FALSE)="","",VLOOKUP(MATCH(BB113,ef_id,0),ef,'11(eff)'!$AA$23,FALSE)))</f>
        <v/>
      </c>
      <c r="BW113" s="8197"/>
      <c r="BX113" s="8198" t="str">
        <f t="shared" si="864"/>
        <v/>
      </c>
      <c r="BY113" s="8199" t="str">
        <f t="shared" si="512"/>
        <v/>
      </c>
      <c r="BZ113" s="8200"/>
      <c r="CA113" s="8201"/>
      <c r="CB113" s="8202" t="str">
        <f>+IF(OR(BX113="",BX113=0),IF(CA113="",IF(GJ113="","",GI113/GJ113/IF(R113="",IF(R112="",R111,R112),R113)),CA113),IF(AT113="",IF(AT112="",AT111,AT112),AT113)-BX113)</f>
        <v/>
      </c>
      <c r="CC113" s="8203" t="str">
        <f t="shared" si="865"/>
        <v/>
      </c>
      <c r="CD113" s="8203" t="str">
        <f t="shared" si="514"/>
        <v/>
      </c>
      <c r="CE113" s="8204">
        <f>+IF(BB113="","",IF(VLOOKUP(MATCH(BB113,ef_id,0),ef,'11(eff)'!$AE$23,FALSE)="","",VLOOKUP(MATCH(BB113,ef_id,0),ef,'11(eff)'!$AE$23,FALSE)))</f>
        <v>0.6</v>
      </c>
      <c r="CF113" s="8189"/>
      <c r="CG113" s="8192"/>
      <c r="CH113" s="8205"/>
      <c r="CI113" s="8202">
        <f t="shared" si="628"/>
        <v>5.5710568796885386E-2</v>
      </c>
      <c r="CJ113" s="8206" t="str">
        <f>+IF(AY113="","",AY113*(1-CO113))</f>
        <v/>
      </c>
      <c r="CK113" s="8202">
        <f>+IF($BB113="","",IF(CI113="",IF($AZ113="",IF($AZ112="",$AZ111,$AZ112),$AZ113)-CL113,IF(OR(IF($AW113="",IF($AW112="",$AW111,$AW112),$AW113)="",CI113=""),"",CI113/2000*IF($AW113="",IF($AW112="",$AW111,$AW112),$AW113))))</f>
        <v>366.68</v>
      </c>
      <c r="CL113" s="8207">
        <f>+IF($BB113="","",IF(CI113="",CO113*IF($AZ113="",IF($AZ112="",$AZ111,$AZ112),$AZ113),IF(CK113="","",IF($AZ113="",IF($AZ112="",$AZ111,$AZ112),$AZ113)-CK113)))</f>
        <v>550.02</v>
      </c>
      <c r="CM113" s="8208">
        <f>+IF($BB113="","",IF(CL113="","",CL113/IF($AZ113="",IF($AZ112="",$AZ111,$AZ112),$AZ113)))</f>
        <v>0.6</v>
      </c>
      <c r="CN113" s="8208">
        <f>+IF($BB113="","",IF(CI113="","",(1-CI113/IF($AX113="",IF($AX112="",$AX111,$AX112),$AX113))))</f>
        <v>0.60206736573653297</v>
      </c>
      <c r="CO113" s="8209">
        <f>+IF(BB113="","",IF(VLOOKUP(MATCH(BB113,ef_id,0),ef,'11(eff)'!$AE$23,FALSE)="","",VLOOKUP(MATCH(BB113,ef_id,0),ef,'11(eff)'!$AE$23,FALSE)))</f>
        <v>0.6</v>
      </c>
      <c r="CP113" s="8210">
        <f>+IF(OR(BB113="",VLOOKUP(MATCH(BB113,ef_id,0),ef,'11(eff)'!$AG$23,FALSE)=""),"",IF(VLOOKUP(MATCH(BB113,ef_id,0),ef,'11(eff)'!$AG$23,FALSE)/100=VLOOKUP(MATCH(BB113,ef_id,0),ef,'11(eff)'!$AE$23,FALSE),VLOOKUP(MATCH(BB113,ef_id,0),ef,'11(eff)'!$AE$23,FALSE),""))</f>
        <v>0.6</v>
      </c>
      <c r="CQ113" s="8211" t="str">
        <f>+IF(BD113="","",BD113)</f>
        <v>Work in progress, PSEG asks for more time to develop a solution, due to limited information on the NOx control technologies feasibility on coal boliers</v>
      </c>
      <c r="CR113" s="8212"/>
      <c r="CS113" s="8213"/>
      <c r="CT113" s="8214"/>
      <c r="CU113" s="8215"/>
      <c r="CV113" s="8216" t="str">
        <f t="shared" si="704"/>
        <v/>
      </c>
      <c r="CW113" s="8217"/>
      <c r="CX113" s="8217"/>
      <c r="CY113" s="8218"/>
      <c r="CZ113" s="8219"/>
      <c r="DA113" s="8220"/>
      <c r="DB113" s="8220"/>
      <c r="DC113" s="8216"/>
      <c r="DD113" s="8221"/>
      <c r="DE113" s="8222"/>
      <c r="DF113" s="8223"/>
      <c r="DG113" s="8223"/>
      <c r="DH113" s="8221"/>
      <c r="DI113" s="8224" t="str">
        <f t="shared" si="779"/>
        <v/>
      </c>
      <c r="DJ113" s="8225"/>
      <c r="DK113" s="8214"/>
      <c r="DL113" s="8215"/>
      <c r="DM113" s="8216" t="str">
        <f t="shared" si="705"/>
        <v/>
      </c>
      <c r="DN113" s="8217"/>
      <c r="DO113" s="8217"/>
      <c r="DP113" s="8218"/>
      <c r="DQ113" s="8219"/>
      <c r="DR113" s="8220"/>
      <c r="DS113" s="8220"/>
      <c r="DT113" s="8216"/>
      <c r="DU113" s="8221"/>
      <c r="DV113" s="8222"/>
      <c r="DW113" s="8223"/>
      <c r="DX113" s="8223"/>
      <c r="DY113" s="8221"/>
      <c r="DZ113" s="8224" t="str">
        <f t="shared" si="664"/>
        <v/>
      </c>
      <c r="EA113" s="8225"/>
      <c r="EB113" s="8215" t="str">
        <f>+IF(CT113+DK113=0,"",CT113+DK113)</f>
        <v/>
      </c>
      <c r="EC113" s="8226"/>
      <c r="ED113" s="8227" t="str">
        <f>+IF(EB113&gt;0,IF(ISERROR(EB113*EC113),"",EB113*EC113),"")</f>
        <v/>
      </c>
      <c r="EE113" s="8228"/>
      <c r="EF113" s="8229"/>
      <c r="EG113" s="8230"/>
      <c r="EH113" s="8224" t="str">
        <f>+IF(OR(BB113="",EB113=""),"",SUM(EE113:EG113))</f>
        <v/>
      </c>
      <c r="EI113" s="8222"/>
      <c r="EJ113" s="8223"/>
      <c r="EK113" s="8231"/>
      <c r="EL113" s="8232"/>
      <c r="EM113" s="8222"/>
      <c r="EN113" s="8223"/>
      <c r="EO113" s="8231"/>
      <c r="EP113" s="8224" t="str">
        <f t="shared" si="776"/>
        <v/>
      </c>
      <c r="EQ113" s="8224"/>
      <c r="ER113" s="8224"/>
      <c r="ES113" s="8224"/>
      <c r="ET113" s="8232" t="str">
        <f>+IF(OR(BB113="",EB113=""),"",SUM(EQ113:ES113))</f>
        <v/>
      </c>
      <c r="EU113" s="8233"/>
      <c r="EV113" s="8234"/>
      <c r="EW113" s="8235"/>
      <c r="EX113" s="8235"/>
      <c r="EY113" s="8236">
        <f>+IF(BB113="","",(IF(ED113="",0,ED113)+IF(EH113="",0,EH113)+IF(EP113="",0,EP113)+IF(ET113="",0,ET113)+IF(EW113="",0,EW113)+IF(EX113="",0,EX113)))</f>
        <v>0</v>
      </c>
      <c r="EZ113" s="8237"/>
      <c r="FA113" s="8234"/>
      <c r="FB113" s="8238">
        <f t="shared" si="515"/>
        <v>0</v>
      </c>
      <c r="FC113" s="8239" t="str">
        <f t="shared" si="516"/>
        <v/>
      </c>
      <c r="FD113" s="8240" t="str">
        <f t="shared" si="517"/>
        <v/>
      </c>
      <c r="FE113" s="8241" t="str">
        <f t="shared" si="509"/>
        <v/>
      </c>
      <c r="FF113" s="8240" t="str">
        <f t="shared" si="518"/>
        <v/>
      </c>
      <c r="FG113" s="8241" t="str">
        <f t="shared" si="519"/>
        <v/>
      </c>
      <c r="FH113" s="8240">
        <f t="shared" si="520"/>
        <v>0</v>
      </c>
      <c r="FI113" s="8241" t="str">
        <f t="shared" si="510"/>
        <v/>
      </c>
      <c r="FJ113" s="8242" t="str">
        <f t="shared" si="521"/>
        <v/>
      </c>
      <c r="FK113" s="8241" t="str">
        <f t="shared" si="522"/>
        <v/>
      </c>
      <c r="FL113" s="8243" t="str">
        <f t="shared" si="523"/>
        <v/>
      </c>
      <c r="FM113" s="8241" t="str">
        <f t="shared" si="524"/>
        <v/>
      </c>
      <c r="FN113" s="8240" t="str">
        <f t="shared" si="525"/>
        <v/>
      </c>
      <c r="FO113" s="8241" t="str">
        <f t="shared" si="526"/>
        <v/>
      </c>
      <c r="FP113" s="8240" t="str">
        <f t="shared" si="527"/>
        <v/>
      </c>
      <c r="FQ113" s="8241" t="str">
        <f t="shared" si="528"/>
        <v/>
      </c>
      <c r="FR113" s="8244" t="str">
        <f t="shared" si="529"/>
        <v/>
      </c>
      <c r="FS113" s="8245" t="str">
        <f t="shared" si="530"/>
        <v/>
      </c>
      <c r="FT113" s="8246" t="str">
        <f t="shared" si="531"/>
        <v/>
      </c>
      <c r="FU113" s="8247" t="str">
        <f t="shared" si="532"/>
        <v/>
      </c>
      <c r="FV113" s="8248" t="str">
        <f t="shared" si="533"/>
        <v/>
      </c>
      <c r="FW113" s="8249" t="str">
        <f t="shared" si="534"/>
        <v/>
      </c>
      <c r="FX113" s="8250" t="str">
        <f t="shared" si="535"/>
        <v/>
      </c>
      <c r="FY113" s="8251" t="str">
        <f t="shared" si="536"/>
        <v/>
      </c>
      <c r="FZ113" s="8250" t="str">
        <f t="shared" si="537"/>
        <v/>
      </c>
      <c r="GA113" s="8250" t="str">
        <f t="shared" si="538"/>
        <v/>
      </c>
      <c r="GB113" s="8251" t="str">
        <f t="shared" si="539"/>
        <v/>
      </c>
      <c r="GC113" s="8250" t="str">
        <f t="shared" si="540"/>
        <v/>
      </c>
      <c r="GD113" s="8250" t="str">
        <f t="shared" si="541"/>
        <v/>
      </c>
      <c r="GE113" s="8252">
        <f t="shared" si="542"/>
        <v>0</v>
      </c>
      <c r="GF113" s="8253">
        <f t="shared" si="741"/>
        <v>0</v>
      </c>
      <c r="GG113" s="8254" t="str">
        <f t="shared" si="544"/>
        <v/>
      </c>
      <c r="GH113" s="8255">
        <f t="shared" si="868"/>
        <v>0</v>
      </c>
      <c r="GI113" s="8252" t="s">
        <v>939</v>
      </c>
      <c r="GJ113" s="8242"/>
      <c r="GK113" s="8256" t="str">
        <f t="shared" si="423"/>
        <v/>
      </c>
      <c r="GL113" s="8257" t="str">
        <f>+IF(OR(BB113="",GI113="",GJ113=""),"",(GJ113-GI113/GK113)/GJ113)</f>
        <v/>
      </c>
      <c r="GM113" s="8258"/>
      <c r="GN113" s="8259"/>
      <c r="GO113" s="8260"/>
      <c r="GP113" s="8261"/>
      <c r="GQ113" s="8262" t="str">
        <f t="shared" si="582"/>
        <v/>
      </c>
      <c r="GR113" s="8263"/>
      <c r="GS113" s="8263"/>
      <c r="GT113" s="8264"/>
      <c r="GU113" s="8265" t="str">
        <f t="shared" si="862"/>
        <v/>
      </c>
      <c r="GV113" s="8266" t="str">
        <f t="shared" si="869"/>
        <v/>
      </c>
      <c r="GW113" s="8267" t="str">
        <f t="shared" si="870"/>
        <v/>
      </c>
      <c r="GX113" s="8264" t="str">
        <f t="shared" si="871"/>
        <v/>
      </c>
      <c r="GY113" s="8264" t="str">
        <f t="shared" si="872"/>
        <v/>
      </c>
      <c r="GZ113" s="8264" t="str">
        <f t="shared" si="873"/>
        <v/>
      </c>
      <c r="HA113" s="8268" t="str">
        <f t="shared" si="874"/>
        <v/>
      </c>
      <c r="HB113" s="8269" t="str">
        <f t="shared" si="432"/>
        <v/>
      </c>
      <c r="HC113" s="8270" t="str">
        <f t="shared" si="875"/>
        <v/>
      </c>
      <c r="HD113" s="8271" t="str">
        <f t="shared" si="375"/>
        <v/>
      </c>
      <c r="HE113" s="8258"/>
      <c r="HF113" s="8272" t="str">
        <f t="shared" si="555"/>
        <v/>
      </c>
      <c r="HG113" s="8259"/>
      <c r="HH113" s="8273"/>
      <c r="HI113" s="8239" t="str">
        <f t="shared" si="876"/>
        <v/>
      </c>
      <c r="HJ113" s="8274" t="str">
        <f t="shared" si="877"/>
        <v/>
      </c>
      <c r="HK113" s="8274" t="str">
        <f t="shared" si="878"/>
        <v/>
      </c>
      <c r="HL113" s="8274" t="str">
        <f t="shared" si="879"/>
        <v/>
      </c>
      <c r="HM113" s="8275" t="str">
        <f t="shared" si="880"/>
        <v/>
      </c>
      <c r="HN113" s="8276" t="str">
        <f t="shared" si="881"/>
        <v/>
      </c>
      <c r="HO113" s="8277" t="str">
        <f t="shared" si="882"/>
        <v/>
      </c>
      <c r="HP113" s="8274" t="str">
        <f t="shared" si="883"/>
        <v/>
      </c>
      <c r="HQ113" s="8278" t="str">
        <f t="shared" si="556"/>
        <v/>
      </c>
      <c r="HR113" s="8279" t="str">
        <f t="shared" si="557"/>
        <v/>
      </c>
      <c r="HS113" s="8279" t="str">
        <f t="shared" si="558"/>
        <v/>
      </c>
      <c r="HT113" s="8277" t="str">
        <f t="shared" si="884"/>
        <v/>
      </c>
      <c r="HU113" s="8279" t="str">
        <f t="shared" si="885"/>
        <v/>
      </c>
      <c r="HV113" s="8277" t="str">
        <f t="shared" si="559"/>
        <v/>
      </c>
      <c r="HW113" s="8279" t="str">
        <f t="shared" si="560"/>
        <v/>
      </c>
      <c r="HX113" s="8280" t="str">
        <f t="shared" si="199"/>
        <v/>
      </c>
      <c r="HY113" s="8274" t="str">
        <f t="shared" si="886"/>
        <v/>
      </c>
      <c r="HZ113" s="8279" t="str">
        <f t="shared" si="887"/>
        <v/>
      </c>
      <c r="IA113" s="8239" t="str">
        <f t="shared" si="888"/>
        <v/>
      </c>
      <c r="IB113" s="8281" t="str">
        <f t="shared" si="564"/>
        <v/>
      </c>
      <c r="IC113" s="8282" t="str">
        <f t="shared" si="889"/>
        <v/>
      </c>
      <c r="ID113" s="8283"/>
      <c r="IE113" s="8284"/>
      <c r="IF113" s="8280" t="str">
        <f t="shared" si="780"/>
        <v/>
      </c>
      <c r="IG113" s="8285"/>
      <c r="IH113" s="8286" t="str">
        <f t="shared" si="781"/>
        <v/>
      </c>
      <c r="II113" s="8287"/>
      <c r="IJ113" s="8288" t="str">
        <f t="shared" si="782"/>
        <v/>
      </c>
      <c r="IK113" s="8289">
        <v>0</v>
      </c>
      <c r="IL113" s="8274" t="str">
        <f>+IF(IF113="","",IK113*#REF!*IF113)</f>
        <v/>
      </c>
      <c r="IM113" s="8279" t="str">
        <f>IF(HM113="","",IK113*#REF!*IA113)</f>
        <v/>
      </c>
      <c r="IN113" s="8290" t="str">
        <f t="shared" si="783"/>
        <v/>
      </c>
      <c r="IO113" s="8290" t="str">
        <f t="shared" si="784"/>
        <v/>
      </c>
      <c r="IP113" s="8290" t="str">
        <f t="shared" ref="IP113" si="953">+IF(BB113="","",IF(IJ113="","",IJ113/IF(R113="",IF(R112="",IF(R111="",R110,R111),R112),R113)))</f>
        <v/>
      </c>
      <c r="IQ113" s="8291" t="str">
        <f t="shared" ref="IQ113" si="954">+IF(IP113="","",IP113/IX113)</f>
        <v/>
      </c>
      <c r="IR113" s="8290" t="str">
        <f t="shared" ref="IR113" si="955">+IF(BB113="","",IF(IN113="","",IN113/IF(R113="",IF(R112="",IF(R111="",R110,R111),R112),R113)))</f>
        <v/>
      </c>
      <c r="IS113" s="8291" t="str">
        <f t="shared" ref="IS113" si="956">+IF(IR113="","",IR113/IX113)</f>
        <v/>
      </c>
      <c r="IT113" s="8290" t="str">
        <f t="shared" si="789"/>
        <v/>
      </c>
      <c r="IU113" s="8291"/>
      <c r="IV113" s="8289">
        <f>+IF(D113="","",IF(IF(V113="",IF(V112="",IF(V111="",V110,V111),V112),V113)="Utility Boiler",2,1))</f>
        <v>2</v>
      </c>
      <c r="IW113" s="8279" t="str">
        <f>IF(IA113="","",IF(IV113=1,$IW$5,IF(IV113=2,$IW$8,""))*IA113)</f>
        <v/>
      </c>
      <c r="IX113" s="8276" t="str">
        <f t="shared" si="792"/>
        <v/>
      </c>
      <c r="IY113" s="8292" t="str">
        <f t="shared" si="793"/>
        <v/>
      </c>
      <c r="IZ113" s="8293" t="str">
        <f t="shared" si="794"/>
        <v/>
      </c>
      <c r="JA113" s="8294" t="str">
        <f>+IF(BB113="","",IF(ISERROR(IY113-IX113),"",IF((IY113-IX113)&gt;0,"stk added + "&amp;ROUND((IY113-IX113)/IY113*100,0)&amp;"%",IF(IY113=IX113,"same TAC",(IY113-IX113)/IY113))))</f>
        <v/>
      </c>
      <c r="JB113" s="8295"/>
      <c r="JC113" s="8285"/>
      <c r="JD113" s="8272"/>
      <c r="JE113" s="8296"/>
      <c r="JF113" s="8297">
        <f>+IF(D113="","",IF(T113="",IF(T112="",T111/IF(Y111="TP",2,1),T112/IF(Y112="TP",2,1)),T113/IF(Y113="TP",2,1)))</f>
        <v>410</v>
      </c>
      <c r="JG113" s="8298" t="s">
        <v>1333</v>
      </c>
      <c r="JH113" s="8299">
        <f>+IF(D113="","",IF(GE113="","",GE113))</f>
        <v>0</v>
      </c>
      <c r="JI113" s="8299">
        <f>+JH113</f>
        <v>0</v>
      </c>
      <c r="JJ113" s="8299"/>
      <c r="JK113" s="8299"/>
      <c r="JL113" s="8300"/>
      <c r="JM113" s="8245" t="str">
        <f t="shared" ref="JM113" si="957">+IF(D113="","",IF(JG113="SCR",(JF113*49700+459000),IF(JG113="HPWI",(0.0353*JF113+0.2915)*(10^6),"N/A")))</f>
        <v>N/A</v>
      </c>
      <c r="JN113" s="8274" t="str">
        <f t="shared" si="637"/>
        <v/>
      </c>
      <c r="JO113" s="8274">
        <f t="shared" si="717"/>
        <v>0</v>
      </c>
      <c r="JP113" s="8278"/>
      <c r="JQ113" s="8278"/>
      <c r="JR113" s="8274"/>
      <c r="JS113" s="8279">
        <f>+IF(D113="","",SUM(JO113:JR113))</f>
        <v>0</v>
      </c>
      <c r="JT113" s="8301" t="str">
        <f t="shared" si="476"/>
        <v/>
      </c>
      <c r="JU113" s="7131">
        <f>+IF(D113="","",IF(AV113="",IF(AV112="",IF(AV111="","",AV111),AV112),AV113))</f>
        <v>3474</v>
      </c>
      <c r="JV113" s="8366">
        <f>+IF(D113="","",IF(AW113="",IF(AW112="",IF(AW111="","",AW111),AW112),AW113))</f>
        <v>13163750</v>
      </c>
      <c r="JW113" s="8393">
        <f t="shared" si="682"/>
        <v>550.02</v>
      </c>
      <c r="JX113" s="8422" t="str">
        <f t="shared" ref="JX113" si="958">+IF(OR(D113="",JU113=""),"",IF(JT113=2,24000/JU113,""))</f>
        <v/>
      </c>
      <c r="JY113" s="8457" t="str">
        <f>+IF(D113="","",IF(JT113=2,($JY$8*(1+$JY$8)^JX113)/((1+$JY$8)^JX113-1),""))</f>
        <v/>
      </c>
      <c r="JZ113" s="7132" t="str">
        <f t="shared" ref="JZ113" si="959">+IF(OR(D113="",JU113="",ISERROR(JF113)),"",IF(JT113=2,JF113*6180/83,""))</f>
        <v/>
      </c>
      <c r="KA113" s="8301" t="str">
        <f>+IF(OR(D113="",JV113=""),"",IF(JT113=1,JV113*10^6/$KA$8/JU113,""))</f>
        <v/>
      </c>
      <c r="KB113" s="8302" t="str">
        <f>+IF(OR(D113="",KA113=""),"",IF(JT113=1,KA113*$KB$8,""))</f>
        <v/>
      </c>
      <c r="KC113" s="8303" t="str">
        <f t="shared" ref="KC113" si="960">+IF(OR(D113="",KB113=""),"",IF(JT113=1,KB113*7.48/62.4/60,""))</f>
        <v/>
      </c>
      <c r="KD113" s="7130">
        <f>+IF(OR(D113="",JV113=""),"",IF(JT113=1,$KD$5*JU113*$KD$6/1000,$KD$7*JU113*$KD$8/1000))</f>
        <v>147450.45600000001</v>
      </c>
      <c r="KE113" s="8330" t="str">
        <f>+IF(OR(D113="",JW113="",JW113=0),"",IF(JT113=2,JW113*$KE$8*$KG$4,""))</f>
        <v/>
      </c>
      <c r="KF113" s="8330" t="str">
        <f>+IF(OR(D113="",JW113="",JW113=0),"",IF(JT113=2,JW113*(0.95/0.05)*(18/17)*($KF$8/1000)*(2000)*$KG$4,""))</f>
        <v/>
      </c>
      <c r="KG113" s="7131" t="str">
        <f>+IF(D113="","",IF(JT113=1,$KG$2*KC113/1000*60*JU113*$KG$4*$KG$6,IF(OR(JZ113="",JY113=""),"",JZ113*$KG$8*JY113*$KG$4)))</f>
        <v/>
      </c>
      <c r="KH113" s="7131" t="str">
        <f>IF(D113="","",IF(JT113=2,0.005*JF113*$KD$6/1000*1000*JU113,""))</f>
        <v/>
      </c>
      <c r="KI113" s="7131" t="str">
        <f>IF(D113="","",IF(JT113=2,0.1*0.005*JF113*$KD$6/1000*1000*JU113,""))</f>
        <v/>
      </c>
      <c r="KJ113" s="7131">
        <f>+KD113</f>
        <v>147450.45600000001</v>
      </c>
      <c r="KK113" s="7131">
        <f>+IF(OR(D113="",JU113="",JV113=""),"",$KK$7*$KG$4*JU113)</f>
        <v>364447.6128</v>
      </c>
      <c r="KL113" s="7131">
        <f>+IF(OR(D113="",JU113="",JV113="",JS113=""),"",IF(JT113=1,$KL$7*JS113*JU113/$KL$8,$KL$7*IF(JN113="",JS113,JN113)*JU113/$KL$8))</f>
        <v>0</v>
      </c>
      <c r="KM113" s="7131">
        <f t="shared" ref="KM113" si="961">+IF(D113="","",IF(KK113="",0,KK113)+IF(KL113="",0,KL113))</f>
        <v>364447.6128</v>
      </c>
      <c r="KN113" s="7131" t="str">
        <f>+IF(D113="","",IF(JX113&lt;41,$KN$8*JZ113*JY113,""))</f>
        <v/>
      </c>
      <c r="KO113" s="7131">
        <f>+IF(OR(D113="",JU113="",JV113=""),"",IF(KM113="",0,KM113)+IF(KN113="",0,KN113))</f>
        <v>364447.6128</v>
      </c>
      <c r="KP113" s="7132">
        <f t="shared" ref="KP113" si="962">+IF(OR(D113="",JU113="",JV113=""),"",IF(KJ113="",0,KJ113)+IF(KO113="",0,KO113))</f>
        <v>511898.06880000001</v>
      </c>
      <c r="KQ113" s="8778"/>
      <c r="KR113" s="8779"/>
      <c r="KS113" s="8780">
        <f>+IF(D113="","",KQ113+KR113)</f>
        <v>0</v>
      </c>
      <c r="KT113" s="8778" t="str">
        <f>+IF(D113="","",IF(KR113="","",$KT$26*KR113))</f>
        <v/>
      </c>
      <c r="KU113" s="8781">
        <f t="shared" si="666"/>
        <v>0</v>
      </c>
      <c r="KV113" s="8782">
        <f t="shared" si="667"/>
        <v>2</v>
      </c>
      <c r="KW113" s="8783">
        <f>IF(JS113="","",IF(KV113=1,$KW$5,IF(KV113=2,$KW$8,""))*JS113)</f>
        <v>0</v>
      </c>
      <c r="KX113" s="8780">
        <f>+IF(D113="","",IF(KW113="","",IF(KT113="",0,KT113)+IF(KU113="",0,KU113)+KW113))</f>
        <v>0</v>
      </c>
      <c r="KY113" s="8784">
        <f>+IF(D113="","",IF(KW113="","",KQ113+KR113+KX113))</f>
        <v>0</v>
      </c>
      <c r="KZ113" s="8785"/>
      <c r="LA113" s="8783" t="str">
        <f t="shared" si="668"/>
        <v/>
      </c>
      <c r="LB113" s="8786">
        <f t="shared" si="669"/>
        <v>0</v>
      </c>
      <c r="LC113" s="7780"/>
      <c r="LD113" s="8186"/>
      <c r="LE113" s="8186"/>
      <c r="LF113" s="8186"/>
      <c r="LG113" s="8186"/>
      <c r="LH113" s="8186"/>
      <c r="LI113" s="8186"/>
      <c r="LJ113" s="8186"/>
    </row>
    <row r="114" spans="1:322" s="13" customFormat="1" ht="27.95" customHeight="1" thickBot="1">
      <c r="A114" s="10537"/>
      <c r="B114" s="10522" t="str">
        <f>+IF(A114="","",VLOOKUP(MATCH(A114,tid,0),tao,'12(id)'!$J$20,FALSE))</f>
        <v/>
      </c>
      <c r="C114" s="10551"/>
      <c r="D114" s="1032" t="str">
        <f t="shared" si="859"/>
        <v/>
      </c>
      <c r="E114" s="654"/>
      <c r="F114" s="654" t="str">
        <f t="shared" si="777"/>
        <v/>
      </c>
      <c r="G114" s="5133"/>
      <c r="H114" s="5132"/>
      <c r="I114" s="5133"/>
      <c r="J114" s="4038">
        <f t="shared" si="820"/>
        <v>80</v>
      </c>
      <c r="K114" s="10548"/>
      <c r="L114" s="9519"/>
      <c r="M114" s="10558"/>
      <c r="N114" s="9700"/>
      <c r="O114" s="9712"/>
      <c r="P114" s="9288"/>
      <c r="Q114" s="9681" t="str">
        <f>+IF(ISERROR(MATCH(O114,tid,0)),"",VLOOKUP(MATCH(O114,tid,0),tao,'12(id)'!$Q$20,FALSE))</f>
        <v/>
      </c>
      <c r="R114" s="10524"/>
      <c r="S114" s="9681"/>
      <c r="T114" s="10531" t="str">
        <f>+IF(ISERROR(MATCH(O114,tid,0)),"",IF(VLOOKUP(MATCH(O114,tid,0),tao,'12(id)'!$CT$20,FALSE)="","",VLOOKUP(MATCH(O114,tid,0),tao,'12(id)'!$CT$20,FALSE)))</f>
        <v/>
      </c>
      <c r="U114" s="10545" t="str">
        <f>+IF(ISERROR(MATCH(O114,tid,0)),"",IF(VLOOKUP(MATCH(O114,tid,0),tao,'12(id)'!$CU$20,FALSE)="","",VLOOKUP(MATCH(O114,tid,0),tao,'12(id)'!$CU$20,FALSE)))</f>
        <v/>
      </c>
      <c r="V114" s="9487" t="str">
        <f>+IF(O114="","",IF(VLOOKUP(MATCH(O114,tid,0),tao,'12(id)'!$T$20,FALSE)="","",VLOOKUP(MATCH(O114,tid,0),tao,'12(id)'!$T$20,FALSE)))</f>
        <v/>
      </c>
      <c r="W114" s="9487" t="str">
        <f>+IF(ISERROR(MATCH(O114,tid,0)),"",IF(VLOOKUP(MATCH(O114,tid,0),tao,'12(id)'!$CO$20,FALSE)="","",VLOOKUP(MATCH(O114,tid,0),tao,'12(id)'!$CO$20,FALSE)))</f>
        <v/>
      </c>
      <c r="X114" s="9487" t="str">
        <f>+IF(ISERROR(MATCH(O114,tid,0)),"",IF(VLOOKUP(MATCH(O114,tid,0),tao,'12(id)'!$CP$20,FALSE)="","",VLOOKUP(MATCH(O114,tid,0),tao,'12(id)'!$CP$20,FALSE)))</f>
        <v/>
      </c>
      <c r="Y114" s="8552" t="str">
        <f>+IF(ISERROR(MATCH(O114,tid,0)),"",IF(VLOOKUP(MATCH(O114,tid,0),tao,'12(id)'!$CQ$20,FALSE)="","",VLOOKUP(MATCH(O114,tid,0),tao,'12(id)'!$CQ$20,FALSE)))</f>
        <v/>
      </c>
      <c r="Z114" s="9519" t="str">
        <f>+IF(ISERROR(MATCH(O114,tid,0)),"",VLOOKUP(MATCH(O114,tid,0),tao,'12(id)'!$DB$20,FALSE)&amp;" "&amp;VLOOKUP(MATCH(O114,tid,0),tao,'12(id)'!$DC$20,FALSE))</f>
        <v/>
      </c>
      <c r="AA114" s="9519" t="str">
        <f>+IF(ISERROR(MATCH(O114,tid,0)),"",IF(VLOOKUP(MATCH(O114,tid,0),tao,'12(id)'!$DE$20,FALSE)="","",ROUND(VLOOKUP(MATCH(O114,tid,0),tao,'12(id)'!$DE$20,FALSE),0)&amp;" yrs"))</f>
        <v/>
      </c>
      <c r="AB114" s="9645" t="str">
        <f>+IF(ISERROR(MATCH(O114,tid,0)),"",VLOOKUP(MATCH(O114,tid,0),tao,'12(id)'!$DI$20,FALSE))</f>
        <v/>
      </c>
      <c r="AC114" s="9645" t="str">
        <f>+IF(ISERROR(MATCH(O114,tid,0)),"",IF(VLOOKUP(MATCH(O114,tid,0),tao,'12(id)'!$DQ$20,FALSE)="","",VLOOKUP(MATCH(O114,tid,0),tao,'12(id)'!$DQ$20,FALSE)))</f>
        <v/>
      </c>
      <c r="AD114" s="10413" t="str">
        <f>+IF(ISERROR(MATCH(O114,tid,0)),"",IF(VLOOKUP(MATCH(O114,tid,0),tao,'12(id)'!$EI$20,FALSE)="","",VLOOKUP(MATCH(O114,tid,0),tao,'12(id)'!$EI$20,FALSE)))</f>
        <v/>
      </c>
      <c r="AE114" s="10413" t="str">
        <f>+IF(ISERROR(MATCH(O114,tid,0)),"",IF(VLOOKUP(MATCH(O114,tid,0),tao,'12(id)'!$EJ$20,FALSE)="","",VLOOKUP(MATCH(O114,tid,0),tao,'12(id)'!$EJ$20,FALSE)))</f>
        <v/>
      </c>
      <c r="AF114" s="10413" t="str">
        <f>+IF(ISERROR(MATCH(O114,tid,0)),"",IF(VLOOKUP(MATCH(O114,tid,0),tao,'12(id)'!$EL$20,FALSE)="","",VLOOKUP(MATCH(O114,tid,0),tao,'12(id)'!$EL$20,FALSE)))</f>
        <v/>
      </c>
      <c r="AG114" s="10449" t="str">
        <f>+IF(ISERROR(MATCH(O114,tid,0)),"",IF(VLOOKUP(MATCH(O114,tid,0),tao,'12(id)'!$EM$20,FALSE)="","",VLOOKUP(MATCH(O114,tid,0),tao,'12(id)'!$EM$20,FALSE)))</f>
        <v/>
      </c>
      <c r="AH114" s="10437"/>
      <c r="AI114" s="10435"/>
      <c r="AJ114" s="10435"/>
      <c r="AK114" s="10435"/>
      <c r="AL114" s="10435"/>
      <c r="AM114" s="10454"/>
      <c r="AN114" s="10455"/>
      <c r="AO114" s="10430" t="str">
        <f>+IF(ISERROR(MATCH(O114,tid,0)),"",IF(VLOOKUP(MATCH(O114,tid,0),tao,'12(id)'!$GY$20,FALSE)="","",VLOOKUP(MATCH(O114,tid,0),tao,'12(id)'!$GY$20,FALSE)))</f>
        <v/>
      </c>
      <c r="AP114" s="10431" t="str">
        <f>+IF($BB114="","",IF(VLOOKUP(MATCH(O114,tid,0),tao,'12(id)'!$HE$20,FALSE)="","",VLOOKUP(MATCH(O114,tid,0),tao,'12(id)'!$HE$20,FALSE)))</f>
        <v/>
      </c>
      <c r="AQ114" s="10407" t="str">
        <f>+IF(ISERROR(VLOOKUP(MATCH(O114,tid,0),tao,'12(id)'!$HF$20,FALSE)),"",VLOOKUP(MATCH(O114,tid,0),tao,'12(id)'!$HF$20,FALSE))</f>
        <v/>
      </c>
      <c r="AR114" s="10418" t="str">
        <f>+IF(ISERROR(MATCH(O114,tid,0)),"",IF(VLOOKUP(MATCH(O114,tid,0),tao,'12(id)'!$HJ$20,FALSE)="","",VLOOKUP(MATCH(O114,tid,0),tao,'12(id)'!$HJ$20,FALSE)))</f>
        <v/>
      </c>
      <c r="AS114" s="10420" t="str">
        <f>+IF(ISERROR(MATCH(O114,tid,0)),"",IF(VLOOKUP(MATCH(O114,tid,0),tao,'12(id)'!$HK$20,FALSE)="","",VLOOKUP(MATCH(O114,tid,0),tao,'12(id)'!$HK$20,FALSE)))</f>
        <v/>
      </c>
      <c r="AT114" s="10467" t="str">
        <f>+IF(ISERROR(MATCH(O114,tid,0)),"",IF(VLOOKUP(MATCH(O114,tid,0),tao,'12(id)'!$HM$20,FALSE)="","",VLOOKUP(MATCH(O114,tid,0),tao,'12(id)'!$HM$20,FALSE)))</f>
        <v/>
      </c>
      <c r="AU114" s="10497"/>
      <c r="AV114" s="10498" t="str">
        <f>+IF(ISERROR(MATCH(O114,em_id,0)),"",IF(VLOOKUP(MATCH(O114,em_id,0),em,'5(em)'!$CX$18,FALSE)="","",VLOOKUP(MATCH(O114,em_id,0),em,'5(em)'!$CX$18,FALSE)))</f>
        <v/>
      </c>
      <c r="AW114" s="10499" t="str">
        <f>+IF(ISERROR(MATCH(O114,em_id,0)),"",IF(VLOOKUP(MATCH(O114,em_id,0),em,'5(em)'!$CZ$18,FALSE)="","",VLOOKUP(MATCH(O114,em_id,0),em,'5(em)'!$CZ$18,FALSE)))</f>
        <v/>
      </c>
      <c r="AX114" s="10479" t="str">
        <f t="shared" si="860"/>
        <v/>
      </c>
      <c r="AY114" s="10481"/>
      <c r="AZ114" s="10483" t="str">
        <f>+IF(ISERROR(MATCH(O114,em_id,0)),"",IF(VLOOKUP(MATCH(O114,em_id,0),em,'5(em)'!$DA$18,FALSE)="","",VLOOKUP(MATCH(O114,em_id,0),em,'5(em)'!$DA$18,FALSE)))</f>
        <v/>
      </c>
      <c r="BA114" s="653"/>
      <c r="BB114" s="654" t="str">
        <f>+IF(BC114="","",IF(R114=1,(IF(O114="",LEFT(BB113,7),O114)&amp;"-0"&amp;BC114),IF(AND(LEFT(O114,4)=LEFT(O113,4),R114&gt;1),IF(LEFT(C114,1)=LEFT(C113,1),LEFT(BB113,9),O114&amp;"-0")&amp;BC114,IF(O114="",LEFT(BB113,9)&amp;BC114,O114&amp;"-0"&amp;BC114))))</f>
        <v/>
      </c>
      <c r="BC114" s="660"/>
      <c r="BD114" s="654"/>
      <c r="BE114" s="654"/>
      <c r="BF114" s="654"/>
      <c r="BG114" s="655"/>
      <c r="BH114" s="1043"/>
      <c r="BI114" s="1044"/>
      <c r="BJ114" s="1044"/>
      <c r="BK114" s="1044"/>
      <c r="BL114" s="1044"/>
      <c r="BM114" s="1044"/>
      <c r="BN114" s="1044" t="str">
        <f t="shared" si="854"/>
        <v/>
      </c>
      <c r="BO114" s="1044" t="str">
        <f t="shared" si="855"/>
        <v/>
      </c>
      <c r="BP114" s="1044" t="str">
        <f t="shared" si="856"/>
        <v/>
      </c>
      <c r="BQ114" s="1044" t="str">
        <f t="shared" si="857"/>
        <v/>
      </c>
      <c r="BR114" s="1045"/>
      <c r="BS114" s="2386"/>
      <c r="BT114" s="1049"/>
      <c r="BU114" s="3719" t="str">
        <f>+IF(BB114="","",IF(VLOOKUP(MATCH(BB114,ef_id,0),ef,'11(eff)'!$Z$23,FALSE)="","",VLOOKUP(MATCH(BB114,ef_id,0),ef,'11(eff)'!$Z$23,FALSE)))</f>
        <v/>
      </c>
      <c r="BV114" s="3764" t="str">
        <f>+IF(BB114="","",IF(VLOOKUP(MATCH(BB114,ef_id,0),ef,'11(eff)'!$AA$23,FALSE)="","",VLOOKUP(MATCH(BB114,ef_id,0),ef,'11(eff)'!$AA$23,FALSE)))</f>
        <v/>
      </c>
      <c r="BW114" s="3786"/>
      <c r="BX114" s="3807" t="str">
        <f t="shared" si="864"/>
        <v/>
      </c>
      <c r="BY114" s="3819" t="str">
        <f t="shared" si="512"/>
        <v/>
      </c>
      <c r="BZ114" s="3398"/>
      <c r="CA114" s="3421"/>
      <c r="CB114" s="3859" t="str">
        <f>+IF(OR(BX114="",BX114=0),IF(CA114="",IF(GJ114="","",GI114/GJ114/IF(R114="",IF(R113="",R112,R113),R114)),CA114),IF(AT114="",IF(AT113="",AT112,AT113),AT114)-BX114)</f>
        <v/>
      </c>
      <c r="CC114" s="3879" t="str">
        <f t="shared" si="865"/>
        <v/>
      </c>
      <c r="CD114" s="3879" t="str">
        <f t="shared" si="514"/>
        <v/>
      </c>
      <c r="CE114" s="2381" t="str">
        <f>+IF(BB114="","",IF(VLOOKUP(MATCH(BB114,ef_id,0),ef,'11(eff)'!$AE$23,FALSE)="","",VLOOKUP(MATCH(BB114,ef_id,0),ef,'11(eff)'!$AE$23,FALSE)))</f>
        <v/>
      </c>
      <c r="CF114" s="1043"/>
      <c r="CG114" s="1044"/>
      <c r="CH114" s="2420"/>
      <c r="CI114" s="4033" t="str">
        <f t="shared" si="628"/>
        <v/>
      </c>
      <c r="CJ114" s="4076"/>
      <c r="CK114" s="4033" t="str">
        <f>+IF($BB114="","",IF(OR($AW114="",CI114=""),"",CI114/2000*$AW114))</f>
        <v/>
      </c>
      <c r="CL114" s="4034" t="str">
        <f>+IF($BB114="","",IF(CK114="","",$AZ114-CK114))</f>
        <v/>
      </c>
      <c r="CM114" s="4035" t="str">
        <f>+IF($BB114="","",IF(CL114="","",CL114/$AZ114))</f>
        <v/>
      </c>
      <c r="CN114" s="4035" t="str">
        <f>+IF($BB114="","",IF(CI114="","",(1-CI114/$AX114)))</f>
        <v/>
      </c>
      <c r="CO114" s="4036"/>
      <c r="CP114" s="4037"/>
      <c r="CQ114" s="1375" t="str">
        <f t="shared" si="861"/>
        <v/>
      </c>
      <c r="CR114" s="1045"/>
      <c r="CS114" s="2766"/>
      <c r="CT114" s="1592"/>
      <c r="CU114" s="1497"/>
      <c r="CV114" s="1879" t="str">
        <f t="shared" si="704"/>
        <v/>
      </c>
      <c r="CW114" s="1880"/>
      <c r="CX114" s="1880"/>
      <c r="CY114" s="1881"/>
      <c r="CZ114" s="2479"/>
      <c r="DA114" s="2489"/>
      <c r="DB114" s="2489"/>
      <c r="DC114" s="1879"/>
      <c r="DD114" s="1883"/>
      <c r="DE114" s="1884"/>
      <c r="DF114" s="1885"/>
      <c r="DG114" s="1885"/>
      <c r="DH114" s="1883"/>
      <c r="DI114" s="1694" t="str">
        <f t="shared" si="779"/>
        <v/>
      </c>
      <c r="DJ114" s="1939"/>
      <c r="DK114" s="1592"/>
      <c r="DL114" s="1497"/>
      <c r="DM114" s="1879" t="str">
        <f t="shared" si="705"/>
        <v/>
      </c>
      <c r="DN114" s="1880"/>
      <c r="DO114" s="1880"/>
      <c r="DP114" s="1881"/>
      <c r="DQ114" s="2479"/>
      <c r="DR114" s="2489"/>
      <c r="DS114" s="2489"/>
      <c r="DT114" s="1879"/>
      <c r="DU114" s="1883"/>
      <c r="DV114" s="1884"/>
      <c r="DW114" s="1885"/>
      <c r="DX114" s="1885"/>
      <c r="DY114" s="1883"/>
      <c r="DZ114" s="1694" t="str">
        <f t="shared" si="664"/>
        <v/>
      </c>
      <c r="EA114" s="1939"/>
      <c r="EB114" s="1497" t="str">
        <f t="shared" si="775"/>
        <v/>
      </c>
      <c r="EC114" s="1964"/>
      <c r="ED114" s="1416" t="str">
        <f t="shared" si="858"/>
        <v/>
      </c>
      <c r="EE114" s="1882"/>
      <c r="EF114" s="1735"/>
      <c r="EG114" s="1881"/>
      <c r="EH114" s="1694" t="str">
        <f t="shared" si="740"/>
        <v/>
      </c>
      <c r="EI114" s="1884"/>
      <c r="EJ114" s="1885"/>
      <c r="EK114" s="2011"/>
      <c r="EL114" s="1460"/>
      <c r="EM114" s="1884"/>
      <c r="EN114" s="1885"/>
      <c r="EO114" s="2011"/>
      <c r="EP114" s="1694" t="str">
        <f t="shared" si="776"/>
        <v/>
      </c>
      <c r="EQ114" s="1694"/>
      <c r="ER114" s="1694"/>
      <c r="ES114" s="1694"/>
      <c r="ET114" s="1460"/>
      <c r="EU114" s="1428"/>
      <c r="EV114" s="1393"/>
      <c r="EW114" s="2586"/>
      <c r="EX114" s="2586"/>
      <c r="EY114" s="2693"/>
      <c r="EZ114" s="2722"/>
      <c r="FA114" s="1393"/>
      <c r="FB114" s="1501"/>
      <c r="FC114" s="1497" t="str">
        <f>+IF(OR(ED114="",IF(R114="",R113,R114)=""),"",ED114/IF(R114="",R113,R114))</f>
        <v/>
      </c>
      <c r="FD114" s="2053" t="str">
        <f>+IF(OR(BB114="",IF(R114="",R113,R114)="",(CU114+DL114)=0),"",(CU114+DL114)/IF(R114="",R113,R114))</f>
        <v/>
      </c>
      <c r="FE114" s="2037" t="str">
        <f>+IF(OR(FC114="",FC114=0,FD114=""),"",FD114/FC114)</f>
        <v/>
      </c>
      <c r="FF114" s="2053" t="str">
        <f>+IF(OR(BB114="",CT114="",IF(R114="",R113,R114)=""),"",(SUM(CV114:CZ114)+(IF(DM114="",0,DM114)+SUM(DN114:DQ114)))/IF(R114="",R113,R114))</f>
        <v/>
      </c>
      <c r="FG114" s="2037" t="str">
        <f>+IF(OR(BB114="",ISERROR(FF114/FC114)),"",FF114/FC114)</f>
        <v/>
      </c>
      <c r="FH114" s="2053" t="str">
        <f>+IF(OR(BB114="",IF(R114="",R113,R114)="",),"",(DA114+DR114)/IF(R114="",R113,R114))</f>
        <v/>
      </c>
      <c r="FI114" s="2037" t="str">
        <f t="shared" si="510"/>
        <v/>
      </c>
      <c r="FJ114" s="2797" t="str">
        <f>+IF(OR(BB114="",CT114=""),"",IF(FD114="",0,FD114)+IF(FF114="",0,FF114)+IF(FH114="",0,FH114))</f>
        <v/>
      </c>
      <c r="FK114" s="2813" t="str">
        <f>+IF(OR(BB114="",ISERROR(FJ114/FC114)),"",FJ114/FC114)</f>
        <v/>
      </c>
      <c r="FL114" s="2787" t="str">
        <f>+IF(OR(BB114="",CT114="",IF(R114="",R113,R114)=""),"",(DB114+DC114+DS114+DT114)/IF(R114="",R113,R114))</f>
        <v/>
      </c>
      <c r="FM114" s="2037" t="str">
        <f>+IF(OR(BB114="",ISERROR(FL114/FC114)),"",FL114/FC114)</f>
        <v/>
      </c>
      <c r="FN114" s="2787" t="str">
        <f>+IF(OR(BB114="",CT114="",IF(R114="",R113,R114)=""),"",(DD114+DU114)/IF(R114="",R113,R114))</f>
        <v/>
      </c>
      <c r="FO114" s="2776" t="str">
        <f>+IF(OR(BB114="",ISERROR(FN114/FC114)),"",FN114/FC114)</f>
        <v/>
      </c>
      <c r="FP114" s="2787" t="str">
        <f>+IF(OR(BB114="",CT114="",IF(R114="",R113,R114)=""),"",(DG114+DH114+DX114+DY114)/IF(R114="",R113,R114))</f>
        <v/>
      </c>
      <c r="FQ114" s="2776" t="str">
        <f>+IF(OR(BB114="",ISERROR(FL114/FC114)),"",FP114/FC114)</f>
        <v/>
      </c>
      <c r="FR114" s="2851" t="str">
        <f>+IF(OR(BB114="",IF(R114="",R113,R114)="",(IF(DI114="",0,DI114)+IF(DZ114="",0,DZ114))=0),"",(IF(DI114="",0,DI114)+IF(DZ114="",0,DZ114))/IF(R114="",R113,R114))</f>
        <v/>
      </c>
      <c r="FS114" s="2833" t="str">
        <f>+IF(OR(DJ114="",IF(R114="",R113,R114)=""),"",(DJ114+EA114)/IF(R114="",R113,R114))</f>
        <v/>
      </c>
      <c r="FT114" s="1514" t="str">
        <f>+IF(OR(BB114="",ISERROR(FS114/FR114)),"",FS114/FR114)</f>
        <v/>
      </c>
      <c r="FU114" s="2896" t="str">
        <f>+IF(OR(BB114="",ISERROR(1-(FR114+IF(FS114="",0,FS114)+FN114+FP114)*IF(R114="",R113,R114)/(CT114+DK114))),"",1-(FR114+IF(FS114="",0,FS114)+FN114+FP114)*IF(R114="",R113,R114)/(CT114+DK114))</f>
        <v/>
      </c>
      <c r="FV114" s="1536" t="str">
        <f>+IF(FC114="","",FC114/IF(T114="",IF(T113="",1,T113),T114))</f>
        <v/>
      </c>
      <c r="FW114" s="2114" t="str">
        <f>+IF(OR(EH114="",IF(R114="",R113,R114)=""),"",EH114/IF(R114="",R113,R114))</f>
        <v/>
      </c>
      <c r="FX114" s="1743" t="str">
        <f>+IF(ISERR(FW114/$FC114),"",FW114/$FC114)</f>
        <v/>
      </c>
      <c r="FY114" s="2115" t="str">
        <f>+IF(OR(EP114="",IF(R114="",R113,R114)=""),"",EP114/IF(R114="",R113,R114))</f>
        <v/>
      </c>
      <c r="FZ114" s="1743" t="str">
        <f>+IF(ISERR(FY114/$FC114),"",FY114/$FC114)</f>
        <v/>
      </c>
      <c r="GA114" s="1743" t="str">
        <f t="shared" si="538"/>
        <v/>
      </c>
      <c r="GB114" s="2115" t="str">
        <f>+IF(OR(ET114="",IF(R114="",R113,R114)=""),"",ET114/IF(R114="",R113,R114))</f>
        <v/>
      </c>
      <c r="GC114" s="1743" t="str">
        <f>+IF(ISERR(GB114/$FC114),"",GB114/$FC114)</f>
        <v/>
      </c>
      <c r="GD114" s="1743" t="str">
        <f t="shared" si="541"/>
        <v/>
      </c>
      <c r="GE114" s="1617" t="str">
        <f>+IF(OR(FB114="",IF(R114="",R113,R114)=""),"",FB114/IF(R114="",R113,R114))</f>
        <v/>
      </c>
      <c r="GF114" s="2148" t="str">
        <f>+IF(FB114="","",(IF(FA114="",0,FA114)-IF(EZ114="",0,EZ114))+(IF(EU114="",0,EU114)+IF(EV114="",0,EV114)+(IF(EW114="",0,EW114)+IF(EX114="",0,EX114))+IF(FC114="",0,FC114)+IF(FW114="",0,FW114)+IF(FY114="",0,FY114)+IF(GB114="",0,GB114)))</f>
        <v/>
      </c>
      <c r="GG114" s="2173" t="str">
        <f>+IF(OR(CS114="",IF(R114="",R113,R114)=""),"",1-(CS114/IF(R114="",R113,R114))/GF114)</f>
        <v/>
      </c>
      <c r="GH114" s="3181" t="str">
        <f>+IF(IF(T114="",T113,T114)="","",IF(GF114="","",GF114/IF(T114="",T113,T114)))</f>
        <v/>
      </c>
      <c r="GI114" s="3201" t="s">
        <v>939</v>
      </c>
      <c r="GJ114" s="3206"/>
      <c r="GK114" s="3455" t="str">
        <f t="shared" si="423"/>
        <v/>
      </c>
      <c r="GL114" s="3248" t="str">
        <f>+IF(OR(BB114="",GI114="",GJ114=""),"",(GJ114-GI114/GK114)/GJ114)</f>
        <v/>
      </c>
      <c r="GM114" s="469"/>
      <c r="GN114" s="471"/>
      <c r="GO114" s="1884"/>
      <c r="GP114" s="2011"/>
      <c r="GQ114" s="1460" t="str">
        <f t="shared" si="582"/>
        <v/>
      </c>
      <c r="GR114" s="2326"/>
      <c r="GS114" s="2326"/>
      <c r="GT114" s="472"/>
      <c r="GU114" s="2317" t="str">
        <f t="shared" si="862"/>
        <v/>
      </c>
      <c r="GV114" s="470" t="str">
        <f>+IF(OR(GO114="",IF(R114="",R113,R114)=""),"",GO114/IF(R114="",R113,R114))</f>
        <v/>
      </c>
      <c r="GW114" s="2261" t="str">
        <f>+IF(OR(GP114="",IF(R114="",R113,R114)=""),"",GP114/IF(R114="",R113,R114))</f>
        <v/>
      </c>
      <c r="GX114" s="472" t="str">
        <f>+IF(OR(GQ114="",IF(R114="",R113,R114)=""),"",GQ114/IF(R114="",R113,R114))</f>
        <v/>
      </c>
      <c r="GY114" s="472" t="str">
        <f>+IF(OR(GR114="",IF(R114="",R113,R114)=""),"",GR114/IF(R114="",R113,R114))</f>
        <v/>
      </c>
      <c r="GZ114" s="472" t="str">
        <f>+IF(OR(GS114="",IF(R114="",R113,R114)=""),"",GS114/IF(R114="",R113,R114))</f>
        <v/>
      </c>
      <c r="HA114" s="1694" t="str">
        <f>+IF(OR(GT114="",IF(R114="",R113,R114)=""),"",GT114/IF(R114="",R113,R114))</f>
        <v/>
      </c>
      <c r="HB114" s="467" t="str">
        <f t="shared" si="432"/>
        <v/>
      </c>
      <c r="HC114" s="3389" t="str">
        <f>+IF(OR(GU114="",IF(R114="",R113,R114)=""),"",GU114/IF(R114="",R113,R114))</f>
        <v/>
      </c>
      <c r="HD114" s="2353" t="str">
        <f t="shared" si="375"/>
        <v/>
      </c>
      <c r="HE114" s="469"/>
      <c r="HF114" s="3257" t="str">
        <f t="shared" si="555"/>
        <v/>
      </c>
      <c r="HG114" s="471"/>
      <c r="HH114" s="2995"/>
      <c r="HI114" s="2926"/>
      <c r="HJ114" s="1735"/>
      <c r="HK114" s="1735"/>
      <c r="HL114" s="1735"/>
      <c r="HM114" s="3024"/>
      <c r="HN114" s="3027" t="str">
        <f>+IF(FR114="","",HM114/IF(T114="",IF(T113="",IF(T112="",1,T112),T113),T114))</f>
        <v/>
      </c>
      <c r="HO114" s="2964"/>
      <c r="HP114" s="2489"/>
      <c r="HQ114" s="3009" t="str">
        <f t="shared" si="556"/>
        <v/>
      </c>
      <c r="HR114" s="1881" t="str">
        <f t="shared" si="557"/>
        <v/>
      </c>
      <c r="HS114" s="1881" t="str">
        <f t="shared" si="558"/>
        <v/>
      </c>
      <c r="HT114" s="2948"/>
      <c r="HU114" s="2950"/>
      <c r="HV114" s="2948" t="str">
        <f t="shared" si="559"/>
        <v/>
      </c>
      <c r="HW114" s="2950" t="str">
        <f t="shared" si="560"/>
        <v/>
      </c>
      <c r="HX114" s="3035" t="str">
        <f>+IF(HM114="","",IF(HM114="",0,HM114)+IF(HO114="",0,HO114)+IF(HP114="",0,HP114)+IF(HS114="",0,HS114)+IF(HT114="",0,HT114)+IF(HU114="",0,HU114)+IF(HV114="",0,HV114)+IF(HW114="",0,HW114))</f>
        <v/>
      </c>
      <c r="HY114" s="2949"/>
      <c r="HZ114" s="2950"/>
      <c r="IA114" s="1497"/>
      <c r="IB114" s="3039" t="str">
        <f t="shared" si="564"/>
        <v/>
      </c>
      <c r="IC114" s="3054"/>
      <c r="ID114" s="1303"/>
      <c r="IE114" s="4107"/>
      <c r="IF114" s="4115"/>
      <c r="IG114" s="6780"/>
      <c r="IH114" s="4091"/>
      <c r="II114" s="6798"/>
      <c r="IJ114" s="4107"/>
      <c r="IK114" s="4144"/>
      <c r="IL114" s="4198"/>
      <c r="IM114" s="1883"/>
      <c r="IN114" s="1939"/>
      <c r="IO114" s="1939"/>
      <c r="IP114" s="7235"/>
      <c r="IQ114" s="6853"/>
      <c r="IR114" s="7235"/>
      <c r="IS114" s="6853"/>
      <c r="IT114" s="1939"/>
      <c r="IU114" s="6853"/>
      <c r="IV114" s="7269"/>
      <c r="IW114" s="7255" t="str">
        <f>IF(IA114="","",#REF!*IA114)</f>
        <v/>
      </c>
      <c r="IX114" s="1460"/>
      <c r="IY114" s="4257"/>
      <c r="IZ114" s="4303"/>
      <c r="JA114" s="4304"/>
      <c r="JB114" s="1305"/>
      <c r="JC114" s="4340"/>
      <c r="JD114" s="3257"/>
      <c r="JE114" s="4365"/>
      <c r="JF114" s="7042"/>
      <c r="JG114" s="7058"/>
      <c r="JH114" s="6973"/>
      <c r="JI114" s="6973"/>
      <c r="JJ114" s="6973"/>
      <c r="JK114" s="6973"/>
      <c r="JL114" s="7010"/>
      <c r="JM114" s="7052"/>
      <c r="JN114" s="1735"/>
      <c r="JO114" s="7058"/>
      <c r="JP114" s="7064"/>
      <c r="JQ114" s="7064"/>
      <c r="JR114" s="7058"/>
      <c r="JS114" s="7065"/>
      <c r="JT114" s="7185"/>
      <c r="JU114" s="7186"/>
      <c r="JV114" s="8385"/>
      <c r="JW114" s="8413"/>
      <c r="JX114" s="8442"/>
      <c r="JY114" s="8477"/>
      <c r="JZ114" s="7187"/>
      <c r="KA114" s="7185"/>
      <c r="KB114" s="7186"/>
      <c r="KC114" s="7187"/>
      <c r="KD114" s="7185"/>
      <c r="KE114" s="8350"/>
      <c r="KF114" s="8350"/>
      <c r="KG114" s="7186"/>
      <c r="KH114" s="7186"/>
      <c r="KI114" s="7186"/>
      <c r="KJ114" s="7186"/>
      <c r="KK114" s="7186"/>
      <c r="KL114" s="7186"/>
      <c r="KM114" s="7186"/>
      <c r="KN114" s="7186"/>
      <c r="KO114" s="7186"/>
      <c r="KP114" s="7187"/>
      <c r="KQ114" s="7214"/>
      <c r="KR114" s="7064"/>
      <c r="KS114" s="7065"/>
      <c r="KT114" s="7214"/>
      <c r="KU114" s="7058"/>
      <c r="KV114" s="7308"/>
      <c r="KW114" s="7343"/>
      <c r="KX114" s="7320"/>
      <c r="KY114" s="7361"/>
      <c r="KZ114" s="7362"/>
      <c r="LA114" s="7363"/>
      <c r="LB114" s="7364"/>
      <c r="LC114" s="5133"/>
      <c r="LD114" s="5132"/>
      <c r="LE114" s="5132"/>
      <c r="LF114" s="5132"/>
      <c r="LG114" s="5132"/>
      <c r="LH114" s="5132"/>
      <c r="LI114" s="5132"/>
      <c r="LJ114" s="5132"/>
    </row>
    <row r="115" spans="1:322" s="5133" customFormat="1" ht="12.75" customHeight="1">
      <c r="E115" s="6978"/>
      <c r="F115" s="6979"/>
      <c r="H115" s="5132"/>
      <c r="Q115" s="5353"/>
      <c r="R115" s="5353"/>
      <c r="S115" s="5353"/>
      <c r="U115" s="5936" t="s">
        <v>1645</v>
      </c>
      <c r="AI115" s="6383"/>
      <c r="AJ115" s="6383"/>
      <c r="AK115" s="6383"/>
      <c r="AL115" s="6383"/>
      <c r="AM115" s="6383"/>
      <c r="AN115" s="6383"/>
      <c r="CW115" s="6119"/>
      <c r="CX115" s="6119"/>
      <c r="CY115" s="6119"/>
      <c r="CZ115" s="6119"/>
      <c r="DA115" s="6119"/>
      <c r="DB115" s="6119"/>
      <c r="DR115" s="6119"/>
      <c r="FB115" s="6384"/>
      <c r="FC115" s="6119"/>
      <c r="FD115" s="6119"/>
      <c r="FE115" s="6119"/>
      <c r="FF115" s="6119"/>
      <c r="FG115" s="6119"/>
      <c r="FH115" s="6119"/>
      <c r="FI115" s="6119"/>
      <c r="FJ115" s="6119"/>
      <c r="FK115" s="6119"/>
      <c r="FL115" s="6119"/>
      <c r="FM115" s="6119"/>
      <c r="FN115" s="6119"/>
      <c r="FO115" s="6119"/>
      <c r="FP115" s="6119"/>
      <c r="FQ115" s="6119"/>
      <c r="FR115" s="6119"/>
      <c r="FS115" s="6119"/>
      <c r="FT115" s="6119"/>
      <c r="FU115" s="6119"/>
      <c r="FV115" s="6119"/>
      <c r="FW115" s="6384"/>
      <c r="FX115" s="6384"/>
      <c r="FY115" s="6384"/>
      <c r="FZ115" s="6384"/>
      <c r="GA115" s="6384"/>
      <c r="GB115" s="6384"/>
      <c r="GC115" s="6384"/>
      <c r="GD115" s="6384"/>
      <c r="GE115" s="6384"/>
      <c r="GF115" s="6384"/>
      <c r="GG115" s="6384"/>
      <c r="GH115" s="6384"/>
      <c r="GI115" s="6384"/>
      <c r="GJ115" s="6384"/>
      <c r="GK115" s="6384"/>
      <c r="GL115" s="6384"/>
      <c r="GM115" s="6384"/>
      <c r="GN115" s="6384"/>
      <c r="GO115" s="6384"/>
      <c r="GP115" s="6384"/>
      <c r="GQ115" s="6384"/>
      <c r="GR115" s="6384"/>
      <c r="GS115" s="6384"/>
      <c r="GT115" s="6384"/>
      <c r="GU115" s="6384"/>
      <c r="GV115" s="6384"/>
      <c r="GW115" s="6384"/>
      <c r="GX115" s="6384"/>
      <c r="GY115" s="6384"/>
      <c r="GZ115" s="6384"/>
      <c r="HA115" s="6384"/>
      <c r="HB115" s="6384"/>
      <c r="HC115" s="6384"/>
      <c r="HD115" s="6384"/>
      <c r="HE115" s="6384"/>
      <c r="HF115" s="6384"/>
      <c r="HG115" s="6384"/>
      <c r="HH115" s="6384"/>
      <c r="HI115" s="6384"/>
      <c r="HJ115" s="6384"/>
      <c r="HK115" s="6384"/>
      <c r="HL115" s="6384"/>
      <c r="HM115" s="6384"/>
      <c r="HN115" s="6384"/>
      <c r="HO115" s="6384"/>
      <c r="HP115" s="6384"/>
      <c r="HQ115" s="6384"/>
      <c r="HR115" s="6384"/>
      <c r="HS115" s="6384"/>
      <c r="HT115" s="6384"/>
      <c r="HU115" s="6384"/>
      <c r="HV115" s="6384"/>
      <c r="HW115" s="6384"/>
      <c r="HX115" s="6384"/>
      <c r="HY115" s="6384"/>
      <c r="HZ115" s="6384"/>
      <c r="IA115" s="6384"/>
      <c r="IB115" s="6384"/>
      <c r="IC115" s="6384"/>
      <c r="ID115" s="6384"/>
      <c r="IE115" s="6384"/>
      <c r="IF115" s="6384"/>
      <c r="IG115" s="6384"/>
      <c r="IH115" s="6384"/>
      <c r="II115" s="6384"/>
      <c r="IJ115" s="6384"/>
      <c r="IK115" s="6384"/>
      <c r="IL115" s="6384"/>
      <c r="IM115" s="6384"/>
      <c r="IN115" s="6384"/>
      <c r="IO115" s="6384"/>
      <c r="IP115" s="6384"/>
      <c r="IQ115" s="6384"/>
      <c r="IR115" s="6384"/>
      <c r="IS115" s="6384"/>
      <c r="IT115" s="6384"/>
      <c r="IU115" s="6384"/>
      <c r="IV115" s="6384"/>
      <c r="IW115" s="6384"/>
      <c r="IX115" s="6384"/>
      <c r="IY115" s="6384"/>
      <c r="IZ115" s="6384"/>
      <c r="JA115" s="6384"/>
      <c r="JB115" s="6384"/>
      <c r="JC115" s="6384"/>
      <c r="JD115" s="6384"/>
      <c r="JE115" s="6384"/>
      <c r="JF115" s="6384"/>
      <c r="JG115" s="6384"/>
      <c r="JH115" s="6384"/>
      <c r="JI115" s="6384"/>
      <c r="JJ115" s="6384"/>
      <c r="JK115" s="6384"/>
      <c r="JL115" s="6384"/>
      <c r="JM115" s="6384"/>
      <c r="JN115" s="6384"/>
      <c r="JO115" s="6384"/>
      <c r="JP115" s="6384"/>
      <c r="JQ115" s="6384"/>
      <c r="JR115" s="6384"/>
      <c r="JS115" s="6384"/>
      <c r="JT115" s="6384"/>
      <c r="JU115" s="6384"/>
      <c r="JV115" s="6384"/>
      <c r="JW115" s="6384"/>
      <c r="JX115" s="6384"/>
      <c r="JY115" s="6384"/>
      <c r="JZ115" s="6384"/>
      <c r="KA115" s="6384"/>
      <c r="KB115" s="6384"/>
      <c r="KC115" s="6384"/>
      <c r="KD115" s="6384"/>
      <c r="KE115" s="6384"/>
      <c r="KF115" s="6384"/>
      <c r="KG115" s="6384"/>
      <c r="KH115" s="6384"/>
      <c r="KI115" s="6384"/>
      <c r="KJ115" s="6384"/>
      <c r="KK115" s="6384"/>
      <c r="KL115" s="6384"/>
      <c r="KM115" s="6384"/>
      <c r="KN115" s="6384"/>
      <c r="KO115" s="6384"/>
      <c r="KP115" s="6384"/>
      <c r="KQ115" s="6119"/>
      <c r="KR115" s="6119"/>
      <c r="KS115" s="6119"/>
      <c r="KT115" s="6119"/>
      <c r="KU115" s="6119"/>
      <c r="KV115" s="6119"/>
      <c r="KW115" s="6119"/>
      <c r="KX115" s="6119"/>
      <c r="KY115" s="6119"/>
      <c r="KZ115" s="6119"/>
      <c r="LA115" s="6119"/>
      <c r="LB115" s="6119"/>
      <c r="LD115" s="5132"/>
      <c r="LE115" s="5132"/>
      <c r="LF115" s="5132"/>
      <c r="LG115" s="5132"/>
      <c r="LH115" s="5132"/>
      <c r="LI115" s="5132"/>
      <c r="LJ115" s="5132"/>
    </row>
    <row r="116" spans="1:322" s="5133" customFormat="1" ht="12.75" customHeight="1">
      <c r="E116" s="6979"/>
      <c r="F116" s="6979"/>
      <c r="H116" s="5132"/>
      <c r="Q116" s="5353"/>
      <c r="R116" s="5353"/>
      <c r="S116" s="5353"/>
      <c r="U116" s="5133" t="s">
        <v>1644</v>
      </c>
      <c r="AI116" s="6383"/>
      <c r="AJ116" s="6383"/>
      <c r="AK116" s="6383"/>
      <c r="AL116" s="6383"/>
      <c r="AM116" s="6383"/>
      <c r="AN116" s="6383"/>
      <c r="CB116" s="6385"/>
      <c r="CW116" s="6119"/>
      <c r="CX116" s="6119"/>
      <c r="CY116" s="6119"/>
      <c r="CZ116" s="6119"/>
      <c r="DA116" s="6119"/>
      <c r="DB116" s="6119"/>
      <c r="DR116" s="6119"/>
      <c r="FB116" s="6119"/>
      <c r="FC116" s="6119"/>
      <c r="FD116" s="6119"/>
      <c r="FE116" s="6119"/>
      <c r="FF116" s="6119"/>
      <c r="FG116" s="6119"/>
      <c r="FH116" s="6119"/>
      <c r="FI116" s="6119"/>
      <c r="FJ116" s="6119"/>
      <c r="FK116" s="6119"/>
      <c r="FL116" s="6119"/>
      <c r="FM116" s="6119"/>
      <c r="FN116" s="6119"/>
      <c r="FO116" s="6119"/>
      <c r="FP116" s="6119"/>
      <c r="FQ116" s="6119"/>
      <c r="FR116" s="6119"/>
      <c r="FS116" s="6119"/>
      <c r="FT116" s="6119"/>
      <c r="FU116" s="6119"/>
      <c r="FV116" s="6119" t="str">
        <f>+IF(ISTEXT(T106),"",T106)</f>
        <v/>
      </c>
      <c r="FW116" s="6119"/>
      <c r="FX116" s="6119"/>
      <c r="FY116" s="6119"/>
      <c r="FZ116" s="6119"/>
      <c r="GA116" s="6119"/>
      <c r="GB116" s="6119"/>
      <c r="GC116" s="6119"/>
      <c r="GD116" s="6119"/>
      <c r="GE116" s="6119"/>
      <c r="GF116" s="6119"/>
      <c r="GG116" s="6119"/>
      <c r="GH116" s="6119"/>
      <c r="GI116" s="6119"/>
      <c r="GJ116" s="6119"/>
      <c r="GK116" s="6119"/>
      <c r="GL116" s="6119"/>
      <c r="GM116" s="6119"/>
      <c r="GN116" s="6119"/>
      <c r="GO116" s="6119"/>
      <c r="GP116" s="6119"/>
      <c r="GQ116" s="6119"/>
      <c r="GR116" s="6119"/>
      <c r="GS116" s="6119"/>
      <c r="GT116" s="6119"/>
      <c r="GU116" s="6119"/>
      <c r="GV116" s="6119"/>
      <c r="GW116" s="6119"/>
      <c r="GX116" s="6119"/>
      <c r="GY116" s="6119"/>
      <c r="GZ116" s="6119"/>
      <c r="HA116" s="6119"/>
      <c r="HB116" s="6119"/>
      <c r="HC116" s="6119"/>
      <c r="HD116" s="6119"/>
      <c r="HE116" s="6119"/>
      <c r="HF116" s="6119"/>
      <c r="HG116" s="6119"/>
      <c r="HH116" s="6119"/>
      <c r="HI116" s="6119"/>
      <c r="HJ116" s="6119"/>
      <c r="HK116" s="6119"/>
      <c r="HL116" s="6119"/>
      <c r="HM116" s="6119"/>
      <c r="HN116" s="6119"/>
      <c r="HO116" s="6119"/>
      <c r="HP116" s="6119"/>
      <c r="HQ116" s="6119"/>
      <c r="HR116" s="6119"/>
      <c r="HS116" s="6119"/>
      <c r="HT116" s="6119"/>
      <c r="HU116" s="6119"/>
      <c r="HV116" s="6119"/>
      <c r="HW116" s="6119"/>
      <c r="HX116" s="6119"/>
      <c r="HY116" s="6119"/>
      <c r="HZ116" s="6119"/>
      <c r="IA116" s="6119"/>
      <c r="IB116" s="6119"/>
      <c r="IC116" s="6119"/>
      <c r="ID116" s="6119"/>
      <c r="IE116" s="6119"/>
      <c r="IF116" s="6119"/>
      <c r="IG116" s="6119"/>
      <c r="IH116" s="6119"/>
      <c r="II116" s="6119"/>
      <c r="IJ116" s="6119"/>
      <c r="IK116" s="6119"/>
      <c r="IL116" s="6119"/>
      <c r="IM116" s="6119"/>
      <c r="IN116" s="6119"/>
      <c r="IO116" s="6119"/>
      <c r="IP116" s="6119"/>
      <c r="IQ116" s="6119"/>
      <c r="IR116" s="6119"/>
      <c r="IS116" s="6119"/>
      <c r="IT116" s="6119"/>
      <c r="IU116" s="6119"/>
      <c r="IV116" s="6119"/>
      <c r="IW116" s="6119"/>
      <c r="IX116" s="6119"/>
      <c r="IY116" s="6119"/>
      <c r="IZ116" s="6119"/>
      <c r="JA116" s="6119"/>
      <c r="JB116" s="6119"/>
      <c r="JC116" s="6119"/>
      <c r="JD116" s="6119"/>
      <c r="JE116" s="6119"/>
      <c r="JF116" s="6119"/>
      <c r="JG116" s="6119"/>
      <c r="JH116" s="6119"/>
      <c r="JI116" s="6119"/>
      <c r="JJ116" s="6119"/>
      <c r="JK116" s="6119"/>
      <c r="JL116" s="6119"/>
      <c r="JM116" s="6119"/>
      <c r="JN116" s="6119"/>
      <c r="JO116" s="6119"/>
      <c r="JP116" s="6119"/>
      <c r="JQ116" s="6119"/>
      <c r="JR116" s="6119"/>
      <c r="JS116" s="6119"/>
      <c r="JT116" s="6119"/>
      <c r="JU116" s="6119"/>
      <c r="JV116" s="6119"/>
      <c r="JW116" s="6119"/>
      <c r="JX116" s="6119"/>
      <c r="JY116" s="6119"/>
      <c r="JZ116" s="6119"/>
      <c r="KA116" s="6119"/>
      <c r="KB116" s="6119"/>
      <c r="KC116" s="6119"/>
      <c r="KD116" s="6119"/>
      <c r="KE116" s="6119"/>
      <c r="KF116" s="6119"/>
      <c r="KG116" s="6119"/>
      <c r="KH116" s="6119"/>
      <c r="KI116" s="6119"/>
      <c r="KJ116" s="6119"/>
      <c r="KK116" s="6119"/>
      <c r="KL116" s="6119"/>
      <c r="KM116" s="6119"/>
      <c r="KN116" s="6119"/>
      <c r="KO116" s="6119"/>
      <c r="KP116" s="6119"/>
      <c r="KQ116" s="6119"/>
      <c r="KR116" s="6119"/>
      <c r="KS116" s="6119"/>
      <c r="KT116" s="6119"/>
      <c r="KU116" s="6119"/>
      <c r="KV116" s="6119"/>
      <c r="KW116" s="6119"/>
      <c r="KX116" s="6119"/>
      <c r="KY116" s="6119"/>
      <c r="KZ116" s="6119"/>
      <c r="LA116" s="6119"/>
      <c r="LB116" s="6119"/>
      <c r="LD116" s="5132"/>
      <c r="LE116" s="5132"/>
      <c r="LF116" s="5132"/>
      <c r="LG116" s="5132"/>
      <c r="LH116" s="5132"/>
      <c r="LI116" s="5132"/>
      <c r="LJ116" s="5132"/>
    </row>
    <row r="117" spans="1:322" s="5133" customFormat="1" ht="12.75" customHeight="1">
      <c r="E117" s="6979"/>
      <c r="F117" s="6979"/>
      <c r="H117" s="5132"/>
      <c r="Q117" s="5353"/>
      <c r="R117" s="5353"/>
      <c r="S117" s="5353"/>
      <c r="AI117" s="6383"/>
      <c r="AJ117" s="6383"/>
      <c r="AK117" s="6383"/>
      <c r="AL117" s="6383"/>
      <c r="AM117" s="6383"/>
      <c r="AN117" s="6383"/>
      <c r="CL117" s="5376"/>
      <c r="CW117" s="6119"/>
      <c r="CX117" s="6119"/>
      <c r="CY117" s="6119"/>
      <c r="CZ117" s="6119"/>
      <c r="DA117" s="6119"/>
      <c r="DB117" s="6119"/>
      <c r="FB117" s="6119"/>
      <c r="FC117" s="6119"/>
      <c r="FD117" s="6119"/>
      <c r="FE117" s="6119"/>
      <c r="FF117" s="6119"/>
      <c r="FG117" s="6119"/>
      <c r="FH117" s="6119"/>
      <c r="FI117" s="6119"/>
      <c r="FJ117" s="6119"/>
      <c r="FK117" s="6119"/>
      <c r="FL117" s="6119"/>
      <c r="FM117" s="6119"/>
      <c r="FN117" s="6119"/>
      <c r="FO117" s="6119"/>
      <c r="FP117" s="6119"/>
      <c r="FQ117" s="6119"/>
      <c r="FR117" s="6119"/>
      <c r="FS117" s="6119"/>
      <c r="FT117" s="6119"/>
      <c r="FU117" s="6119"/>
      <c r="FV117" s="6119"/>
      <c r="FW117" s="6119"/>
      <c r="FX117" s="6119"/>
      <c r="FY117" s="6119"/>
      <c r="FZ117" s="6119"/>
      <c r="GA117" s="6119"/>
      <c r="GB117" s="6119"/>
      <c r="GC117" s="6119"/>
      <c r="GD117" s="6119"/>
      <c r="GE117" s="6119"/>
      <c r="GF117" s="6119"/>
      <c r="GG117" s="6119"/>
      <c r="GH117" s="6119"/>
      <c r="GI117" s="6119"/>
      <c r="GJ117" s="6119"/>
      <c r="GK117" s="6119"/>
      <c r="GL117" s="6119"/>
      <c r="GM117" s="6119"/>
      <c r="GN117" s="6119"/>
      <c r="GO117" s="6119"/>
      <c r="GP117" s="6119"/>
      <c r="GQ117" s="6119"/>
      <c r="GR117" s="6119"/>
      <c r="GS117" s="6119"/>
      <c r="GT117" s="6119"/>
      <c r="GU117" s="6119"/>
      <c r="GV117" s="6119"/>
      <c r="GW117" s="6119"/>
      <c r="GX117" s="6119"/>
      <c r="GY117" s="6119"/>
      <c r="GZ117" s="6119"/>
      <c r="HA117" s="6119"/>
      <c r="HB117" s="6119"/>
      <c r="HC117" s="6119"/>
      <c r="HD117" s="6119"/>
      <c r="HE117" s="6119"/>
      <c r="HF117" s="6119"/>
      <c r="HG117" s="6119"/>
      <c r="HH117" s="6119"/>
      <c r="HI117" s="6119"/>
      <c r="HJ117" s="6119"/>
      <c r="HK117" s="6119"/>
      <c r="HL117" s="6119"/>
      <c r="HM117" s="6119"/>
      <c r="HN117" s="6119"/>
      <c r="HO117" s="6119"/>
      <c r="HP117" s="6119"/>
      <c r="HQ117" s="6119"/>
      <c r="HR117" s="6119"/>
      <c r="HS117" s="6119"/>
      <c r="HT117" s="6119"/>
      <c r="HU117" s="6119"/>
      <c r="HV117" s="6119"/>
      <c r="HW117" s="6119"/>
      <c r="HX117" s="6119"/>
      <c r="HY117" s="6119"/>
      <c r="HZ117" s="6119"/>
      <c r="IA117" s="6119"/>
      <c r="IB117" s="6119"/>
      <c r="IC117" s="6119"/>
      <c r="ID117" s="6119"/>
      <c r="IE117" s="6119"/>
      <c r="IF117" s="6119"/>
      <c r="IG117" s="6119"/>
      <c r="IH117" s="6119"/>
      <c r="II117" s="6119"/>
      <c r="IJ117" s="6119"/>
      <c r="IK117" s="6119"/>
      <c r="IL117" s="6119"/>
      <c r="IM117" s="6119"/>
      <c r="IN117" s="6119"/>
      <c r="IO117" s="6119"/>
      <c r="IP117" s="6119"/>
      <c r="IQ117" s="6119"/>
      <c r="IR117" s="6119"/>
      <c r="IS117" s="6119"/>
      <c r="IT117" s="6119"/>
      <c r="IU117" s="6119"/>
      <c r="IV117" s="6119"/>
      <c r="IW117" s="6119"/>
      <c r="IX117" s="6119"/>
      <c r="IY117" s="6119"/>
      <c r="IZ117" s="6119"/>
      <c r="JA117" s="6119"/>
      <c r="JB117" s="6119"/>
      <c r="JC117" s="6119"/>
      <c r="JD117" s="6119"/>
      <c r="JE117" s="6119"/>
      <c r="JF117" s="6119"/>
      <c r="JG117" s="6119"/>
      <c r="JH117" s="6119"/>
      <c r="JI117" s="6119"/>
      <c r="JJ117" s="6119"/>
      <c r="JK117" s="6119"/>
      <c r="JL117" s="6119"/>
      <c r="JM117" s="6119"/>
      <c r="JN117" s="6119"/>
      <c r="JO117" s="6119"/>
      <c r="JP117" s="6119"/>
      <c r="JQ117" s="6119"/>
      <c r="JR117" s="6119"/>
      <c r="JS117" s="6119"/>
      <c r="JT117" s="6119"/>
      <c r="JU117" s="6119"/>
      <c r="JV117" s="6119"/>
      <c r="JW117" s="6119"/>
      <c r="JX117" s="6119"/>
      <c r="JY117" s="6119"/>
      <c r="JZ117" s="6119"/>
      <c r="KA117" s="6119"/>
      <c r="KB117" s="6119"/>
      <c r="KC117" s="6119"/>
      <c r="KD117" s="6119"/>
      <c r="KE117" s="6119"/>
      <c r="KF117" s="6119"/>
      <c r="KG117" s="6119"/>
      <c r="KH117" s="6119"/>
      <c r="KI117" s="6119"/>
      <c r="KJ117" s="6119"/>
      <c r="KK117" s="6119"/>
      <c r="KL117" s="6119"/>
      <c r="KM117" s="6119"/>
      <c r="KN117" s="6119"/>
      <c r="KO117" s="6119"/>
      <c r="KP117" s="6119"/>
      <c r="KQ117" s="6119"/>
      <c r="KR117" s="6119"/>
      <c r="KS117" s="6119"/>
      <c r="KT117" s="6119"/>
      <c r="KU117" s="6119"/>
      <c r="KV117" s="6119"/>
      <c r="KW117" s="6119"/>
      <c r="KX117" s="6119"/>
      <c r="KY117" s="6119"/>
      <c r="KZ117" s="6119"/>
      <c r="LA117" s="6119"/>
      <c r="LB117" s="6119"/>
      <c r="LD117" s="5132"/>
      <c r="LE117" s="5132"/>
      <c r="LF117" s="5132"/>
      <c r="LG117" s="5132"/>
      <c r="LH117" s="5132"/>
      <c r="LI117" s="5132"/>
      <c r="LJ117" s="5132"/>
    </row>
    <row r="118" spans="1:322" ht="12.75" customHeight="1">
      <c r="E118" s="6980"/>
      <c r="F118" s="6980"/>
      <c r="AI118" s="6981"/>
      <c r="AJ118" s="6981"/>
      <c r="AK118" s="6981"/>
      <c r="AL118" s="6981"/>
      <c r="AM118" s="6981"/>
      <c r="AN118" s="6981"/>
      <c r="AO118" s="6981"/>
      <c r="AP118" s="6981"/>
      <c r="AQ118" s="6981"/>
      <c r="AR118" s="6981"/>
      <c r="AS118" s="6981"/>
      <c r="AT118" s="6981"/>
      <c r="AU118" s="6982"/>
      <c r="AV118" s="6982"/>
      <c r="AW118" s="6981"/>
      <c r="AX118" s="6981"/>
      <c r="AY118" s="6981"/>
      <c r="AZ118" s="6981"/>
      <c r="BA118" s="6981"/>
      <c r="BB118" s="6981"/>
      <c r="BC118" s="6981"/>
      <c r="CL118" s="6982"/>
      <c r="FB118" s="6401"/>
      <c r="LC118" s="5135"/>
    </row>
    <row r="119" spans="1:322">
      <c r="E119" s="6980"/>
      <c r="F119" s="6980"/>
      <c r="AI119" s="6981"/>
      <c r="AJ119" s="6981"/>
      <c r="AK119" s="6981"/>
      <c r="AL119" s="6981"/>
      <c r="AM119" s="6981"/>
      <c r="AN119" s="6981"/>
      <c r="AO119" s="6981"/>
      <c r="AP119" s="6981"/>
      <c r="AQ119" s="6981"/>
      <c r="AR119" s="6981"/>
      <c r="AS119" s="6981"/>
      <c r="AT119" s="6981"/>
      <c r="AU119" s="6982"/>
      <c r="AV119" s="6982"/>
      <c r="AW119" s="6981"/>
      <c r="AX119" s="6981"/>
      <c r="AY119" s="6981"/>
      <c r="AZ119" s="6981"/>
      <c r="BA119" s="6981"/>
      <c r="BB119" s="6981"/>
      <c r="BC119" s="6981"/>
      <c r="FB119" s="6401"/>
      <c r="LC119" s="5135"/>
    </row>
    <row r="120" spans="1:322" ht="219.95" customHeight="1">
      <c r="E120" s="6980"/>
      <c r="F120" s="6980"/>
      <c r="AV120" s="6982"/>
      <c r="FB120" s="6401"/>
    </row>
    <row r="121" spans="1:322" ht="219.95" customHeight="1">
      <c r="E121" s="6980"/>
      <c r="F121" s="6980"/>
    </row>
    <row r="122" spans="1:322" ht="219.95" customHeight="1">
      <c r="E122" s="6980"/>
      <c r="F122" s="6980"/>
    </row>
    <row r="123" spans="1:322" ht="219.95" customHeight="1">
      <c r="E123" s="6980"/>
      <c r="F123" s="6980"/>
    </row>
    <row r="124" spans="1:322">
      <c r="E124" s="6980"/>
      <c r="F124" s="6980"/>
    </row>
    <row r="125" spans="1:322">
      <c r="E125" s="6980"/>
      <c r="F125" s="6980"/>
    </row>
    <row r="126" spans="1:322" ht="219.95" customHeight="1">
      <c r="E126" s="6980"/>
      <c r="F126" s="6980"/>
    </row>
    <row r="127" spans="1:322" ht="219.95" customHeight="1">
      <c r="E127" s="6983"/>
      <c r="F127" s="6983"/>
    </row>
    <row r="128" spans="1:322" hidden="1">
      <c r="E128" s="6983"/>
      <c r="F128" s="6983"/>
    </row>
    <row r="129" spans="5:6" hidden="1">
      <c r="E129" s="6983"/>
      <c r="F129" s="6983"/>
    </row>
    <row r="130" spans="5:6" hidden="1">
      <c r="E130" s="6983"/>
      <c r="F130" s="6983"/>
    </row>
    <row r="131" spans="5:6" hidden="1">
      <c r="E131" s="6983"/>
      <c r="F131" s="6983"/>
    </row>
    <row r="132" spans="5:6" hidden="1">
      <c r="E132" s="6980"/>
      <c r="F132" s="6980"/>
    </row>
    <row r="133" spans="5:6" hidden="1">
      <c r="E133" s="6980"/>
      <c r="F133" s="6980"/>
    </row>
    <row r="134" spans="5:6" hidden="1">
      <c r="E134" s="6980"/>
      <c r="F134" s="6980"/>
    </row>
    <row r="135" spans="5:6" hidden="1">
      <c r="E135" s="6980"/>
      <c r="F135" s="6980"/>
    </row>
    <row r="136" spans="5:6" hidden="1">
      <c r="E136" s="6980"/>
      <c r="F136" s="6980"/>
    </row>
    <row r="137" spans="5:6" hidden="1">
      <c r="E137" s="6980"/>
      <c r="F137" s="6980"/>
    </row>
    <row r="138" spans="5:6" hidden="1">
      <c r="E138" s="6980"/>
      <c r="F138" s="6980"/>
    </row>
    <row r="139" spans="5:6" hidden="1">
      <c r="E139" s="6983"/>
      <c r="F139" s="6983"/>
    </row>
    <row r="140" spans="5:6" hidden="1">
      <c r="E140" s="6983"/>
      <c r="F140" s="6983"/>
    </row>
    <row r="141" spans="5:6" hidden="1">
      <c r="E141" s="6983"/>
      <c r="F141" s="6983"/>
    </row>
    <row r="142" spans="5:6" hidden="1">
      <c r="E142" s="6980"/>
      <c r="F142" s="6980"/>
    </row>
    <row r="143" spans="5:6" hidden="1">
      <c r="E143" s="6980"/>
      <c r="F143" s="6980"/>
    </row>
    <row r="144" spans="5:6" hidden="1">
      <c r="E144" s="6984"/>
      <c r="F144" s="6984"/>
    </row>
    <row r="145" spans="5:6" hidden="1">
      <c r="E145" s="6980"/>
      <c r="F145" s="6980"/>
    </row>
    <row r="146" spans="5:6" hidden="1">
      <c r="E146" s="6983"/>
      <c r="F146" s="6983"/>
    </row>
    <row r="147" spans="5:6" hidden="1">
      <c r="E147" s="6984"/>
      <c r="F147" s="6984"/>
    </row>
    <row r="148" spans="5:6" hidden="1">
      <c r="E148" s="6980"/>
      <c r="F148" s="6980"/>
    </row>
    <row r="149" spans="5:6" hidden="1">
      <c r="E149" s="6983"/>
      <c r="F149" s="6983"/>
    </row>
    <row r="150" spans="5:6" hidden="1">
      <c r="E150" s="6984"/>
      <c r="F150" s="6984"/>
    </row>
    <row r="151" spans="5:6" hidden="1">
      <c r="E151" s="6980"/>
      <c r="F151" s="6980"/>
    </row>
    <row r="152" spans="5:6" hidden="1">
      <c r="E152" s="6980"/>
      <c r="F152" s="6980"/>
    </row>
    <row r="153" spans="5:6" hidden="1">
      <c r="E153" s="6983"/>
      <c r="F153" s="6983"/>
    </row>
    <row r="154" spans="5:6" hidden="1">
      <c r="E154" s="6984"/>
      <c r="F154" s="6984"/>
    </row>
    <row r="155" spans="5:6" hidden="1">
      <c r="E155" s="6984"/>
      <c r="F155" s="6984"/>
    </row>
    <row r="156" spans="5:6" hidden="1">
      <c r="E156" s="6980"/>
      <c r="F156" s="6980"/>
    </row>
    <row r="157" spans="5:6" hidden="1">
      <c r="E157" s="6983"/>
      <c r="F157" s="6983"/>
    </row>
    <row r="158" spans="5:6" hidden="1">
      <c r="E158" s="6984"/>
      <c r="F158" s="6984"/>
    </row>
    <row r="159" spans="5:6" hidden="1">
      <c r="E159" s="6980"/>
      <c r="F159" s="6980"/>
    </row>
    <row r="160" spans="5:6" hidden="1">
      <c r="E160" s="6980"/>
      <c r="F160" s="6980"/>
    </row>
    <row r="161" spans="5:6" hidden="1">
      <c r="E161" s="6983"/>
      <c r="F161" s="6983"/>
    </row>
    <row r="162" spans="5:6" hidden="1">
      <c r="E162" s="6984"/>
      <c r="F162" s="6984"/>
    </row>
    <row r="163" spans="5:6" hidden="1">
      <c r="E163" s="6980"/>
      <c r="F163" s="6980"/>
    </row>
    <row r="164" spans="5:6" hidden="1">
      <c r="E164" s="6983"/>
      <c r="F164" s="6983"/>
    </row>
    <row r="165" spans="5:6" hidden="1">
      <c r="E165" s="6984"/>
      <c r="F165" s="6984"/>
    </row>
    <row r="166" spans="5:6" hidden="1">
      <c r="E166" s="6980"/>
      <c r="F166" s="6980"/>
    </row>
    <row r="167" spans="5:6" hidden="1">
      <c r="E167" s="6983"/>
      <c r="F167" s="6983"/>
    </row>
    <row r="168" spans="5:6" hidden="1">
      <c r="E168" s="6984"/>
      <c r="F168" s="6984"/>
    </row>
    <row r="169" spans="5:6" hidden="1">
      <c r="E169" s="6984"/>
      <c r="F169" s="6984"/>
    </row>
    <row r="170" spans="5:6" hidden="1">
      <c r="E170" s="6983"/>
      <c r="F170" s="6983"/>
    </row>
    <row r="171" spans="5:6" hidden="1">
      <c r="E171" s="6984"/>
      <c r="F171" s="6984"/>
    </row>
    <row r="172" spans="5:6" hidden="1">
      <c r="E172" s="6980"/>
      <c r="F172" s="6980"/>
    </row>
    <row r="173" spans="5:6" hidden="1">
      <c r="E173" s="6980"/>
      <c r="F173" s="6980"/>
    </row>
    <row r="174" spans="5:6" hidden="1">
      <c r="E174" s="6983"/>
      <c r="F174" s="6983"/>
    </row>
    <row r="175" spans="5:6" hidden="1">
      <c r="E175" s="6984"/>
      <c r="F175" s="6984"/>
    </row>
    <row r="176" spans="5:6" hidden="1">
      <c r="E176" s="6983"/>
      <c r="F176" s="6983"/>
    </row>
  </sheetData>
  <sheetProtection password="C665" sheet="1" objects="1" scenarios="1"/>
  <mergeCells count="951">
    <mergeCell ref="JU81:JV81"/>
    <mergeCell ref="KT30:KX30"/>
    <mergeCell ref="IP31:IQ31"/>
    <mergeCell ref="IR31:IS31"/>
    <mergeCell ref="IV31:IV32"/>
    <mergeCell ref="KV31:KW31"/>
    <mergeCell ref="KY30:KY32"/>
    <mergeCell ref="JT29:KX29"/>
    <mergeCell ref="KQ30:KS30"/>
    <mergeCell ref="KS31:KS32"/>
    <mergeCell ref="JM31:JM32"/>
    <mergeCell ref="JM29:JS29"/>
    <mergeCell ref="JS30:JS32"/>
    <mergeCell ref="JT31:JT33"/>
    <mergeCell ref="KD30:KP30"/>
    <mergeCell ref="KP31:KP32"/>
    <mergeCell ref="JT30:JW30"/>
    <mergeCell ref="JX30:JZ30"/>
    <mergeCell ref="KA30:KC30"/>
    <mergeCell ref="BA28:BG28"/>
    <mergeCell ref="BG29:BG33"/>
    <mergeCell ref="BF29:BF33"/>
    <mergeCell ref="BE29:BE33"/>
    <mergeCell ref="BD29:BD33"/>
    <mergeCell ref="BC29:BC33"/>
    <mergeCell ref="BB29:BB33"/>
    <mergeCell ref="BA29:BA33"/>
    <mergeCell ref="HU31:HU32"/>
    <mergeCell ref="ER31:ER32"/>
    <mergeCell ref="GI29:HD29"/>
    <mergeCell ref="FC29:FV29"/>
    <mergeCell ref="FW29:GH29"/>
    <mergeCell ref="IE30:IE32"/>
    <mergeCell ref="ET31:ET32"/>
    <mergeCell ref="HI30:HI32"/>
    <mergeCell ref="FW31:FX31"/>
    <mergeCell ref="FW30:GA30"/>
    <mergeCell ref="FY31:GA31"/>
    <mergeCell ref="FU30:FU32"/>
    <mergeCell ref="FH30:FI30"/>
    <mergeCell ref="FL30:FM30"/>
    <mergeCell ref="FP31:FQ31"/>
    <mergeCell ref="HH29:HH32"/>
    <mergeCell ref="EW31:EW32"/>
    <mergeCell ref="GS31:GS32"/>
    <mergeCell ref="GR31:GR32"/>
    <mergeCell ref="GT31:GT32"/>
    <mergeCell ref="AH30:AH33"/>
    <mergeCell ref="V30:V33"/>
    <mergeCell ref="U30:U32"/>
    <mergeCell ref="M30:M33"/>
    <mergeCell ref="T30:T32"/>
    <mergeCell ref="S30:S32"/>
    <mergeCell ref="R30:R33"/>
    <mergeCell ref="Q30:Q33"/>
    <mergeCell ref="P30:P33"/>
    <mergeCell ref="O30:O33"/>
    <mergeCell ref="N30:N33"/>
    <mergeCell ref="AE30:AE32"/>
    <mergeCell ref="AD30:AD32"/>
    <mergeCell ref="AC30:AC33"/>
    <mergeCell ref="AB30:AB33"/>
    <mergeCell ref="AA30:AA32"/>
    <mergeCell ref="Z30:Z33"/>
    <mergeCell ref="Y30:Y33"/>
    <mergeCell ref="X30:X33"/>
    <mergeCell ref="W30:W33"/>
    <mergeCell ref="AU30:AU33"/>
    <mergeCell ref="AT31:AT32"/>
    <mergeCell ref="AS31:AS32"/>
    <mergeCell ref="AR31:AR32"/>
    <mergeCell ref="AQ31:AQ32"/>
    <mergeCell ref="AP31:AP32"/>
    <mergeCell ref="AO31:AO32"/>
    <mergeCell ref="AN30:AN33"/>
    <mergeCell ref="AM31:AM32"/>
    <mergeCell ref="HQ4:HR4"/>
    <mergeCell ref="HT29:HU29"/>
    <mergeCell ref="HT30:HU30"/>
    <mergeCell ref="IC29:IC32"/>
    <mergeCell ref="ID29:JA29"/>
    <mergeCell ref="JF28:KY28"/>
    <mergeCell ref="IY31:IZ31"/>
    <mergeCell ref="HO29:HS29"/>
    <mergeCell ref="JB32:JB33"/>
    <mergeCell ref="JJ31:JJ32"/>
    <mergeCell ref="JF29:JG29"/>
    <mergeCell ref="JG30:JG32"/>
    <mergeCell ref="JF30:JF32"/>
    <mergeCell ref="JM30:JN30"/>
    <mergeCell ref="JO30:JR30"/>
    <mergeCell ref="JO31:JO32"/>
    <mergeCell ref="JP31:JP32"/>
    <mergeCell ref="HQ30:HS30"/>
    <mergeCell ref="HQ31:HQ32"/>
    <mergeCell ref="HR31:HR32"/>
    <mergeCell ref="HS31:HS32"/>
    <mergeCell ref="HP30:HP32"/>
    <mergeCell ref="JA32:JA33"/>
    <mergeCell ref="JH29:JL29"/>
    <mergeCell ref="KZ28:LB28"/>
    <mergeCell ref="HV29:HW29"/>
    <mergeCell ref="IB30:IB32"/>
    <mergeCell ref="HX29:IB29"/>
    <mergeCell ref="HY30:HZ30"/>
    <mergeCell ref="IA30:IA32"/>
    <mergeCell ref="HT31:HT32"/>
    <mergeCell ref="CT29:FB29"/>
    <mergeCell ref="CS29:CS32"/>
    <mergeCell ref="GE30:GH30"/>
    <mergeCell ref="GH31:GH32"/>
    <mergeCell ref="GG31:GG32"/>
    <mergeCell ref="DJ31:DJ32"/>
    <mergeCell ref="DK31:DK32"/>
    <mergeCell ref="FV30:FV32"/>
    <mergeCell ref="EY31:EY32"/>
    <mergeCell ref="JH30:JH32"/>
    <mergeCell ref="JI30:JL30"/>
    <mergeCell ref="JI31:JI32"/>
    <mergeCell ref="JL31:JL32"/>
    <mergeCell ref="JK31:JK32"/>
    <mergeCell ref="HJ30:HJ32"/>
    <mergeCell ref="HK30:HK32"/>
    <mergeCell ref="HL30:HL32"/>
    <mergeCell ref="KZ29:KZ32"/>
    <mergeCell ref="EL31:EL32"/>
    <mergeCell ref="FD30:FE30"/>
    <mergeCell ref="FF30:FG30"/>
    <mergeCell ref="CO30:CO32"/>
    <mergeCell ref="CN30:CN32"/>
    <mergeCell ref="BY30:BY32"/>
    <mergeCell ref="BS29:BS32"/>
    <mergeCell ref="BU29:CE29"/>
    <mergeCell ref="FF31:FG31"/>
    <mergeCell ref="DQ31:DU31"/>
    <mergeCell ref="EX31:EX32"/>
    <mergeCell ref="FJ30:FK30"/>
    <mergeCell ref="FJ31:FK31"/>
    <mergeCell ref="FP30:FQ30"/>
    <mergeCell ref="FL31:FM31"/>
    <mergeCell ref="ES31:ES32"/>
    <mergeCell ref="EW30:EX30"/>
    <mergeCell ref="FN30:FO30"/>
    <mergeCell ref="FN31:FO31"/>
    <mergeCell ref="EH31:EH32"/>
    <mergeCell ref="JQ31:JQ32"/>
    <mergeCell ref="JR31:JR32"/>
    <mergeCell ref="JN31:JN32"/>
    <mergeCell ref="AH61:AH63"/>
    <mergeCell ref="AV44:AV52"/>
    <mergeCell ref="AV61:AV63"/>
    <mergeCell ref="CQ28:CR28"/>
    <mergeCell ref="EO31:EO32"/>
    <mergeCell ref="EZ31:FA31"/>
    <mergeCell ref="EQ30:ET30"/>
    <mergeCell ref="EQ31:EQ32"/>
    <mergeCell ref="EN31:EN32"/>
    <mergeCell ref="EP31:EP32"/>
    <mergeCell ref="EE31:EE32"/>
    <mergeCell ref="EF31:EF32"/>
    <mergeCell ref="BJ30:BJ32"/>
    <mergeCell ref="CE30:CE32"/>
    <mergeCell ref="CC30:CC32"/>
    <mergeCell ref="CB30:CB32"/>
    <mergeCell ref="DV31:DY31"/>
    <mergeCell ref="EA31:EA32"/>
    <mergeCell ref="EB31:EB32"/>
    <mergeCell ref="EC31:EC32"/>
    <mergeCell ref="EI30:EP30"/>
    <mergeCell ref="DK30:EA30"/>
    <mergeCell ref="EB30:ED30"/>
    <mergeCell ref="CS28:HD28"/>
    <mergeCell ref="CK17:CK18"/>
    <mergeCell ref="CL17:CL18"/>
    <mergeCell ref="CM17:CM18"/>
    <mergeCell ref="CN17:CN18"/>
    <mergeCell ref="BY17:BY18"/>
    <mergeCell ref="CB17:CB18"/>
    <mergeCell ref="CC17:CC18"/>
    <mergeCell ref="CH29:CH33"/>
    <mergeCell ref="CR29:CR33"/>
    <mergeCell ref="CQ29:CQ33"/>
    <mergeCell ref="CD17:CD18"/>
    <mergeCell ref="BH28:CP28"/>
    <mergeCell ref="CI29:CP29"/>
    <mergeCell ref="CP30:CP32"/>
    <mergeCell ref="AZ61:AZ63"/>
    <mergeCell ref="CG29:CG33"/>
    <mergeCell ref="BN30:BN32"/>
    <mergeCell ref="BK30:BK32"/>
    <mergeCell ref="BI29:BI33"/>
    <mergeCell ref="AX61:AX63"/>
    <mergeCell ref="AV36:AV43"/>
    <mergeCell ref="BL30:BL32"/>
    <mergeCell ref="BM30:BM32"/>
    <mergeCell ref="AV53:AV60"/>
    <mergeCell ref="BV30:BV32"/>
    <mergeCell ref="CD30:CD32"/>
    <mergeCell ref="AZ31:AZ32"/>
    <mergeCell ref="AY31:AY32"/>
    <mergeCell ref="AX31:AX32"/>
    <mergeCell ref="AW31:AW32"/>
    <mergeCell ref="AV31:AV32"/>
    <mergeCell ref="AE61:AE63"/>
    <mergeCell ref="AG74:AG75"/>
    <mergeCell ref="P80:P81"/>
    <mergeCell ref="AG61:AG63"/>
    <mergeCell ref="AH28:AZ28"/>
    <mergeCell ref="AP61:AP63"/>
    <mergeCell ref="AO44:AO52"/>
    <mergeCell ref="AO61:AO63"/>
    <mergeCell ref="AI36:AI43"/>
    <mergeCell ref="AH29:AM29"/>
    <mergeCell ref="AE53:AE60"/>
    <mergeCell ref="AG44:AG52"/>
    <mergeCell ref="AF44:AF52"/>
    <mergeCell ref="AE44:AE52"/>
    <mergeCell ref="AH36:AH43"/>
    <mergeCell ref="AN36:AN43"/>
    <mergeCell ref="S40:S41"/>
    <mergeCell ref="S38:S39"/>
    <mergeCell ref="S36:S37"/>
    <mergeCell ref="AW68:AW69"/>
    <mergeCell ref="AV76:AV79"/>
    <mergeCell ref="AW76:AW79"/>
    <mergeCell ref="AQ36:AQ43"/>
    <mergeCell ref="AY61:AY63"/>
    <mergeCell ref="A53:A60"/>
    <mergeCell ref="P53:P60"/>
    <mergeCell ref="CL30:CL32"/>
    <mergeCell ref="CK30:CK32"/>
    <mergeCell ref="CJ30:CJ32"/>
    <mergeCell ref="CI30:CI32"/>
    <mergeCell ref="BP30:BP32"/>
    <mergeCell ref="BO30:BO32"/>
    <mergeCell ref="AM44:AM52"/>
    <mergeCell ref="BX30:BX32"/>
    <mergeCell ref="CA30:CA32"/>
    <mergeCell ref="BZ30:BZ32"/>
    <mergeCell ref="BT29:BT33"/>
    <mergeCell ref="BR30:BR32"/>
    <mergeCell ref="BQ30:BQ32"/>
    <mergeCell ref="AH44:AH52"/>
    <mergeCell ref="AD44:AD52"/>
    <mergeCell ref="AC44:AC52"/>
    <mergeCell ref="AC53:AC60"/>
    <mergeCell ref="AB53:AB60"/>
    <mergeCell ref="N36:N43"/>
    <mergeCell ref="M36:M43"/>
    <mergeCell ref="P36:P43"/>
    <mergeCell ref="S42:S43"/>
    <mergeCell ref="A61:A63"/>
    <mergeCell ref="C61:C63"/>
    <mergeCell ref="B61:B63"/>
    <mergeCell ref="AA61:AA63"/>
    <mergeCell ref="Z61:Z63"/>
    <mergeCell ref="X61:X63"/>
    <mergeCell ref="W61:W63"/>
    <mergeCell ref="V61:V63"/>
    <mergeCell ref="U61:U63"/>
    <mergeCell ref="T61:T63"/>
    <mergeCell ref="R61:R63"/>
    <mergeCell ref="Q61:Q63"/>
    <mergeCell ref="P61:P63"/>
    <mergeCell ref="O61:O63"/>
    <mergeCell ref="N61:N63"/>
    <mergeCell ref="K61:K63"/>
    <mergeCell ref="S61:S63"/>
    <mergeCell ref="L61:L63"/>
    <mergeCell ref="Z74:Z75"/>
    <mergeCell ref="AA74:AA75"/>
    <mergeCell ref="B80:B81"/>
    <mergeCell ref="A74:A75"/>
    <mergeCell ref="C74:C75"/>
    <mergeCell ref="O74:O75"/>
    <mergeCell ref="AG36:AG43"/>
    <mergeCell ref="A44:A52"/>
    <mergeCell ref="R44:R52"/>
    <mergeCell ref="Q44:Q52"/>
    <mergeCell ref="P44:P52"/>
    <mergeCell ref="O44:O52"/>
    <mergeCell ref="N44:N52"/>
    <mergeCell ref="M44:M52"/>
    <mergeCell ref="K44:K52"/>
    <mergeCell ref="L44:L52"/>
    <mergeCell ref="AB44:AB52"/>
    <mergeCell ref="T44:T52"/>
    <mergeCell ref="W44:W52"/>
    <mergeCell ref="V44:V52"/>
    <mergeCell ref="U44:U52"/>
    <mergeCell ref="AA44:AA52"/>
    <mergeCell ref="Z44:Z52"/>
    <mergeCell ref="X44:X52"/>
    <mergeCell ref="R74:R75"/>
    <mergeCell ref="T74:T75"/>
    <mergeCell ref="U74:U79"/>
    <mergeCell ref="N53:N60"/>
    <mergeCell ref="U80:U81"/>
    <mergeCell ref="P65:P69"/>
    <mergeCell ref="V74:V75"/>
    <mergeCell ref="W74:W75"/>
    <mergeCell ref="X74:X75"/>
    <mergeCell ref="O53:O60"/>
    <mergeCell ref="U65:U69"/>
    <mergeCell ref="AH74:AH75"/>
    <mergeCell ref="AF68:AF69"/>
    <mergeCell ref="AD74:AD75"/>
    <mergeCell ref="AE74:AE75"/>
    <mergeCell ref="AF74:AF75"/>
    <mergeCell ref="AF65:AF67"/>
    <mergeCell ref="AG65:AG67"/>
    <mergeCell ref="AG68:AG69"/>
    <mergeCell ref="AE76:AE79"/>
    <mergeCell ref="AD76:AD79"/>
    <mergeCell ref="AG76:AG79"/>
    <mergeCell ref="B36:B43"/>
    <mergeCell ref="B64:B79"/>
    <mergeCell ref="Q53:Q60"/>
    <mergeCell ref="L53:L60"/>
    <mergeCell ref="K53:K60"/>
    <mergeCell ref="C53:C60"/>
    <mergeCell ref="C44:C52"/>
    <mergeCell ref="B44:B52"/>
    <mergeCell ref="L36:L43"/>
    <mergeCell ref="K74:K75"/>
    <mergeCell ref="B53:B60"/>
    <mergeCell ref="N64:N81"/>
    <mergeCell ref="L80:L81"/>
    <mergeCell ref="M64:M79"/>
    <mergeCell ref="M80:M81"/>
    <mergeCell ref="P74:P79"/>
    <mergeCell ref="Q74:Q75"/>
    <mergeCell ref="L64:L79"/>
    <mergeCell ref="AB61:AB63"/>
    <mergeCell ref="S44:S52"/>
    <mergeCell ref="M53:M60"/>
    <mergeCell ref="AD61:AD63"/>
    <mergeCell ref="S53:S60"/>
    <mergeCell ref="Y53:Y60"/>
    <mergeCell ref="Y61:Y63"/>
    <mergeCell ref="Y44:Y52"/>
    <mergeCell ref="M61:M63"/>
    <mergeCell ref="AA53:AA60"/>
    <mergeCell ref="Z53:Z60"/>
    <mergeCell ref="X53:X60"/>
    <mergeCell ref="W53:W60"/>
    <mergeCell ref="R53:R60"/>
    <mergeCell ref="AC61:AC63"/>
    <mergeCell ref="V53:V60"/>
    <mergeCell ref="U53:U60"/>
    <mergeCell ref="T53:T60"/>
    <mergeCell ref="AP74:AP75"/>
    <mergeCell ref="AI74:AI75"/>
    <mergeCell ref="AP76:AP79"/>
    <mergeCell ref="AR61:AR63"/>
    <mergeCell ref="AQ61:AQ63"/>
    <mergeCell ref="AU74:AU75"/>
    <mergeCell ref="AQ44:AQ52"/>
    <mergeCell ref="AR53:AR60"/>
    <mergeCell ref="AT53:AT60"/>
    <mergeCell ref="AS53:AS60"/>
    <mergeCell ref="AL53:AL60"/>
    <mergeCell ref="AN53:AN60"/>
    <mergeCell ref="AL61:AL63"/>
    <mergeCell ref="AR74:AR75"/>
    <mergeCell ref="AQ74:AQ75"/>
    <mergeCell ref="AO74:AO75"/>
    <mergeCell ref="AN74:AN75"/>
    <mergeCell ref="AM74:AM75"/>
    <mergeCell ref="AL74:AL75"/>
    <mergeCell ref="AT74:AT75"/>
    <mergeCell ref="AR76:AR79"/>
    <mergeCell ref="AS76:AS79"/>
    <mergeCell ref="AO53:AO60"/>
    <mergeCell ref="AI61:AI63"/>
    <mergeCell ref="AX80:AX81"/>
    <mergeCell ref="AU61:AU63"/>
    <mergeCell ref="AT44:AT52"/>
    <mergeCell ref="AS44:AS52"/>
    <mergeCell ref="AR44:AR52"/>
    <mergeCell ref="AW61:AW63"/>
    <mergeCell ref="AW74:AW75"/>
    <mergeCell ref="AV65:AV67"/>
    <mergeCell ref="AV68:AV69"/>
    <mergeCell ref="AT61:AT63"/>
    <mergeCell ref="AS61:AS63"/>
    <mergeCell ref="AU53:AU60"/>
    <mergeCell ref="AX74:AX75"/>
    <mergeCell ref="AX68:AX69"/>
    <mergeCell ref="AV80:AV81"/>
    <mergeCell ref="AB74:AB75"/>
    <mergeCell ref="AC74:AC75"/>
    <mergeCell ref="AJ74:AJ75"/>
    <mergeCell ref="AF36:AF43"/>
    <mergeCell ref="AF76:AF79"/>
    <mergeCell ref="AD53:AD60"/>
    <mergeCell ref="AF61:AF63"/>
    <mergeCell ref="AM61:AM63"/>
    <mergeCell ref="AN44:AN52"/>
    <mergeCell ref="AK74:AK75"/>
    <mergeCell ref="AI53:AI60"/>
    <mergeCell ref="AH53:AH60"/>
    <mergeCell ref="AK53:AK60"/>
    <mergeCell ref="AG53:AG60"/>
    <mergeCell ref="AF53:AF60"/>
    <mergeCell ref="AN61:AN63"/>
    <mergeCell ref="AM53:AM60"/>
    <mergeCell ref="AL44:AL52"/>
    <mergeCell ref="AK44:AK52"/>
    <mergeCell ref="AJ44:AJ52"/>
    <mergeCell ref="AJ53:AJ60"/>
    <mergeCell ref="AK61:AK63"/>
    <mergeCell ref="AJ61:AJ63"/>
    <mergeCell ref="AI44:AI52"/>
    <mergeCell ref="AZ68:AZ69"/>
    <mergeCell ref="AY68:AY69"/>
    <mergeCell ref="AS74:AS75"/>
    <mergeCell ref="AV74:AV75"/>
    <mergeCell ref="FD31:FE31"/>
    <mergeCell ref="FC30:FC32"/>
    <mergeCell ref="HO30:HO32"/>
    <mergeCell ref="HC31:HD31"/>
    <mergeCell ref="EU30:EV30"/>
    <mergeCell ref="EU31:EV31"/>
    <mergeCell ref="HM30:HM32"/>
    <mergeCell ref="GF31:GF32"/>
    <mergeCell ref="GE31:GE32"/>
    <mergeCell ref="GN31:GN32"/>
    <mergeCell ref="GM31:GM32"/>
    <mergeCell ref="GI30:GU30"/>
    <mergeCell ref="GI31:GL31"/>
    <mergeCell ref="HN29:HN32"/>
    <mergeCell ref="HE29:HE32"/>
    <mergeCell ref="HF29:HF32"/>
    <mergeCell ref="HG29:HG32"/>
    <mergeCell ref="HI29:HM29"/>
    <mergeCell ref="AN29:AT29"/>
    <mergeCell ref="AT36:AT43"/>
    <mergeCell ref="AG88:AG91"/>
    <mergeCell ref="AF88:AF91"/>
    <mergeCell ref="AE85:AE87"/>
    <mergeCell ref="AE88:AE91"/>
    <mergeCell ref="AA88:AA91"/>
    <mergeCell ref="Z88:Z91"/>
    <mergeCell ref="X88:X91"/>
    <mergeCell ref="W88:W91"/>
    <mergeCell ref="AG85:AG87"/>
    <mergeCell ref="AF85:AF87"/>
    <mergeCell ref="AC88:AC91"/>
    <mergeCell ref="AD88:AD91"/>
    <mergeCell ref="Z85:Z87"/>
    <mergeCell ref="AA85:AA87"/>
    <mergeCell ref="AB85:AB87"/>
    <mergeCell ref="AC85:AC87"/>
    <mergeCell ref="AD85:AD87"/>
    <mergeCell ref="AB88:AB91"/>
    <mergeCell ref="LA29:LA32"/>
    <mergeCell ref="LB29:LB32"/>
    <mergeCell ref="AU29:AZ29"/>
    <mergeCell ref="AV30:AZ30"/>
    <mergeCell ref="JC29:JC32"/>
    <mergeCell ref="JD29:JD32"/>
    <mergeCell ref="JE29:JE32"/>
    <mergeCell ref="HH28:JA28"/>
    <mergeCell ref="GB30:GD30"/>
    <mergeCell ref="GB31:GB32"/>
    <mergeCell ref="GC31:GC32"/>
    <mergeCell ref="GD31:GD32"/>
    <mergeCell ref="EI31:EK31"/>
    <mergeCell ref="EM31:EM32"/>
    <mergeCell ref="CZ31:DD31"/>
    <mergeCell ref="DE31:DH31"/>
    <mergeCell ref="JC28:JE28"/>
    <mergeCell ref="GV30:HD30"/>
    <mergeCell ref="FB31:FB32"/>
    <mergeCell ref="EY30:FB30"/>
    <mergeCell ref="CU31:CY31"/>
    <mergeCell ref="FH31:FI31"/>
    <mergeCell ref="FS30:FT31"/>
    <mergeCell ref="HE28:HG28"/>
    <mergeCell ref="AG82:AG84"/>
    <mergeCell ref="AF82:AF84"/>
    <mergeCell ref="AE82:AE84"/>
    <mergeCell ref="AD82:AD84"/>
    <mergeCell ref="AC82:AC84"/>
    <mergeCell ref="AB82:AB84"/>
    <mergeCell ref="AA82:AA84"/>
    <mergeCell ref="Z82:Z84"/>
    <mergeCell ref="AU82:AU84"/>
    <mergeCell ref="AU85:AU87"/>
    <mergeCell ref="AM82:AM84"/>
    <mergeCell ref="AL82:AL84"/>
    <mergeCell ref="AK82:AK84"/>
    <mergeCell ref="AJ82:AJ84"/>
    <mergeCell ref="AI82:AI84"/>
    <mergeCell ref="AH82:AH84"/>
    <mergeCell ref="AH85:AH87"/>
    <mergeCell ref="AI85:AI87"/>
    <mergeCell ref="AJ85:AJ87"/>
    <mergeCell ref="AK85:AK87"/>
    <mergeCell ref="AP82:AP84"/>
    <mergeCell ref="AL85:AL87"/>
    <mergeCell ref="AM85:AM87"/>
    <mergeCell ref="AP85:AP87"/>
    <mergeCell ref="A82:A84"/>
    <mergeCell ref="AZ82:AZ84"/>
    <mergeCell ref="C85:C87"/>
    <mergeCell ref="C88:C91"/>
    <mergeCell ref="C92:C95"/>
    <mergeCell ref="C96:C99"/>
    <mergeCell ref="V88:V91"/>
    <mergeCell ref="U82:U91"/>
    <mergeCell ref="V82:V84"/>
    <mergeCell ref="T82:T84"/>
    <mergeCell ref="S82:S84"/>
    <mergeCell ref="R82:R84"/>
    <mergeCell ref="Q82:Q84"/>
    <mergeCell ref="Q85:Q87"/>
    <mergeCell ref="R85:R87"/>
    <mergeCell ref="S85:S87"/>
    <mergeCell ref="T85:T87"/>
    <mergeCell ref="P82:P91"/>
    <mergeCell ref="L82:L105"/>
    <mergeCell ref="M82:M105"/>
    <mergeCell ref="N82:N105"/>
    <mergeCell ref="O88:O91"/>
    <mergeCell ref="X85:X87"/>
    <mergeCell ref="V100:V102"/>
    <mergeCell ref="S88:S91"/>
    <mergeCell ref="R88:R91"/>
    <mergeCell ref="Q88:Q91"/>
    <mergeCell ref="R100:R102"/>
    <mergeCell ref="Q100:Q102"/>
    <mergeCell ref="T100:T102"/>
    <mergeCell ref="Q103:Q105"/>
    <mergeCell ref="X82:X84"/>
    <mergeCell ref="W82:W84"/>
    <mergeCell ref="A100:A102"/>
    <mergeCell ref="X96:X99"/>
    <mergeCell ref="A103:A105"/>
    <mergeCell ref="X100:X102"/>
    <mergeCell ref="W100:W102"/>
    <mergeCell ref="S100:S102"/>
    <mergeCell ref="V103:V105"/>
    <mergeCell ref="T103:T105"/>
    <mergeCell ref="S103:S105"/>
    <mergeCell ref="O100:O102"/>
    <mergeCell ref="A85:A87"/>
    <mergeCell ref="V85:V87"/>
    <mergeCell ref="W85:W87"/>
    <mergeCell ref="K88:K91"/>
    <mergeCell ref="K85:K87"/>
    <mergeCell ref="B82:B105"/>
    <mergeCell ref="W92:W95"/>
    <mergeCell ref="V92:V95"/>
    <mergeCell ref="T92:T95"/>
    <mergeCell ref="S92:S95"/>
    <mergeCell ref="C103:C105"/>
    <mergeCell ref="K100:K102"/>
    <mergeCell ref="P100:P105"/>
    <mergeCell ref="K96:K99"/>
    <mergeCell ref="K92:K95"/>
    <mergeCell ref="U100:U105"/>
    <mergeCell ref="R92:R95"/>
    <mergeCell ref="W96:W99"/>
    <mergeCell ref="A88:A91"/>
    <mergeCell ref="A92:A95"/>
    <mergeCell ref="A96:A99"/>
    <mergeCell ref="C82:C84"/>
    <mergeCell ref="T88:T91"/>
    <mergeCell ref="K82:K84"/>
    <mergeCell ref="K113:K114"/>
    <mergeCell ref="C109:C112"/>
    <mergeCell ref="C113:C114"/>
    <mergeCell ref="O92:O95"/>
    <mergeCell ref="P92:P99"/>
    <mergeCell ref="C100:C102"/>
    <mergeCell ref="C106:C108"/>
    <mergeCell ref="K103:K105"/>
    <mergeCell ref="K106:K108"/>
    <mergeCell ref="L106:L114"/>
    <mergeCell ref="M106:M114"/>
    <mergeCell ref="N106:N114"/>
    <mergeCell ref="O106:O108"/>
    <mergeCell ref="A113:A114"/>
    <mergeCell ref="A109:A112"/>
    <mergeCell ref="K109:K112"/>
    <mergeCell ref="A106:A108"/>
    <mergeCell ref="O82:O84"/>
    <mergeCell ref="O85:O87"/>
    <mergeCell ref="O96:O99"/>
    <mergeCell ref="O103:O105"/>
    <mergeCell ref="AZ88:AZ91"/>
    <mergeCell ref="X103:X105"/>
    <mergeCell ref="W103:W105"/>
    <mergeCell ref="U106:U114"/>
    <mergeCell ref="X106:X108"/>
    <mergeCell ref="W106:W108"/>
    <mergeCell ref="V106:V108"/>
    <mergeCell ref="T106:T108"/>
    <mergeCell ref="AZ103:AZ105"/>
    <mergeCell ref="AU100:AU102"/>
    <mergeCell ref="AH100:AH102"/>
    <mergeCell ref="AI100:AI102"/>
    <mergeCell ref="AJ100:AJ102"/>
    <mergeCell ref="AK100:AK102"/>
    <mergeCell ref="AL100:AL102"/>
    <mergeCell ref="AM100:AM102"/>
    <mergeCell ref="AA106:AA108"/>
    <mergeCell ref="Z106:Z108"/>
    <mergeCell ref="AH92:AH95"/>
    <mergeCell ref="AI92:AI95"/>
    <mergeCell ref="AJ92:AJ95"/>
    <mergeCell ref="AK92:AK95"/>
    <mergeCell ref="V113:V114"/>
    <mergeCell ref="X92:X95"/>
    <mergeCell ref="AF96:AF99"/>
    <mergeCell ref="AE96:AE99"/>
    <mergeCell ref="AD96:AD99"/>
    <mergeCell ref="AC96:AC99"/>
    <mergeCell ref="AF100:AF102"/>
    <mergeCell ref="AH109:AH112"/>
    <mergeCell ref="AI109:AI112"/>
    <mergeCell ref="AK109:AK112"/>
    <mergeCell ref="AF106:AF108"/>
    <mergeCell ref="AE106:AE108"/>
    <mergeCell ref="AC106:AC108"/>
    <mergeCell ref="AB106:AB108"/>
    <mergeCell ref="AD103:AD105"/>
    <mergeCell ref="AC103:AC105"/>
    <mergeCell ref="AA103:AA105"/>
    <mergeCell ref="Z103:Z105"/>
    <mergeCell ref="T113:T114"/>
    <mergeCell ref="S113:S114"/>
    <mergeCell ref="S106:S108"/>
    <mergeCell ref="V109:V112"/>
    <mergeCell ref="T109:T112"/>
    <mergeCell ref="S109:S112"/>
    <mergeCell ref="R109:R112"/>
    <mergeCell ref="O109:O112"/>
    <mergeCell ref="O113:O114"/>
    <mergeCell ref="P109:P114"/>
    <mergeCell ref="R113:R114"/>
    <mergeCell ref="Q113:Q114"/>
    <mergeCell ref="Q109:Q112"/>
    <mergeCell ref="R106:R108"/>
    <mergeCell ref="Q106:Q108"/>
    <mergeCell ref="P106:P108"/>
    <mergeCell ref="AP88:AP91"/>
    <mergeCell ref="AP92:AP95"/>
    <mergeCell ref="B106:B114"/>
    <mergeCell ref="R103:R105"/>
    <mergeCell ref="AD92:AD95"/>
    <mergeCell ref="AC92:AC95"/>
    <mergeCell ref="AB92:AB95"/>
    <mergeCell ref="AA92:AA95"/>
    <mergeCell ref="Z92:Z95"/>
    <mergeCell ref="Q92:Q95"/>
    <mergeCell ref="T96:T99"/>
    <mergeCell ref="S96:S99"/>
    <mergeCell ref="R96:R99"/>
    <mergeCell ref="Q96:Q99"/>
    <mergeCell ref="U92:U99"/>
    <mergeCell ref="AB96:AB99"/>
    <mergeCell ref="AA96:AA99"/>
    <mergeCell ref="Z96:Z99"/>
    <mergeCell ref="V96:V99"/>
    <mergeCell ref="AG92:AG95"/>
    <mergeCell ref="AG96:AG99"/>
    <mergeCell ref="AG100:AG102"/>
    <mergeCell ref="AF92:AF95"/>
    <mergeCell ref="AE92:AE95"/>
    <mergeCell ref="AW103:AW105"/>
    <mergeCell ref="AX103:AX105"/>
    <mergeCell ref="AW96:AW99"/>
    <mergeCell ref="AX96:AX99"/>
    <mergeCell ref="AY96:AY99"/>
    <mergeCell ref="AU92:AU95"/>
    <mergeCell ref="AV92:AV95"/>
    <mergeCell ref="AP103:AP105"/>
    <mergeCell ref="AY103:AY105"/>
    <mergeCell ref="AT103:AT105"/>
    <mergeCell ref="AX100:AX102"/>
    <mergeCell ref="AV82:AV84"/>
    <mergeCell ref="AA100:AA102"/>
    <mergeCell ref="Z100:Z102"/>
    <mergeCell ref="AE100:AE102"/>
    <mergeCell ref="AD100:AD102"/>
    <mergeCell ref="AC100:AC102"/>
    <mergeCell ref="AB100:AB102"/>
    <mergeCell ref="AN82:AN84"/>
    <mergeCell ref="AO82:AO84"/>
    <mergeCell ref="AS82:AS84"/>
    <mergeCell ref="AT82:AT84"/>
    <mergeCell ref="AR92:AR95"/>
    <mergeCell ref="AS92:AS95"/>
    <mergeCell ref="AT92:AT95"/>
    <mergeCell ref="AN85:AN87"/>
    <mergeCell ref="AO85:AO87"/>
    <mergeCell ref="AQ85:AQ87"/>
    <mergeCell ref="AR85:AR87"/>
    <mergeCell ref="AN92:AN95"/>
    <mergeCell ref="AO92:AO95"/>
    <mergeCell ref="AQ82:AQ84"/>
    <mergeCell ref="AQ92:AQ95"/>
    <mergeCell ref="AS85:AS87"/>
    <mergeCell ref="AT85:AT87"/>
    <mergeCell ref="AW82:AW84"/>
    <mergeCell ref="AX82:AX84"/>
    <mergeCell ref="AY82:AY84"/>
    <mergeCell ref="AZ96:AZ99"/>
    <mergeCell ref="AZ100:AZ102"/>
    <mergeCell ref="AY100:AY102"/>
    <mergeCell ref="AP96:AP99"/>
    <mergeCell ref="AP100:AP102"/>
    <mergeCell ref="AV85:AV87"/>
    <mergeCell ref="AU96:AU99"/>
    <mergeCell ref="AV96:AV99"/>
    <mergeCell ref="AX92:AX95"/>
    <mergeCell ref="AY92:AY95"/>
    <mergeCell ref="AX85:AX87"/>
    <mergeCell ref="AY85:AY87"/>
    <mergeCell ref="AY88:AY91"/>
    <mergeCell ref="AW92:AW95"/>
    <mergeCell ref="AW85:AW87"/>
    <mergeCell ref="AW88:AW91"/>
    <mergeCell ref="AX88:AX91"/>
    <mergeCell ref="AZ92:AZ95"/>
    <mergeCell ref="AZ85:AZ87"/>
    <mergeCell ref="AW100:AW102"/>
    <mergeCell ref="AR82:AR84"/>
    <mergeCell ref="AX113:AX114"/>
    <mergeCell ref="AY113:AY114"/>
    <mergeCell ref="AZ113:AZ114"/>
    <mergeCell ref="AX106:AX108"/>
    <mergeCell ref="AY106:AY108"/>
    <mergeCell ref="AZ106:AZ108"/>
    <mergeCell ref="AU109:AU112"/>
    <mergeCell ref="AV109:AV112"/>
    <mergeCell ref="AW109:AW112"/>
    <mergeCell ref="AX109:AX112"/>
    <mergeCell ref="AY109:AY112"/>
    <mergeCell ref="AZ109:AZ112"/>
    <mergeCell ref="AU106:AU108"/>
    <mergeCell ref="AV106:AV108"/>
    <mergeCell ref="AW106:AW108"/>
    <mergeCell ref="AU113:AU114"/>
    <mergeCell ref="AV113:AV114"/>
    <mergeCell ref="AW113:AW114"/>
    <mergeCell ref="AT113:AT114"/>
    <mergeCell ref="AT106:AT108"/>
    <mergeCell ref="AT109:AT112"/>
    <mergeCell ref="AU103:AU105"/>
    <mergeCell ref="AV103:AV105"/>
    <mergeCell ref="AU88:AU91"/>
    <mergeCell ref="AV88:AV91"/>
    <mergeCell ref="AH88:AH91"/>
    <mergeCell ref="AI88:AI91"/>
    <mergeCell ref="AV100:AV102"/>
    <mergeCell ref="AT100:AT102"/>
    <mergeCell ref="AT96:AT99"/>
    <mergeCell ref="AH103:AH105"/>
    <mergeCell ref="AI103:AI105"/>
    <mergeCell ref="AJ103:AJ105"/>
    <mergeCell ref="AK103:AK105"/>
    <mergeCell ref="AL103:AL105"/>
    <mergeCell ref="AM103:AM105"/>
    <mergeCell ref="AH96:AH99"/>
    <mergeCell ref="AI96:AI99"/>
    <mergeCell ref="AJ96:AJ99"/>
    <mergeCell ref="AK96:AK99"/>
    <mergeCell ref="AL96:AL99"/>
    <mergeCell ref="AM96:AM99"/>
    <mergeCell ref="AQ109:AQ112"/>
    <mergeCell ref="AQ106:AQ108"/>
    <mergeCell ref="AR106:AR108"/>
    <mergeCell ref="AS106:AS108"/>
    <mergeCell ref="AR100:AR102"/>
    <mergeCell ref="AS100:AS102"/>
    <mergeCell ref="AR96:AR99"/>
    <mergeCell ref="AS96:AS99"/>
    <mergeCell ref="AR103:AR105"/>
    <mergeCell ref="AS103:AS105"/>
    <mergeCell ref="AQ100:AQ102"/>
    <mergeCell ref="AQ96:AQ99"/>
    <mergeCell ref="AO109:AO112"/>
    <mergeCell ref="AO106:AO108"/>
    <mergeCell ref="AL109:AL112"/>
    <mergeCell ref="AK113:AK114"/>
    <mergeCell ref="AM113:AM114"/>
    <mergeCell ref="AL113:AL114"/>
    <mergeCell ref="AN113:AN114"/>
    <mergeCell ref="AJ88:AJ91"/>
    <mergeCell ref="AK88:AK91"/>
    <mergeCell ref="AL88:AL91"/>
    <mergeCell ref="AM88:AM91"/>
    <mergeCell ref="AN100:AN102"/>
    <mergeCell ref="AO100:AO102"/>
    <mergeCell ref="AN96:AN99"/>
    <mergeCell ref="AO96:AO99"/>
    <mergeCell ref="AL92:AL95"/>
    <mergeCell ref="AM92:AM95"/>
    <mergeCell ref="AN88:AN91"/>
    <mergeCell ref="AO88:AO91"/>
    <mergeCell ref="AJ106:AJ108"/>
    <mergeCell ref="AK106:AK108"/>
    <mergeCell ref="AL106:AL108"/>
    <mergeCell ref="AM106:AM108"/>
    <mergeCell ref="AJ109:AJ112"/>
    <mergeCell ref="AN109:AN112"/>
    <mergeCell ref="AA113:AA114"/>
    <mergeCell ref="Z113:Z114"/>
    <mergeCell ref="X113:X114"/>
    <mergeCell ref="W113:W114"/>
    <mergeCell ref="X109:X112"/>
    <mergeCell ref="W109:W112"/>
    <mergeCell ref="AA109:AA112"/>
    <mergeCell ref="Z109:Z112"/>
    <mergeCell ref="AG113:AG114"/>
    <mergeCell ref="AG109:AG112"/>
    <mergeCell ref="AF109:AF112"/>
    <mergeCell ref="AB103:AB105"/>
    <mergeCell ref="AD106:AD108"/>
    <mergeCell ref="AD113:AD114"/>
    <mergeCell ref="AC113:AC114"/>
    <mergeCell ref="AB113:AB114"/>
    <mergeCell ref="AE109:AE112"/>
    <mergeCell ref="AD109:AD112"/>
    <mergeCell ref="AC109:AC112"/>
    <mergeCell ref="AB109:AB112"/>
    <mergeCell ref="AE113:AE114"/>
    <mergeCell ref="AQ113:AQ114"/>
    <mergeCell ref="AG103:AG105"/>
    <mergeCell ref="AF103:AF105"/>
    <mergeCell ref="AE103:AE105"/>
    <mergeCell ref="AP106:AP108"/>
    <mergeCell ref="AP109:AP112"/>
    <mergeCell ref="AG106:AG108"/>
    <mergeCell ref="AR113:AR114"/>
    <mergeCell ref="AS113:AS114"/>
    <mergeCell ref="AN106:AN108"/>
    <mergeCell ref="AN103:AN105"/>
    <mergeCell ref="AO103:AO105"/>
    <mergeCell ref="AQ103:AQ105"/>
    <mergeCell ref="AR109:AR112"/>
    <mergeCell ref="AS109:AS112"/>
    <mergeCell ref="AO113:AO114"/>
    <mergeCell ref="AF113:AF114"/>
    <mergeCell ref="AP113:AP114"/>
    <mergeCell ref="AM109:AM112"/>
    <mergeCell ref="AJ113:AJ114"/>
    <mergeCell ref="AI113:AI114"/>
    <mergeCell ref="AH113:AH114"/>
    <mergeCell ref="AH106:AH108"/>
    <mergeCell ref="AI106:AI108"/>
    <mergeCell ref="AQ88:AQ91"/>
    <mergeCell ref="AR88:AR91"/>
    <mergeCell ref="AS88:AS91"/>
    <mergeCell ref="AT88:AT91"/>
    <mergeCell ref="AZ80:AZ81"/>
    <mergeCell ref="AW36:AW43"/>
    <mergeCell ref="AX36:AX43"/>
    <mergeCell ref="AY36:AY43"/>
    <mergeCell ref="AZ36:AZ43"/>
    <mergeCell ref="AW44:AW52"/>
    <mergeCell ref="AX44:AX52"/>
    <mergeCell ref="AY44:AY52"/>
    <mergeCell ref="AZ44:AZ52"/>
    <mergeCell ref="AW53:AW60"/>
    <mergeCell ref="AX53:AX60"/>
    <mergeCell ref="AY53:AY60"/>
    <mergeCell ref="AZ53:AZ60"/>
    <mergeCell ref="AY80:AY81"/>
    <mergeCell ref="AW80:AW81"/>
    <mergeCell ref="AY76:AY79"/>
    <mergeCell ref="AZ76:AZ79"/>
    <mergeCell ref="AW65:AW67"/>
    <mergeCell ref="AZ65:AZ67"/>
    <mergeCell ref="AX65:AX67"/>
    <mergeCell ref="AY65:AY67"/>
    <mergeCell ref="AZ74:AZ75"/>
    <mergeCell ref="AY74:AY75"/>
    <mergeCell ref="AX76:AX79"/>
    <mergeCell ref="AI30:AM30"/>
    <mergeCell ref="AR36:AR43"/>
    <mergeCell ref="AS36:AS43"/>
    <mergeCell ref="AQ53:AQ60"/>
    <mergeCell ref="EG31:EG32"/>
    <mergeCell ref="CT31:CT32"/>
    <mergeCell ref="CF29:CF33"/>
    <mergeCell ref="BW30:BW32"/>
    <mergeCell ref="BJ29:BR29"/>
    <mergeCell ref="BU30:BU32"/>
    <mergeCell ref="CT30:DJ30"/>
    <mergeCell ref="AU44:AU52"/>
    <mergeCell ref="AU36:AU43"/>
    <mergeCell ref="ED31:ED32"/>
    <mergeCell ref="DL31:DP31"/>
    <mergeCell ref="EE30:EH30"/>
    <mergeCell ref="BH29:BH32"/>
    <mergeCell ref="CM30:CM32"/>
    <mergeCell ref="AO30:AT30"/>
    <mergeCell ref="AP44:AP52"/>
    <mergeCell ref="AP53:AP60"/>
    <mergeCell ref="AG30:AG32"/>
    <mergeCell ref="AF30:AF32"/>
    <mergeCell ref="J28:AG28"/>
    <mergeCell ref="J29:Q29"/>
    <mergeCell ref="AD29:AG29"/>
    <mergeCell ref="R29:AC29"/>
    <mergeCell ref="U36:U43"/>
    <mergeCell ref="AO36:AO43"/>
    <mergeCell ref="V36:V37"/>
    <mergeCell ref="V38:V39"/>
    <mergeCell ref="V40:V41"/>
    <mergeCell ref="V42:V43"/>
    <mergeCell ref="T42:T43"/>
    <mergeCell ref="T40:T41"/>
    <mergeCell ref="T36:T37"/>
    <mergeCell ref="T38:T39"/>
    <mergeCell ref="L30:L33"/>
    <mergeCell ref="K30:K33"/>
    <mergeCell ref="J30:J33"/>
    <mergeCell ref="AL31:AL32"/>
    <mergeCell ref="AK31:AK32"/>
    <mergeCell ref="AJ31:AJ32"/>
    <mergeCell ref="AI31:AI32"/>
    <mergeCell ref="GP20:GP21"/>
    <mergeCell ref="GQ20:GQ21"/>
    <mergeCell ref="IF31:IJ31"/>
    <mergeCell ref="IW31:IW32"/>
    <mergeCell ref="IX31:IX32"/>
    <mergeCell ref="IK31:IN31"/>
    <mergeCell ref="IF30:IO30"/>
    <mergeCell ref="IO31:IO32"/>
    <mergeCell ref="IT31:IT32"/>
    <mergeCell ref="IT30:JB30"/>
    <mergeCell ref="HB31:HB32"/>
    <mergeCell ref="GZ31:GZ32"/>
    <mergeCell ref="GY31:GY32"/>
    <mergeCell ref="HA31:HA32"/>
    <mergeCell ref="GO31:GQ31"/>
    <mergeCell ref="GV31:GX31"/>
    <mergeCell ref="GU31:GU32"/>
    <mergeCell ref="HV30:HV32"/>
    <mergeCell ref="HW30:HW32"/>
    <mergeCell ref="HX30:HX32"/>
    <mergeCell ref="HY31:HY32"/>
    <mergeCell ref="HZ31:HZ32"/>
    <mergeCell ref="IU31:IU32"/>
    <mergeCell ref="ID30:ID32"/>
  </mergeCells>
  <phoneticPr fontId="8" type="noConversion"/>
  <dataValidations disablePrompts="1" count="6">
    <dataValidation type="list" allowBlank="1" showInputMessage="1" showErrorMessage="1" sqref="BE35:BE114 HI8">
      <formula1>"HPWI,SCR,ULSF,Nat Gas,New Eqp"</formula1>
    </dataValidation>
    <dataValidation type="list" allowBlank="1" showInputMessage="1" showErrorMessage="1" sqref="BF63">
      <formula1>"1 - Std,2 - Prog,3 - Custom"</formula1>
    </dataValidation>
    <dataValidation type="list" allowBlank="1" showInputMessage="1" showErrorMessage="1" sqref="BF35:BF62 BF64:BF114">
      <formula1>"1 - Std,2 - Prog,3- Alternate,4 - Custom"</formula1>
    </dataValidation>
    <dataValidation type="list" allowBlank="1" showInputMessage="1" showErrorMessage="1" sqref="IK23 IK80:IK113 IK70:IK76 IK61:IK64 IK53:IK59 IK44:IK51 IK35:IK38">
      <formula1>"0,1"</formula1>
    </dataValidation>
    <dataValidation type="list" allowBlank="1" showInputMessage="1" showErrorMessage="1" sqref="JG109 JG99:JG101 JG97 JG103:JG104">
      <formula1>"HPWI,SCR,ULSF,Nat Gas,New Eqp, Combined"</formula1>
    </dataValidation>
    <dataValidation type="list" allowBlank="1" showInputMessage="1" showErrorMessage="1" sqref="JG36:JG38 JG113 JG110:JG111 JG106:JG107 JG98 JG96 JG92:JG94 JG88:JG90 JG70:JG76 JG82:JG83 JG80 JG85:JG86 JG64 JG61:JG62 JG53:JG59 JG44:JG51">
      <formula1>"HPWI,SCR,ULSF,Nat Gas,New Eqp, Combined, Other"</formula1>
    </dataValidation>
  </dataValidations>
  <hyperlinks>
    <hyperlink ref="JM25" r:id="rId1"/>
    <hyperlink ref="I9" location="'Table of Contents'!A1" display="x"/>
  </hyperlinks>
  <pageMargins left="0" right="0" top="0.25" bottom="0" header="0" footer="0"/>
  <pageSetup paperSize="5" scale="10" fitToWidth="2" orientation="landscape" r:id="rId2"/>
  <headerFooter alignWithMargins="0"/>
  <ignoredErrors>
    <ignoredError sqref="CK81:CN81 BW75 FS117 CV70:CV76 BB91 FV115:FX115 FC115:FE115 FF115:FG116 BA60:BB60 EP54 FL39:FM43 FF60:FI60 FF52:FI52 FR115:FT116 FL115:FM116 FP52:FT52 FP65:FT69 FP77:FT79 FF77:FH79 FK52:FM52 FK47:FK51 FK60:FM60 FK53:FK59 FF39:FJ43 FF65:FM69 FJ47:FJ60 FY44:FY51 FM47:FM51 FM53:FM59 FY53:FY60 CB60:CD60 FW116:FX116 BY60 FJ77:FM79 GH105 GY35:HC105 HN105 CK68:CN68 CK84:CN84 CK102:CN108 CK112:CN113 BB99:BB114 CK63:CN64 CI75:CJ75 CK87:CN95 CK99:CN99 GS35:GX105 FY22 B22 JI37 JO46 B35 B44 KT108:KY108 IL35:IM108 IV36:IW112 KA60:KB60 KA52:KB52 KT63:KW63 KT87:KW95" formula="1"/>
    <ignoredError sqref="CX36:CY36 CU36 CZ36 DB36 DI57:DI103" formulaRange="1"/>
    <ignoredError sqref="N35:N114" numberStoredAsText="1"/>
  </ignoredErrors>
  <drawing r:id="rId3"/>
</worksheet>
</file>

<file path=xl/worksheets/sheet15.xml><?xml version="1.0" encoding="utf-8"?>
<worksheet xmlns="http://schemas.openxmlformats.org/spreadsheetml/2006/main" xmlns:r="http://schemas.openxmlformats.org/officeDocument/2006/relationships">
  <sheetPr>
    <tabColor rgb="FFFFFFC1"/>
  </sheetPr>
  <dimension ref="A1:BB469"/>
  <sheetViews>
    <sheetView zoomScale="80" zoomScaleNormal="80" workbookViewId="0">
      <pane xSplit="4" ySplit="6" topLeftCell="E7" activePane="bottomRight" state="frozen"/>
      <selection activeCell="G6" sqref="G6"/>
      <selection pane="topRight" activeCell="G6" sqref="G6"/>
      <selection pane="bottomLeft" activeCell="G6" sqref="G6"/>
      <selection pane="bottomRight" activeCell="I18" sqref="I18:I20"/>
    </sheetView>
  </sheetViews>
  <sheetFormatPr defaultColWidth="0" defaultRowHeight="12.75" zeroHeight="1"/>
  <cols>
    <col min="1" max="1" width="8" style="5132" customWidth="1"/>
    <col min="2" max="2" width="9.7109375" style="5132" customWidth="1"/>
    <col min="3" max="3" width="8.28515625" style="5132" customWidth="1"/>
    <col min="4" max="6" width="2.7109375" style="5132" customWidth="1"/>
    <col min="7" max="9" width="5.7109375" style="5132" customWidth="1"/>
    <col min="10" max="10" width="6.5703125" style="5132" customWidth="1"/>
    <col min="11" max="11" width="7" style="5132" customWidth="1"/>
    <col min="12" max="12" width="5.7109375" style="5132" customWidth="1"/>
    <col min="13" max="13" width="10.85546875" style="5132" customWidth="1"/>
    <col min="14" max="14" width="8.7109375" style="5132" customWidth="1"/>
    <col min="15" max="15" width="9.7109375" style="5132" customWidth="1"/>
    <col min="16" max="16" width="26.140625" style="5132" customWidth="1"/>
    <col min="17" max="17" width="17.42578125" style="5132" customWidth="1"/>
    <col min="18" max="18" width="11.7109375" style="5132" customWidth="1"/>
    <col min="19" max="19" width="9.140625" style="5132" customWidth="1"/>
    <col min="20" max="20" width="12.140625" style="5132" customWidth="1"/>
    <col min="21" max="21" width="9.140625" style="5132" customWidth="1"/>
    <col min="22" max="22" width="13" style="5132" customWidth="1"/>
    <col min="23" max="23" width="12.85546875" style="5132" customWidth="1"/>
    <col min="24" max="24" width="12.140625" style="5132" customWidth="1"/>
    <col min="25" max="25" width="10.85546875" style="5132" customWidth="1"/>
    <col min="26" max="26" width="12.42578125" style="5132" customWidth="1"/>
    <col min="27" max="27" width="12" style="5132" customWidth="1"/>
    <col min="28" max="28" width="9.140625" style="5132" customWidth="1"/>
    <col min="29" max="29" width="11.140625" style="5132" customWidth="1"/>
    <col min="30" max="30" width="9.140625" style="5132" customWidth="1"/>
    <col min="31" max="31" width="14.42578125" style="5132" customWidth="1"/>
    <col min="32" max="32" width="9.140625" style="5132" customWidth="1"/>
    <col min="33" max="33" width="21.28515625" style="5132" customWidth="1"/>
    <col min="34" max="34" width="54" style="5132" customWidth="1"/>
    <col min="35" max="35" width="31.7109375" style="5132" customWidth="1"/>
    <col min="36" max="36" width="25.85546875" style="5132" customWidth="1"/>
    <col min="37" max="37" width="27.140625" style="5132" customWidth="1"/>
    <col min="38" max="39" width="9.140625" style="5132" customWidth="1"/>
    <col min="40" max="40" width="17" style="5132" customWidth="1"/>
    <col min="41" max="41" width="23.140625" style="5132" customWidth="1"/>
    <col min="42" max="42" width="14.5703125" style="5132" customWidth="1"/>
    <col min="43" max="43" width="17.5703125" style="5132" customWidth="1"/>
    <col min="44" max="44" width="25.7109375" style="5132" customWidth="1"/>
    <col min="45" max="45" width="28.5703125" style="5132" customWidth="1"/>
    <col min="46" max="48" width="25.7109375" style="5132" customWidth="1"/>
    <col min="49" max="49" width="13.28515625" style="5132" customWidth="1"/>
    <col min="50" max="50" width="3.7109375" style="5132" customWidth="1"/>
    <col min="51" max="54" width="40.7109375" style="5132" customWidth="1"/>
    <col min="55" max="16384" width="9.140625" style="5132" hidden="1"/>
  </cols>
  <sheetData>
    <row r="1" spans="1:54" s="5133" customFormat="1">
      <c r="A1" s="5132"/>
      <c r="B1" s="5132"/>
      <c r="C1" s="5132"/>
      <c r="D1" s="5132"/>
      <c r="E1" s="5132"/>
      <c r="AY1" s="5132"/>
      <c r="AZ1" s="5132"/>
      <c r="BA1" s="5132"/>
      <c r="BB1" s="5132"/>
    </row>
    <row r="2" spans="1:54" s="5133" customFormat="1">
      <c r="A2" s="5132"/>
      <c r="B2" s="5132"/>
      <c r="C2" s="5132"/>
      <c r="D2" s="5132"/>
      <c r="E2" s="5132"/>
      <c r="G2" s="6512"/>
      <c r="H2" s="5116"/>
      <c r="I2" s="5116"/>
      <c r="J2" s="5116"/>
      <c r="K2" s="5116"/>
      <c r="L2" s="5116"/>
      <c r="M2" s="5116"/>
      <c r="N2" s="5116"/>
      <c r="O2" s="5116"/>
      <c r="P2" s="5116"/>
      <c r="Q2" s="5116"/>
      <c r="R2" s="5117"/>
      <c r="AY2" s="5132"/>
      <c r="AZ2" s="5132"/>
      <c r="BA2" s="5132"/>
      <c r="BB2" s="5132"/>
    </row>
    <row r="3" spans="1:54" s="5133" customFormat="1">
      <c r="A3" s="5132"/>
      <c r="B3" s="5132"/>
      <c r="C3" s="5132"/>
      <c r="D3" s="5132"/>
      <c r="E3" s="5132"/>
      <c r="G3" s="5120"/>
      <c r="H3" s="8684">
        <v>1</v>
      </c>
      <c r="I3" s="7405" t="s">
        <v>2797</v>
      </c>
      <c r="J3" s="5118"/>
      <c r="K3" s="5118"/>
      <c r="L3" s="5118"/>
      <c r="M3" s="5118"/>
      <c r="N3" s="5118"/>
      <c r="O3" s="5118"/>
      <c r="P3" s="5118"/>
      <c r="Q3" s="5118"/>
      <c r="R3" s="5119"/>
      <c r="AY3" s="5132"/>
      <c r="AZ3" s="5132"/>
      <c r="BA3" s="5132"/>
      <c r="BB3" s="5132"/>
    </row>
    <row r="4" spans="1:54" s="5133" customFormat="1">
      <c r="A4" s="5132"/>
      <c r="B4" s="5132"/>
      <c r="C4" s="5132"/>
      <c r="D4" s="5132"/>
      <c r="E4" s="5132"/>
      <c r="G4" s="5120"/>
      <c r="H4" s="8684">
        <v>2</v>
      </c>
      <c r="I4" s="7405" t="s">
        <v>1498</v>
      </c>
      <c r="J4" s="5118"/>
      <c r="K4" s="5118"/>
      <c r="L4" s="5118"/>
      <c r="M4" s="5118"/>
      <c r="N4" s="5118"/>
      <c r="O4" s="5118"/>
      <c r="P4" s="5118"/>
      <c r="Q4" s="5118"/>
      <c r="R4" s="5119"/>
      <c r="AY4" s="5132"/>
      <c r="AZ4" s="5132"/>
      <c r="BA4" s="5132"/>
      <c r="BB4" s="5132"/>
    </row>
    <row r="5" spans="1:54" s="5133" customFormat="1">
      <c r="A5" s="5132"/>
      <c r="B5" s="5132"/>
      <c r="C5" s="5132"/>
      <c r="D5" s="5132"/>
      <c r="E5" s="5132"/>
      <c r="G5" s="5123"/>
      <c r="H5" s="5124"/>
      <c r="I5" s="5124"/>
      <c r="J5" s="5124"/>
      <c r="K5" s="5124"/>
      <c r="L5" s="5124"/>
      <c r="M5" s="5124"/>
      <c r="N5" s="5124"/>
      <c r="O5" s="5124"/>
      <c r="P5" s="5124"/>
      <c r="Q5" s="5124"/>
      <c r="R5" s="5125"/>
      <c r="AY5" s="5132"/>
      <c r="AZ5" s="5132"/>
      <c r="BA5" s="5132"/>
      <c r="BB5" s="5132"/>
    </row>
    <row r="6" spans="1:54" s="5133" customFormat="1">
      <c r="A6" s="5132"/>
      <c r="B6" s="5132"/>
      <c r="C6" s="5132"/>
      <c r="D6" s="5132"/>
      <c r="E6" s="5132"/>
      <c r="F6" s="7086" t="s">
        <v>2430</v>
      </c>
      <c r="AY6" s="5132"/>
      <c r="AZ6" s="5132"/>
      <c r="BA6" s="5132"/>
      <c r="BB6" s="5132"/>
    </row>
    <row r="7" spans="1:54"/>
    <row r="8" spans="1:54">
      <c r="A8" s="5133"/>
      <c r="B8" s="5133"/>
      <c r="C8" s="5133"/>
      <c r="D8" s="5133"/>
      <c r="F8" s="5133"/>
      <c r="G8" s="6404"/>
      <c r="H8" s="6404"/>
      <c r="I8" s="6404"/>
      <c r="J8" s="6404"/>
      <c r="K8" s="6404"/>
      <c r="L8" s="6404"/>
      <c r="M8" s="6404"/>
      <c r="N8" s="6404"/>
      <c r="O8" s="6404"/>
      <c r="P8" s="6159"/>
      <c r="Q8" s="6159"/>
      <c r="R8" s="5133"/>
      <c r="S8" s="5133"/>
      <c r="T8" s="5133"/>
      <c r="U8" s="5133"/>
      <c r="V8" s="5133"/>
      <c r="W8" s="5133"/>
      <c r="X8" s="5133"/>
      <c r="Y8" s="5133"/>
      <c r="Z8" s="5133"/>
      <c r="AA8" s="5133"/>
      <c r="AB8" s="5133"/>
      <c r="AC8" s="5133"/>
      <c r="AD8" s="5133"/>
      <c r="AE8" s="5133"/>
      <c r="AF8" s="5133"/>
      <c r="AG8" s="5133"/>
      <c r="AH8" s="5133"/>
      <c r="AI8" s="5133"/>
      <c r="AJ8" s="5133"/>
      <c r="AK8" s="5133"/>
      <c r="AL8" s="5133"/>
      <c r="AM8" s="5133"/>
      <c r="AN8" s="5133"/>
      <c r="AO8" s="5133"/>
      <c r="AP8" s="5133"/>
      <c r="AQ8" s="5133"/>
      <c r="AR8" s="5133"/>
      <c r="AS8" s="5133"/>
      <c r="AT8" s="5133"/>
      <c r="AU8" s="5133"/>
      <c r="AV8" s="5133"/>
      <c r="AW8" s="5133"/>
      <c r="AX8" s="5133"/>
    </row>
    <row r="9" spans="1:54" ht="18" customHeight="1">
      <c r="A9" s="5133"/>
      <c r="B9" s="5133"/>
      <c r="C9" s="5133"/>
      <c r="D9" s="5133"/>
      <c r="F9" s="5133"/>
      <c r="G9" s="6404"/>
      <c r="H9" s="6404"/>
      <c r="I9" s="6404"/>
      <c r="J9" s="6404"/>
      <c r="K9" s="6404"/>
      <c r="L9" s="6404"/>
      <c r="M9" s="6404"/>
      <c r="N9" s="6404"/>
      <c r="O9" s="6404"/>
      <c r="P9" s="6508" t="s">
        <v>1499</v>
      </c>
      <c r="Q9" s="6510"/>
      <c r="R9" s="6511"/>
      <c r="S9" s="6405"/>
      <c r="T9" s="6405"/>
      <c r="U9" s="6405"/>
      <c r="V9" s="5133"/>
      <c r="W9" s="5133"/>
      <c r="X9" s="5133"/>
      <c r="Y9" s="5133"/>
      <c r="Z9" s="5133"/>
      <c r="AA9" s="5133"/>
      <c r="AB9" s="5133"/>
      <c r="AC9" s="5133"/>
      <c r="AD9" s="5133"/>
      <c r="AE9" s="5133"/>
      <c r="AF9" s="5133"/>
      <c r="AG9" s="5133"/>
      <c r="AH9" s="5133"/>
      <c r="AI9" s="5133"/>
      <c r="AJ9" s="5133"/>
      <c r="AK9" s="5133"/>
      <c r="AL9" s="5133"/>
      <c r="AM9" s="5133"/>
      <c r="AN9" s="5133"/>
      <c r="AO9" s="5133"/>
      <c r="AP9" s="5133"/>
      <c r="AQ9" s="5133"/>
      <c r="AR9" s="5133"/>
      <c r="AS9" s="5133"/>
      <c r="AT9" s="5133"/>
      <c r="AU9" s="5133"/>
      <c r="AV9" s="5133"/>
      <c r="AW9" s="5133"/>
      <c r="AX9" s="5133"/>
    </row>
    <row r="10" spans="1:54" ht="12.75" customHeight="1">
      <c r="A10" s="5133"/>
      <c r="B10" s="5133"/>
      <c r="C10" s="5133"/>
      <c r="D10" s="5133"/>
      <c r="F10" s="5133"/>
      <c r="G10" s="6404"/>
      <c r="H10" s="6404"/>
      <c r="I10" s="6404"/>
      <c r="J10" s="6404"/>
      <c r="K10" s="6404"/>
      <c r="L10" s="6404"/>
      <c r="M10" s="6404"/>
      <c r="N10" s="6404"/>
      <c r="O10" s="6404"/>
      <c r="P10" s="6509">
        <v>40773</v>
      </c>
      <c r="Q10" s="6406"/>
      <c r="R10" s="6406"/>
      <c r="S10" s="6406"/>
      <c r="T10" s="6406"/>
      <c r="U10" s="6406"/>
      <c r="V10" s="5133"/>
      <c r="W10" s="5133"/>
      <c r="X10" s="5133"/>
      <c r="Y10" s="5133"/>
      <c r="Z10" s="5133"/>
      <c r="AA10" s="5133"/>
      <c r="AB10" s="5949"/>
      <c r="AC10" s="5949"/>
      <c r="AD10" s="5133"/>
      <c r="AE10" s="5133"/>
      <c r="AF10" s="5133"/>
      <c r="AG10" s="5133"/>
      <c r="AH10" s="5133"/>
      <c r="AI10" s="5133"/>
      <c r="AJ10" s="5133"/>
      <c r="AK10" s="5133"/>
      <c r="AL10" s="5133"/>
      <c r="AM10" s="5133"/>
      <c r="AN10" s="5133"/>
      <c r="AO10" s="5133"/>
      <c r="AP10" s="5133"/>
      <c r="AQ10" s="5133"/>
      <c r="AR10" s="5133"/>
      <c r="AS10" s="5133"/>
      <c r="AT10" s="5133"/>
      <c r="AU10" s="5133"/>
      <c r="AV10" s="5133"/>
      <c r="AW10" s="5133"/>
      <c r="AX10" s="5133"/>
    </row>
    <row r="11" spans="1:54" ht="12.75" customHeight="1">
      <c r="A11" s="5133"/>
      <c r="B11" s="5133"/>
      <c r="C11" s="5133"/>
      <c r="D11" s="5133"/>
      <c r="F11" s="5133"/>
      <c r="G11" s="6404"/>
      <c r="H11" s="6404"/>
      <c r="I11" s="6404"/>
      <c r="J11" s="6404"/>
      <c r="K11" s="6404"/>
      <c r="L11" s="6404"/>
      <c r="M11" s="6404"/>
      <c r="N11" s="6404"/>
      <c r="O11" s="6404"/>
      <c r="P11" s="6407"/>
      <c r="Q11" s="6407"/>
      <c r="R11" s="6038"/>
      <c r="S11" s="6038"/>
      <c r="T11" s="6038"/>
      <c r="U11" s="6038"/>
      <c r="V11" s="5133"/>
      <c r="W11" s="5133"/>
      <c r="X11" s="5133"/>
      <c r="Y11" s="5133"/>
      <c r="Z11" s="5133"/>
      <c r="AA11" s="5133"/>
      <c r="AB11" s="5133"/>
      <c r="AC11" s="5133"/>
      <c r="AD11" s="5133"/>
      <c r="AE11" s="5133"/>
      <c r="AF11" s="5133"/>
      <c r="AG11" s="5133"/>
      <c r="AH11" s="5133"/>
      <c r="AI11" s="5133"/>
      <c r="AJ11" s="5133"/>
      <c r="AK11" s="5133"/>
      <c r="AL11" s="5133"/>
      <c r="AM11" s="5133"/>
      <c r="AN11" s="5133"/>
      <c r="AO11" s="5133"/>
      <c r="AP11" s="5133"/>
      <c r="AQ11" s="5133"/>
      <c r="AR11" s="5133"/>
      <c r="AS11" s="5133"/>
      <c r="AT11" s="5133"/>
      <c r="AU11" s="5133"/>
      <c r="AV11" s="5133"/>
      <c r="AW11" s="5133"/>
      <c r="AX11" s="5133"/>
    </row>
    <row r="12" spans="1:54" ht="12.75" customHeight="1">
      <c r="A12" s="5133"/>
      <c r="B12" s="5133"/>
      <c r="C12" s="5133"/>
      <c r="D12" s="5133"/>
      <c r="F12" s="5133"/>
      <c r="G12" s="6404"/>
      <c r="H12" s="6404"/>
      <c r="I12" s="6404"/>
      <c r="J12" s="6404"/>
      <c r="K12" s="6404"/>
      <c r="L12" s="6404"/>
      <c r="M12" s="6404"/>
      <c r="N12" s="6404"/>
      <c r="O12" s="6404"/>
      <c r="P12" s="6408" t="s">
        <v>997</v>
      </c>
      <c r="Q12" s="6408"/>
      <c r="R12" s="5133"/>
      <c r="S12" s="6404"/>
      <c r="T12" s="6404"/>
      <c r="U12" s="6404"/>
      <c r="V12" s="5133"/>
      <c r="W12" s="5133"/>
      <c r="X12" s="5133"/>
      <c r="Y12" s="5133"/>
      <c r="Z12" s="5133"/>
      <c r="AA12" s="5133"/>
      <c r="AB12" s="5133"/>
      <c r="AC12" s="5133"/>
      <c r="AD12" s="5133"/>
      <c r="AE12" s="5133"/>
      <c r="AF12" s="5133"/>
      <c r="AG12" s="5133"/>
      <c r="AH12" s="5133"/>
      <c r="AI12" s="5133"/>
      <c r="AJ12" s="5133"/>
      <c r="AK12" s="5133"/>
      <c r="AL12" s="5133"/>
      <c r="AM12" s="5133"/>
      <c r="AN12" s="5133"/>
      <c r="AO12" s="5133"/>
      <c r="AP12" s="5133"/>
      <c r="AQ12" s="5133"/>
      <c r="AR12" s="5133"/>
      <c r="AS12" s="5133"/>
      <c r="AT12" s="5133"/>
      <c r="AU12" s="5133"/>
      <c r="AV12" s="5133"/>
      <c r="AW12" s="5133"/>
      <c r="AX12" s="5133"/>
    </row>
    <row r="13" spans="1:54" ht="12.75" customHeight="1">
      <c r="A13" s="5133"/>
      <c r="B13" s="5133"/>
      <c r="C13" s="5133"/>
      <c r="D13" s="5133"/>
      <c r="F13" s="5133"/>
      <c r="G13" s="6404"/>
      <c r="H13" s="6404"/>
      <c r="I13" s="6404"/>
      <c r="J13" s="6404"/>
      <c r="K13" s="6404"/>
      <c r="L13" s="6404"/>
      <c r="M13" s="6404"/>
      <c r="N13" s="6404"/>
      <c r="O13" s="6404"/>
      <c r="P13" s="6409"/>
      <c r="Q13" s="6409"/>
      <c r="R13" s="6038"/>
      <c r="S13" s="6038"/>
      <c r="T13" s="6038"/>
      <c r="U13" s="6038"/>
      <c r="V13" s="5133"/>
      <c r="W13" s="5133"/>
      <c r="X13" s="5133"/>
      <c r="Y13" s="5133"/>
      <c r="Z13" s="5133"/>
      <c r="AA13" s="5133"/>
      <c r="AB13" s="5133"/>
      <c r="AC13" s="5133"/>
      <c r="AD13" s="5133"/>
      <c r="AE13" s="5133"/>
      <c r="AF13" s="5133"/>
      <c r="AG13" s="5133"/>
      <c r="AH13" s="5133"/>
      <c r="AI13" s="5133"/>
      <c r="AJ13" s="5133"/>
      <c r="AK13" s="5133"/>
      <c r="AL13" s="5133"/>
      <c r="AM13" s="5133"/>
      <c r="AN13" s="5133"/>
      <c r="AO13" s="5133"/>
      <c r="AP13" s="5133"/>
      <c r="AQ13" s="5133"/>
      <c r="AR13" s="5133"/>
      <c r="AS13" s="5133"/>
      <c r="AT13" s="5133"/>
      <c r="AU13" s="5133"/>
      <c r="AV13" s="5133"/>
      <c r="AW13" s="5133"/>
      <c r="AX13" s="5133"/>
    </row>
    <row r="14" spans="1:54" ht="12.75" customHeight="1">
      <c r="A14" s="5133"/>
      <c r="B14" s="5133"/>
      <c r="C14" s="5133"/>
      <c r="D14" s="5133"/>
      <c r="F14" s="5133"/>
      <c r="G14" s="6404"/>
      <c r="H14" s="6404"/>
      <c r="I14" s="6404"/>
      <c r="J14" s="6404"/>
      <c r="K14" s="6404"/>
      <c r="L14" s="6404"/>
      <c r="M14" s="6404"/>
      <c r="N14" s="6404"/>
      <c r="O14" s="6404"/>
      <c r="P14" s="6408" t="s">
        <v>1198</v>
      </c>
      <c r="Q14" s="6408"/>
      <c r="R14" s="5133"/>
      <c r="S14" s="5133"/>
      <c r="T14" s="5133"/>
      <c r="U14" s="5133"/>
      <c r="V14" s="5133"/>
      <c r="W14" s="5133"/>
      <c r="X14" s="5133"/>
      <c r="Y14" s="5133"/>
      <c r="Z14" s="5133"/>
      <c r="AA14" s="5133"/>
      <c r="AB14" s="5133"/>
      <c r="AC14" s="5133"/>
      <c r="AD14" s="5133"/>
      <c r="AE14" s="5133"/>
      <c r="AF14" s="5133"/>
      <c r="AG14" s="5133"/>
      <c r="AH14" s="5133"/>
      <c r="AI14" s="5133"/>
      <c r="AJ14" s="5133"/>
      <c r="AK14" s="5133"/>
      <c r="AL14" s="5133"/>
      <c r="AM14" s="5133"/>
      <c r="AN14" s="5133"/>
      <c r="AO14" s="5133"/>
      <c r="AP14" s="5133"/>
      <c r="AQ14" s="5133"/>
      <c r="AR14" s="5133"/>
      <c r="AS14" s="5133"/>
      <c r="AT14" s="5133"/>
      <c r="AU14" s="5133"/>
      <c r="AV14" s="5133"/>
      <c r="AW14" s="5133"/>
      <c r="AX14" s="5133"/>
    </row>
    <row r="15" spans="1:54" ht="13.5" thickBot="1">
      <c r="A15" s="5133"/>
      <c r="B15" s="5133"/>
      <c r="C15" s="5133"/>
      <c r="D15" s="5133"/>
      <c r="F15" s="5133"/>
      <c r="G15" s="5133"/>
      <c r="H15" s="5133"/>
      <c r="I15" s="5133"/>
      <c r="J15" s="5133"/>
      <c r="K15" s="5133"/>
      <c r="L15" s="5133"/>
      <c r="M15" s="5133"/>
      <c r="N15" s="5133"/>
      <c r="O15" s="5133"/>
      <c r="P15" s="6410"/>
      <c r="Q15" s="6410"/>
      <c r="R15" s="6410"/>
      <c r="S15" s="6410"/>
      <c r="T15" s="6410"/>
      <c r="U15" s="6410"/>
      <c r="V15" s="5133"/>
      <c r="W15" s="5133"/>
      <c r="X15" s="5133"/>
      <c r="Y15" s="5133"/>
      <c r="Z15" s="5133"/>
      <c r="AA15" s="5133"/>
      <c r="AB15" s="5133"/>
      <c r="AC15" s="5133"/>
      <c r="AD15" s="5133"/>
      <c r="AE15" s="5133"/>
      <c r="AF15" s="5133"/>
      <c r="AG15" s="5133"/>
      <c r="AH15" s="5133"/>
      <c r="AI15" s="5133"/>
      <c r="AJ15" s="5133"/>
      <c r="AK15" s="5133"/>
      <c r="AL15" s="5133"/>
      <c r="AM15" s="5133"/>
      <c r="AN15" s="5133"/>
      <c r="AO15" s="5133"/>
      <c r="AP15" s="5133"/>
      <c r="AQ15" s="5133"/>
      <c r="AR15" s="5133"/>
      <c r="AS15" s="5133"/>
      <c r="AT15" s="5133"/>
      <c r="AU15" s="5133"/>
      <c r="AV15" s="5133"/>
      <c r="AW15" s="5133"/>
      <c r="AX15" s="5133"/>
    </row>
    <row r="16" spans="1:54" ht="44.25" customHeight="1" thickTop="1">
      <c r="A16" s="5133"/>
      <c r="B16" s="5133"/>
      <c r="C16" s="5133"/>
      <c r="D16" s="5133"/>
      <c r="F16" s="5133"/>
      <c r="G16" s="151" t="s">
        <v>382</v>
      </c>
      <c r="H16" s="152" t="s">
        <v>324</v>
      </c>
      <c r="I16" s="152" t="s">
        <v>792</v>
      </c>
      <c r="J16" s="152" t="s">
        <v>1359</v>
      </c>
      <c r="K16" s="152" t="s">
        <v>254</v>
      </c>
      <c r="L16" s="152" t="s">
        <v>1358</v>
      </c>
      <c r="M16" s="152" t="s">
        <v>381</v>
      </c>
      <c r="N16" s="152" t="s">
        <v>411</v>
      </c>
      <c r="O16" s="152" t="s">
        <v>1199</v>
      </c>
      <c r="P16" s="152" t="s">
        <v>949</v>
      </c>
      <c r="Q16" s="290" t="s">
        <v>319</v>
      </c>
      <c r="R16" s="152" t="s">
        <v>942</v>
      </c>
      <c r="S16" s="152" t="s">
        <v>411</v>
      </c>
      <c r="T16" s="152" t="s">
        <v>950</v>
      </c>
      <c r="U16" s="152" t="s">
        <v>413</v>
      </c>
      <c r="V16" s="152" t="s">
        <v>1200</v>
      </c>
      <c r="W16" s="152" t="s">
        <v>418</v>
      </c>
      <c r="X16" s="152" t="s">
        <v>951</v>
      </c>
      <c r="Y16" s="152" t="s">
        <v>952</v>
      </c>
      <c r="Z16" s="152" t="s">
        <v>999</v>
      </c>
      <c r="AA16" s="152" t="s">
        <v>1201</v>
      </c>
      <c r="AB16" s="152" t="s">
        <v>1202</v>
      </c>
      <c r="AC16" s="152" t="s">
        <v>953</v>
      </c>
      <c r="AD16" s="152" t="s">
        <v>954</v>
      </c>
      <c r="AE16" s="152" t="s">
        <v>1203</v>
      </c>
      <c r="AF16" s="152" t="s">
        <v>1000</v>
      </c>
      <c r="AG16" s="152" t="s">
        <v>1001</v>
      </c>
      <c r="AH16" s="152" t="s">
        <v>1204</v>
      </c>
      <c r="AI16" s="290" t="s">
        <v>123</v>
      </c>
      <c r="AJ16" s="290" t="s">
        <v>1002</v>
      </c>
      <c r="AK16" s="290" t="s">
        <v>1003</v>
      </c>
      <c r="AL16" s="152" t="s">
        <v>1205</v>
      </c>
      <c r="AM16" s="152" t="s">
        <v>1206</v>
      </c>
      <c r="AN16" s="152" t="s">
        <v>1005</v>
      </c>
      <c r="AO16" s="152" t="s">
        <v>1006</v>
      </c>
      <c r="AP16" s="152" t="s">
        <v>955</v>
      </c>
      <c r="AQ16" s="152" t="s">
        <v>956</v>
      </c>
      <c r="AR16" s="152" t="s">
        <v>1207</v>
      </c>
      <c r="AS16" s="152" t="s">
        <v>1353</v>
      </c>
      <c r="AT16" s="152" t="s">
        <v>1354</v>
      </c>
      <c r="AU16" s="152" t="s">
        <v>1355</v>
      </c>
      <c r="AV16" s="152" t="s">
        <v>121</v>
      </c>
      <c r="AW16" s="152" t="s">
        <v>957</v>
      </c>
      <c r="AX16" s="5133"/>
    </row>
    <row r="17" spans="1:54" ht="13.5" thickBot="1">
      <c r="A17" s="6513" t="s">
        <v>1357</v>
      </c>
      <c r="B17" s="6513"/>
      <c r="C17" s="6513"/>
      <c r="D17" s="5133"/>
      <c r="F17" s="5133"/>
      <c r="G17" s="153">
        <v>1</v>
      </c>
      <c r="H17" s="154">
        <f>1+G17</f>
        <v>2</v>
      </c>
      <c r="I17" s="154">
        <f t="shared" ref="I17:P17" si="0">1+H17</f>
        <v>3</v>
      </c>
      <c r="J17" s="154">
        <f t="shared" si="0"/>
        <v>4</v>
      </c>
      <c r="K17" s="154">
        <f t="shared" si="0"/>
        <v>5</v>
      </c>
      <c r="L17" s="154">
        <f t="shared" si="0"/>
        <v>6</v>
      </c>
      <c r="M17" s="154">
        <f t="shared" si="0"/>
        <v>7</v>
      </c>
      <c r="N17" s="154">
        <f t="shared" si="0"/>
        <v>8</v>
      </c>
      <c r="O17" s="154">
        <f t="shared" si="0"/>
        <v>9</v>
      </c>
      <c r="P17" s="154">
        <f t="shared" si="0"/>
        <v>10</v>
      </c>
      <c r="Q17" s="154">
        <f>1+P17</f>
        <v>11</v>
      </c>
      <c r="R17" s="154">
        <f>1+Q17</f>
        <v>12</v>
      </c>
      <c r="S17" s="154">
        <f t="shared" ref="S17:AW17" si="1">1+R17</f>
        <v>13</v>
      </c>
      <c r="T17" s="154">
        <f t="shared" si="1"/>
        <v>14</v>
      </c>
      <c r="U17" s="154">
        <f t="shared" si="1"/>
        <v>15</v>
      </c>
      <c r="V17" s="154">
        <f t="shared" si="1"/>
        <v>16</v>
      </c>
      <c r="W17" s="154">
        <f t="shared" si="1"/>
        <v>17</v>
      </c>
      <c r="X17" s="154">
        <f t="shared" si="1"/>
        <v>18</v>
      </c>
      <c r="Y17" s="154">
        <f t="shared" si="1"/>
        <v>19</v>
      </c>
      <c r="Z17" s="154">
        <f t="shared" si="1"/>
        <v>20</v>
      </c>
      <c r="AA17" s="154">
        <f t="shared" si="1"/>
        <v>21</v>
      </c>
      <c r="AB17" s="154">
        <f t="shared" si="1"/>
        <v>22</v>
      </c>
      <c r="AC17" s="154">
        <f t="shared" si="1"/>
        <v>23</v>
      </c>
      <c r="AD17" s="154">
        <f t="shared" si="1"/>
        <v>24</v>
      </c>
      <c r="AE17" s="154">
        <f t="shared" si="1"/>
        <v>25</v>
      </c>
      <c r="AF17" s="154">
        <f t="shared" si="1"/>
        <v>26</v>
      </c>
      <c r="AG17" s="154">
        <f t="shared" si="1"/>
        <v>27</v>
      </c>
      <c r="AH17" s="154">
        <f t="shared" si="1"/>
        <v>28</v>
      </c>
      <c r="AI17" s="154">
        <f t="shared" ref="AI17:AT17" si="2">1+AH17</f>
        <v>29</v>
      </c>
      <c r="AJ17" s="154">
        <f t="shared" si="2"/>
        <v>30</v>
      </c>
      <c r="AK17" s="154">
        <f t="shared" si="2"/>
        <v>31</v>
      </c>
      <c r="AL17" s="154">
        <f t="shared" si="2"/>
        <v>32</v>
      </c>
      <c r="AM17" s="154">
        <f t="shared" si="2"/>
        <v>33</v>
      </c>
      <c r="AN17" s="154">
        <f t="shared" si="2"/>
        <v>34</v>
      </c>
      <c r="AO17" s="154">
        <f t="shared" si="2"/>
        <v>35</v>
      </c>
      <c r="AP17" s="154">
        <f t="shared" si="2"/>
        <v>36</v>
      </c>
      <c r="AQ17" s="154">
        <f t="shared" si="2"/>
        <v>37</v>
      </c>
      <c r="AR17" s="154">
        <f t="shared" si="2"/>
        <v>38</v>
      </c>
      <c r="AS17" s="154">
        <f t="shared" si="2"/>
        <v>39</v>
      </c>
      <c r="AT17" s="154">
        <f t="shared" si="2"/>
        <v>40</v>
      </c>
      <c r="AU17" s="154">
        <f t="shared" si="1"/>
        <v>41</v>
      </c>
      <c r="AV17" s="154">
        <f t="shared" si="1"/>
        <v>42</v>
      </c>
      <c r="AW17" s="154">
        <f t="shared" si="1"/>
        <v>43</v>
      </c>
      <c r="AX17" s="5133"/>
    </row>
    <row r="18" spans="1:54" ht="12.75" customHeight="1">
      <c r="A18" s="6411" t="str">
        <f t="shared" ref="A18:A30" si="3">+IF(M18="","",M18)</f>
        <v/>
      </c>
      <c r="B18" s="6411"/>
      <c r="C18" s="6412"/>
      <c r="D18" s="5133"/>
      <c r="F18" s="5133"/>
      <c r="G18" s="6413">
        <v>1</v>
      </c>
      <c r="H18" s="6413">
        <v>3</v>
      </c>
      <c r="I18" s="10961">
        <v>1</v>
      </c>
      <c r="J18" s="10983"/>
      <c r="K18" s="10961" t="str">
        <f>+IF(ISNA(VLOOKUP(MATCH(P18,tfn,0),tao,'12(id)'!$K$20,FALSE)),"",IF(J18="NA","",VLOOKUP(MATCH(P18,tfn,0),tao,'12(id)'!$K$20,FALSE)+J18))</f>
        <v/>
      </c>
      <c r="L18" s="10961"/>
      <c r="M18" s="10961" t="str">
        <f t="shared" ref="M18:M29" si="4">+IF(K18="","",K18&amp;IF(L18&lt;10,"-0"&amp;L18,"-"&amp;L18))</f>
        <v/>
      </c>
      <c r="N18" s="10944" t="str">
        <f>+IF(M18="","",VLOOKUP(MATCH(M18,tid,0),tao,'12(id)'!$Q$20,FALSE))</f>
        <v/>
      </c>
      <c r="O18" s="6413" t="s">
        <v>1208</v>
      </c>
      <c r="P18" s="6414" t="s">
        <v>326</v>
      </c>
      <c r="Q18" s="6414"/>
      <c r="R18" s="6415">
        <v>10675</v>
      </c>
      <c r="S18" s="6416" t="s">
        <v>1211</v>
      </c>
      <c r="T18" s="6414" t="s">
        <v>1252</v>
      </c>
      <c r="U18" s="6417">
        <v>2010</v>
      </c>
      <c r="V18" s="6414" t="s">
        <v>1209</v>
      </c>
      <c r="W18" s="6418">
        <v>3657</v>
      </c>
      <c r="X18" s="6418">
        <v>5</v>
      </c>
      <c r="Y18" s="6418" t="s">
        <v>939</v>
      </c>
      <c r="Z18" s="6418">
        <v>2549454</v>
      </c>
      <c r="AA18" s="6419">
        <v>0.05</v>
      </c>
      <c r="AB18" s="6420">
        <v>95.9</v>
      </c>
      <c r="AC18" s="6418">
        <v>3596311</v>
      </c>
      <c r="AD18" s="6414" t="s">
        <v>944</v>
      </c>
      <c r="AE18" s="6414" t="s">
        <v>1255</v>
      </c>
      <c r="AF18" s="6414" t="s">
        <v>1256</v>
      </c>
      <c r="AG18" s="6414" t="s">
        <v>1257</v>
      </c>
      <c r="AH18" s="6414" t="s">
        <v>1258</v>
      </c>
      <c r="AI18" s="6414"/>
      <c r="AJ18" s="6414"/>
      <c r="AK18" s="6414"/>
      <c r="AL18" s="6421" t="s">
        <v>939</v>
      </c>
      <c r="AM18" s="6421" t="s">
        <v>939</v>
      </c>
      <c r="AN18" s="6421" t="s">
        <v>1300</v>
      </c>
      <c r="AO18" s="6421" t="s">
        <v>1301</v>
      </c>
      <c r="AP18" s="6421" t="s">
        <v>1302</v>
      </c>
      <c r="AQ18" s="6421" t="s">
        <v>939</v>
      </c>
      <c r="AR18" s="6414" t="s">
        <v>1332</v>
      </c>
      <c r="AS18" s="6414" t="s">
        <v>1333</v>
      </c>
      <c r="AT18" s="6414" t="s">
        <v>939</v>
      </c>
      <c r="AU18" s="6414"/>
      <c r="AV18" s="6414" t="s">
        <v>1334</v>
      </c>
      <c r="AW18" s="6420">
        <v>1045</v>
      </c>
      <c r="AX18" s="5133"/>
    </row>
    <row r="19" spans="1:54" ht="12.75" customHeight="1">
      <c r="A19" s="6422" t="str">
        <f t="shared" si="3"/>
        <v/>
      </c>
      <c r="B19" s="6422"/>
      <c r="C19" s="6423"/>
      <c r="D19" s="5133"/>
      <c r="F19" s="5133"/>
      <c r="G19" s="6413">
        <v>2</v>
      </c>
      <c r="H19" s="6413">
        <v>2</v>
      </c>
      <c r="I19" s="10962"/>
      <c r="J19" s="10984"/>
      <c r="K19" s="10962" t="str">
        <f>+IF(ISNA(VLOOKUP(MATCH(P19,tfn,0),tao,'12(id)'!$K$20,FALSE)),"",IF(J19="NA","",VLOOKUP(MATCH(P19,tfn,0),tao,'12(id)'!$K$20,FALSE)+J19))</f>
        <v/>
      </c>
      <c r="L19" s="10962"/>
      <c r="M19" s="10962" t="str">
        <f t="shared" si="4"/>
        <v/>
      </c>
      <c r="N19" s="10945" t="str">
        <f>+IF(M19="","",VLOOKUP(MATCH(M19,tid,0),tao,'12(id)'!$Q$20,FALSE))</f>
        <v/>
      </c>
      <c r="O19" s="6413" t="s">
        <v>1208</v>
      </c>
      <c r="P19" s="6414" t="s">
        <v>326</v>
      </c>
      <c r="Q19" s="6414"/>
      <c r="R19" s="6415">
        <v>10675</v>
      </c>
      <c r="S19" s="6416" t="s">
        <v>1211</v>
      </c>
      <c r="T19" s="6414" t="s">
        <v>1252</v>
      </c>
      <c r="U19" s="6417">
        <v>2009</v>
      </c>
      <c r="V19" s="6414" t="s">
        <v>1209</v>
      </c>
      <c r="W19" s="6418">
        <v>3664</v>
      </c>
      <c r="X19" s="6418">
        <v>5</v>
      </c>
      <c r="Y19" s="6418" t="s">
        <v>939</v>
      </c>
      <c r="Z19" s="6418">
        <v>2613827</v>
      </c>
      <c r="AA19" s="6419">
        <v>0.05</v>
      </c>
      <c r="AB19" s="6420">
        <v>90</v>
      </c>
      <c r="AC19" s="6418">
        <v>3476023</v>
      </c>
      <c r="AD19" s="6414" t="s">
        <v>944</v>
      </c>
      <c r="AE19" s="6414" t="s">
        <v>1255</v>
      </c>
      <c r="AF19" s="6414" t="s">
        <v>1256</v>
      </c>
      <c r="AG19" s="6414" t="s">
        <v>1257</v>
      </c>
      <c r="AH19" s="6414" t="s">
        <v>1258</v>
      </c>
      <c r="AI19" s="6414"/>
      <c r="AJ19" s="6414"/>
      <c r="AK19" s="6414"/>
      <c r="AL19" s="6421" t="s">
        <v>939</v>
      </c>
      <c r="AM19" s="6421" t="s">
        <v>939</v>
      </c>
      <c r="AN19" s="6421" t="s">
        <v>1300</v>
      </c>
      <c r="AO19" s="6421" t="s">
        <v>1301</v>
      </c>
      <c r="AP19" s="6421" t="s">
        <v>1302</v>
      </c>
      <c r="AQ19" s="6421" t="s">
        <v>939</v>
      </c>
      <c r="AR19" s="6414" t="s">
        <v>1332</v>
      </c>
      <c r="AS19" s="6414" t="s">
        <v>1333</v>
      </c>
      <c r="AT19" s="6414" t="s">
        <v>939</v>
      </c>
      <c r="AU19" s="6414"/>
      <c r="AV19" s="6414" t="s">
        <v>1334</v>
      </c>
      <c r="AW19" s="6420">
        <v>1045</v>
      </c>
      <c r="AX19" s="5133"/>
    </row>
    <row r="20" spans="1:54" ht="12.75" customHeight="1">
      <c r="A20" s="6422" t="str">
        <f t="shared" si="3"/>
        <v/>
      </c>
      <c r="B20" s="6422"/>
      <c r="C20" s="6423"/>
      <c r="D20" s="5133"/>
      <c r="F20" s="5133"/>
      <c r="G20" s="6424">
        <v>3</v>
      </c>
      <c r="H20" s="6424">
        <v>1</v>
      </c>
      <c r="I20" s="10963"/>
      <c r="J20" s="10985"/>
      <c r="K20" s="10963" t="str">
        <f>+IF(ISNA(VLOOKUP(MATCH(P20,tfn,0),tao,'12(id)'!$K$20,FALSE)),"",IF(J20="NA","",VLOOKUP(MATCH(P20,tfn,0),tao,'12(id)'!$K$20,FALSE)+J20))</f>
        <v/>
      </c>
      <c r="L20" s="10963"/>
      <c r="M20" s="10963" t="str">
        <f t="shared" si="4"/>
        <v/>
      </c>
      <c r="N20" s="10946" t="str">
        <f>+IF(M20="","",VLOOKUP(MATCH(M20,tid,0),tao,'12(id)'!$Q$20,FALSE))</f>
        <v/>
      </c>
      <c r="O20" s="6424" t="s">
        <v>1208</v>
      </c>
      <c r="P20" s="6425" t="s">
        <v>326</v>
      </c>
      <c r="Q20" s="6425"/>
      <c r="R20" s="6426">
        <v>10675</v>
      </c>
      <c r="S20" s="6427" t="s">
        <v>1211</v>
      </c>
      <c r="T20" s="6425" t="s">
        <v>1252</v>
      </c>
      <c r="U20" s="6428">
        <v>2008</v>
      </c>
      <c r="V20" s="6425" t="s">
        <v>1209</v>
      </c>
      <c r="W20" s="6429">
        <v>3672</v>
      </c>
      <c r="X20" s="6429">
        <v>5</v>
      </c>
      <c r="Y20" s="6429" t="s">
        <v>939</v>
      </c>
      <c r="Z20" s="6429">
        <v>2613333</v>
      </c>
      <c r="AA20" s="6430">
        <v>0.04</v>
      </c>
      <c r="AB20" s="6431">
        <v>68.3</v>
      </c>
      <c r="AC20" s="6429">
        <v>3586223</v>
      </c>
      <c r="AD20" s="6425" t="s">
        <v>944</v>
      </c>
      <c r="AE20" s="6425" t="s">
        <v>1255</v>
      </c>
      <c r="AF20" s="6425" t="s">
        <v>1256</v>
      </c>
      <c r="AG20" s="6425" t="s">
        <v>1257</v>
      </c>
      <c r="AH20" s="6425" t="s">
        <v>1258</v>
      </c>
      <c r="AI20" s="6425"/>
      <c r="AJ20" s="6425"/>
      <c r="AK20" s="6425"/>
      <c r="AL20" s="6432" t="s">
        <v>939</v>
      </c>
      <c r="AM20" s="6433" t="s">
        <v>939</v>
      </c>
      <c r="AN20" s="6433" t="s">
        <v>1300</v>
      </c>
      <c r="AO20" s="6433" t="s">
        <v>1301</v>
      </c>
      <c r="AP20" s="6433" t="s">
        <v>1302</v>
      </c>
      <c r="AQ20" s="6433" t="s">
        <v>939</v>
      </c>
      <c r="AR20" s="6425" t="s">
        <v>1332</v>
      </c>
      <c r="AS20" s="6425" t="s">
        <v>1333</v>
      </c>
      <c r="AT20" s="6425" t="s">
        <v>939</v>
      </c>
      <c r="AU20" s="6425"/>
      <c r="AV20" s="6425" t="s">
        <v>1334</v>
      </c>
      <c r="AW20" s="6431">
        <v>1045</v>
      </c>
      <c r="AX20" s="5133"/>
    </row>
    <row r="21" spans="1:54" ht="12.75" customHeight="1">
      <c r="A21" s="6422" t="str">
        <f t="shared" si="3"/>
        <v/>
      </c>
      <c r="B21" s="6422"/>
      <c r="C21" s="6423"/>
      <c r="D21" s="5133"/>
      <c r="F21" s="5133"/>
      <c r="G21" s="6434">
        <v>4</v>
      </c>
      <c r="H21" s="6434">
        <v>6</v>
      </c>
      <c r="I21" s="10961">
        <v>2</v>
      </c>
      <c r="J21" s="10983"/>
      <c r="K21" s="10961" t="str">
        <f>+IF(ISNA(VLOOKUP(MATCH(P21,tfn,0),tao,'12(id)'!$K$20,FALSE)),"",IF(J21="NA","",VLOOKUP(MATCH(P21,tfn,0),tao,'12(id)'!$K$20,FALSE)+J21))</f>
        <v/>
      </c>
      <c r="L21" s="10961"/>
      <c r="M21" s="10961" t="str">
        <f t="shared" si="4"/>
        <v/>
      </c>
      <c r="N21" s="10944" t="str">
        <f>+IF(M21="","",VLOOKUP(MATCH(M21,tid,0),tao,'12(id)'!$Q$20,FALSE))</f>
        <v/>
      </c>
      <c r="O21" s="6434" t="s">
        <v>1208</v>
      </c>
      <c r="P21" s="6435" t="s">
        <v>326</v>
      </c>
      <c r="Q21" s="6435"/>
      <c r="R21" s="6436">
        <v>10675</v>
      </c>
      <c r="S21" s="6437" t="s">
        <v>1212</v>
      </c>
      <c r="T21" s="6435" t="s">
        <v>1252</v>
      </c>
      <c r="U21" s="6438">
        <v>2010</v>
      </c>
      <c r="V21" s="6435" t="s">
        <v>1209</v>
      </c>
      <c r="W21" s="6439">
        <v>3472</v>
      </c>
      <c r="X21" s="6439">
        <v>5</v>
      </c>
      <c r="Y21" s="6439" t="s">
        <v>939</v>
      </c>
      <c r="Z21" s="6439">
        <v>2413682</v>
      </c>
      <c r="AA21" s="6440">
        <v>0.05</v>
      </c>
      <c r="AB21" s="6441">
        <v>88.1</v>
      </c>
      <c r="AC21" s="6439">
        <v>3404517</v>
      </c>
      <c r="AD21" s="6435" t="s">
        <v>944</v>
      </c>
      <c r="AE21" s="6435" t="s">
        <v>1255</v>
      </c>
      <c r="AF21" s="6435" t="s">
        <v>1256</v>
      </c>
      <c r="AG21" s="6435" t="s">
        <v>1257</v>
      </c>
      <c r="AH21" s="6435" t="s">
        <v>1258</v>
      </c>
      <c r="AI21" s="6435"/>
      <c r="AJ21" s="6435"/>
      <c r="AK21" s="6435"/>
      <c r="AL21" s="6442" t="s">
        <v>939</v>
      </c>
      <c r="AM21" s="6442" t="s">
        <v>939</v>
      </c>
      <c r="AN21" s="6442" t="s">
        <v>1300</v>
      </c>
      <c r="AO21" s="6442" t="s">
        <v>1301</v>
      </c>
      <c r="AP21" s="6442" t="s">
        <v>1302</v>
      </c>
      <c r="AQ21" s="6442" t="s">
        <v>939</v>
      </c>
      <c r="AR21" s="6435" t="s">
        <v>1332</v>
      </c>
      <c r="AS21" s="6435" t="s">
        <v>1333</v>
      </c>
      <c r="AT21" s="6435" t="s">
        <v>939</v>
      </c>
      <c r="AU21" s="6435"/>
      <c r="AV21" s="6435" t="s">
        <v>1334</v>
      </c>
      <c r="AW21" s="6441">
        <v>1045</v>
      </c>
      <c r="AX21" s="5133"/>
    </row>
    <row r="22" spans="1:54" ht="12.75" customHeight="1">
      <c r="A22" s="6422" t="str">
        <f t="shared" si="3"/>
        <v/>
      </c>
      <c r="B22" s="6422"/>
      <c r="C22" s="6423"/>
      <c r="D22" s="5133"/>
      <c r="F22" s="5133"/>
      <c r="G22" s="6413">
        <v>5</v>
      </c>
      <c r="H22" s="6413">
        <v>5</v>
      </c>
      <c r="I22" s="10962"/>
      <c r="J22" s="10984"/>
      <c r="K22" s="10962" t="str">
        <f>+IF(ISNA(VLOOKUP(MATCH(P22,tfn,0),tao,'12(id)'!$K$20,FALSE)),"",IF(J22="NA","",VLOOKUP(MATCH(P22,tfn,0),tao,'12(id)'!$K$20,FALSE)+J22))</f>
        <v/>
      </c>
      <c r="L22" s="10962"/>
      <c r="M22" s="10962" t="str">
        <f t="shared" si="4"/>
        <v/>
      </c>
      <c r="N22" s="10945" t="str">
        <f>+IF(M22="","",VLOOKUP(MATCH(M22,tid,0),tao,'12(id)'!$Q$20,FALSE))</f>
        <v/>
      </c>
      <c r="O22" s="6413" t="s">
        <v>1208</v>
      </c>
      <c r="P22" s="6414" t="s">
        <v>326</v>
      </c>
      <c r="Q22" s="6414"/>
      <c r="R22" s="6415">
        <v>10675</v>
      </c>
      <c r="S22" s="6416" t="s">
        <v>1212</v>
      </c>
      <c r="T22" s="6414" t="s">
        <v>1252</v>
      </c>
      <c r="U22" s="6417">
        <v>2009</v>
      </c>
      <c r="V22" s="6414" t="s">
        <v>1209</v>
      </c>
      <c r="W22" s="6418">
        <v>3538</v>
      </c>
      <c r="X22" s="6418">
        <v>5</v>
      </c>
      <c r="Y22" s="6418" t="s">
        <v>939</v>
      </c>
      <c r="Z22" s="6418">
        <v>2512118</v>
      </c>
      <c r="AA22" s="6419">
        <v>0.05</v>
      </c>
      <c r="AB22" s="6420">
        <v>85.4</v>
      </c>
      <c r="AC22" s="6418">
        <v>3343742</v>
      </c>
      <c r="AD22" s="6414" t="s">
        <v>944</v>
      </c>
      <c r="AE22" s="6414" t="s">
        <v>1255</v>
      </c>
      <c r="AF22" s="6414" t="s">
        <v>1256</v>
      </c>
      <c r="AG22" s="6414" t="s">
        <v>1257</v>
      </c>
      <c r="AH22" s="6414" t="s">
        <v>1258</v>
      </c>
      <c r="AI22" s="6414"/>
      <c r="AJ22" s="6414"/>
      <c r="AK22" s="6414"/>
      <c r="AL22" s="6421" t="s">
        <v>939</v>
      </c>
      <c r="AM22" s="6421" t="s">
        <v>939</v>
      </c>
      <c r="AN22" s="6421" t="s">
        <v>1300</v>
      </c>
      <c r="AO22" s="6421" t="s">
        <v>1301</v>
      </c>
      <c r="AP22" s="6421" t="s">
        <v>1302</v>
      </c>
      <c r="AQ22" s="6421" t="s">
        <v>939</v>
      </c>
      <c r="AR22" s="6414" t="s">
        <v>1332</v>
      </c>
      <c r="AS22" s="6414" t="s">
        <v>1333</v>
      </c>
      <c r="AT22" s="6414" t="s">
        <v>939</v>
      </c>
      <c r="AU22" s="6414"/>
      <c r="AV22" s="6414" t="s">
        <v>1334</v>
      </c>
      <c r="AW22" s="6420">
        <v>1045</v>
      </c>
      <c r="AX22" s="5133"/>
    </row>
    <row r="23" spans="1:54" ht="12.75" customHeight="1">
      <c r="A23" s="6422" t="str">
        <f t="shared" si="3"/>
        <v/>
      </c>
      <c r="B23" s="6422"/>
      <c r="C23" s="6423"/>
      <c r="D23" s="5133"/>
      <c r="F23" s="5133"/>
      <c r="G23" s="6424">
        <v>6</v>
      </c>
      <c r="H23" s="6424">
        <v>4</v>
      </c>
      <c r="I23" s="10963"/>
      <c r="J23" s="10985"/>
      <c r="K23" s="10963" t="str">
        <f>+IF(ISNA(VLOOKUP(MATCH(P23,tfn,0),tao,'12(id)'!$K$20,FALSE)),"",IF(J23="NA","",VLOOKUP(MATCH(P23,tfn,0),tao,'12(id)'!$K$20,FALSE)+J23))</f>
        <v/>
      </c>
      <c r="L23" s="10963"/>
      <c r="M23" s="10963" t="str">
        <f t="shared" si="4"/>
        <v/>
      </c>
      <c r="N23" s="10946" t="str">
        <f>+IF(M23="","",VLOOKUP(MATCH(M23,tid,0),tao,'12(id)'!$Q$20,FALSE))</f>
        <v/>
      </c>
      <c r="O23" s="6424" t="s">
        <v>1208</v>
      </c>
      <c r="P23" s="6425" t="s">
        <v>326</v>
      </c>
      <c r="Q23" s="6425"/>
      <c r="R23" s="6426">
        <v>10675</v>
      </c>
      <c r="S23" s="6427" t="s">
        <v>1212</v>
      </c>
      <c r="T23" s="6425" t="s">
        <v>1252</v>
      </c>
      <c r="U23" s="6428">
        <v>2008</v>
      </c>
      <c r="V23" s="6425" t="s">
        <v>1209</v>
      </c>
      <c r="W23" s="6429">
        <v>3672</v>
      </c>
      <c r="X23" s="6429">
        <v>5</v>
      </c>
      <c r="Y23" s="6429" t="s">
        <v>939</v>
      </c>
      <c r="Z23" s="6429">
        <v>2615702</v>
      </c>
      <c r="AA23" s="6430">
        <v>0.04</v>
      </c>
      <c r="AB23" s="6431">
        <v>68.3</v>
      </c>
      <c r="AC23" s="6429">
        <v>3589512</v>
      </c>
      <c r="AD23" s="6425" t="s">
        <v>944</v>
      </c>
      <c r="AE23" s="6425" t="s">
        <v>1255</v>
      </c>
      <c r="AF23" s="6425" t="s">
        <v>1256</v>
      </c>
      <c r="AG23" s="6425" t="s">
        <v>1257</v>
      </c>
      <c r="AH23" s="6425" t="s">
        <v>1258</v>
      </c>
      <c r="AI23" s="6425"/>
      <c r="AJ23" s="6425"/>
      <c r="AK23" s="6425"/>
      <c r="AL23" s="6433" t="s">
        <v>939</v>
      </c>
      <c r="AM23" s="6433" t="s">
        <v>939</v>
      </c>
      <c r="AN23" s="6433" t="s">
        <v>1300</v>
      </c>
      <c r="AO23" s="6433" t="s">
        <v>1301</v>
      </c>
      <c r="AP23" s="6433" t="s">
        <v>1302</v>
      </c>
      <c r="AQ23" s="6433" t="s">
        <v>939</v>
      </c>
      <c r="AR23" s="6425" t="s">
        <v>1332</v>
      </c>
      <c r="AS23" s="6425" t="s">
        <v>1333</v>
      </c>
      <c r="AT23" s="6425" t="s">
        <v>939</v>
      </c>
      <c r="AU23" s="6425"/>
      <c r="AV23" s="6425" t="s">
        <v>1334</v>
      </c>
      <c r="AW23" s="6431">
        <v>1045</v>
      </c>
      <c r="AX23" s="5133"/>
    </row>
    <row r="24" spans="1:54" ht="12.75" customHeight="1">
      <c r="A24" s="6422" t="str">
        <f t="shared" si="3"/>
        <v/>
      </c>
      <c r="B24" s="6422"/>
      <c r="C24" s="6423"/>
      <c r="D24" s="5133"/>
      <c r="F24" s="5133"/>
      <c r="G24" s="6434">
        <v>7</v>
      </c>
      <c r="H24" s="6434">
        <v>11</v>
      </c>
      <c r="I24" s="10961">
        <v>3</v>
      </c>
      <c r="J24" s="10961"/>
      <c r="K24" s="10961" t="str">
        <f>+IF(ISNA(VLOOKUP(MATCH(P24,tfn,0),tao,'12(id)'!$K$20,FALSE)),"",IF(J24="NA","",VLOOKUP(MATCH(P24,tfn,0),tao,'12(id)'!$K$20,FALSE)+J24))</f>
        <v/>
      </c>
      <c r="L24" s="10961"/>
      <c r="M24" s="10961" t="str">
        <f t="shared" si="4"/>
        <v/>
      </c>
      <c r="N24" s="10944" t="str">
        <f>+IF(M24="","",VLOOKUP(MATCH(M24,tid,0),tao,'12(id)'!$Q$20,FALSE))</f>
        <v/>
      </c>
      <c r="O24" s="6434" t="s">
        <v>1208</v>
      </c>
      <c r="P24" s="6435" t="s">
        <v>327</v>
      </c>
      <c r="Q24" s="6435"/>
      <c r="R24" s="6436">
        <v>6635</v>
      </c>
      <c r="S24" s="6437" t="s">
        <v>1213</v>
      </c>
      <c r="T24" s="6442" t="s">
        <v>939</v>
      </c>
      <c r="U24" s="6438">
        <v>2010</v>
      </c>
      <c r="V24" s="6435" t="s">
        <v>1209</v>
      </c>
      <c r="W24" s="6439">
        <v>35</v>
      </c>
      <c r="X24" s="6439">
        <v>5</v>
      </c>
      <c r="Y24" s="6439">
        <v>2256</v>
      </c>
      <c r="Z24" s="6439" t="s">
        <v>939</v>
      </c>
      <c r="AA24" s="6440">
        <v>0.09</v>
      </c>
      <c r="AB24" s="6441">
        <v>1.3</v>
      </c>
      <c r="AC24" s="6439">
        <v>32767</v>
      </c>
      <c r="AD24" s="6435" t="s">
        <v>944</v>
      </c>
      <c r="AE24" s="6435" t="s">
        <v>1259</v>
      </c>
      <c r="AF24" s="6435" t="s">
        <v>939</v>
      </c>
      <c r="AG24" s="6435" t="s">
        <v>939</v>
      </c>
      <c r="AH24" s="6435" t="s">
        <v>1260</v>
      </c>
      <c r="AI24" s="6435"/>
      <c r="AJ24" s="6435"/>
      <c r="AK24" s="6435"/>
      <c r="AL24" s="6435" t="s">
        <v>1303</v>
      </c>
      <c r="AM24" s="6435" t="s">
        <v>939</v>
      </c>
      <c r="AN24" s="6435" t="s">
        <v>1300</v>
      </c>
      <c r="AO24" s="6435" t="s">
        <v>1304</v>
      </c>
      <c r="AP24" s="6435" t="s">
        <v>1305</v>
      </c>
      <c r="AQ24" s="6435" t="s">
        <v>1306</v>
      </c>
      <c r="AR24" s="6442" t="s">
        <v>939</v>
      </c>
      <c r="AS24" s="6435" t="s">
        <v>1335</v>
      </c>
      <c r="AT24" s="6435" t="s">
        <v>1022</v>
      </c>
      <c r="AU24" s="6435"/>
      <c r="AV24" s="6442" t="s">
        <v>939</v>
      </c>
      <c r="AW24" s="6441">
        <v>1560</v>
      </c>
      <c r="AX24" s="5133"/>
    </row>
    <row r="25" spans="1:54" ht="12.75" customHeight="1">
      <c r="A25" s="6422" t="str">
        <f t="shared" si="3"/>
        <v/>
      </c>
      <c r="B25" s="6422"/>
      <c r="C25" s="6423"/>
      <c r="D25" s="5133"/>
      <c r="F25" s="5133"/>
      <c r="G25" s="6413">
        <v>8</v>
      </c>
      <c r="H25" s="6413">
        <v>9</v>
      </c>
      <c r="I25" s="10962"/>
      <c r="J25" s="10962"/>
      <c r="K25" s="10962" t="str">
        <f>+IF(ISNA(VLOOKUP(MATCH(P25,tfn,0),tao,'12(id)'!$K$20,FALSE)),"",IF(J25="NA","",VLOOKUP(MATCH(P25,tfn,0),tao,'12(id)'!$K$20,FALSE)+J25))</f>
        <v/>
      </c>
      <c r="L25" s="10962"/>
      <c r="M25" s="10962" t="str">
        <f t="shared" si="4"/>
        <v/>
      </c>
      <c r="N25" s="10945" t="str">
        <f>+IF(M25="","",VLOOKUP(MATCH(M25,tid,0),tao,'12(id)'!$Q$20,FALSE))</f>
        <v/>
      </c>
      <c r="O25" s="6413" t="s">
        <v>1208</v>
      </c>
      <c r="P25" s="6414" t="s">
        <v>327</v>
      </c>
      <c r="Q25" s="6414"/>
      <c r="R25" s="6415">
        <v>6635</v>
      </c>
      <c r="S25" s="6416" t="s">
        <v>1213</v>
      </c>
      <c r="T25" s="6421" t="s">
        <v>939</v>
      </c>
      <c r="U25" s="6417">
        <v>2009</v>
      </c>
      <c r="V25" s="6414" t="s">
        <v>1209</v>
      </c>
      <c r="W25" s="6418">
        <v>18</v>
      </c>
      <c r="X25" s="6418">
        <v>5</v>
      </c>
      <c r="Y25" s="6418">
        <v>1274</v>
      </c>
      <c r="Z25" s="6418" t="s">
        <v>939</v>
      </c>
      <c r="AA25" s="6419">
        <v>0.09</v>
      </c>
      <c r="AB25" s="6420">
        <v>1.2</v>
      </c>
      <c r="AC25" s="6418">
        <v>22712</v>
      </c>
      <c r="AD25" s="6414" t="s">
        <v>944</v>
      </c>
      <c r="AE25" s="6414" t="s">
        <v>1259</v>
      </c>
      <c r="AF25" s="6414" t="s">
        <v>939</v>
      </c>
      <c r="AG25" s="6414" t="s">
        <v>939</v>
      </c>
      <c r="AH25" s="6414" t="s">
        <v>1260</v>
      </c>
      <c r="AI25" s="6414"/>
      <c r="AJ25" s="6414"/>
      <c r="AK25" s="6414"/>
      <c r="AL25" s="6414" t="s">
        <v>1303</v>
      </c>
      <c r="AM25" s="6414" t="s">
        <v>939</v>
      </c>
      <c r="AN25" s="6414" t="s">
        <v>1300</v>
      </c>
      <c r="AO25" s="6414" t="s">
        <v>1304</v>
      </c>
      <c r="AP25" s="6414" t="s">
        <v>1305</v>
      </c>
      <c r="AQ25" s="6414" t="s">
        <v>1306</v>
      </c>
      <c r="AR25" s="6421" t="s">
        <v>939</v>
      </c>
      <c r="AS25" s="6414" t="s">
        <v>1335</v>
      </c>
      <c r="AT25" s="6414" t="s">
        <v>1022</v>
      </c>
      <c r="AU25" s="6414" t="s">
        <v>562</v>
      </c>
      <c r="AV25" s="6421" t="s">
        <v>939</v>
      </c>
      <c r="AW25" s="6420">
        <v>1560</v>
      </c>
      <c r="AX25" s="5133"/>
    </row>
    <row r="26" spans="1:54" ht="12.75" customHeight="1">
      <c r="A26" s="6422" t="str">
        <f t="shared" si="3"/>
        <v/>
      </c>
      <c r="B26" s="6422"/>
      <c r="C26" s="6423"/>
      <c r="D26" s="5133"/>
      <c r="F26" s="5133"/>
      <c r="G26" s="6424">
        <v>9</v>
      </c>
      <c r="H26" s="6424">
        <v>7</v>
      </c>
      <c r="I26" s="10963"/>
      <c r="J26" s="10963"/>
      <c r="K26" s="10963" t="str">
        <f>+IF(ISNA(VLOOKUP(MATCH(P26,tfn,0),tao,'12(id)'!$K$20,FALSE)),"",IF(J26="NA","",VLOOKUP(MATCH(P26,tfn,0),tao,'12(id)'!$K$20,FALSE)+J26))</f>
        <v/>
      </c>
      <c r="L26" s="10963"/>
      <c r="M26" s="10963" t="str">
        <f t="shared" si="4"/>
        <v/>
      </c>
      <c r="N26" s="10946" t="str">
        <f>+IF(M26="","",VLOOKUP(MATCH(M26,tid,0),tao,'12(id)'!$Q$20,FALSE))</f>
        <v/>
      </c>
      <c r="O26" s="6424" t="s">
        <v>1208</v>
      </c>
      <c r="P26" s="6425" t="s">
        <v>327</v>
      </c>
      <c r="Q26" s="6425"/>
      <c r="R26" s="6426">
        <v>6635</v>
      </c>
      <c r="S26" s="6427" t="s">
        <v>1213</v>
      </c>
      <c r="T26" s="6433" t="s">
        <v>939</v>
      </c>
      <c r="U26" s="6428">
        <v>2008</v>
      </c>
      <c r="V26" s="6425" t="s">
        <v>1209</v>
      </c>
      <c r="W26" s="6429">
        <v>19</v>
      </c>
      <c r="X26" s="6429">
        <v>5</v>
      </c>
      <c r="Y26" s="6429">
        <v>1073</v>
      </c>
      <c r="Z26" s="6429" t="s">
        <v>939</v>
      </c>
      <c r="AA26" s="6430">
        <v>0.09</v>
      </c>
      <c r="AB26" s="6431">
        <v>0.6</v>
      </c>
      <c r="AC26" s="6429">
        <v>14217</v>
      </c>
      <c r="AD26" s="6425" t="s">
        <v>944</v>
      </c>
      <c r="AE26" s="6425" t="s">
        <v>1259</v>
      </c>
      <c r="AF26" s="6425" t="s">
        <v>939</v>
      </c>
      <c r="AG26" s="6425" t="s">
        <v>939</v>
      </c>
      <c r="AH26" s="6425" t="s">
        <v>1260</v>
      </c>
      <c r="AI26" s="6425"/>
      <c r="AJ26" s="6425"/>
      <c r="AK26" s="6425"/>
      <c r="AL26" s="6425" t="s">
        <v>1303</v>
      </c>
      <c r="AM26" s="6425" t="s">
        <v>939</v>
      </c>
      <c r="AN26" s="6425" t="s">
        <v>1300</v>
      </c>
      <c r="AO26" s="6425" t="s">
        <v>1304</v>
      </c>
      <c r="AP26" s="6425" t="s">
        <v>1305</v>
      </c>
      <c r="AQ26" s="6425" t="s">
        <v>1306</v>
      </c>
      <c r="AR26" s="6433" t="s">
        <v>939</v>
      </c>
      <c r="AS26" s="6425" t="s">
        <v>1335</v>
      </c>
      <c r="AT26" s="6425" t="s">
        <v>1022</v>
      </c>
      <c r="AU26" s="6425"/>
      <c r="AV26" s="6433" t="s">
        <v>939</v>
      </c>
      <c r="AW26" s="6431">
        <v>1560</v>
      </c>
      <c r="AX26" s="5133"/>
    </row>
    <row r="27" spans="1:54" ht="12.75" customHeight="1">
      <c r="A27" s="6422" t="str">
        <f t="shared" si="3"/>
        <v/>
      </c>
      <c r="B27" s="6422"/>
      <c r="C27" s="6423"/>
      <c r="D27" s="5133"/>
      <c r="F27" s="5133"/>
      <c r="G27" s="6434">
        <v>10</v>
      </c>
      <c r="H27" s="6434">
        <v>15</v>
      </c>
      <c r="I27" s="10961">
        <v>4</v>
      </c>
      <c r="J27" s="10961"/>
      <c r="K27" s="10961" t="str">
        <f>+IF(ISNA(VLOOKUP(MATCH(P27,tfn,0),tao,'12(id)'!$K$20,FALSE)),"",IF(J27="NA","",VLOOKUP(MATCH(P27,tfn,0),tao,'12(id)'!$K$20,FALSE)+J27))</f>
        <v/>
      </c>
      <c r="L27" s="10961"/>
      <c r="M27" s="10961" t="str">
        <f t="shared" si="4"/>
        <v/>
      </c>
      <c r="N27" s="10944" t="str">
        <f>+IF(M27="","",VLOOKUP(MATCH(M27,tid,0),tao,'12(id)'!$Q$20,FALSE))</f>
        <v/>
      </c>
      <c r="O27" s="6434" t="s">
        <v>1208</v>
      </c>
      <c r="P27" s="6435" t="s">
        <v>328</v>
      </c>
      <c r="Q27" s="6435"/>
      <c r="R27" s="6436">
        <v>10567</v>
      </c>
      <c r="S27" s="6437" t="s">
        <v>1214</v>
      </c>
      <c r="T27" s="6442" t="s">
        <v>939</v>
      </c>
      <c r="U27" s="6438">
        <v>2010</v>
      </c>
      <c r="V27" s="6435" t="s">
        <v>1209</v>
      </c>
      <c r="W27" s="6439">
        <v>3672</v>
      </c>
      <c r="X27" s="6439">
        <v>5</v>
      </c>
      <c r="Y27" s="6439">
        <v>92057</v>
      </c>
      <c r="Z27" s="6439" t="s">
        <v>939</v>
      </c>
      <c r="AA27" s="6440">
        <v>0.14000000000000001</v>
      </c>
      <c r="AB27" s="6441">
        <v>82.9</v>
      </c>
      <c r="AC27" s="6439">
        <v>1222779</v>
      </c>
      <c r="AD27" s="6435" t="s">
        <v>944</v>
      </c>
      <c r="AE27" s="6435" t="s">
        <v>1255</v>
      </c>
      <c r="AF27" s="6435" t="s">
        <v>1261</v>
      </c>
      <c r="AG27" s="6435" t="s">
        <v>1262</v>
      </c>
      <c r="AH27" s="6435" t="s">
        <v>1263</v>
      </c>
      <c r="AI27" s="6435"/>
      <c r="AJ27" s="6435"/>
      <c r="AK27" s="6435"/>
      <c r="AL27" s="6435" t="s">
        <v>939</v>
      </c>
      <c r="AM27" s="6435" t="s">
        <v>939</v>
      </c>
      <c r="AN27" s="6435" t="s">
        <v>1300</v>
      </c>
      <c r="AO27" s="6435" t="s">
        <v>1307</v>
      </c>
      <c r="AP27" s="6435" t="s">
        <v>1305</v>
      </c>
      <c r="AQ27" s="6435" t="s">
        <v>1308</v>
      </c>
      <c r="AR27" s="6442" t="s">
        <v>939</v>
      </c>
      <c r="AS27" s="6435" t="s">
        <v>1336</v>
      </c>
      <c r="AT27" s="6435" t="s">
        <v>939</v>
      </c>
      <c r="AU27" s="6435"/>
      <c r="AV27" s="6442" t="s">
        <v>939</v>
      </c>
      <c r="AW27" s="6441">
        <v>555</v>
      </c>
      <c r="AX27" s="5133"/>
    </row>
    <row r="28" spans="1:54" ht="12.75" customHeight="1">
      <c r="A28" s="6422" t="str">
        <f t="shared" si="3"/>
        <v/>
      </c>
      <c r="B28" s="6422"/>
      <c r="C28" s="6423"/>
      <c r="D28" s="5133"/>
      <c r="F28" s="5133"/>
      <c r="G28" s="6413">
        <v>11</v>
      </c>
      <c r="H28" s="6413">
        <v>14</v>
      </c>
      <c r="I28" s="10962"/>
      <c r="J28" s="10962"/>
      <c r="K28" s="10962" t="str">
        <f>+IF(ISNA(VLOOKUP(MATCH(P28,tfn,0),tao,'12(id)'!$K$20,FALSE)),"",IF(J28="NA","",VLOOKUP(MATCH(P28,tfn,0),tao,'12(id)'!$K$20,FALSE)+J28))</f>
        <v/>
      </c>
      <c r="L28" s="10962"/>
      <c r="M28" s="10962" t="str">
        <f t="shared" si="4"/>
        <v/>
      </c>
      <c r="N28" s="10945" t="str">
        <f>+IF(M28="","",VLOOKUP(MATCH(M28,tid,0),tao,'12(id)'!$Q$20,FALSE))</f>
        <v/>
      </c>
      <c r="O28" s="6413" t="s">
        <v>1208</v>
      </c>
      <c r="P28" s="6414" t="s">
        <v>328</v>
      </c>
      <c r="Q28" s="6414"/>
      <c r="R28" s="6415">
        <v>10567</v>
      </c>
      <c r="S28" s="6416" t="s">
        <v>1214</v>
      </c>
      <c r="T28" s="6421" t="s">
        <v>939</v>
      </c>
      <c r="U28" s="6417">
        <v>2009</v>
      </c>
      <c r="V28" s="6414" t="s">
        <v>1209</v>
      </c>
      <c r="W28" s="6418">
        <v>3666</v>
      </c>
      <c r="X28" s="6418">
        <v>5</v>
      </c>
      <c r="Y28" s="6418">
        <v>126060</v>
      </c>
      <c r="Z28" s="6418" t="s">
        <v>939</v>
      </c>
      <c r="AA28" s="6419">
        <v>0.14000000000000001</v>
      </c>
      <c r="AB28" s="6420">
        <v>105.6</v>
      </c>
      <c r="AC28" s="6418">
        <v>1531598</v>
      </c>
      <c r="AD28" s="6414" t="s">
        <v>944</v>
      </c>
      <c r="AE28" s="6414" t="s">
        <v>1255</v>
      </c>
      <c r="AF28" s="6414" t="s">
        <v>1261</v>
      </c>
      <c r="AG28" s="6414" t="s">
        <v>1262</v>
      </c>
      <c r="AH28" s="6414" t="s">
        <v>1263</v>
      </c>
      <c r="AI28" s="6414"/>
      <c r="AJ28" s="6414"/>
      <c r="AK28" s="6414"/>
      <c r="AL28" s="6414" t="s">
        <v>939</v>
      </c>
      <c r="AM28" s="6414" t="s">
        <v>939</v>
      </c>
      <c r="AN28" s="6414" t="s">
        <v>1300</v>
      </c>
      <c r="AO28" s="6414" t="s">
        <v>1307</v>
      </c>
      <c r="AP28" s="6414" t="s">
        <v>1305</v>
      </c>
      <c r="AQ28" s="6414" t="s">
        <v>1308</v>
      </c>
      <c r="AR28" s="6421" t="s">
        <v>939</v>
      </c>
      <c r="AS28" s="6414" t="s">
        <v>1336</v>
      </c>
      <c r="AT28" s="6414" t="s">
        <v>939</v>
      </c>
      <c r="AU28" s="6414"/>
      <c r="AV28" s="6421" t="s">
        <v>939</v>
      </c>
      <c r="AW28" s="6420">
        <v>555</v>
      </c>
      <c r="AX28" s="5133"/>
    </row>
    <row r="29" spans="1:54" ht="12.75" customHeight="1">
      <c r="A29" s="6422" t="str">
        <f t="shared" si="3"/>
        <v/>
      </c>
      <c r="B29" s="6422"/>
      <c r="C29" s="6423"/>
      <c r="D29" s="5133"/>
      <c r="F29" s="5133"/>
      <c r="G29" s="6424">
        <v>12</v>
      </c>
      <c r="H29" s="6424">
        <v>13</v>
      </c>
      <c r="I29" s="10963"/>
      <c r="J29" s="10963"/>
      <c r="K29" s="10963" t="str">
        <f>+IF(ISNA(VLOOKUP(MATCH(P29,tfn,0),tao,'12(id)'!$K$20,FALSE)),"",IF(J29="NA","",VLOOKUP(MATCH(P29,tfn,0),tao,'12(id)'!$K$20,FALSE)+J29))</f>
        <v/>
      </c>
      <c r="L29" s="10963"/>
      <c r="M29" s="10963" t="str">
        <f t="shared" si="4"/>
        <v/>
      </c>
      <c r="N29" s="10946" t="str">
        <f>+IF(M29="","",VLOOKUP(MATCH(M29,tid,0),tao,'12(id)'!$Q$20,FALSE))</f>
        <v/>
      </c>
      <c r="O29" s="6424" t="s">
        <v>1208</v>
      </c>
      <c r="P29" s="6425" t="s">
        <v>328</v>
      </c>
      <c r="Q29" s="6425"/>
      <c r="R29" s="6426">
        <v>10567</v>
      </c>
      <c r="S29" s="6427" t="s">
        <v>1214</v>
      </c>
      <c r="T29" s="6433" t="s">
        <v>939</v>
      </c>
      <c r="U29" s="6428">
        <v>2008</v>
      </c>
      <c r="V29" s="6425" t="s">
        <v>1209</v>
      </c>
      <c r="W29" s="6429">
        <v>3672</v>
      </c>
      <c r="X29" s="6429">
        <v>5</v>
      </c>
      <c r="Y29" s="6429">
        <v>130472</v>
      </c>
      <c r="Z29" s="6429" t="s">
        <v>939</v>
      </c>
      <c r="AA29" s="6430">
        <v>0.14000000000000001</v>
      </c>
      <c r="AB29" s="6431">
        <v>107.8</v>
      </c>
      <c r="AC29" s="6429">
        <v>1550997</v>
      </c>
      <c r="AD29" s="6425" t="s">
        <v>944</v>
      </c>
      <c r="AE29" s="6425" t="s">
        <v>1255</v>
      </c>
      <c r="AF29" s="6425" t="s">
        <v>1261</v>
      </c>
      <c r="AG29" s="6425" t="s">
        <v>1262</v>
      </c>
      <c r="AH29" s="6425" t="s">
        <v>1263</v>
      </c>
      <c r="AI29" s="6425"/>
      <c r="AJ29" s="6425"/>
      <c r="AK29" s="6425"/>
      <c r="AL29" s="6425" t="s">
        <v>939</v>
      </c>
      <c r="AM29" s="6425" t="s">
        <v>939</v>
      </c>
      <c r="AN29" s="6425" t="s">
        <v>1300</v>
      </c>
      <c r="AO29" s="6425" t="s">
        <v>1307</v>
      </c>
      <c r="AP29" s="6425" t="s">
        <v>1305</v>
      </c>
      <c r="AQ29" s="6425" t="s">
        <v>1308</v>
      </c>
      <c r="AR29" s="6433" t="s">
        <v>939</v>
      </c>
      <c r="AS29" s="6425" t="s">
        <v>1336</v>
      </c>
      <c r="AT29" s="6425" t="s">
        <v>939</v>
      </c>
      <c r="AU29" s="6425"/>
      <c r="AV29" s="6433" t="s">
        <v>939</v>
      </c>
      <c r="AW29" s="6431">
        <v>555</v>
      </c>
      <c r="AX29" s="5133"/>
    </row>
    <row r="30" spans="1:54" s="6520" customFormat="1" ht="12.75" customHeight="1">
      <c r="A30" s="10989" t="str">
        <f t="shared" si="3"/>
        <v>8300-01</v>
      </c>
      <c r="B30" s="10995" t="str">
        <f>+IF(A30="","",VLOOKUP(MATCH(A30,tid,0),tao,'12(id)'!$J$20,FALSE))</f>
        <v>NRG</v>
      </c>
      <c r="C30" s="10992" t="str">
        <f>+N30</f>
        <v>BR10</v>
      </c>
      <c r="E30" s="5132"/>
      <c r="G30" s="6521">
        <v>13</v>
      </c>
      <c r="H30" s="6521">
        <v>18</v>
      </c>
      <c r="I30" s="10977">
        <v>5</v>
      </c>
      <c r="J30" s="10986"/>
      <c r="K30" s="10977">
        <f>+IF(ISNA(VLOOKUP(MATCH(P30,tfn,0),tao,'12(id)'!$K$20,FALSE)),"",IF(J30="NA","",VLOOKUP(MATCH(P30,tfn,0),tao,'12(id)'!$K$20,FALSE)+J30))</f>
        <v>8300</v>
      </c>
      <c r="L30" s="10977">
        <v>1</v>
      </c>
      <c r="M30" s="10977" t="str">
        <f>+IF(K30="","",K30&amp;IF(L30&lt;10,"-0"&amp;L30,"-"&amp;L30))</f>
        <v>8300-01</v>
      </c>
      <c r="N30" s="10980" t="str">
        <f>+IF(M30="","",VLOOKUP(MATCH(M30,tid,0),tao,'12(id)'!$Q$20,FALSE))</f>
        <v>BR10</v>
      </c>
      <c r="O30" s="6521" t="s">
        <v>1208</v>
      </c>
      <c r="P30" s="6522" t="s">
        <v>475</v>
      </c>
      <c r="Q30" s="6522"/>
      <c r="R30" s="6523">
        <v>540</v>
      </c>
      <c r="S30" s="6524" t="s">
        <v>1215</v>
      </c>
      <c r="T30" s="6525" t="s">
        <v>939</v>
      </c>
      <c r="U30" s="6526">
        <v>2010</v>
      </c>
      <c r="V30" s="6522" t="s">
        <v>1209</v>
      </c>
      <c r="W30" s="6527">
        <v>39</v>
      </c>
      <c r="X30" s="6527">
        <v>5</v>
      </c>
      <c r="Y30" s="6527">
        <v>512</v>
      </c>
      <c r="Z30" s="6527" t="s">
        <v>939</v>
      </c>
      <c r="AA30" s="6528">
        <v>1.2</v>
      </c>
      <c r="AB30" s="6529">
        <v>5.9</v>
      </c>
      <c r="AC30" s="6527">
        <v>9750</v>
      </c>
      <c r="AD30" s="6522" t="s">
        <v>944</v>
      </c>
      <c r="AE30" s="6522" t="s">
        <v>1259</v>
      </c>
      <c r="AF30" s="6522" t="s">
        <v>1261</v>
      </c>
      <c r="AG30" s="6522" t="s">
        <v>1262</v>
      </c>
      <c r="AH30" s="6522" t="s">
        <v>1264</v>
      </c>
      <c r="AI30" s="6522"/>
      <c r="AJ30" s="6522"/>
      <c r="AK30" s="6522"/>
      <c r="AL30" s="6525" t="s">
        <v>939</v>
      </c>
      <c r="AM30" s="6525" t="s">
        <v>939</v>
      </c>
      <c r="AN30" s="6525" t="s">
        <v>1300</v>
      </c>
      <c r="AO30" s="6525" t="s">
        <v>1304</v>
      </c>
      <c r="AP30" s="6525" t="s">
        <v>1309</v>
      </c>
      <c r="AQ30" s="6525" t="s">
        <v>939</v>
      </c>
      <c r="AR30" s="6525" t="s">
        <v>939</v>
      </c>
      <c r="AS30" s="6522" t="s">
        <v>1022</v>
      </c>
      <c r="AT30" s="6522" t="s">
        <v>939</v>
      </c>
      <c r="AU30" s="6522"/>
      <c r="AV30" s="6525" t="s">
        <v>939</v>
      </c>
      <c r="AW30" s="6529">
        <v>250</v>
      </c>
      <c r="AX30" s="5133"/>
      <c r="AY30" s="5132"/>
      <c r="AZ30" s="5132"/>
      <c r="BA30" s="5132"/>
      <c r="BB30" s="5132"/>
    </row>
    <row r="31" spans="1:54" s="6520" customFormat="1" ht="12.75" customHeight="1">
      <c r="A31" s="10990"/>
      <c r="B31" s="10996"/>
      <c r="C31" s="10993"/>
      <c r="E31" s="5132"/>
      <c r="G31" s="6530">
        <v>14</v>
      </c>
      <c r="H31" s="6530">
        <v>17</v>
      </c>
      <c r="I31" s="10978"/>
      <c r="J31" s="10987"/>
      <c r="K31" s="10978"/>
      <c r="L31" s="10978"/>
      <c r="M31" s="10978"/>
      <c r="N31" s="10981"/>
      <c r="O31" s="6530" t="s">
        <v>1208</v>
      </c>
      <c r="P31" s="6531" t="s">
        <v>475</v>
      </c>
      <c r="Q31" s="6531"/>
      <c r="R31" s="6532">
        <v>540</v>
      </c>
      <c r="S31" s="6533" t="s">
        <v>1215</v>
      </c>
      <c r="T31" s="6534" t="s">
        <v>939</v>
      </c>
      <c r="U31" s="6535">
        <v>2009</v>
      </c>
      <c r="V31" s="6531" t="s">
        <v>1209</v>
      </c>
      <c r="W31" s="6536">
        <v>2</v>
      </c>
      <c r="X31" s="6536">
        <v>5</v>
      </c>
      <c r="Y31" s="6536">
        <v>20</v>
      </c>
      <c r="Z31" s="6536" t="s">
        <v>939</v>
      </c>
      <c r="AA31" s="6537">
        <v>1.2</v>
      </c>
      <c r="AB31" s="6538">
        <v>0.3</v>
      </c>
      <c r="AC31" s="6536">
        <v>525</v>
      </c>
      <c r="AD31" s="6531" t="s">
        <v>944</v>
      </c>
      <c r="AE31" s="6531" t="s">
        <v>1259</v>
      </c>
      <c r="AF31" s="6531" t="s">
        <v>1261</v>
      </c>
      <c r="AG31" s="6531" t="s">
        <v>1262</v>
      </c>
      <c r="AH31" s="6531" t="s">
        <v>1264</v>
      </c>
      <c r="AI31" s="6531"/>
      <c r="AJ31" s="6531"/>
      <c r="AK31" s="6531"/>
      <c r="AL31" s="6534" t="s">
        <v>939</v>
      </c>
      <c r="AM31" s="6534" t="s">
        <v>939</v>
      </c>
      <c r="AN31" s="6534" t="s">
        <v>1300</v>
      </c>
      <c r="AO31" s="6534" t="s">
        <v>1304</v>
      </c>
      <c r="AP31" s="6534" t="s">
        <v>1309</v>
      </c>
      <c r="AQ31" s="6534" t="s">
        <v>939</v>
      </c>
      <c r="AR31" s="6534" t="s">
        <v>939</v>
      </c>
      <c r="AS31" s="6531" t="s">
        <v>1022</v>
      </c>
      <c r="AT31" s="6531" t="s">
        <v>939</v>
      </c>
      <c r="AU31" s="6531"/>
      <c r="AV31" s="6534" t="s">
        <v>939</v>
      </c>
      <c r="AW31" s="6538">
        <v>250</v>
      </c>
      <c r="AX31" s="5133"/>
      <c r="AY31" s="5132"/>
      <c r="AZ31" s="5132"/>
      <c r="BA31" s="5132"/>
      <c r="BB31" s="5132"/>
    </row>
    <row r="32" spans="1:54" s="6520" customFormat="1" ht="12.75" customHeight="1">
      <c r="A32" s="10991"/>
      <c r="B32" s="10997"/>
      <c r="C32" s="10994"/>
      <c r="E32" s="5132"/>
      <c r="G32" s="6539">
        <v>15</v>
      </c>
      <c r="H32" s="6539">
        <v>16</v>
      </c>
      <c r="I32" s="10979"/>
      <c r="J32" s="10988"/>
      <c r="K32" s="10979"/>
      <c r="L32" s="10979"/>
      <c r="M32" s="10979"/>
      <c r="N32" s="10982"/>
      <c r="O32" s="6539" t="s">
        <v>1208</v>
      </c>
      <c r="P32" s="6540" t="s">
        <v>475</v>
      </c>
      <c r="Q32" s="6540"/>
      <c r="R32" s="6541">
        <v>540</v>
      </c>
      <c r="S32" s="6542" t="s">
        <v>1215</v>
      </c>
      <c r="T32" s="6543" t="s">
        <v>939</v>
      </c>
      <c r="U32" s="6544">
        <v>2008</v>
      </c>
      <c r="V32" s="6540" t="s">
        <v>1209</v>
      </c>
      <c r="W32" s="6545">
        <v>7</v>
      </c>
      <c r="X32" s="6545">
        <v>5</v>
      </c>
      <c r="Y32" s="6545">
        <v>123</v>
      </c>
      <c r="Z32" s="6545" t="s">
        <v>939</v>
      </c>
      <c r="AA32" s="6546">
        <v>1.2</v>
      </c>
      <c r="AB32" s="6547">
        <v>1.1000000000000001</v>
      </c>
      <c r="AC32" s="6545">
        <v>1778</v>
      </c>
      <c r="AD32" s="6540" t="s">
        <v>944</v>
      </c>
      <c r="AE32" s="6540" t="s">
        <v>1259</v>
      </c>
      <c r="AF32" s="6540" t="s">
        <v>1261</v>
      </c>
      <c r="AG32" s="6540" t="s">
        <v>1262</v>
      </c>
      <c r="AH32" s="6540" t="s">
        <v>1264</v>
      </c>
      <c r="AI32" s="6540"/>
      <c r="AJ32" s="6540"/>
      <c r="AK32" s="6540"/>
      <c r="AL32" s="6543" t="s">
        <v>939</v>
      </c>
      <c r="AM32" s="6543" t="s">
        <v>939</v>
      </c>
      <c r="AN32" s="6543" t="s">
        <v>1300</v>
      </c>
      <c r="AO32" s="6543" t="s">
        <v>1304</v>
      </c>
      <c r="AP32" s="6543" t="s">
        <v>1309</v>
      </c>
      <c r="AQ32" s="6543" t="s">
        <v>939</v>
      </c>
      <c r="AR32" s="6543" t="s">
        <v>939</v>
      </c>
      <c r="AS32" s="6540" t="s">
        <v>1337</v>
      </c>
      <c r="AT32" s="6540" t="s">
        <v>939</v>
      </c>
      <c r="AU32" s="6540"/>
      <c r="AV32" s="6543" t="s">
        <v>939</v>
      </c>
      <c r="AW32" s="6547">
        <v>250</v>
      </c>
      <c r="AX32" s="5133"/>
      <c r="AY32" s="5132"/>
      <c r="AZ32" s="5132"/>
      <c r="BA32" s="5132"/>
      <c r="BB32" s="5132"/>
    </row>
    <row r="33" spans="1:54" ht="12.75" customHeight="1">
      <c r="A33" s="6443" t="str">
        <f t="shared" ref="A33:A40" si="5">+IF(M33="","",M33)</f>
        <v/>
      </c>
      <c r="B33" s="6444"/>
      <c r="C33" s="6445"/>
      <c r="D33" s="5133"/>
      <c r="F33" s="5133"/>
      <c r="G33" s="6434">
        <v>16</v>
      </c>
      <c r="H33" s="6434">
        <v>21</v>
      </c>
      <c r="I33" s="10961">
        <v>6</v>
      </c>
      <c r="J33" s="10961"/>
      <c r="K33" s="10961" t="str">
        <f>+IF(ISNA(VLOOKUP(MATCH(P33,tfn,0),tao,'12(id)'!$K$20,FALSE)),"",IF(J33="NA","",VLOOKUP(MATCH(P33,tfn,0),tao,'12(id)'!$K$20,FALSE)+J33))</f>
        <v/>
      </c>
      <c r="L33" s="10961"/>
      <c r="M33" s="10961" t="str">
        <f t="shared" ref="M33:M94" si="6">+IF(K33="","",K33&amp;IF(L33&lt;10,"-0"&amp;L33,"-"&amp;L33))</f>
        <v/>
      </c>
      <c r="N33" s="10944" t="str">
        <f>+IF(M33="","",VLOOKUP(MATCH(M33,tid,0),tao,'12(id)'!$Q$20,FALSE))</f>
        <v/>
      </c>
      <c r="O33" s="6434" t="s">
        <v>1208</v>
      </c>
      <c r="P33" s="6435" t="s">
        <v>329</v>
      </c>
      <c r="Q33" s="6435"/>
      <c r="R33" s="6436">
        <v>55042</v>
      </c>
      <c r="S33" s="6437" t="s">
        <v>1216</v>
      </c>
      <c r="T33" s="6442" t="s">
        <v>939</v>
      </c>
      <c r="U33" s="6438">
        <v>2010</v>
      </c>
      <c r="V33" s="6435" t="s">
        <v>1209</v>
      </c>
      <c r="W33" s="6439">
        <v>3338</v>
      </c>
      <c r="X33" s="6439">
        <v>5</v>
      </c>
      <c r="Y33" s="6439">
        <v>502693</v>
      </c>
      <c r="Z33" s="6439" t="s">
        <v>939</v>
      </c>
      <c r="AA33" s="6440">
        <v>0.02</v>
      </c>
      <c r="AB33" s="6441">
        <v>42.4</v>
      </c>
      <c r="AC33" s="6439">
        <v>5399353</v>
      </c>
      <c r="AD33" s="6435" t="s">
        <v>944</v>
      </c>
      <c r="AE33" s="6435" t="s">
        <v>1259</v>
      </c>
      <c r="AF33" s="6435" t="s">
        <v>1261</v>
      </c>
      <c r="AG33" s="6435" t="s">
        <v>1262</v>
      </c>
      <c r="AH33" s="6435" t="s">
        <v>1265</v>
      </c>
      <c r="AI33" s="6435"/>
      <c r="AJ33" s="6435"/>
      <c r="AK33" s="6435"/>
      <c r="AL33" s="6442" t="s">
        <v>1303</v>
      </c>
      <c r="AM33" s="6442" t="s">
        <v>939</v>
      </c>
      <c r="AN33" s="6442" t="s">
        <v>1300</v>
      </c>
      <c r="AO33" s="6442" t="s">
        <v>1307</v>
      </c>
      <c r="AP33" s="6442" t="s">
        <v>1305</v>
      </c>
      <c r="AQ33" s="6442" t="s">
        <v>939</v>
      </c>
      <c r="AR33" s="6442" t="s">
        <v>939</v>
      </c>
      <c r="AS33" s="6435" t="s">
        <v>1338</v>
      </c>
      <c r="AT33" s="6435" t="s">
        <v>939</v>
      </c>
      <c r="AU33" s="6435"/>
      <c r="AV33" s="6442" t="s">
        <v>939</v>
      </c>
      <c r="AW33" s="6441">
        <v>1884</v>
      </c>
      <c r="AX33" s="5133"/>
    </row>
    <row r="34" spans="1:54" ht="12.75" customHeight="1">
      <c r="A34" s="6443" t="str">
        <f t="shared" si="5"/>
        <v/>
      </c>
      <c r="B34" s="6444"/>
      <c r="C34" s="6445"/>
      <c r="D34" s="5133"/>
      <c r="F34" s="5133"/>
      <c r="G34" s="6413">
        <v>17</v>
      </c>
      <c r="H34" s="6413">
        <v>20</v>
      </c>
      <c r="I34" s="10962"/>
      <c r="J34" s="10962"/>
      <c r="K34" s="10962" t="str">
        <f>+IF(ISNA(VLOOKUP(MATCH(P34,tfn,0),tao,'12(id)'!$K$20,FALSE)),"",IF(J34="NA","",VLOOKUP(MATCH(P34,tfn,0),tao,'12(id)'!$K$20,FALSE)+J34))</f>
        <v/>
      </c>
      <c r="L34" s="10962"/>
      <c r="M34" s="10962" t="str">
        <f t="shared" si="6"/>
        <v/>
      </c>
      <c r="N34" s="10945" t="str">
        <f>+IF(M34="","",VLOOKUP(MATCH(M34,tid,0),tao,'12(id)'!$Q$20,FALSE))</f>
        <v/>
      </c>
      <c r="O34" s="6413" t="s">
        <v>1208</v>
      </c>
      <c r="P34" s="6414" t="s">
        <v>329</v>
      </c>
      <c r="Q34" s="6414"/>
      <c r="R34" s="6415">
        <v>55042</v>
      </c>
      <c r="S34" s="6416" t="s">
        <v>1216</v>
      </c>
      <c r="T34" s="6421" t="s">
        <v>939</v>
      </c>
      <c r="U34" s="6417">
        <v>2009</v>
      </c>
      <c r="V34" s="6414" t="s">
        <v>1209</v>
      </c>
      <c r="W34" s="6418">
        <v>3055</v>
      </c>
      <c r="X34" s="6418">
        <v>5</v>
      </c>
      <c r="Y34" s="6418">
        <v>429466</v>
      </c>
      <c r="Z34" s="6418" t="s">
        <v>939</v>
      </c>
      <c r="AA34" s="6419">
        <v>0.02</v>
      </c>
      <c r="AB34" s="6420">
        <v>34.299999999999997</v>
      </c>
      <c r="AC34" s="6418">
        <v>4640621</v>
      </c>
      <c r="AD34" s="6414" t="s">
        <v>944</v>
      </c>
      <c r="AE34" s="6414" t="s">
        <v>1259</v>
      </c>
      <c r="AF34" s="6414" t="s">
        <v>1261</v>
      </c>
      <c r="AG34" s="6414" t="s">
        <v>1262</v>
      </c>
      <c r="AH34" s="6414" t="s">
        <v>1265</v>
      </c>
      <c r="AI34" s="6414"/>
      <c r="AJ34" s="6414"/>
      <c r="AK34" s="6414"/>
      <c r="AL34" s="6421" t="s">
        <v>1303</v>
      </c>
      <c r="AM34" s="6421" t="s">
        <v>939</v>
      </c>
      <c r="AN34" s="6421" t="s">
        <v>1300</v>
      </c>
      <c r="AO34" s="6421" t="s">
        <v>1307</v>
      </c>
      <c r="AP34" s="6421" t="s">
        <v>1305</v>
      </c>
      <c r="AQ34" s="6421" t="s">
        <v>939</v>
      </c>
      <c r="AR34" s="6421" t="s">
        <v>939</v>
      </c>
      <c r="AS34" s="6414" t="s">
        <v>1338</v>
      </c>
      <c r="AT34" s="6414" t="s">
        <v>939</v>
      </c>
      <c r="AU34" s="6414"/>
      <c r="AV34" s="6421" t="s">
        <v>939</v>
      </c>
      <c r="AW34" s="6420">
        <v>1884</v>
      </c>
      <c r="AX34" s="5133"/>
    </row>
    <row r="35" spans="1:54" ht="12.75" customHeight="1">
      <c r="A35" s="6443" t="str">
        <f t="shared" si="5"/>
        <v/>
      </c>
      <c r="B35" s="6444"/>
      <c r="C35" s="6445"/>
      <c r="D35" s="5133"/>
      <c r="F35" s="5133"/>
      <c r="G35" s="6424">
        <v>18</v>
      </c>
      <c r="H35" s="6424">
        <v>19</v>
      </c>
      <c r="I35" s="10963"/>
      <c r="J35" s="10963"/>
      <c r="K35" s="10963" t="str">
        <f>+IF(ISNA(VLOOKUP(MATCH(P35,tfn,0),tao,'12(id)'!$K$20,FALSE)),"",IF(J35="NA","",VLOOKUP(MATCH(P35,tfn,0),tao,'12(id)'!$K$20,FALSE)+J35))</f>
        <v/>
      </c>
      <c r="L35" s="10963"/>
      <c r="M35" s="10963" t="str">
        <f t="shared" si="6"/>
        <v/>
      </c>
      <c r="N35" s="10946" t="str">
        <f>+IF(M35="","",VLOOKUP(MATCH(M35,tid,0),tao,'12(id)'!$Q$20,FALSE))</f>
        <v/>
      </c>
      <c r="O35" s="6424" t="s">
        <v>1208</v>
      </c>
      <c r="P35" s="6425" t="s">
        <v>329</v>
      </c>
      <c r="Q35" s="6425"/>
      <c r="R35" s="6426">
        <v>55042</v>
      </c>
      <c r="S35" s="6427" t="s">
        <v>1216</v>
      </c>
      <c r="T35" s="6433" t="s">
        <v>939</v>
      </c>
      <c r="U35" s="6428">
        <v>2008</v>
      </c>
      <c r="V35" s="6425" t="s">
        <v>1209</v>
      </c>
      <c r="W35" s="6429">
        <v>2602</v>
      </c>
      <c r="X35" s="6429">
        <v>5</v>
      </c>
      <c r="Y35" s="6429">
        <v>339851</v>
      </c>
      <c r="Z35" s="6429" t="s">
        <v>939</v>
      </c>
      <c r="AA35" s="6430">
        <v>0.02</v>
      </c>
      <c r="AB35" s="6431">
        <v>32.6</v>
      </c>
      <c r="AC35" s="6429">
        <v>3739477</v>
      </c>
      <c r="AD35" s="6425" t="s">
        <v>944</v>
      </c>
      <c r="AE35" s="6425" t="s">
        <v>1259</v>
      </c>
      <c r="AF35" s="6425" t="s">
        <v>1261</v>
      </c>
      <c r="AG35" s="6425" t="s">
        <v>1262</v>
      </c>
      <c r="AH35" s="6425" t="s">
        <v>1265</v>
      </c>
      <c r="AI35" s="6425"/>
      <c r="AJ35" s="6425"/>
      <c r="AK35" s="6425"/>
      <c r="AL35" s="6433" t="s">
        <v>1303</v>
      </c>
      <c r="AM35" s="6433" t="s">
        <v>939</v>
      </c>
      <c r="AN35" s="6433" t="s">
        <v>1300</v>
      </c>
      <c r="AO35" s="6433" t="s">
        <v>1307</v>
      </c>
      <c r="AP35" s="6433" t="s">
        <v>1305</v>
      </c>
      <c r="AQ35" s="6433" t="s">
        <v>939</v>
      </c>
      <c r="AR35" s="6433" t="s">
        <v>939</v>
      </c>
      <c r="AS35" s="6425" t="s">
        <v>1338</v>
      </c>
      <c r="AT35" s="6425" t="s">
        <v>939</v>
      </c>
      <c r="AU35" s="6425"/>
      <c r="AV35" s="6433" t="s">
        <v>939</v>
      </c>
      <c r="AW35" s="6431">
        <v>1884</v>
      </c>
      <c r="AX35" s="5133"/>
    </row>
    <row r="36" spans="1:54" ht="12.75" customHeight="1">
      <c r="A36" s="6443" t="str">
        <f t="shared" si="5"/>
        <v/>
      </c>
      <c r="B36" s="6444"/>
      <c r="C36" s="6445"/>
      <c r="D36" s="5133"/>
      <c r="F36" s="5133"/>
      <c r="G36" s="6413">
        <v>19</v>
      </c>
      <c r="H36" s="6413">
        <v>24</v>
      </c>
      <c r="I36" s="10961">
        <v>7</v>
      </c>
      <c r="J36" s="10961"/>
      <c r="K36" s="10961" t="str">
        <f>+IF(ISNA(VLOOKUP(MATCH(P36,tfn,0),tao,'12(id)'!$K$20,FALSE)),"",IF(J36="NA","",VLOOKUP(MATCH(P36,tfn,0),tao,'12(id)'!$K$20,FALSE)+J36))</f>
        <v/>
      </c>
      <c r="L36" s="10961"/>
      <c r="M36" s="10961" t="str">
        <f t="shared" si="6"/>
        <v/>
      </c>
      <c r="N36" s="10944" t="str">
        <f>+IF(M36="","",VLOOKUP(MATCH(M36,tid,0),tao,'12(id)'!$Q$20,FALSE))</f>
        <v/>
      </c>
      <c r="O36" s="6413" t="s">
        <v>1208</v>
      </c>
      <c r="P36" s="6414" t="s">
        <v>329</v>
      </c>
      <c r="Q36" s="6414"/>
      <c r="R36" s="6415">
        <v>55042</v>
      </c>
      <c r="S36" s="6416" t="s">
        <v>1217</v>
      </c>
      <c r="T36" s="6421" t="s">
        <v>939</v>
      </c>
      <c r="U36" s="6417">
        <v>2010</v>
      </c>
      <c r="V36" s="6414" t="s">
        <v>1209</v>
      </c>
      <c r="W36" s="6418">
        <v>3165</v>
      </c>
      <c r="X36" s="6418">
        <v>5</v>
      </c>
      <c r="Y36" s="6418">
        <v>475224</v>
      </c>
      <c r="Z36" s="6418" t="s">
        <v>939</v>
      </c>
      <c r="AA36" s="6419">
        <v>0.02</v>
      </c>
      <c r="AB36" s="6420">
        <v>39.5</v>
      </c>
      <c r="AC36" s="6418">
        <v>5058494</v>
      </c>
      <c r="AD36" s="6414" t="s">
        <v>944</v>
      </c>
      <c r="AE36" s="6414" t="s">
        <v>1259</v>
      </c>
      <c r="AF36" s="6414" t="s">
        <v>1261</v>
      </c>
      <c r="AG36" s="6414" t="s">
        <v>1262</v>
      </c>
      <c r="AH36" s="6414" t="s">
        <v>1265</v>
      </c>
      <c r="AI36" s="6414"/>
      <c r="AJ36" s="6414"/>
      <c r="AK36" s="6414"/>
      <c r="AL36" s="6421" t="s">
        <v>1303</v>
      </c>
      <c r="AM36" s="6421" t="s">
        <v>939</v>
      </c>
      <c r="AN36" s="6421" t="s">
        <v>1300</v>
      </c>
      <c r="AO36" s="6421" t="s">
        <v>1307</v>
      </c>
      <c r="AP36" s="6421" t="s">
        <v>1305</v>
      </c>
      <c r="AQ36" s="6421" t="s">
        <v>939</v>
      </c>
      <c r="AR36" s="6421" t="s">
        <v>939</v>
      </c>
      <c r="AS36" s="6414" t="s">
        <v>1338</v>
      </c>
      <c r="AT36" s="6414" t="s">
        <v>939</v>
      </c>
      <c r="AU36" s="6414"/>
      <c r="AV36" s="6421" t="s">
        <v>939</v>
      </c>
      <c r="AW36" s="6420">
        <v>1884</v>
      </c>
      <c r="AX36" s="5133"/>
    </row>
    <row r="37" spans="1:54" ht="12.75" customHeight="1">
      <c r="A37" s="6443" t="str">
        <f t="shared" si="5"/>
        <v/>
      </c>
      <c r="B37" s="6444"/>
      <c r="C37" s="6445"/>
      <c r="D37" s="5133"/>
      <c r="F37" s="5133"/>
      <c r="G37" s="6413">
        <v>20</v>
      </c>
      <c r="H37" s="6413">
        <v>23</v>
      </c>
      <c r="I37" s="10962"/>
      <c r="J37" s="10962"/>
      <c r="K37" s="10962" t="str">
        <f>+IF(ISNA(VLOOKUP(MATCH(P37,tfn,0),tao,'12(id)'!$K$20,FALSE)),"",IF(J37="NA","",VLOOKUP(MATCH(P37,tfn,0),tao,'12(id)'!$K$20,FALSE)+J37))</f>
        <v/>
      </c>
      <c r="L37" s="10962"/>
      <c r="M37" s="10962" t="str">
        <f t="shared" si="6"/>
        <v/>
      </c>
      <c r="N37" s="10945" t="str">
        <f>+IF(M37="","",VLOOKUP(MATCH(M37,tid,0),tao,'12(id)'!$Q$20,FALSE))</f>
        <v/>
      </c>
      <c r="O37" s="6413" t="s">
        <v>1208</v>
      </c>
      <c r="P37" s="6414" t="s">
        <v>329</v>
      </c>
      <c r="Q37" s="6414"/>
      <c r="R37" s="6415">
        <v>55042</v>
      </c>
      <c r="S37" s="6416" t="s">
        <v>1217</v>
      </c>
      <c r="T37" s="6421" t="s">
        <v>939</v>
      </c>
      <c r="U37" s="6417">
        <v>2009</v>
      </c>
      <c r="V37" s="6414" t="s">
        <v>1209</v>
      </c>
      <c r="W37" s="6418">
        <v>2942</v>
      </c>
      <c r="X37" s="6418">
        <v>5</v>
      </c>
      <c r="Y37" s="6418">
        <v>417769</v>
      </c>
      <c r="Z37" s="6418" t="s">
        <v>939</v>
      </c>
      <c r="AA37" s="6419">
        <v>0.02</v>
      </c>
      <c r="AB37" s="6420">
        <v>35.700000000000003</v>
      </c>
      <c r="AC37" s="6418">
        <v>4463492</v>
      </c>
      <c r="AD37" s="6414" t="s">
        <v>944</v>
      </c>
      <c r="AE37" s="6414" t="s">
        <v>1259</v>
      </c>
      <c r="AF37" s="6414" t="s">
        <v>1261</v>
      </c>
      <c r="AG37" s="6414" t="s">
        <v>1262</v>
      </c>
      <c r="AH37" s="6414" t="s">
        <v>1265</v>
      </c>
      <c r="AI37" s="6414"/>
      <c r="AJ37" s="6414"/>
      <c r="AK37" s="6414"/>
      <c r="AL37" s="6421" t="s">
        <v>1303</v>
      </c>
      <c r="AM37" s="6421" t="s">
        <v>939</v>
      </c>
      <c r="AN37" s="6421" t="s">
        <v>1300</v>
      </c>
      <c r="AO37" s="6421" t="s">
        <v>1307</v>
      </c>
      <c r="AP37" s="6421" t="s">
        <v>1305</v>
      </c>
      <c r="AQ37" s="6421" t="s">
        <v>939</v>
      </c>
      <c r="AR37" s="6421" t="s">
        <v>939</v>
      </c>
      <c r="AS37" s="6414" t="s">
        <v>1338</v>
      </c>
      <c r="AT37" s="6414" t="s">
        <v>939</v>
      </c>
      <c r="AU37" s="6414"/>
      <c r="AV37" s="6421" t="s">
        <v>939</v>
      </c>
      <c r="AW37" s="6420">
        <v>1884</v>
      </c>
      <c r="AX37" s="5133"/>
    </row>
    <row r="38" spans="1:54" ht="12.75" customHeight="1">
      <c r="A38" s="6443" t="str">
        <f t="shared" si="5"/>
        <v/>
      </c>
      <c r="B38" s="6444"/>
      <c r="C38" s="6445"/>
      <c r="D38" s="5133"/>
      <c r="F38" s="5133"/>
      <c r="G38" s="6424">
        <v>21</v>
      </c>
      <c r="H38" s="6424">
        <v>22</v>
      </c>
      <c r="I38" s="10963"/>
      <c r="J38" s="10963"/>
      <c r="K38" s="10963" t="str">
        <f>+IF(ISNA(VLOOKUP(MATCH(P38,tfn,0),tao,'12(id)'!$K$20,FALSE)),"",IF(J38="NA","",VLOOKUP(MATCH(P38,tfn,0),tao,'12(id)'!$K$20,FALSE)+J38))</f>
        <v/>
      </c>
      <c r="L38" s="10963"/>
      <c r="M38" s="10963" t="str">
        <f t="shared" si="6"/>
        <v/>
      </c>
      <c r="N38" s="10946" t="str">
        <f>+IF(M38="","",VLOOKUP(MATCH(M38,tid,0),tao,'12(id)'!$Q$20,FALSE))</f>
        <v/>
      </c>
      <c r="O38" s="6424" t="s">
        <v>1208</v>
      </c>
      <c r="P38" s="6425" t="s">
        <v>329</v>
      </c>
      <c r="Q38" s="6425"/>
      <c r="R38" s="6426">
        <v>55042</v>
      </c>
      <c r="S38" s="6427" t="s">
        <v>1217</v>
      </c>
      <c r="T38" s="6433" t="s">
        <v>939</v>
      </c>
      <c r="U38" s="6428">
        <v>2008</v>
      </c>
      <c r="V38" s="6425" t="s">
        <v>1209</v>
      </c>
      <c r="W38" s="6429">
        <v>2761</v>
      </c>
      <c r="X38" s="6429">
        <v>5</v>
      </c>
      <c r="Y38" s="6429">
        <v>365520</v>
      </c>
      <c r="Z38" s="6429" t="s">
        <v>939</v>
      </c>
      <c r="AA38" s="6430">
        <v>0.02</v>
      </c>
      <c r="AB38" s="6431">
        <v>34.200000000000003</v>
      </c>
      <c r="AC38" s="6429">
        <v>4009046</v>
      </c>
      <c r="AD38" s="6425" t="s">
        <v>944</v>
      </c>
      <c r="AE38" s="6425" t="s">
        <v>1259</v>
      </c>
      <c r="AF38" s="6425" t="s">
        <v>1261</v>
      </c>
      <c r="AG38" s="6425" t="s">
        <v>1262</v>
      </c>
      <c r="AH38" s="6425" t="s">
        <v>1265</v>
      </c>
      <c r="AI38" s="6425"/>
      <c r="AJ38" s="6425"/>
      <c r="AK38" s="6425"/>
      <c r="AL38" s="6433" t="s">
        <v>1303</v>
      </c>
      <c r="AM38" s="6433" t="s">
        <v>939</v>
      </c>
      <c r="AN38" s="6433" t="s">
        <v>1300</v>
      </c>
      <c r="AO38" s="6433" t="s">
        <v>1307</v>
      </c>
      <c r="AP38" s="6433" t="s">
        <v>1305</v>
      </c>
      <c r="AQ38" s="6433" t="s">
        <v>939</v>
      </c>
      <c r="AR38" s="6433" t="s">
        <v>939</v>
      </c>
      <c r="AS38" s="6425" t="s">
        <v>1338</v>
      </c>
      <c r="AT38" s="6425" t="s">
        <v>939</v>
      </c>
      <c r="AU38" s="6425"/>
      <c r="AV38" s="6433" t="s">
        <v>939</v>
      </c>
      <c r="AW38" s="6431">
        <v>1884</v>
      </c>
      <c r="AX38" s="5133"/>
    </row>
    <row r="39" spans="1:54" ht="12.75" customHeight="1">
      <c r="A39" s="6443" t="str">
        <f t="shared" si="5"/>
        <v/>
      </c>
      <c r="B39" s="6444"/>
      <c r="C39" s="6445"/>
      <c r="D39" s="5133"/>
      <c r="F39" s="5133"/>
      <c r="G39" s="6446">
        <v>22</v>
      </c>
      <c r="H39" s="6446">
        <v>25</v>
      </c>
      <c r="I39" s="6446">
        <v>8</v>
      </c>
      <c r="J39" s="6447" t="s">
        <v>1193</v>
      </c>
      <c r="K39" s="6446" t="str">
        <f>+IF(ISNA(VLOOKUP(MATCH(P39,tfn,0),tao,'12(id)'!$K$20,FALSE)),"",IF(J39="NA","",VLOOKUP(MATCH(P39,tfn,0),tao,'12(id)'!$K$20,FALSE)+J39))</f>
        <v/>
      </c>
      <c r="L39" s="6446"/>
      <c r="M39" s="6446" t="str">
        <f t="shared" si="6"/>
        <v/>
      </c>
      <c r="N39" s="6448" t="str">
        <f>+IF(M39="","",VLOOKUP(MATCH(M39,tid,0),tao,'12(id)'!$Q$20,FALSE))</f>
        <v/>
      </c>
      <c r="O39" s="6446" t="s">
        <v>1208</v>
      </c>
      <c r="P39" s="6449" t="s">
        <v>330</v>
      </c>
      <c r="Q39" s="6449"/>
      <c r="R39" s="6450">
        <v>568</v>
      </c>
      <c r="S39" s="6451" t="s">
        <v>1218</v>
      </c>
      <c r="T39" s="6452" t="s">
        <v>939</v>
      </c>
      <c r="U39" s="6447">
        <v>2008</v>
      </c>
      <c r="V39" s="6449" t="s">
        <v>1209</v>
      </c>
      <c r="W39" s="6453">
        <v>0</v>
      </c>
      <c r="X39" s="6454">
        <v>5</v>
      </c>
      <c r="Y39" s="6454" t="s">
        <v>939</v>
      </c>
      <c r="Z39" s="6454" t="s">
        <v>939</v>
      </c>
      <c r="AA39" s="6455" t="s">
        <v>939</v>
      </c>
      <c r="AB39" s="6456" t="s">
        <v>939</v>
      </c>
      <c r="AC39" s="6454" t="s">
        <v>939</v>
      </c>
      <c r="AD39" s="6449" t="s">
        <v>944</v>
      </c>
      <c r="AE39" s="6449" t="s">
        <v>1259</v>
      </c>
      <c r="AF39" s="6449" t="s">
        <v>1261</v>
      </c>
      <c r="AG39" s="6449" t="s">
        <v>1262</v>
      </c>
      <c r="AH39" s="6449" t="s">
        <v>1266</v>
      </c>
      <c r="AI39" s="6449"/>
      <c r="AJ39" s="6449"/>
      <c r="AK39" s="6449"/>
      <c r="AL39" s="6449" t="s">
        <v>1303</v>
      </c>
      <c r="AM39" s="6449" t="s">
        <v>939</v>
      </c>
      <c r="AN39" s="6449" t="s">
        <v>1300</v>
      </c>
      <c r="AO39" s="6449" t="s">
        <v>7</v>
      </c>
      <c r="AP39" s="6449" t="s">
        <v>1308</v>
      </c>
      <c r="AQ39" s="6449" t="s">
        <v>1306</v>
      </c>
      <c r="AR39" s="6452" t="s">
        <v>939</v>
      </c>
      <c r="AS39" s="6452" t="s">
        <v>939</v>
      </c>
      <c r="AT39" s="6452" t="s">
        <v>939</v>
      </c>
      <c r="AU39" s="6452"/>
      <c r="AV39" s="6449" t="s">
        <v>1339</v>
      </c>
      <c r="AW39" s="6457">
        <v>865</v>
      </c>
      <c r="AX39" s="5133"/>
    </row>
    <row r="40" spans="1:54" s="6520" customFormat="1" ht="12.75" customHeight="1">
      <c r="A40" s="10989" t="str">
        <f t="shared" si="5"/>
        <v>8305-02</v>
      </c>
      <c r="B40" s="10995" t="str">
        <f>+IF(A40="","",VLOOKUP(MATCH(A40,tid,0),tao,'12(id)'!$J$20,FALSE))</f>
        <v>PSEG</v>
      </c>
      <c r="C40" s="10992" t="str">
        <f>+N40</f>
        <v>BHB2</v>
      </c>
      <c r="E40" s="5132"/>
      <c r="G40" s="6521">
        <v>23</v>
      </c>
      <c r="H40" s="6521">
        <v>32</v>
      </c>
      <c r="I40" s="10977">
        <v>9</v>
      </c>
      <c r="J40" s="10977">
        <v>4</v>
      </c>
      <c r="K40" s="10977">
        <f>+IF(ISNA(VLOOKUP(MATCH(P40,tfn,0),tao,'12(id)'!$K$20,FALSE)),"",IF(J40="NA","",VLOOKUP(MATCH(P40,tfn,0),tao,'12(id)'!$K$20,FALSE)+J40))</f>
        <v>8305</v>
      </c>
      <c r="L40" s="10977">
        <v>2</v>
      </c>
      <c r="M40" s="10977" t="str">
        <f t="shared" si="6"/>
        <v>8305-02</v>
      </c>
      <c r="N40" s="10980" t="str">
        <f>+IF(M40="","",VLOOKUP(MATCH(M40,tid,0),tao,'12(id)'!$Q$20,FALSE))</f>
        <v>BHB2</v>
      </c>
      <c r="O40" s="6521" t="s">
        <v>1208</v>
      </c>
      <c r="P40" s="6522" t="s">
        <v>330</v>
      </c>
      <c r="Q40" s="6522"/>
      <c r="R40" s="6523">
        <v>568</v>
      </c>
      <c r="S40" s="6524" t="s">
        <v>1219</v>
      </c>
      <c r="T40" s="6525" t="s">
        <v>939</v>
      </c>
      <c r="U40" s="6526">
        <v>2010</v>
      </c>
      <c r="V40" s="6522" t="s">
        <v>1209</v>
      </c>
      <c r="W40" s="6527">
        <v>122</v>
      </c>
      <c r="X40" s="6527">
        <v>5</v>
      </c>
      <c r="Y40" s="6527">
        <v>6954</v>
      </c>
      <c r="Z40" s="6527" t="s">
        <v>939</v>
      </c>
      <c r="AA40" s="6528">
        <v>0.24</v>
      </c>
      <c r="AB40" s="6529">
        <v>11.8</v>
      </c>
      <c r="AC40" s="6527">
        <v>85201</v>
      </c>
      <c r="AD40" s="6522" t="s">
        <v>944</v>
      </c>
      <c r="AE40" s="6522" t="s">
        <v>1259</v>
      </c>
      <c r="AF40" s="6522" t="s">
        <v>1261</v>
      </c>
      <c r="AG40" s="6522" t="s">
        <v>1262</v>
      </c>
      <c r="AH40" s="6522" t="s">
        <v>1268</v>
      </c>
      <c r="AI40" s="6522"/>
      <c r="AJ40" s="6522"/>
      <c r="AK40" s="6522"/>
      <c r="AL40" s="6522" t="s">
        <v>1303</v>
      </c>
      <c r="AM40" s="6522" t="s">
        <v>939</v>
      </c>
      <c r="AN40" s="6522" t="s">
        <v>1300</v>
      </c>
      <c r="AO40" s="6522" t="s">
        <v>7</v>
      </c>
      <c r="AP40" s="6522" t="s">
        <v>1308</v>
      </c>
      <c r="AQ40" s="6522" t="s">
        <v>1306</v>
      </c>
      <c r="AR40" s="6525" t="s">
        <v>939</v>
      </c>
      <c r="AS40" s="6525" t="s">
        <v>939</v>
      </c>
      <c r="AT40" s="6525" t="s">
        <v>939</v>
      </c>
      <c r="AU40" s="6525"/>
      <c r="AV40" s="6522" t="s">
        <v>1339</v>
      </c>
      <c r="AW40" s="6529">
        <v>1785</v>
      </c>
      <c r="AX40" s="5133"/>
      <c r="AY40" s="5132"/>
      <c r="AZ40" s="5132"/>
      <c r="BA40" s="5132"/>
      <c r="BB40" s="5132"/>
    </row>
    <row r="41" spans="1:54" s="6520" customFormat="1" ht="12.75" customHeight="1">
      <c r="A41" s="10990"/>
      <c r="B41" s="10996"/>
      <c r="C41" s="10993"/>
      <c r="E41" s="5132"/>
      <c r="G41" s="6530">
        <v>24</v>
      </c>
      <c r="H41" s="6530">
        <v>29</v>
      </c>
      <c r="I41" s="10978"/>
      <c r="J41" s="10978">
        <f>+J40</f>
        <v>4</v>
      </c>
      <c r="K41" s="10978">
        <f>+IF(ISNA(VLOOKUP(MATCH(P41,tfn,0),tao,'12(id)'!$K$20,FALSE)),"",IF(J41="NA","",VLOOKUP(MATCH(P41,tfn,0),tao,'12(id)'!$K$20,FALSE)+J41))</f>
        <v>8305</v>
      </c>
      <c r="L41" s="10978">
        <f>+L40</f>
        <v>2</v>
      </c>
      <c r="M41" s="10978" t="str">
        <f t="shared" si="6"/>
        <v>8305-02</v>
      </c>
      <c r="N41" s="10981" t="str">
        <f>+IF(M41="","",VLOOKUP(MATCH(M41,tid,0),tao,'12(id)'!$Q$20,FALSE))</f>
        <v>BHB2</v>
      </c>
      <c r="O41" s="6530" t="s">
        <v>1208</v>
      </c>
      <c r="P41" s="6531" t="s">
        <v>330</v>
      </c>
      <c r="Q41" s="6531"/>
      <c r="R41" s="6532">
        <v>568</v>
      </c>
      <c r="S41" s="6533" t="s">
        <v>1219</v>
      </c>
      <c r="T41" s="6534" t="s">
        <v>939</v>
      </c>
      <c r="U41" s="6535">
        <v>2009</v>
      </c>
      <c r="V41" s="6531" t="s">
        <v>1209</v>
      </c>
      <c r="W41" s="6536">
        <v>64</v>
      </c>
      <c r="X41" s="6536">
        <v>5</v>
      </c>
      <c r="Y41" s="6536">
        <v>3168</v>
      </c>
      <c r="Z41" s="6536" t="s">
        <v>939</v>
      </c>
      <c r="AA41" s="6537">
        <v>0.2</v>
      </c>
      <c r="AB41" s="6538">
        <v>5.4</v>
      </c>
      <c r="AC41" s="6536">
        <v>39994</v>
      </c>
      <c r="AD41" s="6531" t="s">
        <v>944</v>
      </c>
      <c r="AE41" s="6531" t="s">
        <v>1259</v>
      </c>
      <c r="AF41" s="6531" t="s">
        <v>1261</v>
      </c>
      <c r="AG41" s="6531" t="s">
        <v>1262</v>
      </c>
      <c r="AH41" s="6531" t="s">
        <v>1267</v>
      </c>
      <c r="AI41" s="6531"/>
      <c r="AJ41" s="6531"/>
      <c r="AK41" s="6531"/>
      <c r="AL41" s="6531" t="s">
        <v>1303</v>
      </c>
      <c r="AM41" s="6531" t="s">
        <v>939</v>
      </c>
      <c r="AN41" s="6531" t="s">
        <v>1300</v>
      </c>
      <c r="AO41" s="6531" t="s">
        <v>7</v>
      </c>
      <c r="AP41" s="6531" t="s">
        <v>1308</v>
      </c>
      <c r="AQ41" s="6531" t="s">
        <v>1306</v>
      </c>
      <c r="AR41" s="6534" t="s">
        <v>939</v>
      </c>
      <c r="AS41" s="6534" t="s">
        <v>939</v>
      </c>
      <c r="AT41" s="6534" t="s">
        <v>939</v>
      </c>
      <c r="AU41" s="6534"/>
      <c r="AV41" s="6531" t="s">
        <v>1339</v>
      </c>
      <c r="AW41" s="6538">
        <v>1785</v>
      </c>
      <c r="AX41" s="5133"/>
      <c r="AY41" s="5132"/>
      <c r="AZ41" s="5132"/>
      <c r="BA41" s="5132"/>
      <c r="BB41" s="5132"/>
    </row>
    <row r="42" spans="1:54" s="6520" customFormat="1" ht="12.75" customHeight="1">
      <c r="A42" s="10991"/>
      <c r="B42" s="10997"/>
      <c r="C42" s="10994"/>
      <c r="E42" s="5132"/>
      <c r="G42" s="6539">
        <v>25</v>
      </c>
      <c r="H42" s="6539">
        <v>27</v>
      </c>
      <c r="I42" s="10979"/>
      <c r="J42" s="10979">
        <f>+J41</f>
        <v>4</v>
      </c>
      <c r="K42" s="10979">
        <f>+IF(ISNA(VLOOKUP(MATCH(P42,tfn,0),tao,'12(id)'!$K$20,FALSE)),"",IF(J42="NA","",VLOOKUP(MATCH(P42,tfn,0),tao,'12(id)'!$K$20,FALSE)+J42))</f>
        <v>8305</v>
      </c>
      <c r="L42" s="10979">
        <f>+L41</f>
        <v>2</v>
      </c>
      <c r="M42" s="10979" t="str">
        <f t="shared" si="6"/>
        <v>8305-02</v>
      </c>
      <c r="N42" s="10982" t="str">
        <f>+IF(M42="","",VLOOKUP(MATCH(M42,tid,0),tao,'12(id)'!$Q$20,FALSE))</f>
        <v>BHB2</v>
      </c>
      <c r="O42" s="6539" t="s">
        <v>1208</v>
      </c>
      <c r="P42" s="6540" t="s">
        <v>330</v>
      </c>
      <c r="Q42" s="6540"/>
      <c r="R42" s="6541">
        <v>568</v>
      </c>
      <c r="S42" s="6542" t="s">
        <v>1219</v>
      </c>
      <c r="T42" s="6543" t="s">
        <v>939</v>
      </c>
      <c r="U42" s="6544">
        <v>2008</v>
      </c>
      <c r="V42" s="6540" t="s">
        <v>1209</v>
      </c>
      <c r="W42" s="6545">
        <v>152</v>
      </c>
      <c r="X42" s="6545">
        <v>5</v>
      </c>
      <c r="Y42" s="6545">
        <v>6521</v>
      </c>
      <c r="Z42" s="6545" t="s">
        <v>939</v>
      </c>
      <c r="AA42" s="6546">
        <v>0.18</v>
      </c>
      <c r="AB42" s="6547">
        <v>11.3</v>
      </c>
      <c r="AC42" s="6545">
        <v>78403</v>
      </c>
      <c r="AD42" s="6540" t="s">
        <v>944</v>
      </c>
      <c r="AE42" s="6540" t="s">
        <v>1259</v>
      </c>
      <c r="AF42" s="6540" t="s">
        <v>1261</v>
      </c>
      <c r="AG42" s="6540" t="s">
        <v>1262</v>
      </c>
      <c r="AH42" s="6540" t="s">
        <v>1266</v>
      </c>
      <c r="AI42" s="6540"/>
      <c r="AJ42" s="6540"/>
      <c r="AK42" s="6540"/>
      <c r="AL42" s="6540" t="s">
        <v>1303</v>
      </c>
      <c r="AM42" s="6540" t="s">
        <v>939</v>
      </c>
      <c r="AN42" s="6540" t="s">
        <v>1300</v>
      </c>
      <c r="AO42" s="6540" t="s">
        <v>7</v>
      </c>
      <c r="AP42" s="6540" t="s">
        <v>1308</v>
      </c>
      <c r="AQ42" s="6540" t="s">
        <v>1306</v>
      </c>
      <c r="AR42" s="6543" t="s">
        <v>939</v>
      </c>
      <c r="AS42" s="6543" t="s">
        <v>939</v>
      </c>
      <c r="AT42" s="6543" t="s">
        <v>939</v>
      </c>
      <c r="AU42" s="6543"/>
      <c r="AV42" s="6540" t="s">
        <v>1339</v>
      </c>
      <c r="AW42" s="6547">
        <v>1785</v>
      </c>
      <c r="AX42" s="5133"/>
      <c r="AY42" s="5132"/>
      <c r="AZ42" s="5132"/>
      <c r="BA42" s="5132"/>
      <c r="BB42" s="5132"/>
    </row>
    <row r="43" spans="1:54" s="6520" customFormat="1" ht="12.75" customHeight="1">
      <c r="A43" s="10989" t="str">
        <f t="shared" ref="A43:A74" si="7">+IF(M43="","",M43)</f>
        <v>8305-03</v>
      </c>
      <c r="B43" s="10995" t="str">
        <f>+IF(A43="","",VLOOKUP(MATCH(A43,tid,0),tao,'12(id)'!$J$20,FALSE))</f>
        <v>PSEG</v>
      </c>
      <c r="C43" s="10992" t="str">
        <f>+N43</f>
        <v>BHB3</v>
      </c>
      <c r="E43" s="5132"/>
      <c r="G43" s="6530">
        <v>26</v>
      </c>
      <c r="H43" s="6530">
        <v>38</v>
      </c>
      <c r="I43" s="10977">
        <v>10</v>
      </c>
      <c r="J43" s="10977">
        <f>+J42</f>
        <v>4</v>
      </c>
      <c r="K43" s="10977">
        <f>+IF(ISNA(VLOOKUP(MATCH(P43,tfn,0),tao,'12(id)'!$K$20,FALSE)),"",IF(J43="NA","",VLOOKUP(MATCH(P43,tfn,0),tao,'12(id)'!$K$20,FALSE)+J43))</f>
        <v>8305</v>
      </c>
      <c r="L43" s="10977">
        <v>3</v>
      </c>
      <c r="M43" s="10977" t="str">
        <f t="shared" si="6"/>
        <v>8305-03</v>
      </c>
      <c r="N43" s="10980" t="str">
        <f>+IF(M43="","",VLOOKUP(MATCH(M43,tid,0),tao,'12(id)'!$Q$20,FALSE))</f>
        <v>BHB3</v>
      </c>
      <c r="O43" s="6530" t="s">
        <v>1208</v>
      </c>
      <c r="P43" s="6531" t="s">
        <v>330</v>
      </c>
      <c r="Q43" s="6531"/>
      <c r="R43" s="6532">
        <v>568</v>
      </c>
      <c r="S43" s="6533" t="s">
        <v>1220</v>
      </c>
      <c r="T43" s="6534" t="s">
        <v>939</v>
      </c>
      <c r="U43" s="6535">
        <v>2010</v>
      </c>
      <c r="V43" s="6531" t="s">
        <v>1209</v>
      </c>
      <c r="W43" s="6536">
        <v>2522</v>
      </c>
      <c r="X43" s="6536">
        <v>5</v>
      </c>
      <c r="Y43" s="6536">
        <v>678834</v>
      </c>
      <c r="Z43" s="6536" t="s">
        <v>939</v>
      </c>
      <c r="AA43" s="6537">
        <v>0.14000000000000001</v>
      </c>
      <c r="AB43" s="6538">
        <v>500.5</v>
      </c>
      <c r="AC43" s="6536">
        <v>6920835</v>
      </c>
      <c r="AD43" s="6531" t="s">
        <v>944</v>
      </c>
      <c r="AE43" s="6531" t="s">
        <v>1259</v>
      </c>
      <c r="AF43" s="6531" t="s">
        <v>1261</v>
      </c>
      <c r="AG43" s="6531" t="s">
        <v>1262</v>
      </c>
      <c r="AH43" s="6531" t="s">
        <v>1268</v>
      </c>
      <c r="AI43" s="6531"/>
      <c r="AJ43" s="6531"/>
      <c r="AK43" s="6531"/>
      <c r="AL43" s="6531" t="s">
        <v>1303</v>
      </c>
      <c r="AM43" s="6531" t="s">
        <v>1310</v>
      </c>
      <c r="AN43" s="6531" t="s">
        <v>1300</v>
      </c>
      <c r="AO43" s="6531" t="s">
        <v>1311</v>
      </c>
      <c r="AP43" s="6531" t="s">
        <v>1302</v>
      </c>
      <c r="AQ43" s="6531" t="s">
        <v>1312</v>
      </c>
      <c r="AR43" s="6534" t="s">
        <v>939</v>
      </c>
      <c r="AS43" s="6531" t="s">
        <v>1340</v>
      </c>
      <c r="AT43" s="6531" t="s">
        <v>939</v>
      </c>
      <c r="AU43" s="6531"/>
      <c r="AV43" s="6531" t="s">
        <v>1339</v>
      </c>
      <c r="AW43" s="6538">
        <v>4100</v>
      </c>
      <c r="AX43" s="5133"/>
      <c r="AY43" s="5132"/>
      <c r="AZ43" s="5132"/>
      <c r="BA43" s="5132"/>
      <c r="BB43" s="5132"/>
    </row>
    <row r="44" spans="1:54" s="6520" customFormat="1" ht="12.75" customHeight="1">
      <c r="A44" s="10990" t="str">
        <f t="shared" si="7"/>
        <v>8305-03</v>
      </c>
      <c r="B44" s="10996"/>
      <c r="C44" s="10993"/>
      <c r="E44" s="5132"/>
      <c r="G44" s="6530">
        <v>27</v>
      </c>
      <c r="H44" s="6530">
        <v>35</v>
      </c>
      <c r="I44" s="10978"/>
      <c r="J44" s="10978">
        <f>+J43</f>
        <v>4</v>
      </c>
      <c r="K44" s="10978">
        <f>+IF(ISNA(VLOOKUP(MATCH(P44,tfn,0),tao,'12(id)'!$K$20,FALSE)),"",IF(J44="NA","",VLOOKUP(MATCH(P44,tfn,0),tao,'12(id)'!$K$20,FALSE)+J44))</f>
        <v>8305</v>
      </c>
      <c r="L44" s="10978">
        <f>+L43</f>
        <v>3</v>
      </c>
      <c r="M44" s="10978" t="str">
        <f t="shared" si="6"/>
        <v>8305-03</v>
      </c>
      <c r="N44" s="10981" t="str">
        <f>+IF(M44="","",VLOOKUP(MATCH(M44,tid,0),tao,'12(id)'!$Q$20,FALSE))</f>
        <v>BHB3</v>
      </c>
      <c r="O44" s="6530" t="s">
        <v>1208</v>
      </c>
      <c r="P44" s="6531" t="s">
        <v>330</v>
      </c>
      <c r="Q44" s="6531"/>
      <c r="R44" s="6532">
        <v>568</v>
      </c>
      <c r="S44" s="6533" t="s">
        <v>1220</v>
      </c>
      <c r="T44" s="6534" t="s">
        <v>939</v>
      </c>
      <c r="U44" s="6535">
        <v>2009</v>
      </c>
      <c r="V44" s="6531" t="s">
        <v>1209</v>
      </c>
      <c r="W44" s="6536">
        <v>556</v>
      </c>
      <c r="X44" s="6536">
        <v>5</v>
      </c>
      <c r="Y44" s="6536">
        <v>129134</v>
      </c>
      <c r="Z44" s="6536" t="s">
        <v>939</v>
      </c>
      <c r="AA44" s="6537">
        <v>0.15</v>
      </c>
      <c r="AB44" s="6538">
        <v>109.5</v>
      </c>
      <c r="AC44" s="6536">
        <v>1410547</v>
      </c>
      <c r="AD44" s="6531" t="s">
        <v>944</v>
      </c>
      <c r="AE44" s="6531" t="s">
        <v>1259</v>
      </c>
      <c r="AF44" s="6531" t="s">
        <v>1261</v>
      </c>
      <c r="AG44" s="6531" t="s">
        <v>1262</v>
      </c>
      <c r="AH44" s="6531" t="s">
        <v>1267</v>
      </c>
      <c r="AI44" s="6531"/>
      <c r="AJ44" s="6531"/>
      <c r="AK44" s="6531"/>
      <c r="AL44" s="6531" t="s">
        <v>1303</v>
      </c>
      <c r="AM44" s="6531" t="s">
        <v>1310</v>
      </c>
      <c r="AN44" s="6531" t="s">
        <v>1300</v>
      </c>
      <c r="AO44" s="6531" t="s">
        <v>1311</v>
      </c>
      <c r="AP44" s="6531" t="s">
        <v>1302</v>
      </c>
      <c r="AQ44" s="6531" t="s">
        <v>1312</v>
      </c>
      <c r="AR44" s="6534" t="s">
        <v>939</v>
      </c>
      <c r="AS44" s="6531" t="s">
        <v>1340</v>
      </c>
      <c r="AT44" s="6531" t="s">
        <v>939</v>
      </c>
      <c r="AU44" s="6531"/>
      <c r="AV44" s="6531" t="s">
        <v>1339</v>
      </c>
      <c r="AW44" s="6538">
        <v>4100</v>
      </c>
      <c r="AX44" s="5133"/>
      <c r="AY44" s="5132"/>
      <c r="AZ44" s="5132"/>
      <c r="BA44" s="5132"/>
      <c r="BB44" s="5132"/>
    </row>
    <row r="45" spans="1:54" s="6520" customFormat="1" ht="12.75" customHeight="1">
      <c r="A45" s="10991" t="str">
        <f t="shared" si="7"/>
        <v>8305-03</v>
      </c>
      <c r="B45" s="10997"/>
      <c r="C45" s="10994"/>
      <c r="E45" s="5132"/>
      <c r="G45" s="6539">
        <v>28</v>
      </c>
      <c r="H45" s="6539">
        <v>33</v>
      </c>
      <c r="I45" s="10979"/>
      <c r="J45" s="10979">
        <f>+J44</f>
        <v>4</v>
      </c>
      <c r="K45" s="10979">
        <f>+IF(ISNA(VLOOKUP(MATCH(P45,tfn,0),tao,'12(id)'!$K$20,FALSE)),"",IF(J45="NA","",VLOOKUP(MATCH(P45,tfn,0),tao,'12(id)'!$K$20,FALSE)+J45))</f>
        <v>8305</v>
      </c>
      <c r="L45" s="10979">
        <f>+L44</f>
        <v>3</v>
      </c>
      <c r="M45" s="10979" t="str">
        <f t="shared" si="6"/>
        <v>8305-03</v>
      </c>
      <c r="N45" s="10982" t="str">
        <f>+IF(M45="","",VLOOKUP(MATCH(M45,tid,0),tao,'12(id)'!$Q$20,FALSE))</f>
        <v>BHB3</v>
      </c>
      <c r="O45" s="6539" t="s">
        <v>1208</v>
      </c>
      <c r="P45" s="6540" t="s">
        <v>330</v>
      </c>
      <c r="Q45" s="6540"/>
      <c r="R45" s="6541">
        <v>568</v>
      </c>
      <c r="S45" s="6542" t="s">
        <v>1220</v>
      </c>
      <c r="T45" s="6543" t="s">
        <v>939</v>
      </c>
      <c r="U45" s="6544">
        <v>2008</v>
      </c>
      <c r="V45" s="6540" t="s">
        <v>1209</v>
      </c>
      <c r="W45" s="6545">
        <v>3474</v>
      </c>
      <c r="X45" s="6545">
        <v>5</v>
      </c>
      <c r="Y45" s="6545">
        <v>1293218</v>
      </c>
      <c r="Z45" s="6545" t="s">
        <v>939</v>
      </c>
      <c r="AA45" s="6546">
        <v>0.14000000000000001</v>
      </c>
      <c r="AB45" s="6547">
        <v>916.7</v>
      </c>
      <c r="AC45" s="6545">
        <v>13163750</v>
      </c>
      <c r="AD45" s="6540" t="s">
        <v>944</v>
      </c>
      <c r="AE45" s="6540" t="s">
        <v>1259</v>
      </c>
      <c r="AF45" s="6540" t="s">
        <v>1261</v>
      </c>
      <c r="AG45" s="6540" t="s">
        <v>1262</v>
      </c>
      <c r="AH45" s="6540" t="s">
        <v>1266</v>
      </c>
      <c r="AI45" s="6540"/>
      <c r="AJ45" s="6540"/>
      <c r="AK45" s="6540"/>
      <c r="AL45" s="6540" t="s">
        <v>1303</v>
      </c>
      <c r="AM45" s="6540" t="s">
        <v>1310</v>
      </c>
      <c r="AN45" s="6540" t="s">
        <v>1300</v>
      </c>
      <c r="AO45" s="6540" t="s">
        <v>1311</v>
      </c>
      <c r="AP45" s="6540" t="s">
        <v>1302</v>
      </c>
      <c r="AQ45" s="6540" t="s">
        <v>1312</v>
      </c>
      <c r="AR45" s="6543" t="s">
        <v>939</v>
      </c>
      <c r="AS45" s="6540" t="s">
        <v>1340</v>
      </c>
      <c r="AT45" s="6540" t="s">
        <v>939</v>
      </c>
      <c r="AU45" s="6540"/>
      <c r="AV45" s="6540" t="s">
        <v>1339</v>
      </c>
      <c r="AW45" s="6547">
        <v>4100</v>
      </c>
      <c r="AX45" s="5133"/>
      <c r="AY45" s="5132"/>
      <c r="AZ45" s="5132"/>
      <c r="BA45" s="5132"/>
      <c r="BB45" s="5132"/>
    </row>
    <row r="46" spans="1:54" s="6520" customFormat="1" ht="12.75" customHeight="1">
      <c r="A46" s="10989" t="str">
        <f t="shared" si="7"/>
        <v>8301-01</v>
      </c>
      <c r="B46" s="10995" t="str">
        <f>+IF(A46="","",VLOOKUP(MATCH(A46,tid,0),tao,'12(id)'!$J$20,FALSE))</f>
        <v>PSEG</v>
      </c>
      <c r="C46" s="10992" t="str">
        <f>+N46</f>
        <v>BHB4 </v>
      </c>
      <c r="E46" s="5132"/>
      <c r="G46" s="6530">
        <v>29</v>
      </c>
      <c r="H46" s="6530">
        <v>44</v>
      </c>
      <c r="I46" s="10977">
        <v>11</v>
      </c>
      <c r="J46" s="10977"/>
      <c r="K46" s="10977">
        <f>+IF(ISNA(VLOOKUP(MATCH(P46,tfn,0),tao,'12(id)'!$K$20,FALSE)),"",IF(J46="NA","",VLOOKUP(MATCH(P46,tfn,0),tao,'12(id)'!$K$20,FALSE)+J46))</f>
        <v>8301</v>
      </c>
      <c r="L46" s="10977">
        <v>1</v>
      </c>
      <c r="M46" s="10977" t="str">
        <f t="shared" si="6"/>
        <v>8301-01</v>
      </c>
      <c r="N46" s="10980" t="str">
        <f>+IF(M46="","",VLOOKUP(MATCH(M46,tid,0),tao,'12(id)'!$Q$20,FALSE))</f>
        <v>BHB4 </v>
      </c>
      <c r="O46" s="6530" t="s">
        <v>1208</v>
      </c>
      <c r="P46" s="6531" t="s">
        <v>330</v>
      </c>
      <c r="Q46" s="6531"/>
      <c r="R46" s="6532">
        <v>568</v>
      </c>
      <c r="S46" s="6533" t="s">
        <v>1221</v>
      </c>
      <c r="T46" s="6534" t="s">
        <v>939</v>
      </c>
      <c r="U46" s="6535">
        <v>2010</v>
      </c>
      <c r="V46" s="6531" t="s">
        <v>1209</v>
      </c>
      <c r="W46" s="6536">
        <v>11</v>
      </c>
      <c r="X46" s="6536">
        <v>5</v>
      </c>
      <c r="Y46" s="6536">
        <v>114</v>
      </c>
      <c r="Z46" s="6536" t="s">
        <v>939</v>
      </c>
      <c r="AA46" s="6537">
        <v>0.71</v>
      </c>
      <c r="AB46" s="6538">
        <v>0.7</v>
      </c>
      <c r="AC46" s="6536">
        <v>2026</v>
      </c>
      <c r="AD46" s="6531" t="s">
        <v>944</v>
      </c>
      <c r="AE46" s="6531" t="s">
        <v>1259</v>
      </c>
      <c r="AF46" s="6531" t="s">
        <v>1261</v>
      </c>
      <c r="AG46" s="6531" t="s">
        <v>1262</v>
      </c>
      <c r="AH46" s="6531" t="s">
        <v>1268</v>
      </c>
      <c r="AI46" s="6531"/>
      <c r="AJ46" s="6531"/>
      <c r="AK46" s="6531"/>
      <c r="AL46" s="6534" t="s">
        <v>939</v>
      </c>
      <c r="AM46" s="6534" t="s">
        <v>939</v>
      </c>
      <c r="AN46" s="6534" t="s">
        <v>1300</v>
      </c>
      <c r="AO46" s="6534" t="s">
        <v>1304</v>
      </c>
      <c r="AP46" s="6534" t="s">
        <v>1309</v>
      </c>
      <c r="AQ46" s="6534" t="s">
        <v>939</v>
      </c>
      <c r="AR46" s="6534" t="s">
        <v>939</v>
      </c>
      <c r="AS46" s="6534" t="s">
        <v>939</v>
      </c>
      <c r="AT46" s="6534" t="s">
        <v>939</v>
      </c>
      <c r="AU46" s="6534"/>
      <c r="AV46" s="6534" t="s">
        <v>939</v>
      </c>
      <c r="AW46" s="6538">
        <v>287</v>
      </c>
      <c r="AX46" s="5133"/>
      <c r="AY46" s="5132"/>
      <c r="AZ46" s="5132"/>
      <c r="BA46" s="5132"/>
      <c r="BB46" s="5132"/>
    </row>
    <row r="47" spans="1:54" s="6520" customFormat="1" ht="12.75" customHeight="1">
      <c r="A47" s="10990" t="str">
        <f t="shared" si="7"/>
        <v>8301-01</v>
      </c>
      <c r="B47" s="10996"/>
      <c r="C47" s="10993"/>
      <c r="E47" s="5132"/>
      <c r="G47" s="6530">
        <v>30</v>
      </c>
      <c r="H47" s="6530">
        <v>41</v>
      </c>
      <c r="I47" s="10978"/>
      <c r="J47" s="10978"/>
      <c r="K47" s="10978">
        <f>+IF(ISNA(VLOOKUP(MATCH(P47,tfn,0),tao,'12(id)'!$K$20,FALSE)),"",IF(J47="NA","",VLOOKUP(MATCH(P47,tfn,0),tao,'12(id)'!$K$20,FALSE)+J47))</f>
        <v>8301</v>
      </c>
      <c r="L47" s="10978">
        <f>+L46</f>
        <v>1</v>
      </c>
      <c r="M47" s="10978" t="str">
        <f t="shared" si="6"/>
        <v>8301-01</v>
      </c>
      <c r="N47" s="10981" t="str">
        <f>+IF(M47="","",VLOOKUP(MATCH(M47,tid,0),tao,'12(id)'!$Q$20,FALSE))</f>
        <v>BHB4 </v>
      </c>
      <c r="O47" s="6530" t="s">
        <v>1208</v>
      </c>
      <c r="P47" s="6531" t="s">
        <v>330</v>
      </c>
      <c r="Q47" s="6531"/>
      <c r="R47" s="6532">
        <v>568</v>
      </c>
      <c r="S47" s="6533" t="s">
        <v>1221</v>
      </c>
      <c r="T47" s="6534" t="s">
        <v>939</v>
      </c>
      <c r="U47" s="6535">
        <v>2009</v>
      </c>
      <c r="V47" s="6531" t="s">
        <v>1209</v>
      </c>
      <c r="W47" s="6536">
        <v>8</v>
      </c>
      <c r="X47" s="6536">
        <v>5</v>
      </c>
      <c r="Y47" s="6536">
        <v>119</v>
      </c>
      <c r="Z47" s="6536" t="s">
        <v>939</v>
      </c>
      <c r="AA47" s="6537">
        <v>0.67</v>
      </c>
      <c r="AB47" s="6538">
        <v>0.7</v>
      </c>
      <c r="AC47" s="6536">
        <v>1962</v>
      </c>
      <c r="AD47" s="6531" t="s">
        <v>944</v>
      </c>
      <c r="AE47" s="6531" t="s">
        <v>1259</v>
      </c>
      <c r="AF47" s="6531" t="s">
        <v>1261</v>
      </c>
      <c r="AG47" s="6531" t="s">
        <v>1262</v>
      </c>
      <c r="AH47" s="6531" t="s">
        <v>1267</v>
      </c>
      <c r="AI47" s="6531"/>
      <c r="AJ47" s="6531"/>
      <c r="AK47" s="6531"/>
      <c r="AL47" s="6534" t="s">
        <v>939</v>
      </c>
      <c r="AM47" s="6534" t="s">
        <v>939</v>
      </c>
      <c r="AN47" s="6534" t="s">
        <v>1300</v>
      </c>
      <c r="AO47" s="6534" t="s">
        <v>1304</v>
      </c>
      <c r="AP47" s="6534" t="s">
        <v>1309</v>
      </c>
      <c r="AQ47" s="6534" t="s">
        <v>939</v>
      </c>
      <c r="AR47" s="6534" t="s">
        <v>939</v>
      </c>
      <c r="AS47" s="6534" t="s">
        <v>939</v>
      </c>
      <c r="AT47" s="6534" t="s">
        <v>939</v>
      </c>
      <c r="AU47" s="6534"/>
      <c r="AV47" s="6534" t="s">
        <v>939</v>
      </c>
      <c r="AW47" s="6538">
        <v>287</v>
      </c>
      <c r="AX47" s="5133"/>
      <c r="AY47" s="5132"/>
      <c r="AZ47" s="5132"/>
      <c r="BA47" s="5132"/>
      <c r="BB47" s="5132"/>
    </row>
    <row r="48" spans="1:54" s="6520" customFormat="1" ht="12.75" customHeight="1">
      <c r="A48" s="10991" t="str">
        <f t="shared" si="7"/>
        <v>8301-01</v>
      </c>
      <c r="B48" s="10997"/>
      <c r="C48" s="10994"/>
      <c r="E48" s="5132"/>
      <c r="G48" s="6539">
        <v>31</v>
      </c>
      <c r="H48" s="6539">
        <v>39</v>
      </c>
      <c r="I48" s="10979"/>
      <c r="J48" s="10979"/>
      <c r="K48" s="10979">
        <f>+IF(ISNA(VLOOKUP(MATCH(P48,tfn,0),tao,'12(id)'!$K$20,FALSE)),"",IF(J48="NA","",VLOOKUP(MATCH(P48,tfn,0),tao,'12(id)'!$K$20,FALSE)+J48))</f>
        <v>8301</v>
      </c>
      <c r="L48" s="10979">
        <f>+L47</f>
        <v>1</v>
      </c>
      <c r="M48" s="10979" t="str">
        <f t="shared" si="6"/>
        <v>8301-01</v>
      </c>
      <c r="N48" s="10982" t="str">
        <f>+IF(M48="","",VLOOKUP(MATCH(M48,tid,0),tao,'12(id)'!$Q$20,FALSE))</f>
        <v>BHB4 </v>
      </c>
      <c r="O48" s="6539" t="s">
        <v>1208</v>
      </c>
      <c r="P48" s="6540" t="s">
        <v>330</v>
      </c>
      <c r="Q48" s="6540"/>
      <c r="R48" s="6541">
        <v>568</v>
      </c>
      <c r="S48" s="6542" t="s">
        <v>1221</v>
      </c>
      <c r="T48" s="6543" t="s">
        <v>939</v>
      </c>
      <c r="U48" s="6544">
        <v>2008</v>
      </c>
      <c r="V48" s="6540" t="s">
        <v>1209</v>
      </c>
      <c r="W48" s="6545">
        <v>24</v>
      </c>
      <c r="X48" s="6545">
        <v>5</v>
      </c>
      <c r="Y48" s="6545">
        <v>105</v>
      </c>
      <c r="Z48" s="6545" t="s">
        <v>939</v>
      </c>
      <c r="AA48" s="6546">
        <v>0.67</v>
      </c>
      <c r="AB48" s="6547">
        <v>0.8</v>
      </c>
      <c r="AC48" s="6545">
        <v>2366</v>
      </c>
      <c r="AD48" s="6540" t="s">
        <v>944</v>
      </c>
      <c r="AE48" s="6540" t="s">
        <v>1259</v>
      </c>
      <c r="AF48" s="6540" t="s">
        <v>1261</v>
      </c>
      <c r="AG48" s="6540" t="s">
        <v>1262</v>
      </c>
      <c r="AH48" s="6540" t="s">
        <v>1266</v>
      </c>
      <c r="AI48" s="6540"/>
      <c r="AJ48" s="6540"/>
      <c r="AK48" s="6540"/>
      <c r="AL48" s="6543" t="s">
        <v>939</v>
      </c>
      <c r="AM48" s="6543" t="s">
        <v>939</v>
      </c>
      <c r="AN48" s="6543" t="s">
        <v>1300</v>
      </c>
      <c r="AO48" s="6543" t="s">
        <v>1304</v>
      </c>
      <c r="AP48" s="6543" t="s">
        <v>1309</v>
      </c>
      <c r="AQ48" s="6543" t="s">
        <v>939</v>
      </c>
      <c r="AR48" s="6543" t="s">
        <v>939</v>
      </c>
      <c r="AS48" s="6543" t="s">
        <v>939</v>
      </c>
      <c r="AT48" s="6543" t="s">
        <v>939</v>
      </c>
      <c r="AU48" s="6543"/>
      <c r="AV48" s="6543" t="s">
        <v>939</v>
      </c>
      <c r="AW48" s="6547">
        <v>287</v>
      </c>
      <c r="AX48" s="5133"/>
      <c r="AY48" s="5132"/>
      <c r="AZ48" s="5132"/>
      <c r="BA48" s="5132"/>
      <c r="BB48" s="5132"/>
    </row>
    <row r="49" spans="1:54" s="6520" customFormat="1" ht="12.75" customHeight="1">
      <c r="A49" s="10989" t="str">
        <f t="shared" si="7"/>
        <v>8298-01</v>
      </c>
      <c r="B49" s="10995" t="str">
        <f>+IF(A49="","",VLOOKUP(MATCH(A49,tid,0),tao,'12(id)'!$J$20,FALSE))</f>
        <v>CDECCA</v>
      </c>
      <c r="C49" s="10992" t="str">
        <f>+N49</f>
        <v>GT </v>
      </c>
      <c r="E49" s="5132"/>
      <c r="G49" s="6530">
        <v>32</v>
      </c>
      <c r="H49" s="6530">
        <v>51</v>
      </c>
      <c r="I49" s="10977">
        <v>12</v>
      </c>
      <c r="J49" s="10977"/>
      <c r="K49" s="10977">
        <f>+IF(ISNA(VLOOKUP(MATCH(P49,tfn,0),tao,'12(id)'!$K$20,FALSE)),"",IF(J49="NA","",VLOOKUP(MATCH(P49,tfn,0),tao,'12(id)'!$K$20,FALSE)+J49))</f>
        <v>8298</v>
      </c>
      <c r="L49" s="10977">
        <v>1</v>
      </c>
      <c r="M49" s="10977" t="str">
        <f t="shared" si="6"/>
        <v>8298-01</v>
      </c>
      <c r="N49" s="10980" t="str">
        <f>+IF(M49="","",VLOOKUP(MATCH(M49,tid,0),tao,'12(id)'!$Q$20,FALSE))</f>
        <v>GT </v>
      </c>
      <c r="O49" s="6530" t="s">
        <v>1208</v>
      </c>
      <c r="P49" s="6531" t="s">
        <v>342</v>
      </c>
      <c r="Q49" s="6531"/>
      <c r="R49" s="6532">
        <v>50498</v>
      </c>
      <c r="S49" s="6533" t="s">
        <v>1222</v>
      </c>
      <c r="T49" s="6534" t="s">
        <v>939</v>
      </c>
      <c r="U49" s="6535">
        <v>2010</v>
      </c>
      <c r="V49" s="6531" t="s">
        <v>1209</v>
      </c>
      <c r="W49" s="6536">
        <v>229</v>
      </c>
      <c r="X49" s="6536">
        <v>5</v>
      </c>
      <c r="Y49" s="6536">
        <v>8884</v>
      </c>
      <c r="Z49" s="6536" t="s">
        <v>939</v>
      </c>
      <c r="AA49" s="6537">
        <v>0.12</v>
      </c>
      <c r="AB49" s="6538">
        <v>4.2</v>
      </c>
      <c r="AC49" s="6536">
        <v>79936</v>
      </c>
      <c r="AD49" s="6531" t="s">
        <v>944</v>
      </c>
      <c r="AE49" s="6531" t="s">
        <v>1255</v>
      </c>
      <c r="AF49" s="6531" t="s">
        <v>1256</v>
      </c>
      <c r="AG49" s="6531" t="s">
        <v>1257</v>
      </c>
      <c r="AH49" s="6531" t="s">
        <v>1348</v>
      </c>
      <c r="AI49" s="6531"/>
      <c r="AJ49" s="6531"/>
      <c r="AK49" s="6531"/>
      <c r="AL49" s="6531" t="s">
        <v>1303</v>
      </c>
      <c r="AM49" s="6531" t="s">
        <v>939</v>
      </c>
      <c r="AN49" s="6531" t="s">
        <v>1300</v>
      </c>
      <c r="AO49" s="6531" t="s">
        <v>1307</v>
      </c>
      <c r="AP49" s="6531" t="s">
        <v>1305</v>
      </c>
      <c r="AQ49" s="6531" t="s">
        <v>1306</v>
      </c>
      <c r="AR49" s="6534" t="s">
        <v>939</v>
      </c>
      <c r="AS49" s="6534" t="s">
        <v>939</v>
      </c>
      <c r="AT49" s="6534" t="s">
        <v>939</v>
      </c>
      <c r="AU49" s="6534"/>
      <c r="AV49" s="6534" t="s">
        <v>939</v>
      </c>
      <c r="AW49" s="6538">
        <v>739</v>
      </c>
      <c r="AX49" s="5133"/>
      <c r="AY49" s="5132"/>
      <c r="AZ49" s="5132"/>
      <c r="BA49" s="5132"/>
      <c r="BB49" s="5132"/>
    </row>
    <row r="50" spans="1:54" s="6520" customFormat="1" ht="12.75" customHeight="1">
      <c r="A50" s="10990" t="str">
        <f t="shared" si="7"/>
        <v>8298-01</v>
      </c>
      <c r="B50" s="10996"/>
      <c r="C50" s="10993"/>
      <c r="E50" s="5132"/>
      <c r="G50" s="6530">
        <v>33</v>
      </c>
      <c r="H50" s="6530">
        <v>49</v>
      </c>
      <c r="I50" s="10978"/>
      <c r="J50" s="10978"/>
      <c r="K50" s="10978">
        <f>+IF(ISNA(VLOOKUP(MATCH(P50,tfn,0),tao,'12(id)'!$K$20,FALSE)),"",IF(J50="NA","",VLOOKUP(MATCH(P50,tfn,0),tao,'12(id)'!$K$20,FALSE)+J50))</f>
        <v>8298</v>
      </c>
      <c r="L50" s="10978">
        <f>+L49</f>
        <v>1</v>
      </c>
      <c r="M50" s="10978" t="str">
        <f t="shared" si="6"/>
        <v>8298-01</v>
      </c>
      <c r="N50" s="10981" t="str">
        <f>+IF(M50="","",VLOOKUP(MATCH(M50,tid,0),tao,'12(id)'!$Q$20,FALSE))</f>
        <v>GT </v>
      </c>
      <c r="O50" s="6530" t="s">
        <v>1208</v>
      </c>
      <c r="P50" s="6531" t="s">
        <v>342</v>
      </c>
      <c r="Q50" s="6531"/>
      <c r="R50" s="6532">
        <v>50498</v>
      </c>
      <c r="S50" s="6533" t="s">
        <v>1222</v>
      </c>
      <c r="T50" s="6534" t="s">
        <v>939</v>
      </c>
      <c r="U50" s="6535">
        <v>2009</v>
      </c>
      <c r="V50" s="6531" t="s">
        <v>1209</v>
      </c>
      <c r="W50" s="6536">
        <v>152</v>
      </c>
      <c r="X50" s="6536">
        <v>5</v>
      </c>
      <c r="Y50" s="6536">
        <v>5669</v>
      </c>
      <c r="Z50" s="6536" t="s">
        <v>939</v>
      </c>
      <c r="AA50" s="6537">
        <v>0.12</v>
      </c>
      <c r="AB50" s="6538">
        <v>2.7</v>
      </c>
      <c r="AC50" s="6536">
        <v>49960</v>
      </c>
      <c r="AD50" s="6531" t="s">
        <v>944</v>
      </c>
      <c r="AE50" s="6531" t="s">
        <v>1255</v>
      </c>
      <c r="AF50" s="6531" t="s">
        <v>1256</v>
      </c>
      <c r="AG50" s="6531" t="s">
        <v>1257</v>
      </c>
      <c r="AH50" s="6531" t="s">
        <v>1349</v>
      </c>
      <c r="AI50" s="6531"/>
      <c r="AJ50" s="6531"/>
      <c r="AK50" s="6531"/>
      <c r="AL50" s="6531" t="s">
        <v>1303</v>
      </c>
      <c r="AM50" s="6531" t="s">
        <v>939</v>
      </c>
      <c r="AN50" s="6531" t="s">
        <v>1300</v>
      </c>
      <c r="AO50" s="6531" t="s">
        <v>1307</v>
      </c>
      <c r="AP50" s="6531" t="s">
        <v>1305</v>
      </c>
      <c r="AQ50" s="6531" t="s">
        <v>1306</v>
      </c>
      <c r="AR50" s="6534" t="s">
        <v>939</v>
      </c>
      <c r="AS50" s="6534" t="s">
        <v>939</v>
      </c>
      <c r="AT50" s="6534" t="s">
        <v>939</v>
      </c>
      <c r="AU50" s="6534"/>
      <c r="AV50" s="6534" t="s">
        <v>939</v>
      </c>
      <c r="AW50" s="6538">
        <v>739</v>
      </c>
      <c r="AX50" s="5133"/>
      <c r="AY50" s="5132"/>
      <c r="AZ50" s="5132"/>
      <c r="BA50" s="5132"/>
      <c r="BB50" s="5132"/>
    </row>
    <row r="51" spans="1:54" s="6520" customFormat="1" ht="12.75" customHeight="1">
      <c r="A51" s="10991" t="str">
        <f t="shared" si="7"/>
        <v>8298-01</v>
      </c>
      <c r="B51" s="10997"/>
      <c r="C51" s="10994"/>
      <c r="E51" s="5132"/>
      <c r="G51" s="6539">
        <v>34</v>
      </c>
      <c r="H51" s="6539">
        <v>45</v>
      </c>
      <c r="I51" s="10979"/>
      <c r="J51" s="10979"/>
      <c r="K51" s="10979">
        <f>+IF(ISNA(VLOOKUP(MATCH(P51,tfn,0),tao,'12(id)'!$K$20,FALSE)),"",IF(J51="NA","",VLOOKUP(MATCH(P51,tfn,0),tao,'12(id)'!$K$20,FALSE)+J51))</f>
        <v>8298</v>
      </c>
      <c r="L51" s="10979">
        <f>+L50</f>
        <v>1</v>
      </c>
      <c r="M51" s="10979" t="str">
        <f t="shared" si="6"/>
        <v>8298-01</v>
      </c>
      <c r="N51" s="10982" t="str">
        <f>+IF(M51="","",VLOOKUP(MATCH(M51,tid,0),tao,'12(id)'!$Q$20,FALSE))</f>
        <v>GT </v>
      </c>
      <c r="O51" s="6539" t="s">
        <v>1208</v>
      </c>
      <c r="P51" s="6540" t="s">
        <v>342</v>
      </c>
      <c r="Q51" s="6540"/>
      <c r="R51" s="6541">
        <v>50498</v>
      </c>
      <c r="S51" s="6542" t="s">
        <v>1222</v>
      </c>
      <c r="T51" s="6543" t="s">
        <v>939</v>
      </c>
      <c r="U51" s="6544">
        <v>2008</v>
      </c>
      <c r="V51" s="6540" t="s">
        <v>1209</v>
      </c>
      <c r="W51" s="6545">
        <v>324</v>
      </c>
      <c r="X51" s="6545">
        <v>5</v>
      </c>
      <c r="Y51" s="6545">
        <v>14379</v>
      </c>
      <c r="Z51" s="6545" t="s">
        <v>939</v>
      </c>
      <c r="AA51" s="6546">
        <v>0.12</v>
      </c>
      <c r="AB51" s="6547">
        <v>7.2</v>
      </c>
      <c r="AC51" s="6545">
        <v>128717</v>
      </c>
      <c r="AD51" s="6540" t="s">
        <v>944</v>
      </c>
      <c r="AE51" s="6540" t="s">
        <v>1255</v>
      </c>
      <c r="AF51" s="6540" t="s">
        <v>1256</v>
      </c>
      <c r="AG51" s="6540" t="s">
        <v>1257</v>
      </c>
      <c r="AH51" s="6540" t="s">
        <v>1348</v>
      </c>
      <c r="AI51" s="6540"/>
      <c r="AJ51" s="6540"/>
      <c r="AK51" s="6540"/>
      <c r="AL51" s="6540" t="s">
        <v>1303</v>
      </c>
      <c r="AM51" s="6540" t="s">
        <v>939</v>
      </c>
      <c r="AN51" s="6540" t="s">
        <v>1300</v>
      </c>
      <c r="AO51" s="6540" t="s">
        <v>1307</v>
      </c>
      <c r="AP51" s="6540" t="s">
        <v>1305</v>
      </c>
      <c r="AQ51" s="6540" t="s">
        <v>1306</v>
      </c>
      <c r="AR51" s="6543" t="s">
        <v>939</v>
      </c>
      <c r="AS51" s="6543" t="s">
        <v>939</v>
      </c>
      <c r="AT51" s="6543" t="s">
        <v>939</v>
      </c>
      <c r="AU51" s="6543"/>
      <c r="AV51" s="6543" t="s">
        <v>939</v>
      </c>
      <c r="AW51" s="6547">
        <v>739</v>
      </c>
      <c r="AX51" s="5133"/>
      <c r="AY51" s="5132"/>
      <c r="AZ51" s="5132"/>
      <c r="BA51" s="5132"/>
      <c r="BB51" s="5132"/>
    </row>
    <row r="52" spans="1:54" s="6520" customFormat="1" ht="12.75" customHeight="1">
      <c r="A52" s="10989" t="str">
        <f t="shared" si="7"/>
        <v>8300-02</v>
      </c>
      <c r="B52" s="10995" t="str">
        <f>+IF(A52="","",VLOOKUP(MATCH(A52,tid,0),tao,'12(id)'!$J$20,FALSE))</f>
        <v>NRG</v>
      </c>
      <c r="C52" s="10992" t="str">
        <f>+N52</f>
        <v>CC10</v>
      </c>
      <c r="E52" s="5132"/>
      <c r="G52" s="6530">
        <v>35</v>
      </c>
      <c r="H52" s="6530">
        <v>55</v>
      </c>
      <c r="I52" s="10977">
        <v>13</v>
      </c>
      <c r="J52" s="10977"/>
      <c r="K52" s="10977">
        <f>+IF(ISNA(VLOOKUP(MATCH(P52,tfn,0),tao,'12(id)'!$K$20,FALSE)),"",IF(J52="NA","",VLOOKUP(MATCH(P52,tfn,0),tao,'12(id)'!$K$20,FALSE)+J52))</f>
        <v>8300</v>
      </c>
      <c r="L52" s="10977">
        <v>2</v>
      </c>
      <c r="M52" s="10977" t="str">
        <f t="shared" si="6"/>
        <v>8300-02</v>
      </c>
      <c r="N52" s="10980" t="str">
        <f>+IF(M52="","",VLOOKUP(MATCH(M52,tid,0),tao,'12(id)'!$Q$20,FALSE))</f>
        <v>CC10</v>
      </c>
      <c r="O52" s="6530" t="s">
        <v>1208</v>
      </c>
      <c r="P52" s="6531" t="s">
        <v>344</v>
      </c>
      <c r="Q52" s="6531"/>
      <c r="R52" s="6532">
        <v>542</v>
      </c>
      <c r="S52" s="6533" t="s">
        <v>1215</v>
      </c>
      <c r="T52" s="6534" t="s">
        <v>939</v>
      </c>
      <c r="U52" s="6535">
        <v>2010</v>
      </c>
      <c r="V52" s="6531" t="s">
        <v>1209</v>
      </c>
      <c r="W52" s="6536">
        <v>44</v>
      </c>
      <c r="X52" s="6536">
        <v>5</v>
      </c>
      <c r="Y52" s="6536">
        <v>677</v>
      </c>
      <c r="Z52" s="6536" t="s">
        <v>939</v>
      </c>
      <c r="AA52" s="6537">
        <v>1.2</v>
      </c>
      <c r="AB52" s="6538">
        <v>6.6</v>
      </c>
      <c r="AC52" s="6536">
        <v>11038</v>
      </c>
      <c r="AD52" s="6531" t="s">
        <v>944</v>
      </c>
      <c r="AE52" s="6531" t="s">
        <v>1259</v>
      </c>
      <c r="AF52" s="6531" t="s">
        <v>1261</v>
      </c>
      <c r="AG52" s="6531" t="s">
        <v>1262</v>
      </c>
      <c r="AH52" s="6531" t="s">
        <v>1264</v>
      </c>
      <c r="AI52" s="6531"/>
      <c r="AJ52" s="6531"/>
      <c r="AK52" s="6531"/>
      <c r="AL52" s="6534" t="s">
        <v>939</v>
      </c>
      <c r="AM52" s="6534" t="s">
        <v>939</v>
      </c>
      <c r="AN52" s="6534" t="s">
        <v>1300</v>
      </c>
      <c r="AO52" s="6534" t="s">
        <v>1304</v>
      </c>
      <c r="AP52" s="6534" t="s">
        <v>1309</v>
      </c>
      <c r="AQ52" s="6534" t="s">
        <v>939</v>
      </c>
      <c r="AR52" s="6534" t="s">
        <v>939</v>
      </c>
      <c r="AS52" s="6531" t="s">
        <v>1022</v>
      </c>
      <c r="AT52" s="6531" t="s">
        <v>939</v>
      </c>
      <c r="AU52" s="6531"/>
      <c r="AV52" s="6534" t="s">
        <v>939</v>
      </c>
      <c r="AW52" s="6538">
        <v>250</v>
      </c>
      <c r="AX52" s="5133"/>
      <c r="AY52" s="5132"/>
      <c r="AZ52" s="5132"/>
      <c r="BA52" s="5132"/>
      <c r="BB52" s="5132"/>
    </row>
    <row r="53" spans="1:54" s="6520" customFormat="1" ht="12.75" customHeight="1">
      <c r="A53" s="10990" t="str">
        <f t="shared" si="7"/>
        <v>8300-02</v>
      </c>
      <c r="B53" s="10996"/>
      <c r="C53" s="10993"/>
      <c r="E53" s="5132"/>
      <c r="G53" s="6530">
        <v>36</v>
      </c>
      <c r="H53" s="6530">
        <v>54</v>
      </c>
      <c r="I53" s="10978"/>
      <c r="J53" s="10978"/>
      <c r="K53" s="10978">
        <f>+IF(ISNA(VLOOKUP(MATCH(P53,tfn,0),tao,'12(id)'!$K$20,FALSE)),"",IF(J53="NA","",VLOOKUP(MATCH(P53,tfn,0),tao,'12(id)'!$K$20,FALSE)+J53))</f>
        <v>8300</v>
      </c>
      <c r="L53" s="10978">
        <f>+L52</f>
        <v>2</v>
      </c>
      <c r="M53" s="10978" t="str">
        <f t="shared" si="6"/>
        <v>8300-02</v>
      </c>
      <c r="N53" s="10981" t="str">
        <f>+IF(M53="","",VLOOKUP(MATCH(M53,tid,0),tao,'12(id)'!$Q$20,FALSE))</f>
        <v>CC10</v>
      </c>
      <c r="O53" s="6530" t="s">
        <v>1208</v>
      </c>
      <c r="P53" s="6531" t="s">
        <v>344</v>
      </c>
      <c r="Q53" s="6531"/>
      <c r="R53" s="6532">
        <v>542</v>
      </c>
      <c r="S53" s="6533" t="s">
        <v>1215</v>
      </c>
      <c r="T53" s="6534" t="s">
        <v>939</v>
      </c>
      <c r="U53" s="6535">
        <v>2009</v>
      </c>
      <c r="V53" s="6531" t="s">
        <v>1209</v>
      </c>
      <c r="W53" s="6536">
        <v>8</v>
      </c>
      <c r="X53" s="6536">
        <v>5</v>
      </c>
      <c r="Y53" s="6536">
        <v>139</v>
      </c>
      <c r="Z53" s="6536" t="s">
        <v>939</v>
      </c>
      <c r="AA53" s="6537">
        <v>1.2</v>
      </c>
      <c r="AB53" s="6538">
        <v>1.2</v>
      </c>
      <c r="AC53" s="6536">
        <v>1968</v>
      </c>
      <c r="AD53" s="6531" t="s">
        <v>944</v>
      </c>
      <c r="AE53" s="6531" t="s">
        <v>1259</v>
      </c>
      <c r="AF53" s="6531" t="s">
        <v>1261</v>
      </c>
      <c r="AG53" s="6531" t="s">
        <v>1262</v>
      </c>
      <c r="AH53" s="6531" t="s">
        <v>1264</v>
      </c>
      <c r="AI53" s="6531"/>
      <c r="AJ53" s="6531"/>
      <c r="AK53" s="6531"/>
      <c r="AL53" s="6534" t="s">
        <v>939</v>
      </c>
      <c r="AM53" s="6534" t="s">
        <v>939</v>
      </c>
      <c r="AN53" s="6534" t="s">
        <v>1300</v>
      </c>
      <c r="AO53" s="6534" t="s">
        <v>1304</v>
      </c>
      <c r="AP53" s="6534" t="s">
        <v>1309</v>
      </c>
      <c r="AQ53" s="6534" t="s">
        <v>939</v>
      </c>
      <c r="AR53" s="6534" t="s">
        <v>939</v>
      </c>
      <c r="AS53" s="6531" t="s">
        <v>1022</v>
      </c>
      <c r="AT53" s="6531" t="s">
        <v>939</v>
      </c>
      <c r="AU53" s="6531"/>
      <c r="AV53" s="6534" t="s">
        <v>939</v>
      </c>
      <c r="AW53" s="6538">
        <v>250</v>
      </c>
      <c r="AX53" s="5133"/>
      <c r="AY53" s="5132"/>
      <c r="AZ53" s="5132"/>
      <c r="BA53" s="5132"/>
      <c r="BB53" s="5132"/>
    </row>
    <row r="54" spans="1:54" s="6520" customFormat="1" ht="12.75" customHeight="1">
      <c r="A54" s="10991" t="str">
        <f t="shared" si="7"/>
        <v>8300-02</v>
      </c>
      <c r="B54" s="10997"/>
      <c r="C54" s="10994"/>
      <c r="E54" s="5132"/>
      <c r="G54" s="6539">
        <v>37</v>
      </c>
      <c r="H54" s="6539">
        <v>53</v>
      </c>
      <c r="I54" s="10979"/>
      <c r="J54" s="10979"/>
      <c r="K54" s="10979">
        <f>+IF(ISNA(VLOOKUP(MATCH(P54,tfn,0),tao,'12(id)'!$K$20,FALSE)),"",IF(J54="NA","",VLOOKUP(MATCH(P54,tfn,0),tao,'12(id)'!$K$20,FALSE)+J54))</f>
        <v>8300</v>
      </c>
      <c r="L54" s="10979">
        <f>+L53</f>
        <v>2</v>
      </c>
      <c r="M54" s="10979" t="str">
        <f t="shared" si="6"/>
        <v>8300-02</v>
      </c>
      <c r="N54" s="10982" t="str">
        <f>+IF(M54="","",VLOOKUP(MATCH(M54,tid,0),tao,'12(id)'!$Q$20,FALSE))</f>
        <v>CC10</v>
      </c>
      <c r="O54" s="6539" t="s">
        <v>1208</v>
      </c>
      <c r="P54" s="6540" t="s">
        <v>344</v>
      </c>
      <c r="Q54" s="6540"/>
      <c r="R54" s="6541">
        <v>542</v>
      </c>
      <c r="S54" s="6542" t="s">
        <v>1215</v>
      </c>
      <c r="T54" s="6543" t="s">
        <v>939</v>
      </c>
      <c r="U54" s="6544">
        <v>2008</v>
      </c>
      <c r="V54" s="6540" t="s">
        <v>1209</v>
      </c>
      <c r="W54" s="6545">
        <v>11</v>
      </c>
      <c r="X54" s="6545">
        <v>5</v>
      </c>
      <c r="Y54" s="6545">
        <v>183</v>
      </c>
      <c r="Z54" s="6545" t="s">
        <v>939</v>
      </c>
      <c r="AA54" s="6546">
        <v>1.2</v>
      </c>
      <c r="AB54" s="6547">
        <v>1.6</v>
      </c>
      <c r="AC54" s="6545">
        <v>2740</v>
      </c>
      <c r="AD54" s="6540" t="s">
        <v>944</v>
      </c>
      <c r="AE54" s="6540" t="s">
        <v>1259</v>
      </c>
      <c r="AF54" s="6540" t="s">
        <v>1261</v>
      </c>
      <c r="AG54" s="6540" t="s">
        <v>1262</v>
      </c>
      <c r="AH54" s="6540" t="s">
        <v>1264</v>
      </c>
      <c r="AI54" s="6540"/>
      <c r="AJ54" s="6540"/>
      <c r="AK54" s="6540"/>
      <c r="AL54" s="6543" t="s">
        <v>939</v>
      </c>
      <c r="AM54" s="6543" t="s">
        <v>939</v>
      </c>
      <c r="AN54" s="6543" t="s">
        <v>1300</v>
      </c>
      <c r="AO54" s="6543" t="s">
        <v>1304</v>
      </c>
      <c r="AP54" s="6543" t="s">
        <v>1309</v>
      </c>
      <c r="AQ54" s="6543" t="s">
        <v>939</v>
      </c>
      <c r="AR54" s="6543" t="s">
        <v>939</v>
      </c>
      <c r="AS54" s="6540" t="s">
        <v>1341</v>
      </c>
      <c r="AT54" s="6540" t="s">
        <v>939</v>
      </c>
      <c r="AU54" s="6540"/>
      <c r="AV54" s="6543" t="s">
        <v>939</v>
      </c>
      <c r="AW54" s="6547">
        <v>250</v>
      </c>
      <c r="AX54" s="5133"/>
      <c r="AY54" s="5132"/>
      <c r="AZ54" s="5132"/>
      <c r="BA54" s="5132"/>
      <c r="BB54" s="5132"/>
    </row>
    <row r="55" spans="1:54" s="6520" customFormat="1" ht="12.75" customHeight="1">
      <c r="A55" s="10989" t="str">
        <f t="shared" si="7"/>
        <v>8300-03</v>
      </c>
      <c r="B55" s="10995" t="str">
        <f>+IF(A55="","",VLOOKUP(MATCH(A55,tid,0),tao,'12(id)'!$J$20,FALSE))</f>
        <v>NRG</v>
      </c>
      <c r="C55" s="10992" t="str">
        <f>+N55</f>
        <v>CC11</v>
      </c>
      <c r="E55" s="5132"/>
      <c r="G55" s="6530">
        <v>38</v>
      </c>
      <c r="H55" s="6530">
        <v>58</v>
      </c>
      <c r="I55" s="10977">
        <v>14</v>
      </c>
      <c r="J55" s="10977"/>
      <c r="K55" s="10977">
        <f>+IF(ISNA(VLOOKUP(MATCH(P55,tfn,0),tao,'12(id)'!$K$20,FALSE)),"",IF(J55="NA","",VLOOKUP(MATCH(P55,tfn,0),tao,'12(id)'!$K$20,FALSE)+J55))</f>
        <v>8300</v>
      </c>
      <c r="L55" s="10977">
        <f>1+L52</f>
        <v>3</v>
      </c>
      <c r="M55" s="10977" t="str">
        <f t="shared" si="6"/>
        <v>8300-03</v>
      </c>
      <c r="N55" s="10980" t="str">
        <f>+IF(M55="","",VLOOKUP(MATCH(M55,tid,0),tao,'12(id)'!$Q$20,FALSE))</f>
        <v>CC11</v>
      </c>
      <c r="O55" s="6530" t="s">
        <v>1208</v>
      </c>
      <c r="P55" s="6531" t="s">
        <v>344</v>
      </c>
      <c r="Q55" s="6531"/>
      <c r="R55" s="6532">
        <v>542</v>
      </c>
      <c r="S55" s="6533" t="s">
        <v>1223</v>
      </c>
      <c r="T55" s="6534" t="s">
        <v>939</v>
      </c>
      <c r="U55" s="6535">
        <v>2010</v>
      </c>
      <c r="V55" s="6531" t="s">
        <v>1209</v>
      </c>
      <c r="W55" s="6536">
        <v>40</v>
      </c>
      <c r="X55" s="6536">
        <v>5</v>
      </c>
      <c r="Y55" s="6536">
        <v>619</v>
      </c>
      <c r="Z55" s="6536" t="s">
        <v>939</v>
      </c>
      <c r="AA55" s="6537">
        <v>1.2</v>
      </c>
      <c r="AB55" s="6538">
        <v>6.1</v>
      </c>
      <c r="AC55" s="6536">
        <v>10085</v>
      </c>
      <c r="AD55" s="6531" t="s">
        <v>944</v>
      </c>
      <c r="AE55" s="6531" t="s">
        <v>1259</v>
      </c>
      <c r="AF55" s="6531" t="s">
        <v>1261</v>
      </c>
      <c r="AG55" s="6531" t="s">
        <v>1262</v>
      </c>
      <c r="AH55" s="6531" t="s">
        <v>1264</v>
      </c>
      <c r="AI55" s="6531"/>
      <c r="AJ55" s="6531"/>
      <c r="AK55" s="6531"/>
      <c r="AL55" s="6534" t="s">
        <v>939</v>
      </c>
      <c r="AM55" s="6534" t="s">
        <v>939</v>
      </c>
      <c r="AN55" s="6534" t="s">
        <v>1300</v>
      </c>
      <c r="AO55" s="6534" t="s">
        <v>1304</v>
      </c>
      <c r="AP55" s="6534" t="s">
        <v>1309</v>
      </c>
      <c r="AQ55" s="6534" t="s">
        <v>939</v>
      </c>
      <c r="AR55" s="6534" t="s">
        <v>939</v>
      </c>
      <c r="AS55" s="6531" t="s">
        <v>1022</v>
      </c>
      <c r="AT55" s="6531" t="s">
        <v>939</v>
      </c>
      <c r="AU55" s="6531"/>
      <c r="AV55" s="6534" t="s">
        <v>939</v>
      </c>
      <c r="AW55" s="6538">
        <v>250</v>
      </c>
      <c r="AX55" s="5133"/>
      <c r="AY55" s="5132"/>
      <c r="AZ55" s="5132"/>
      <c r="BA55" s="5132"/>
      <c r="BB55" s="5132"/>
    </row>
    <row r="56" spans="1:54" s="6520" customFormat="1" ht="12.75" customHeight="1">
      <c r="A56" s="10990" t="str">
        <f t="shared" si="7"/>
        <v>8300-03</v>
      </c>
      <c r="B56" s="10996"/>
      <c r="C56" s="10993"/>
      <c r="E56" s="5132"/>
      <c r="G56" s="6530">
        <v>39</v>
      </c>
      <c r="H56" s="6530">
        <v>57</v>
      </c>
      <c r="I56" s="10978"/>
      <c r="J56" s="10978"/>
      <c r="K56" s="10978">
        <f>+IF(ISNA(VLOOKUP(MATCH(P56,tfn,0),tao,'12(id)'!$K$20,FALSE)),"",IF(J56="NA","",VLOOKUP(MATCH(P56,tfn,0),tao,'12(id)'!$K$20,FALSE)+J56))</f>
        <v>8300</v>
      </c>
      <c r="L56" s="10978">
        <f>+L55</f>
        <v>3</v>
      </c>
      <c r="M56" s="10978" t="str">
        <f t="shared" si="6"/>
        <v>8300-03</v>
      </c>
      <c r="N56" s="10981" t="str">
        <f>+IF(M56="","",VLOOKUP(MATCH(M56,tid,0),tao,'12(id)'!$Q$20,FALSE))</f>
        <v>CC11</v>
      </c>
      <c r="O56" s="6530" t="s">
        <v>1208</v>
      </c>
      <c r="P56" s="6531" t="s">
        <v>344</v>
      </c>
      <c r="Q56" s="6531"/>
      <c r="R56" s="6532">
        <v>542</v>
      </c>
      <c r="S56" s="6533" t="s">
        <v>1223</v>
      </c>
      <c r="T56" s="6534" t="s">
        <v>939</v>
      </c>
      <c r="U56" s="6535">
        <v>2009</v>
      </c>
      <c r="V56" s="6531" t="s">
        <v>1209</v>
      </c>
      <c r="W56" s="6536">
        <v>6</v>
      </c>
      <c r="X56" s="6536">
        <v>5</v>
      </c>
      <c r="Y56" s="6536">
        <v>102</v>
      </c>
      <c r="Z56" s="6536" t="s">
        <v>939</v>
      </c>
      <c r="AA56" s="6537">
        <v>1.2</v>
      </c>
      <c r="AB56" s="6538">
        <v>0.9</v>
      </c>
      <c r="AC56" s="6536">
        <v>1465</v>
      </c>
      <c r="AD56" s="6531" t="s">
        <v>944</v>
      </c>
      <c r="AE56" s="6531" t="s">
        <v>1259</v>
      </c>
      <c r="AF56" s="6531" t="s">
        <v>1261</v>
      </c>
      <c r="AG56" s="6531" t="s">
        <v>1262</v>
      </c>
      <c r="AH56" s="6531" t="s">
        <v>1264</v>
      </c>
      <c r="AI56" s="6531"/>
      <c r="AJ56" s="6531"/>
      <c r="AK56" s="6531"/>
      <c r="AL56" s="6534" t="s">
        <v>939</v>
      </c>
      <c r="AM56" s="6534" t="s">
        <v>939</v>
      </c>
      <c r="AN56" s="6534" t="s">
        <v>1300</v>
      </c>
      <c r="AO56" s="6534" t="s">
        <v>1304</v>
      </c>
      <c r="AP56" s="6534" t="s">
        <v>1309</v>
      </c>
      <c r="AQ56" s="6534" t="s">
        <v>939</v>
      </c>
      <c r="AR56" s="6534" t="s">
        <v>939</v>
      </c>
      <c r="AS56" s="6531" t="s">
        <v>1022</v>
      </c>
      <c r="AT56" s="6531" t="s">
        <v>939</v>
      </c>
      <c r="AU56" s="6531"/>
      <c r="AV56" s="6534" t="s">
        <v>939</v>
      </c>
      <c r="AW56" s="6538">
        <v>250</v>
      </c>
      <c r="AX56" s="5133"/>
      <c r="AY56" s="5132"/>
      <c r="AZ56" s="5132"/>
      <c r="BA56" s="5132"/>
      <c r="BB56" s="5132"/>
    </row>
    <row r="57" spans="1:54" s="6520" customFormat="1" ht="12.75" customHeight="1">
      <c r="A57" s="10991" t="str">
        <f t="shared" si="7"/>
        <v>8300-03</v>
      </c>
      <c r="B57" s="10997"/>
      <c r="C57" s="10994"/>
      <c r="E57" s="5132"/>
      <c r="G57" s="6539">
        <v>40</v>
      </c>
      <c r="H57" s="6539">
        <v>56</v>
      </c>
      <c r="I57" s="10979"/>
      <c r="J57" s="10979"/>
      <c r="K57" s="10979">
        <f>+IF(ISNA(VLOOKUP(MATCH(P57,tfn,0),tao,'12(id)'!$K$20,FALSE)),"",IF(J57="NA","",VLOOKUP(MATCH(P57,tfn,0),tao,'12(id)'!$K$20,FALSE)+J57))</f>
        <v>8300</v>
      </c>
      <c r="L57" s="10979">
        <f>+L56</f>
        <v>3</v>
      </c>
      <c r="M57" s="10979" t="str">
        <f t="shared" si="6"/>
        <v>8300-03</v>
      </c>
      <c r="N57" s="10982" t="str">
        <f>+IF(M57="","",VLOOKUP(MATCH(M57,tid,0),tao,'12(id)'!$Q$20,FALSE))</f>
        <v>CC11</v>
      </c>
      <c r="O57" s="6539" t="s">
        <v>1208</v>
      </c>
      <c r="P57" s="6540" t="s">
        <v>344</v>
      </c>
      <c r="Q57" s="6540"/>
      <c r="R57" s="6541">
        <v>542</v>
      </c>
      <c r="S57" s="6542" t="s">
        <v>1223</v>
      </c>
      <c r="T57" s="6543" t="s">
        <v>939</v>
      </c>
      <c r="U57" s="6544">
        <v>2008</v>
      </c>
      <c r="V57" s="6540" t="s">
        <v>1209</v>
      </c>
      <c r="W57" s="6545">
        <v>9</v>
      </c>
      <c r="X57" s="6545">
        <v>5</v>
      </c>
      <c r="Y57" s="6545">
        <v>160</v>
      </c>
      <c r="Z57" s="6545" t="s">
        <v>939</v>
      </c>
      <c r="AA57" s="6546">
        <v>1.2</v>
      </c>
      <c r="AB57" s="6547">
        <v>1.3</v>
      </c>
      <c r="AC57" s="6545">
        <v>2225</v>
      </c>
      <c r="AD57" s="6540" t="s">
        <v>944</v>
      </c>
      <c r="AE57" s="6540" t="s">
        <v>1259</v>
      </c>
      <c r="AF57" s="6540" t="s">
        <v>1261</v>
      </c>
      <c r="AG57" s="6540" t="s">
        <v>1262</v>
      </c>
      <c r="AH57" s="6540" t="s">
        <v>1264</v>
      </c>
      <c r="AI57" s="6540"/>
      <c r="AJ57" s="6540"/>
      <c r="AK57" s="6540"/>
      <c r="AL57" s="6543" t="s">
        <v>939</v>
      </c>
      <c r="AM57" s="6543" t="s">
        <v>939</v>
      </c>
      <c r="AN57" s="6543" t="s">
        <v>1300</v>
      </c>
      <c r="AO57" s="6543" t="s">
        <v>1304</v>
      </c>
      <c r="AP57" s="6543" t="s">
        <v>1309</v>
      </c>
      <c r="AQ57" s="6543" t="s">
        <v>939</v>
      </c>
      <c r="AR57" s="6543" t="s">
        <v>939</v>
      </c>
      <c r="AS57" s="6540" t="s">
        <v>1341</v>
      </c>
      <c r="AT57" s="6540" t="s">
        <v>939</v>
      </c>
      <c r="AU57" s="6540"/>
      <c r="AV57" s="6543" t="s">
        <v>939</v>
      </c>
      <c r="AW57" s="6547">
        <v>250</v>
      </c>
      <c r="AX57" s="5133"/>
      <c r="AY57" s="5132"/>
      <c r="AZ57" s="5132"/>
      <c r="BA57" s="5132"/>
      <c r="BB57" s="5132"/>
    </row>
    <row r="58" spans="1:54" s="6520" customFormat="1" ht="12.75" customHeight="1">
      <c r="A58" s="10989" t="str">
        <f t="shared" si="7"/>
        <v>8300-04</v>
      </c>
      <c r="B58" s="10995" t="str">
        <f>+IF(A58="","",VLOOKUP(MATCH(A58,tid,0),tao,'12(id)'!$J$20,FALSE))</f>
        <v>NRG</v>
      </c>
      <c r="C58" s="10992" t="str">
        <f>+N58</f>
        <v>CC12</v>
      </c>
      <c r="E58" s="5132"/>
      <c r="G58" s="6530">
        <v>41</v>
      </c>
      <c r="H58" s="6530">
        <v>61</v>
      </c>
      <c r="I58" s="10977">
        <v>15</v>
      </c>
      <c r="J58" s="10977"/>
      <c r="K58" s="10977">
        <f>+IF(ISNA(VLOOKUP(MATCH(P58,tfn,0),tao,'12(id)'!$K$20,FALSE)),"",IF(J58="NA","",VLOOKUP(MATCH(P58,tfn,0),tao,'12(id)'!$K$20,FALSE)+J58))</f>
        <v>8300</v>
      </c>
      <c r="L58" s="10977">
        <f>1+L55</f>
        <v>4</v>
      </c>
      <c r="M58" s="10977" t="str">
        <f t="shared" si="6"/>
        <v>8300-04</v>
      </c>
      <c r="N58" s="10980" t="str">
        <f>+IF(M58="","",VLOOKUP(MATCH(M58,tid,0),tao,'12(id)'!$Q$20,FALSE))</f>
        <v>CC12</v>
      </c>
      <c r="O58" s="6530" t="s">
        <v>1208</v>
      </c>
      <c r="P58" s="6531" t="s">
        <v>344</v>
      </c>
      <c r="Q58" s="6531"/>
      <c r="R58" s="6532">
        <v>542</v>
      </c>
      <c r="S58" s="6533" t="s">
        <v>1224</v>
      </c>
      <c r="T58" s="6534" t="s">
        <v>939</v>
      </c>
      <c r="U58" s="6535">
        <v>2010</v>
      </c>
      <c r="V58" s="6531" t="s">
        <v>1209</v>
      </c>
      <c r="W58" s="6536">
        <v>51</v>
      </c>
      <c r="X58" s="6536">
        <v>5</v>
      </c>
      <c r="Y58" s="6536">
        <v>790</v>
      </c>
      <c r="Z58" s="6536" t="s">
        <v>939</v>
      </c>
      <c r="AA58" s="6537">
        <v>1.2</v>
      </c>
      <c r="AB58" s="6538">
        <v>7.7</v>
      </c>
      <c r="AC58" s="6536">
        <v>12848</v>
      </c>
      <c r="AD58" s="6531" t="s">
        <v>944</v>
      </c>
      <c r="AE58" s="6531" t="s">
        <v>1259</v>
      </c>
      <c r="AF58" s="6531" t="s">
        <v>1261</v>
      </c>
      <c r="AG58" s="6531" t="s">
        <v>1262</v>
      </c>
      <c r="AH58" s="6531" t="s">
        <v>1264</v>
      </c>
      <c r="AI58" s="6531"/>
      <c r="AJ58" s="6531"/>
      <c r="AK58" s="6531"/>
      <c r="AL58" s="6534" t="s">
        <v>939</v>
      </c>
      <c r="AM58" s="6534" t="s">
        <v>939</v>
      </c>
      <c r="AN58" s="6534" t="s">
        <v>1300</v>
      </c>
      <c r="AO58" s="6534" t="s">
        <v>1304</v>
      </c>
      <c r="AP58" s="6534" t="s">
        <v>1309</v>
      </c>
      <c r="AQ58" s="6534" t="s">
        <v>939</v>
      </c>
      <c r="AR58" s="6534" t="s">
        <v>939</v>
      </c>
      <c r="AS58" s="6531" t="s">
        <v>1022</v>
      </c>
      <c r="AT58" s="6531" t="s">
        <v>939</v>
      </c>
      <c r="AU58" s="6531"/>
      <c r="AV58" s="6534" t="s">
        <v>939</v>
      </c>
      <c r="AW58" s="6538">
        <v>250</v>
      </c>
      <c r="AX58" s="5133"/>
      <c r="AY58" s="5132"/>
      <c r="AZ58" s="5132"/>
      <c r="BA58" s="5132"/>
      <c r="BB58" s="5132"/>
    </row>
    <row r="59" spans="1:54" s="6520" customFormat="1" ht="12.75" customHeight="1">
      <c r="A59" s="10990" t="str">
        <f t="shared" si="7"/>
        <v>8300-04</v>
      </c>
      <c r="B59" s="10996"/>
      <c r="C59" s="10993"/>
      <c r="E59" s="5132"/>
      <c r="G59" s="6530">
        <v>42</v>
      </c>
      <c r="H59" s="6530">
        <v>60</v>
      </c>
      <c r="I59" s="10978"/>
      <c r="J59" s="10978"/>
      <c r="K59" s="10978">
        <f>+IF(ISNA(VLOOKUP(MATCH(P59,tfn,0),tao,'12(id)'!$K$20,FALSE)),"",IF(J59="NA","",VLOOKUP(MATCH(P59,tfn,0),tao,'12(id)'!$K$20,FALSE)+J59))</f>
        <v>8300</v>
      </c>
      <c r="L59" s="10978">
        <f>+L58</f>
        <v>4</v>
      </c>
      <c r="M59" s="10978" t="str">
        <f t="shared" si="6"/>
        <v>8300-04</v>
      </c>
      <c r="N59" s="10981" t="str">
        <f>+IF(M59="","",VLOOKUP(MATCH(M59,tid,0),tao,'12(id)'!$Q$20,FALSE))</f>
        <v>CC12</v>
      </c>
      <c r="O59" s="6530" t="s">
        <v>1208</v>
      </c>
      <c r="P59" s="6531" t="s">
        <v>344</v>
      </c>
      <c r="Q59" s="6531"/>
      <c r="R59" s="6532">
        <v>542</v>
      </c>
      <c r="S59" s="6533" t="s">
        <v>1224</v>
      </c>
      <c r="T59" s="6534" t="s">
        <v>939</v>
      </c>
      <c r="U59" s="6535">
        <v>2009</v>
      </c>
      <c r="V59" s="6531" t="s">
        <v>1209</v>
      </c>
      <c r="W59" s="6536">
        <v>7</v>
      </c>
      <c r="X59" s="6536">
        <v>5</v>
      </c>
      <c r="Y59" s="6536">
        <v>131</v>
      </c>
      <c r="Z59" s="6536" t="s">
        <v>939</v>
      </c>
      <c r="AA59" s="6537">
        <v>1.2</v>
      </c>
      <c r="AB59" s="6538">
        <v>1.1000000000000001</v>
      </c>
      <c r="AC59" s="6536">
        <v>1780</v>
      </c>
      <c r="AD59" s="6531" t="s">
        <v>944</v>
      </c>
      <c r="AE59" s="6531" t="s">
        <v>1259</v>
      </c>
      <c r="AF59" s="6531" t="s">
        <v>1261</v>
      </c>
      <c r="AG59" s="6531" t="s">
        <v>1262</v>
      </c>
      <c r="AH59" s="6531" t="s">
        <v>1264</v>
      </c>
      <c r="AI59" s="6531"/>
      <c r="AJ59" s="6531"/>
      <c r="AK59" s="6531"/>
      <c r="AL59" s="6534" t="s">
        <v>939</v>
      </c>
      <c r="AM59" s="6534" t="s">
        <v>939</v>
      </c>
      <c r="AN59" s="6534" t="s">
        <v>1300</v>
      </c>
      <c r="AO59" s="6534" t="s">
        <v>1304</v>
      </c>
      <c r="AP59" s="6534" t="s">
        <v>1309</v>
      </c>
      <c r="AQ59" s="6534" t="s">
        <v>939</v>
      </c>
      <c r="AR59" s="6534" t="s">
        <v>939</v>
      </c>
      <c r="AS59" s="6531" t="s">
        <v>1022</v>
      </c>
      <c r="AT59" s="6531" t="s">
        <v>939</v>
      </c>
      <c r="AU59" s="6531"/>
      <c r="AV59" s="6534" t="s">
        <v>939</v>
      </c>
      <c r="AW59" s="6538">
        <v>250</v>
      </c>
      <c r="AX59" s="5133"/>
      <c r="AY59" s="5132"/>
      <c r="AZ59" s="5132"/>
      <c r="BA59" s="5132"/>
      <c r="BB59" s="5132"/>
    </row>
    <row r="60" spans="1:54" s="6520" customFormat="1" ht="12.75" customHeight="1">
      <c r="A60" s="10991" t="str">
        <f t="shared" si="7"/>
        <v>8300-04</v>
      </c>
      <c r="B60" s="10997"/>
      <c r="C60" s="10994"/>
      <c r="E60" s="5132"/>
      <c r="G60" s="6539">
        <v>43</v>
      </c>
      <c r="H60" s="6539">
        <v>59</v>
      </c>
      <c r="I60" s="10979"/>
      <c r="J60" s="10979"/>
      <c r="K60" s="10979">
        <f>+IF(ISNA(VLOOKUP(MATCH(P60,tfn,0),tao,'12(id)'!$K$20,FALSE)),"",IF(J60="NA","",VLOOKUP(MATCH(P60,tfn,0),tao,'12(id)'!$K$20,FALSE)+J60))</f>
        <v>8300</v>
      </c>
      <c r="L60" s="10979">
        <f>+L59</f>
        <v>4</v>
      </c>
      <c r="M60" s="10979" t="str">
        <f t="shared" si="6"/>
        <v>8300-04</v>
      </c>
      <c r="N60" s="10982" t="str">
        <f>+IF(M60="","",VLOOKUP(MATCH(M60,tid,0),tao,'12(id)'!$Q$20,FALSE))</f>
        <v>CC12</v>
      </c>
      <c r="O60" s="6539" t="s">
        <v>1208</v>
      </c>
      <c r="P60" s="6540" t="s">
        <v>344</v>
      </c>
      <c r="Q60" s="6540"/>
      <c r="R60" s="6541">
        <v>542</v>
      </c>
      <c r="S60" s="6542" t="s">
        <v>1224</v>
      </c>
      <c r="T60" s="6543" t="s">
        <v>939</v>
      </c>
      <c r="U60" s="6544">
        <v>2008</v>
      </c>
      <c r="V60" s="6540" t="s">
        <v>1209</v>
      </c>
      <c r="W60" s="6545">
        <v>6</v>
      </c>
      <c r="X60" s="6545">
        <v>5</v>
      </c>
      <c r="Y60" s="6545">
        <v>115</v>
      </c>
      <c r="Z60" s="6545" t="s">
        <v>939</v>
      </c>
      <c r="AA60" s="6546">
        <v>1.2</v>
      </c>
      <c r="AB60" s="6547">
        <v>1</v>
      </c>
      <c r="AC60" s="6545">
        <v>1595</v>
      </c>
      <c r="AD60" s="6540" t="s">
        <v>944</v>
      </c>
      <c r="AE60" s="6540" t="s">
        <v>1259</v>
      </c>
      <c r="AF60" s="6540" t="s">
        <v>1261</v>
      </c>
      <c r="AG60" s="6540" t="s">
        <v>1262</v>
      </c>
      <c r="AH60" s="6540" t="s">
        <v>1264</v>
      </c>
      <c r="AI60" s="6540"/>
      <c r="AJ60" s="6540"/>
      <c r="AK60" s="6540"/>
      <c r="AL60" s="6543" t="s">
        <v>939</v>
      </c>
      <c r="AM60" s="6543" t="s">
        <v>939</v>
      </c>
      <c r="AN60" s="6543" t="s">
        <v>1300</v>
      </c>
      <c r="AO60" s="6543" t="s">
        <v>1304</v>
      </c>
      <c r="AP60" s="6543" t="s">
        <v>1309</v>
      </c>
      <c r="AQ60" s="6543" t="s">
        <v>939</v>
      </c>
      <c r="AR60" s="6543" t="s">
        <v>939</v>
      </c>
      <c r="AS60" s="6540" t="s">
        <v>1341</v>
      </c>
      <c r="AT60" s="6540" t="s">
        <v>939</v>
      </c>
      <c r="AU60" s="6540"/>
      <c r="AV60" s="6543" t="s">
        <v>939</v>
      </c>
      <c r="AW60" s="6547">
        <v>250</v>
      </c>
      <c r="AX60" s="5133"/>
      <c r="AY60" s="5132"/>
      <c r="AZ60" s="5132"/>
      <c r="BA60" s="5132"/>
      <c r="BB60" s="5132"/>
    </row>
    <row r="61" spans="1:54" s="6520" customFormat="1" ht="12.75" customHeight="1">
      <c r="A61" s="10989" t="str">
        <f t="shared" si="7"/>
        <v>8300-05</v>
      </c>
      <c r="B61" s="10995" t="str">
        <f>+IF(A61="","",VLOOKUP(MATCH(A61,tid,0),tao,'12(id)'!$J$20,FALSE))</f>
        <v>NRG</v>
      </c>
      <c r="C61" s="10992" t="str">
        <f>+N61</f>
        <v>CC13</v>
      </c>
      <c r="E61" s="5132"/>
      <c r="G61" s="6530">
        <v>44</v>
      </c>
      <c r="H61" s="6530">
        <v>64</v>
      </c>
      <c r="I61" s="10977">
        <v>16</v>
      </c>
      <c r="J61" s="10977"/>
      <c r="K61" s="10977">
        <f>+IF(ISNA(VLOOKUP(MATCH(P61,tfn,0),tao,'12(id)'!$K$20,FALSE)),"",IF(J61="NA","",VLOOKUP(MATCH(P61,tfn,0),tao,'12(id)'!$K$20,FALSE)+J61))</f>
        <v>8300</v>
      </c>
      <c r="L61" s="10977">
        <f>1+L58</f>
        <v>5</v>
      </c>
      <c r="M61" s="10977" t="str">
        <f t="shared" si="6"/>
        <v>8300-05</v>
      </c>
      <c r="N61" s="10980" t="str">
        <f>+IF(M61="","",VLOOKUP(MATCH(M61,tid,0),tao,'12(id)'!$Q$20,FALSE))</f>
        <v>CC13</v>
      </c>
      <c r="O61" s="6530" t="s">
        <v>1208</v>
      </c>
      <c r="P61" s="6531" t="s">
        <v>344</v>
      </c>
      <c r="Q61" s="6531"/>
      <c r="R61" s="6532">
        <v>542</v>
      </c>
      <c r="S61" s="6533" t="s">
        <v>1225</v>
      </c>
      <c r="T61" s="6534" t="s">
        <v>939</v>
      </c>
      <c r="U61" s="6535">
        <v>2010</v>
      </c>
      <c r="V61" s="6531" t="s">
        <v>1209</v>
      </c>
      <c r="W61" s="6536">
        <v>35</v>
      </c>
      <c r="X61" s="6536">
        <v>5</v>
      </c>
      <c r="Y61" s="6536">
        <v>476</v>
      </c>
      <c r="Z61" s="6536" t="s">
        <v>939</v>
      </c>
      <c r="AA61" s="6537">
        <v>1.2</v>
      </c>
      <c r="AB61" s="6538">
        <v>6.5</v>
      </c>
      <c r="AC61" s="6536">
        <v>10832</v>
      </c>
      <c r="AD61" s="6531" t="s">
        <v>944</v>
      </c>
      <c r="AE61" s="6531" t="s">
        <v>1259</v>
      </c>
      <c r="AF61" s="6531" t="s">
        <v>1261</v>
      </c>
      <c r="AG61" s="6531" t="s">
        <v>1262</v>
      </c>
      <c r="AH61" s="6531" t="s">
        <v>1264</v>
      </c>
      <c r="AI61" s="6531"/>
      <c r="AJ61" s="6531"/>
      <c r="AK61" s="6531"/>
      <c r="AL61" s="6534" t="s">
        <v>939</v>
      </c>
      <c r="AM61" s="6534" t="s">
        <v>939</v>
      </c>
      <c r="AN61" s="6534" t="s">
        <v>1300</v>
      </c>
      <c r="AO61" s="6534" t="s">
        <v>1304</v>
      </c>
      <c r="AP61" s="6534" t="s">
        <v>1309</v>
      </c>
      <c r="AQ61" s="6534" t="s">
        <v>939</v>
      </c>
      <c r="AR61" s="6534" t="s">
        <v>939</v>
      </c>
      <c r="AS61" s="6531" t="s">
        <v>1022</v>
      </c>
      <c r="AT61" s="6531" t="s">
        <v>939</v>
      </c>
      <c r="AU61" s="6531"/>
      <c r="AV61" s="6534" t="s">
        <v>939</v>
      </c>
      <c r="AW61" s="6538">
        <v>308</v>
      </c>
      <c r="AX61" s="5133"/>
      <c r="AY61" s="5132"/>
      <c r="AZ61" s="5132"/>
      <c r="BA61" s="5132"/>
      <c r="BB61" s="5132"/>
    </row>
    <row r="62" spans="1:54" s="6520" customFormat="1" ht="12.75" customHeight="1">
      <c r="A62" s="10990" t="str">
        <f t="shared" si="7"/>
        <v>8300-05</v>
      </c>
      <c r="B62" s="10996"/>
      <c r="C62" s="10993"/>
      <c r="E62" s="5132"/>
      <c r="G62" s="6530">
        <v>45</v>
      </c>
      <c r="H62" s="6530">
        <v>63</v>
      </c>
      <c r="I62" s="10978"/>
      <c r="J62" s="10978"/>
      <c r="K62" s="10978">
        <f>+IF(ISNA(VLOOKUP(MATCH(P62,tfn,0),tao,'12(id)'!$K$20,FALSE)),"",IF(J62="NA","",VLOOKUP(MATCH(P62,tfn,0),tao,'12(id)'!$K$20,FALSE)+J62))</f>
        <v>8300</v>
      </c>
      <c r="L62" s="10978">
        <f>+L61</f>
        <v>5</v>
      </c>
      <c r="M62" s="10978" t="str">
        <f t="shared" si="6"/>
        <v>8300-05</v>
      </c>
      <c r="N62" s="10981" t="str">
        <f>+IF(M62="","",VLOOKUP(MATCH(M62,tid,0),tao,'12(id)'!$Q$20,FALSE))</f>
        <v>CC13</v>
      </c>
      <c r="O62" s="6530" t="s">
        <v>1208</v>
      </c>
      <c r="P62" s="6531" t="s">
        <v>344</v>
      </c>
      <c r="Q62" s="6531"/>
      <c r="R62" s="6532">
        <v>542</v>
      </c>
      <c r="S62" s="6533" t="s">
        <v>1225</v>
      </c>
      <c r="T62" s="6534" t="s">
        <v>939</v>
      </c>
      <c r="U62" s="6535">
        <v>2009</v>
      </c>
      <c r="V62" s="6531" t="s">
        <v>1209</v>
      </c>
      <c r="W62" s="6536">
        <v>8</v>
      </c>
      <c r="X62" s="6536">
        <v>5</v>
      </c>
      <c r="Y62" s="6536">
        <v>155</v>
      </c>
      <c r="Z62" s="6536" t="s">
        <v>939</v>
      </c>
      <c r="AA62" s="6537">
        <v>1.2</v>
      </c>
      <c r="AB62" s="6538">
        <v>1.6</v>
      </c>
      <c r="AC62" s="6536">
        <v>2602</v>
      </c>
      <c r="AD62" s="6531" t="s">
        <v>944</v>
      </c>
      <c r="AE62" s="6531" t="s">
        <v>1259</v>
      </c>
      <c r="AF62" s="6531" t="s">
        <v>1261</v>
      </c>
      <c r="AG62" s="6531" t="s">
        <v>1262</v>
      </c>
      <c r="AH62" s="6531" t="s">
        <v>1264</v>
      </c>
      <c r="AI62" s="6531"/>
      <c r="AJ62" s="6531"/>
      <c r="AK62" s="6531"/>
      <c r="AL62" s="6534" t="s">
        <v>939</v>
      </c>
      <c r="AM62" s="6534" t="s">
        <v>939</v>
      </c>
      <c r="AN62" s="6534" t="s">
        <v>1300</v>
      </c>
      <c r="AO62" s="6534" t="s">
        <v>1304</v>
      </c>
      <c r="AP62" s="6534" t="s">
        <v>1309</v>
      </c>
      <c r="AQ62" s="6534" t="s">
        <v>939</v>
      </c>
      <c r="AR62" s="6534" t="s">
        <v>939</v>
      </c>
      <c r="AS62" s="6531" t="s">
        <v>1022</v>
      </c>
      <c r="AT62" s="6531" t="s">
        <v>939</v>
      </c>
      <c r="AU62" s="6531"/>
      <c r="AV62" s="6534" t="s">
        <v>939</v>
      </c>
      <c r="AW62" s="6538">
        <v>308</v>
      </c>
      <c r="AX62" s="5133"/>
      <c r="AY62" s="5132"/>
      <c r="AZ62" s="5132"/>
      <c r="BA62" s="5132"/>
      <c r="BB62" s="5132"/>
    </row>
    <row r="63" spans="1:54" s="6520" customFormat="1" ht="12.75" customHeight="1">
      <c r="A63" s="10991" t="str">
        <f t="shared" si="7"/>
        <v>8300-05</v>
      </c>
      <c r="B63" s="10997"/>
      <c r="C63" s="10994"/>
      <c r="E63" s="5132"/>
      <c r="G63" s="6539">
        <v>46</v>
      </c>
      <c r="H63" s="6539">
        <v>62</v>
      </c>
      <c r="I63" s="10979"/>
      <c r="J63" s="10979"/>
      <c r="K63" s="10979">
        <f>+IF(ISNA(VLOOKUP(MATCH(P63,tfn,0),tao,'12(id)'!$K$20,FALSE)),"",IF(J63="NA","",VLOOKUP(MATCH(P63,tfn,0),tao,'12(id)'!$K$20,FALSE)+J63))</f>
        <v>8300</v>
      </c>
      <c r="L63" s="10979">
        <f>+L62</f>
        <v>5</v>
      </c>
      <c r="M63" s="10979" t="str">
        <f t="shared" si="6"/>
        <v>8300-05</v>
      </c>
      <c r="N63" s="10982" t="str">
        <f>+IF(M63="","",VLOOKUP(MATCH(M63,tid,0),tao,'12(id)'!$Q$20,FALSE))</f>
        <v>CC13</v>
      </c>
      <c r="O63" s="6539" t="s">
        <v>1208</v>
      </c>
      <c r="P63" s="6540" t="s">
        <v>344</v>
      </c>
      <c r="Q63" s="6540"/>
      <c r="R63" s="6541">
        <v>542</v>
      </c>
      <c r="S63" s="6542" t="s">
        <v>1225</v>
      </c>
      <c r="T63" s="6543" t="s">
        <v>939</v>
      </c>
      <c r="U63" s="6544">
        <v>2008</v>
      </c>
      <c r="V63" s="6540" t="s">
        <v>1209</v>
      </c>
      <c r="W63" s="6545">
        <v>4</v>
      </c>
      <c r="X63" s="6545">
        <v>5</v>
      </c>
      <c r="Y63" s="6545">
        <v>93</v>
      </c>
      <c r="Z63" s="6545" t="s">
        <v>939</v>
      </c>
      <c r="AA63" s="6546">
        <v>1.2</v>
      </c>
      <c r="AB63" s="6547">
        <v>0.8</v>
      </c>
      <c r="AC63" s="6545">
        <v>1368</v>
      </c>
      <c r="AD63" s="6540" t="s">
        <v>944</v>
      </c>
      <c r="AE63" s="6540" t="s">
        <v>1259</v>
      </c>
      <c r="AF63" s="6540" t="s">
        <v>1261</v>
      </c>
      <c r="AG63" s="6540" t="s">
        <v>1262</v>
      </c>
      <c r="AH63" s="6540" t="s">
        <v>1269</v>
      </c>
      <c r="AI63" s="6540"/>
      <c r="AJ63" s="6540"/>
      <c r="AK63" s="6540"/>
      <c r="AL63" s="6543" t="s">
        <v>939</v>
      </c>
      <c r="AM63" s="6543" t="s">
        <v>939</v>
      </c>
      <c r="AN63" s="6543" t="s">
        <v>1313</v>
      </c>
      <c r="AO63" s="6543" t="s">
        <v>1314</v>
      </c>
      <c r="AP63" s="6543" t="s">
        <v>1309</v>
      </c>
      <c r="AQ63" s="6543" t="s">
        <v>939</v>
      </c>
      <c r="AR63" s="6543" t="s">
        <v>939</v>
      </c>
      <c r="AS63" s="6540" t="s">
        <v>1342</v>
      </c>
      <c r="AT63" s="6540" t="s">
        <v>939</v>
      </c>
      <c r="AU63" s="6540"/>
      <c r="AV63" s="6543" t="s">
        <v>939</v>
      </c>
      <c r="AW63" s="6547">
        <v>308</v>
      </c>
      <c r="AX63" s="5133"/>
      <c r="AY63" s="5132"/>
      <c r="AZ63" s="5132"/>
      <c r="BA63" s="5132"/>
      <c r="BB63" s="5132"/>
    </row>
    <row r="64" spans="1:54" s="6520" customFormat="1" ht="12.75" customHeight="1">
      <c r="A64" s="10989" t="str">
        <f t="shared" si="7"/>
        <v>8300-06</v>
      </c>
      <c r="B64" s="10995" t="str">
        <f>+IF(A64="","",VLOOKUP(MATCH(A64,tid,0),tao,'12(id)'!$J$20,FALSE))</f>
        <v>NRG</v>
      </c>
      <c r="C64" s="10992" t="str">
        <f>+N64</f>
        <v>CC14</v>
      </c>
      <c r="E64" s="5132"/>
      <c r="G64" s="6530">
        <v>47</v>
      </c>
      <c r="H64" s="6530">
        <v>67</v>
      </c>
      <c r="I64" s="10977">
        <v>17</v>
      </c>
      <c r="J64" s="10977"/>
      <c r="K64" s="10977">
        <f>+IF(ISNA(VLOOKUP(MATCH(P64,tfn,0),tao,'12(id)'!$K$20,FALSE)),"",IF(J64="NA","",VLOOKUP(MATCH(P64,tfn,0),tao,'12(id)'!$K$20,FALSE)+J64))</f>
        <v>8300</v>
      </c>
      <c r="L64" s="10977">
        <f>1+L61</f>
        <v>6</v>
      </c>
      <c r="M64" s="10977" t="str">
        <f t="shared" si="6"/>
        <v>8300-06</v>
      </c>
      <c r="N64" s="10980" t="str">
        <f>+IF(M64="","",VLOOKUP(MATCH(M64,tid,0),tao,'12(id)'!$Q$20,FALSE))</f>
        <v>CC14</v>
      </c>
      <c r="O64" s="6530" t="s">
        <v>1208</v>
      </c>
      <c r="P64" s="6531" t="s">
        <v>344</v>
      </c>
      <c r="Q64" s="6531"/>
      <c r="R64" s="6532">
        <v>542</v>
      </c>
      <c r="S64" s="6533" t="s">
        <v>1226</v>
      </c>
      <c r="T64" s="6534" t="s">
        <v>939</v>
      </c>
      <c r="U64" s="6535">
        <v>2010</v>
      </c>
      <c r="V64" s="6531" t="s">
        <v>1209</v>
      </c>
      <c r="W64" s="6536">
        <v>42</v>
      </c>
      <c r="X64" s="6536">
        <v>5</v>
      </c>
      <c r="Y64" s="6536">
        <v>604</v>
      </c>
      <c r="Z64" s="6536" t="s">
        <v>939</v>
      </c>
      <c r="AA64" s="6537">
        <v>1.2</v>
      </c>
      <c r="AB64" s="6538">
        <v>7.8</v>
      </c>
      <c r="AC64" s="6536">
        <v>12967</v>
      </c>
      <c r="AD64" s="6531" t="s">
        <v>944</v>
      </c>
      <c r="AE64" s="6531" t="s">
        <v>1259</v>
      </c>
      <c r="AF64" s="6531" t="s">
        <v>1261</v>
      </c>
      <c r="AG64" s="6531" t="s">
        <v>1262</v>
      </c>
      <c r="AH64" s="6531" t="s">
        <v>1264</v>
      </c>
      <c r="AI64" s="6531"/>
      <c r="AJ64" s="6531"/>
      <c r="AK64" s="6531"/>
      <c r="AL64" s="6534" t="s">
        <v>939</v>
      </c>
      <c r="AM64" s="6534" t="s">
        <v>939</v>
      </c>
      <c r="AN64" s="6534" t="s">
        <v>1300</v>
      </c>
      <c r="AO64" s="6534" t="s">
        <v>1304</v>
      </c>
      <c r="AP64" s="6534" t="s">
        <v>1309</v>
      </c>
      <c r="AQ64" s="6534" t="s">
        <v>939</v>
      </c>
      <c r="AR64" s="6534" t="s">
        <v>939</v>
      </c>
      <c r="AS64" s="6531" t="s">
        <v>1022</v>
      </c>
      <c r="AT64" s="6531" t="s">
        <v>939</v>
      </c>
      <c r="AU64" s="6531"/>
      <c r="AV64" s="6534" t="s">
        <v>939</v>
      </c>
      <c r="AW64" s="6538">
        <v>308</v>
      </c>
      <c r="AX64" s="5133"/>
      <c r="AY64" s="5132"/>
      <c r="AZ64" s="5132"/>
      <c r="BA64" s="5132"/>
      <c r="BB64" s="5132"/>
    </row>
    <row r="65" spans="1:54" s="6520" customFormat="1" ht="12.75" customHeight="1">
      <c r="A65" s="10990" t="str">
        <f t="shared" si="7"/>
        <v>8300-06</v>
      </c>
      <c r="B65" s="10996"/>
      <c r="C65" s="10993"/>
      <c r="E65" s="5132"/>
      <c r="G65" s="6530">
        <v>48</v>
      </c>
      <c r="H65" s="6530">
        <v>66</v>
      </c>
      <c r="I65" s="10978"/>
      <c r="J65" s="10978"/>
      <c r="K65" s="10978">
        <f>+IF(ISNA(VLOOKUP(MATCH(P65,tfn,0),tao,'12(id)'!$K$20,FALSE)),"",IF(J65="NA","",VLOOKUP(MATCH(P65,tfn,0),tao,'12(id)'!$K$20,FALSE)+J65))</f>
        <v>8300</v>
      </c>
      <c r="L65" s="10978">
        <f>+L64</f>
        <v>6</v>
      </c>
      <c r="M65" s="10978" t="str">
        <f t="shared" si="6"/>
        <v>8300-06</v>
      </c>
      <c r="N65" s="10981" t="str">
        <f>+IF(M65="","",VLOOKUP(MATCH(M65,tid,0),tao,'12(id)'!$Q$20,FALSE))</f>
        <v>CC14</v>
      </c>
      <c r="O65" s="6530" t="s">
        <v>1208</v>
      </c>
      <c r="P65" s="6531" t="s">
        <v>344</v>
      </c>
      <c r="Q65" s="6531"/>
      <c r="R65" s="6532">
        <v>542</v>
      </c>
      <c r="S65" s="6533" t="s">
        <v>1226</v>
      </c>
      <c r="T65" s="6534" t="s">
        <v>939</v>
      </c>
      <c r="U65" s="6535">
        <v>2009</v>
      </c>
      <c r="V65" s="6531" t="s">
        <v>1209</v>
      </c>
      <c r="W65" s="6536">
        <v>13</v>
      </c>
      <c r="X65" s="6536">
        <v>5</v>
      </c>
      <c r="Y65" s="6536">
        <v>209</v>
      </c>
      <c r="Z65" s="6536" t="s">
        <v>939</v>
      </c>
      <c r="AA65" s="6537">
        <v>1.2</v>
      </c>
      <c r="AB65" s="6538">
        <v>2.5</v>
      </c>
      <c r="AC65" s="6536">
        <v>4118</v>
      </c>
      <c r="AD65" s="6531" t="s">
        <v>944</v>
      </c>
      <c r="AE65" s="6531" t="s">
        <v>1259</v>
      </c>
      <c r="AF65" s="6531" t="s">
        <v>1261</v>
      </c>
      <c r="AG65" s="6531" t="s">
        <v>1262</v>
      </c>
      <c r="AH65" s="6531" t="s">
        <v>1264</v>
      </c>
      <c r="AI65" s="6531"/>
      <c r="AJ65" s="6531"/>
      <c r="AK65" s="6531"/>
      <c r="AL65" s="6534" t="s">
        <v>939</v>
      </c>
      <c r="AM65" s="6534" t="s">
        <v>939</v>
      </c>
      <c r="AN65" s="6534" t="s">
        <v>1300</v>
      </c>
      <c r="AO65" s="6534" t="s">
        <v>1304</v>
      </c>
      <c r="AP65" s="6534" t="s">
        <v>1309</v>
      </c>
      <c r="AQ65" s="6534" t="s">
        <v>939</v>
      </c>
      <c r="AR65" s="6534" t="s">
        <v>939</v>
      </c>
      <c r="AS65" s="6531" t="s">
        <v>1022</v>
      </c>
      <c r="AT65" s="6531" t="s">
        <v>939</v>
      </c>
      <c r="AU65" s="6531"/>
      <c r="AV65" s="6534" t="s">
        <v>939</v>
      </c>
      <c r="AW65" s="6538">
        <v>308</v>
      </c>
      <c r="AX65" s="5133"/>
      <c r="AY65" s="5132"/>
      <c r="AZ65" s="5132"/>
      <c r="BA65" s="5132"/>
      <c r="BB65" s="5132"/>
    </row>
    <row r="66" spans="1:54" s="6520" customFormat="1" ht="12.75" customHeight="1">
      <c r="A66" s="10991" t="str">
        <f t="shared" si="7"/>
        <v>8300-06</v>
      </c>
      <c r="B66" s="10997"/>
      <c r="C66" s="10994"/>
      <c r="E66" s="5132"/>
      <c r="G66" s="6539">
        <v>49</v>
      </c>
      <c r="H66" s="6539">
        <v>65</v>
      </c>
      <c r="I66" s="10979"/>
      <c r="J66" s="10979"/>
      <c r="K66" s="10979">
        <f>+IF(ISNA(VLOOKUP(MATCH(P66,tfn,0),tao,'12(id)'!$K$20,FALSE)),"",IF(J66="NA","",VLOOKUP(MATCH(P66,tfn,0),tao,'12(id)'!$K$20,FALSE)+J66))</f>
        <v>8300</v>
      </c>
      <c r="L66" s="10979">
        <f>+L65</f>
        <v>6</v>
      </c>
      <c r="M66" s="10979" t="str">
        <f t="shared" si="6"/>
        <v>8300-06</v>
      </c>
      <c r="N66" s="10982" t="str">
        <f>+IF(M66="","",VLOOKUP(MATCH(M66,tid,0),tao,'12(id)'!$Q$20,FALSE))</f>
        <v>CC14</v>
      </c>
      <c r="O66" s="6539" t="s">
        <v>1208</v>
      </c>
      <c r="P66" s="6540" t="s">
        <v>344</v>
      </c>
      <c r="Q66" s="6540"/>
      <c r="R66" s="6541">
        <v>542</v>
      </c>
      <c r="S66" s="6542" t="s">
        <v>1226</v>
      </c>
      <c r="T66" s="6543" t="s">
        <v>939</v>
      </c>
      <c r="U66" s="6544">
        <v>2008</v>
      </c>
      <c r="V66" s="6540" t="s">
        <v>1209</v>
      </c>
      <c r="W66" s="6545">
        <v>4</v>
      </c>
      <c r="X66" s="6545">
        <v>5</v>
      </c>
      <c r="Y66" s="6545">
        <v>91</v>
      </c>
      <c r="Z66" s="6545" t="s">
        <v>939</v>
      </c>
      <c r="AA66" s="6546">
        <v>1.2</v>
      </c>
      <c r="AB66" s="6547">
        <v>0.8</v>
      </c>
      <c r="AC66" s="6545">
        <v>1334</v>
      </c>
      <c r="AD66" s="6540" t="s">
        <v>944</v>
      </c>
      <c r="AE66" s="6540" t="s">
        <v>1259</v>
      </c>
      <c r="AF66" s="6540" t="s">
        <v>1261</v>
      </c>
      <c r="AG66" s="6540" t="s">
        <v>1262</v>
      </c>
      <c r="AH66" s="6540" t="s">
        <v>1269</v>
      </c>
      <c r="AI66" s="6540"/>
      <c r="AJ66" s="6540"/>
      <c r="AK66" s="6540"/>
      <c r="AL66" s="6543" t="s">
        <v>939</v>
      </c>
      <c r="AM66" s="6543" t="s">
        <v>939</v>
      </c>
      <c r="AN66" s="6543" t="s">
        <v>1315</v>
      </c>
      <c r="AO66" s="6543" t="s">
        <v>1314</v>
      </c>
      <c r="AP66" s="6543" t="s">
        <v>1309</v>
      </c>
      <c r="AQ66" s="6543" t="s">
        <v>939</v>
      </c>
      <c r="AR66" s="6543" t="s">
        <v>939</v>
      </c>
      <c r="AS66" s="6540" t="s">
        <v>1343</v>
      </c>
      <c r="AT66" s="6540" t="s">
        <v>939</v>
      </c>
      <c r="AU66" s="6540"/>
      <c r="AV66" s="6543" t="s">
        <v>939</v>
      </c>
      <c r="AW66" s="6547">
        <v>308</v>
      </c>
      <c r="AX66" s="5133"/>
      <c r="AY66" s="5132"/>
      <c r="AZ66" s="5132"/>
      <c r="BA66" s="5132"/>
      <c r="BB66" s="5132"/>
    </row>
    <row r="67" spans="1:54" s="6520" customFormat="1" ht="12.75" customHeight="1">
      <c r="A67" s="10989" t="str">
        <f t="shared" si="7"/>
        <v>8300-11</v>
      </c>
      <c r="B67" s="10995" t="str">
        <f>+IF(A67="","",VLOOKUP(MATCH(A67,tid,0),tao,'12(id)'!$J$20,FALSE))</f>
        <v>NRG</v>
      </c>
      <c r="C67" s="10992" t="str">
        <f>+N67</f>
        <v>DV10</v>
      </c>
      <c r="E67" s="5132"/>
      <c r="G67" s="6530">
        <v>50</v>
      </c>
      <c r="H67" s="6530">
        <v>70</v>
      </c>
      <c r="I67" s="10977">
        <v>18</v>
      </c>
      <c r="J67" s="10977"/>
      <c r="K67" s="10977">
        <f>+IF(ISNA(VLOOKUP(MATCH(P67,tfn,0),tao,'12(id)'!$K$20,FALSE)),"",IF(J67="NA","",VLOOKUP(MATCH(P67,tfn,0),tao,'12(id)'!$K$20,FALSE)+J67))</f>
        <v>8300</v>
      </c>
      <c r="L67" s="10977">
        <v>11</v>
      </c>
      <c r="M67" s="10977" t="str">
        <f t="shared" si="6"/>
        <v>8300-11</v>
      </c>
      <c r="N67" s="10980" t="str">
        <f>+IF(M67="","",VLOOKUP(MATCH(M67,tid,0),tao,'12(id)'!$Q$20,FALSE))</f>
        <v>DV10</v>
      </c>
      <c r="O67" s="6530" t="s">
        <v>1208</v>
      </c>
      <c r="P67" s="6531" t="s">
        <v>345</v>
      </c>
      <c r="Q67" s="6531"/>
      <c r="R67" s="6532">
        <v>544</v>
      </c>
      <c r="S67" s="6533" t="s">
        <v>1215</v>
      </c>
      <c r="T67" s="6534" t="s">
        <v>939</v>
      </c>
      <c r="U67" s="6535">
        <v>2010</v>
      </c>
      <c r="V67" s="6531" t="s">
        <v>1209</v>
      </c>
      <c r="W67" s="6536">
        <v>24</v>
      </c>
      <c r="X67" s="6536">
        <v>5</v>
      </c>
      <c r="Y67" s="6536">
        <v>454</v>
      </c>
      <c r="Z67" s="6536" t="s">
        <v>939</v>
      </c>
      <c r="AA67" s="6537">
        <v>1.2</v>
      </c>
      <c r="AB67" s="6538">
        <v>3.3</v>
      </c>
      <c r="AC67" s="6536">
        <v>5575</v>
      </c>
      <c r="AD67" s="6531" t="s">
        <v>944</v>
      </c>
      <c r="AE67" s="6531" t="s">
        <v>1259</v>
      </c>
      <c r="AF67" s="6531" t="s">
        <v>1261</v>
      </c>
      <c r="AG67" s="6531" t="s">
        <v>1262</v>
      </c>
      <c r="AH67" s="6531" t="s">
        <v>1270</v>
      </c>
      <c r="AI67" s="6531"/>
      <c r="AJ67" s="6531"/>
      <c r="AK67" s="6531"/>
      <c r="AL67" s="6534" t="s">
        <v>939</v>
      </c>
      <c r="AM67" s="6534" t="s">
        <v>939</v>
      </c>
      <c r="AN67" s="6534" t="s">
        <v>1300</v>
      </c>
      <c r="AO67" s="6534" t="s">
        <v>1304</v>
      </c>
      <c r="AP67" s="6534" t="s">
        <v>1309</v>
      </c>
      <c r="AQ67" s="6534" t="s">
        <v>939</v>
      </c>
      <c r="AR67" s="6534" t="s">
        <v>939</v>
      </c>
      <c r="AS67" s="6534" t="s">
        <v>939</v>
      </c>
      <c r="AT67" s="6534" t="s">
        <v>939</v>
      </c>
      <c r="AU67" s="6534"/>
      <c r="AV67" s="6534" t="s">
        <v>939</v>
      </c>
      <c r="AW67" s="6538">
        <v>230</v>
      </c>
      <c r="AX67" s="5133"/>
      <c r="AY67" s="5132"/>
      <c r="AZ67" s="5132"/>
      <c r="BA67" s="5132"/>
      <c r="BB67" s="5132"/>
    </row>
    <row r="68" spans="1:54" s="6520" customFormat="1" ht="12.75" customHeight="1">
      <c r="A68" s="10990" t="str">
        <f t="shared" si="7"/>
        <v>8300-11</v>
      </c>
      <c r="B68" s="10996"/>
      <c r="C68" s="10993"/>
      <c r="E68" s="5132"/>
      <c r="G68" s="6530">
        <v>51</v>
      </c>
      <c r="H68" s="6530">
        <v>69</v>
      </c>
      <c r="I68" s="10978"/>
      <c r="J68" s="10978"/>
      <c r="K68" s="10978">
        <f>+IF(ISNA(VLOOKUP(MATCH(P68,tfn,0),tao,'12(id)'!$K$20,FALSE)),"",IF(J68="NA","",VLOOKUP(MATCH(P68,tfn,0),tao,'12(id)'!$K$20,FALSE)+J68))</f>
        <v>8300</v>
      </c>
      <c r="L68" s="10978">
        <f>+L67</f>
        <v>11</v>
      </c>
      <c r="M68" s="10978" t="str">
        <f t="shared" si="6"/>
        <v>8300-11</v>
      </c>
      <c r="N68" s="10981" t="str">
        <f>+IF(M68="","",VLOOKUP(MATCH(M68,tid,0),tao,'12(id)'!$Q$20,FALSE))</f>
        <v>DV10</v>
      </c>
      <c r="O68" s="6530" t="s">
        <v>1208</v>
      </c>
      <c r="P68" s="6531" t="s">
        <v>345</v>
      </c>
      <c r="Q68" s="6531"/>
      <c r="R68" s="6532">
        <v>544</v>
      </c>
      <c r="S68" s="6533" t="s">
        <v>1215</v>
      </c>
      <c r="T68" s="6534" t="s">
        <v>939</v>
      </c>
      <c r="U68" s="6535">
        <v>2009</v>
      </c>
      <c r="V68" s="6531" t="s">
        <v>1209</v>
      </c>
      <c r="W68" s="6536">
        <v>4</v>
      </c>
      <c r="X68" s="6536">
        <v>5</v>
      </c>
      <c r="Y68" s="6536">
        <v>65</v>
      </c>
      <c r="Z68" s="6536" t="s">
        <v>939</v>
      </c>
      <c r="AA68" s="6537">
        <v>1.2</v>
      </c>
      <c r="AB68" s="6538">
        <v>0.5</v>
      </c>
      <c r="AC68" s="6536">
        <v>869</v>
      </c>
      <c r="AD68" s="6531" t="s">
        <v>944</v>
      </c>
      <c r="AE68" s="6531" t="s">
        <v>1259</v>
      </c>
      <c r="AF68" s="6531" t="s">
        <v>1261</v>
      </c>
      <c r="AG68" s="6531" t="s">
        <v>1262</v>
      </c>
      <c r="AH68" s="6531" t="s">
        <v>1270</v>
      </c>
      <c r="AI68" s="6531"/>
      <c r="AJ68" s="6531"/>
      <c r="AK68" s="6531"/>
      <c r="AL68" s="6534" t="s">
        <v>939</v>
      </c>
      <c r="AM68" s="6534" t="s">
        <v>939</v>
      </c>
      <c r="AN68" s="6534" t="s">
        <v>1300</v>
      </c>
      <c r="AO68" s="6534" t="s">
        <v>1304</v>
      </c>
      <c r="AP68" s="6534" t="s">
        <v>1309</v>
      </c>
      <c r="AQ68" s="6534" t="s">
        <v>939</v>
      </c>
      <c r="AR68" s="6534" t="s">
        <v>939</v>
      </c>
      <c r="AS68" s="6534" t="s">
        <v>939</v>
      </c>
      <c r="AT68" s="6534" t="s">
        <v>939</v>
      </c>
      <c r="AU68" s="6534"/>
      <c r="AV68" s="6534" t="s">
        <v>939</v>
      </c>
      <c r="AW68" s="6538">
        <v>230</v>
      </c>
      <c r="AX68" s="5133"/>
      <c r="AY68" s="5132"/>
      <c r="AZ68" s="5132"/>
      <c r="BA68" s="5132"/>
      <c r="BB68" s="5132"/>
    </row>
    <row r="69" spans="1:54" s="6520" customFormat="1" ht="12.75" customHeight="1">
      <c r="A69" s="10991" t="str">
        <f t="shared" si="7"/>
        <v>8300-11</v>
      </c>
      <c r="B69" s="10997"/>
      <c r="C69" s="10994"/>
      <c r="E69" s="5132"/>
      <c r="G69" s="6539">
        <v>52</v>
      </c>
      <c r="H69" s="6539">
        <v>68</v>
      </c>
      <c r="I69" s="10979"/>
      <c r="J69" s="10979"/>
      <c r="K69" s="10979">
        <f>+IF(ISNA(VLOOKUP(MATCH(P69,tfn,0),tao,'12(id)'!$K$20,FALSE)),"",IF(J69="NA","",VLOOKUP(MATCH(P69,tfn,0),tao,'12(id)'!$K$20,FALSE)+J69))</f>
        <v>8300</v>
      </c>
      <c r="L69" s="10979">
        <f>+L68</f>
        <v>11</v>
      </c>
      <c r="M69" s="10979" t="str">
        <f t="shared" si="6"/>
        <v>8300-11</v>
      </c>
      <c r="N69" s="10982" t="str">
        <f>+IF(M69="","",VLOOKUP(MATCH(M69,tid,0),tao,'12(id)'!$Q$20,FALSE))</f>
        <v>DV10</v>
      </c>
      <c r="O69" s="6539" t="s">
        <v>1208</v>
      </c>
      <c r="P69" s="6540" t="s">
        <v>345</v>
      </c>
      <c r="Q69" s="6540"/>
      <c r="R69" s="6541">
        <v>544</v>
      </c>
      <c r="S69" s="6542" t="s">
        <v>1215</v>
      </c>
      <c r="T69" s="6543" t="s">
        <v>939</v>
      </c>
      <c r="U69" s="6544">
        <v>2008</v>
      </c>
      <c r="V69" s="6540" t="s">
        <v>1209</v>
      </c>
      <c r="W69" s="6545">
        <v>6</v>
      </c>
      <c r="X69" s="6545">
        <v>5</v>
      </c>
      <c r="Y69" s="6545">
        <v>112</v>
      </c>
      <c r="Z69" s="6545" t="s">
        <v>939</v>
      </c>
      <c r="AA69" s="6546">
        <v>1.2</v>
      </c>
      <c r="AB69" s="6547">
        <v>0.8</v>
      </c>
      <c r="AC69" s="6545">
        <v>1352</v>
      </c>
      <c r="AD69" s="6540" t="s">
        <v>944</v>
      </c>
      <c r="AE69" s="6540" t="s">
        <v>1259</v>
      </c>
      <c r="AF69" s="6540" t="s">
        <v>1261</v>
      </c>
      <c r="AG69" s="6540" t="s">
        <v>1262</v>
      </c>
      <c r="AH69" s="6540" t="s">
        <v>1270</v>
      </c>
      <c r="AI69" s="6540"/>
      <c r="AJ69" s="6540"/>
      <c r="AK69" s="6540"/>
      <c r="AL69" s="6543" t="s">
        <v>939</v>
      </c>
      <c r="AM69" s="6543" t="s">
        <v>939</v>
      </c>
      <c r="AN69" s="6543" t="s">
        <v>1300</v>
      </c>
      <c r="AO69" s="6543" t="s">
        <v>1304</v>
      </c>
      <c r="AP69" s="6543" t="s">
        <v>1309</v>
      </c>
      <c r="AQ69" s="6543" t="s">
        <v>939</v>
      </c>
      <c r="AR69" s="6543" t="s">
        <v>939</v>
      </c>
      <c r="AS69" s="6543" t="s">
        <v>939</v>
      </c>
      <c r="AT69" s="6543" t="s">
        <v>939</v>
      </c>
      <c r="AU69" s="6543"/>
      <c r="AV69" s="6543" t="s">
        <v>939</v>
      </c>
      <c r="AW69" s="6547">
        <v>230</v>
      </c>
      <c r="AX69" s="5133"/>
      <c r="AY69" s="5132"/>
      <c r="AZ69" s="5132"/>
      <c r="BA69" s="5132"/>
      <c r="BB69" s="5132"/>
    </row>
    <row r="70" spans="1:54" s="6520" customFormat="1" ht="12.75" customHeight="1">
      <c r="A70" s="10989" t="str">
        <f t="shared" si="7"/>
        <v>8300-12</v>
      </c>
      <c r="B70" s="10995" t="str">
        <f>+IF(A70="","",VLOOKUP(MATCH(A70,tid,0),tao,'12(id)'!$J$20,FALSE))</f>
        <v>NRG</v>
      </c>
      <c r="C70" s="10992" t="str">
        <f>+N70</f>
        <v>DV11</v>
      </c>
      <c r="E70" s="5132"/>
      <c r="G70" s="6530">
        <v>53</v>
      </c>
      <c r="H70" s="6530">
        <v>73</v>
      </c>
      <c r="I70" s="10977">
        <v>19</v>
      </c>
      <c r="J70" s="10977"/>
      <c r="K70" s="10977">
        <f>+IF(ISNA(VLOOKUP(MATCH(P70,tfn,0),tao,'12(id)'!$K$20,FALSE)),"",IF(J70="NA","",VLOOKUP(MATCH(P70,tfn,0),tao,'12(id)'!$K$20,FALSE)+J70))</f>
        <v>8300</v>
      </c>
      <c r="L70" s="10977">
        <f>1+L67</f>
        <v>12</v>
      </c>
      <c r="M70" s="10977" t="str">
        <f t="shared" si="6"/>
        <v>8300-12</v>
      </c>
      <c r="N70" s="10980" t="str">
        <f>+IF(M70="","",VLOOKUP(MATCH(M70,tid,0),tao,'12(id)'!$Q$20,FALSE))</f>
        <v>DV11</v>
      </c>
      <c r="O70" s="6530" t="s">
        <v>1208</v>
      </c>
      <c r="P70" s="6531" t="s">
        <v>345</v>
      </c>
      <c r="Q70" s="6531"/>
      <c r="R70" s="6532">
        <v>544</v>
      </c>
      <c r="S70" s="6533" t="s">
        <v>1223</v>
      </c>
      <c r="T70" s="6534" t="s">
        <v>939</v>
      </c>
      <c r="U70" s="6535">
        <v>2010</v>
      </c>
      <c r="V70" s="6531" t="s">
        <v>1209</v>
      </c>
      <c r="W70" s="6536">
        <v>82</v>
      </c>
      <c r="X70" s="6536">
        <v>5</v>
      </c>
      <c r="Y70" s="6536">
        <v>2522</v>
      </c>
      <c r="Z70" s="6536" t="s">
        <v>939</v>
      </c>
      <c r="AA70" s="6537">
        <v>0.14000000000000001</v>
      </c>
      <c r="AB70" s="6538">
        <v>1.9</v>
      </c>
      <c r="AC70" s="6536">
        <v>26237</v>
      </c>
      <c r="AD70" s="6531" t="s">
        <v>944</v>
      </c>
      <c r="AE70" s="6531" t="s">
        <v>1259</v>
      </c>
      <c r="AF70" s="6531" t="s">
        <v>1261</v>
      </c>
      <c r="AG70" s="6531" t="s">
        <v>1262</v>
      </c>
      <c r="AH70" s="6531" t="s">
        <v>1270</v>
      </c>
      <c r="AI70" s="6531"/>
      <c r="AJ70" s="6531"/>
      <c r="AK70" s="6531"/>
      <c r="AL70" s="6531" t="s">
        <v>1303</v>
      </c>
      <c r="AM70" s="6531" t="s">
        <v>939</v>
      </c>
      <c r="AN70" s="6531" t="s">
        <v>1300</v>
      </c>
      <c r="AO70" s="6531" t="s">
        <v>1304</v>
      </c>
      <c r="AP70" s="6531" t="s">
        <v>1305</v>
      </c>
      <c r="AQ70" s="6531" t="s">
        <v>1309</v>
      </c>
      <c r="AR70" s="6534" t="s">
        <v>939</v>
      </c>
      <c r="AS70" s="6531" t="s">
        <v>1022</v>
      </c>
      <c r="AT70" s="6531" t="s">
        <v>939</v>
      </c>
      <c r="AU70" s="6531"/>
      <c r="AV70" s="6534" t="s">
        <v>939</v>
      </c>
      <c r="AW70" s="6538">
        <v>415</v>
      </c>
      <c r="AX70" s="5133"/>
      <c r="AY70" s="5132"/>
      <c r="AZ70" s="5132"/>
      <c r="BA70" s="5132"/>
      <c r="BB70" s="5132"/>
    </row>
    <row r="71" spans="1:54" s="6520" customFormat="1" ht="12.75" customHeight="1">
      <c r="A71" s="10990" t="str">
        <f t="shared" si="7"/>
        <v>8300-12</v>
      </c>
      <c r="B71" s="10996"/>
      <c r="C71" s="10993"/>
      <c r="E71" s="5132"/>
      <c r="G71" s="6530">
        <v>54</v>
      </c>
      <c r="H71" s="6530">
        <v>72</v>
      </c>
      <c r="I71" s="10978"/>
      <c r="J71" s="10978"/>
      <c r="K71" s="10978">
        <f>+IF(ISNA(VLOOKUP(MATCH(P71,tfn,0),tao,'12(id)'!$K$20,FALSE)),"",IF(J71="NA","",VLOOKUP(MATCH(P71,tfn,0),tao,'12(id)'!$K$20,FALSE)+J71))</f>
        <v>8300</v>
      </c>
      <c r="L71" s="10978">
        <f>+L70</f>
        <v>12</v>
      </c>
      <c r="M71" s="10978" t="str">
        <f t="shared" si="6"/>
        <v>8300-12</v>
      </c>
      <c r="N71" s="10981" t="str">
        <f>+IF(M71="","",VLOOKUP(MATCH(M71,tid,0),tao,'12(id)'!$Q$20,FALSE))</f>
        <v>DV11</v>
      </c>
      <c r="O71" s="6530" t="s">
        <v>1208</v>
      </c>
      <c r="P71" s="6531" t="s">
        <v>345</v>
      </c>
      <c r="Q71" s="6531"/>
      <c r="R71" s="6532">
        <v>544</v>
      </c>
      <c r="S71" s="6533" t="s">
        <v>1223</v>
      </c>
      <c r="T71" s="6534" t="s">
        <v>939</v>
      </c>
      <c r="U71" s="6535">
        <v>2009</v>
      </c>
      <c r="V71" s="6531" t="s">
        <v>1209</v>
      </c>
      <c r="W71" s="6536">
        <v>18</v>
      </c>
      <c r="X71" s="6536">
        <v>5</v>
      </c>
      <c r="Y71" s="6536">
        <v>496</v>
      </c>
      <c r="Z71" s="6536" t="s">
        <v>939</v>
      </c>
      <c r="AA71" s="6537">
        <v>0.15</v>
      </c>
      <c r="AB71" s="6538">
        <v>0.4</v>
      </c>
      <c r="AC71" s="6536">
        <v>5266</v>
      </c>
      <c r="AD71" s="6531" t="s">
        <v>944</v>
      </c>
      <c r="AE71" s="6531" t="s">
        <v>1259</v>
      </c>
      <c r="AF71" s="6531" t="s">
        <v>1261</v>
      </c>
      <c r="AG71" s="6531" t="s">
        <v>1262</v>
      </c>
      <c r="AH71" s="6531" t="s">
        <v>1270</v>
      </c>
      <c r="AI71" s="6531"/>
      <c r="AJ71" s="6531"/>
      <c r="AK71" s="6531"/>
      <c r="AL71" s="6531" t="s">
        <v>1303</v>
      </c>
      <c r="AM71" s="6531" t="s">
        <v>939</v>
      </c>
      <c r="AN71" s="6531" t="s">
        <v>1300</v>
      </c>
      <c r="AO71" s="6531" t="s">
        <v>1304</v>
      </c>
      <c r="AP71" s="6531" t="s">
        <v>1305</v>
      </c>
      <c r="AQ71" s="6531" t="s">
        <v>1309</v>
      </c>
      <c r="AR71" s="6534" t="s">
        <v>939</v>
      </c>
      <c r="AS71" s="6531" t="s">
        <v>1022</v>
      </c>
      <c r="AT71" s="6531" t="s">
        <v>939</v>
      </c>
      <c r="AU71" s="6531"/>
      <c r="AV71" s="6534" t="s">
        <v>939</v>
      </c>
      <c r="AW71" s="6538">
        <v>415</v>
      </c>
      <c r="AX71" s="5133"/>
      <c r="AY71" s="5132"/>
      <c r="AZ71" s="5132"/>
      <c r="BA71" s="5132"/>
      <c r="BB71" s="5132"/>
    </row>
    <row r="72" spans="1:54" s="6520" customFormat="1" ht="12.75" customHeight="1">
      <c r="A72" s="10991" t="str">
        <f t="shared" si="7"/>
        <v>8300-12</v>
      </c>
      <c r="B72" s="10997"/>
      <c r="C72" s="10994"/>
      <c r="E72" s="5132"/>
      <c r="G72" s="6539">
        <v>55</v>
      </c>
      <c r="H72" s="6539">
        <v>71</v>
      </c>
      <c r="I72" s="10979"/>
      <c r="J72" s="10979"/>
      <c r="K72" s="10979">
        <f>+IF(ISNA(VLOOKUP(MATCH(P72,tfn,0),tao,'12(id)'!$K$20,FALSE)),"",IF(J72="NA","",VLOOKUP(MATCH(P72,tfn,0),tao,'12(id)'!$K$20,FALSE)+J72))</f>
        <v>8300</v>
      </c>
      <c r="L72" s="10979">
        <f>+L71</f>
        <v>12</v>
      </c>
      <c r="M72" s="10979" t="str">
        <f t="shared" si="6"/>
        <v>8300-12</v>
      </c>
      <c r="N72" s="10982" t="str">
        <f>+IF(M72="","",VLOOKUP(MATCH(M72,tid,0),tao,'12(id)'!$Q$20,FALSE))</f>
        <v>DV11</v>
      </c>
      <c r="O72" s="6539" t="s">
        <v>1208</v>
      </c>
      <c r="P72" s="6540" t="s">
        <v>345</v>
      </c>
      <c r="Q72" s="6540"/>
      <c r="R72" s="6541">
        <v>544</v>
      </c>
      <c r="S72" s="6542" t="s">
        <v>1223</v>
      </c>
      <c r="T72" s="6543" t="s">
        <v>939</v>
      </c>
      <c r="U72" s="6544">
        <v>2008</v>
      </c>
      <c r="V72" s="6540" t="s">
        <v>1209</v>
      </c>
      <c r="W72" s="6545">
        <v>16</v>
      </c>
      <c r="X72" s="6545">
        <v>5</v>
      </c>
      <c r="Y72" s="6545">
        <v>502</v>
      </c>
      <c r="Z72" s="6545" t="s">
        <v>939</v>
      </c>
      <c r="AA72" s="6546">
        <v>0.16</v>
      </c>
      <c r="AB72" s="6547">
        <v>0.4</v>
      </c>
      <c r="AC72" s="6545">
        <v>5219</v>
      </c>
      <c r="AD72" s="6540" t="s">
        <v>944</v>
      </c>
      <c r="AE72" s="6540" t="s">
        <v>1259</v>
      </c>
      <c r="AF72" s="6540" t="s">
        <v>1261</v>
      </c>
      <c r="AG72" s="6540" t="s">
        <v>1262</v>
      </c>
      <c r="AH72" s="6540" t="s">
        <v>1270</v>
      </c>
      <c r="AI72" s="6540"/>
      <c r="AJ72" s="6540"/>
      <c r="AK72" s="6540"/>
      <c r="AL72" s="6540" t="s">
        <v>1303</v>
      </c>
      <c r="AM72" s="6540" t="s">
        <v>939</v>
      </c>
      <c r="AN72" s="6540" t="s">
        <v>1300</v>
      </c>
      <c r="AO72" s="6540" t="s">
        <v>1304</v>
      </c>
      <c r="AP72" s="6540" t="s">
        <v>1305</v>
      </c>
      <c r="AQ72" s="6540" t="s">
        <v>1309</v>
      </c>
      <c r="AR72" s="6543" t="s">
        <v>939</v>
      </c>
      <c r="AS72" s="6540" t="s">
        <v>1022</v>
      </c>
      <c r="AT72" s="6540" t="s">
        <v>939</v>
      </c>
      <c r="AU72" s="6540"/>
      <c r="AV72" s="6543" t="s">
        <v>939</v>
      </c>
      <c r="AW72" s="6547">
        <v>400</v>
      </c>
      <c r="AX72" s="5133"/>
      <c r="AY72" s="5132"/>
      <c r="AZ72" s="5132"/>
      <c r="BA72" s="5132"/>
      <c r="BB72" s="5132"/>
    </row>
    <row r="73" spans="1:54" s="6520" customFormat="1" ht="12.75" customHeight="1">
      <c r="A73" s="10989" t="str">
        <f t="shared" si="7"/>
        <v>8300-13</v>
      </c>
      <c r="B73" s="10995" t="str">
        <f>+IF(A73="","",VLOOKUP(MATCH(A73,tid,0),tao,'12(id)'!$J$20,FALSE))</f>
        <v>NRG</v>
      </c>
      <c r="C73" s="10992" t="str">
        <f>+N73</f>
        <v>DV12</v>
      </c>
      <c r="E73" s="5132"/>
      <c r="G73" s="6530">
        <v>56</v>
      </c>
      <c r="H73" s="6530">
        <v>76</v>
      </c>
      <c r="I73" s="10977">
        <v>20</v>
      </c>
      <c r="J73" s="10977"/>
      <c r="K73" s="10977">
        <f>+IF(ISNA(VLOOKUP(MATCH(P73,tfn,0),tao,'12(id)'!$K$20,FALSE)),"",IF(J73="NA","",VLOOKUP(MATCH(P73,tfn,0),tao,'12(id)'!$K$20,FALSE)+J73))</f>
        <v>8300</v>
      </c>
      <c r="L73" s="10977">
        <f>1+L70</f>
        <v>13</v>
      </c>
      <c r="M73" s="10977" t="str">
        <f t="shared" si="6"/>
        <v>8300-13</v>
      </c>
      <c r="N73" s="10980" t="str">
        <f>+IF(M73="","",VLOOKUP(MATCH(M73,tid,0),tao,'12(id)'!$Q$20,FALSE))</f>
        <v>DV12</v>
      </c>
      <c r="O73" s="6530" t="s">
        <v>1208</v>
      </c>
      <c r="P73" s="6531" t="s">
        <v>345</v>
      </c>
      <c r="Q73" s="6531"/>
      <c r="R73" s="6532">
        <v>544</v>
      </c>
      <c r="S73" s="6533" t="s">
        <v>1224</v>
      </c>
      <c r="T73" s="6534" t="s">
        <v>939</v>
      </c>
      <c r="U73" s="6535">
        <v>2010</v>
      </c>
      <c r="V73" s="6531" t="s">
        <v>1209</v>
      </c>
      <c r="W73" s="6536">
        <v>57</v>
      </c>
      <c r="X73" s="6536">
        <v>5</v>
      </c>
      <c r="Y73" s="6536">
        <v>1771</v>
      </c>
      <c r="Z73" s="6536" t="s">
        <v>939</v>
      </c>
      <c r="AA73" s="6537">
        <v>0.13</v>
      </c>
      <c r="AB73" s="6538">
        <v>1.2</v>
      </c>
      <c r="AC73" s="6536">
        <v>18265</v>
      </c>
      <c r="AD73" s="6531" t="s">
        <v>944</v>
      </c>
      <c r="AE73" s="6531" t="s">
        <v>1259</v>
      </c>
      <c r="AF73" s="6531" t="s">
        <v>1261</v>
      </c>
      <c r="AG73" s="6531" t="s">
        <v>1262</v>
      </c>
      <c r="AH73" s="6531" t="s">
        <v>1270</v>
      </c>
      <c r="AI73" s="6531"/>
      <c r="AJ73" s="6531"/>
      <c r="AK73" s="6531"/>
      <c r="AL73" s="6531" t="s">
        <v>1303</v>
      </c>
      <c r="AM73" s="6531" t="s">
        <v>939</v>
      </c>
      <c r="AN73" s="6531" t="s">
        <v>1300</v>
      </c>
      <c r="AO73" s="6531" t="s">
        <v>1304</v>
      </c>
      <c r="AP73" s="6531" t="s">
        <v>1305</v>
      </c>
      <c r="AQ73" s="6531" t="s">
        <v>1309</v>
      </c>
      <c r="AR73" s="6534" t="s">
        <v>939</v>
      </c>
      <c r="AS73" s="6531" t="s">
        <v>1022</v>
      </c>
      <c r="AT73" s="6531" t="s">
        <v>939</v>
      </c>
      <c r="AU73" s="6531"/>
      <c r="AV73" s="6534" t="s">
        <v>939</v>
      </c>
      <c r="AW73" s="6538">
        <v>415</v>
      </c>
      <c r="AX73" s="5133"/>
      <c r="AY73" s="5132"/>
      <c r="AZ73" s="5132"/>
      <c r="BA73" s="5132"/>
      <c r="BB73" s="5132"/>
    </row>
    <row r="74" spans="1:54" s="6520" customFormat="1" ht="12.75" customHeight="1">
      <c r="A74" s="10990" t="str">
        <f t="shared" si="7"/>
        <v>8300-13</v>
      </c>
      <c r="B74" s="10996"/>
      <c r="C74" s="10993"/>
      <c r="E74" s="5132"/>
      <c r="G74" s="6530">
        <v>57</v>
      </c>
      <c r="H74" s="6530">
        <v>75</v>
      </c>
      <c r="I74" s="10978"/>
      <c r="J74" s="10978"/>
      <c r="K74" s="10978">
        <f>+IF(ISNA(VLOOKUP(MATCH(P74,tfn,0),tao,'12(id)'!$K$20,FALSE)),"",IF(J74="NA","",VLOOKUP(MATCH(P74,tfn,0),tao,'12(id)'!$K$20,FALSE)+J74))</f>
        <v>8300</v>
      </c>
      <c r="L74" s="10978">
        <f>+L73</f>
        <v>13</v>
      </c>
      <c r="M74" s="10978" t="str">
        <f t="shared" si="6"/>
        <v>8300-13</v>
      </c>
      <c r="N74" s="10981" t="str">
        <f>+IF(M74="","",VLOOKUP(MATCH(M74,tid,0),tao,'12(id)'!$Q$20,FALSE))</f>
        <v>DV12</v>
      </c>
      <c r="O74" s="6530" t="s">
        <v>1208</v>
      </c>
      <c r="P74" s="6531" t="s">
        <v>345</v>
      </c>
      <c r="Q74" s="6531"/>
      <c r="R74" s="6532">
        <v>544</v>
      </c>
      <c r="S74" s="6533" t="s">
        <v>1224</v>
      </c>
      <c r="T74" s="6534" t="s">
        <v>939</v>
      </c>
      <c r="U74" s="6535">
        <v>2009</v>
      </c>
      <c r="V74" s="6531" t="s">
        <v>1209</v>
      </c>
      <c r="W74" s="6536">
        <v>13</v>
      </c>
      <c r="X74" s="6536">
        <v>5</v>
      </c>
      <c r="Y74" s="6536">
        <v>359</v>
      </c>
      <c r="Z74" s="6536" t="s">
        <v>939</v>
      </c>
      <c r="AA74" s="6537">
        <v>0.12</v>
      </c>
      <c r="AB74" s="6538">
        <v>0.3</v>
      </c>
      <c r="AC74" s="6536">
        <v>4096</v>
      </c>
      <c r="AD74" s="6531" t="s">
        <v>944</v>
      </c>
      <c r="AE74" s="6531" t="s">
        <v>1259</v>
      </c>
      <c r="AF74" s="6531" t="s">
        <v>1261</v>
      </c>
      <c r="AG74" s="6531" t="s">
        <v>1262</v>
      </c>
      <c r="AH74" s="6531" t="s">
        <v>1270</v>
      </c>
      <c r="AI74" s="6531"/>
      <c r="AJ74" s="6531"/>
      <c r="AK74" s="6531"/>
      <c r="AL74" s="6531" t="s">
        <v>1303</v>
      </c>
      <c r="AM74" s="6531" t="s">
        <v>939</v>
      </c>
      <c r="AN74" s="6531" t="s">
        <v>1300</v>
      </c>
      <c r="AO74" s="6531" t="s">
        <v>1304</v>
      </c>
      <c r="AP74" s="6531" t="s">
        <v>1305</v>
      </c>
      <c r="AQ74" s="6531" t="s">
        <v>1309</v>
      </c>
      <c r="AR74" s="6534" t="s">
        <v>939</v>
      </c>
      <c r="AS74" s="6531" t="s">
        <v>1022</v>
      </c>
      <c r="AT74" s="6531" t="s">
        <v>939</v>
      </c>
      <c r="AU74" s="6531"/>
      <c r="AV74" s="6534" t="s">
        <v>939</v>
      </c>
      <c r="AW74" s="6538">
        <v>415</v>
      </c>
      <c r="AX74" s="5133"/>
      <c r="AY74" s="5132"/>
      <c r="AZ74" s="5132"/>
      <c r="BA74" s="5132"/>
      <c r="BB74" s="5132"/>
    </row>
    <row r="75" spans="1:54" s="6520" customFormat="1" ht="12.75" customHeight="1">
      <c r="A75" s="10991" t="str">
        <f t="shared" ref="A75:A106" si="8">+IF(M75="","",M75)</f>
        <v>8300-13</v>
      </c>
      <c r="B75" s="10997"/>
      <c r="C75" s="10994"/>
      <c r="E75" s="5132"/>
      <c r="G75" s="6539">
        <v>58</v>
      </c>
      <c r="H75" s="6539">
        <v>74</v>
      </c>
      <c r="I75" s="10979"/>
      <c r="J75" s="10979"/>
      <c r="K75" s="10979">
        <f>+IF(ISNA(VLOOKUP(MATCH(P75,tfn,0),tao,'12(id)'!$K$20,FALSE)),"",IF(J75="NA","",VLOOKUP(MATCH(P75,tfn,0),tao,'12(id)'!$K$20,FALSE)+J75))</f>
        <v>8300</v>
      </c>
      <c r="L75" s="10979">
        <f>+L74</f>
        <v>13</v>
      </c>
      <c r="M75" s="10979" t="str">
        <f t="shared" si="6"/>
        <v>8300-13</v>
      </c>
      <c r="N75" s="10982" t="str">
        <f>+IF(M75="","",VLOOKUP(MATCH(M75,tid,0),tao,'12(id)'!$Q$20,FALSE))</f>
        <v>DV12</v>
      </c>
      <c r="O75" s="6539" t="s">
        <v>1208</v>
      </c>
      <c r="P75" s="6540" t="s">
        <v>345</v>
      </c>
      <c r="Q75" s="6540"/>
      <c r="R75" s="6541">
        <v>544</v>
      </c>
      <c r="S75" s="6542" t="s">
        <v>1224</v>
      </c>
      <c r="T75" s="6543" t="s">
        <v>939</v>
      </c>
      <c r="U75" s="6544">
        <v>2008</v>
      </c>
      <c r="V75" s="6540" t="s">
        <v>1209</v>
      </c>
      <c r="W75" s="6545">
        <v>16</v>
      </c>
      <c r="X75" s="6545">
        <v>5</v>
      </c>
      <c r="Y75" s="6545">
        <v>470</v>
      </c>
      <c r="Z75" s="6545" t="s">
        <v>939</v>
      </c>
      <c r="AA75" s="6546">
        <v>0.13</v>
      </c>
      <c r="AB75" s="6547">
        <v>0.4</v>
      </c>
      <c r="AC75" s="6545">
        <v>5499</v>
      </c>
      <c r="AD75" s="6540" t="s">
        <v>944</v>
      </c>
      <c r="AE75" s="6540" t="s">
        <v>1259</v>
      </c>
      <c r="AF75" s="6540" t="s">
        <v>1261</v>
      </c>
      <c r="AG75" s="6540" t="s">
        <v>1262</v>
      </c>
      <c r="AH75" s="6540" t="s">
        <v>1270</v>
      </c>
      <c r="AI75" s="6540"/>
      <c r="AJ75" s="6540"/>
      <c r="AK75" s="6540"/>
      <c r="AL75" s="6540" t="s">
        <v>1303</v>
      </c>
      <c r="AM75" s="6540" t="s">
        <v>939</v>
      </c>
      <c r="AN75" s="6540" t="s">
        <v>1300</v>
      </c>
      <c r="AO75" s="6540" t="s">
        <v>1304</v>
      </c>
      <c r="AP75" s="6540" t="s">
        <v>1305</v>
      </c>
      <c r="AQ75" s="6540" t="s">
        <v>1309</v>
      </c>
      <c r="AR75" s="6543" t="s">
        <v>939</v>
      </c>
      <c r="AS75" s="6540" t="s">
        <v>1022</v>
      </c>
      <c r="AT75" s="6540" t="s">
        <v>939</v>
      </c>
      <c r="AU75" s="6540"/>
      <c r="AV75" s="6543" t="s">
        <v>939</v>
      </c>
      <c r="AW75" s="6547">
        <v>400</v>
      </c>
      <c r="AX75" s="5133"/>
      <c r="AY75" s="5132"/>
      <c r="AZ75" s="5132"/>
      <c r="BA75" s="5132"/>
      <c r="BB75" s="5132"/>
    </row>
    <row r="76" spans="1:54" s="6520" customFormat="1" ht="12.75" customHeight="1">
      <c r="A76" s="10989" t="str">
        <f t="shared" si="8"/>
        <v>8300-14</v>
      </c>
      <c r="B76" s="10995" t="str">
        <f>+IF(A76="","",VLOOKUP(MATCH(A76,tid,0),tao,'12(id)'!$J$20,FALSE))</f>
        <v>NRG</v>
      </c>
      <c r="C76" s="10992" t="str">
        <f>+N76</f>
        <v>DV13</v>
      </c>
      <c r="E76" s="5132"/>
      <c r="G76" s="6530">
        <v>59</v>
      </c>
      <c r="H76" s="6530">
        <v>79</v>
      </c>
      <c r="I76" s="10977">
        <v>21</v>
      </c>
      <c r="J76" s="10977"/>
      <c r="K76" s="10977">
        <f>+IF(ISNA(VLOOKUP(MATCH(P76,tfn,0),tao,'12(id)'!$K$20,FALSE)),"",IF(J76="NA","",VLOOKUP(MATCH(P76,tfn,0),tao,'12(id)'!$K$20,FALSE)+J76))</f>
        <v>8300</v>
      </c>
      <c r="L76" s="10977">
        <f>1+L73</f>
        <v>14</v>
      </c>
      <c r="M76" s="10977" t="str">
        <f t="shared" si="6"/>
        <v>8300-14</v>
      </c>
      <c r="N76" s="10980" t="str">
        <f>+IF(M76="","",VLOOKUP(MATCH(M76,tid,0),tao,'12(id)'!$Q$20,FALSE))</f>
        <v>DV13</v>
      </c>
      <c r="O76" s="6530" t="s">
        <v>1208</v>
      </c>
      <c r="P76" s="6531" t="s">
        <v>345</v>
      </c>
      <c r="Q76" s="6531"/>
      <c r="R76" s="6532">
        <v>544</v>
      </c>
      <c r="S76" s="6533" t="s">
        <v>1225</v>
      </c>
      <c r="T76" s="6534" t="s">
        <v>939</v>
      </c>
      <c r="U76" s="6535">
        <v>2010</v>
      </c>
      <c r="V76" s="6531" t="s">
        <v>1209</v>
      </c>
      <c r="W76" s="6536">
        <v>85</v>
      </c>
      <c r="X76" s="6536">
        <v>5</v>
      </c>
      <c r="Y76" s="6536">
        <v>2654</v>
      </c>
      <c r="Z76" s="6536" t="s">
        <v>939</v>
      </c>
      <c r="AA76" s="6537">
        <v>0.15</v>
      </c>
      <c r="AB76" s="6538">
        <v>2.2000000000000002</v>
      </c>
      <c r="AC76" s="6536">
        <v>27875</v>
      </c>
      <c r="AD76" s="6531" t="s">
        <v>944</v>
      </c>
      <c r="AE76" s="6531" t="s">
        <v>1259</v>
      </c>
      <c r="AF76" s="6531" t="s">
        <v>1261</v>
      </c>
      <c r="AG76" s="6531" t="s">
        <v>1262</v>
      </c>
      <c r="AH76" s="6531" t="s">
        <v>1270</v>
      </c>
      <c r="AI76" s="6531"/>
      <c r="AJ76" s="6531"/>
      <c r="AK76" s="6531"/>
      <c r="AL76" s="6531" t="s">
        <v>1303</v>
      </c>
      <c r="AM76" s="6531" t="s">
        <v>939</v>
      </c>
      <c r="AN76" s="6531" t="s">
        <v>1300</v>
      </c>
      <c r="AO76" s="6531" t="s">
        <v>1304</v>
      </c>
      <c r="AP76" s="6531" t="s">
        <v>1305</v>
      </c>
      <c r="AQ76" s="6531" t="s">
        <v>1309</v>
      </c>
      <c r="AR76" s="6534" t="s">
        <v>939</v>
      </c>
      <c r="AS76" s="6531" t="s">
        <v>1022</v>
      </c>
      <c r="AT76" s="6531" t="s">
        <v>939</v>
      </c>
      <c r="AU76" s="6531"/>
      <c r="AV76" s="6534" t="s">
        <v>939</v>
      </c>
      <c r="AW76" s="6538">
        <v>415</v>
      </c>
      <c r="AX76" s="5133"/>
      <c r="AY76" s="5132"/>
      <c r="AZ76" s="5132"/>
      <c r="BA76" s="5132"/>
      <c r="BB76" s="5132"/>
    </row>
    <row r="77" spans="1:54" s="6520" customFormat="1" ht="12.75" customHeight="1">
      <c r="A77" s="10990" t="str">
        <f t="shared" si="8"/>
        <v>8300-14</v>
      </c>
      <c r="B77" s="10996"/>
      <c r="C77" s="10993"/>
      <c r="E77" s="5132"/>
      <c r="G77" s="6530">
        <v>60</v>
      </c>
      <c r="H77" s="6530">
        <v>78</v>
      </c>
      <c r="I77" s="10978"/>
      <c r="J77" s="10978"/>
      <c r="K77" s="10978">
        <f>+IF(ISNA(VLOOKUP(MATCH(P77,tfn,0),tao,'12(id)'!$K$20,FALSE)),"",IF(J77="NA","",VLOOKUP(MATCH(P77,tfn,0),tao,'12(id)'!$K$20,FALSE)+J77))</f>
        <v>8300</v>
      </c>
      <c r="L77" s="10978">
        <f>+L76</f>
        <v>14</v>
      </c>
      <c r="M77" s="10978" t="str">
        <f t="shared" si="6"/>
        <v>8300-14</v>
      </c>
      <c r="N77" s="10981" t="str">
        <f>+IF(M77="","",VLOOKUP(MATCH(M77,tid,0),tao,'12(id)'!$Q$20,FALSE))</f>
        <v>DV13</v>
      </c>
      <c r="O77" s="6530" t="s">
        <v>1208</v>
      </c>
      <c r="P77" s="6531" t="s">
        <v>345</v>
      </c>
      <c r="Q77" s="6531"/>
      <c r="R77" s="6532">
        <v>544</v>
      </c>
      <c r="S77" s="6533" t="s">
        <v>1225</v>
      </c>
      <c r="T77" s="6534" t="s">
        <v>939</v>
      </c>
      <c r="U77" s="6535">
        <v>2009</v>
      </c>
      <c r="V77" s="6531" t="s">
        <v>1209</v>
      </c>
      <c r="W77" s="6536">
        <v>19</v>
      </c>
      <c r="X77" s="6536">
        <v>5</v>
      </c>
      <c r="Y77" s="6536">
        <v>562</v>
      </c>
      <c r="Z77" s="6536" t="s">
        <v>939</v>
      </c>
      <c r="AA77" s="6537">
        <v>0.15</v>
      </c>
      <c r="AB77" s="6538">
        <v>0.5</v>
      </c>
      <c r="AC77" s="6536">
        <v>5896</v>
      </c>
      <c r="AD77" s="6531" t="s">
        <v>944</v>
      </c>
      <c r="AE77" s="6531" t="s">
        <v>1259</v>
      </c>
      <c r="AF77" s="6531" t="s">
        <v>1261</v>
      </c>
      <c r="AG77" s="6531" t="s">
        <v>1262</v>
      </c>
      <c r="AH77" s="6531" t="s">
        <v>1270</v>
      </c>
      <c r="AI77" s="6531"/>
      <c r="AJ77" s="6531"/>
      <c r="AK77" s="6531"/>
      <c r="AL77" s="6531" t="s">
        <v>1303</v>
      </c>
      <c r="AM77" s="6531" t="s">
        <v>939</v>
      </c>
      <c r="AN77" s="6531" t="s">
        <v>1300</v>
      </c>
      <c r="AO77" s="6531" t="s">
        <v>1304</v>
      </c>
      <c r="AP77" s="6531" t="s">
        <v>1305</v>
      </c>
      <c r="AQ77" s="6531" t="s">
        <v>1309</v>
      </c>
      <c r="AR77" s="6534" t="s">
        <v>939</v>
      </c>
      <c r="AS77" s="6531" t="s">
        <v>1022</v>
      </c>
      <c r="AT77" s="6531" t="s">
        <v>939</v>
      </c>
      <c r="AU77" s="6531"/>
      <c r="AV77" s="6534" t="s">
        <v>939</v>
      </c>
      <c r="AW77" s="6538">
        <v>415</v>
      </c>
      <c r="AX77" s="5133"/>
      <c r="AY77" s="5132"/>
      <c r="AZ77" s="5132"/>
      <c r="BA77" s="5132"/>
      <c r="BB77" s="5132"/>
    </row>
    <row r="78" spans="1:54" s="6520" customFormat="1" ht="12.75" customHeight="1">
      <c r="A78" s="10991" t="str">
        <f t="shared" si="8"/>
        <v>8300-14</v>
      </c>
      <c r="B78" s="10997"/>
      <c r="C78" s="10994"/>
      <c r="E78" s="5132"/>
      <c r="G78" s="6539">
        <v>61</v>
      </c>
      <c r="H78" s="6539">
        <v>77</v>
      </c>
      <c r="I78" s="10979"/>
      <c r="J78" s="10979"/>
      <c r="K78" s="10979">
        <f>+IF(ISNA(VLOOKUP(MATCH(P78,tfn,0),tao,'12(id)'!$K$20,FALSE)),"",IF(J78="NA","",VLOOKUP(MATCH(P78,tfn,0),tao,'12(id)'!$K$20,FALSE)+J78))</f>
        <v>8300</v>
      </c>
      <c r="L78" s="10979">
        <f>+L77</f>
        <v>14</v>
      </c>
      <c r="M78" s="10979" t="str">
        <f t="shared" si="6"/>
        <v>8300-14</v>
      </c>
      <c r="N78" s="10982" t="str">
        <f>+IF(M78="","",VLOOKUP(MATCH(M78,tid,0),tao,'12(id)'!$Q$20,FALSE))</f>
        <v>DV13</v>
      </c>
      <c r="O78" s="6539" t="s">
        <v>1208</v>
      </c>
      <c r="P78" s="6540" t="s">
        <v>345</v>
      </c>
      <c r="Q78" s="6540"/>
      <c r="R78" s="6541">
        <v>544</v>
      </c>
      <c r="S78" s="6542" t="s">
        <v>1225</v>
      </c>
      <c r="T78" s="6543" t="s">
        <v>939</v>
      </c>
      <c r="U78" s="6544">
        <v>2008</v>
      </c>
      <c r="V78" s="6540" t="s">
        <v>1209</v>
      </c>
      <c r="W78" s="6545">
        <v>17</v>
      </c>
      <c r="X78" s="6545">
        <v>5</v>
      </c>
      <c r="Y78" s="6545">
        <v>496</v>
      </c>
      <c r="Z78" s="6545" t="s">
        <v>939</v>
      </c>
      <c r="AA78" s="6546">
        <v>0.16</v>
      </c>
      <c r="AB78" s="6547">
        <v>0.4</v>
      </c>
      <c r="AC78" s="6545">
        <v>5267</v>
      </c>
      <c r="AD78" s="6540" t="s">
        <v>944</v>
      </c>
      <c r="AE78" s="6540" t="s">
        <v>1259</v>
      </c>
      <c r="AF78" s="6540" t="s">
        <v>1261</v>
      </c>
      <c r="AG78" s="6540" t="s">
        <v>1262</v>
      </c>
      <c r="AH78" s="6540" t="s">
        <v>1270</v>
      </c>
      <c r="AI78" s="6540"/>
      <c r="AJ78" s="6540"/>
      <c r="AK78" s="6540"/>
      <c r="AL78" s="6540" t="s">
        <v>1303</v>
      </c>
      <c r="AM78" s="6540" t="s">
        <v>939</v>
      </c>
      <c r="AN78" s="6540" t="s">
        <v>1300</v>
      </c>
      <c r="AO78" s="6540" t="s">
        <v>1304</v>
      </c>
      <c r="AP78" s="6540" t="s">
        <v>1305</v>
      </c>
      <c r="AQ78" s="6540" t="s">
        <v>1309</v>
      </c>
      <c r="AR78" s="6543" t="s">
        <v>939</v>
      </c>
      <c r="AS78" s="6540" t="s">
        <v>1022</v>
      </c>
      <c r="AT78" s="6540" t="s">
        <v>939</v>
      </c>
      <c r="AU78" s="6540"/>
      <c r="AV78" s="6543" t="s">
        <v>939</v>
      </c>
      <c r="AW78" s="6547">
        <v>400</v>
      </c>
      <c r="AX78" s="5133"/>
      <c r="AY78" s="5132"/>
      <c r="AZ78" s="5132"/>
      <c r="BA78" s="5132"/>
      <c r="BB78" s="5132"/>
    </row>
    <row r="79" spans="1:54" s="6520" customFormat="1" ht="12.75" customHeight="1">
      <c r="A79" s="10989" t="str">
        <f t="shared" si="8"/>
        <v>8300-15</v>
      </c>
      <c r="B79" s="10995" t="str">
        <f>+IF(A79="","",VLOOKUP(MATCH(A79,tid,0),tao,'12(id)'!$J$20,FALSE))</f>
        <v>NRG</v>
      </c>
      <c r="C79" s="10992" t="str">
        <f>+N79</f>
        <v>DV14</v>
      </c>
      <c r="E79" s="5132"/>
      <c r="G79" s="6530">
        <v>62</v>
      </c>
      <c r="H79" s="6530">
        <v>82</v>
      </c>
      <c r="I79" s="10977">
        <v>22</v>
      </c>
      <c r="J79" s="10977"/>
      <c r="K79" s="10977">
        <f>+IF(ISNA(VLOOKUP(MATCH(P79,tfn,0),tao,'12(id)'!$K$20,FALSE)),"",IF(J79="NA","",VLOOKUP(MATCH(P79,tfn,0),tao,'12(id)'!$K$20,FALSE)+J79))</f>
        <v>8300</v>
      </c>
      <c r="L79" s="10977">
        <f>1+L76</f>
        <v>15</v>
      </c>
      <c r="M79" s="10977" t="str">
        <f t="shared" si="6"/>
        <v>8300-15</v>
      </c>
      <c r="N79" s="10980" t="str">
        <f>+IF(M79="","",VLOOKUP(MATCH(M79,tid,0),tao,'12(id)'!$Q$20,FALSE))</f>
        <v>DV14</v>
      </c>
      <c r="O79" s="6530" t="s">
        <v>1208</v>
      </c>
      <c r="P79" s="6531" t="s">
        <v>345</v>
      </c>
      <c r="Q79" s="6531"/>
      <c r="R79" s="6532">
        <v>544</v>
      </c>
      <c r="S79" s="6533" t="s">
        <v>1226</v>
      </c>
      <c r="T79" s="6534" t="s">
        <v>939</v>
      </c>
      <c r="U79" s="6535">
        <v>2010</v>
      </c>
      <c r="V79" s="6531" t="s">
        <v>1209</v>
      </c>
      <c r="W79" s="6536">
        <v>96</v>
      </c>
      <c r="X79" s="6536">
        <v>5</v>
      </c>
      <c r="Y79" s="6536">
        <v>2945</v>
      </c>
      <c r="Z79" s="6536" t="s">
        <v>939</v>
      </c>
      <c r="AA79" s="6537">
        <v>0.15</v>
      </c>
      <c r="AB79" s="6538">
        <v>2.2999999999999998</v>
      </c>
      <c r="AC79" s="6536">
        <v>30042</v>
      </c>
      <c r="AD79" s="6531" t="s">
        <v>944</v>
      </c>
      <c r="AE79" s="6531" t="s">
        <v>1259</v>
      </c>
      <c r="AF79" s="6531" t="s">
        <v>1261</v>
      </c>
      <c r="AG79" s="6531" t="s">
        <v>1262</v>
      </c>
      <c r="AH79" s="6531" t="s">
        <v>1270</v>
      </c>
      <c r="AI79" s="6531"/>
      <c r="AJ79" s="6531"/>
      <c r="AK79" s="6531"/>
      <c r="AL79" s="6531" t="s">
        <v>1303</v>
      </c>
      <c r="AM79" s="6531" t="s">
        <v>939</v>
      </c>
      <c r="AN79" s="6531" t="s">
        <v>1300</v>
      </c>
      <c r="AO79" s="6531" t="s">
        <v>1304</v>
      </c>
      <c r="AP79" s="6531" t="s">
        <v>1305</v>
      </c>
      <c r="AQ79" s="6531" t="s">
        <v>1309</v>
      </c>
      <c r="AR79" s="6534" t="s">
        <v>939</v>
      </c>
      <c r="AS79" s="6531" t="s">
        <v>1022</v>
      </c>
      <c r="AT79" s="6531" t="s">
        <v>939</v>
      </c>
      <c r="AU79" s="6531"/>
      <c r="AV79" s="6534" t="s">
        <v>939</v>
      </c>
      <c r="AW79" s="6538">
        <v>415</v>
      </c>
      <c r="AX79" s="5133"/>
      <c r="AY79" s="5132"/>
      <c r="AZ79" s="5132"/>
      <c r="BA79" s="5132"/>
      <c r="BB79" s="5132"/>
    </row>
    <row r="80" spans="1:54" s="6520" customFormat="1" ht="12.75" customHeight="1">
      <c r="A80" s="10990" t="str">
        <f t="shared" si="8"/>
        <v>8300-15</v>
      </c>
      <c r="B80" s="10996"/>
      <c r="C80" s="10993"/>
      <c r="E80" s="5132"/>
      <c r="G80" s="6530">
        <v>63</v>
      </c>
      <c r="H80" s="6530">
        <v>81</v>
      </c>
      <c r="I80" s="10978"/>
      <c r="J80" s="10978"/>
      <c r="K80" s="10978">
        <f>+IF(ISNA(VLOOKUP(MATCH(P80,tfn,0),tao,'12(id)'!$K$20,FALSE)),"",IF(J80="NA","",VLOOKUP(MATCH(P80,tfn,0),tao,'12(id)'!$K$20,FALSE)+J80))</f>
        <v>8300</v>
      </c>
      <c r="L80" s="10978">
        <f>+L79</f>
        <v>15</v>
      </c>
      <c r="M80" s="10978" t="str">
        <f t="shared" si="6"/>
        <v>8300-15</v>
      </c>
      <c r="N80" s="10981" t="str">
        <f>+IF(M80="","",VLOOKUP(MATCH(M80,tid,0),tao,'12(id)'!$Q$20,FALSE))</f>
        <v>DV14</v>
      </c>
      <c r="O80" s="6530" t="s">
        <v>1208</v>
      </c>
      <c r="P80" s="6531" t="s">
        <v>345</v>
      </c>
      <c r="Q80" s="6531"/>
      <c r="R80" s="6532">
        <v>544</v>
      </c>
      <c r="S80" s="6533" t="s">
        <v>1226</v>
      </c>
      <c r="T80" s="6534" t="s">
        <v>939</v>
      </c>
      <c r="U80" s="6535">
        <v>2009</v>
      </c>
      <c r="V80" s="6531" t="s">
        <v>1209</v>
      </c>
      <c r="W80" s="6536">
        <v>16</v>
      </c>
      <c r="X80" s="6536">
        <v>5</v>
      </c>
      <c r="Y80" s="6536">
        <v>443</v>
      </c>
      <c r="Z80" s="6536" t="s">
        <v>939</v>
      </c>
      <c r="AA80" s="6537">
        <v>0.15</v>
      </c>
      <c r="AB80" s="6538">
        <v>0.4</v>
      </c>
      <c r="AC80" s="6536">
        <v>4653</v>
      </c>
      <c r="AD80" s="6531" t="s">
        <v>944</v>
      </c>
      <c r="AE80" s="6531" t="s">
        <v>1259</v>
      </c>
      <c r="AF80" s="6531" t="s">
        <v>1261</v>
      </c>
      <c r="AG80" s="6531" t="s">
        <v>1262</v>
      </c>
      <c r="AH80" s="6531" t="s">
        <v>1270</v>
      </c>
      <c r="AI80" s="6531"/>
      <c r="AJ80" s="6531"/>
      <c r="AK80" s="6531"/>
      <c r="AL80" s="6531" t="s">
        <v>1303</v>
      </c>
      <c r="AM80" s="6531" t="s">
        <v>939</v>
      </c>
      <c r="AN80" s="6531" t="s">
        <v>1300</v>
      </c>
      <c r="AO80" s="6531" t="s">
        <v>1304</v>
      </c>
      <c r="AP80" s="6531" t="s">
        <v>1305</v>
      </c>
      <c r="AQ80" s="6531" t="s">
        <v>1309</v>
      </c>
      <c r="AR80" s="6534" t="s">
        <v>939</v>
      </c>
      <c r="AS80" s="6531" t="s">
        <v>1022</v>
      </c>
      <c r="AT80" s="6531" t="s">
        <v>939</v>
      </c>
      <c r="AU80" s="6531"/>
      <c r="AV80" s="6534" t="s">
        <v>939</v>
      </c>
      <c r="AW80" s="6538">
        <v>415</v>
      </c>
      <c r="AX80" s="5133"/>
      <c r="AY80" s="5132"/>
      <c r="AZ80" s="5132"/>
      <c r="BA80" s="5132"/>
      <c r="BB80" s="5132"/>
    </row>
    <row r="81" spans="1:54" s="6520" customFormat="1" ht="12.75" customHeight="1">
      <c r="A81" s="10991" t="str">
        <f t="shared" si="8"/>
        <v>8300-15</v>
      </c>
      <c r="B81" s="10997"/>
      <c r="C81" s="10994"/>
      <c r="E81" s="5132"/>
      <c r="G81" s="6539">
        <v>64</v>
      </c>
      <c r="H81" s="6539">
        <v>80</v>
      </c>
      <c r="I81" s="10979"/>
      <c r="J81" s="10979"/>
      <c r="K81" s="10979">
        <f>+IF(ISNA(VLOOKUP(MATCH(P81,tfn,0),tao,'12(id)'!$K$20,FALSE)),"",IF(J81="NA","",VLOOKUP(MATCH(P81,tfn,0),tao,'12(id)'!$K$20,FALSE)+J81))</f>
        <v>8300</v>
      </c>
      <c r="L81" s="10979">
        <f>+L80</f>
        <v>15</v>
      </c>
      <c r="M81" s="10979" t="str">
        <f t="shared" si="6"/>
        <v>8300-15</v>
      </c>
      <c r="N81" s="10982" t="str">
        <f>+IF(M81="","",VLOOKUP(MATCH(M81,tid,0),tao,'12(id)'!$Q$20,FALSE))</f>
        <v>DV14</v>
      </c>
      <c r="O81" s="6539" t="s">
        <v>1208</v>
      </c>
      <c r="P81" s="6540" t="s">
        <v>345</v>
      </c>
      <c r="Q81" s="6540"/>
      <c r="R81" s="6541">
        <v>544</v>
      </c>
      <c r="S81" s="6542" t="s">
        <v>1226</v>
      </c>
      <c r="T81" s="6543" t="s">
        <v>939</v>
      </c>
      <c r="U81" s="6544">
        <v>2008</v>
      </c>
      <c r="V81" s="6540" t="s">
        <v>1209</v>
      </c>
      <c r="W81" s="6545">
        <v>20</v>
      </c>
      <c r="X81" s="6545">
        <v>5</v>
      </c>
      <c r="Y81" s="6545">
        <v>564</v>
      </c>
      <c r="Z81" s="6545" t="s">
        <v>939</v>
      </c>
      <c r="AA81" s="6546">
        <v>0.16</v>
      </c>
      <c r="AB81" s="6547">
        <v>0.5</v>
      </c>
      <c r="AC81" s="6545">
        <v>5831</v>
      </c>
      <c r="AD81" s="6540" t="s">
        <v>944</v>
      </c>
      <c r="AE81" s="6540" t="s">
        <v>1259</v>
      </c>
      <c r="AF81" s="6540" t="s">
        <v>1261</v>
      </c>
      <c r="AG81" s="6540" t="s">
        <v>1262</v>
      </c>
      <c r="AH81" s="6540" t="s">
        <v>1270</v>
      </c>
      <c r="AI81" s="6540"/>
      <c r="AJ81" s="6540"/>
      <c r="AK81" s="6540"/>
      <c r="AL81" s="6540" t="s">
        <v>1303</v>
      </c>
      <c r="AM81" s="6540" t="s">
        <v>939</v>
      </c>
      <c r="AN81" s="6540" t="s">
        <v>1300</v>
      </c>
      <c r="AO81" s="6540" t="s">
        <v>1304</v>
      </c>
      <c r="AP81" s="6540" t="s">
        <v>1305</v>
      </c>
      <c r="AQ81" s="6540" t="s">
        <v>1309</v>
      </c>
      <c r="AR81" s="6543" t="s">
        <v>939</v>
      </c>
      <c r="AS81" s="6540" t="s">
        <v>1022</v>
      </c>
      <c r="AT81" s="6540" t="s">
        <v>939</v>
      </c>
      <c r="AU81" s="6540"/>
      <c r="AV81" s="6543" t="s">
        <v>939</v>
      </c>
      <c r="AW81" s="6547">
        <v>400</v>
      </c>
      <c r="AX81" s="5133"/>
      <c r="AY81" s="5132"/>
      <c r="AZ81" s="5132"/>
      <c r="BA81" s="5132"/>
      <c r="BB81" s="5132"/>
    </row>
    <row r="82" spans="1:54" ht="12.75" customHeight="1">
      <c r="A82" s="6443" t="str">
        <f t="shared" si="8"/>
        <v/>
      </c>
      <c r="B82" s="6444"/>
      <c r="C82" s="6445"/>
      <c r="D82" s="5133"/>
      <c r="F82" s="5133"/>
      <c r="G82" s="6424">
        <v>65</v>
      </c>
      <c r="H82" s="6424">
        <v>83</v>
      </c>
      <c r="I82" s="6424">
        <v>23</v>
      </c>
      <c r="J82" s="6424" t="s">
        <v>1193</v>
      </c>
      <c r="K82" s="6424" t="str">
        <f>+IF(ISNA(VLOOKUP(MATCH(P82,tfn,0),tao,'12(id)'!$K$20,FALSE)),"",IF(J82="NA","",VLOOKUP(MATCH(P82,tfn,0),tao,'12(id)'!$K$20,FALSE)+J82))</f>
        <v/>
      </c>
      <c r="L82" s="6424"/>
      <c r="M82" s="6424" t="str">
        <f t="shared" si="6"/>
        <v/>
      </c>
      <c r="N82" s="6458" t="str">
        <f>+IF(M82="","",VLOOKUP(MATCH(M82,tid,0),tao,'12(id)'!$Q$20,FALSE))</f>
        <v/>
      </c>
      <c r="O82" s="6424" t="s">
        <v>1208</v>
      </c>
      <c r="P82" s="6425" t="s">
        <v>345</v>
      </c>
      <c r="Q82" s="6425"/>
      <c r="R82" s="6426">
        <v>544</v>
      </c>
      <c r="S82" s="6427" t="s">
        <v>1227</v>
      </c>
      <c r="T82" s="6433" t="s">
        <v>939</v>
      </c>
      <c r="U82" s="6428">
        <v>2010</v>
      </c>
      <c r="V82" s="6425" t="s">
        <v>1209</v>
      </c>
      <c r="W82" s="6429">
        <v>7</v>
      </c>
      <c r="X82" s="6429">
        <v>3</v>
      </c>
      <c r="Y82" s="6429">
        <v>286</v>
      </c>
      <c r="Z82" s="6429" t="s">
        <v>939</v>
      </c>
      <c r="AA82" s="6430">
        <v>0.02</v>
      </c>
      <c r="AB82" s="6431">
        <v>0</v>
      </c>
      <c r="AC82" s="6429">
        <v>2707</v>
      </c>
      <c r="AD82" s="6425" t="s">
        <v>944</v>
      </c>
      <c r="AE82" s="6425" t="s">
        <v>1259</v>
      </c>
      <c r="AF82" s="6425" t="s">
        <v>1261</v>
      </c>
      <c r="AG82" s="6425" t="s">
        <v>1262</v>
      </c>
      <c r="AH82" s="6425" t="s">
        <v>1350</v>
      </c>
      <c r="AI82" s="6425"/>
      <c r="AJ82" s="6425"/>
      <c r="AK82" s="6425"/>
      <c r="AL82" s="6425" t="s">
        <v>1303</v>
      </c>
      <c r="AM82" s="6425" t="s">
        <v>939</v>
      </c>
      <c r="AN82" s="6425" t="s">
        <v>1316</v>
      </c>
      <c r="AO82" s="6425" t="s">
        <v>1317</v>
      </c>
      <c r="AP82" s="6425" t="s">
        <v>1309</v>
      </c>
      <c r="AQ82" s="6425" t="s">
        <v>1305</v>
      </c>
      <c r="AR82" s="6433" t="s">
        <v>939</v>
      </c>
      <c r="AS82" s="6425" t="s">
        <v>1344</v>
      </c>
      <c r="AT82" s="6425" t="s">
        <v>1338</v>
      </c>
      <c r="AU82" s="6425"/>
      <c r="AV82" s="6433" t="s">
        <v>939</v>
      </c>
      <c r="AW82" s="6431">
        <v>474.9</v>
      </c>
      <c r="AX82" s="5133"/>
    </row>
    <row r="83" spans="1:54" ht="12.75" customHeight="1">
      <c r="A83" s="6443" t="str">
        <f t="shared" si="8"/>
        <v/>
      </c>
      <c r="B83" s="6444"/>
      <c r="C83" s="6445"/>
      <c r="D83" s="5133"/>
      <c r="F83" s="5133"/>
      <c r="G83" s="6424">
        <v>66</v>
      </c>
      <c r="H83" s="6424">
        <v>85</v>
      </c>
      <c r="I83" s="6424">
        <v>24</v>
      </c>
      <c r="J83" s="6424" t="s">
        <v>1193</v>
      </c>
      <c r="K83" s="6424" t="str">
        <f>+IF(ISNA(VLOOKUP(MATCH(P83,tfn,0),tao,'12(id)'!$K$20,FALSE)),"",IF(J83="NA","",VLOOKUP(MATCH(P83,tfn,0),tao,'12(id)'!$K$20,FALSE)+J83))</f>
        <v/>
      </c>
      <c r="L83" s="6424"/>
      <c r="M83" s="6424" t="str">
        <f t="shared" si="6"/>
        <v/>
      </c>
      <c r="N83" s="6458" t="str">
        <f>+IF(M83="","",VLOOKUP(MATCH(M83,tid,0),tao,'12(id)'!$Q$20,FALSE))</f>
        <v/>
      </c>
      <c r="O83" s="6424" t="s">
        <v>1208</v>
      </c>
      <c r="P83" s="6425" t="s">
        <v>345</v>
      </c>
      <c r="Q83" s="6425"/>
      <c r="R83" s="6426">
        <v>544</v>
      </c>
      <c r="S83" s="6427" t="s">
        <v>1228</v>
      </c>
      <c r="T83" s="6433" t="s">
        <v>939</v>
      </c>
      <c r="U83" s="6428">
        <v>2010</v>
      </c>
      <c r="V83" s="6425" t="s">
        <v>1209</v>
      </c>
      <c r="W83" s="6429">
        <v>5</v>
      </c>
      <c r="X83" s="6429">
        <v>3</v>
      </c>
      <c r="Y83" s="6429">
        <v>203</v>
      </c>
      <c r="Z83" s="6429" t="s">
        <v>939</v>
      </c>
      <c r="AA83" s="6430">
        <v>0.02</v>
      </c>
      <c r="AB83" s="6431">
        <v>0</v>
      </c>
      <c r="AC83" s="6429">
        <v>1920</v>
      </c>
      <c r="AD83" s="6425" t="s">
        <v>944</v>
      </c>
      <c r="AE83" s="6425" t="s">
        <v>1259</v>
      </c>
      <c r="AF83" s="6425" t="s">
        <v>1261</v>
      </c>
      <c r="AG83" s="6425" t="s">
        <v>1262</v>
      </c>
      <c r="AH83" s="6425" t="s">
        <v>1350</v>
      </c>
      <c r="AI83" s="6425"/>
      <c r="AJ83" s="6425"/>
      <c r="AK83" s="6425"/>
      <c r="AL83" s="6425" t="s">
        <v>1303</v>
      </c>
      <c r="AM83" s="6425" t="s">
        <v>939</v>
      </c>
      <c r="AN83" s="6425" t="s">
        <v>1318</v>
      </c>
      <c r="AO83" s="6425" t="s">
        <v>1319</v>
      </c>
      <c r="AP83" s="6425" t="s">
        <v>1309</v>
      </c>
      <c r="AQ83" s="6425" t="s">
        <v>1305</v>
      </c>
      <c r="AR83" s="6433" t="s">
        <v>939</v>
      </c>
      <c r="AS83" s="6425" t="s">
        <v>1022</v>
      </c>
      <c r="AT83" s="6425" t="s">
        <v>1338</v>
      </c>
      <c r="AU83" s="6425"/>
      <c r="AV83" s="6433" t="s">
        <v>939</v>
      </c>
      <c r="AW83" s="6431">
        <v>589</v>
      </c>
      <c r="AX83" s="5133"/>
    </row>
    <row r="84" spans="1:54" ht="12.75" customHeight="1">
      <c r="A84" s="6443" t="str">
        <f t="shared" si="8"/>
        <v/>
      </c>
      <c r="B84" s="6444"/>
      <c r="C84" s="6445"/>
      <c r="D84" s="5133"/>
      <c r="F84" s="5133"/>
      <c r="G84" s="6424">
        <v>67</v>
      </c>
      <c r="H84" s="6424">
        <v>87</v>
      </c>
      <c r="I84" s="6424">
        <v>25</v>
      </c>
      <c r="J84" s="6424" t="s">
        <v>1193</v>
      </c>
      <c r="K84" s="6424" t="str">
        <f>+IF(ISNA(VLOOKUP(MATCH(P84,tfn,0),tao,'12(id)'!$K$20,FALSE)),"",IF(J84="NA","",VLOOKUP(MATCH(P84,tfn,0),tao,'12(id)'!$K$20,FALSE)+J84))</f>
        <v/>
      </c>
      <c r="L84" s="6424"/>
      <c r="M84" s="6424" t="str">
        <f t="shared" si="6"/>
        <v/>
      </c>
      <c r="N84" s="6458" t="str">
        <f>+IF(M84="","",VLOOKUP(MATCH(M84,tid,0),tao,'12(id)'!$Q$20,FALSE))</f>
        <v/>
      </c>
      <c r="O84" s="6424" t="s">
        <v>1208</v>
      </c>
      <c r="P84" s="6425" t="s">
        <v>345</v>
      </c>
      <c r="Q84" s="6425"/>
      <c r="R84" s="6426">
        <v>544</v>
      </c>
      <c r="S84" s="6427" t="s">
        <v>1229</v>
      </c>
      <c r="T84" s="6433" t="s">
        <v>939</v>
      </c>
      <c r="U84" s="6428">
        <v>2010</v>
      </c>
      <c r="V84" s="6425" t="s">
        <v>1209</v>
      </c>
      <c r="W84" s="6429">
        <v>7</v>
      </c>
      <c r="X84" s="6429">
        <v>3</v>
      </c>
      <c r="Y84" s="6429">
        <v>300</v>
      </c>
      <c r="Z84" s="6429" t="s">
        <v>939</v>
      </c>
      <c r="AA84" s="6430">
        <v>0.01</v>
      </c>
      <c r="AB84" s="6431">
        <v>0</v>
      </c>
      <c r="AC84" s="6429">
        <v>2769</v>
      </c>
      <c r="AD84" s="6425" t="s">
        <v>944</v>
      </c>
      <c r="AE84" s="6425" t="s">
        <v>1259</v>
      </c>
      <c r="AF84" s="6425" t="s">
        <v>1261</v>
      </c>
      <c r="AG84" s="6425" t="s">
        <v>1262</v>
      </c>
      <c r="AH84" s="6425" t="s">
        <v>1350</v>
      </c>
      <c r="AI84" s="6425"/>
      <c r="AJ84" s="6425"/>
      <c r="AK84" s="6425"/>
      <c r="AL84" s="6425" t="s">
        <v>1303</v>
      </c>
      <c r="AM84" s="6425" t="s">
        <v>939</v>
      </c>
      <c r="AN84" s="6425" t="s">
        <v>1320</v>
      </c>
      <c r="AO84" s="6425" t="s">
        <v>1321</v>
      </c>
      <c r="AP84" s="6425" t="s">
        <v>1309</v>
      </c>
      <c r="AQ84" s="6425" t="s">
        <v>1305</v>
      </c>
      <c r="AR84" s="6433" t="s">
        <v>939</v>
      </c>
      <c r="AS84" s="6425" t="s">
        <v>1022</v>
      </c>
      <c r="AT84" s="6425" t="s">
        <v>1338</v>
      </c>
      <c r="AU84" s="6425"/>
      <c r="AV84" s="6433" t="s">
        <v>939</v>
      </c>
      <c r="AW84" s="6431">
        <v>590.6</v>
      </c>
      <c r="AX84" s="5133"/>
    </row>
    <row r="85" spans="1:54" ht="12.75" customHeight="1">
      <c r="A85" s="6443" t="str">
        <f t="shared" si="8"/>
        <v/>
      </c>
      <c r="B85" s="6444"/>
      <c r="C85" s="6445"/>
      <c r="D85" s="5133"/>
      <c r="F85" s="5133"/>
      <c r="G85" s="6424">
        <v>68</v>
      </c>
      <c r="H85" s="6424">
        <v>89</v>
      </c>
      <c r="I85" s="6424">
        <v>26</v>
      </c>
      <c r="J85" s="6424" t="s">
        <v>1193</v>
      </c>
      <c r="K85" s="6424" t="str">
        <f>+IF(ISNA(VLOOKUP(MATCH(P85,tfn,0),tao,'12(id)'!$K$20,FALSE)),"",IF(J85="NA","",VLOOKUP(MATCH(P85,tfn,0),tao,'12(id)'!$K$20,FALSE)+J85))</f>
        <v/>
      </c>
      <c r="L85" s="6424"/>
      <c r="M85" s="6424" t="str">
        <f t="shared" si="6"/>
        <v/>
      </c>
      <c r="N85" s="6458" t="str">
        <f>+IF(M85="","",VLOOKUP(MATCH(M85,tid,0),tao,'12(id)'!$Q$20,FALSE))</f>
        <v/>
      </c>
      <c r="O85" s="6424" t="s">
        <v>1208</v>
      </c>
      <c r="P85" s="6425" t="s">
        <v>345</v>
      </c>
      <c r="Q85" s="6425"/>
      <c r="R85" s="6426">
        <v>544</v>
      </c>
      <c r="S85" s="6427" t="s">
        <v>1230</v>
      </c>
      <c r="T85" s="6433" t="s">
        <v>939</v>
      </c>
      <c r="U85" s="6428">
        <v>2010</v>
      </c>
      <c r="V85" s="6425" t="s">
        <v>1209</v>
      </c>
      <c r="W85" s="6429">
        <v>7</v>
      </c>
      <c r="X85" s="6429">
        <v>3</v>
      </c>
      <c r="Y85" s="6429">
        <v>292</v>
      </c>
      <c r="Z85" s="6429" t="s">
        <v>939</v>
      </c>
      <c r="AA85" s="6430">
        <v>0.02</v>
      </c>
      <c r="AB85" s="6431">
        <v>0</v>
      </c>
      <c r="AC85" s="6429">
        <v>2803</v>
      </c>
      <c r="AD85" s="6425" t="s">
        <v>944</v>
      </c>
      <c r="AE85" s="6425" t="s">
        <v>1259</v>
      </c>
      <c r="AF85" s="6425" t="s">
        <v>1261</v>
      </c>
      <c r="AG85" s="6425" t="s">
        <v>1262</v>
      </c>
      <c r="AH85" s="6425" t="s">
        <v>1350</v>
      </c>
      <c r="AI85" s="6425"/>
      <c r="AJ85" s="6425"/>
      <c r="AK85" s="6425"/>
      <c r="AL85" s="6425" t="s">
        <v>1303</v>
      </c>
      <c r="AM85" s="6425" t="s">
        <v>939</v>
      </c>
      <c r="AN85" s="6425" t="s">
        <v>1322</v>
      </c>
      <c r="AO85" s="6425" t="s">
        <v>1323</v>
      </c>
      <c r="AP85" s="6425" t="s">
        <v>1309</v>
      </c>
      <c r="AQ85" s="6425" t="s">
        <v>1305</v>
      </c>
      <c r="AR85" s="6433" t="s">
        <v>939</v>
      </c>
      <c r="AS85" s="6425" t="s">
        <v>1022</v>
      </c>
      <c r="AT85" s="6425" t="s">
        <v>1338</v>
      </c>
      <c r="AU85" s="6425"/>
      <c r="AV85" s="6433" t="s">
        <v>939</v>
      </c>
      <c r="AW85" s="6431">
        <v>590</v>
      </c>
      <c r="AX85" s="5133"/>
    </row>
    <row r="86" spans="1:54" ht="12.75" customHeight="1">
      <c r="A86" s="6443" t="str">
        <f t="shared" si="8"/>
        <v/>
      </c>
      <c r="B86" s="6444"/>
      <c r="C86" s="6445"/>
      <c r="D86" s="5133"/>
      <c r="F86" s="5133"/>
      <c r="G86" s="6413">
        <v>69</v>
      </c>
      <c r="H86" s="6413">
        <v>93</v>
      </c>
      <c r="I86" s="10961">
        <v>27</v>
      </c>
      <c r="J86" s="10961"/>
      <c r="K86" s="10961" t="str">
        <f>+IF(ISNA(VLOOKUP(MATCH(P86,tfn,0),tao,'12(id)'!$K$20,FALSE)),"",IF(J86="NA","",VLOOKUP(MATCH(P86,tfn,0),tao,'12(id)'!$K$20,FALSE)+J86))</f>
        <v/>
      </c>
      <c r="L86" s="10961"/>
      <c r="M86" s="10961" t="str">
        <f t="shared" si="6"/>
        <v/>
      </c>
      <c r="N86" s="10944" t="str">
        <f>+IF(M86="","",VLOOKUP(MATCH(M86,tid,0),tao,'12(id)'!$Q$20,FALSE))</f>
        <v/>
      </c>
      <c r="O86" s="6413" t="s">
        <v>1208</v>
      </c>
      <c r="P86" s="6414" t="s">
        <v>346</v>
      </c>
      <c r="Q86" s="6414"/>
      <c r="R86" s="6415">
        <v>50736</v>
      </c>
      <c r="S86" s="6416" t="s">
        <v>1231</v>
      </c>
      <c r="T86" s="6414" t="s">
        <v>1253</v>
      </c>
      <c r="U86" s="6417">
        <v>2010</v>
      </c>
      <c r="V86" s="6414" t="s">
        <v>1209</v>
      </c>
      <c r="W86" s="6418">
        <v>3190</v>
      </c>
      <c r="X86" s="6418">
        <v>5</v>
      </c>
      <c r="Y86" s="6418" t="s">
        <v>939</v>
      </c>
      <c r="Z86" s="6418">
        <v>401260</v>
      </c>
      <c r="AA86" s="6419">
        <v>0.12</v>
      </c>
      <c r="AB86" s="6420">
        <v>39.799999999999997</v>
      </c>
      <c r="AC86" s="6418">
        <v>679481</v>
      </c>
      <c r="AD86" s="6414" t="s">
        <v>944</v>
      </c>
      <c r="AE86" s="6414" t="s">
        <v>1259</v>
      </c>
      <c r="AF86" s="6414" t="s">
        <v>939</v>
      </c>
      <c r="AG86" s="6414" t="s">
        <v>939</v>
      </c>
      <c r="AH86" s="6414" t="s">
        <v>1272</v>
      </c>
      <c r="AI86" s="6414"/>
      <c r="AJ86" s="6414"/>
      <c r="AK86" s="6414"/>
      <c r="AL86" s="6414" t="s">
        <v>939</v>
      </c>
      <c r="AM86" s="6414" t="s">
        <v>939</v>
      </c>
      <c r="AN86" s="6414" t="s">
        <v>1300</v>
      </c>
      <c r="AO86" s="6414" t="s">
        <v>1324</v>
      </c>
      <c r="AP86" s="6414" t="s">
        <v>1325</v>
      </c>
      <c r="AQ86" s="6414" t="s">
        <v>1326</v>
      </c>
      <c r="AR86" s="6421" t="s">
        <v>939</v>
      </c>
      <c r="AS86" s="6421" t="s">
        <v>939</v>
      </c>
      <c r="AT86" s="6421" t="s">
        <v>939</v>
      </c>
      <c r="AU86" s="6421"/>
      <c r="AV86" s="6421" t="s">
        <v>939</v>
      </c>
      <c r="AW86" s="6420">
        <v>181</v>
      </c>
      <c r="AX86" s="5133"/>
    </row>
    <row r="87" spans="1:54" ht="12.75" customHeight="1">
      <c r="A87" s="6443" t="str">
        <f t="shared" si="8"/>
        <v/>
      </c>
      <c r="B87" s="6444"/>
      <c r="C87" s="6445"/>
      <c r="D87" s="5133"/>
      <c r="F87" s="5133"/>
      <c r="G87" s="6413">
        <v>70</v>
      </c>
      <c r="H87" s="6413">
        <v>92</v>
      </c>
      <c r="I87" s="10962"/>
      <c r="J87" s="10962"/>
      <c r="K87" s="10962" t="str">
        <f>+IF(ISNA(VLOOKUP(MATCH(P87,tfn,0),tao,'12(id)'!$K$20,FALSE)),"",IF(J87="NA","",VLOOKUP(MATCH(P87,tfn,0),tao,'12(id)'!$K$20,FALSE)+J87))</f>
        <v/>
      </c>
      <c r="L87" s="10962"/>
      <c r="M87" s="10962" t="str">
        <f t="shared" si="6"/>
        <v/>
      </c>
      <c r="N87" s="10945" t="str">
        <f>+IF(M87="","",VLOOKUP(MATCH(M87,tid,0),tao,'12(id)'!$Q$20,FALSE))</f>
        <v/>
      </c>
      <c r="O87" s="6413" t="s">
        <v>1208</v>
      </c>
      <c r="P87" s="6414" t="s">
        <v>346</v>
      </c>
      <c r="Q87" s="6414"/>
      <c r="R87" s="6415">
        <v>50736</v>
      </c>
      <c r="S87" s="6416" t="s">
        <v>1231</v>
      </c>
      <c r="T87" s="6414" t="s">
        <v>1253</v>
      </c>
      <c r="U87" s="6417">
        <v>2009</v>
      </c>
      <c r="V87" s="6414" t="s">
        <v>1209</v>
      </c>
      <c r="W87" s="6418">
        <v>2885</v>
      </c>
      <c r="X87" s="6418">
        <v>5</v>
      </c>
      <c r="Y87" s="6418" t="s">
        <v>939</v>
      </c>
      <c r="Z87" s="6418">
        <v>324373</v>
      </c>
      <c r="AA87" s="6419">
        <v>0.1</v>
      </c>
      <c r="AB87" s="6420">
        <v>21.2</v>
      </c>
      <c r="AC87" s="6418">
        <v>440239</v>
      </c>
      <c r="AD87" s="6414" t="s">
        <v>944</v>
      </c>
      <c r="AE87" s="6414" t="s">
        <v>1259</v>
      </c>
      <c r="AF87" s="6414" t="s">
        <v>939</v>
      </c>
      <c r="AG87" s="6414" t="s">
        <v>939</v>
      </c>
      <c r="AH87" s="6414" t="s">
        <v>1272</v>
      </c>
      <c r="AI87" s="6414"/>
      <c r="AJ87" s="6414"/>
      <c r="AK87" s="6414"/>
      <c r="AL87" s="6414" t="s">
        <v>939</v>
      </c>
      <c r="AM87" s="6414" t="s">
        <v>939</v>
      </c>
      <c r="AN87" s="6414" t="s">
        <v>1300</v>
      </c>
      <c r="AO87" s="6414" t="s">
        <v>1324</v>
      </c>
      <c r="AP87" s="6414" t="s">
        <v>1325</v>
      </c>
      <c r="AQ87" s="6414" t="s">
        <v>1326</v>
      </c>
      <c r="AR87" s="6421" t="s">
        <v>939</v>
      </c>
      <c r="AS87" s="6421" t="s">
        <v>939</v>
      </c>
      <c r="AT87" s="6421" t="s">
        <v>939</v>
      </c>
      <c r="AU87" s="6421"/>
      <c r="AV87" s="6421" t="s">
        <v>939</v>
      </c>
      <c r="AW87" s="6420">
        <v>181</v>
      </c>
      <c r="AX87" s="5133"/>
    </row>
    <row r="88" spans="1:54" ht="12.75" customHeight="1">
      <c r="A88" s="6443" t="str">
        <f t="shared" si="8"/>
        <v/>
      </c>
      <c r="B88" s="6444"/>
      <c r="C88" s="6445"/>
      <c r="D88" s="5133"/>
      <c r="F88" s="5133"/>
      <c r="G88" s="6424">
        <v>71</v>
      </c>
      <c r="H88" s="6424">
        <v>91</v>
      </c>
      <c r="I88" s="10963"/>
      <c r="J88" s="10963"/>
      <c r="K88" s="10963" t="str">
        <f>+IF(ISNA(VLOOKUP(MATCH(P88,tfn,0),tao,'12(id)'!$K$20,FALSE)),"",IF(J88="NA","",VLOOKUP(MATCH(P88,tfn,0),tao,'12(id)'!$K$20,FALSE)+J88))</f>
        <v/>
      </c>
      <c r="L88" s="10963"/>
      <c r="M88" s="10963" t="str">
        <f t="shared" si="6"/>
        <v/>
      </c>
      <c r="N88" s="10946" t="str">
        <f>+IF(M88="","",VLOOKUP(MATCH(M88,tid,0),tao,'12(id)'!$Q$20,FALSE))</f>
        <v/>
      </c>
      <c r="O88" s="6424" t="s">
        <v>1208</v>
      </c>
      <c r="P88" s="6425" t="s">
        <v>346</v>
      </c>
      <c r="Q88" s="6425"/>
      <c r="R88" s="6426">
        <v>50736</v>
      </c>
      <c r="S88" s="6427" t="s">
        <v>1231</v>
      </c>
      <c r="T88" s="6425" t="s">
        <v>1253</v>
      </c>
      <c r="U88" s="6428">
        <v>2008</v>
      </c>
      <c r="V88" s="6425" t="s">
        <v>1209</v>
      </c>
      <c r="W88" s="6429">
        <v>2842</v>
      </c>
      <c r="X88" s="6429">
        <v>5</v>
      </c>
      <c r="Y88" s="6429" t="s">
        <v>939</v>
      </c>
      <c r="Z88" s="6429">
        <v>324972</v>
      </c>
      <c r="AA88" s="6430">
        <v>0.11</v>
      </c>
      <c r="AB88" s="6431">
        <v>48</v>
      </c>
      <c r="AC88" s="6429">
        <v>913123</v>
      </c>
      <c r="AD88" s="6425" t="s">
        <v>944</v>
      </c>
      <c r="AE88" s="6425" t="s">
        <v>1259</v>
      </c>
      <c r="AF88" s="6425" t="s">
        <v>939</v>
      </c>
      <c r="AG88" s="6425" t="s">
        <v>939</v>
      </c>
      <c r="AH88" s="6425" t="s">
        <v>1271</v>
      </c>
      <c r="AI88" s="6425"/>
      <c r="AJ88" s="6425"/>
      <c r="AK88" s="6425"/>
      <c r="AL88" s="6425" t="s">
        <v>939</v>
      </c>
      <c r="AM88" s="6425" t="s">
        <v>939</v>
      </c>
      <c r="AN88" s="6425" t="s">
        <v>1300</v>
      </c>
      <c r="AO88" s="6425" t="s">
        <v>1324</v>
      </c>
      <c r="AP88" s="6425" t="s">
        <v>1325</v>
      </c>
      <c r="AQ88" s="6425" t="s">
        <v>1326</v>
      </c>
      <c r="AR88" s="6433" t="s">
        <v>939</v>
      </c>
      <c r="AS88" s="6433" t="s">
        <v>939</v>
      </c>
      <c r="AT88" s="6433" t="s">
        <v>939</v>
      </c>
      <c r="AU88" s="6433"/>
      <c r="AV88" s="6433" t="s">
        <v>939</v>
      </c>
      <c r="AW88" s="6431">
        <v>181</v>
      </c>
      <c r="AX88" s="5133"/>
    </row>
    <row r="89" spans="1:54" ht="12.75" customHeight="1">
      <c r="A89" s="6443" t="str">
        <f t="shared" si="8"/>
        <v/>
      </c>
      <c r="B89" s="6444"/>
      <c r="C89" s="6445"/>
      <c r="D89" s="5133"/>
      <c r="F89" s="5133"/>
      <c r="G89" s="6413">
        <v>72</v>
      </c>
      <c r="H89" s="6413">
        <v>96</v>
      </c>
      <c r="I89" s="10961">
        <v>28</v>
      </c>
      <c r="J89" s="10961"/>
      <c r="K89" s="10961" t="str">
        <f>+IF(ISNA(VLOOKUP(MATCH(P89,tfn,0),tao,'12(id)'!$K$20,FALSE)),"",IF(J89="NA","",VLOOKUP(MATCH(P89,tfn,0),tao,'12(id)'!$K$20,FALSE)+J89))</f>
        <v/>
      </c>
      <c r="L89" s="10961"/>
      <c r="M89" s="10961" t="str">
        <f t="shared" si="6"/>
        <v/>
      </c>
      <c r="N89" s="10944" t="str">
        <f>+IF(M89="","",VLOOKUP(MATCH(M89,tid,0),tao,'12(id)'!$Q$20,FALSE))</f>
        <v/>
      </c>
      <c r="O89" s="6413" t="s">
        <v>1208</v>
      </c>
      <c r="P89" s="6414" t="s">
        <v>346</v>
      </c>
      <c r="Q89" s="6414"/>
      <c r="R89" s="6415">
        <v>50736</v>
      </c>
      <c r="S89" s="6416" t="s">
        <v>1232</v>
      </c>
      <c r="T89" s="6414" t="s">
        <v>1253</v>
      </c>
      <c r="U89" s="6417">
        <v>2010</v>
      </c>
      <c r="V89" s="6414" t="s">
        <v>1209</v>
      </c>
      <c r="W89" s="6418">
        <v>3494</v>
      </c>
      <c r="X89" s="6418">
        <v>5</v>
      </c>
      <c r="Y89" s="6418" t="s">
        <v>939</v>
      </c>
      <c r="Z89" s="6418">
        <v>436752</v>
      </c>
      <c r="AA89" s="6419">
        <v>0.12</v>
      </c>
      <c r="AB89" s="6420">
        <v>43.5</v>
      </c>
      <c r="AC89" s="6418">
        <v>744972</v>
      </c>
      <c r="AD89" s="6414" t="s">
        <v>944</v>
      </c>
      <c r="AE89" s="6414" t="s">
        <v>1259</v>
      </c>
      <c r="AF89" s="6414" t="s">
        <v>939</v>
      </c>
      <c r="AG89" s="6414" t="s">
        <v>939</v>
      </c>
      <c r="AH89" s="6414" t="s">
        <v>1272</v>
      </c>
      <c r="AI89" s="6414"/>
      <c r="AJ89" s="6414"/>
      <c r="AK89" s="6414"/>
      <c r="AL89" s="6414" t="s">
        <v>939</v>
      </c>
      <c r="AM89" s="6414" t="s">
        <v>939</v>
      </c>
      <c r="AN89" s="6414" t="s">
        <v>1300</v>
      </c>
      <c r="AO89" s="6414" t="s">
        <v>1324</v>
      </c>
      <c r="AP89" s="6414" t="s">
        <v>1325</v>
      </c>
      <c r="AQ89" s="6414" t="s">
        <v>1326</v>
      </c>
      <c r="AR89" s="6421" t="s">
        <v>939</v>
      </c>
      <c r="AS89" s="6421" t="s">
        <v>939</v>
      </c>
      <c r="AT89" s="6421" t="s">
        <v>939</v>
      </c>
      <c r="AU89" s="6421"/>
      <c r="AV89" s="6421" t="s">
        <v>939</v>
      </c>
      <c r="AW89" s="6420">
        <v>181</v>
      </c>
      <c r="AX89" s="5133"/>
    </row>
    <row r="90" spans="1:54" ht="12.75" customHeight="1">
      <c r="A90" s="6443" t="str">
        <f t="shared" si="8"/>
        <v/>
      </c>
      <c r="B90" s="6444"/>
      <c r="C90" s="6445"/>
      <c r="D90" s="5133"/>
      <c r="F90" s="5133"/>
      <c r="G90" s="6413">
        <v>73</v>
      </c>
      <c r="H90" s="6413">
        <v>95</v>
      </c>
      <c r="I90" s="10962"/>
      <c r="J90" s="10962"/>
      <c r="K90" s="10962" t="str">
        <f>+IF(ISNA(VLOOKUP(MATCH(P90,tfn,0),tao,'12(id)'!$K$20,FALSE)),"",IF(J90="NA","",VLOOKUP(MATCH(P90,tfn,0),tao,'12(id)'!$K$20,FALSE)+J90))</f>
        <v/>
      </c>
      <c r="L90" s="10962"/>
      <c r="M90" s="10962" t="str">
        <f t="shared" si="6"/>
        <v/>
      </c>
      <c r="N90" s="10945" t="str">
        <f>+IF(M90="","",VLOOKUP(MATCH(M90,tid,0),tao,'12(id)'!$Q$20,FALSE))</f>
        <v/>
      </c>
      <c r="O90" s="6413" t="s">
        <v>1208</v>
      </c>
      <c r="P90" s="6414" t="s">
        <v>346</v>
      </c>
      <c r="Q90" s="6414"/>
      <c r="R90" s="6415">
        <v>50736</v>
      </c>
      <c r="S90" s="6416" t="s">
        <v>1232</v>
      </c>
      <c r="T90" s="6414" t="s">
        <v>1253</v>
      </c>
      <c r="U90" s="6417">
        <v>2009</v>
      </c>
      <c r="V90" s="6414" t="s">
        <v>1209</v>
      </c>
      <c r="W90" s="6418">
        <v>2936</v>
      </c>
      <c r="X90" s="6418">
        <v>5</v>
      </c>
      <c r="Y90" s="6418" t="s">
        <v>939</v>
      </c>
      <c r="Z90" s="6418">
        <v>326730</v>
      </c>
      <c r="AA90" s="6419">
        <v>0.11</v>
      </c>
      <c r="AB90" s="6420">
        <v>21.4</v>
      </c>
      <c r="AC90" s="6418">
        <v>446393</v>
      </c>
      <c r="AD90" s="6414" t="s">
        <v>944</v>
      </c>
      <c r="AE90" s="6414" t="s">
        <v>1259</v>
      </c>
      <c r="AF90" s="6414" t="s">
        <v>939</v>
      </c>
      <c r="AG90" s="6414" t="s">
        <v>939</v>
      </c>
      <c r="AH90" s="6414" t="s">
        <v>1272</v>
      </c>
      <c r="AI90" s="6414"/>
      <c r="AJ90" s="6414"/>
      <c r="AK90" s="6414"/>
      <c r="AL90" s="6414" t="s">
        <v>939</v>
      </c>
      <c r="AM90" s="6414" t="s">
        <v>939</v>
      </c>
      <c r="AN90" s="6414" t="s">
        <v>1300</v>
      </c>
      <c r="AO90" s="6414" t="s">
        <v>1324</v>
      </c>
      <c r="AP90" s="6414" t="s">
        <v>1325</v>
      </c>
      <c r="AQ90" s="6414" t="s">
        <v>1326</v>
      </c>
      <c r="AR90" s="6421" t="s">
        <v>939</v>
      </c>
      <c r="AS90" s="6421" t="s">
        <v>939</v>
      </c>
      <c r="AT90" s="6421" t="s">
        <v>939</v>
      </c>
      <c r="AU90" s="6421"/>
      <c r="AV90" s="6421" t="s">
        <v>939</v>
      </c>
      <c r="AW90" s="6420">
        <v>181</v>
      </c>
      <c r="AX90" s="5133"/>
    </row>
    <row r="91" spans="1:54" ht="12.75" customHeight="1">
      <c r="A91" s="6443" t="str">
        <f t="shared" si="8"/>
        <v/>
      </c>
      <c r="B91" s="6444"/>
      <c r="C91" s="6445"/>
      <c r="D91" s="5133"/>
      <c r="F91" s="5133"/>
      <c r="G91" s="6424">
        <v>74</v>
      </c>
      <c r="H91" s="6424">
        <v>94</v>
      </c>
      <c r="I91" s="10963"/>
      <c r="J91" s="10963"/>
      <c r="K91" s="10963" t="str">
        <f>+IF(ISNA(VLOOKUP(MATCH(P91,tfn,0),tao,'12(id)'!$K$20,FALSE)),"",IF(J91="NA","",VLOOKUP(MATCH(P91,tfn,0),tao,'12(id)'!$K$20,FALSE)+J91))</f>
        <v/>
      </c>
      <c r="L91" s="10963"/>
      <c r="M91" s="10963" t="str">
        <f t="shared" si="6"/>
        <v/>
      </c>
      <c r="N91" s="10946" t="str">
        <f>+IF(M91="","",VLOOKUP(MATCH(M91,tid,0),tao,'12(id)'!$Q$20,FALSE))</f>
        <v/>
      </c>
      <c r="O91" s="6424" t="s">
        <v>1208</v>
      </c>
      <c r="P91" s="6425" t="s">
        <v>346</v>
      </c>
      <c r="Q91" s="6425"/>
      <c r="R91" s="6426">
        <v>50736</v>
      </c>
      <c r="S91" s="6427" t="s">
        <v>1232</v>
      </c>
      <c r="T91" s="6425" t="s">
        <v>1253</v>
      </c>
      <c r="U91" s="6428">
        <v>2008</v>
      </c>
      <c r="V91" s="6425" t="s">
        <v>1209</v>
      </c>
      <c r="W91" s="6429">
        <v>2908</v>
      </c>
      <c r="X91" s="6429">
        <v>5</v>
      </c>
      <c r="Y91" s="6429" t="s">
        <v>939</v>
      </c>
      <c r="Z91" s="6429">
        <v>336464</v>
      </c>
      <c r="AA91" s="6430">
        <v>0.11</v>
      </c>
      <c r="AB91" s="6431">
        <v>61.4</v>
      </c>
      <c r="AC91" s="6429">
        <v>1167796</v>
      </c>
      <c r="AD91" s="6425" t="s">
        <v>944</v>
      </c>
      <c r="AE91" s="6425" t="s">
        <v>1259</v>
      </c>
      <c r="AF91" s="6425" t="s">
        <v>939</v>
      </c>
      <c r="AG91" s="6425" t="s">
        <v>939</v>
      </c>
      <c r="AH91" s="6425" t="s">
        <v>1271</v>
      </c>
      <c r="AI91" s="6425"/>
      <c r="AJ91" s="6425"/>
      <c r="AK91" s="6425"/>
      <c r="AL91" s="6425" t="s">
        <v>939</v>
      </c>
      <c r="AM91" s="6425" t="s">
        <v>939</v>
      </c>
      <c r="AN91" s="6425" t="s">
        <v>1300</v>
      </c>
      <c r="AO91" s="6425" t="s">
        <v>1324</v>
      </c>
      <c r="AP91" s="6425" t="s">
        <v>1325</v>
      </c>
      <c r="AQ91" s="6425" t="s">
        <v>1326</v>
      </c>
      <c r="AR91" s="6433" t="s">
        <v>939</v>
      </c>
      <c r="AS91" s="6433" t="s">
        <v>939</v>
      </c>
      <c r="AT91" s="6433" t="s">
        <v>939</v>
      </c>
      <c r="AU91" s="6433"/>
      <c r="AV91" s="6433" t="s">
        <v>939</v>
      </c>
      <c r="AW91" s="6431">
        <v>181</v>
      </c>
      <c r="AX91" s="5133"/>
    </row>
    <row r="92" spans="1:54" s="6520" customFormat="1" ht="12.75" customHeight="1">
      <c r="A92" s="10989" t="str">
        <f t="shared" si="8"/>
        <v>8300-07</v>
      </c>
      <c r="B92" s="10995" t="str">
        <f>+IF(A92="","",VLOOKUP(MATCH(A92,tid,0),tao,'12(id)'!$J$20,FALSE))</f>
        <v>NRG</v>
      </c>
      <c r="C92" s="10992" t="str">
        <f>+N92</f>
        <v>FD10</v>
      </c>
      <c r="E92" s="5132"/>
      <c r="G92" s="6530">
        <v>75</v>
      </c>
      <c r="H92" s="6530">
        <v>99</v>
      </c>
      <c r="I92" s="10977">
        <v>29</v>
      </c>
      <c r="J92" s="10977"/>
      <c r="K92" s="10977">
        <f>+IF(ISNA(VLOOKUP(MATCH(P92,tfn,0),tao,'12(id)'!$K$20,FALSE)),"",IF(J92="NA","",VLOOKUP(MATCH(P92,tfn,0),tao,'12(id)'!$K$20,FALSE)+J92))</f>
        <v>8300</v>
      </c>
      <c r="L92" s="10977">
        <f>1+L64</f>
        <v>7</v>
      </c>
      <c r="M92" s="10977" t="str">
        <f t="shared" si="6"/>
        <v>8300-07</v>
      </c>
      <c r="N92" s="10980" t="str">
        <f>+IF(M92="","",VLOOKUP(MATCH(M92,tid,0),tao,'12(id)'!$Q$20,FALSE))</f>
        <v>FD10</v>
      </c>
      <c r="O92" s="6530" t="s">
        <v>1208</v>
      </c>
      <c r="P92" s="6531" t="s">
        <v>347</v>
      </c>
      <c r="Q92" s="6531"/>
      <c r="R92" s="6532">
        <v>561</v>
      </c>
      <c r="S92" s="6533" t="s">
        <v>1215</v>
      </c>
      <c r="T92" s="6534" t="s">
        <v>939</v>
      </c>
      <c r="U92" s="6535">
        <v>2010</v>
      </c>
      <c r="V92" s="6531" t="s">
        <v>1209</v>
      </c>
      <c r="W92" s="6536">
        <v>46</v>
      </c>
      <c r="X92" s="6536">
        <v>5</v>
      </c>
      <c r="Y92" s="6536">
        <v>639</v>
      </c>
      <c r="Z92" s="6536" t="s">
        <v>939</v>
      </c>
      <c r="AA92" s="6537">
        <v>1.2</v>
      </c>
      <c r="AB92" s="6538">
        <v>6.9</v>
      </c>
      <c r="AC92" s="6536">
        <v>11515</v>
      </c>
      <c r="AD92" s="6531" t="s">
        <v>944</v>
      </c>
      <c r="AE92" s="6531" t="s">
        <v>1259</v>
      </c>
      <c r="AF92" s="6531" t="s">
        <v>1261</v>
      </c>
      <c r="AG92" s="6531" t="s">
        <v>1262</v>
      </c>
      <c r="AH92" s="6531" t="s">
        <v>1264</v>
      </c>
      <c r="AI92" s="6531"/>
      <c r="AJ92" s="6531"/>
      <c r="AK92" s="6531"/>
      <c r="AL92" s="6534" t="s">
        <v>939</v>
      </c>
      <c r="AM92" s="6534" t="s">
        <v>939</v>
      </c>
      <c r="AN92" s="6534" t="s">
        <v>1300</v>
      </c>
      <c r="AO92" s="6534" t="s">
        <v>1304</v>
      </c>
      <c r="AP92" s="6534" t="s">
        <v>1309</v>
      </c>
      <c r="AQ92" s="6534" t="s">
        <v>939</v>
      </c>
      <c r="AR92" s="6534" t="s">
        <v>939</v>
      </c>
      <c r="AS92" s="6534" t="s">
        <v>939</v>
      </c>
      <c r="AT92" s="6534" t="s">
        <v>939</v>
      </c>
      <c r="AU92" s="6534"/>
      <c r="AV92" s="6534" t="s">
        <v>939</v>
      </c>
      <c r="AW92" s="6538">
        <v>250</v>
      </c>
      <c r="AX92" s="5133"/>
      <c r="AY92" s="5132"/>
      <c r="AZ92" s="5132"/>
      <c r="BA92" s="5132"/>
      <c r="BB92" s="5132"/>
    </row>
    <row r="93" spans="1:54" s="6520" customFormat="1" ht="12.75" customHeight="1">
      <c r="A93" s="10990" t="str">
        <f t="shared" si="8"/>
        <v>8300-07</v>
      </c>
      <c r="B93" s="10996"/>
      <c r="C93" s="10993"/>
      <c r="E93" s="5132"/>
      <c r="G93" s="6530">
        <v>76</v>
      </c>
      <c r="H93" s="6530">
        <v>98</v>
      </c>
      <c r="I93" s="10978"/>
      <c r="J93" s="10978"/>
      <c r="K93" s="10978">
        <f>+IF(ISNA(VLOOKUP(MATCH(P93,tfn,0),tao,'12(id)'!$K$20,FALSE)),"",IF(J93="NA","",VLOOKUP(MATCH(P93,tfn,0),tao,'12(id)'!$K$20,FALSE)+J93))</f>
        <v>8300</v>
      </c>
      <c r="L93" s="10978">
        <f>+L92</f>
        <v>7</v>
      </c>
      <c r="M93" s="10978" t="str">
        <f t="shared" si="6"/>
        <v>8300-07</v>
      </c>
      <c r="N93" s="10981" t="str">
        <f>+IF(M93="","",VLOOKUP(MATCH(M93,tid,0),tao,'12(id)'!$Q$20,FALSE))</f>
        <v>FD10</v>
      </c>
      <c r="O93" s="6530" t="s">
        <v>1208</v>
      </c>
      <c r="P93" s="6531" t="s">
        <v>347</v>
      </c>
      <c r="Q93" s="6531"/>
      <c r="R93" s="6532">
        <v>561</v>
      </c>
      <c r="S93" s="6533" t="s">
        <v>1215</v>
      </c>
      <c r="T93" s="6534" t="s">
        <v>939</v>
      </c>
      <c r="U93" s="6535">
        <v>2009</v>
      </c>
      <c r="V93" s="6531" t="s">
        <v>1209</v>
      </c>
      <c r="W93" s="6536">
        <v>5</v>
      </c>
      <c r="X93" s="6536">
        <v>5</v>
      </c>
      <c r="Y93" s="6536">
        <v>62</v>
      </c>
      <c r="Z93" s="6536" t="s">
        <v>939</v>
      </c>
      <c r="AA93" s="6537">
        <v>1.2</v>
      </c>
      <c r="AB93" s="6538">
        <v>0.7</v>
      </c>
      <c r="AC93" s="6536">
        <v>1145</v>
      </c>
      <c r="AD93" s="6531" t="s">
        <v>944</v>
      </c>
      <c r="AE93" s="6531" t="s">
        <v>1259</v>
      </c>
      <c r="AF93" s="6531" t="s">
        <v>1261</v>
      </c>
      <c r="AG93" s="6531" t="s">
        <v>1262</v>
      </c>
      <c r="AH93" s="6531" t="s">
        <v>1264</v>
      </c>
      <c r="AI93" s="6531"/>
      <c r="AJ93" s="6531"/>
      <c r="AK93" s="6531"/>
      <c r="AL93" s="6534" t="s">
        <v>939</v>
      </c>
      <c r="AM93" s="6534" t="s">
        <v>939</v>
      </c>
      <c r="AN93" s="6534" t="s">
        <v>1300</v>
      </c>
      <c r="AO93" s="6534" t="s">
        <v>1304</v>
      </c>
      <c r="AP93" s="6534" t="s">
        <v>1309</v>
      </c>
      <c r="AQ93" s="6534" t="s">
        <v>939</v>
      </c>
      <c r="AR93" s="6534" t="s">
        <v>939</v>
      </c>
      <c r="AS93" s="6534" t="s">
        <v>939</v>
      </c>
      <c r="AT93" s="6534" t="s">
        <v>939</v>
      </c>
      <c r="AU93" s="6534"/>
      <c r="AV93" s="6534" t="s">
        <v>939</v>
      </c>
      <c r="AW93" s="6538">
        <v>250</v>
      </c>
      <c r="AX93" s="5133"/>
      <c r="AY93" s="5132"/>
      <c r="AZ93" s="5132"/>
      <c r="BA93" s="5132"/>
      <c r="BB93" s="5132"/>
    </row>
    <row r="94" spans="1:54" s="6520" customFormat="1" ht="12.75" customHeight="1">
      <c r="A94" s="10991" t="str">
        <f t="shared" si="8"/>
        <v>8300-07</v>
      </c>
      <c r="B94" s="10997"/>
      <c r="C94" s="10994"/>
      <c r="E94" s="5132"/>
      <c r="G94" s="6539">
        <v>77</v>
      </c>
      <c r="H94" s="6539">
        <v>97</v>
      </c>
      <c r="I94" s="10979"/>
      <c r="J94" s="10979"/>
      <c r="K94" s="10979">
        <f>+IF(ISNA(VLOOKUP(MATCH(P94,tfn,0),tao,'12(id)'!$K$20,FALSE)),"",IF(J94="NA","",VLOOKUP(MATCH(P94,tfn,0),tao,'12(id)'!$K$20,FALSE)+J94))</f>
        <v>8300</v>
      </c>
      <c r="L94" s="10979">
        <f>+L93</f>
        <v>7</v>
      </c>
      <c r="M94" s="10979" t="str">
        <f t="shared" si="6"/>
        <v>8300-07</v>
      </c>
      <c r="N94" s="10982" t="str">
        <f>+IF(M94="","",VLOOKUP(MATCH(M94,tid,0),tao,'12(id)'!$Q$20,FALSE))</f>
        <v>FD10</v>
      </c>
      <c r="O94" s="6539" t="s">
        <v>1208</v>
      </c>
      <c r="P94" s="6540" t="s">
        <v>347</v>
      </c>
      <c r="Q94" s="6540"/>
      <c r="R94" s="6541">
        <v>561</v>
      </c>
      <c r="S94" s="6542" t="s">
        <v>1215</v>
      </c>
      <c r="T94" s="6543" t="s">
        <v>939</v>
      </c>
      <c r="U94" s="6544">
        <v>2008</v>
      </c>
      <c r="V94" s="6540" t="s">
        <v>1209</v>
      </c>
      <c r="W94" s="6545">
        <v>8</v>
      </c>
      <c r="X94" s="6545">
        <v>5</v>
      </c>
      <c r="Y94" s="6545">
        <v>142</v>
      </c>
      <c r="Z94" s="6545" t="s">
        <v>939</v>
      </c>
      <c r="AA94" s="6546">
        <v>1.2</v>
      </c>
      <c r="AB94" s="6547">
        <v>1.2</v>
      </c>
      <c r="AC94" s="6545">
        <v>2060</v>
      </c>
      <c r="AD94" s="6540" t="s">
        <v>944</v>
      </c>
      <c r="AE94" s="6540" t="s">
        <v>1259</v>
      </c>
      <c r="AF94" s="6540" t="s">
        <v>1261</v>
      </c>
      <c r="AG94" s="6540" t="s">
        <v>1262</v>
      </c>
      <c r="AH94" s="6540" t="s">
        <v>1264</v>
      </c>
      <c r="AI94" s="6540"/>
      <c r="AJ94" s="6540"/>
      <c r="AK94" s="6540"/>
      <c r="AL94" s="6543" t="s">
        <v>939</v>
      </c>
      <c r="AM94" s="6543" t="s">
        <v>939</v>
      </c>
      <c r="AN94" s="6543" t="s">
        <v>1300</v>
      </c>
      <c r="AO94" s="6543" t="s">
        <v>1304</v>
      </c>
      <c r="AP94" s="6543" t="s">
        <v>1309</v>
      </c>
      <c r="AQ94" s="6543" t="s">
        <v>939</v>
      </c>
      <c r="AR94" s="6543" t="s">
        <v>939</v>
      </c>
      <c r="AS94" s="6543" t="s">
        <v>939</v>
      </c>
      <c r="AT94" s="6543" t="s">
        <v>939</v>
      </c>
      <c r="AU94" s="6543"/>
      <c r="AV94" s="6543" t="s">
        <v>939</v>
      </c>
      <c r="AW94" s="6547">
        <v>250</v>
      </c>
      <c r="AX94" s="5133"/>
      <c r="AY94" s="5132"/>
      <c r="AZ94" s="5132"/>
      <c r="BA94" s="5132"/>
      <c r="BB94" s="5132"/>
    </row>
    <row r="95" spans="1:54" ht="12.75" customHeight="1">
      <c r="A95" s="6443" t="str">
        <f t="shared" si="8"/>
        <v/>
      </c>
      <c r="B95" s="6444"/>
      <c r="C95" s="6445"/>
      <c r="D95" s="5133"/>
      <c r="F95" s="5133"/>
      <c r="G95" s="6413">
        <v>78</v>
      </c>
      <c r="H95" s="6413">
        <v>102</v>
      </c>
      <c r="I95" s="10961">
        <v>30</v>
      </c>
      <c r="J95" s="10961"/>
      <c r="K95" s="10961" t="str">
        <f>+IF(ISNA(VLOOKUP(MATCH(P95,tfn,0),tao,'12(id)'!$K$20,FALSE)),"",IF(J95="NA","",VLOOKUP(MATCH(P95,tfn,0),tao,'12(id)'!$K$20,FALSE)+J95))</f>
        <v/>
      </c>
      <c r="L95" s="10961"/>
      <c r="M95" s="10961" t="str">
        <f t="shared" ref="M95:M158" si="9">+IF(K95="","",K95&amp;IF(L95&lt;10,"-0"&amp;L95,"-"&amp;L95))</f>
        <v/>
      </c>
      <c r="N95" s="10944" t="str">
        <f>+IF(M95="","",VLOOKUP(MATCH(M95,tid,0),tao,'12(id)'!$Q$20,FALSE))</f>
        <v/>
      </c>
      <c r="O95" s="6413" t="s">
        <v>1208</v>
      </c>
      <c r="P95" s="6414" t="s">
        <v>1210</v>
      </c>
      <c r="Q95" s="6414"/>
      <c r="R95" s="6415">
        <v>54657</v>
      </c>
      <c r="S95" s="6416" t="s">
        <v>1233</v>
      </c>
      <c r="T95" s="6421" t="s">
        <v>939</v>
      </c>
      <c r="U95" s="6417">
        <v>2010</v>
      </c>
      <c r="V95" s="6414" t="s">
        <v>1209</v>
      </c>
      <c r="W95" s="6418">
        <v>3563</v>
      </c>
      <c r="X95" s="6418">
        <v>5</v>
      </c>
      <c r="Y95" s="6418" t="s">
        <v>939</v>
      </c>
      <c r="Z95" s="6418">
        <v>505847</v>
      </c>
      <c r="AA95" s="6419">
        <v>0.21</v>
      </c>
      <c r="AB95" s="6420">
        <v>76.2</v>
      </c>
      <c r="AC95" s="6418">
        <v>706165</v>
      </c>
      <c r="AD95" s="6414" t="s">
        <v>1273</v>
      </c>
      <c r="AE95" s="6414" t="s">
        <v>1274</v>
      </c>
      <c r="AF95" s="6414" t="s">
        <v>1275</v>
      </c>
      <c r="AG95" s="6414" t="s">
        <v>1276</v>
      </c>
      <c r="AH95" s="6414" t="s">
        <v>1277</v>
      </c>
      <c r="AI95" s="6414"/>
      <c r="AJ95" s="6414"/>
      <c r="AK95" s="6414"/>
      <c r="AL95" s="6414" t="s">
        <v>939</v>
      </c>
      <c r="AM95" s="6414" t="s">
        <v>939</v>
      </c>
      <c r="AN95" s="6414" t="s">
        <v>1300</v>
      </c>
      <c r="AO95" s="6414" t="s">
        <v>1327</v>
      </c>
      <c r="AP95" s="6414" t="s">
        <v>1305</v>
      </c>
      <c r="AQ95" s="6414" t="s">
        <v>1308</v>
      </c>
      <c r="AR95" s="6421" t="s">
        <v>939</v>
      </c>
      <c r="AS95" s="6414" t="s">
        <v>1345</v>
      </c>
      <c r="AT95" s="6414" t="s">
        <v>939</v>
      </c>
      <c r="AU95" s="6414"/>
      <c r="AV95" s="6421" t="s">
        <v>939</v>
      </c>
      <c r="AW95" s="6420">
        <v>275</v>
      </c>
      <c r="AX95" s="5133"/>
    </row>
    <row r="96" spans="1:54" ht="12.75" customHeight="1">
      <c r="A96" s="6443" t="str">
        <f t="shared" si="8"/>
        <v/>
      </c>
      <c r="B96" s="6444"/>
      <c r="C96" s="6445"/>
      <c r="D96" s="5133"/>
      <c r="F96" s="5133"/>
      <c r="G96" s="6413">
        <v>79</v>
      </c>
      <c r="H96" s="6413">
        <v>101</v>
      </c>
      <c r="I96" s="10962"/>
      <c r="J96" s="10962"/>
      <c r="K96" s="10962" t="str">
        <f>+IF(ISNA(VLOOKUP(MATCH(P96,tfn,0),tao,'12(id)'!$K$20,FALSE)),"",IF(J96="NA","",VLOOKUP(MATCH(P96,tfn,0),tao,'12(id)'!$K$20,FALSE)+J96))</f>
        <v/>
      </c>
      <c r="L96" s="10962"/>
      <c r="M96" s="10962" t="str">
        <f t="shared" si="9"/>
        <v/>
      </c>
      <c r="N96" s="10945" t="str">
        <f>+IF(M96="","",VLOOKUP(MATCH(M96,tid,0),tao,'12(id)'!$Q$20,FALSE))</f>
        <v/>
      </c>
      <c r="O96" s="6413" t="s">
        <v>1208</v>
      </c>
      <c r="P96" s="6414" t="s">
        <v>1210</v>
      </c>
      <c r="Q96" s="6414"/>
      <c r="R96" s="6415">
        <v>54657</v>
      </c>
      <c r="S96" s="6416" t="s">
        <v>1233</v>
      </c>
      <c r="T96" s="6421" t="s">
        <v>939</v>
      </c>
      <c r="U96" s="6417">
        <v>2009</v>
      </c>
      <c r="V96" s="6414" t="s">
        <v>1209</v>
      </c>
      <c r="W96" s="6418">
        <v>3290</v>
      </c>
      <c r="X96" s="6418">
        <v>5</v>
      </c>
      <c r="Y96" s="6418" t="s">
        <v>939</v>
      </c>
      <c r="Z96" s="6418">
        <v>460096</v>
      </c>
      <c r="AA96" s="6419">
        <v>0.22</v>
      </c>
      <c r="AB96" s="6420">
        <v>72.8</v>
      </c>
      <c r="AC96" s="6418">
        <v>639126</v>
      </c>
      <c r="AD96" s="6414" t="s">
        <v>1273</v>
      </c>
      <c r="AE96" s="6414" t="s">
        <v>1274</v>
      </c>
      <c r="AF96" s="6414" t="s">
        <v>1275</v>
      </c>
      <c r="AG96" s="6414" t="s">
        <v>1276</v>
      </c>
      <c r="AH96" s="6414" t="s">
        <v>1277</v>
      </c>
      <c r="AI96" s="6414"/>
      <c r="AJ96" s="6414"/>
      <c r="AK96" s="6414"/>
      <c r="AL96" s="6414" t="s">
        <v>939</v>
      </c>
      <c r="AM96" s="6414" t="s">
        <v>939</v>
      </c>
      <c r="AN96" s="6414" t="s">
        <v>1300</v>
      </c>
      <c r="AO96" s="6414" t="s">
        <v>1327</v>
      </c>
      <c r="AP96" s="6414" t="s">
        <v>1305</v>
      </c>
      <c r="AQ96" s="6414" t="s">
        <v>1308</v>
      </c>
      <c r="AR96" s="6421" t="s">
        <v>939</v>
      </c>
      <c r="AS96" s="6414" t="s">
        <v>1345</v>
      </c>
      <c r="AT96" s="6414" t="s">
        <v>939</v>
      </c>
      <c r="AU96" s="6414"/>
      <c r="AV96" s="6421" t="s">
        <v>939</v>
      </c>
      <c r="AW96" s="6420">
        <v>275</v>
      </c>
      <c r="AX96" s="5133"/>
    </row>
    <row r="97" spans="1:54" ht="12.75" customHeight="1">
      <c r="A97" s="6443" t="str">
        <f t="shared" si="8"/>
        <v/>
      </c>
      <c r="B97" s="6444"/>
      <c r="C97" s="6445"/>
      <c r="D97" s="5133"/>
      <c r="F97" s="5133"/>
      <c r="G97" s="6424">
        <v>80</v>
      </c>
      <c r="H97" s="6424">
        <v>100</v>
      </c>
      <c r="I97" s="10963"/>
      <c r="J97" s="10963"/>
      <c r="K97" s="10963" t="str">
        <f>+IF(ISNA(VLOOKUP(MATCH(P97,tfn,0),tao,'12(id)'!$K$20,FALSE)),"",IF(J97="NA","",VLOOKUP(MATCH(P97,tfn,0),tao,'12(id)'!$K$20,FALSE)+J97))</f>
        <v/>
      </c>
      <c r="L97" s="10963"/>
      <c r="M97" s="10963" t="str">
        <f t="shared" si="9"/>
        <v/>
      </c>
      <c r="N97" s="10946" t="str">
        <f>+IF(M97="","",VLOOKUP(MATCH(M97,tid,0),tao,'12(id)'!$Q$20,FALSE))</f>
        <v/>
      </c>
      <c r="O97" s="6424" t="s">
        <v>1208</v>
      </c>
      <c r="P97" s="6425" t="s">
        <v>1210</v>
      </c>
      <c r="Q97" s="6425"/>
      <c r="R97" s="6426">
        <v>54657</v>
      </c>
      <c r="S97" s="6427" t="s">
        <v>1233</v>
      </c>
      <c r="T97" s="6433" t="s">
        <v>939</v>
      </c>
      <c r="U97" s="6428">
        <v>2008</v>
      </c>
      <c r="V97" s="6425" t="s">
        <v>1209</v>
      </c>
      <c r="W97" s="6429">
        <v>3346</v>
      </c>
      <c r="X97" s="6429">
        <v>5</v>
      </c>
      <c r="Y97" s="6429" t="s">
        <v>939</v>
      </c>
      <c r="Z97" s="6429">
        <v>381076</v>
      </c>
      <c r="AA97" s="6430">
        <v>0.14000000000000001</v>
      </c>
      <c r="AB97" s="6431">
        <v>40</v>
      </c>
      <c r="AC97" s="6429">
        <v>519447</v>
      </c>
      <c r="AD97" s="6425" t="s">
        <v>1273</v>
      </c>
      <c r="AE97" s="6425" t="s">
        <v>1274</v>
      </c>
      <c r="AF97" s="6425" t="s">
        <v>1275</v>
      </c>
      <c r="AG97" s="6425" t="s">
        <v>1276</v>
      </c>
      <c r="AH97" s="6425" t="s">
        <v>1277</v>
      </c>
      <c r="AI97" s="6425"/>
      <c r="AJ97" s="6425"/>
      <c r="AK97" s="6425"/>
      <c r="AL97" s="6425" t="s">
        <v>939</v>
      </c>
      <c r="AM97" s="6425" t="s">
        <v>939</v>
      </c>
      <c r="AN97" s="6425" t="s">
        <v>1300</v>
      </c>
      <c r="AO97" s="6425" t="s">
        <v>1327</v>
      </c>
      <c r="AP97" s="6425" t="s">
        <v>1305</v>
      </c>
      <c r="AQ97" s="6425" t="s">
        <v>1308</v>
      </c>
      <c r="AR97" s="6433" t="s">
        <v>939</v>
      </c>
      <c r="AS97" s="6425" t="s">
        <v>1345</v>
      </c>
      <c r="AT97" s="6425" t="s">
        <v>939</v>
      </c>
      <c r="AU97" s="6425"/>
      <c r="AV97" s="6433" t="s">
        <v>939</v>
      </c>
      <c r="AW97" s="6431">
        <v>275</v>
      </c>
      <c r="AX97" s="5133"/>
    </row>
    <row r="98" spans="1:54" ht="12.75" customHeight="1">
      <c r="A98" s="6443" t="str">
        <f t="shared" si="8"/>
        <v/>
      </c>
      <c r="B98" s="6444"/>
      <c r="C98" s="6445"/>
      <c r="D98" s="5133"/>
      <c r="F98" s="5133"/>
      <c r="G98" s="6413">
        <v>81</v>
      </c>
      <c r="H98" s="6413">
        <v>109</v>
      </c>
      <c r="I98" s="10961">
        <v>31</v>
      </c>
      <c r="J98" s="10961"/>
      <c r="K98" s="10961" t="str">
        <f>+IF(ISNA(VLOOKUP(MATCH(P98,tfn,0),tao,'12(id)'!$K$20,FALSE)),"",IF(J98="NA","",VLOOKUP(MATCH(P98,tfn,0),tao,'12(id)'!$K$20,FALSE)+J98))</f>
        <v/>
      </c>
      <c r="L98" s="10961"/>
      <c r="M98" s="10961" t="str">
        <f t="shared" si="9"/>
        <v/>
      </c>
      <c r="N98" s="10944" t="str">
        <f>+IF(M98="","",VLOOKUP(MATCH(M98,tid,0),tao,'12(id)'!$Q$20,FALSE))</f>
        <v/>
      </c>
      <c r="O98" s="6413" t="s">
        <v>1208</v>
      </c>
      <c r="P98" s="6414" t="s">
        <v>348</v>
      </c>
      <c r="Q98" s="6414"/>
      <c r="R98" s="6415">
        <v>55149</v>
      </c>
      <c r="S98" s="6416" t="s">
        <v>1234</v>
      </c>
      <c r="T98" s="6421" t="s">
        <v>939</v>
      </c>
      <c r="U98" s="6417">
        <v>2010</v>
      </c>
      <c r="V98" s="6414" t="s">
        <v>1209</v>
      </c>
      <c r="W98" s="6418">
        <v>2875</v>
      </c>
      <c r="X98" s="6418">
        <v>5</v>
      </c>
      <c r="Y98" s="6418">
        <v>441982</v>
      </c>
      <c r="Z98" s="6418" t="s">
        <v>939</v>
      </c>
      <c r="AA98" s="6419">
        <v>0.01</v>
      </c>
      <c r="AB98" s="6420">
        <v>16.5</v>
      </c>
      <c r="AC98" s="6418">
        <v>4779615</v>
      </c>
      <c r="AD98" s="6414" t="s">
        <v>944</v>
      </c>
      <c r="AE98" s="6414" t="s">
        <v>1259</v>
      </c>
      <c r="AF98" s="6414" t="s">
        <v>1261</v>
      </c>
      <c r="AG98" s="6414" t="s">
        <v>1262</v>
      </c>
      <c r="AH98" s="6414" t="s">
        <v>1278</v>
      </c>
      <c r="AI98" s="6414"/>
      <c r="AJ98" s="6414"/>
      <c r="AK98" s="6414"/>
      <c r="AL98" s="6414" t="s">
        <v>1303</v>
      </c>
      <c r="AM98" s="6414" t="s">
        <v>939</v>
      </c>
      <c r="AN98" s="6414" t="s">
        <v>1300</v>
      </c>
      <c r="AO98" s="6414" t="s">
        <v>1307</v>
      </c>
      <c r="AP98" s="6414" t="s">
        <v>1305</v>
      </c>
      <c r="AQ98" s="6414" t="s">
        <v>1306</v>
      </c>
      <c r="AR98" s="6421" t="s">
        <v>939</v>
      </c>
      <c r="AS98" s="6414" t="s">
        <v>1335</v>
      </c>
      <c r="AT98" s="6414" t="s">
        <v>1022</v>
      </c>
      <c r="AU98" s="6414" t="s">
        <v>1338</v>
      </c>
      <c r="AV98" s="6421" t="s">
        <v>939</v>
      </c>
      <c r="AW98" s="6420">
        <v>2276</v>
      </c>
      <c r="AX98" s="5133"/>
    </row>
    <row r="99" spans="1:54" ht="12.75" customHeight="1">
      <c r="A99" s="6443" t="str">
        <f t="shared" si="8"/>
        <v/>
      </c>
      <c r="B99" s="6444"/>
      <c r="C99" s="6445"/>
      <c r="D99" s="5133"/>
      <c r="F99" s="5133"/>
      <c r="G99" s="6413">
        <v>82</v>
      </c>
      <c r="H99" s="6413">
        <v>106</v>
      </c>
      <c r="I99" s="10962"/>
      <c r="J99" s="10962"/>
      <c r="K99" s="10962" t="str">
        <f>+IF(ISNA(VLOOKUP(MATCH(P99,tfn,0),tao,'12(id)'!$K$20,FALSE)),"",IF(J99="NA","",VLOOKUP(MATCH(P99,tfn,0),tao,'12(id)'!$K$20,FALSE)+J99))</f>
        <v/>
      </c>
      <c r="L99" s="10962"/>
      <c r="M99" s="10962" t="str">
        <f t="shared" si="9"/>
        <v/>
      </c>
      <c r="N99" s="10945" t="str">
        <f>+IF(M99="","",VLOOKUP(MATCH(M99,tid,0),tao,'12(id)'!$Q$20,FALSE))</f>
        <v/>
      </c>
      <c r="O99" s="6413" t="s">
        <v>1208</v>
      </c>
      <c r="P99" s="6414" t="s">
        <v>348</v>
      </c>
      <c r="Q99" s="6414"/>
      <c r="R99" s="6415">
        <v>55149</v>
      </c>
      <c r="S99" s="6416" t="s">
        <v>1234</v>
      </c>
      <c r="T99" s="6421" t="s">
        <v>939</v>
      </c>
      <c r="U99" s="6417">
        <v>2009</v>
      </c>
      <c r="V99" s="6414" t="s">
        <v>1209</v>
      </c>
      <c r="W99" s="6418">
        <v>2194</v>
      </c>
      <c r="X99" s="6418">
        <v>5</v>
      </c>
      <c r="Y99" s="6418">
        <v>327804</v>
      </c>
      <c r="Z99" s="6418" t="s">
        <v>939</v>
      </c>
      <c r="AA99" s="6419">
        <v>0.01</v>
      </c>
      <c r="AB99" s="6420">
        <v>12.5</v>
      </c>
      <c r="AC99" s="6418">
        <v>3571803</v>
      </c>
      <c r="AD99" s="6414" t="s">
        <v>944</v>
      </c>
      <c r="AE99" s="6414" t="s">
        <v>1259</v>
      </c>
      <c r="AF99" s="6414" t="s">
        <v>1261</v>
      </c>
      <c r="AG99" s="6414" t="s">
        <v>1262</v>
      </c>
      <c r="AH99" s="6414" t="s">
        <v>1278</v>
      </c>
      <c r="AI99" s="6414"/>
      <c r="AJ99" s="6414"/>
      <c r="AK99" s="6414"/>
      <c r="AL99" s="6414" t="s">
        <v>1303</v>
      </c>
      <c r="AM99" s="6414" t="s">
        <v>939</v>
      </c>
      <c r="AN99" s="6414" t="s">
        <v>1300</v>
      </c>
      <c r="AO99" s="6414" t="s">
        <v>1307</v>
      </c>
      <c r="AP99" s="6414" t="s">
        <v>1305</v>
      </c>
      <c r="AQ99" s="6414" t="s">
        <v>1306</v>
      </c>
      <c r="AR99" s="6421" t="s">
        <v>939</v>
      </c>
      <c r="AS99" s="6414" t="s">
        <v>1335</v>
      </c>
      <c r="AT99" s="6414" t="s">
        <v>1022</v>
      </c>
      <c r="AU99" s="6414" t="s">
        <v>1338</v>
      </c>
      <c r="AV99" s="6421" t="s">
        <v>939</v>
      </c>
      <c r="AW99" s="6420">
        <v>2276</v>
      </c>
      <c r="AX99" s="5133"/>
    </row>
    <row r="100" spans="1:54" ht="12.75" customHeight="1">
      <c r="A100" s="6443" t="str">
        <f t="shared" si="8"/>
        <v/>
      </c>
      <c r="B100" s="6444"/>
      <c r="C100" s="6445"/>
      <c r="D100" s="5133"/>
      <c r="F100" s="5133"/>
      <c r="G100" s="6424">
        <v>83</v>
      </c>
      <c r="H100" s="6424">
        <v>103</v>
      </c>
      <c r="I100" s="10963"/>
      <c r="J100" s="10963"/>
      <c r="K100" s="10963" t="str">
        <f>+IF(ISNA(VLOOKUP(MATCH(P100,tfn,0),tao,'12(id)'!$K$20,FALSE)),"",IF(J100="NA","",VLOOKUP(MATCH(P100,tfn,0),tao,'12(id)'!$K$20,FALSE)+J100))</f>
        <v/>
      </c>
      <c r="L100" s="10963"/>
      <c r="M100" s="10963" t="str">
        <f t="shared" si="9"/>
        <v/>
      </c>
      <c r="N100" s="10946" t="str">
        <f>+IF(M100="","",VLOOKUP(MATCH(M100,tid,0),tao,'12(id)'!$Q$20,FALSE))</f>
        <v/>
      </c>
      <c r="O100" s="6424" t="s">
        <v>1208</v>
      </c>
      <c r="P100" s="6425" t="s">
        <v>348</v>
      </c>
      <c r="Q100" s="6425"/>
      <c r="R100" s="6426">
        <v>55149</v>
      </c>
      <c r="S100" s="6427" t="s">
        <v>1234</v>
      </c>
      <c r="T100" s="6433" t="s">
        <v>939</v>
      </c>
      <c r="U100" s="6428">
        <v>2008</v>
      </c>
      <c r="V100" s="6425" t="s">
        <v>1209</v>
      </c>
      <c r="W100" s="6429">
        <v>1438</v>
      </c>
      <c r="X100" s="6429">
        <v>5</v>
      </c>
      <c r="Y100" s="6429">
        <v>209512</v>
      </c>
      <c r="Z100" s="6429" t="s">
        <v>939</v>
      </c>
      <c r="AA100" s="6430">
        <v>0.01</v>
      </c>
      <c r="AB100" s="6431">
        <v>8.8000000000000007</v>
      </c>
      <c r="AC100" s="6429">
        <v>2313832</v>
      </c>
      <c r="AD100" s="6425" t="s">
        <v>944</v>
      </c>
      <c r="AE100" s="6425" t="s">
        <v>1259</v>
      </c>
      <c r="AF100" s="6425" t="s">
        <v>1261</v>
      </c>
      <c r="AG100" s="6425" t="s">
        <v>1262</v>
      </c>
      <c r="AH100" s="6425" t="s">
        <v>1278</v>
      </c>
      <c r="AI100" s="6425"/>
      <c r="AJ100" s="6425"/>
      <c r="AK100" s="6425"/>
      <c r="AL100" s="6425" t="s">
        <v>1303</v>
      </c>
      <c r="AM100" s="6425" t="s">
        <v>939</v>
      </c>
      <c r="AN100" s="6425" t="s">
        <v>1300</v>
      </c>
      <c r="AO100" s="6425" t="s">
        <v>1307</v>
      </c>
      <c r="AP100" s="6425" t="s">
        <v>1305</v>
      </c>
      <c r="AQ100" s="6425" t="s">
        <v>1306</v>
      </c>
      <c r="AR100" s="6433" t="s">
        <v>939</v>
      </c>
      <c r="AS100" s="6425" t="s">
        <v>1335</v>
      </c>
      <c r="AT100" s="6425" t="s">
        <v>1022</v>
      </c>
      <c r="AU100" s="6425" t="s">
        <v>1338</v>
      </c>
      <c r="AV100" s="6433" t="s">
        <v>939</v>
      </c>
      <c r="AW100" s="6431">
        <v>2276</v>
      </c>
      <c r="AX100" s="5133"/>
    </row>
    <row r="101" spans="1:54" ht="12.75" customHeight="1">
      <c r="A101" s="6443" t="str">
        <f t="shared" si="8"/>
        <v/>
      </c>
      <c r="B101" s="6444"/>
      <c r="C101" s="6445"/>
      <c r="D101" s="5133"/>
      <c r="F101" s="5133"/>
      <c r="G101" s="6413">
        <v>84</v>
      </c>
      <c r="H101" s="6413">
        <v>118</v>
      </c>
      <c r="I101" s="10961">
        <v>32</v>
      </c>
      <c r="J101" s="10961"/>
      <c r="K101" s="10961" t="str">
        <f>+IF(ISNA(VLOOKUP(MATCH(P101,tfn,0),tao,'12(id)'!$K$20,FALSE)),"",IF(J101="NA","",VLOOKUP(MATCH(P101,tfn,0),tao,'12(id)'!$K$20,FALSE)+J101))</f>
        <v/>
      </c>
      <c r="L101" s="10961"/>
      <c r="M101" s="10961" t="str">
        <f t="shared" si="9"/>
        <v/>
      </c>
      <c r="N101" s="10944" t="str">
        <f>+IF(M101="","",VLOOKUP(MATCH(M101,tid,0),tao,'12(id)'!$Q$20,FALSE))</f>
        <v/>
      </c>
      <c r="O101" s="6413" t="s">
        <v>1208</v>
      </c>
      <c r="P101" s="6414" t="s">
        <v>348</v>
      </c>
      <c r="Q101" s="6414"/>
      <c r="R101" s="6415">
        <v>55149</v>
      </c>
      <c r="S101" s="6416" t="s">
        <v>1235</v>
      </c>
      <c r="T101" s="6421" t="s">
        <v>939</v>
      </c>
      <c r="U101" s="6417">
        <v>2010</v>
      </c>
      <c r="V101" s="6414" t="s">
        <v>1209</v>
      </c>
      <c r="W101" s="6418">
        <v>2543</v>
      </c>
      <c r="X101" s="6418">
        <v>5</v>
      </c>
      <c r="Y101" s="6418">
        <v>391535</v>
      </c>
      <c r="Z101" s="6418" t="s">
        <v>939</v>
      </c>
      <c r="AA101" s="6419">
        <v>0.01</v>
      </c>
      <c r="AB101" s="6420">
        <v>15</v>
      </c>
      <c r="AC101" s="6418">
        <v>4170699</v>
      </c>
      <c r="AD101" s="6414" t="s">
        <v>944</v>
      </c>
      <c r="AE101" s="6414" t="s">
        <v>1259</v>
      </c>
      <c r="AF101" s="6414" t="s">
        <v>1261</v>
      </c>
      <c r="AG101" s="6414" t="s">
        <v>1262</v>
      </c>
      <c r="AH101" s="6414" t="s">
        <v>1278</v>
      </c>
      <c r="AI101" s="6414"/>
      <c r="AJ101" s="6414"/>
      <c r="AK101" s="6414"/>
      <c r="AL101" s="6414" t="s">
        <v>1303</v>
      </c>
      <c r="AM101" s="6414" t="s">
        <v>939</v>
      </c>
      <c r="AN101" s="6414" t="s">
        <v>1300</v>
      </c>
      <c r="AO101" s="6414" t="s">
        <v>1307</v>
      </c>
      <c r="AP101" s="6414" t="s">
        <v>1305</v>
      </c>
      <c r="AQ101" s="6414" t="s">
        <v>1306</v>
      </c>
      <c r="AR101" s="6421" t="s">
        <v>939</v>
      </c>
      <c r="AS101" s="6414" t="s">
        <v>1335</v>
      </c>
      <c r="AT101" s="6414" t="s">
        <v>1022</v>
      </c>
      <c r="AU101" s="6414" t="s">
        <v>1338</v>
      </c>
      <c r="AV101" s="6421" t="s">
        <v>939</v>
      </c>
      <c r="AW101" s="6420">
        <v>2276</v>
      </c>
      <c r="AX101" s="5133"/>
    </row>
    <row r="102" spans="1:54" ht="12.75" customHeight="1">
      <c r="A102" s="6443" t="str">
        <f t="shared" si="8"/>
        <v/>
      </c>
      <c r="B102" s="6444"/>
      <c r="C102" s="6445"/>
      <c r="D102" s="5133"/>
      <c r="F102" s="5133"/>
      <c r="G102" s="6413">
        <v>85</v>
      </c>
      <c r="H102" s="6413">
        <v>115</v>
      </c>
      <c r="I102" s="10962"/>
      <c r="J102" s="10962"/>
      <c r="K102" s="10962" t="str">
        <f>+IF(ISNA(VLOOKUP(MATCH(P102,tfn,0),tao,'12(id)'!$K$20,FALSE)),"",IF(J102="NA","",VLOOKUP(MATCH(P102,tfn,0),tao,'12(id)'!$K$20,FALSE)+J102))</f>
        <v/>
      </c>
      <c r="L102" s="10962"/>
      <c r="M102" s="10962" t="str">
        <f t="shared" si="9"/>
        <v/>
      </c>
      <c r="N102" s="10945" t="str">
        <f>+IF(M102="","",VLOOKUP(MATCH(M102,tid,0),tao,'12(id)'!$Q$20,FALSE))</f>
        <v/>
      </c>
      <c r="O102" s="6413" t="s">
        <v>1208</v>
      </c>
      <c r="P102" s="6414" t="s">
        <v>348</v>
      </c>
      <c r="Q102" s="6414"/>
      <c r="R102" s="6415">
        <v>55149</v>
      </c>
      <c r="S102" s="6416" t="s">
        <v>1235</v>
      </c>
      <c r="T102" s="6421" t="s">
        <v>939</v>
      </c>
      <c r="U102" s="6417">
        <v>2009</v>
      </c>
      <c r="V102" s="6414" t="s">
        <v>1209</v>
      </c>
      <c r="W102" s="6418">
        <v>1845</v>
      </c>
      <c r="X102" s="6418">
        <v>5</v>
      </c>
      <c r="Y102" s="6418">
        <v>278005</v>
      </c>
      <c r="Z102" s="6418" t="s">
        <v>939</v>
      </c>
      <c r="AA102" s="6419">
        <v>0.01</v>
      </c>
      <c r="AB102" s="6420">
        <v>10.199999999999999</v>
      </c>
      <c r="AC102" s="6418">
        <v>2975713</v>
      </c>
      <c r="AD102" s="6414" t="s">
        <v>944</v>
      </c>
      <c r="AE102" s="6414" t="s">
        <v>1259</v>
      </c>
      <c r="AF102" s="6414" t="s">
        <v>1261</v>
      </c>
      <c r="AG102" s="6414" t="s">
        <v>1262</v>
      </c>
      <c r="AH102" s="6414" t="s">
        <v>1278</v>
      </c>
      <c r="AI102" s="6414"/>
      <c r="AJ102" s="6414"/>
      <c r="AK102" s="6414"/>
      <c r="AL102" s="6414" t="s">
        <v>1303</v>
      </c>
      <c r="AM102" s="6414" t="s">
        <v>939</v>
      </c>
      <c r="AN102" s="6414" t="s">
        <v>1300</v>
      </c>
      <c r="AO102" s="6414" t="s">
        <v>1307</v>
      </c>
      <c r="AP102" s="6414" t="s">
        <v>1305</v>
      </c>
      <c r="AQ102" s="6414" t="s">
        <v>1306</v>
      </c>
      <c r="AR102" s="6421" t="s">
        <v>939</v>
      </c>
      <c r="AS102" s="6414" t="s">
        <v>1335</v>
      </c>
      <c r="AT102" s="6414" t="s">
        <v>1022</v>
      </c>
      <c r="AU102" s="6414" t="s">
        <v>1338</v>
      </c>
      <c r="AV102" s="6421" t="s">
        <v>939</v>
      </c>
      <c r="AW102" s="6420">
        <v>2276</v>
      </c>
      <c r="AX102" s="5133"/>
    </row>
    <row r="103" spans="1:54" ht="12.75" customHeight="1">
      <c r="A103" s="6443" t="str">
        <f t="shared" si="8"/>
        <v/>
      </c>
      <c r="B103" s="6444"/>
      <c r="C103" s="6445"/>
      <c r="D103" s="5133"/>
      <c r="F103" s="5133"/>
      <c r="G103" s="6424">
        <v>86</v>
      </c>
      <c r="H103" s="6424">
        <v>112</v>
      </c>
      <c r="I103" s="10963"/>
      <c r="J103" s="10963"/>
      <c r="K103" s="10963" t="str">
        <f>+IF(ISNA(VLOOKUP(MATCH(P103,tfn,0),tao,'12(id)'!$K$20,FALSE)),"",IF(J103="NA","",VLOOKUP(MATCH(P103,tfn,0),tao,'12(id)'!$K$20,FALSE)+J103))</f>
        <v/>
      </c>
      <c r="L103" s="10963"/>
      <c r="M103" s="10963" t="str">
        <f t="shared" si="9"/>
        <v/>
      </c>
      <c r="N103" s="10946" t="str">
        <f>+IF(M103="","",VLOOKUP(MATCH(M103,tid,0),tao,'12(id)'!$Q$20,FALSE))</f>
        <v/>
      </c>
      <c r="O103" s="6424" t="s">
        <v>1208</v>
      </c>
      <c r="P103" s="6425" t="s">
        <v>348</v>
      </c>
      <c r="Q103" s="6425"/>
      <c r="R103" s="6426">
        <v>55149</v>
      </c>
      <c r="S103" s="6427" t="s">
        <v>1235</v>
      </c>
      <c r="T103" s="6433" t="s">
        <v>939</v>
      </c>
      <c r="U103" s="6428">
        <v>2008</v>
      </c>
      <c r="V103" s="6425" t="s">
        <v>1209</v>
      </c>
      <c r="W103" s="6429">
        <v>1692</v>
      </c>
      <c r="X103" s="6429">
        <v>5</v>
      </c>
      <c r="Y103" s="6429">
        <v>254939</v>
      </c>
      <c r="Z103" s="6429" t="s">
        <v>939</v>
      </c>
      <c r="AA103" s="6430">
        <v>0.02</v>
      </c>
      <c r="AB103" s="6431">
        <v>13.4</v>
      </c>
      <c r="AC103" s="6429">
        <v>2764477</v>
      </c>
      <c r="AD103" s="6425" t="s">
        <v>944</v>
      </c>
      <c r="AE103" s="6425" t="s">
        <v>1259</v>
      </c>
      <c r="AF103" s="6425" t="s">
        <v>1261</v>
      </c>
      <c r="AG103" s="6425" t="s">
        <v>1262</v>
      </c>
      <c r="AH103" s="6425" t="s">
        <v>1278</v>
      </c>
      <c r="AI103" s="6425"/>
      <c r="AJ103" s="6425"/>
      <c r="AK103" s="6425"/>
      <c r="AL103" s="6425" t="s">
        <v>1303</v>
      </c>
      <c r="AM103" s="6425" t="s">
        <v>939</v>
      </c>
      <c r="AN103" s="6425" t="s">
        <v>1300</v>
      </c>
      <c r="AO103" s="6425" t="s">
        <v>1307</v>
      </c>
      <c r="AP103" s="6425" t="s">
        <v>1305</v>
      </c>
      <c r="AQ103" s="6425" t="s">
        <v>1306</v>
      </c>
      <c r="AR103" s="6433" t="s">
        <v>939</v>
      </c>
      <c r="AS103" s="6425" t="s">
        <v>1335</v>
      </c>
      <c r="AT103" s="6425" t="s">
        <v>1022</v>
      </c>
      <c r="AU103" s="6425" t="s">
        <v>1338</v>
      </c>
      <c r="AV103" s="6433" t="s">
        <v>939</v>
      </c>
      <c r="AW103" s="6431">
        <v>2276</v>
      </c>
      <c r="AX103" s="5133"/>
    </row>
    <row r="104" spans="1:54" ht="12.75" customHeight="1">
      <c r="A104" s="6443" t="str">
        <f t="shared" si="8"/>
        <v/>
      </c>
      <c r="B104" s="6444"/>
      <c r="C104" s="6445"/>
      <c r="D104" s="5133"/>
      <c r="F104" s="5133"/>
      <c r="G104" s="6413">
        <v>87</v>
      </c>
      <c r="H104" s="6413">
        <v>127</v>
      </c>
      <c r="I104" s="10961">
        <v>33</v>
      </c>
      <c r="J104" s="10961"/>
      <c r="K104" s="10961" t="str">
        <f>+IF(ISNA(VLOOKUP(MATCH(P104,tfn,0),tao,'12(id)'!$K$20,FALSE)),"",IF(J104="NA","",VLOOKUP(MATCH(P104,tfn,0),tao,'12(id)'!$K$20,FALSE)+J104))</f>
        <v/>
      </c>
      <c r="L104" s="10961"/>
      <c r="M104" s="10961" t="str">
        <f t="shared" si="9"/>
        <v/>
      </c>
      <c r="N104" s="10944" t="str">
        <f>+IF(M104="","",VLOOKUP(MATCH(M104,tid,0),tao,'12(id)'!$Q$20,FALSE))</f>
        <v/>
      </c>
      <c r="O104" s="6413" t="s">
        <v>1208</v>
      </c>
      <c r="P104" s="6414" t="s">
        <v>348</v>
      </c>
      <c r="Q104" s="6414"/>
      <c r="R104" s="6415">
        <v>55149</v>
      </c>
      <c r="S104" s="6416" t="s">
        <v>1236</v>
      </c>
      <c r="T104" s="6421" t="s">
        <v>939</v>
      </c>
      <c r="U104" s="6417">
        <v>2010</v>
      </c>
      <c r="V104" s="6414" t="s">
        <v>1209</v>
      </c>
      <c r="W104" s="6418">
        <v>2682</v>
      </c>
      <c r="X104" s="6418">
        <v>5</v>
      </c>
      <c r="Y104" s="6418">
        <v>421801</v>
      </c>
      <c r="Z104" s="6418" t="s">
        <v>939</v>
      </c>
      <c r="AA104" s="6419">
        <v>0.01</v>
      </c>
      <c r="AB104" s="6420">
        <v>12.6</v>
      </c>
      <c r="AC104" s="6418">
        <v>4582273</v>
      </c>
      <c r="AD104" s="6414" t="s">
        <v>944</v>
      </c>
      <c r="AE104" s="6414" t="s">
        <v>1259</v>
      </c>
      <c r="AF104" s="6414" t="s">
        <v>1261</v>
      </c>
      <c r="AG104" s="6414" t="s">
        <v>1262</v>
      </c>
      <c r="AH104" s="6414" t="s">
        <v>1278</v>
      </c>
      <c r="AI104" s="6414"/>
      <c r="AJ104" s="6414"/>
      <c r="AK104" s="6414"/>
      <c r="AL104" s="6414" t="s">
        <v>1303</v>
      </c>
      <c r="AM104" s="6414" t="s">
        <v>939</v>
      </c>
      <c r="AN104" s="6414" t="s">
        <v>1300</v>
      </c>
      <c r="AO104" s="6414" t="s">
        <v>1307</v>
      </c>
      <c r="AP104" s="6414" t="s">
        <v>1305</v>
      </c>
      <c r="AQ104" s="6414" t="s">
        <v>1306</v>
      </c>
      <c r="AR104" s="6421" t="s">
        <v>939</v>
      </c>
      <c r="AS104" s="6414" t="s">
        <v>1335</v>
      </c>
      <c r="AT104" s="6414" t="s">
        <v>1022</v>
      </c>
      <c r="AU104" s="6414" t="s">
        <v>1338</v>
      </c>
      <c r="AV104" s="6421" t="s">
        <v>939</v>
      </c>
      <c r="AW104" s="6420">
        <v>2276</v>
      </c>
      <c r="AX104" s="5133"/>
    </row>
    <row r="105" spans="1:54" ht="12.75" customHeight="1">
      <c r="A105" s="6443" t="str">
        <f t="shared" si="8"/>
        <v/>
      </c>
      <c r="B105" s="6444"/>
      <c r="C105" s="6445"/>
      <c r="D105" s="5133"/>
      <c r="F105" s="5133"/>
      <c r="G105" s="6413">
        <v>88</v>
      </c>
      <c r="H105" s="6413">
        <v>124</v>
      </c>
      <c r="I105" s="10962"/>
      <c r="J105" s="10962"/>
      <c r="K105" s="10962" t="str">
        <f>+IF(ISNA(VLOOKUP(MATCH(P105,tfn,0),tao,'12(id)'!$K$20,FALSE)),"",IF(J105="NA","",VLOOKUP(MATCH(P105,tfn,0),tao,'12(id)'!$K$20,FALSE)+J105))</f>
        <v/>
      </c>
      <c r="L105" s="10962"/>
      <c r="M105" s="10962" t="str">
        <f t="shared" si="9"/>
        <v/>
      </c>
      <c r="N105" s="10945" t="str">
        <f>+IF(M105="","",VLOOKUP(MATCH(M105,tid,0),tao,'12(id)'!$Q$20,FALSE))</f>
        <v/>
      </c>
      <c r="O105" s="6413" t="s">
        <v>1208</v>
      </c>
      <c r="P105" s="6414" t="s">
        <v>348</v>
      </c>
      <c r="Q105" s="6414"/>
      <c r="R105" s="6415">
        <v>55149</v>
      </c>
      <c r="S105" s="6416" t="s">
        <v>1236</v>
      </c>
      <c r="T105" s="6421" t="s">
        <v>939</v>
      </c>
      <c r="U105" s="6417">
        <v>2009</v>
      </c>
      <c r="V105" s="6414" t="s">
        <v>1209</v>
      </c>
      <c r="W105" s="6418">
        <v>1563</v>
      </c>
      <c r="X105" s="6418">
        <v>5</v>
      </c>
      <c r="Y105" s="6418">
        <v>228387</v>
      </c>
      <c r="Z105" s="6418" t="s">
        <v>939</v>
      </c>
      <c r="AA105" s="6419">
        <v>0.01</v>
      </c>
      <c r="AB105" s="6420">
        <v>9.1999999999999993</v>
      </c>
      <c r="AC105" s="6418">
        <v>2544572</v>
      </c>
      <c r="AD105" s="6414" t="s">
        <v>944</v>
      </c>
      <c r="AE105" s="6414" t="s">
        <v>1259</v>
      </c>
      <c r="AF105" s="6414" t="s">
        <v>1261</v>
      </c>
      <c r="AG105" s="6414" t="s">
        <v>1262</v>
      </c>
      <c r="AH105" s="6414" t="s">
        <v>1278</v>
      </c>
      <c r="AI105" s="6414"/>
      <c r="AJ105" s="6414"/>
      <c r="AK105" s="6414"/>
      <c r="AL105" s="6414" t="s">
        <v>1303</v>
      </c>
      <c r="AM105" s="6414" t="s">
        <v>939</v>
      </c>
      <c r="AN105" s="6414" t="s">
        <v>1300</v>
      </c>
      <c r="AO105" s="6414" t="s">
        <v>1307</v>
      </c>
      <c r="AP105" s="6414" t="s">
        <v>1305</v>
      </c>
      <c r="AQ105" s="6414" t="s">
        <v>1306</v>
      </c>
      <c r="AR105" s="6421" t="s">
        <v>939</v>
      </c>
      <c r="AS105" s="6414" t="s">
        <v>1335</v>
      </c>
      <c r="AT105" s="6414" t="s">
        <v>1022</v>
      </c>
      <c r="AU105" s="6414" t="s">
        <v>1338</v>
      </c>
      <c r="AV105" s="6421" t="s">
        <v>939</v>
      </c>
      <c r="AW105" s="6420">
        <v>2276</v>
      </c>
      <c r="AX105" s="5133"/>
    </row>
    <row r="106" spans="1:54" ht="12.75" customHeight="1">
      <c r="A106" s="6443" t="str">
        <f t="shared" si="8"/>
        <v/>
      </c>
      <c r="B106" s="6444"/>
      <c r="C106" s="6445"/>
      <c r="D106" s="5133"/>
      <c r="F106" s="5133"/>
      <c r="G106" s="6424">
        <v>89</v>
      </c>
      <c r="H106" s="6424">
        <v>121</v>
      </c>
      <c r="I106" s="10963"/>
      <c r="J106" s="10963"/>
      <c r="K106" s="10963" t="str">
        <f>+IF(ISNA(VLOOKUP(MATCH(P106,tfn,0),tao,'12(id)'!$K$20,FALSE)),"",IF(J106="NA","",VLOOKUP(MATCH(P106,tfn,0),tao,'12(id)'!$K$20,FALSE)+J106))</f>
        <v/>
      </c>
      <c r="L106" s="10963"/>
      <c r="M106" s="10963" t="str">
        <f t="shared" si="9"/>
        <v/>
      </c>
      <c r="N106" s="10946" t="str">
        <f>+IF(M106="","",VLOOKUP(MATCH(M106,tid,0),tao,'12(id)'!$Q$20,FALSE))</f>
        <v/>
      </c>
      <c r="O106" s="6424" t="s">
        <v>1208</v>
      </c>
      <c r="P106" s="6425" t="s">
        <v>348</v>
      </c>
      <c r="Q106" s="6425"/>
      <c r="R106" s="6426">
        <v>55149</v>
      </c>
      <c r="S106" s="6427" t="s">
        <v>1236</v>
      </c>
      <c r="T106" s="6433" t="s">
        <v>939</v>
      </c>
      <c r="U106" s="6428">
        <v>2008</v>
      </c>
      <c r="V106" s="6425" t="s">
        <v>1209</v>
      </c>
      <c r="W106" s="6429">
        <v>1922</v>
      </c>
      <c r="X106" s="6429">
        <v>5</v>
      </c>
      <c r="Y106" s="6429">
        <v>288143</v>
      </c>
      <c r="Z106" s="6429" t="s">
        <v>939</v>
      </c>
      <c r="AA106" s="6430">
        <v>0.02</v>
      </c>
      <c r="AB106" s="6431">
        <v>14</v>
      </c>
      <c r="AC106" s="6429">
        <v>3289277</v>
      </c>
      <c r="AD106" s="6425" t="s">
        <v>944</v>
      </c>
      <c r="AE106" s="6425" t="s">
        <v>1259</v>
      </c>
      <c r="AF106" s="6425" t="s">
        <v>1261</v>
      </c>
      <c r="AG106" s="6425" t="s">
        <v>1262</v>
      </c>
      <c r="AH106" s="6425" t="s">
        <v>1278</v>
      </c>
      <c r="AI106" s="6425"/>
      <c r="AJ106" s="6425"/>
      <c r="AK106" s="6425"/>
      <c r="AL106" s="6425" t="s">
        <v>1303</v>
      </c>
      <c r="AM106" s="6425" t="s">
        <v>939</v>
      </c>
      <c r="AN106" s="6425" t="s">
        <v>1300</v>
      </c>
      <c r="AO106" s="6425" t="s">
        <v>1307</v>
      </c>
      <c r="AP106" s="6425" t="s">
        <v>1305</v>
      </c>
      <c r="AQ106" s="6425" t="s">
        <v>1306</v>
      </c>
      <c r="AR106" s="6433" t="s">
        <v>939</v>
      </c>
      <c r="AS106" s="6425" t="s">
        <v>1335</v>
      </c>
      <c r="AT106" s="6425" t="s">
        <v>1022</v>
      </c>
      <c r="AU106" s="6425" t="s">
        <v>1338</v>
      </c>
      <c r="AV106" s="6433" t="s">
        <v>939</v>
      </c>
      <c r="AW106" s="6431">
        <v>2276</v>
      </c>
      <c r="AX106" s="5133"/>
    </row>
    <row r="107" spans="1:54" s="6520" customFormat="1" ht="12.75" customHeight="1">
      <c r="A107" s="10989" t="str">
        <f t="shared" ref="A107:A138" si="10">+IF(M107="","",M107)</f>
        <v>8300-09</v>
      </c>
      <c r="B107" s="10995" t="str">
        <f>+IF(A107="","",VLOOKUP(MATCH(A107,tid,0),tao,'12(id)'!$J$20,FALSE))</f>
        <v>NRG</v>
      </c>
      <c r="C107" s="10992" t="str">
        <f>+N107</f>
        <v>MD10</v>
      </c>
      <c r="E107" s="5132"/>
      <c r="G107" s="6530">
        <v>90</v>
      </c>
      <c r="H107" s="6530">
        <v>136</v>
      </c>
      <c r="I107" s="10977">
        <v>34</v>
      </c>
      <c r="J107" s="10977"/>
      <c r="K107" s="10977">
        <f>+IF(ISNA(VLOOKUP(MATCH(P107,tfn,0),tao,'12(id)'!$K$20,FALSE)),"",IF(J107="NA","",VLOOKUP(MATCH(P107,tfn,0),tao,'12(id)'!$K$20,FALSE)+J107))</f>
        <v>8300</v>
      </c>
      <c r="L107" s="10977">
        <f>1+L177</f>
        <v>9</v>
      </c>
      <c r="M107" s="10977" t="str">
        <f t="shared" si="9"/>
        <v>8300-09</v>
      </c>
      <c r="N107" s="10980" t="str">
        <f>+IF(M107="","",VLOOKUP(MATCH(M107,tid,0),tao,'12(id)'!$Q$20,FALSE))</f>
        <v>MD10</v>
      </c>
      <c r="O107" s="6530" t="s">
        <v>1208</v>
      </c>
      <c r="P107" s="6531" t="s">
        <v>500</v>
      </c>
      <c r="Q107" s="6531"/>
      <c r="R107" s="6532">
        <v>562</v>
      </c>
      <c r="S107" s="6533" t="s">
        <v>1215</v>
      </c>
      <c r="T107" s="6534" t="s">
        <v>939</v>
      </c>
      <c r="U107" s="6535">
        <v>2010</v>
      </c>
      <c r="V107" s="6531" t="s">
        <v>1209</v>
      </c>
      <c r="W107" s="6536">
        <v>95</v>
      </c>
      <c r="X107" s="6536">
        <v>5</v>
      </c>
      <c r="Y107" s="6536">
        <v>1275</v>
      </c>
      <c r="Z107" s="6536" t="s">
        <v>939</v>
      </c>
      <c r="AA107" s="6537">
        <v>1.2</v>
      </c>
      <c r="AB107" s="6538">
        <v>14.3</v>
      </c>
      <c r="AC107" s="6536">
        <v>23750</v>
      </c>
      <c r="AD107" s="6531" t="s">
        <v>944</v>
      </c>
      <c r="AE107" s="6531" t="s">
        <v>1259</v>
      </c>
      <c r="AF107" s="6531" t="s">
        <v>1261</v>
      </c>
      <c r="AG107" s="6531" t="s">
        <v>1262</v>
      </c>
      <c r="AH107" s="6531" t="s">
        <v>1280</v>
      </c>
      <c r="AI107" s="6531"/>
      <c r="AJ107" s="6531"/>
      <c r="AK107" s="6531"/>
      <c r="AL107" s="6534" t="s">
        <v>939</v>
      </c>
      <c r="AM107" s="6534" t="s">
        <v>939</v>
      </c>
      <c r="AN107" s="6534" t="s">
        <v>1300</v>
      </c>
      <c r="AO107" s="6534" t="s">
        <v>1304</v>
      </c>
      <c r="AP107" s="6534" t="s">
        <v>1309</v>
      </c>
      <c r="AQ107" s="6534" t="s">
        <v>939</v>
      </c>
      <c r="AR107" s="6534" t="s">
        <v>939</v>
      </c>
      <c r="AS107" s="6534" t="s">
        <v>939</v>
      </c>
      <c r="AT107" s="6534" t="s">
        <v>939</v>
      </c>
      <c r="AU107" s="6534"/>
      <c r="AV107" s="6534" t="s">
        <v>939</v>
      </c>
      <c r="AW107" s="6538">
        <v>250</v>
      </c>
      <c r="AX107" s="5133"/>
      <c r="AY107" s="5132"/>
      <c r="AZ107" s="5132"/>
      <c r="BA107" s="5132"/>
      <c r="BB107" s="5132"/>
    </row>
    <row r="108" spans="1:54" s="6520" customFormat="1" ht="12.75" customHeight="1">
      <c r="A108" s="10990" t="str">
        <f t="shared" si="10"/>
        <v>8300-09</v>
      </c>
      <c r="B108" s="10996"/>
      <c r="C108" s="10993"/>
      <c r="E108" s="5132"/>
      <c r="G108" s="6530">
        <v>91</v>
      </c>
      <c r="H108" s="6530">
        <v>132</v>
      </c>
      <c r="I108" s="10978"/>
      <c r="J108" s="10978"/>
      <c r="K108" s="10978">
        <f>+IF(ISNA(VLOOKUP(MATCH(P108,tfn,0),tao,'12(id)'!$K$20,FALSE)),"",IF(J108="NA","",VLOOKUP(MATCH(P108,tfn,0),tao,'12(id)'!$K$20,FALSE)+J108))</f>
        <v>8300</v>
      </c>
      <c r="L108" s="10978">
        <f>+L107</f>
        <v>9</v>
      </c>
      <c r="M108" s="10978" t="str">
        <f t="shared" si="9"/>
        <v>8300-09</v>
      </c>
      <c r="N108" s="10981" t="str">
        <f>+IF(M108="","",VLOOKUP(MATCH(M108,tid,0),tao,'12(id)'!$Q$20,FALSE))</f>
        <v>MD10</v>
      </c>
      <c r="O108" s="6530" t="s">
        <v>1208</v>
      </c>
      <c r="P108" s="6531" t="s">
        <v>500</v>
      </c>
      <c r="Q108" s="6531"/>
      <c r="R108" s="6532">
        <v>562</v>
      </c>
      <c r="S108" s="6533" t="s">
        <v>1215</v>
      </c>
      <c r="T108" s="6534" t="s">
        <v>939</v>
      </c>
      <c r="U108" s="6535">
        <v>2009</v>
      </c>
      <c r="V108" s="6531" t="s">
        <v>1209</v>
      </c>
      <c r="W108" s="6536">
        <v>20</v>
      </c>
      <c r="X108" s="6536">
        <v>5</v>
      </c>
      <c r="Y108" s="6536">
        <v>243</v>
      </c>
      <c r="Z108" s="6536" t="s">
        <v>939</v>
      </c>
      <c r="AA108" s="6537">
        <v>1.2</v>
      </c>
      <c r="AB108" s="6538">
        <v>3</v>
      </c>
      <c r="AC108" s="6536">
        <v>5013</v>
      </c>
      <c r="AD108" s="6531" t="s">
        <v>944</v>
      </c>
      <c r="AE108" s="6531" t="s">
        <v>1259</v>
      </c>
      <c r="AF108" s="6531" t="s">
        <v>1261</v>
      </c>
      <c r="AG108" s="6531" t="s">
        <v>1262</v>
      </c>
      <c r="AH108" s="6531" t="s">
        <v>1279</v>
      </c>
      <c r="AI108" s="6531"/>
      <c r="AJ108" s="6531"/>
      <c r="AK108" s="6531"/>
      <c r="AL108" s="6534" t="s">
        <v>939</v>
      </c>
      <c r="AM108" s="6534" t="s">
        <v>939</v>
      </c>
      <c r="AN108" s="6534" t="s">
        <v>1300</v>
      </c>
      <c r="AO108" s="6534" t="s">
        <v>1304</v>
      </c>
      <c r="AP108" s="6534" t="s">
        <v>1309</v>
      </c>
      <c r="AQ108" s="6534" t="s">
        <v>939</v>
      </c>
      <c r="AR108" s="6534" t="s">
        <v>939</v>
      </c>
      <c r="AS108" s="6534" t="s">
        <v>939</v>
      </c>
      <c r="AT108" s="6534" t="s">
        <v>939</v>
      </c>
      <c r="AU108" s="6534"/>
      <c r="AV108" s="6534" t="s">
        <v>939</v>
      </c>
      <c r="AW108" s="6538">
        <v>250</v>
      </c>
      <c r="AX108" s="5133"/>
      <c r="AY108" s="5132"/>
      <c r="AZ108" s="5132"/>
      <c r="BA108" s="5132"/>
      <c r="BB108" s="5132"/>
    </row>
    <row r="109" spans="1:54" s="6520" customFormat="1" ht="12.75" customHeight="1">
      <c r="A109" s="10991" t="str">
        <f t="shared" si="10"/>
        <v>8300-09</v>
      </c>
      <c r="B109" s="10997"/>
      <c r="C109" s="10994"/>
      <c r="E109" s="5132"/>
      <c r="G109" s="6539">
        <v>92</v>
      </c>
      <c r="H109" s="6539">
        <v>130</v>
      </c>
      <c r="I109" s="10979"/>
      <c r="J109" s="10979"/>
      <c r="K109" s="10979">
        <f>+IF(ISNA(VLOOKUP(MATCH(P109,tfn,0),tao,'12(id)'!$K$20,FALSE)),"",IF(J109="NA","",VLOOKUP(MATCH(P109,tfn,0),tao,'12(id)'!$K$20,FALSE)+J109))</f>
        <v>8300</v>
      </c>
      <c r="L109" s="10979">
        <f>+L108</f>
        <v>9</v>
      </c>
      <c r="M109" s="10979" t="str">
        <f t="shared" si="9"/>
        <v>8300-09</v>
      </c>
      <c r="N109" s="10982" t="str">
        <f>+IF(M109="","",VLOOKUP(MATCH(M109,tid,0),tao,'12(id)'!$Q$20,FALSE))</f>
        <v>MD10</v>
      </c>
      <c r="O109" s="6539" t="s">
        <v>1208</v>
      </c>
      <c r="P109" s="6540" t="s">
        <v>500</v>
      </c>
      <c r="Q109" s="6540"/>
      <c r="R109" s="6541">
        <v>562</v>
      </c>
      <c r="S109" s="6542" t="s">
        <v>1215</v>
      </c>
      <c r="T109" s="6543" t="s">
        <v>939</v>
      </c>
      <c r="U109" s="6544">
        <v>2008</v>
      </c>
      <c r="V109" s="6540" t="s">
        <v>1209</v>
      </c>
      <c r="W109" s="6545">
        <v>17</v>
      </c>
      <c r="X109" s="6545">
        <v>5</v>
      </c>
      <c r="Y109" s="6545">
        <v>405</v>
      </c>
      <c r="Z109" s="6545" t="s">
        <v>939</v>
      </c>
      <c r="AA109" s="6546">
        <v>1.2</v>
      </c>
      <c r="AB109" s="6547">
        <v>2.6</v>
      </c>
      <c r="AC109" s="6545">
        <v>4250</v>
      </c>
      <c r="AD109" s="6540" t="s">
        <v>944</v>
      </c>
      <c r="AE109" s="6540" t="s">
        <v>1259</v>
      </c>
      <c r="AF109" s="6540" t="s">
        <v>1261</v>
      </c>
      <c r="AG109" s="6540" t="s">
        <v>1262</v>
      </c>
      <c r="AH109" s="6540" t="s">
        <v>1351</v>
      </c>
      <c r="AI109" s="6540"/>
      <c r="AJ109" s="6540"/>
      <c r="AK109" s="6540"/>
      <c r="AL109" s="6543" t="s">
        <v>939</v>
      </c>
      <c r="AM109" s="6543" t="s">
        <v>939</v>
      </c>
      <c r="AN109" s="6543" t="s">
        <v>1300</v>
      </c>
      <c r="AO109" s="6543" t="s">
        <v>1304</v>
      </c>
      <c r="AP109" s="6543" t="s">
        <v>1309</v>
      </c>
      <c r="AQ109" s="6543" t="s">
        <v>939</v>
      </c>
      <c r="AR109" s="6543" t="s">
        <v>939</v>
      </c>
      <c r="AS109" s="6543" t="s">
        <v>939</v>
      </c>
      <c r="AT109" s="6543" t="s">
        <v>939</v>
      </c>
      <c r="AU109" s="6543"/>
      <c r="AV109" s="6543" t="s">
        <v>939</v>
      </c>
      <c r="AW109" s="6547">
        <v>250</v>
      </c>
      <c r="AX109" s="5133"/>
      <c r="AY109" s="5132"/>
      <c r="AZ109" s="5132"/>
      <c r="BA109" s="5132"/>
      <c r="BB109" s="5132"/>
    </row>
    <row r="110" spans="1:54" s="6520" customFormat="1" ht="12.75" customHeight="1">
      <c r="A110" s="10989" t="str">
        <f t="shared" si="10"/>
        <v>8306-01</v>
      </c>
      <c r="B110" s="10995" t="str">
        <f>+IF(A110="","",VLOOKUP(MATCH(A110,tid,0),tao,'12(id)'!$J$20,FALSE))</f>
        <v>NRG</v>
      </c>
      <c r="C110" s="10992" t="str">
        <f>+N110</f>
        <v>MD2</v>
      </c>
      <c r="E110" s="5132"/>
      <c r="G110" s="6530">
        <v>93</v>
      </c>
      <c r="H110" s="6530">
        <v>142</v>
      </c>
      <c r="I110" s="10977">
        <v>35</v>
      </c>
      <c r="J110" s="10977">
        <v>6</v>
      </c>
      <c r="K110" s="10977">
        <f>+IF(ISNA(VLOOKUP(MATCH(P110,tfn,0),tao,'12(id)'!$K$20,FALSE)),"",IF(J110="NA","",VLOOKUP(MATCH(P110,tfn,0),tao,'12(id)'!$K$20,FALSE)+J110))</f>
        <v>8306</v>
      </c>
      <c r="L110" s="10977">
        <v>1</v>
      </c>
      <c r="M110" s="10977" t="str">
        <f t="shared" si="9"/>
        <v>8306-01</v>
      </c>
      <c r="N110" s="10980" t="str">
        <f>+IF(M110="","",VLOOKUP(MATCH(M110,tid,0),tao,'12(id)'!$Q$20,FALSE))</f>
        <v>MD2</v>
      </c>
      <c r="O110" s="6530" t="s">
        <v>1208</v>
      </c>
      <c r="P110" s="6531" t="s">
        <v>500</v>
      </c>
      <c r="Q110" s="6531"/>
      <c r="R110" s="6532">
        <v>562</v>
      </c>
      <c r="S110" s="6533" t="s">
        <v>1237</v>
      </c>
      <c r="T110" s="6534" t="s">
        <v>939</v>
      </c>
      <c r="U110" s="6535">
        <v>2010</v>
      </c>
      <c r="V110" s="6531" t="s">
        <v>1209</v>
      </c>
      <c r="W110" s="6536">
        <v>1670</v>
      </c>
      <c r="X110" s="6536">
        <v>5</v>
      </c>
      <c r="Y110" s="6536">
        <v>111835</v>
      </c>
      <c r="Z110" s="6536" t="s">
        <v>939</v>
      </c>
      <c r="AA110" s="6537">
        <v>0.12</v>
      </c>
      <c r="AB110" s="6538">
        <v>94.2</v>
      </c>
      <c r="AC110" s="6536">
        <v>1434563</v>
      </c>
      <c r="AD110" s="6531" t="s">
        <v>944</v>
      </c>
      <c r="AE110" s="6531" t="s">
        <v>1259</v>
      </c>
      <c r="AF110" s="6531" t="s">
        <v>1261</v>
      </c>
      <c r="AG110" s="6531" t="s">
        <v>1262</v>
      </c>
      <c r="AH110" s="6531" t="s">
        <v>1280</v>
      </c>
      <c r="AI110" s="6531"/>
      <c r="AJ110" s="6531"/>
      <c r="AK110" s="6531"/>
      <c r="AL110" s="6531" t="s">
        <v>1303</v>
      </c>
      <c r="AM110" s="6531" t="s">
        <v>939</v>
      </c>
      <c r="AN110" s="6531" t="s">
        <v>1300</v>
      </c>
      <c r="AO110" s="6531" t="s">
        <v>1327</v>
      </c>
      <c r="AP110" s="6531" t="s">
        <v>1308</v>
      </c>
      <c r="AQ110" s="6531" t="s">
        <v>1305</v>
      </c>
      <c r="AR110" s="6534" t="s">
        <v>939</v>
      </c>
      <c r="AS110" s="6531" t="s">
        <v>1346</v>
      </c>
      <c r="AT110" s="6531" t="s">
        <v>939</v>
      </c>
      <c r="AU110" s="6531"/>
      <c r="AV110" s="6531" t="s">
        <v>1339</v>
      </c>
      <c r="AW110" s="6538">
        <v>1295</v>
      </c>
      <c r="AX110" s="5133"/>
      <c r="AY110" s="5132"/>
      <c r="AZ110" s="5132"/>
      <c r="BA110" s="5132"/>
      <c r="BB110" s="5132"/>
    </row>
    <row r="111" spans="1:54" s="6520" customFormat="1" ht="12.75" customHeight="1">
      <c r="A111" s="10990" t="str">
        <f t="shared" si="10"/>
        <v>8306-01</v>
      </c>
      <c r="B111" s="10996"/>
      <c r="C111" s="10993"/>
      <c r="E111" s="5132"/>
      <c r="G111" s="6530">
        <v>94</v>
      </c>
      <c r="H111" s="6530">
        <v>139</v>
      </c>
      <c r="I111" s="10978"/>
      <c r="J111" s="10978">
        <f>+J110</f>
        <v>6</v>
      </c>
      <c r="K111" s="10978">
        <f>+IF(ISNA(VLOOKUP(MATCH(P111,tfn,0),tao,'12(id)'!$K$20,FALSE)),"",IF(J111="NA","",VLOOKUP(MATCH(P111,tfn,0),tao,'12(id)'!$K$20,FALSE)+J111))</f>
        <v>8306</v>
      </c>
      <c r="L111" s="10978">
        <f>+L110</f>
        <v>1</v>
      </c>
      <c r="M111" s="10978" t="str">
        <f t="shared" si="9"/>
        <v>8306-01</v>
      </c>
      <c r="N111" s="10981" t="str">
        <f>+IF(M111="","",VLOOKUP(MATCH(M111,tid,0),tao,'12(id)'!$Q$20,FALSE))</f>
        <v>MD2</v>
      </c>
      <c r="O111" s="6530" t="s">
        <v>1208</v>
      </c>
      <c r="P111" s="6531" t="s">
        <v>500</v>
      </c>
      <c r="Q111" s="6531"/>
      <c r="R111" s="6532">
        <v>562</v>
      </c>
      <c r="S111" s="6533" t="s">
        <v>1237</v>
      </c>
      <c r="T111" s="6534" t="s">
        <v>939</v>
      </c>
      <c r="U111" s="6535">
        <v>2009</v>
      </c>
      <c r="V111" s="6531" t="s">
        <v>1209</v>
      </c>
      <c r="W111" s="6536">
        <v>647</v>
      </c>
      <c r="X111" s="6536">
        <v>5</v>
      </c>
      <c r="Y111" s="6536">
        <v>40226</v>
      </c>
      <c r="Z111" s="6536" t="s">
        <v>939</v>
      </c>
      <c r="AA111" s="6537">
        <v>0.12</v>
      </c>
      <c r="AB111" s="6538">
        <v>38.5</v>
      </c>
      <c r="AC111" s="6536">
        <v>528197</v>
      </c>
      <c r="AD111" s="6531" t="s">
        <v>944</v>
      </c>
      <c r="AE111" s="6531" t="s">
        <v>1259</v>
      </c>
      <c r="AF111" s="6531" t="s">
        <v>1261</v>
      </c>
      <c r="AG111" s="6531" t="s">
        <v>1262</v>
      </c>
      <c r="AH111" s="6531" t="s">
        <v>1281</v>
      </c>
      <c r="AI111" s="6531"/>
      <c r="AJ111" s="6531"/>
      <c r="AK111" s="6531"/>
      <c r="AL111" s="6531" t="s">
        <v>1303</v>
      </c>
      <c r="AM111" s="6531" t="s">
        <v>939</v>
      </c>
      <c r="AN111" s="6531" t="s">
        <v>1300</v>
      </c>
      <c r="AO111" s="6531" t="s">
        <v>1327</v>
      </c>
      <c r="AP111" s="6531" t="s">
        <v>1308</v>
      </c>
      <c r="AQ111" s="6531" t="s">
        <v>1305</v>
      </c>
      <c r="AR111" s="6534" t="s">
        <v>939</v>
      </c>
      <c r="AS111" s="6531" t="s">
        <v>1346</v>
      </c>
      <c r="AT111" s="6531" t="s">
        <v>939</v>
      </c>
      <c r="AU111" s="6531"/>
      <c r="AV111" s="6531" t="s">
        <v>1339</v>
      </c>
      <c r="AW111" s="6538">
        <v>1295</v>
      </c>
      <c r="AX111" s="5133"/>
      <c r="AY111" s="5132"/>
      <c r="AZ111" s="5132"/>
      <c r="BA111" s="5132"/>
      <c r="BB111" s="5132"/>
    </row>
    <row r="112" spans="1:54" s="6520" customFormat="1" ht="12.75" customHeight="1">
      <c r="A112" s="10991" t="str">
        <f t="shared" si="10"/>
        <v>8306-01</v>
      </c>
      <c r="B112" s="10997"/>
      <c r="C112" s="10994"/>
      <c r="E112" s="5132"/>
      <c r="G112" s="6539">
        <v>95</v>
      </c>
      <c r="H112" s="6539">
        <v>137</v>
      </c>
      <c r="I112" s="10979"/>
      <c r="J112" s="10979">
        <f t="shared" ref="J112:J118" si="11">+J111</f>
        <v>6</v>
      </c>
      <c r="K112" s="10979">
        <f>+IF(ISNA(VLOOKUP(MATCH(P112,tfn,0),tao,'12(id)'!$K$20,FALSE)),"",IF(J112="NA","",VLOOKUP(MATCH(P112,tfn,0),tao,'12(id)'!$K$20,FALSE)+J112))</f>
        <v>8306</v>
      </c>
      <c r="L112" s="10979">
        <f>+L111</f>
        <v>1</v>
      </c>
      <c r="M112" s="10979" t="str">
        <f t="shared" si="9"/>
        <v>8306-01</v>
      </c>
      <c r="N112" s="10982" t="str">
        <f>+IF(M112="","",VLOOKUP(MATCH(M112,tid,0),tao,'12(id)'!$Q$20,FALSE))</f>
        <v>MD2</v>
      </c>
      <c r="O112" s="6539" t="s">
        <v>1208</v>
      </c>
      <c r="P112" s="6540" t="s">
        <v>500</v>
      </c>
      <c r="Q112" s="6540"/>
      <c r="R112" s="6541">
        <v>562</v>
      </c>
      <c r="S112" s="6542" t="s">
        <v>1237</v>
      </c>
      <c r="T112" s="6543" t="s">
        <v>939</v>
      </c>
      <c r="U112" s="6544">
        <v>2008</v>
      </c>
      <c r="V112" s="6540" t="s">
        <v>1209</v>
      </c>
      <c r="W112" s="6545">
        <v>501</v>
      </c>
      <c r="X112" s="6545">
        <v>5</v>
      </c>
      <c r="Y112" s="6545">
        <v>32545</v>
      </c>
      <c r="Z112" s="6545" t="s">
        <v>939</v>
      </c>
      <c r="AA112" s="6546">
        <v>0.12</v>
      </c>
      <c r="AB112" s="6547">
        <v>33.5</v>
      </c>
      <c r="AC112" s="6545">
        <v>467707</v>
      </c>
      <c r="AD112" s="6540" t="s">
        <v>944</v>
      </c>
      <c r="AE112" s="6540" t="s">
        <v>1259</v>
      </c>
      <c r="AF112" s="6540" t="s">
        <v>1261</v>
      </c>
      <c r="AG112" s="6540" t="s">
        <v>1262</v>
      </c>
      <c r="AH112" s="6540" t="s">
        <v>1351</v>
      </c>
      <c r="AI112" s="6540"/>
      <c r="AJ112" s="6540"/>
      <c r="AK112" s="6540"/>
      <c r="AL112" s="6540" t="s">
        <v>1303</v>
      </c>
      <c r="AM112" s="6540" t="s">
        <v>939</v>
      </c>
      <c r="AN112" s="6540" t="s">
        <v>1300</v>
      </c>
      <c r="AO112" s="6540" t="s">
        <v>1327</v>
      </c>
      <c r="AP112" s="6540" t="s">
        <v>1308</v>
      </c>
      <c r="AQ112" s="6540" t="s">
        <v>1305</v>
      </c>
      <c r="AR112" s="6543" t="s">
        <v>939</v>
      </c>
      <c r="AS112" s="6540" t="s">
        <v>1346</v>
      </c>
      <c r="AT112" s="6540" t="s">
        <v>939</v>
      </c>
      <c r="AU112" s="6540"/>
      <c r="AV112" s="6540" t="s">
        <v>1339</v>
      </c>
      <c r="AW112" s="6547">
        <v>1295</v>
      </c>
      <c r="AX112" s="5133"/>
      <c r="AY112" s="5132"/>
      <c r="AZ112" s="5132"/>
      <c r="BA112" s="5132"/>
      <c r="BB112" s="5132"/>
    </row>
    <row r="113" spans="1:54" s="6520" customFormat="1" ht="12.75" customHeight="1">
      <c r="A113" s="10989" t="str">
        <f t="shared" si="10"/>
        <v>8306-02</v>
      </c>
      <c r="B113" s="10995" t="str">
        <f>+IF(A113="","",VLOOKUP(MATCH(A113,tid,0),tao,'12(id)'!$J$20,FALSE))</f>
        <v>NRG</v>
      </c>
      <c r="C113" s="10992" t="str">
        <f>+N113</f>
        <v>MD3 </v>
      </c>
      <c r="E113" s="5132"/>
      <c r="G113" s="6530">
        <v>96</v>
      </c>
      <c r="H113" s="6530">
        <v>148</v>
      </c>
      <c r="I113" s="10977">
        <v>36</v>
      </c>
      <c r="J113" s="10977">
        <f t="shared" si="11"/>
        <v>6</v>
      </c>
      <c r="K113" s="10977">
        <f>+IF(ISNA(VLOOKUP(MATCH(P113,tfn,0),tao,'12(id)'!$K$20,FALSE)),"",IF(J113="NA","",VLOOKUP(MATCH(P113,tfn,0),tao,'12(id)'!$K$20,FALSE)+J113))</f>
        <v>8306</v>
      </c>
      <c r="L113" s="10977">
        <v>2</v>
      </c>
      <c r="M113" s="10977" t="str">
        <f t="shared" si="9"/>
        <v>8306-02</v>
      </c>
      <c r="N113" s="10980" t="str">
        <f>+IF(M113="","",VLOOKUP(MATCH(M113,tid,0),tao,'12(id)'!$Q$20,FALSE))</f>
        <v>MD3 </v>
      </c>
      <c r="O113" s="6530" t="s">
        <v>1208</v>
      </c>
      <c r="P113" s="6531" t="s">
        <v>500</v>
      </c>
      <c r="Q113" s="6531"/>
      <c r="R113" s="6532">
        <v>562</v>
      </c>
      <c r="S113" s="6533" t="s">
        <v>1238</v>
      </c>
      <c r="T113" s="6534" t="s">
        <v>939</v>
      </c>
      <c r="U113" s="6535">
        <v>2010</v>
      </c>
      <c r="V113" s="6531" t="s">
        <v>1209</v>
      </c>
      <c r="W113" s="6536">
        <v>1084</v>
      </c>
      <c r="X113" s="6536">
        <v>5</v>
      </c>
      <c r="Y113" s="6536">
        <v>141127</v>
      </c>
      <c r="Z113" s="6536" t="s">
        <v>939</v>
      </c>
      <c r="AA113" s="6537">
        <v>0.18</v>
      </c>
      <c r="AB113" s="6538">
        <v>189.3</v>
      </c>
      <c r="AC113" s="6536">
        <v>1790536</v>
      </c>
      <c r="AD113" s="6531" t="s">
        <v>944</v>
      </c>
      <c r="AE113" s="6531" t="s">
        <v>1259</v>
      </c>
      <c r="AF113" s="6531" t="s">
        <v>1261</v>
      </c>
      <c r="AG113" s="6531" t="s">
        <v>1262</v>
      </c>
      <c r="AH113" s="6531" t="s">
        <v>1280</v>
      </c>
      <c r="AI113" s="6531"/>
      <c r="AJ113" s="6531"/>
      <c r="AK113" s="6531"/>
      <c r="AL113" s="6531" t="s">
        <v>1303</v>
      </c>
      <c r="AM113" s="6531" t="s">
        <v>939</v>
      </c>
      <c r="AN113" s="6531" t="s">
        <v>1300</v>
      </c>
      <c r="AO113" s="6531" t="s">
        <v>7</v>
      </c>
      <c r="AP113" s="6531" t="s">
        <v>1308</v>
      </c>
      <c r="AQ113" s="6531" t="s">
        <v>1305</v>
      </c>
      <c r="AR113" s="6534" t="s">
        <v>939</v>
      </c>
      <c r="AS113" s="6531" t="s">
        <v>1022</v>
      </c>
      <c r="AT113" s="6531" t="s">
        <v>1347</v>
      </c>
      <c r="AU113" s="6531"/>
      <c r="AV113" s="6531" t="s">
        <v>1339</v>
      </c>
      <c r="AW113" s="6538">
        <v>2370</v>
      </c>
      <c r="AX113" s="5133"/>
      <c r="AY113" s="5132"/>
      <c r="AZ113" s="5132"/>
      <c r="BA113" s="5132"/>
      <c r="BB113" s="5132"/>
    </row>
    <row r="114" spans="1:54" s="6520" customFormat="1" ht="12.75" customHeight="1">
      <c r="A114" s="10990" t="str">
        <f t="shared" si="10"/>
        <v>8306-02</v>
      </c>
      <c r="B114" s="10996"/>
      <c r="C114" s="10993"/>
      <c r="E114" s="5132"/>
      <c r="G114" s="6530">
        <v>97</v>
      </c>
      <c r="H114" s="6530">
        <v>145</v>
      </c>
      <c r="I114" s="10978"/>
      <c r="J114" s="10978">
        <f t="shared" si="11"/>
        <v>6</v>
      </c>
      <c r="K114" s="10978">
        <f>+IF(ISNA(VLOOKUP(MATCH(P114,tfn,0),tao,'12(id)'!$K$20,FALSE)),"",IF(J114="NA","",VLOOKUP(MATCH(P114,tfn,0),tao,'12(id)'!$K$20,FALSE)+J114))</f>
        <v>8306</v>
      </c>
      <c r="L114" s="10978">
        <f>+L113</f>
        <v>2</v>
      </c>
      <c r="M114" s="10978" t="str">
        <f t="shared" si="9"/>
        <v>8306-02</v>
      </c>
      <c r="N114" s="10981" t="str">
        <f>+IF(M114="","",VLOOKUP(MATCH(M114,tid,0),tao,'12(id)'!$Q$20,FALSE))</f>
        <v>MD3 </v>
      </c>
      <c r="O114" s="6530" t="s">
        <v>1208</v>
      </c>
      <c r="P114" s="6531" t="s">
        <v>500</v>
      </c>
      <c r="Q114" s="6531"/>
      <c r="R114" s="6532">
        <v>562</v>
      </c>
      <c r="S114" s="6533" t="s">
        <v>1238</v>
      </c>
      <c r="T114" s="6534" t="s">
        <v>939</v>
      </c>
      <c r="U114" s="6535">
        <v>2009</v>
      </c>
      <c r="V114" s="6531" t="s">
        <v>1209</v>
      </c>
      <c r="W114" s="6536">
        <v>293</v>
      </c>
      <c r="X114" s="6536">
        <v>5</v>
      </c>
      <c r="Y114" s="6536">
        <v>41047</v>
      </c>
      <c r="Z114" s="6536" t="s">
        <v>939</v>
      </c>
      <c r="AA114" s="6537">
        <v>0.23</v>
      </c>
      <c r="AB114" s="6538">
        <v>54.4</v>
      </c>
      <c r="AC114" s="6536">
        <v>445004</v>
      </c>
      <c r="AD114" s="6531" t="s">
        <v>944</v>
      </c>
      <c r="AE114" s="6531" t="s">
        <v>1259</v>
      </c>
      <c r="AF114" s="6531" t="s">
        <v>1261</v>
      </c>
      <c r="AG114" s="6531" t="s">
        <v>1262</v>
      </c>
      <c r="AH114" s="6531" t="s">
        <v>1279</v>
      </c>
      <c r="AI114" s="6531"/>
      <c r="AJ114" s="6531"/>
      <c r="AK114" s="6531"/>
      <c r="AL114" s="6531" t="s">
        <v>1303</v>
      </c>
      <c r="AM114" s="6531" t="s">
        <v>939</v>
      </c>
      <c r="AN114" s="6531" t="s">
        <v>1300</v>
      </c>
      <c r="AO114" s="6531" t="s">
        <v>7</v>
      </c>
      <c r="AP114" s="6531" t="s">
        <v>1308</v>
      </c>
      <c r="AQ114" s="6531" t="s">
        <v>1305</v>
      </c>
      <c r="AR114" s="6534" t="s">
        <v>939</v>
      </c>
      <c r="AS114" s="6531" t="s">
        <v>1022</v>
      </c>
      <c r="AT114" s="6531" t="s">
        <v>1347</v>
      </c>
      <c r="AU114" s="6531"/>
      <c r="AV114" s="6531" t="s">
        <v>1339</v>
      </c>
      <c r="AW114" s="6538">
        <v>2370</v>
      </c>
      <c r="AX114" s="5133"/>
      <c r="AY114" s="5132"/>
      <c r="AZ114" s="5132"/>
      <c r="BA114" s="5132"/>
      <c r="BB114" s="5132"/>
    </row>
    <row r="115" spans="1:54" s="6520" customFormat="1" ht="12.75" customHeight="1">
      <c r="A115" s="10991" t="str">
        <f t="shared" si="10"/>
        <v>8306-02</v>
      </c>
      <c r="B115" s="10997"/>
      <c r="C115" s="10994"/>
      <c r="E115" s="5132"/>
      <c r="G115" s="6539">
        <v>98</v>
      </c>
      <c r="H115" s="6539">
        <v>143</v>
      </c>
      <c r="I115" s="10979"/>
      <c r="J115" s="10979">
        <f t="shared" si="11"/>
        <v>6</v>
      </c>
      <c r="K115" s="10979">
        <f>+IF(ISNA(VLOOKUP(MATCH(P115,tfn,0),tao,'12(id)'!$K$20,FALSE)),"",IF(J115="NA","",VLOOKUP(MATCH(P115,tfn,0),tao,'12(id)'!$K$20,FALSE)+J115))</f>
        <v>8306</v>
      </c>
      <c r="L115" s="10979">
        <f>+L114</f>
        <v>2</v>
      </c>
      <c r="M115" s="10979" t="str">
        <f t="shared" si="9"/>
        <v>8306-02</v>
      </c>
      <c r="N115" s="10982" t="str">
        <f>+IF(M115="","",VLOOKUP(MATCH(M115,tid,0),tao,'12(id)'!$Q$20,FALSE))</f>
        <v>MD3 </v>
      </c>
      <c r="O115" s="6539" t="s">
        <v>1208</v>
      </c>
      <c r="P115" s="6540" t="s">
        <v>500</v>
      </c>
      <c r="Q115" s="6540"/>
      <c r="R115" s="6541">
        <v>562</v>
      </c>
      <c r="S115" s="6542" t="s">
        <v>1238</v>
      </c>
      <c r="T115" s="6543" t="s">
        <v>939</v>
      </c>
      <c r="U115" s="6544">
        <v>2008</v>
      </c>
      <c r="V115" s="6540" t="s">
        <v>1209</v>
      </c>
      <c r="W115" s="6545">
        <v>315</v>
      </c>
      <c r="X115" s="6545">
        <v>5</v>
      </c>
      <c r="Y115" s="6545">
        <v>32767</v>
      </c>
      <c r="Z115" s="6545" t="s">
        <v>939</v>
      </c>
      <c r="AA115" s="6546">
        <v>0.28000000000000003</v>
      </c>
      <c r="AB115" s="6547">
        <v>83.7</v>
      </c>
      <c r="AC115" s="6545">
        <v>495983</v>
      </c>
      <c r="AD115" s="6540" t="s">
        <v>944</v>
      </c>
      <c r="AE115" s="6540" t="s">
        <v>1259</v>
      </c>
      <c r="AF115" s="6540" t="s">
        <v>1261</v>
      </c>
      <c r="AG115" s="6540" t="s">
        <v>1262</v>
      </c>
      <c r="AH115" s="6540" t="s">
        <v>1351</v>
      </c>
      <c r="AI115" s="6540"/>
      <c r="AJ115" s="6540"/>
      <c r="AK115" s="6540"/>
      <c r="AL115" s="6540" t="s">
        <v>1303</v>
      </c>
      <c r="AM115" s="6540" t="s">
        <v>939</v>
      </c>
      <c r="AN115" s="6540" t="s">
        <v>1300</v>
      </c>
      <c r="AO115" s="6540" t="s">
        <v>7</v>
      </c>
      <c r="AP115" s="6540" t="s">
        <v>1308</v>
      </c>
      <c r="AQ115" s="6540" t="s">
        <v>1305</v>
      </c>
      <c r="AR115" s="6543" t="s">
        <v>939</v>
      </c>
      <c r="AS115" s="6540" t="s">
        <v>1022</v>
      </c>
      <c r="AT115" s="6540" t="s">
        <v>1347</v>
      </c>
      <c r="AU115" s="6540" t="s">
        <v>939</v>
      </c>
      <c r="AV115" s="6540" t="s">
        <v>1339</v>
      </c>
      <c r="AW115" s="6547">
        <v>2370</v>
      </c>
      <c r="AX115" s="5133"/>
      <c r="AY115" s="5132"/>
      <c r="AZ115" s="5132"/>
      <c r="BA115" s="5132"/>
      <c r="BB115" s="5132"/>
    </row>
    <row r="116" spans="1:54" s="6520" customFormat="1" ht="12.75" customHeight="1">
      <c r="A116" s="10989" t="str">
        <f t="shared" si="10"/>
        <v>8306-03</v>
      </c>
      <c r="B116" s="10995" t="str">
        <f>+IF(A116="","",VLOOKUP(MATCH(A116,tid,0),tao,'12(id)'!$J$20,FALSE))</f>
        <v>NRG</v>
      </c>
      <c r="C116" s="10992" t="str">
        <f>+N116</f>
        <v>MD4 </v>
      </c>
      <c r="E116" s="5132"/>
      <c r="G116" s="6530">
        <v>99</v>
      </c>
      <c r="H116" s="6530">
        <v>154</v>
      </c>
      <c r="I116" s="10977">
        <v>37</v>
      </c>
      <c r="J116" s="10977">
        <f t="shared" si="11"/>
        <v>6</v>
      </c>
      <c r="K116" s="10977">
        <f>+IF(ISNA(VLOOKUP(MATCH(P116,tfn,0),tao,'12(id)'!$K$20,FALSE)),"",IF(J116="NA","",VLOOKUP(MATCH(P116,tfn,0),tao,'12(id)'!$K$20,FALSE)+J116))</f>
        <v>8306</v>
      </c>
      <c r="L116" s="10977">
        <v>3</v>
      </c>
      <c r="M116" s="10977" t="str">
        <f t="shared" si="9"/>
        <v>8306-03</v>
      </c>
      <c r="N116" s="10980" t="str">
        <f>+IF(M116="","",VLOOKUP(MATCH(M116,tid,0),tao,'12(id)'!$Q$20,FALSE))</f>
        <v>MD4 </v>
      </c>
      <c r="O116" s="6530" t="s">
        <v>1208</v>
      </c>
      <c r="P116" s="6531" t="s">
        <v>500</v>
      </c>
      <c r="Q116" s="6531"/>
      <c r="R116" s="6532">
        <v>562</v>
      </c>
      <c r="S116" s="6533" t="s">
        <v>1239</v>
      </c>
      <c r="T116" s="6534" t="s">
        <v>939</v>
      </c>
      <c r="U116" s="6535">
        <v>2010</v>
      </c>
      <c r="V116" s="6531" t="s">
        <v>1209</v>
      </c>
      <c r="W116" s="6536">
        <v>461</v>
      </c>
      <c r="X116" s="6536">
        <v>5</v>
      </c>
      <c r="Y116" s="6536">
        <v>55670</v>
      </c>
      <c r="Z116" s="6536" t="s">
        <v>939</v>
      </c>
      <c r="AA116" s="6537">
        <v>0.16</v>
      </c>
      <c r="AB116" s="6538">
        <v>80.5</v>
      </c>
      <c r="AC116" s="6536">
        <v>880454</v>
      </c>
      <c r="AD116" s="6531" t="s">
        <v>944</v>
      </c>
      <c r="AE116" s="6531" t="s">
        <v>1259</v>
      </c>
      <c r="AF116" s="6531" t="s">
        <v>1261</v>
      </c>
      <c r="AG116" s="6531" t="s">
        <v>1262</v>
      </c>
      <c r="AH116" s="6531" t="s">
        <v>1352</v>
      </c>
      <c r="AI116" s="6531"/>
      <c r="AJ116" s="6531"/>
      <c r="AK116" s="6531"/>
      <c r="AL116" s="6534" t="s">
        <v>1303</v>
      </c>
      <c r="AM116" s="6534" t="s">
        <v>939</v>
      </c>
      <c r="AN116" s="6534" t="s">
        <v>1300</v>
      </c>
      <c r="AO116" s="6534" t="s">
        <v>1311</v>
      </c>
      <c r="AP116" s="6534" t="s">
        <v>1308</v>
      </c>
      <c r="AQ116" s="6534" t="s">
        <v>939</v>
      </c>
      <c r="AR116" s="6534" t="s">
        <v>939</v>
      </c>
      <c r="AS116" s="6534" t="s">
        <v>939</v>
      </c>
      <c r="AT116" s="6534" t="s">
        <v>939</v>
      </c>
      <c r="AU116" s="6534"/>
      <c r="AV116" s="6534" t="s">
        <v>939</v>
      </c>
      <c r="AW116" s="6538">
        <v>4684</v>
      </c>
      <c r="AX116" s="5133"/>
      <c r="AY116" s="5132"/>
      <c r="AZ116" s="5132"/>
      <c r="BA116" s="5132"/>
      <c r="BB116" s="5132"/>
    </row>
    <row r="117" spans="1:54" s="6520" customFormat="1" ht="12.75" customHeight="1">
      <c r="A117" s="10990" t="str">
        <f t="shared" si="10"/>
        <v>8306-03</v>
      </c>
      <c r="B117" s="10996"/>
      <c r="C117" s="10993"/>
      <c r="E117" s="5132"/>
      <c r="G117" s="6530">
        <v>100</v>
      </c>
      <c r="H117" s="6530">
        <v>152</v>
      </c>
      <c r="I117" s="10978"/>
      <c r="J117" s="10978">
        <f t="shared" si="11"/>
        <v>6</v>
      </c>
      <c r="K117" s="10978">
        <f>+IF(ISNA(VLOOKUP(MATCH(P117,tfn,0),tao,'12(id)'!$K$20,FALSE)),"",IF(J117="NA","",VLOOKUP(MATCH(P117,tfn,0),tao,'12(id)'!$K$20,FALSE)+J117))</f>
        <v>8306</v>
      </c>
      <c r="L117" s="10978">
        <f>+L116</f>
        <v>3</v>
      </c>
      <c r="M117" s="10978" t="str">
        <f t="shared" si="9"/>
        <v>8306-03</v>
      </c>
      <c r="N117" s="10981" t="str">
        <f>+IF(M117="","",VLOOKUP(MATCH(M117,tid,0),tao,'12(id)'!$Q$20,FALSE))</f>
        <v>MD4 </v>
      </c>
      <c r="O117" s="6530" t="s">
        <v>1208</v>
      </c>
      <c r="P117" s="6531" t="s">
        <v>500</v>
      </c>
      <c r="Q117" s="6531"/>
      <c r="R117" s="6532">
        <v>562</v>
      </c>
      <c r="S117" s="6533" t="s">
        <v>1239</v>
      </c>
      <c r="T117" s="6534" t="s">
        <v>939</v>
      </c>
      <c r="U117" s="6535">
        <v>2009</v>
      </c>
      <c r="V117" s="6531" t="s">
        <v>1209</v>
      </c>
      <c r="W117" s="6536">
        <v>74</v>
      </c>
      <c r="X117" s="6536">
        <v>5</v>
      </c>
      <c r="Y117" s="6536">
        <v>10926</v>
      </c>
      <c r="Z117" s="6536" t="s">
        <v>939</v>
      </c>
      <c r="AA117" s="6537">
        <v>0.16</v>
      </c>
      <c r="AB117" s="6538">
        <v>16.8</v>
      </c>
      <c r="AC117" s="6536">
        <v>173766</v>
      </c>
      <c r="AD117" s="6531" t="s">
        <v>944</v>
      </c>
      <c r="AE117" s="6531" t="s">
        <v>1259</v>
      </c>
      <c r="AF117" s="6531" t="s">
        <v>1261</v>
      </c>
      <c r="AG117" s="6531" t="s">
        <v>1262</v>
      </c>
      <c r="AH117" s="6531" t="s">
        <v>1352</v>
      </c>
      <c r="AI117" s="6531"/>
      <c r="AJ117" s="6531"/>
      <c r="AK117" s="6531"/>
      <c r="AL117" s="6534" t="s">
        <v>1303</v>
      </c>
      <c r="AM117" s="6534" t="s">
        <v>939</v>
      </c>
      <c r="AN117" s="6534" t="s">
        <v>1300</v>
      </c>
      <c r="AO117" s="6534" t="s">
        <v>1311</v>
      </c>
      <c r="AP117" s="6534" t="s">
        <v>1308</v>
      </c>
      <c r="AQ117" s="6534" t="s">
        <v>939</v>
      </c>
      <c r="AR117" s="6534" t="s">
        <v>939</v>
      </c>
      <c r="AS117" s="6534" t="s">
        <v>939</v>
      </c>
      <c r="AT117" s="6534" t="s">
        <v>939</v>
      </c>
      <c r="AU117" s="6534"/>
      <c r="AV117" s="6534" t="s">
        <v>939</v>
      </c>
      <c r="AW117" s="6538">
        <v>4684</v>
      </c>
      <c r="AX117" s="5133"/>
      <c r="AY117" s="5132"/>
      <c r="AZ117" s="5132"/>
      <c r="BA117" s="5132"/>
      <c r="BB117" s="5132"/>
    </row>
    <row r="118" spans="1:54" s="6520" customFormat="1" ht="12.75" customHeight="1">
      <c r="A118" s="10991" t="str">
        <f t="shared" si="10"/>
        <v>8306-03</v>
      </c>
      <c r="B118" s="10997"/>
      <c r="C118" s="10994"/>
      <c r="E118" s="5132"/>
      <c r="G118" s="6539">
        <v>101</v>
      </c>
      <c r="H118" s="6539">
        <v>150</v>
      </c>
      <c r="I118" s="10979"/>
      <c r="J118" s="10979">
        <f t="shared" si="11"/>
        <v>6</v>
      </c>
      <c r="K118" s="10979">
        <f>+IF(ISNA(VLOOKUP(MATCH(P118,tfn,0),tao,'12(id)'!$K$20,FALSE)),"",IF(J118="NA","",VLOOKUP(MATCH(P118,tfn,0),tao,'12(id)'!$K$20,FALSE)+J118))</f>
        <v>8306</v>
      </c>
      <c r="L118" s="10979">
        <f>+L117</f>
        <v>3</v>
      </c>
      <c r="M118" s="10979" t="str">
        <f t="shared" si="9"/>
        <v>8306-03</v>
      </c>
      <c r="N118" s="10982" t="str">
        <f>+IF(M118="","",VLOOKUP(MATCH(M118,tid,0),tao,'12(id)'!$Q$20,FALSE))</f>
        <v>MD4 </v>
      </c>
      <c r="O118" s="6539" t="s">
        <v>1208</v>
      </c>
      <c r="P118" s="6540" t="s">
        <v>500</v>
      </c>
      <c r="Q118" s="6540"/>
      <c r="R118" s="6541">
        <v>562</v>
      </c>
      <c r="S118" s="6542" t="s">
        <v>1239</v>
      </c>
      <c r="T118" s="6543" t="s">
        <v>939</v>
      </c>
      <c r="U118" s="6544">
        <v>2008</v>
      </c>
      <c r="V118" s="6540" t="s">
        <v>1209</v>
      </c>
      <c r="W118" s="6545">
        <v>131</v>
      </c>
      <c r="X118" s="6545">
        <v>5</v>
      </c>
      <c r="Y118" s="6545">
        <v>15578</v>
      </c>
      <c r="Z118" s="6545" t="s">
        <v>939</v>
      </c>
      <c r="AA118" s="6546">
        <v>0.16</v>
      </c>
      <c r="AB118" s="6547">
        <v>21</v>
      </c>
      <c r="AC118" s="6545">
        <v>224548</v>
      </c>
      <c r="AD118" s="6540" t="s">
        <v>944</v>
      </c>
      <c r="AE118" s="6540" t="s">
        <v>1259</v>
      </c>
      <c r="AF118" s="6540" t="s">
        <v>1261</v>
      </c>
      <c r="AG118" s="6540" t="s">
        <v>1262</v>
      </c>
      <c r="AH118" s="6540" t="s">
        <v>1352</v>
      </c>
      <c r="AI118" s="6540"/>
      <c r="AJ118" s="6540"/>
      <c r="AK118" s="6540"/>
      <c r="AL118" s="6543" t="s">
        <v>1303</v>
      </c>
      <c r="AM118" s="6543" t="s">
        <v>939</v>
      </c>
      <c r="AN118" s="6543" t="s">
        <v>1300</v>
      </c>
      <c r="AO118" s="6543" t="s">
        <v>1311</v>
      </c>
      <c r="AP118" s="6543" t="s">
        <v>1308</v>
      </c>
      <c r="AQ118" s="6543" t="s">
        <v>939</v>
      </c>
      <c r="AR118" s="6543" t="s">
        <v>939</v>
      </c>
      <c r="AS118" s="6543" t="s">
        <v>939</v>
      </c>
      <c r="AT118" s="6543" t="s">
        <v>939</v>
      </c>
      <c r="AU118" s="6543"/>
      <c r="AV118" s="6543" t="s">
        <v>939</v>
      </c>
      <c r="AW118" s="6547">
        <v>4684</v>
      </c>
      <c r="AX118" s="5133"/>
      <c r="AY118" s="5132"/>
      <c r="AZ118" s="5132"/>
      <c r="BA118" s="5132"/>
      <c r="BB118" s="5132"/>
    </row>
    <row r="119" spans="1:54" ht="12.75" customHeight="1">
      <c r="A119" s="6443" t="str">
        <f t="shared" si="10"/>
        <v/>
      </c>
      <c r="B119" s="6444"/>
      <c r="C119" s="6445"/>
      <c r="D119" s="5133"/>
      <c r="F119" s="5133"/>
      <c r="G119" s="6413">
        <v>102</v>
      </c>
      <c r="H119" s="6413">
        <v>160</v>
      </c>
      <c r="I119" s="10961">
        <v>38</v>
      </c>
      <c r="J119" s="10961"/>
      <c r="K119" s="10961" t="str">
        <f>+IF(ISNA(VLOOKUP(MATCH(P119,tfn,0),tao,'12(id)'!$K$20,FALSE)),"",IF(J119="NA","",VLOOKUP(MATCH(P119,tfn,0),tao,'12(id)'!$K$20,FALSE)+J119))</f>
        <v/>
      </c>
      <c r="L119" s="10961"/>
      <c r="M119" s="10961" t="str">
        <f t="shared" si="9"/>
        <v/>
      </c>
      <c r="N119" s="10944" t="str">
        <f>+IF(M119="","",VLOOKUP(MATCH(M119,tid,0),tao,'12(id)'!$Q$20,FALSE))</f>
        <v/>
      </c>
      <c r="O119" s="6413" t="s">
        <v>1208</v>
      </c>
      <c r="P119" s="6414" t="s">
        <v>349</v>
      </c>
      <c r="Q119" s="6414"/>
      <c r="R119" s="6415">
        <v>55126</v>
      </c>
      <c r="S119" s="6416" t="s">
        <v>1240</v>
      </c>
      <c r="T119" s="6421" t="s">
        <v>939</v>
      </c>
      <c r="U119" s="6417">
        <v>2010</v>
      </c>
      <c r="V119" s="6414" t="s">
        <v>1209</v>
      </c>
      <c r="W119" s="6418">
        <v>3519</v>
      </c>
      <c r="X119" s="6418">
        <v>5</v>
      </c>
      <c r="Y119" s="6418">
        <v>877801</v>
      </c>
      <c r="Z119" s="6418" t="s">
        <v>939</v>
      </c>
      <c r="AA119" s="6419">
        <v>0.01</v>
      </c>
      <c r="AB119" s="6420">
        <v>18</v>
      </c>
      <c r="AC119" s="6418">
        <v>6021300</v>
      </c>
      <c r="AD119" s="6414" t="s">
        <v>944</v>
      </c>
      <c r="AE119" s="6414" t="s">
        <v>1259</v>
      </c>
      <c r="AF119" s="6414" t="s">
        <v>939</v>
      </c>
      <c r="AG119" s="6414" t="s">
        <v>939</v>
      </c>
      <c r="AH119" s="6414" t="s">
        <v>1282</v>
      </c>
      <c r="AI119" s="6414"/>
      <c r="AJ119" s="6414"/>
      <c r="AK119" s="6414"/>
      <c r="AL119" s="6414" t="s">
        <v>1303</v>
      </c>
      <c r="AM119" s="6414" t="s">
        <v>939</v>
      </c>
      <c r="AN119" s="6414" t="s">
        <v>1300</v>
      </c>
      <c r="AO119" s="6414" t="s">
        <v>1307</v>
      </c>
      <c r="AP119" s="6414" t="s">
        <v>1305</v>
      </c>
      <c r="AQ119" s="6414" t="s">
        <v>1306</v>
      </c>
      <c r="AR119" s="6421" t="s">
        <v>939</v>
      </c>
      <c r="AS119" s="6414" t="s">
        <v>1022</v>
      </c>
      <c r="AT119" s="6414" t="s">
        <v>1338</v>
      </c>
      <c r="AU119" s="6414"/>
      <c r="AV119" s="6421" t="s">
        <v>939</v>
      </c>
      <c r="AW119" s="6420">
        <v>2064</v>
      </c>
      <c r="AX119" s="5133"/>
    </row>
    <row r="120" spans="1:54" ht="12.75" customHeight="1">
      <c r="A120" s="6443" t="str">
        <f t="shared" si="10"/>
        <v/>
      </c>
      <c r="B120" s="6444"/>
      <c r="C120" s="6445"/>
      <c r="D120" s="5133"/>
      <c r="F120" s="5133"/>
      <c r="G120" s="6413">
        <v>103</v>
      </c>
      <c r="H120" s="6413">
        <v>158</v>
      </c>
      <c r="I120" s="10962"/>
      <c r="J120" s="10962"/>
      <c r="K120" s="10962" t="str">
        <f>+IF(ISNA(VLOOKUP(MATCH(P120,tfn,0),tao,'12(id)'!$K$20,FALSE)),"",IF(J120="NA","",VLOOKUP(MATCH(P120,tfn,0),tao,'12(id)'!$K$20,FALSE)+J120))</f>
        <v/>
      </c>
      <c r="L120" s="10962"/>
      <c r="M120" s="10962" t="str">
        <f t="shared" si="9"/>
        <v/>
      </c>
      <c r="N120" s="10945" t="str">
        <f>+IF(M120="","",VLOOKUP(MATCH(M120,tid,0),tao,'12(id)'!$Q$20,FALSE))</f>
        <v/>
      </c>
      <c r="O120" s="6413" t="s">
        <v>1208</v>
      </c>
      <c r="P120" s="6414" t="s">
        <v>349</v>
      </c>
      <c r="Q120" s="6414"/>
      <c r="R120" s="6415">
        <v>55126</v>
      </c>
      <c r="S120" s="6416" t="s">
        <v>1240</v>
      </c>
      <c r="T120" s="6421" t="s">
        <v>939</v>
      </c>
      <c r="U120" s="6417">
        <v>2009</v>
      </c>
      <c r="V120" s="6414" t="s">
        <v>1209</v>
      </c>
      <c r="W120" s="6418">
        <v>3120</v>
      </c>
      <c r="X120" s="6418">
        <v>5</v>
      </c>
      <c r="Y120" s="6418">
        <v>725722</v>
      </c>
      <c r="Z120" s="6418" t="s">
        <v>939</v>
      </c>
      <c r="AA120" s="6419">
        <v>0.01</v>
      </c>
      <c r="AB120" s="6420">
        <v>18.3</v>
      </c>
      <c r="AC120" s="6418">
        <v>4909716</v>
      </c>
      <c r="AD120" s="6414" t="s">
        <v>944</v>
      </c>
      <c r="AE120" s="6414" t="s">
        <v>1259</v>
      </c>
      <c r="AF120" s="6414" t="s">
        <v>939</v>
      </c>
      <c r="AG120" s="6414" t="s">
        <v>939</v>
      </c>
      <c r="AH120" s="6414" t="s">
        <v>1282</v>
      </c>
      <c r="AI120" s="6414"/>
      <c r="AJ120" s="6414"/>
      <c r="AK120" s="6414"/>
      <c r="AL120" s="6414" t="s">
        <v>1303</v>
      </c>
      <c r="AM120" s="6414" t="s">
        <v>939</v>
      </c>
      <c r="AN120" s="6414" t="s">
        <v>1300</v>
      </c>
      <c r="AO120" s="6414" t="s">
        <v>1307</v>
      </c>
      <c r="AP120" s="6414" t="s">
        <v>1305</v>
      </c>
      <c r="AQ120" s="6414" t="s">
        <v>1306</v>
      </c>
      <c r="AR120" s="6421" t="s">
        <v>939</v>
      </c>
      <c r="AS120" s="6414" t="s">
        <v>1022</v>
      </c>
      <c r="AT120" s="6414" t="s">
        <v>1338</v>
      </c>
      <c r="AU120" s="6414"/>
      <c r="AV120" s="6421" t="s">
        <v>939</v>
      </c>
      <c r="AW120" s="6420">
        <v>2064</v>
      </c>
      <c r="AX120" s="5133"/>
    </row>
    <row r="121" spans="1:54" ht="12.75" customHeight="1">
      <c r="A121" s="6443" t="str">
        <f t="shared" si="10"/>
        <v/>
      </c>
      <c r="B121" s="6444"/>
      <c r="C121" s="6445"/>
      <c r="D121" s="5133"/>
      <c r="F121" s="5133"/>
      <c r="G121" s="6424">
        <v>104</v>
      </c>
      <c r="H121" s="6424">
        <v>156</v>
      </c>
      <c r="I121" s="10963"/>
      <c r="J121" s="10963"/>
      <c r="K121" s="10963" t="str">
        <f>+IF(ISNA(VLOOKUP(MATCH(P121,tfn,0),tao,'12(id)'!$K$20,FALSE)),"",IF(J121="NA","",VLOOKUP(MATCH(P121,tfn,0),tao,'12(id)'!$K$20,FALSE)+J121))</f>
        <v/>
      </c>
      <c r="L121" s="10963"/>
      <c r="M121" s="10963" t="str">
        <f t="shared" si="9"/>
        <v/>
      </c>
      <c r="N121" s="10946" t="str">
        <f>+IF(M121="","",VLOOKUP(MATCH(M121,tid,0),tao,'12(id)'!$Q$20,FALSE))</f>
        <v/>
      </c>
      <c r="O121" s="6424" t="s">
        <v>1208</v>
      </c>
      <c r="P121" s="6425" t="s">
        <v>349</v>
      </c>
      <c r="Q121" s="6425"/>
      <c r="R121" s="6426">
        <v>55126</v>
      </c>
      <c r="S121" s="6427" t="s">
        <v>1240</v>
      </c>
      <c r="T121" s="6433" t="s">
        <v>939</v>
      </c>
      <c r="U121" s="6428">
        <v>2008</v>
      </c>
      <c r="V121" s="6425" t="s">
        <v>1209</v>
      </c>
      <c r="W121" s="6429">
        <v>2734</v>
      </c>
      <c r="X121" s="6429">
        <v>5</v>
      </c>
      <c r="Y121" s="6429">
        <v>612534</v>
      </c>
      <c r="Z121" s="6429" t="s">
        <v>939</v>
      </c>
      <c r="AA121" s="6430">
        <v>0.02</v>
      </c>
      <c r="AB121" s="6431">
        <v>16.399999999999999</v>
      </c>
      <c r="AC121" s="6429">
        <v>4214594</v>
      </c>
      <c r="AD121" s="6425" t="s">
        <v>944</v>
      </c>
      <c r="AE121" s="6425" t="s">
        <v>1259</v>
      </c>
      <c r="AF121" s="6425" t="s">
        <v>939</v>
      </c>
      <c r="AG121" s="6425" t="s">
        <v>939</v>
      </c>
      <c r="AH121" s="6425" t="s">
        <v>1282</v>
      </c>
      <c r="AI121" s="6425"/>
      <c r="AJ121" s="6425"/>
      <c r="AK121" s="6425"/>
      <c r="AL121" s="6425" t="s">
        <v>1303</v>
      </c>
      <c r="AM121" s="6425" t="s">
        <v>939</v>
      </c>
      <c r="AN121" s="6425" t="s">
        <v>1300</v>
      </c>
      <c r="AO121" s="6425" t="s">
        <v>1307</v>
      </c>
      <c r="AP121" s="6425" t="s">
        <v>1305</v>
      </c>
      <c r="AQ121" s="6425" t="s">
        <v>1306</v>
      </c>
      <c r="AR121" s="6433" t="s">
        <v>939</v>
      </c>
      <c r="AS121" s="6425" t="s">
        <v>1022</v>
      </c>
      <c r="AT121" s="6425" t="s">
        <v>1338</v>
      </c>
      <c r="AU121" s="6425"/>
      <c r="AV121" s="6433" t="s">
        <v>939</v>
      </c>
      <c r="AW121" s="6431">
        <v>2064</v>
      </c>
      <c r="AX121" s="5133"/>
    </row>
    <row r="122" spans="1:54" ht="12.75" customHeight="1">
      <c r="A122" s="6443" t="str">
        <f t="shared" si="10"/>
        <v/>
      </c>
      <c r="B122" s="6444"/>
      <c r="C122" s="6445"/>
      <c r="D122" s="5133"/>
      <c r="F122" s="5133"/>
      <c r="G122" s="6413">
        <v>105</v>
      </c>
      <c r="H122" s="6413">
        <v>166</v>
      </c>
      <c r="I122" s="10961">
        <v>39</v>
      </c>
      <c r="J122" s="10961"/>
      <c r="K122" s="10961" t="str">
        <f>+IF(ISNA(VLOOKUP(MATCH(P122,tfn,0),tao,'12(id)'!$K$20,FALSE)),"",IF(J122="NA","",VLOOKUP(MATCH(P122,tfn,0),tao,'12(id)'!$K$20,FALSE)+J122))</f>
        <v/>
      </c>
      <c r="L122" s="10961"/>
      <c r="M122" s="10961" t="str">
        <f t="shared" si="9"/>
        <v/>
      </c>
      <c r="N122" s="10944" t="str">
        <f>+IF(M122="","",VLOOKUP(MATCH(M122,tid,0),tao,'12(id)'!$Q$20,FALSE))</f>
        <v/>
      </c>
      <c r="O122" s="6413" t="s">
        <v>1208</v>
      </c>
      <c r="P122" s="6414" t="s">
        <v>349</v>
      </c>
      <c r="Q122" s="6414"/>
      <c r="R122" s="6415">
        <v>55126</v>
      </c>
      <c r="S122" s="6416" t="s">
        <v>1241</v>
      </c>
      <c r="T122" s="6421" t="s">
        <v>939</v>
      </c>
      <c r="U122" s="6417">
        <v>2010</v>
      </c>
      <c r="V122" s="6414" t="s">
        <v>1209</v>
      </c>
      <c r="W122" s="6418">
        <v>2824</v>
      </c>
      <c r="X122" s="6418">
        <v>5</v>
      </c>
      <c r="Y122" s="6418">
        <v>702885</v>
      </c>
      <c r="Z122" s="6418" t="s">
        <v>939</v>
      </c>
      <c r="AA122" s="6419">
        <v>0.01</v>
      </c>
      <c r="AB122" s="6420">
        <v>16.600000000000001</v>
      </c>
      <c r="AC122" s="6418">
        <v>4990590</v>
      </c>
      <c r="AD122" s="6414" t="s">
        <v>944</v>
      </c>
      <c r="AE122" s="6414" t="s">
        <v>1259</v>
      </c>
      <c r="AF122" s="6414" t="s">
        <v>939</v>
      </c>
      <c r="AG122" s="6414" t="s">
        <v>939</v>
      </c>
      <c r="AH122" s="6414" t="s">
        <v>1282</v>
      </c>
      <c r="AI122" s="6414"/>
      <c r="AJ122" s="6414"/>
      <c r="AK122" s="6414"/>
      <c r="AL122" s="6414" t="s">
        <v>1303</v>
      </c>
      <c r="AM122" s="6414" t="s">
        <v>939</v>
      </c>
      <c r="AN122" s="6414" t="s">
        <v>1300</v>
      </c>
      <c r="AO122" s="6414" t="s">
        <v>1307</v>
      </c>
      <c r="AP122" s="6414" t="s">
        <v>1305</v>
      </c>
      <c r="AQ122" s="6414" t="s">
        <v>1306</v>
      </c>
      <c r="AR122" s="6421" t="s">
        <v>939</v>
      </c>
      <c r="AS122" s="6414" t="s">
        <v>1022</v>
      </c>
      <c r="AT122" s="6414" t="s">
        <v>1338</v>
      </c>
      <c r="AU122" s="6414"/>
      <c r="AV122" s="6421" t="s">
        <v>939</v>
      </c>
      <c r="AW122" s="6420">
        <v>2082</v>
      </c>
      <c r="AX122" s="5133"/>
    </row>
    <row r="123" spans="1:54" ht="12.75" customHeight="1">
      <c r="A123" s="6443" t="str">
        <f t="shared" si="10"/>
        <v/>
      </c>
      <c r="B123" s="6444"/>
      <c r="C123" s="6445"/>
      <c r="D123" s="5133"/>
      <c r="F123" s="5133"/>
      <c r="G123" s="6413">
        <v>106</v>
      </c>
      <c r="H123" s="6413">
        <v>164</v>
      </c>
      <c r="I123" s="10962"/>
      <c r="J123" s="10962"/>
      <c r="K123" s="10962" t="str">
        <f>+IF(ISNA(VLOOKUP(MATCH(P123,tfn,0),tao,'12(id)'!$K$20,FALSE)),"",IF(J123="NA","",VLOOKUP(MATCH(P123,tfn,0),tao,'12(id)'!$K$20,FALSE)+J123))</f>
        <v/>
      </c>
      <c r="L123" s="10962"/>
      <c r="M123" s="10962" t="str">
        <f t="shared" si="9"/>
        <v/>
      </c>
      <c r="N123" s="10945" t="str">
        <f>+IF(M123="","",VLOOKUP(MATCH(M123,tid,0),tao,'12(id)'!$Q$20,FALSE))</f>
        <v/>
      </c>
      <c r="O123" s="6413" t="s">
        <v>1208</v>
      </c>
      <c r="P123" s="6414" t="s">
        <v>349</v>
      </c>
      <c r="Q123" s="6414"/>
      <c r="R123" s="6415">
        <v>55126</v>
      </c>
      <c r="S123" s="6416" t="s">
        <v>1241</v>
      </c>
      <c r="T123" s="6421" t="s">
        <v>939</v>
      </c>
      <c r="U123" s="6417">
        <v>2009</v>
      </c>
      <c r="V123" s="6414" t="s">
        <v>1209</v>
      </c>
      <c r="W123" s="6418">
        <v>3162</v>
      </c>
      <c r="X123" s="6418">
        <v>5</v>
      </c>
      <c r="Y123" s="6418">
        <v>742505</v>
      </c>
      <c r="Z123" s="6418" t="s">
        <v>939</v>
      </c>
      <c r="AA123" s="6419">
        <v>0.02</v>
      </c>
      <c r="AB123" s="6420">
        <v>19.899999999999999</v>
      </c>
      <c r="AC123" s="6418">
        <v>5169995</v>
      </c>
      <c r="AD123" s="6414" t="s">
        <v>944</v>
      </c>
      <c r="AE123" s="6414" t="s">
        <v>1259</v>
      </c>
      <c r="AF123" s="6414" t="s">
        <v>939</v>
      </c>
      <c r="AG123" s="6414" t="s">
        <v>939</v>
      </c>
      <c r="AH123" s="6414" t="s">
        <v>1282</v>
      </c>
      <c r="AI123" s="6414"/>
      <c r="AJ123" s="6414"/>
      <c r="AK123" s="6414"/>
      <c r="AL123" s="6414" t="s">
        <v>1303</v>
      </c>
      <c r="AM123" s="6414" t="s">
        <v>939</v>
      </c>
      <c r="AN123" s="6414" t="s">
        <v>1300</v>
      </c>
      <c r="AO123" s="6414" t="s">
        <v>1307</v>
      </c>
      <c r="AP123" s="6414" t="s">
        <v>1305</v>
      </c>
      <c r="AQ123" s="6414" t="s">
        <v>1306</v>
      </c>
      <c r="AR123" s="6421" t="s">
        <v>939</v>
      </c>
      <c r="AS123" s="6414" t="s">
        <v>1022</v>
      </c>
      <c r="AT123" s="6414" t="s">
        <v>1338</v>
      </c>
      <c r="AU123" s="6414"/>
      <c r="AV123" s="6421" t="s">
        <v>939</v>
      </c>
      <c r="AW123" s="6420">
        <v>2064</v>
      </c>
      <c r="AX123" s="5133"/>
    </row>
    <row r="124" spans="1:54" ht="12.75" customHeight="1">
      <c r="A124" s="6443" t="str">
        <f t="shared" si="10"/>
        <v/>
      </c>
      <c r="B124" s="6444"/>
      <c r="C124" s="6445"/>
      <c r="D124" s="5133"/>
      <c r="F124" s="5133"/>
      <c r="G124" s="6424">
        <v>107</v>
      </c>
      <c r="H124" s="6424">
        <v>162</v>
      </c>
      <c r="I124" s="10963"/>
      <c r="J124" s="10963"/>
      <c r="K124" s="10963" t="str">
        <f>+IF(ISNA(VLOOKUP(MATCH(P124,tfn,0),tao,'12(id)'!$K$20,FALSE)),"",IF(J124="NA","",VLOOKUP(MATCH(P124,tfn,0),tao,'12(id)'!$K$20,FALSE)+J124))</f>
        <v/>
      </c>
      <c r="L124" s="10963"/>
      <c r="M124" s="10963" t="str">
        <f t="shared" si="9"/>
        <v/>
      </c>
      <c r="N124" s="10946" t="str">
        <f>+IF(M124="","",VLOOKUP(MATCH(M124,tid,0),tao,'12(id)'!$Q$20,FALSE))</f>
        <v/>
      </c>
      <c r="O124" s="6424" t="s">
        <v>1208</v>
      </c>
      <c r="P124" s="6425" t="s">
        <v>349</v>
      </c>
      <c r="Q124" s="6425"/>
      <c r="R124" s="6426">
        <v>55126</v>
      </c>
      <c r="S124" s="6427" t="s">
        <v>1241</v>
      </c>
      <c r="T124" s="6433" t="s">
        <v>939</v>
      </c>
      <c r="U124" s="6428">
        <v>2008</v>
      </c>
      <c r="V124" s="6425" t="s">
        <v>1209</v>
      </c>
      <c r="W124" s="6429">
        <v>2710</v>
      </c>
      <c r="X124" s="6429">
        <v>5</v>
      </c>
      <c r="Y124" s="6429">
        <v>618784</v>
      </c>
      <c r="Z124" s="6429" t="s">
        <v>939</v>
      </c>
      <c r="AA124" s="6430">
        <v>0.01</v>
      </c>
      <c r="AB124" s="6431">
        <v>16.5</v>
      </c>
      <c r="AC124" s="6429">
        <v>4375717</v>
      </c>
      <c r="AD124" s="6425" t="s">
        <v>944</v>
      </c>
      <c r="AE124" s="6425" t="s">
        <v>1259</v>
      </c>
      <c r="AF124" s="6425" t="s">
        <v>939</v>
      </c>
      <c r="AG124" s="6425" t="s">
        <v>939</v>
      </c>
      <c r="AH124" s="6425" t="s">
        <v>1282</v>
      </c>
      <c r="AI124" s="6425"/>
      <c r="AJ124" s="6425"/>
      <c r="AK124" s="6425"/>
      <c r="AL124" s="6425" t="s">
        <v>1303</v>
      </c>
      <c r="AM124" s="6425" t="s">
        <v>939</v>
      </c>
      <c r="AN124" s="6425" t="s">
        <v>1300</v>
      </c>
      <c r="AO124" s="6425" t="s">
        <v>1307</v>
      </c>
      <c r="AP124" s="6425" t="s">
        <v>1305</v>
      </c>
      <c r="AQ124" s="6425" t="s">
        <v>1306</v>
      </c>
      <c r="AR124" s="6433" t="s">
        <v>939</v>
      </c>
      <c r="AS124" s="6425" t="s">
        <v>1022</v>
      </c>
      <c r="AT124" s="6425" t="s">
        <v>1338</v>
      </c>
      <c r="AU124" s="6425"/>
      <c r="AV124" s="6433" t="s">
        <v>939</v>
      </c>
      <c r="AW124" s="6431">
        <v>2064</v>
      </c>
      <c r="AX124" s="5133"/>
    </row>
    <row r="125" spans="1:54" s="6520" customFormat="1" ht="12.75" customHeight="1">
      <c r="A125" s="10989" t="str">
        <f t="shared" si="10"/>
        <v>8306-04</v>
      </c>
      <c r="B125" s="10995" t="str">
        <f>+IF(A125="","",VLOOKUP(MATCH(A125,tid,0),tao,'12(id)'!$J$20,FALSE))</f>
        <v>NRG</v>
      </c>
      <c r="C125" s="10992" t="str">
        <f>+N125</f>
        <v>MV5 </v>
      </c>
      <c r="E125" s="5132"/>
      <c r="G125" s="6530">
        <v>108</v>
      </c>
      <c r="H125" s="6530">
        <v>170</v>
      </c>
      <c r="I125" s="10977">
        <v>40</v>
      </c>
      <c r="J125" s="10977">
        <v>6</v>
      </c>
      <c r="K125" s="10977">
        <f>+IF(ISNA(VLOOKUP(MATCH(P125,tfn,0),tao,'12(id)'!$K$20,FALSE)),"",IF(J125="NA","",VLOOKUP(MATCH(P125,tfn,0),tao,'12(id)'!$K$20,FALSE)+J125))</f>
        <v>8306</v>
      </c>
      <c r="L125" s="10977">
        <v>4</v>
      </c>
      <c r="M125" s="10977" t="str">
        <f t="shared" si="9"/>
        <v>8306-04</v>
      </c>
      <c r="N125" s="10980" t="str">
        <f>+IF(M125="","",VLOOKUP(MATCH(M125,tid,0),tao,'12(id)'!$Q$20,FALSE))</f>
        <v>MV5 </v>
      </c>
      <c r="O125" s="6530" t="s">
        <v>1208</v>
      </c>
      <c r="P125" s="6531" t="s">
        <v>478</v>
      </c>
      <c r="Q125" s="6531"/>
      <c r="R125" s="6532">
        <v>546</v>
      </c>
      <c r="S125" s="6533" t="s">
        <v>1242</v>
      </c>
      <c r="T125" s="6534" t="s">
        <v>939</v>
      </c>
      <c r="U125" s="6535">
        <v>2010</v>
      </c>
      <c r="V125" s="6531" t="s">
        <v>1209</v>
      </c>
      <c r="W125" s="6536">
        <v>932</v>
      </c>
      <c r="X125" s="6536">
        <v>5</v>
      </c>
      <c r="Y125" s="6536">
        <v>45896</v>
      </c>
      <c r="Z125" s="6536" t="s">
        <v>939</v>
      </c>
      <c r="AA125" s="6537">
        <v>0.09</v>
      </c>
      <c r="AB125" s="6538">
        <v>27.4</v>
      </c>
      <c r="AC125" s="6536">
        <v>567960</v>
      </c>
      <c r="AD125" s="6531" t="s">
        <v>944</v>
      </c>
      <c r="AE125" s="6531" t="s">
        <v>1259</v>
      </c>
      <c r="AF125" s="6531" t="s">
        <v>1261</v>
      </c>
      <c r="AG125" s="6531" t="s">
        <v>1262</v>
      </c>
      <c r="AH125" s="6531" t="s">
        <v>1283</v>
      </c>
      <c r="AI125" s="6531"/>
      <c r="AJ125" s="6531"/>
      <c r="AK125" s="6531"/>
      <c r="AL125" s="6531" t="s">
        <v>1303</v>
      </c>
      <c r="AM125" s="6531" t="s">
        <v>939</v>
      </c>
      <c r="AN125" s="6531" t="s">
        <v>1300</v>
      </c>
      <c r="AO125" s="6531" t="s">
        <v>1311</v>
      </c>
      <c r="AP125" s="6531" t="s">
        <v>1308</v>
      </c>
      <c r="AQ125" s="6531" t="s">
        <v>1305</v>
      </c>
      <c r="AR125" s="6534" t="s">
        <v>939</v>
      </c>
      <c r="AS125" s="6534" t="s">
        <v>939</v>
      </c>
      <c r="AT125" s="6534" t="s">
        <v>939</v>
      </c>
      <c r="AU125" s="6534"/>
      <c r="AV125" s="6531" t="s">
        <v>1339</v>
      </c>
      <c r="AW125" s="6538">
        <v>995</v>
      </c>
      <c r="AX125" s="5133"/>
      <c r="AY125" s="5132"/>
      <c r="AZ125" s="5132"/>
      <c r="BA125" s="5132"/>
      <c r="BB125" s="5132"/>
    </row>
    <row r="126" spans="1:54" s="6520" customFormat="1" ht="12.75" customHeight="1">
      <c r="A126" s="10990" t="str">
        <f t="shared" si="10"/>
        <v>8300-0</v>
      </c>
      <c r="B126" s="10996"/>
      <c r="C126" s="10993"/>
      <c r="E126" s="5132"/>
      <c r="G126" s="6530">
        <v>109</v>
      </c>
      <c r="H126" s="6530">
        <v>169</v>
      </c>
      <c r="I126" s="10978"/>
      <c r="J126" s="10978"/>
      <c r="K126" s="10978">
        <f>+IF(ISNA(VLOOKUP(MATCH(P126,tfn,0),tao,'12(id)'!$K$20,FALSE)),"",IF(J126="NA","",VLOOKUP(MATCH(P126,tfn,0),tao,'12(id)'!$K$20,FALSE)+J126))</f>
        <v>8300</v>
      </c>
      <c r="L126" s="10978"/>
      <c r="M126" s="10978" t="str">
        <f t="shared" si="9"/>
        <v>8300-0</v>
      </c>
      <c r="N126" s="10981" t="e">
        <f>+IF(M126="","",VLOOKUP(MATCH(M126,tid,0),tao,'12(id)'!$Q$20,FALSE))</f>
        <v>#N/A</v>
      </c>
      <c r="O126" s="6530" t="s">
        <v>1208</v>
      </c>
      <c r="P126" s="6531" t="s">
        <v>478</v>
      </c>
      <c r="Q126" s="6531"/>
      <c r="R126" s="6532">
        <v>546</v>
      </c>
      <c r="S126" s="6533" t="s">
        <v>1242</v>
      </c>
      <c r="T126" s="6534" t="s">
        <v>939</v>
      </c>
      <c r="U126" s="6535">
        <v>2009</v>
      </c>
      <c r="V126" s="6531" t="s">
        <v>1209</v>
      </c>
      <c r="W126" s="6536">
        <v>112</v>
      </c>
      <c r="X126" s="6536">
        <v>5</v>
      </c>
      <c r="Y126" s="6536">
        <v>6227</v>
      </c>
      <c r="Z126" s="6536" t="s">
        <v>939</v>
      </c>
      <c r="AA126" s="6537">
        <v>0.1</v>
      </c>
      <c r="AB126" s="6538">
        <v>4.5999999999999996</v>
      </c>
      <c r="AC126" s="6536">
        <v>75780</v>
      </c>
      <c r="AD126" s="6531" t="s">
        <v>944</v>
      </c>
      <c r="AE126" s="6531" t="s">
        <v>1259</v>
      </c>
      <c r="AF126" s="6531" t="s">
        <v>1261</v>
      </c>
      <c r="AG126" s="6531" t="s">
        <v>1262</v>
      </c>
      <c r="AH126" s="6531" t="s">
        <v>1283</v>
      </c>
      <c r="AI126" s="6531"/>
      <c r="AJ126" s="6531"/>
      <c r="AK126" s="6531"/>
      <c r="AL126" s="6531" t="s">
        <v>1303</v>
      </c>
      <c r="AM126" s="6531" t="s">
        <v>939</v>
      </c>
      <c r="AN126" s="6531" t="s">
        <v>1300</v>
      </c>
      <c r="AO126" s="6531" t="s">
        <v>1311</v>
      </c>
      <c r="AP126" s="6531" t="s">
        <v>1308</v>
      </c>
      <c r="AQ126" s="6531" t="s">
        <v>1305</v>
      </c>
      <c r="AR126" s="6534" t="s">
        <v>939</v>
      </c>
      <c r="AS126" s="6534" t="s">
        <v>939</v>
      </c>
      <c r="AT126" s="6534" t="s">
        <v>939</v>
      </c>
      <c r="AU126" s="6534"/>
      <c r="AV126" s="6531" t="s">
        <v>1339</v>
      </c>
      <c r="AW126" s="6538">
        <v>995</v>
      </c>
      <c r="AX126" s="5133"/>
      <c r="AY126" s="5132"/>
      <c r="AZ126" s="5132"/>
      <c r="BA126" s="5132"/>
      <c r="BB126" s="5132"/>
    </row>
    <row r="127" spans="1:54" s="6520" customFormat="1" ht="12.75" customHeight="1">
      <c r="A127" s="10991" t="str">
        <f t="shared" si="10"/>
        <v>8300-0</v>
      </c>
      <c r="B127" s="10997"/>
      <c r="C127" s="10994"/>
      <c r="E127" s="5132"/>
      <c r="G127" s="6539">
        <v>110</v>
      </c>
      <c r="H127" s="6539">
        <v>168</v>
      </c>
      <c r="I127" s="10979"/>
      <c r="J127" s="10979"/>
      <c r="K127" s="10979">
        <f>+IF(ISNA(VLOOKUP(MATCH(P127,tfn,0),tao,'12(id)'!$K$20,FALSE)),"",IF(J127="NA","",VLOOKUP(MATCH(P127,tfn,0),tao,'12(id)'!$K$20,FALSE)+J127))</f>
        <v>8300</v>
      </c>
      <c r="L127" s="10979"/>
      <c r="M127" s="10979" t="str">
        <f t="shared" si="9"/>
        <v>8300-0</v>
      </c>
      <c r="N127" s="10982" t="e">
        <f>+IF(M127="","",VLOOKUP(MATCH(M127,tid,0),tao,'12(id)'!$Q$20,FALSE))</f>
        <v>#N/A</v>
      </c>
      <c r="O127" s="6539" t="s">
        <v>1208</v>
      </c>
      <c r="P127" s="6540" t="s">
        <v>478</v>
      </c>
      <c r="Q127" s="6540"/>
      <c r="R127" s="6541">
        <v>546</v>
      </c>
      <c r="S127" s="6542" t="s">
        <v>1242</v>
      </c>
      <c r="T127" s="6543" t="s">
        <v>939</v>
      </c>
      <c r="U127" s="6544">
        <v>2008</v>
      </c>
      <c r="V127" s="6540" t="s">
        <v>1209</v>
      </c>
      <c r="W127" s="6545">
        <v>245</v>
      </c>
      <c r="X127" s="6545">
        <v>5</v>
      </c>
      <c r="Y127" s="6545">
        <v>12536</v>
      </c>
      <c r="Z127" s="6545" t="s">
        <v>939</v>
      </c>
      <c r="AA127" s="6546">
        <v>0.09</v>
      </c>
      <c r="AB127" s="6547">
        <v>8</v>
      </c>
      <c r="AC127" s="6545">
        <v>148000</v>
      </c>
      <c r="AD127" s="6540" t="s">
        <v>944</v>
      </c>
      <c r="AE127" s="6540" t="s">
        <v>1259</v>
      </c>
      <c r="AF127" s="6540" t="s">
        <v>1261</v>
      </c>
      <c r="AG127" s="6540" t="s">
        <v>1262</v>
      </c>
      <c r="AH127" s="6540" t="s">
        <v>1283</v>
      </c>
      <c r="AI127" s="6540"/>
      <c r="AJ127" s="6540"/>
      <c r="AK127" s="6540"/>
      <c r="AL127" s="6540" t="s">
        <v>1303</v>
      </c>
      <c r="AM127" s="6540" t="s">
        <v>939</v>
      </c>
      <c r="AN127" s="6540" t="s">
        <v>1300</v>
      </c>
      <c r="AO127" s="6540" t="s">
        <v>1311</v>
      </c>
      <c r="AP127" s="6540" t="s">
        <v>1308</v>
      </c>
      <c r="AQ127" s="6540" t="s">
        <v>1305</v>
      </c>
      <c r="AR127" s="6543" t="s">
        <v>939</v>
      </c>
      <c r="AS127" s="6543" t="s">
        <v>939</v>
      </c>
      <c r="AT127" s="6543" t="s">
        <v>939</v>
      </c>
      <c r="AU127" s="6543"/>
      <c r="AV127" s="6540" t="s">
        <v>1339</v>
      </c>
      <c r="AW127" s="6547">
        <v>995</v>
      </c>
      <c r="AX127" s="5133"/>
      <c r="AY127" s="5132"/>
      <c r="AZ127" s="5132"/>
      <c r="BA127" s="5132"/>
      <c r="BB127" s="5132"/>
    </row>
    <row r="128" spans="1:54" s="6520" customFormat="1" ht="12.75" customHeight="1">
      <c r="A128" s="10989" t="str">
        <f t="shared" si="10"/>
        <v>8306-05</v>
      </c>
      <c r="B128" s="10995" t="str">
        <f>+IF(A128="","",VLOOKUP(MATCH(A128,tid,0),tao,'12(id)'!$J$20,FALSE))</f>
        <v>NRG</v>
      </c>
      <c r="C128" s="10992" t="str">
        <f>+N128</f>
        <v>MV6 </v>
      </c>
      <c r="E128" s="5132"/>
      <c r="G128" s="6530">
        <v>111</v>
      </c>
      <c r="H128" s="6530">
        <v>173</v>
      </c>
      <c r="I128" s="10977">
        <v>41</v>
      </c>
      <c r="J128" s="10977">
        <v>6</v>
      </c>
      <c r="K128" s="10977">
        <f>+IF(ISNA(VLOOKUP(MATCH(P128,tfn,0),tao,'12(id)'!$K$20,FALSE)),"",IF(J128="NA","",VLOOKUP(MATCH(P128,tfn,0),tao,'12(id)'!$K$20,FALSE)+J128))</f>
        <v>8306</v>
      </c>
      <c r="L128" s="10977">
        <v>5</v>
      </c>
      <c r="M128" s="10977" t="str">
        <f t="shared" si="9"/>
        <v>8306-05</v>
      </c>
      <c r="N128" s="10980" t="str">
        <f>+IF(M128="","",VLOOKUP(MATCH(M128,tid,0),tao,'12(id)'!$Q$20,FALSE))</f>
        <v>MV6 </v>
      </c>
      <c r="O128" s="6530" t="s">
        <v>1208</v>
      </c>
      <c r="P128" s="6531" t="s">
        <v>478</v>
      </c>
      <c r="Q128" s="6531"/>
      <c r="R128" s="6532">
        <v>546</v>
      </c>
      <c r="S128" s="6533" t="s">
        <v>1243</v>
      </c>
      <c r="T128" s="6534" t="s">
        <v>939</v>
      </c>
      <c r="U128" s="6535">
        <v>2010</v>
      </c>
      <c r="V128" s="6531" t="s">
        <v>1209</v>
      </c>
      <c r="W128" s="6536">
        <v>376</v>
      </c>
      <c r="X128" s="6536">
        <v>5</v>
      </c>
      <c r="Y128" s="6536">
        <v>41495</v>
      </c>
      <c r="Z128" s="6536" t="s">
        <v>939</v>
      </c>
      <c r="AA128" s="6537">
        <v>0.14000000000000001</v>
      </c>
      <c r="AB128" s="6538">
        <v>44.3</v>
      </c>
      <c r="AC128" s="6536">
        <v>608716</v>
      </c>
      <c r="AD128" s="6531" t="s">
        <v>944</v>
      </c>
      <c r="AE128" s="6531" t="s">
        <v>1259</v>
      </c>
      <c r="AF128" s="6531" t="s">
        <v>1261</v>
      </c>
      <c r="AG128" s="6531" t="s">
        <v>1262</v>
      </c>
      <c r="AH128" s="6531" t="s">
        <v>1283</v>
      </c>
      <c r="AI128" s="6531"/>
      <c r="AJ128" s="6531"/>
      <c r="AK128" s="6531"/>
      <c r="AL128" s="6534" t="s">
        <v>1303</v>
      </c>
      <c r="AM128" s="6534" t="s">
        <v>939</v>
      </c>
      <c r="AN128" s="6534" t="s">
        <v>1300</v>
      </c>
      <c r="AO128" s="6534" t="s">
        <v>1311</v>
      </c>
      <c r="AP128" s="6534" t="s">
        <v>1308</v>
      </c>
      <c r="AQ128" s="6534" t="s">
        <v>939</v>
      </c>
      <c r="AR128" s="6534" t="s">
        <v>939</v>
      </c>
      <c r="AS128" s="6534" t="s">
        <v>939</v>
      </c>
      <c r="AT128" s="6534" t="s">
        <v>939</v>
      </c>
      <c r="AU128" s="6534"/>
      <c r="AV128" s="6534" t="s">
        <v>939</v>
      </c>
      <c r="AW128" s="6538">
        <v>4658</v>
      </c>
      <c r="AX128" s="5133"/>
      <c r="AY128" s="5132"/>
      <c r="AZ128" s="5132"/>
      <c r="BA128" s="5132"/>
      <c r="BB128" s="5132"/>
    </row>
    <row r="129" spans="1:54" s="6520" customFormat="1" ht="12.75" customHeight="1">
      <c r="A129" s="10990" t="str">
        <f t="shared" si="10"/>
        <v>8300-0</v>
      </c>
      <c r="B129" s="10996"/>
      <c r="C129" s="10993"/>
      <c r="E129" s="5132"/>
      <c r="G129" s="6530">
        <v>112</v>
      </c>
      <c r="H129" s="6530">
        <v>172</v>
      </c>
      <c r="I129" s="10978"/>
      <c r="J129" s="10978"/>
      <c r="K129" s="10978">
        <f>+IF(ISNA(VLOOKUP(MATCH(P129,tfn,0),tao,'12(id)'!$K$20,FALSE)),"",IF(J129="NA","",VLOOKUP(MATCH(P129,tfn,0),tao,'12(id)'!$K$20,FALSE)+J129))</f>
        <v>8300</v>
      </c>
      <c r="L129" s="10978"/>
      <c r="M129" s="10978" t="str">
        <f t="shared" si="9"/>
        <v>8300-0</v>
      </c>
      <c r="N129" s="10981" t="e">
        <f>+IF(M129="","",VLOOKUP(MATCH(M129,tid,0),tao,'12(id)'!$Q$20,FALSE))</f>
        <v>#N/A</v>
      </c>
      <c r="O129" s="6530" t="s">
        <v>1208</v>
      </c>
      <c r="P129" s="6531" t="s">
        <v>478</v>
      </c>
      <c r="Q129" s="6531"/>
      <c r="R129" s="6532">
        <v>546</v>
      </c>
      <c r="S129" s="6533" t="s">
        <v>1243</v>
      </c>
      <c r="T129" s="6534" t="s">
        <v>939</v>
      </c>
      <c r="U129" s="6535">
        <v>2009</v>
      </c>
      <c r="V129" s="6531" t="s">
        <v>1209</v>
      </c>
      <c r="W129" s="6536">
        <v>146</v>
      </c>
      <c r="X129" s="6536">
        <v>5</v>
      </c>
      <c r="Y129" s="6536">
        <v>16484</v>
      </c>
      <c r="Z129" s="6536" t="s">
        <v>939</v>
      </c>
      <c r="AA129" s="6537">
        <v>0.16</v>
      </c>
      <c r="AB129" s="6538">
        <v>25.4</v>
      </c>
      <c r="AC129" s="6536">
        <v>253965</v>
      </c>
      <c r="AD129" s="6531" t="s">
        <v>944</v>
      </c>
      <c r="AE129" s="6531" t="s">
        <v>1259</v>
      </c>
      <c r="AF129" s="6531" t="s">
        <v>1261</v>
      </c>
      <c r="AG129" s="6531" t="s">
        <v>1262</v>
      </c>
      <c r="AH129" s="6531" t="s">
        <v>1283</v>
      </c>
      <c r="AI129" s="6531"/>
      <c r="AJ129" s="6531"/>
      <c r="AK129" s="6531"/>
      <c r="AL129" s="6534" t="s">
        <v>1303</v>
      </c>
      <c r="AM129" s="6534" t="s">
        <v>939</v>
      </c>
      <c r="AN129" s="6534" t="s">
        <v>1300</v>
      </c>
      <c r="AO129" s="6534" t="s">
        <v>1311</v>
      </c>
      <c r="AP129" s="6534" t="s">
        <v>1308</v>
      </c>
      <c r="AQ129" s="6534" t="s">
        <v>939</v>
      </c>
      <c r="AR129" s="6534" t="s">
        <v>939</v>
      </c>
      <c r="AS129" s="6534" t="s">
        <v>939</v>
      </c>
      <c r="AT129" s="6534" t="s">
        <v>939</v>
      </c>
      <c r="AU129" s="6534"/>
      <c r="AV129" s="6534" t="s">
        <v>939</v>
      </c>
      <c r="AW129" s="6538">
        <v>4658</v>
      </c>
      <c r="AX129" s="5133"/>
      <c r="AY129" s="5132"/>
      <c r="AZ129" s="5132"/>
      <c r="BA129" s="5132"/>
      <c r="BB129" s="5132"/>
    </row>
    <row r="130" spans="1:54" s="6520" customFormat="1" ht="12.75" customHeight="1">
      <c r="A130" s="10991" t="str">
        <f t="shared" si="10"/>
        <v>8300-0</v>
      </c>
      <c r="B130" s="10997"/>
      <c r="C130" s="10994"/>
      <c r="E130" s="5132"/>
      <c r="G130" s="6539">
        <v>113</v>
      </c>
      <c r="H130" s="6539">
        <v>171</v>
      </c>
      <c r="I130" s="10979"/>
      <c r="J130" s="10979"/>
      <c r="K130" s="10979">
        <f>+IF(ISNA(VLOOKUP(MATCH(P130,tfn,0),tao,'12(id)'!$K$20,FALSE)),"",IF(J130="NA","",VLOOKUP(MATCH(P130,tfn,0),tao,'12(id)'!$K$20,FALSE)+J130))</f>
        <v>8300</v>
      </c>
      <c r="L130" s="10979"/>
      <c r="M130" s="10979" t="str">
        <f t="shared" si="9"/>
        <v>8300-0</v>
      </c>
      <c r="N130" s="10982" t="e">
        <f>+IF(M130="","",VLOOKUP(MATCH(M130,tid,0),tao,'12(id)'!$Q$20,FALSE))</f>
        <v>#N/A</v>
      </c>
      <c r="O130" s="6539" t="s">
        <v>1208</v>
      </c>
      <c r="P130" s="6540" t="s">
        <v>478</v>
      </c>
      <c r="Q130" s="6540"/>
      <c r="R130" s="6541">
        <v>546</v>
      </c>
      <c r="S130" s="6542" t="s">
        <v>1243</v>
      </c>
      <c r="T130" s="6543" t="s">
        <v>939</v>
      </c>
      <c r="U130" s="6544">
        <v>2008</v>
      </c>
      <c r="V130" s="6540" t="s">
        <v>1209</v>
      </c>
      <c r="W130" s="6545">
        <v>79</v>
      </c>
      <c r="X130" s="6545">
        <v>5</v>
      </c>
      <c r="Y130" s="6545">
        <v>14294</v>
      </c>
      <c r="Z130" s="6545" t="s">
        <v>939</v>
      </c>
      <c r="AA130" s="6546">
        <v>0.16</v>
      </c>
      <c r="AB130" s="6547">
        <v>17.3</v>
      </c>
      <c r="AC130" s="6545">
        <v>178548</v>
      </c>
      <c r="AD130" s="6540" t="s">
        <v>944</v>
      </c>
      <c r="AE130" s="6540" t="s">
        <v>1259</v>
      </c>
      <c r="AF130" s="6540" t="s">
        <v>1261</v>
      </c>
      <c r="AG130" s="6540" t="s">
        <v>1262</v>
      </c>
      <c r="AH130" s="6540" t="s">
        <v>1283</v>
      </c>
      <c r="AI130" s="6540"/>
      <c r="AJ130" s="6540"/>
      <c r="AK130" s="6540"/>
      <c r="AL130" s="6543" t="s">
        <v>1303</v>
      </c>
      <c r="AM130" s="6543" t="s">
        <v>939</v>
      </c>
      <c r="AN130" s="6543" t="s">
        <v>1300</v>
      </c>
      <c r="AO130" s="6543" t="s">
        <v>1311</v>
      </c>
      <c r="AP130" s="6543" t="s">
        <v>1308</v>
      </c>
      <c r="AQ130" s="6543" t="s">
        <v>939</v>
      </c>
      <c r="AR130" s="6543" t="s">
        <v>939</v>
      </c>
      <c r="AS130" s="6543" t="s">
        <v>939</v>
      </c>
      <c r="AT130" s="6543" t="s">
        <v>939</v>
      </c>
      <c r="AU130" s="6543"/>
      <c r="AV130" s="6543" t="s">
        <v>939</v>
      </c>
      <c r="AW130" s="6547">
        <v>4658</v>
      </c>
      <c r="AX130" s="5133"/>
      <c r="AY130" s="5132"/>
      <c r="AZ130" s="5132"/>
      <c r="BA130" s="5132"/>
      <c r="BB130" s="5132"/>
    </row>
    <row r="131" spans="1:54" s="6520" customFormat="1" ht="12.75" customHeight="1">
      <c r="A131" s="10989" t="str">
        <f t="shared" si="10"/>
        <v>8305-01</v>
      </c>
      <c r="B131" s="10995" t="str">
        <f>+IF(A131="","",VLOOKUP(MATCH(A131,tid,0),tao,'12(id)'!$J$20,FALSE))</f>
        <v>PSEG</v>
      </c>
      <c r="C131" s="10992" t="str">
        <f>+N131</f>
        <v>NHB1</v>
      </c>
      <c r="E131" s="5132"/>
      <c r="G131" s="6530">
        <v>114</v>
      </c>
      <c r="H131" s="6530">
        <v>176</v>
      </c>
      <c r="I131" s="10977">
        <v>42</v>
      </c>
      <c r="J131" s="10977"/>
      <c r="K131" s="10977">
        <f>+IF(ISNA(VLOOKUP(MATCH(P131,tfn,0),tao,'12(id)'!$K$20,FALSE)),"",IF(J131="NA","",VLOOKUP(MATCH(P131,tfn,0),tao,'12(id)'!$K$20,FALSE)+J131))</f>
        <v>8305</v>
      </c>
      <c r="L131" s="10977">
        <v>1</v>
      </c>
      <c r="M131" s="10977" t="str">
        <f t="shared" si="9"/>
        <v>8305-01</v>
      </c>
      <c r="N131" s="10980" t="str">
        <f>+IF(M131="","",VLOOKUP(MATCH(M131,tid,0),tao,'12(id)'!$Q$20,FALSE))</f>
        <v>NHB1</v>
      </c>
      <c r="O131" s="6530" t="s">
        <v>1208</v>
      </c>
      <c r="P131" s="6531" t="s">
        <v>350</v>
      </c>
      <c r="Q131" s="6531"/>
      <c r="R131" s="6532">
        <v>6156</v>
      </c>
      <c r="S131" s="6533" t="s">
        <v>1244</v>
      </c>
      <c r="T131" s="6534" t="s">
        <v>939</v>
      </c>
      <c r="U131" s="6535">
        <v>2010</v>
      </c>
      <c r="V131" s="6531" t="s">
        <v>1209</v>
      </c>
      <c r="W131" s="6536">
        <v>849</v>
      </c>
      <c r="X131" s="6536">
        <v>5</v>
      </c>
      <c r="Y131" s="6536">
        <v>136402</v>
      </c>
      <c r="Z131" s="6536" t="s">
        <v>939</v>
      </c>
      <c r="AA131" s="6537">
        <v>0.13</v>
      </c>
      <c r="AB131" s="6538">
        <v>102</v>
      </c>
      <c r="AC131" s="6536">
        <v>1485780</v>
      </c>
      <c r="AD131" s="6531" t="s">
        <v>944</v>
      </c>
      <c r="AE131" s="6531" t="s">
        <v>1259</v>
      </c>
      <c r="AF131" s="6531" t="s">
        <v>1261</v>
      </c>
      <c r="AG131" s="6531" t="s">
        <v>1262</v>
      </c>
      <c r="AH131" s="6531" t="s">
        <v>1284</v>
      </c>
      <c r="AI131" s="6531"/>
      <c r="AJ131" s="6531"/>
      <c r="AK131" s="6531"/>
      <c r="AL131" s="6531" t="s">
        <v>1303</v>
      </c>
      <c r="AM131" s="6531" t="s">
        <v>939</v>
      </c>
      <c r="AN131" s="6531" t="s">
        <v>1300</v>
      </c>
      <c r="AO131" s="6531" t="s">
        <v>1311</v>
      </c>
      <c r="AP131" s="6531" t="s">
        <v>1308</v>
      </c>
      <c r="AQ131" s="6531" t="s">
        <v>1328</v>
      </c>
      <c r="AR131" s="6534" t="s">
        <v>939</v>
      </c>
      <c r="AS131" s="6534" t="s">
        <v>939</v>
      </c>
      <c r="AT131" s="6534" t="s">
        <v>939</v>
      </c>
      <c r="AU131" s="6534"/>
      <c r="AV131" s="6531" t="s">
        <v>1339</v>
      </c>
      <c r="AW131" s="6538">
        <v>4286</v>
      </c>
      <c r="AX131" s="5133"/>
      <c r="AY131" s="5132"/>
      <c r="AZ131" s="5132"/>
      <c r="BA131" s="5132"/>
      <c r="BB131" s="5132"/>
    </row>
    <row r="132" spans="1:54" s="6520" customFormat="1" ht="12.75" customHeight="1">
      <c r="A132" s="10990" t="str">
        <f t="shared" si="10"/>
        <v>8305-01</v>
      </c>
      <c r="B132" s="10996"/>
      <c r="C132" s="10993"/>
      <c r="E132" s="5132"/>
      <c r="G132" s="6530">
        <v>115</v>
      </c>
      <c r="H132" s="6530">
        <v>175</v>
      </c>
      <c r="I132" s="10978"/>
      <c r="J132" s="10978"/>
      <c r="K132" s="10978">
        <f>+IF(ISNA(VLOOKUP(MATCH(P132,tfn,0),tao,'12(id)'!$K$20,FALSE)),"",IF(J132="NA","",VLOOKUP(MATCH(P132,tfn,0),tao,'12(id)'!$K$20,FALSE)+J132))</f>
        <v>8305</v>
      </c>
      <c r="L132" s="10978">
        <f>+L131</f>
        <v>1</v>
      </c>
      <c r="M132" s="10978" t="str">
        <f t="shared" si="9"/>
        <v>8305-01</v>
      </c>
      <c r="N132" s="10981" t="str">
        <f>+IF(M132="","",VLOOKUP(MATCH(M132,tid,0),tao,'12(id)'!$Q$20,FALSE))</f>
        <v>NHB1</v>
      </c>
      <c r="O132" s="6530" t="s">
        <v>1208</v>
      </c>
      <c r="P132" s="6531" t="s">
        <v>350</v>
      </c>
      <c r="Q132" s="6531"/>
      <c r="R132" s="6532">
        <v>6156</v>
      </c>
      <c r="S132" s="6533" t="s">
        <v>1244</v>
      </c>
      <c r="T132" s="6534" t="s">
        <v>939</v>
      </c>
      <c r="U132" s="6535">
        <v>2009</v>
      </c>
      <c r="V132" s="6531" t="s">
        <v>1209</v>
      </c>
      <c r="W132" s="6536">
        <v>205</v>
      </c>
      <c r="X132" s="6536">
        <v>5</v>
      </c>
      <c r="Y132" s="6536">
        <v>26780</v>
      </c>
      <c r="Z132" s="6536" t="s">
        <v>939</v>
      </c>
      <c r="AA132" s="6537">
        <v>0.14000000000000001</v>
      </c>
      <c r="AB132" s="6538">
        <v>23.9</v>
      </c>
      <c r="AC132" s="6536">
        <v>306139</v>
      </c>
      <c r="AD132" s="6531" t="s">
        <v>944</v>
      </c>
      <c r="AE132" s="6531" t="s">
        <v>1259</v>
      </c>
      <c r="AF132" s="6531" t="s">
        <v>1261</v>
      </c>
      <c r="AG132" s="6531" t="s">
        <v>1262</v>
      </c>
      <c r="AH132" s="6531" t="s">
        <v>1284</v>
      </c>
      <c r="AI132" s="6531"/>
      <c r="AJ132" s="6531"/>
      <c r="AK132" s="6531"/>
      <c r="AL132" s="6531" t="s">
        <v>1303</v>
      </c>
      <c r="AM132" s="6531" t="s">
        <v>939</v>
      </c>
      <c r="AN132" s="6531" t="s">
        <v>1300</v>
      </c>
      <c r="AO132" s="6531" t="s">
        <v>1311</v>
      </c>
      <c r="AP132" s="6531" t="s">
        <v>1308</v>
      </c>
      <c r="AQ132" s="6531" t="s">
        <v>1328</v>
      </c>
      <c r="AR132" s="6534" t="s">
        <v>939</v>
      </c>
      <c r="AS132" s="6534" t="s">
        <v>939</v>
      </c>
      <c r="AT132" s="6534" t="s">
        <v>939</v>
      </c>
      <c r="AU132" s="6534"/>
      <c r="AV132" s="6531" t="s">
        <v>1339</v>
      </c>
      <c r="AW132" s="6538">
        <v>4286</v>
      </c>
      <c r="AX132" s="5133"/>
      <c r="AY132" s="5132"/>
      <c r="AZ132" s="5132"/>
      <c r="BA132" s="5132"/>
      <c r="BB132" s="5132"/>
    </row>
    <row r="133" spans="1:54" s="6520" customFormat="1" ht="12.75" customHeight="1">
      <c r="A133" s="10991" t="str">
        <f t="shared" si="10"/>
        <v>8305-01</v>
      </c>
      <c r="B133" s="10997"/>
      <c r="C133" s="10994"/>
      <c r="E133" s="5132"/>
      <c r="G133" s="6539">
        <v>116</v>
      </c>
      <c r="H133" s="6539">
        <v>174</v>
      </c>
      <c r="I133" s="10979"/>
      <c r="J133" s="10979"/>
      <c r="K133" s="10979">
        <f>+IF(ISNA(VLOOKUP(MATCH(P133,tfn,0),tao,'12(id)'!$K$20,FALSE)),"",IF(J133="NA","",VLOOKUP(MATCH(P133,tfn,0),tao,'12(id)'!$K$20,FALSE)+J133))</f>
        <v>8305</v>
      </c>
      <c r="L133" s="10979">
        <f>+L132</f>
        <v>1</v>
      </c>
      <c r="M133" s="10979" t="str">
        <f t="shared" si="9"/>
        <v>8305-01</v>
      </c>
      <c r="N133" s="10982" t="str">
        <f>+IF(M133="","",VLOOKUP(MATCH(M133,tid,0),tao,'12(id)'!$Q$20,FALSE))</f>
        <v>NHB1</v>
      </c>
      <c r="O133" s="6539" t="s">
        <v>1208</v>
      </c>
      <c r="P133" s="6540" t="s">
        <v>350</v>
      </c>
      <c r="Q133" s="6540"/>
      <c r="R133" s="6541">
        <v>6156</v>
      </c>
      <c r="S133" s="6542" t="s">
        <v>1244</v>
      </c>
      <c r="T133" s="6543" t="s">
        <v>939</v>
      </c>
      <c r="U133" s="6544">
        <v>2008</v>
      </c>
      <c r="V133" s="6540" t="s">
        <v>1209</v>
      </c>
      <c r="W133" s="6545">
        <v>227</v>
      </c>
      <c r="X133" s="6545">
        <v>5</v>
      </c>
      <c r="Y133" s="6545">
        <v>35856</v>
      </c>
      <c r="Z133" s="6545" t="s">
        <v>939</v>
      </c>
      <c r="AA133" s="6546">
        <v>0.15</v>
      </c>
      <c r="AB133" s="6547">
        <v>32.200000000000003</v>
      </c>
      <c r="AC133" s="6545">
        <v>390698</v>
      </c>
      <c r="AD133" s="6540" t="s">
        <v>944</v>
      </c>
      <c r="AE133" s="6540" t="s">
        <v>1259</v>
      </c>
      <c r="AF133" s="6540" t="s">
        <v>1261</v>
      </c>
      <c r="AG133" s="6540" t="s">
        <v>1262</v>
      </c>
      <c r="AH133" s="6540" t="s">
        <v>1284</v>
      </c>
      <c r="AI133" s="6540"/>
      <c r="AJ133" s="6540"/>
      <c r="AK133" s="6540"/>
      <c r="AL133" s="6540" t="s">
        <v>1303</v>
      </c>
      <c r="AM133" s="6540" t="s">
        <v>939</v>
      </c>
      <c r="AN133" s="6540" t="s">
        <v>1300</v>
      </c>
      <c r="AO133" s="6540" t="s">
        <v>1311</v>
      </c>
      <c r="AP133" s="6540" t="s">
        <v>1308</v>
      </c>
      <c r="AQ133" s="6540" t="s">
        <v>1328</v>
      </c>
      <c r="AR133" s="6543" t="s">
        <v>939</v>
      </c>
      <c r="AS133" s="6543" t="s">
        <v>939</v>
      </c>
      <c r="AT133" s="6543" t="s">
        <v>939</v>
      </c>
      <c r="AU133" s="6543"/>
      <c r="AV133" s="6540" t="s">
        <v>1339</v>
      </c>
      <c r="AW133" s="6547">
        <v>4286</v>
      </c>
      <c r="AX133" s="5133"/>
      <c r="AY133" s="5132"/>
      <c r="AZ133" s="5132"/>
      <c r="BA133" s="5132"/>
      <c r="BB133" s="5132"/>
    </row>
    <row r="134" spans="1:54" s="6520" customFormat="1" ht="12.75" customHeight="1">
      <c r="A134" s="10989" t="str">
        <f t="shared" si="10"/>
        <v>8306-06</v>
      </c>
      <c r="B134" s="10995" t="str">
        <f>+IF(A134="","",VLOOKUP(MATCH(A134,tid,0),tao,'12(id)'!$J$20,FALSE))</f>
        <v>NRG</v>
      </c>
      <c r="C134" s="10992" t="str">
        <f>+N134</f>
        <v>NH1 </v>
      </c>
      <c r="E134" s="5132"/>
      <c r="G134" s="6530">
        <v>117</v>
      </c>
      <c r="H134" s="6530">
        <v>179</v>
      </c>
      <c r="I134" s="10977">
        <v>43</v>
      </c>
      <c r="J134" s="10977">
        <v>6</v>
      </c>
      <c r="K134" s="10977">
        <f>+IF(ISNA(VLOOKUP(MATCH(P134,tfn,0),tao,'12(id)'!$K$20,FALSE)),"",IF(J134="NA","",VLOOKUP(MATCH(P134,tfn,0),tao,'12(id)'!$K$20,FALSE)+J134))</f>
        <v>8306</v>
      </c>
      <c r="L134" s="10977">
        <v>6</v>
      </c>
      <c r="M134" s="10977" t="str">
        <f t="shared" si="9"/>
        <v>8306-06</v>
      </c>
      <c r="N134" s="10980" t="str">
        <f>+IF(M134="","",VLOOKUP(MATCH(M134,tid,0),tao,'12(id)'!$Q$20,FALSE))</f>
        <v>NH1 </v>
      </c>
      <c r="O134" s="6530" t="s">
        <v>1208</v>
      </c>
      <c r="P134" s="6531" t="s">
        <v>351</v>
      </c>
      <c r="Q134" s="6531"/>
      <c r="R134" s="6532">
        <v>548</v>
      </c>
      <c r="S134" s="6533" t="s">
        <v>1233</v>
      </c>
      <c r="T134" s="6531" t="s">
        <v>1254</v>
      </c>
      <c r="U134" s="6535">
        <v>2010</v>
      </c>
      <c r="V134" s="6531" t="s">
        <v>1209</v>
      </c>
      <c r="W134" s="6536">
        <v>707</v>
      </c>
      <c r="X134" s="6536">
        <v>5</v>
      </c>
      <c r="Y134" s="6536">
        <v>32380</v>
      </c>
      <c r="Z134" s="6536" t="s">
        <v>939</v>
      </c>
      <c r="AA134" s="6537">
        <v>0.13</v>
      </c>
      <c r="AB134" s="6538">
        <v>30.6</v>
      </c>
      <c r="AC134" s="6536">
        <v>374772</v>
      </c>
      <c r="AD134" s="6531" t="s">
        <v>944</v>
      </c>
      <c r="AE134" s="6531" t="s">
        <v>1259</v>
      </c>
      <c r="AF134" s="6531" t="s">
        <v>1261</v>
      </c>
      <c r="AG134" s="6531" t="s">
        <v>1262</v>
      </c>
      <c r="AH134" s="6531" t="s">
        <v>1285</v>
      </c>
      <c r="AI134" s="6531"/>
      <c r="AJ134" s="6531"/>
      <c r="AK134" s="6531"/>
      <c r="AL134" s="6534" t="s">
        <v>1303</v>
      </c>
      <c r="AM134" s="6534" t="s">
        <v>939</v>
      </c>
      <c r="AN134" s="6534" t="s">
        <v>1300</v>
      </c>
      <c r="AO134" s="6534" t="s">
        <v>1311</v>
      </c>
      <c r="AP134" s="6534" t="s">
        <v>1308</v>
      </c>
      <c r="AQ134" s="6534" t="s">
        <v>939</v>
      </c>
      <c r="AR134" s="6534" t="s">
        <v>939</v>
      </c>
      <c r="AS134" s="6531" t="s">
        <v>1347</v>
      </c>
      <c r="AT134" s="6531" t="s">
        <v>939</v>
      </c>
      <c r="AU134" s="6531"/>
      <c r="AV134" s="6531" t="s">
        <v>1339</v>
      </c>
      <c r="AW134" s="6538">
        <v>1776</v>
      </c>
      <c r="AX134" s="5133"/>
      <c r="AY134" s="5132"/>
      <c r="AZ134" s="5132"/>
      <c r="BA134" s="5132"/>
      <c r="BB134" s="5132"/>
    </row>
    <row r="135" spans="1:54" s="6520" customFormat="1" ht="12.75" customHeight="1">
      <c r="A135" s="10990" t="str">
        <f t="shared" si="10"/>
        <v>8300-06</v>
      </c>
      <c r="B135" s="10996"/>
      <c r="C135" s="10993"/>
      <c r="E135" s="5132"/>
      <c r="G135" s="6530">
        <v>118</v>
      </c>
      <c r="H135" s="6530">
        <v>178</v>
      </c>
      <c r="I135" s="10978"/>
      <c r="J135" s="10978"/>
      <c r="K135" s="10978">
        <f>+IF(ISNA(VLOOKUP(MATCH(P135,tfn,0),tao,'12(id)'!$K$20,FALSE)),"",IF(J135="NA","",VLOOKUP(MATCH(P135,tfn,0),tao,'12(id)'!$K$20,FALSE)+J135))</f>
        <v>8300</v>
      </c>
      <c r="L135" s="10978">
        <f>+L134</f>
        <v>6</v>
      </c>
      <c r="M135" s="10978" t="str">
        <f t="shared" si="9"/>
        <v>8300-06</v>
      </c>
      <c r="N135" s="10981" t="str">
        <f>+IF(M135="","",VLOOKUP(MATCH(M135,tid,0),tao,'12(id)'!$Q$20,FALSE))</f>
        <v>CC14</v>
      </c>
      <c r="O135" s="6530" t="s">
        <v>1208</v>
      </c>
      <c r="P135" s="6531" t="s">
        <v>351</v>
      </c>
      <c r="Q135" s="6531"/>
      <c r="R135" s="6532">
        <v>548</v>
      </c>
      <c r="S135" s="6533" t="s">
        <v>1233</v>
      </c>
      <c r="T135" s="6531" t="s">
        <v>1254</v>
      </c>
      <c r="U135" s="6535">
        <v>2009</v>
      </c>
      <c r="V135" s="6531" t="s">
        <v>1209</v>
      </c>
      <c r="W135" s="6536">
        <v>219</v>
      </c>
      <c r="X135" s="6536">
        <v>5</v>
      </c>
      <c r="Y135" s="6536">
        <v>8286</v>
      </c>
      <c r="Z135" s="6536" t="s">
        <v>939</v>
      </c>
      <c r="AA135" s="6537">
        <v>0.1</v>
      </c>
      <c r="AB135" s="6538">
        <v>7.6</v>
      </c>
      <c r="AC135" s="6536">
        <v>101788</v>
      </c>
      <c r="AD135" s="6531" t="s">
        <v>944</v>
      </c>
      <c r="AE135" s="6531" t="s">
        <v>1259</v>
      </c>
      <c r="AF135" s="6531" t="s">
        <v>1261</v>
      </c>
      <c r="AG135" s="6531" t="s">
        <v>1262</v>
      </c>
      <c r="AH135" s="6531" t="s">
        <v>1285</v>
      </c>
      <c r="AI135" s="6531"/>
      <c r="AJ135" s="6531"/>
      <c r="AK135" s="6531"/>
      <c r="AL135" s="6534" t="s">
        <v>1303</v>
      </c>
      <c r="AM135" s="6534" t="s">
        <v>939</v>
      </c>
      <c r="AN135" s="6534" t="s">
        <v>1300</v>
      </c>
      <c r="AO135" s="6534" t="s">
        <v>1311</v>
      </c>
      <c r="AP135" s="6534" t="s">
        <v>1308</v>
      </c>
      <c r="AQ135" s="6534" t="s">
        <v>939</v>
      </c>
      <c r="AR135" s="6534" t="s">
        <v>939</v>
      </c>
      <c r="AS135" s="6531" t="s">
        <v>1347</v>
      </c>
      <c r="AT135" s="6531" t="s">
        <v>939</v>
      </c>
      <c r="AU135" s="6531"/>
      <c r="AV135" s="6531" t="s">
        <v>1339</v>
      </c>
      <c r="AW135" s="6538">
        <v>1776</v>
      </c>
      <c r="AX135" s="5133"/>
      <c r="AY135" s="5132"/>
      <c r="AZ135" s="5132"/>
      <c r="BA135" s="5132"/>
      <c r="BB135" s="5132"/>
    </row>
    <row r="136" spans="1:54" s="6520" customFormat="1" ht="12.75" customHeight="1">
      <c r="A136" s="10991" t="str">
        <f t="shared" si="10"/>
        <v>8300-06</v>
      </c>
      <c r="B136" s="10997"/>
      <c r="C136" s="10994"/>
      <c r="E136" s="5132"/>
      <c r="G136" s="6539">
        <v>119</v>
      </c>
      <c r="H136" s="6539">
        <v>177</v>
      </c>
      <c r="I136" s="10979"/>
      <c r="J136" s="10979"/>
      <c r="K136" s="10979">
        <f>+IF(ISNA(VLOOKUP(MATCH(P136,tfn,0),tao,'12(id)'!$K$20,FALSE)),"",IF(J136="NA","",VLOOKUP(MATCH(P136,tfn,0),tao,'12(id)'!$K$20,FALSE)+J136))</f>
        <v>8300</v>
      </c>
      <c r="L136" s="10979">
        <f>+L135</f>
        <v>6</v>
      </c>
      <c r="M136" s="10979" t="str">
        <f t="shared" si="9"/>
        <v>8300-06</v>
      </c>
      <c r="N136" s="10982" t="str">
        <f>+IF(M136="","",VLOOKUP(MATCH(M136,tid,0),tao,'12(id)'!$Q$20,FALSE))</f>
        <v>CC14</v>
      </c>
      <c r="O136" s="6539" t="s">
        <v>1208</v>
      </c>
      <c r="P136" s="6540" t="s">
        <v>351</v>
      </c>
      <c r="Q136" s="6540"/>
      <c r="R136" s="6541">
        <v>548</v>
      </c>
      <c r="S136" s="6542" t="s">
        <v>1233</v>
      </c>
      <c r="T136" s="6540" t="s">
        <v>1254</v>
      </c>
      <c r="U136" s="6544">
        <v>2008</v>
      </c>
      <c r="V136" s="6540" t="s">
        <v>1209</v>
      </c>
      <c r="W136" s="6545">
        <v>829</v>
      </c>
      <c r="X136" s="6545">
        <v>5</v>
      </c>
      <c r="Y136" s="6545">
        <v>48368</v>
      </c>
      <c r="Z136" s="6545" t="s">
        <v>939</v>
      </c>
      <c r="AA136" s="6546">
        <v>0.14000000000000001</v>
      </c>
      <c r="AB136" s="6547">
        <v>49.5</v>
      </c>
      <c r="AC136" s="6545">
        <v>624903</v>
      </c>
      <c r="AD136" s="6540" t="s">
        <v>944</v>
      </c>
      <c r="AE136" s="6540" t="s">
        <v>1259</v>
      </c>
      <c r="AF136" s="6540" t="s">
        <v>1261</v>
      </c>
      <c r="AG136" s="6540" t="s">
        <v>1262</v>
      </c>
      <c r="AH136" s="6540" t="s">
        <v>1285</v>
      </c>
      <c r="AI136" s="6540"/>
      <c r="AJ136" s="6540"/>
      <c r="AK136" s="6540"/>
      <c r="AL136" s="6543" t="s">
        <v>1303</v>
      </c>
      <c r="AM136" s="6543" t="s">
        <v>939</v>
      </c>
      <c r="AN136" s="6543" t="s">
        <v>1300</v>
      </c>
      <c r="AO136" s="6543" t="s">
        <v>1311</v>
      </c>
      <c r="AP136" s="6543" t="s">
        <v>1308</v>
      </c>
      <c r="AQ136" s="6543" t="s">
        <v>939</v>
      </c>
      <c r="AR136" s="6543" t="s">
        <v>939</v>
      </c>
      <c r="AS136" s="6540" t="s">
        <v>1347</v>
      </c>
      <c r="AT136" s="6540" t="s">
        <v>939</v>
      </c>
      <c r="AU136" s="6540"/>
      <c r="AV136" s="6540" t="s">
        <v>1339</v>
      </c>
      <c r="AW136" s="6547">
        <v>1776</v>
      </c>
      <c r="AX136" s="5133"/>
      <c r="AY136" s="5132"/>
      <c r="AZ136" s="5132"/>
      <c r="BA136" s="5132"/>
      <c r="BB136" s="5132"/>
    </row>
    <row r="137" spans="1:54" s="6520" customFormat="1" ht="12.75" customHeight="1">
      <c r="A137" s="10989" t="str">
        <f t="shared" si="10"/>
        <v>8300-10</v>
      </c>
      <c r="B137" s="10995" t="str">
        <f>+IF(A137="","",VLOOKUP(MATCH(A137,tid,0),tao,'12(id)'!$J$20,FALSE))</f>
        <v>NRG</v>
      </c>
      <c r="C137" s="10992" t="str">
        <f>+N137</f>
        <v>NH10</v>
      </c>
      <c r="E137" s="5132"/>
      <c r="G137" s="6530">
        <v>120</v>
      </c>
      <c r="H137" s="6530">
        <v>182</v>
      </c>
      <c r="I137" s="10977">
        <v>44</v>
      </c>
      <c r="J137" s="10977"/>
      <c r="K137" s="10977">
        <f>+IF(ISNA(VLOOKUP(MATCH(P137,tfn,0),tao,'12(id)'!$K$20,FALSE)),"",IF(J137="NA","",VLOOKUP(MATCH(P137,tfn,0),tao,'12(id)'!$K$20,FALSE)+J137))</f>
        <v>8300</v>
      </c>
      <c r="L137" s="10977">
        <v>10</v>
      </c>
      <c r="M137" s="10977" t="str">
        <f t="shared" si="9"/>
        <v>8300-10</v>
      </c>
      <c r="N137" s="10980" t="str">
        <f>+IF(M137="","",VLOOKUP(MATCH(M137,tid,0),tao,'12(id)'!$Q$20,FALSE))</f>
        <v>NH10</v>
      </c>
      <c r="O137" s="6530" t="s">
        <v>1208</v>
      </c>
      <c r="P137" s="6531" t="s">
        <v>351</v>
      </c>
      <c r="Q137" s="6531"/>
      <c r="R137" s="6532">
        <v>548</v>
      </c>
      <c r="S137" s="6533" t="s">
        <v>1215</v>
      </c>
      <c r="T137" s="6534" t="s">
        <v>939</v>
      </c>
      <c r="U137" s="6535">
        <v>2010</v>
      </c>
      <c r="V137" s="6531" t="s">
        <v>1209</v>
      </c>
      <c r="W137" s="6536">
        <v>21</v>
      </c>
      <c r="X137" s="6536">
        <v>5</v>
      </c>
      <c r="Y137" s="6536">
        <v>204</v>
      </c>
      <c r="Z137" s="6536" t="s">
        <v>939</v>
      </c>
      <c r="AA137" s="6537">
        <v>1.17</v>
      </c>
      <c r="AB137" s="6538">
        <v>0</v>
      </c>
      <c r="AC137" s="6536">
        <v>13</v>
      </c>
      <c r="AD137" s="6531" t="s">
        <v>944</v>
      </c>
      <c r="AE137" s="6531" t="s">
        <v>1259</v>
      </c>
      <c r="AF137" s="6531" t="s">
        <v>1261</v>
      </c>
      <c r="AG137" s="6531" t="s">
        <v>1262</v>
      </c>
      <c r="AH137" s="6531" t="s">
        <v>1285</v>
      </c>
      <c r="AI137" s="6531"/>
      <c r="AJ137" s="6531"/>
      <c r="AK137" s="6531"/>
      <c r="AL137" s="6534" t="s">
        <v>939</v>
      </c>
      <c r="AM137" s="6534" t="s">
        <v>939</v>
      </c>
      <c r="AN137" s="6534" t="s">
        <v>1300</v>
      </c>
      <c r="AO137" s="6534" t="s">
        <v>1304</v>
      </c>
      <c r="AP137" s="6534" t="s">
        <v>1309</v>
      </c>
      <c r="AQ137" s="6534" t="s">
        <v>939</v>
      </c>
      <c r="AR137" s="6534" t="s">
        <v>939</v>
      </c>
      <c r="AS137" s="6534" t="s">
        <v>939</v>
      </c>
      <c r="AT137" s="6534" t="s">
        <v>939</v>
      </c>
      <c r="AU137" s="6534"/>
      <c r="AV137" s="6534" t="s">
        <v>939</v>
      </c>
      <c r="AW137" s="6538">
        <v>232</v>
      </c>
      <c r="AX137" s="5133"/>
      <c r="AY137" s="5132"/>
      <c r="AZ137" s="5132"/>
      <c r="BA137" s="5132"/>
      <c r="BB137" s="5132"/>
    </row>
    <row r="138" spans="1:54" s="6520" customFormat="1" ht="12.75" customHeight="1">
      <c r="A138" s="10990" t="str">
        <f t="shared" si="10"/>
        <v>8300-0</v>
      </c>
      <c r="B138" s="10996"/>
      <c r="C138" s="10993"/>
      <c r="E138" s="5132"/>
      <c r="G138" s="6530">
        <v>121</v>
      </c>
      <c r="H138" s="6530">
        <v>181</v>
      </c>
      <c r="I138" s="10978"/>
      <c r="J138" s="10978"/>
      <c r="K138" s="10978">
        <f>+IF(ISNA(VLOOKUP(MATCH(P138,tfn,0),tao,'12(id)'!$K$20,FALSE)),"",IF(J138="NA","",VLOOKUP(MATCH(P138,tfn,0),tao,'12(id)'!$K$20,FALSE)+J138))</f>
        <v>8300</v>
      </c>
      <c r="L138" s="10978"/>
      <c r="M138" s="10978" t="str">
        <f t="shared" si="9"/>
        <v>8300-0</v>
      </c>
      <c r="N138" s="10981" t="e">
        <f>+IF(M138="","",VLOOKUP(MATCH(M138,tid,0),tao,'12(id)'!$Q$20,FALSE))</f>
        <v>#N/A</v>
      </c>
      <c r="O138" s="6530" t="s">
        <v>1208</v>
      </c>
      <c r="P138" s="6531" t="s">
        <v>351</v>
      </c>
      <c r="Q138" s="6531"/>
      <c r="R138" s="6532">
        <v>548</v>
      </c>
      <c r="S138" s="6533" t="s">
        <v>1215</v>
      </c>
      <c r="T138" s="6534" t="s">
        <v>939</v>
      </c>
      <c r="U138" s="6535">
        <v>2009</v>
      </c>
      <c r="V138" s="6531" t="s">
        <v>1209</v>
      </c>
      <c r="W138" s="6536">
        <v>6</v>
      </c>
      <c r="X138" s="6536">
        <v>5</v>
      </c>
      <c r="Y138" s="6536">
        <v>55</v>
      </c>
      <c r="Z138" s="6536" t="s">
        <v>939</v>
      </c>
      <c r="AA138" s="6537">
        <v>1.17</v>
      </c>
      <c r="AB138" s="6538">
        <v>0</v>
      </c>
      <c r="AC138" s="6536">
        <v>4</v>
      </c>
      <c r="AD138" s="6531" t="s">
        <v>944</v>
      </c>
      <c r="AE138" s="6531" t="s">
        <v>1259</v>
      </c>
      <c r="AF138" s="6531" t="s">
        <v>1261</v>
      </c>
      <c r="AG138" s="6531" t="s">
        <v>1262</v>
      </c>
      <c r="AH138" s="6531" t="s">
        <v>1285</v>
      </c>
      <c r="AI138" s="6531"/>
      <c r="AJ138" s="6531"/>
      <c r="AK138" s="6531"/>
      <c r="AL138" s="6534" t="s">
        <v>939</v>
      </c>
      <c r="AM138" s="6534" t="s">
        <v>939</v>
      </c>
      <c r="AN138" s="6534" t="s">
        <v>1300</v>
      </c>
      <c r="AO138" s="6534" t="s">
        <v>1304</v>
      </c>
      <c r="AP138" s="6534" t="s">
        <v>1309</v>
      </c>
      <c r="AQ138" s="6534" t="s">
        <v>939</v>
      </c>
      <c r="AR138" s="6534" t="s">
        <v>939</v>
      </c>
      <c r="AS138" s="6534" t="s">
        <v>939</v>
      </c>
      <c r="AT138" s="6534" t="s">
        <v>939</v>
      </c>
      <c r="AU138" s="6534"/>
      <c r="AV138" s="6534" t="s">
        <v>939</v>
      </c>
      <c r="AW138" s="6538">
        <v>232</v>
      </c>
      <c r="AX138" s="5133"/>
      <c r="AY138" s="5132"/>
      <c r="AZ138" s="5132"/>
      <c r="BA138" s="5132"/>
      <c r="BB138" s="5132"/>
    </row>
    <row r="139" spans="1:54" s="6520" customFormat="1" ht="12.75" customHeight="1">
      <c r="A139" s="10991" t="str">
        <f t="shared" ref="A139:A170" si="12">+IF(M139="","",M139)</f>
        <v>8300-0</v>
      </c>
      <c r="B139" s="10997"/>
      <c r="C139" s="10994"/>
      <c r="E139" s="5132"/>
      <c r="G139" s="6539">
        <v>122</v>
      </c>
      <c r="H139" s="6539">
        <v>180</v>
      </c>
      <c r="I139" s="10979"/>
      <c r="J139" s="10979"/>
      <c r="K139" s="10979">
        <f>+IF(ISNA(VLOOKUP(MATCH(P139,tfn,0),tao,'12(id)'!$K$20,FALSE)),"",IF(J139="NA","",VLOOKUP(MATCH(P139,tfn,0),tao,'12(id)'!$K$20,FALSE)+J139))</f>
        <v>8300</v>
      </c>
      <c r="L139" s="10979"/>
      <c r="M139" s="10979" t="str">
        <f t="shared" si="9"/>
        <v>8300-0</v>
      </c>
      <c r="N139" s="10982" t="e">
        <f>+IF(M139="","",VLOOKUP(MATCH(M139,tid,0),tao,'12(id)'!$Q$20,FALSE))</f>
        <v>#N/A</v>
      </c>
      <c r="O139" s="6539" t="s">
        <v>1208</v>
      </c>
      <c r="P139" s="6540" t="s">
        <v>351</v>
      </c>
      <c r="Q139" s="6540"/>
      <c r="R139" s="6541">
        <v>548</v>
      </c>
      <c r="S139" s="6542" t="s">
        <v>1215</v>
      </c>
      <c r="T139" s="6543" t="s">
        <v>939</v>
      </c>
      <c r="U139" s="6544">
        <v>2008</v>
      </c>
      <c r="V139" s="6540" t="s">
        <v>1209</v>
      </c>
      <c r="W139" s="6545">
        <v>8</v>
      </c>
      <c r="X139" s="6545">
        <v>5</v>
      </c>
      <c r="Y139" s="6545">
        <v>67</v>
      </c>
      <c r="Z139" s="6545" t="s">
        <v>939</v>
      </c>
      <c r="AA139" s="6546">
        <v>1.18</v>
      </c>
      <c r="AB139" s="6547">
        <v>0.3</v>
      </c>
      <c r="AC139" s="6545">
        <v>468</v>
      </c>
      <c r="AD139" s="6540" t="s">
        <v>944</v>
      </c>
      <c r="AE139" s="6540" t="s">
        <v>1259</v>
      </c>
      <c r="AF139" s="6540" t="s">
        <v>1261</v>
      </c>
      <c r="AG139" s="6540" t="s">
        <v>1262</v>
      </c>
      <c r="AH139" s="6540" t="s">
        <v>1285</v>
      </c>
      <c r="AI139" s="6540"/>
      <c r="AJ139" s="6540"/>
      <c r="AK139" s="6540"/>
      <c r="AL139" s="6543" t="s">
        <v>939</v>
      </c>
      <c r="AM139" s="6543" t="s">
        <v>939</v>
      </c>
      <c r="AN139" s="6543" t="s">
        <v>1300</v>
      </c>
      <c r="AO139" s="6543" t="s">
        <v>1304</v>
      </c>
      <c r="AP139" s="6543" t="s">
        <v>1309</v>
      </c>
      <c r="AQ139" s="6543" t="s">
        <v>939</v>
      </c>
      <c r="AR139" s="6543" t="s">
        <v>939</v>
      </c>
      <c r="AS139" s="6543" t="s">
        <v>939</v>
      </c>
      <c r="AT139" s="6543" t="s">
        <v>939</v>
      </c>
      <c r="AU139" s="6543"/>
      <c r="AV139" s="6543" t="s">
        <v>939</v>
      </c>
      <c r="AW139" s="6547">
        <v>232</v>
      </c>
      <c r="AX139" s="5133"/>
      <c r="AY139" s="5132"/>
      <c r="AZ139" s="5132"/>
      <c r="BA139" s="5132"/>
      <c r="BB139" s="5132"/>
    </row>
    <row r="140" spans="1:54" s="6520" customFormat="1" ht="12.75" customHeight="1">
      <c r="A140" s="10989" t="str">
        <f t="shared" si="12"/>
        <v>8306-07</v>
      </c>
      <c r="B140" s="10995" t="str">
        <f>+IF(A140="","",VLOOKUP(MATCH(A140,tid,0),tao,'12(id)'!$J$20,FALSE))</f>
        <v>NRG</v>
      </c>
      <c r="C140" s="10992" t="str">
        <f>+N140</f>
        <v>NH2 </v>
      </c>
      <c r="E140" s="5132"/>
      <c r="G140" s="6530">
        <v>123</v>
      </c>
      <c r="H140" s="6530">
        <v>185</v>
      </c>
      <c r="I140" s="10977">
        <v>45</v>
      </c>
      <c r="J140" s="10977">
        <v>6</v>
      </c>
      <c r="K140" s="10977">
        <f>+IF(ISNA(VLOOKUP(MATCH(P140,tfn,0),tao,'12(id)'!$K$20,FALSE)),"",IF(J140="NA","",VLOOKUP(MATCH(P140,tfn,0),tao,'12(id)'!$K$20,FALSE)+J140))</f>
        <v>8306</v>
      </c>
      <c r="L140" s="10977">
        <v>7</v>
      </c>
      <c r="M140" s="10977" t="str">
        <f t="shared" si="9"/>
        <v>8306-07</v>
      </c>
      <c r="N140" s="10980" t="str">
        <f>+IF(M140="","",VLOOKUP(MATCH(M140,tid,0),tao,'12(id)'!$Q$20,FALSE))</f>
        <v>NH2 </v>
      </c>
      <c r="O140" s="6530" t="s">
        <v>1208</v>
      </c>
      <c r="P140" s="6531" t="s">
        <v>351</v>
      </c>
      <c r="Q140" s="6531"/>
      <c r="R140" s="6532">
        <v>548</v>
      </c>
      <c r="S140" s="6533" t="s">
        <v>1237</v>
      </c>
      <c r="T140" s="6531" t="s">
        <v>1254</v>
      </c>
      <c r="U140" s="6535">
        <v>2010</v>
      </c>
      <c r="V140" s="6531" t="s">
        <v>1209</v>
      </c>
      <c r="W140" s="6536">
        <v>711</v>
      </c>
      <c r="X140" s="6536">
        <v>5</v>
      </c>
      <c r="Y140" s="6536">
        <v>35972</v>
      </c>
      <c r="Z140" s="6536" t="s">
        <v>939</v>
      </c>
      <c r="AA140" s="6537">
        <v>0.13</v>
      </c>
      <c r="AB140" s="6538">
        <v>34.299999999999997</v>
      </c>
      <c r="AC140" s="6536">
        <v>420206</v>
      </c>
      <c r="AD140" s="6531" t="s">
        <v>944</v>
      </c>
      <c r="AE140" s="6531" t="s">
        <v>1259</v>
      </c>
      <c r="AF140" s="6531" t="s">
        <v>1261</v>
      </c>
      <c r="AG140" s="6531" t="s">
        <v>1262</v>
      </c>
      <c r="AH140" s="6531" t="s">
        <v>1285</v>
      </c>
      <c r="AI140" s="6531"/>
      <c r="AJ140" s="6531"/>
      <c r="AK140" s="6531"/>
      <c r="AL140" s="6534" t="s">
        <v>1303</v>
      </c>
      <c r="AM140" s="6534" t="s">
        <v>939</v>
      </c>
      <c r="AN140" s="6534" t="s">
        <v>1300</v>
      </c>
      <c r="AO140" s="6534" t="s">
        <v>1311</v>
      </c>
      <c r="AP140" s="6534" t="s">
        <v>1308</v>
      </c>
      <c r="AQ140" s="6534" t="s">
        <v>939</v>
      </c>
      <c r="AR140" s="6534" t="s">
        <v>939</v>
      </c>
      <c r="AS140" s="6531" t="s">
        <v>1347</v>
      </c>
      <c r="AT140" s="6531" t="s">
        <v>939</v>
      </c>
      <c r="AU140" s="6531"/>
      <c r="AV140" s="6531" t="s">
        <v>1339</v>
      </c>
      <c r="AW140" s="6538">
        <v>1776</v>
      </c>
      <c r="AX140" s="5133"/>
      <c r="AY140" s="5132"/>
      <c r="AZ140" s="5132"/>
      <c r="BA140" s="5132"/>
      <c r="BB140" s="5132"/>
    </row>
    <row r="141" spans="1:54" s="6520" customFormat="1" ht="12.75" customHeight="1">
      <c r="A141" s="10990" t="str">
        <f t="shared" si="12"/>
        <v>8300-07</v>
      </c>
      <c r="B141" s="10996"/>
      <c r="C141" s="10993"/>
      <c r="E141" s="5132"/>
      <c r="G141" s="6530">
        <v>124</v>
      </c>
      <c r="H141" s="6530">
        <v>184</v>
      </c>
      <c r="I141" s="10978"/>
      <c r="J141" s="10978"/>
      <c r="K141" s="10978">
        <f>+IF(ISNA(VLOOKUP(MATCH(P141,tfn,0),tao,'12(id)'!$K$20,FALSE)),"",IF(J141="NA","",VLOOKUP(MATCH(P141,tfn,0),tao,'12(id)'!$K$20,FALSE)+J141))</f>
        <v>8300</v>
      </c>
      <c r="L141" s="10978">
        <f>+L140</f>
        <v>7</v>
      </c>
      <c r="M141" s="10978" t="str">
        <f t="shared" si="9"/>
        <v>8300-07</v>
      </c>
      <c r="N141" s="10981" t="str">
        <f>+IF(M141="","",VLOOKUP(MATCH(M141,tid,0),tao,'12(id)'!$Q$20,FALSE))</f>
        <v>FD10</v>
      </c>
      <c r="O141" s="6530" t="s">
        <v>1208</v>
      </c>
      <c r="P141" s="6531" t="s">
        <v>351</v>
      </c>
      <c r="Q141" s="6531"/>
      <c r="R141" s="6532">
        <v>548</v>
      </c>
      <c r="S141" s="6533" t="s">
        <v>1237</v>
      </c>
      <c r="T141" s="6531" t="s">
        <v>1254</v>
      </c>
      <c r="U141" s="6535">
        <v>2009</v>
      </c>
      <c r="V141" s="6531" t="s">
        <v>1209</v>
      </c>
      <c r="W141" s="6536">
        <v>184</v>
      </c>
      <c r="X141" s="6536">
        <v>5</v>
      </c>
      <c r="Y141" s="6536">
        <v>10175</v>
      </c>
      <c r="Z141" s="6536" t="s">
        <v>939</v>
      </c>
      <c r="AA141" s="6537">
        <v>0.13</v>
      </c>
      <c r="AB141" s="6538">
        <v>9.1</v>
      </c>
      <c r="AC141" s="6536">
        <v>123688</v>
      </c>
      <c r="AD141" s="6531" t="s">
        <v>944</v>
      </c>
      <c r="AE141" s="6531" t="s">
        <v>1259</v>
      </c>
      <c r="AF141" s="6531" t="s">
        <v>1261</v>
      </c>
      <c r="AG141" s="6531" t="s">
        <v>1262</v>
      </c>
      <c r="AH141" s="6531" t="s">
        <v>1285</v>
      </c>
      <c r="AI141" s="6531"/>
      <c r="AJ141" s="6531"/>
      <c r="AK141" s="6531"/>
      <c r="AL141" s="6534" t="s">
        <v>1303</v>
      </c>
      <c r="AM141" s="6534" t="s">
        <v>939</v>
      </c>
      <c r="AN141" s="6534" t="s">
        <v>1300</v>
      </c>
      <c r="AO141" s="6534" t="s">
        <v>1311</v>
      </c>
      <c r="AP141" s="6534" t="s">
        <v>1308</v>
      </c>
      <c r="AQ141" s="6534" t="s">
        <v>939</v>
      </c>
      <c r="AR141" s="6534" t="s">
        <v>939</v>
      </c>
      <c r="AS141" s="6531" t="s">
        <v>1347</v>
      </c>
      <c r="AT141" s="6531" t="s">
        <v>939</v>
      </c>
      <c r="AU141" s="6531"/>
      <c r="AV141" s="6531" t="s">
        <v>1339</v>
      </c>
      <c r="AW141" s="6538">
        <v>1776</v>
      </c>
      <c r="AX141" s="5133"/>
      <c r="AY141" s="5132"/>
      <c r="AZ141" s="5132"/>
      <c r="BA141" s="5132"/>
      <c r="BB141" s="5132"/>
    </row>
    <row r="142" spans="1:54" s="6520" customFormat="1" ht="12.75" customHeight="1">
      <c r="A142" s="10991" t="str">
        <f t="shared" si="12"/>
        <v>8300-07</v>
      </c>
      <c r="B142" s="10997"/>
      <c r="C142" s="10994"/>
      <c r="E142" s="5132"/>
      <c r="G142" s="6539">
        <v>125</v>
      </c>
      <c r="H142" s="6539">
        <v>183</v>
      </c>
      <c r="I142" s="10979"/>
      <c r="J142" s="10979"/>
      <c r="K142" s="10979">
        <f>+IF(ISNA(VLOOKUP(MATCH(P142,tfn,0),tao,'12(id)'!$K$20,FALSE)),"",IF(J142="NA","",VLOOKUP(MATCH(P142,tfn,0),tao,'12(id)'!$K$20,FALSE)+J142))</f>
        <v>8300</v>
      </c>
      <c r="L142" s="10979">
        <f>+L141</f>
        <v>7</v>
      </c>
      <c r="M142" s="10979" t="str">
        <f t="shared" si="9"/>
        <v>8300-07</v>
      </c>
      <c r="N142" s="10982" t="str">
        <f>+IF(M142="","",VLOOKUP(MATCH(M142,tid,0),tao,'12(id)'!$Q$20,FALSE))</f>
        <v>FD10</v>
      </c>
      <c r="O142" s="6539" t="s">
        <v>1208</v>
      </c>
      <c r="P142" s="6540" t="s">
        <v>351</v>
      </c>
      <c r="Q142" s="6540"/>
      <c r="R142" s="6541">
        <v>548</v>
      </c>
      <c r="S142" s="6542" t="s">
        <v>1237</v>
      </c>
      <c r="T142" s="6540" t="s">
        <v>1254</v>
      </c>
      <c r="U142" s="6544">
        <v>2008</v>
      </c>
      <c r="V142" s="6540" t="s">
        <v>1209</v>
      </c>
      <c r="W142" s="6545">
        <v>1523</v>
      </c>
      <c r="X142" s="6545">
        <v>5</v>
      </c>
      <c r="Y142" s="6545">
        <v>75250</v>
      </c>
      <c r="Z142" s="6545" t="s">
        <v>939</v>
      </c>
      <c r="AA142" s="6546">
        <v>0.13</v>
      </c>
      <c r="AB142" s="6547">
        <v>76.7</v>
      </c>
      <c r="AC142" s="6545">
        <v>1027131</v>
      </c>
      <c r="AD142" s="6540" t="s">
        <v>944</v>
      </c>
      <c r="AE142" s="6540" t="s">
        <v>1259</v>
      </c>
      <c r="AF142" s="6540" t="s">
        <v>1261</v>
      </c>
      <c r="AG142" s="6540" t="s">
        <v>1262</v>
      </c>
      <c r="AH142" s="6540" t="s">
        <v>1285</v>
      </c>
      <c r="AI142" s="6540"/>
      <c r="AJ142" s="6540"/>
      <c r="AK142" s="6540"/>
      <c r="AL142" s="6543" t="s">
        <v>1303</v>
      </c>
      <c r="AM142" s="6543" t="s">
        <v>939</v>
      </c>
      <c r="AN142" s="6543" t="s">
        <v>1300</v>
      </c>
      <c r="AO142" s="6543" t="s">
        <v>1311</v>
      </c>
      <c r="AP142" s="6543" t="s">
        <v>1308</v>
      </c>
      <c r="AQ142" s="6543" t="s">
        <v>939</v>
      </c>
      <c r="AR142" s="6543" t="s">
        <v>939</v>
      </c>
      <c r="AS142" s="6540" t="s">
        <v>1347</v>
      </c>
      <c r="AT142" s="6540" t="s">
        <v>939</v>
      </c>
      <c r="AU142" s="6540"/>
      <c r="AV142" s="6540" t="s">
        <v>1339</v>
      </c>
      <c r="AW142" s="6547">
        <v>1776</v>
      </c>
      <c r="AX142" s="5133"/>
      <c r="AY142" s="5132"/>
      <c r="AZ142" s="5132"/>
      <c r="BA142" s="5132"/>
      <c r="BB142" s="5132"/>
    </row>
    <row r="143" spans="1:54" s="6520" customFormat="1" ht="12.75" customHeight="1">
      <c r="A143" s="10989" t="str">
        <f t="shared" si="12"/>
        <v>8304-01</v>
      </c>
      <c r="B143" s="10995" t="str">
        <f>+IF(A143="","",VLOOKUP(MATCH(A143,tid,0),tao,'12(id)'!$J$20,FALSE))</f>
        <v>NPU</v>
      </c>
      <c r="C143" s="10992" t="str">
        <f>+N143</f>
        <v>TRBINE</v>
      </c>
      <c r="E143" s="5132"/>
      <c r="G143" s="6530">
        <v>126</v>
      </c>
      <c r="H143" s="6530">
        <v>188</v>
      </c>
      <c r="I143" s="10977">
        <v>46</v>
      </c>
      <c r="J143" s="10977"/>
      <c r="K143" s="10977">
        <f>+IF(ISNA(VLOOKUP(MATCH(P143,tfn,0),tao,'12(id)'!$K$20,FALSE)),"",IF(J143="NA","",VLOOKUP(MATCH(P143,tfn,0),tao,'12(id)'!$K$20,FALSE)+J143))</f>
        <v>8304</v>
      </c>
      <c r="L143" s="10977">
        <v>1</v>
      </c>
      <c r="M143" s="10977" t="str">
        <f t="shared" si="9"/>
        <v>8304-01</v>
      </c>
      <c r="N143" s="10980" t="str">
        <f>+IF(M143="","",VLOOKUP(MATCH(M143,tid,0),tao,'12(id)'!$Q$20,FALSE))</f>
        <v>TRBINE</v>
      </c>
      <c r="O143" s="6530" t="s">
        <v>1208</v>
      </c>
      <c r="P143" s="6531" t="s">
        <v>496</v>
      </c>
      <c r="Q143" s="6531"/>
      <c r="R143" s="6532">
        <v>581</v>
      </c>
      <c r="S143" s="6533" t="s">
        <v>1245</v>
      </c>
      <c r="T143" s="6534" t="s">
        <v>939</v>
      </c>
      <c r="U143" s="6535">
        <v>2010</v>
      </c>
      <c r="V143" s="6531" t="s">
        <v>1209</v>
      </c>
      <c r="W143" s="6536">
        <v>19</v>
      </c>
      <c r="X143" s="6536">
        <v>5</v>
      </c>
      <c r="Y143" s="6536">
        <v>327</v>
      </c>
      <c r="Z143" s="6536" t="s">
        <v>939</v>
      </c>
      <c r="AA143" s="6537">
        <v>0.62</v>
      </c>
      <c r="AB143" s="6538">
        <v>1.5</v>
      </c>
      <c r="AC143" s="6536">
        <v>4811</v>
      </c>
      <c r="AD143" s="6531" t="s">
        <v>944</v>
      </c>
      <c r="AE143" s="6531" t="s">
        <v>1259</v>
      </c>
      <c r="AF143" s="6531" t="s">
        <v>1261</v>
      </c>
      <c r="AG143" s="6531" t="s">
        <v>1262</v>
      </c>
      <c r="AH143" s="6531" t="s">
        <v>1286</v>
      </c>
      <c r="AI143" s="6531"/>
      <c r="AJ143" s="6531"/>
      <c r="AK143" s="6531"/>
      <c r="AL143" s="6534" t="s">
        <v>939</v>
      </c>
      <c r="AM143" s="6534" t="s">
        <v>939</v>
      </c>
      <c r="AN143" s="6534" t="s">
        <v>1300</v>
      </c>
      <c r="AO143" s="6534" t="s">
        <v>1304</v>
      </c>
      <c r="AP143" s="6534" t="s">
        <v>1306</v>
      </c>
      <c r="AQ143" s="6534" t="s">
        <v>939</v>
      </c>
      <c r="AR143" s="6534" t="s">
        <v>939</v>
      </c>
      <c r="AS143" s="6534" t="s">
        <v>939</v>
      </c>
      <c r="AT143" s="6534" t="s">
        <v>939</v>
      </c>
      <c r="AU143" s="6534"/>
      <c r="AV143" s="6534" t="s">
        <v>939</v>
      </c>
      <c r="AW143" s="6538">
        <v>249</v>
      </c>
      <c r="AX143" s="5133"/>
      <c r="AY143" s="5132"/>
      <c r="AZ143" s="5132"/>
      <c r="BA143" s="5132"/>
      <c r="BB143" s="5132"/>
    </row>
    <row r="144" spans="1:54" s="6520" customFormat="1" ht="12.75" customHeight="1">
      <c r="A144" s="10990" t="str">
        <f t="shared" si="12"/>
        <v>8304-01</v>
      </c>
      <c r="B144" s="10996"/>
      <c r="C144" s="10993"/>
      <c r="E144" s="5132"/>
      <c r="G144" s="6530">
        <v>127</v>
      </c>
      <c r="H144" s="6530">
        <v>187</v>
      </c>
      <c r="I144" s="10978"/>
      <c r="J144" s="10978"/>
      <c r="K144" s="10978">
        <f>+IF(ISNA(VLOOKUP(MATCH(P144,tfn,0),tao,'12(id)'!$K$20,FALSE)),"",IF(J144="NA","",VLOOKUP(MATCH(P144,tfn,0),tao,'12(id)'!$K$20,FALSE)+J144))</f>
        <v>8304</v>
      </c>
      <c r="L144" s="10978">
        <f>+L143</f>
        <v>1</v>
      </c>
      <c r="M144" s="10978" t="str">
        <f t="shared" si="9"/>
        <v>8304-01</v>
      </c>
      <c r="N144" s="10981" t="str">
        <f>+IF(M144="","",VLOOKUP(MATCH(M144,tid,0),tao,'12(id)'!$Q$20,FALSE))</f>
        <v>TRBINE</v>
      </c>
      <c r="O144" s="6530" t="s">
        <v>1208</v>
      </c>
      <c r="P144" s="6531" t="s">
        <v>496</v>
      </c>
      <c r="Q144" s="6531"/>
      <c r="R144" s="6532">
        <v>581</v>
      </c>
      <c r="S144" s="6533" t="s">
        <v>1245</v>
      </c>
      <c r="T144" s="6534" t="s">
        <v>939</v>
      </c>
      <c r="U144" s="6535">
        <v>2009</v>
      </c>
      <c r="V144" s="6531" t="s">
        <v>1209</v>
      </c>
      <c r="W144" s="6536">
        <v>15</v>
      </c>
      <c r="X144" s="6536">
        <v>5</v>
      </c>
      <c r="Y144" s="6536">
        <v>225</v>
      </c>
      <c r="Z144" s="6536" t="s">
        <v>939</v>
      </c>
      <c r="AA144" s="6537">
        <v>0.62</v>
      </c>
      <c r="AB144" s="6538">
        <v>1.2</v>
      </c>
      <c r="AC144" s="6536">
        <v>3782</v>
      </c>
      <c r="AD144" s="6531" t="s">
        <v>944</v>
      </c>
      <c r="AE144" s="6531" t="s">
        <v>1259</v>
      </c>
      <c r="AF144" s="6531" t="s">
        <v>1261</v>
      </c>
      <c r="AG144" s="6531" t="s">
        <v>1262</v>
      </c>
      <c r="AH144" s="6531" t="s">
        <v>1286</v>
      </c>
      <c r="AI144" s="6531"/>
      <c r="AJ144" s="6531"/>
      <c r="AK144" s="6531"/>
      <c r="AL144" s="6534" t="s">
        <v>939</v>
      </c>
      <c r="AM144" s="6534" t="s">
        <v>939</v>
      </c>
      <c r="AN144" s="6534" t="s">
        <v>1300</v>
      </c>
      <c r="AO144" s="6534" t="s">
        <v>1304</v>
      </c>
      <c r="AP144" s="6534" t="s">
        <v>1306</v>
      </c>
      <c r="AQ144" s="6534" t="s">
        <v>939</v>
      </c>
      <c r="AR144" s="6534" t="s">
        <v>939</v>
      </c>
      <c r="AS144" s="6534" t="s">
        <v>939</v>
      </c>
      <c r="AT144" s="6534" t="s">
        <v>939</v>
      </c>
      <c r="AU144" s="6534"/>
      <c r="AV144" s="6534" t="s">
        <v>939</v>
      </c>
      <c r="AW144" s="6538">
        <v>249</v>
      </c>
      <c r="AX144" s="5133"/>
      <c r="AY144" s="5132"/>
      <c r="AZ144" s="5132"/>
      <c r="BA144" s="5132"/>
      <c r="BB144" s="5132"/>
    </row>
    <row r="145" spans="1:54" s="6520" customFormat="1" ht="12.75" customHeight="1">
      <c r="A145" s="10991" t="str">
        <f t="shared" si="12"/>
        <v>8304-01</v>
      </c>
      <c r="B145" s="10997"/>
      <c r="C145" s="10994"/>
      <c r="E145" s="5132"/>
      <c r="G145" s="6539">
        <v>128</v>
      </c>
      <c r="H145" s="6539">
        <v>186</v>
      </c>
      <c r="I145" s="10979"/>
      <c r="J145" s="10979"/>
      <c r="K145" s="10979">
        <f>+IF(ISNA(VLOOKUP(MATCH(P145,tfn,0),tao,'12(id)'!$K$20,FALSE)),"",IF(J145="NA","",VLOOKUP(MATCH(P145,tfn,0),tao,'12(id)'!$K$20,FALSE)+J145))</f>
        <v>8304</v>
      </c>
      <c r="L145" s="10979">
        <f>+L144</f>
        <v>1</v>
      </c>
      <c r="M145" s="10979" t="str">
        <f t="shared" si="9"/>
        <v>8304-01</v>
      </c>
      <c r="N145" s="10982" t="str">
        <f>+IF(M145="","",VLOOKUP(MATCH(M145,tid,0),tao,'12(id)'!$Q$20,FALSE))</f>
        <v>TRBINE</v>
      </c>
      <c r="O145" s="6539" t="s">
        <v>1208</v>
      </c>
      <c r="P145" s="6540" t="s">
        <v>496</v>
      </c>
      <c r="Q145" s="6540"/>
      <c r="R145" s="6541">
        <v>581</v>
      </c>
      <c r="S145" s="6542" t="s">
        <v>1245</v>
      </c>
      <c r="T145" s="6543" t="s">
        <v>939</v>
      </c>
      <c r="U145" s="6544">
        <v>2008</v>
      </c>
      <c r="V145" s="6540" t="s">
        <v>1209</v>
      </c>
      <c r="W145" s="6545">
        <v>10</v>
      </c>
      <c r="X145" s="6545">
        <v>5</v>
      </c>
      <c r="Y145" s="6545">
        <v>151</v>
      </c>
      <c r="Z145" s="6545" t="s">
        <v>939</v>
      </c>
      <c r="AA145" s="6546">
        <v>0.56999999999999995</v>
      </c>
      <c r="AB145" s="6547">
        <v>0.7</v>
      </c>
      <c r="AC145" s="6545">
        <v>2595</v>
      </c>
      <c r="AD145" s="6540" t="s">
        <v>944</v>
      </c>
      <c r="AE145" s="6540" t="s">
        <v>1259</v>
      </c>
      <c r="AF145" s="6540" t="s">
        <v>1261</v>
      </c>
      <c r="AG145" s="6540" t="s">
        <v>1262</v>
      </c>
      <c r="AH145" s="6540" t="s">
        <v>1286</v>
      </c>
      <c r="AI145" s="6540"/>
      <c r="AJ145" s="6540"/>
      <c r="AK145" s="6540"/>
      <c r="AL145" s="6543" t="s">
        <v>939</v>
      </c>
      <c r="AM145" s="6543" t="s">
        <v>939</v>
      </c>
      <c r="AN145" s="6543" t="s">
        <v>1300</v>
      </c>
      <c r="AO145" s="6543" t="s">
        <v>1304</v>
      </c>
      <c r="AP145" s="6543" t="s">
        <v>1306</v>
      </c>
      <c r="AQ145" s="6543" t="s">
        <v>939</v>
      </c>
      <c r="AR145" s="6543" t="s">
        <v>939</v>
      </c>
      <c r="AS145" s="6543" t="s">
        <v>939</v>
      </c>
      <c r="AT145" s="6543" t="s">
        <v>939</v>
      </c>
      <c r="AU145" s="6543"/>
      <c r="AV145" s="6543" t="s">
        <v>939</v>
      </c>
      <c r="AW145" s="6547">
        <v>249</v>
      </c>
      <c r="AX145" s="5133"/>
      <c r="AY145" s="5132"/>
      <c r="AZ145" s="5132"/>
      <c r="BA145" s="5132"/>
      <c r="BB145" s="5132"/>
    </row>
    <row r="146" spans="1:54" ht="12.75" customHeight="1">
      <c r="A146" s="6443" t="str">
        <f t="shared" si="12"/>
        <v/>
      </c>
      <c r="B146" s="6444"/>
      <c r="C146" s="6445"/>
      <c r="D146" s="5133"/>
      <c r="F146" s="5133"/>
      <c r="G146" s="6413">
        <v>129</v>
      </c>
      <c r="H146" s="6413">
        <v>191</v>
      </c>
      <c r="I146" s="10961">
        <v>47</v>
      </c>
      <c r="J146" s="10961"/>
      <c r="K146" s="10961" t="str">
        <f>+IF(ISNA(VLOOKUP(MATCH(P146,tfn,0),tao,'12(id)'!$K$20,FALSE)),"",IF(J146="NA","",VLOOKUP(MATCH(P146,tfn,0),tao,'12(id)'!$K$20,FALSE)+J146))</f>
        <v/>
      </c>
      <c r="L146" s="10961"/>
      <c r="M146" s="10961" t="str">
        <f t="shared" si="9"/>
        <v/>
      </c>
      <c r="N146" s="10944" t="str">
        <f>+IF(M146="","",VLOOKUP(MATCH(M146,tid,0),tao,'12(id)'!$Q$20,FALSE))</f>
        <v/>
      </c>
      <c r="O146" s="6413" t="s">
        <v>1208</v>
      </c>
      <c r="P146" s="6414" t="s">
        <v>352</v>
      </c>
      <c r="Q146" s="6414"/>
      <c r="R146" s="6415">
        <v>54236</v>
      </c>
      <c r="S146" s="6416" t="s">
        <v>1242</v>
      </c>
      <c r="T146" s="6421" t="s">
        <v>939</v>
      </c>
      <c r="U146" s="6417">
        <v>2010</v>
      </c>
      <c r="V146" s="6414" t="s">
        <v>1209</v>
      </c>
      <c r="W146" s="6418">
        <v>2398</v>
      </c>
      <c r="X146" s="6418">
        <v>5</v>
      </c>
      <c r="Y146" s="6418" t="s">
        <v>939</v>
      </c>
      <c r="Z146" s="6418">
        <v>271195</v>
      </c>
      <c r="AA146" s="6419">
        <v>0.12</v>
      </c>
      <c r="AB146" s="6420">
        <v>20.7</v>
      </c>
      <c r="AC146" s="6418">
        <v>329666</v>
      </c>
      <c r="AD146" s="6414" t="s">
        <v>1273</v>
      </c>
      <c r="AE146" s="6414" t="s">
        <v>1287</v>
      </c>
      <c r="AF146" s="6414" t="s">
        <v>1288</v>
      </c>
      <c r="AG146" s="6414" t="s">
        <v>1289</v>
      </c>
      <c r="AH146" s="6414" t="s">
        <v>1290</v>
      </c>
      <c r="AI146" s="6414"/>
      <c r="AJ146" s="6414"/>
      <c r="AK146" s="6414"/>
      <c r="AL146" s="6414" t="s">
        <v>939</v>
      </c>
      <c r="AM146" s="6414" t="s">
        <v>939</v>
      </c>
      <c r="AN146" s="6414" t="s">
        <v>1300</v>
      </c>
      <c r="AO146" s="6414" t="s">
        <v>1327</v>
      </c>
      <c r="AP146" s="6414" t="s">
        <v>1308</v>
      </c>
      <c r="AQ146" s="6414" t="s">
        <v>1305</v>
      </c>
      <c r="AR146" s="6421" t="s">
        <v>939</v>
      </c>
      <c r="AS146" s="6421" t="s">
        <v>939</v>
      </c>
      <c r="AT146" s="6421" t="s">
        <v>939</v>
      </c>
      <c r="AU146" s="6421"/>
      <c r="AV146" s="6421" t="s">
        <v>939</v>
      </c>
      <c r="AW146" s="6420">
        <v>501.6</v>
      </c>
      <c r="AX146" s="5133"/>
    </row>
    <row r="147" spans="1:54" ht="12.75" customHeight="1">
      <c r="A147" s="6443" t="str">
        <f t="shared" si="12"/>
        <v/>
      </c>
      <c r="B147" s="6444"/>
      <c r="C147" s="6445"/>
      <c r="D147" s="5133"/>
      <c r="F147" s="5133"/>
      <c r="G147" s="6413">
        <v>130</v>
      </c>
      <c r="H147" s="6413">
        <v>190</v>
      </c>
      <c r="I147" s="10962"/>
      <c r="J147" s="10962"/>
      <c r="K147" s="10962" t="str">
        <f>+IF(ISNA(VLOOKUP(MATCH(P147,tfn,0),tao,'12(id)'!$K$20,FALSE)),"",IF(J147="NA","",VLOOKUP(MATCH(P147,tfn,0),tao,'12(id)'!$K$20,FALSE)+J147))</f>
        <v/>
      </c>
      <c r="L147" s="10962"/>
      <c r="M147" s="10962" t="str">
        <f t="shared" si="9"/>
        <v/>
      </c>
      <c r="N147" s="10945" t="str">
        <f>+IF(M147="","",VLOOKUP(MATCH(M147,tid,0),tao,'12(id)'!$Q$20,FALSE))</f>
        <v/>
      </c>
      <c r="O147" s="6413" t="s">
        <v>1208</v>
      </c>
      <c r="P147" s="6414" t="s">
        <v>352</v>
      </c>
      <c r="Q147" s="6414"/>
      <c r="R147" s="6415">
        <v>54236</v>
      </c>
      <c r="S147" s="6416" t="s">
        <v>1242</v>
      </c>
      <c r="T147" s="6421" t="s">
        <v>939</v>
      </c>
      <c r="U147" s="6417">
        <v>2009</v>
      </c>
      <c r="V147" s="6414" t="s">
        <v>1209</v>
      </c>
      <c r="W147" s="6418">
        <v>2122</v>
      </c>
      <c r="X147" s="6418">
        <v>5</v>
      </c>
      <c r="Y147" s="6418" t="s">
        <v>939</v>
      </c>
      <c r="Z147" s="6418">
        <v>225223</v>
      </c>
      <c r="AA147" s="6419">
        <v>0.16</v>
      </c>
      <c r="AB147" s="6420">
        <v>21.8</v>
      </c>
      <c r="AC147" s="6418">
        <v>275275</v>
      </c>
      <c r="AD147" s="6414" t="s">
        <v>1273</v>
      </c>
      <c r="AE147" s="6414" t="s">
        <v>1287</v>
      </c>
      <c r="AF147" s="6414" t="s">
        <v>1288</v>
      </c>
      <c r="AG147" s="6414" t="s">
        <v>1289</v>
      </c>
      <c r="AH147" s="6414" t="s">
        <v>1290</v>
      </c>
      <c r="AI147" s="6414"/>
      <c r="AJ147" s="6414"/>
      <c r="AK147" s="6414"/>
      <c r="AL147" s="6414" t="s">
        <v>939</v>
      </c>
      <c r="AM147" s="6414" t="s">
        <v>939</v>
      </c>
      <c r="AN147" s="6414" t="s">
        <v>1300</v>
      </c>
      <c r="AO147" s="6414" t="s">
        <v>1327</v>
      </c>
      <c r="AP147" s="6414" t="s">
        <v>1308</v>
      </c>
      <c r="AQ147" s="6414" t="s">
        <v>1305</v>
      </c>
      <c r="AR147" s="6421" t="s">
        <v>939</v>
      </c>
      <c r="AS147" s="6421" t="s">
        <v>939</v>
      </c>
      <c r="AT147" s="6421" t="s">
        <v>939</v>
      </c>
      <c r="AU147" s="6421"/>
      <c r="AV147" s="6421" t="s">
        <v>939</v>
      </c>
      <c r="AW147" s="6420">
        <v>501.6</v>
      </c>
      <c r="AX147" s="5133"/>
    </row>
    <row r="148" spans="1:54" ht="12.75" customHeight="1">
      <c r="A148" s="6443" t="str">
        <f t="shared" si="12"/>
        <v/>
      </c>
      <c r="B148" s="6444"/>
      <c r="C148" s="6445"/>
      <c r="D148" s="5133"/>
      <c r="F148" s="5133"/>
      <c r="G148" s="6424">
        <v>131</v>
      </c>
      <c r="H148" s="6424">
        <v>189</v>
      </c>
      <c r="I148" s="10963"/>
      <c r="J148" s="10963"/>
      <c r="K148" s="10963" t="str">
        <f>+IF(ISNA(VLOOKUP(MATCH(P148,tfn,0),tao,'12(id)'!$K$20,FALSE)),"",IF(J148="NA","",VLOOKUP(MATCH(P148,tfn,0),tao,'12(id)'!$K$20,FALSE)+J148))</f>
        <v/>
      </c>
      <c r="L148" s="10963"/>
      <c r="M148" s="10963" t="str">
        <f t="shared" si="9"/>
        <v/>
      </c>
      <c r="N148" s="10946" t="str">
        <f>+IF(M148="","",VLOOKUP(MATCH(M148,tid,0),tao,'12(id)'!$Q$20,FALSE))</f>
        <v/>
      </c>
      <c r="O148" s="6424" t="s">
        <v>1208</v>
      </c>
      <c r="P148" s="6425" t="s">
        <v>352</v>
      </c>
      <c r="Q148" s="6425"/>
      <c r="R148" s="6426">
        <v>54236</v>
      </c>
      <c r="S148" s="6427" t="s">
        <v>1242</v>
      </c>
      <c r="T148" s="6433" t="s">
        <v>939</v>
      </c>
      <c r="U148" s="6428">
        <v>2008</v>
      </c>
      <c r="V148" s="6425" t="s">
        <v>1209</v>
      </c>
      <c r="W148" s="6429">
        <v>895</v>
      </c>
      <c r="X148" s="6429">
        <v>5</v>
      </c>
      <c r="Y148" s="6429" t="s">
        <v>939</v>
      </c>
      <c r="Z148" s="6429">
        <v>93448</v>
      </c>
      <c r="AA148" s="6430">
        <v>0.09</v>
      </c>
      <c r="AB148" s="6431">
        <v>4.9000000000000004</v>
      </c>
      <c r="AC148" s="6429">
        <v>109675</v>
      </c>
      <c r="AD148" s="6425" t="s">
        <v>1273</v>
      </c>
      <c r="AE148" s="6425" t="s">
        <v>1287</v>
      </c>
      <c r="AF148" s="6425" t="s">
        <v>1288</v>
      </c>
      <c r="AG148" s="6425" t="s">
        <v>1289</v>
      </c>
      <c r="AH148" s="6425" t="s">
        <v>1290</v>
      </c>
      <c r="AI148" s="6425"/>
      <c r="AJ148" s="6425"/>
      <c r="AK148" s="6425"/>
      <c r="AL148" s="6425" t="s">
        <v>939</v>
      </c>
      <c r="AM148" s="6425" t="s">
        <v>939</v>
      </c>
      <c r="AN148" s="6425" t="s">
        <v>1300</v>
      </c>
      <c r="AO148" s="6425" t="s">
        <v>1327</v>
      </c>
      <c r="AP148" s="6425" t="s">
        <v>1308</v>
      </c>
      <c r="AQ148" s="6425" t="s">
        <v>1305</v>
      </c>
      <c r="AR148" s="6433" t="s">
        <v>939</v>
      </c>
      <c r="AS148" s="6433" t="s">
        <v>939</v>
      </c>
      <c r="AT148" s="6433" t="s">
        <v>939</v>
      </c>
      <c r="AU148" s="6433"/>
      <c r="AV148" s="6433" t="s">
        <v>939</v>
      </c>
      <c r="AW148" s="6431">
        <v>400</v>
      </c>
      <c r="AX148" s="5133"/>
    </row>
    <row r="149" spans="1:54" ht="12.75" customHeight="1">
      <c r="A149" s="6443" t="str">
        <f t="shared" si="12"/>
        <v/>
      </c>
      <c r="B149" s="6444"/>
      <c r="C149" s="6445"/>
      <c r="D149" s="5133"/>
      <c r="F149" s="5133"/>
      <c r="G149" s="6424">
        <v>132</v>
      </c>
      <c r="H149" s="6424">
        <v>192</v>
      </c>
      <c r="I149" s="6424">
        <v>48</v>
      </c>
      <c r="J149" s="6424"/>
      <c r="K149" s="6424" t="str">
        <f>+IF(ISNA(VLOOKUP(MATCH(P149,tfn,0),tao,'12(id)'!$K$20,FALSE)),"",IF(J149="NA","",VLOOKUP(MATCH(P149,tfn,0),tao,'12(id)'!$K$20,FALSE)+J149))</f>
        <v/>
      </c>
      <c r="L149" s="6424"/>
      <c r="M149" s="6424" t="str">
        <f t="shared" si="9"/>
        <v/>
      </c>
      <c r="N149" s="6458" t="str">
        <f>+IF(M149="","",VLOOKUP(MATCH(M149,tid,0),tao,'12(id)'!$Q$20,FALSE))</f>
        <v/>
      </c>
      <c r="O149" s="6424" t="s">
        <v>1208</v>
      </c>
      <c r="P149" s="6425" t="s">
        <v>352</v>
      </c>
      <c r="Q149" s="6425"/>
      <c r="R149" s="6426">
        <v>54236</v>
      </c>
      <c r="S149" s="6427" t="s">
        <v>1246</v>
      </c>
      <c r="T149" s="6433" t="s">
        <v>939</v>
      </c>
      <c r="U149" s="6428">
        <v>2008</v>
      </c>
      <c r="V149" s="6425" t="s">
        <v>1209</v>
      </c>
      <c r="W149" s="6429">
        <v>0</v>
      </c>
      <c r="X149" s="6459">
        <v>5</v>
      </c>
      <c r="Y149" s="6459" t="s">
        <v>939</v>
      </c>
      <c r="Z149" s="6459" t="s">
        <v>939</v>
      </c>
      <c r="AA149" s="6460" t="s">
        <v>939</v>
      </c>
      <c r="AB149" s="6461" t="s">
        <v>939</v>
      </c>
      <c r="AC149" s="6459" t="s">
        <v>939</v>
      </c>
      <c r="AD149" s="6425" t="s">
        <v>1273</v>
      </c>
      <c r="AE149" s="6425" t="s">
        <v>1287</v>
      </c>
      <c r="AF149" s="6425" t="s">
        <v>1288</v>
      </c>
      <c r="AG149" s="6425" t="s">
        <v>1289</v>
      </c>
      <c r="AH149" s="6425" t="s">
        <v>1290</v>
      </c>
      <c r="AI149" s="6425"/>
      <c r="AJ149" s="6425"/>
      <c r="AK149" s="6425"/>
      <c r="AL149" s="6425" t="s">
        <v>939</v>
      </c>
      <c r="AM149" s="6425" t="s">
        <v>939</v>
      </c>
      <c r="AN149" s="6425" t="s">
        <v>1329</v>
      </c>
      <c r="AO149" s="6425" t="s">
        <v>1327</v>
      </c>
      <c r="AP149" s="6425" t="s">
        <v>1308</v>
      </c>
      <c r="AQ149" s="6425" t="s">
        <v>1305</v>
      </c>
      <c r="AR149" s="6433" t="s">
        <v>939</v>
      </c>
      <c r="AS149" s="6433" t="s">
        <v>939</v>
      </c>
      <c r="AT149" s="6433" t="s">
        <v>939</v>
      </c>
      <c r="AU149" s="6433"/>
      <c r="AV149" s="6433" t="s">
        <v>939</v>
      </c>
      <c r="AW149" s="6431">
        <v>266</v>
      </c>
      <c r="AX149" s="5133"/>
    </row>
    <row r="150" spans="1:54" ht="12.75" customHeight="1">
      <c r="A150" s="6443" t="str">
        <f t="shared" si="12"/>
        <v/>
      </c>
      <c r="B150" s="6444"/>
      <c r="C150" s="6445"/>
      <c r="D150" s="5133"/>
      <c r="F150" s="5133"/>
      <c r="G150" s="6413">
        <v>133</v>
      </c>
      <c r="H150" s="6413">
        <v>197</v>
      </c>
      <c r="I150" s="10961">
        <v>49</v>
      </c>
      <c r="J150" s="10961"/>
      <c r="K150" s="10961" t="str">
        <f>+IF(ISNA(VLOOKUP(MATCH(P150,tfn,0),tao,'12(id)'!$K$20,FALSE)),"",IF(J150="NA","",VLOOKUP(MATCH(P150,tfn,0),tao,'12(id)'!$K$20,FALSE)+J150))</f>
        <v/>
      </c>
      <c r="L150" s="10961"/>
      <c r="M150" s="10961" t="str">
        <f t="shared" si="9"/>
        <v/>
      </c>
      <c r="N150" s="10944" t="str">
        <f>+IF(M150="","",VLOOKUP(MATCH(M150,tid,0),tao,'12(id)'!$Q$20,FALSE))</f>
        <v/>
      </c>
      <c r="O150" s="6413" t="s">
        <v>1208</v>
      </c>
      <c r="P150" s="6414" t="s">
        <v>353</v>
      </c>
      <c r="Q150" s="6414"/>
      <c r="R150" s="6415">
        <v>54605</v>
      </c>
      <c r="S150" s="6416" t="s">
        <v>1247</v>
      </c>
      <c r="T150" s="6421" t="s">
        <v>939</v>
      </c>
      <c r="U150" s="6417">
        <v>2010</v>
      </c>
      <c r="V150" s="6414" t="s">
        <v>1209</v>
      </c>
      <c r="W150" s="6418">
        <v>2428</v>
      </c>
      <c r="X150" s="6418">
        <v>5</v>
      </c>
      <c r="Y150" s="6418">
        <v>59851</v>
      </c>
      <c r="Z150" s="6418" t="s">
        <v>939</v>
      </c>
      <c r="AA150" s="6419">
        <v>0.02</v>
      </c>
      <c r="AB150" s="6420">
        <v>7.1</v>
      </c>
      <c r="AC150" s="6418">
        <v>648271</v>
      </c>
      <c r="AD150" s="6414" t="s">
        <v>1273</v>
      </c>
      <c r="AE150" s="6414" t="s">
        <v>1255</v>
      </c>
      <c r="AF150" s="6414" t="s">
        <v>1291</v>
      </c>
      <c r="AG150" s="6414" t="s">
        <v>1292</v>
      </c>
      <c r="AH150" s="6414" t="s">
        <v>1293</v>
      </c>
      <c r="AI150" s="6414"/>
      <c r="AJ150" s="6414"/>
      <c r="AK150" s="6414"/>
      <c r="AL150" s="6414" t="s">
        <v>939</v>
      </c>
      <c r="AM150" s="6414" t="s">
        <v>939</v>
      </c>
      <c r="AN150" s="6414" t="s">
        <v>1300</v>
      </c>
      <c r="AO150" s="6414" t="s">
        <v>1304</v>
      </c>
      <c r="AP150" s="6414" t="s">
        <v>1305</v>
      </c>
      <c r="AQ150" s="6414" t="s">
        <v>1306</v>
      </c>
      <c r="AR150" s="6421" t="s">
        <v>939</v>
      </c>
      <c r="AS150" s="6414" t="s">
        <v>1022</v>
      </c>
      <c r="AT150" s="6414" t="s">
        <v>1338</v>
      </c>
      <c r="AU150" s="6414"/>
      <c r="AV150" s="6421" t="s">
        <v>939</v>
      </c>
      <c r="AW150" s="6420">
        <v>365.7</v>
      </c>
      <c r="AX150" s="5133"/>
    </row>
    <row r="151" spans="1:54" ht="12.75" customHeight="1">
      <c r="A151" s="6443" t="str">
        <f t="shared" si="12"/>
        <v/>
      </c>
      <c r="B151" s="6444"/>
      <c r="C151" s="6445"/>
      <c r="D151" s="5133"/>
      <c r="F151" s="5133"/>
      <c r="G151" s="6413">
        <v>134</v>
      </c>
      <c r="H151" s="6413">
        <v>195</v>
      </c>
      <c r="I151" s="10962"/>
      <c r="J151" s="10962"/>
      <c r="K151" s="10962" t="str">
        <f>+IF(ISNA(VLOOKUP(MATCH(P151,tfn,0),tao,'12(id)'!$K$20,FALSE)),"",IF(J151="NA","",VLOOKUP(MATCH(P151,tfn,0),tao,'12(id)'!$K$20,FALSE)+J151))</f>
        <v/>
      </c>
      <c r="L151" s="10962"/>
      <c r="M151" s="10962" t="str">
        <f t="shared" si="9"/>
        <v/>
      </c>
      <c r="N151" s="10945" t="str">
        <f>+IF(M151="","",VLOOKUP(MATCH(M151,tid,0),tao,'12(id)'!$Q$20,FALSE))</f>
        <v/>
      </c>
      <c r="O151" s="6413" t="s">
        <v>1208</v>
      </c>
      <c r="P151" s="6414" t="s">
        <v>353</v>
      </c>
      <c r="Q151" s="6414"/>
      <c r="R151" s="6415">
        <v>54605</v>
      </c>
      <c r="S151" s="6416" t="s">
        <v>1247</v>
      </c>
      <c r="T151" s="6421" t="s">
        <v>939</v>
      </c>
      <c r="U151" s="6417">
        <v>2009</v>
      </c>
      <c r="V151" s="6414" t="s">
        <v>1209</v>
      </c>
      <c r="W151" s="6418">
        <v>2590</v>
      </c>
      <c r="X151" s="6418">
        <v>5</v>
      </c>
      <c r="Y151" s="6418">
        <v>64108</v>
      </c>
      <c r="Z151" s="6418" t="s">
        <v>939</v>
      </c>
      <c r="AA151" s="6419">
        <v>0.02</v>
      </c>
      <c r="AB151" s="6420">
        <v>7.8</v>
      </c>
      <c r="AC151" s="6418">
        <v>694555</v>
      </c>
      <c r="AD151" s="6414" t="s">
        <v>1273</v>
      </c>
      <c r="AE151" s="6414" t="s">
        <v>1255</v>
      </c>
      <c r="AF151" s="6414" t="s">
        <v>1291</v>
      </c>
      <c r="AG151" s="6414" t="s">
        <v>1292</v>
      </c>
      <c r="AH151" s="6414" t="s">
        <v>1293</v>
      </c>
      <c r="AI151" s="6414"/>
      <c r="AJ151" s="6414"/>
      <c r="AK151" s="6414"/>
      <c r="AL151" s="6414" t="s">
        <v>939</v>
      </c>
      <c r="AM151" s="6414" t="s">
        <v>939</v>
      </c>
      <c r="AN151" s="6414" t="s">
        <v>1300</v>
      </c>
      <c r="AO151" s="6414" t="s">
        <v>1304</v>
      </c>
      <c r="AP151" s="6414" t="s">
        <v>1305</v>
      </c>
      <c r="AQ151" s="6414" t="s">
        <v>1306</v>
      </c>
      <c r="AR151" s="6421" t="s">
        <v>939</v>
      </c>
      <c r="AS151" s="6414" t="s">
        <v>1022</v>
      </c>
      <c r="AT151" s="6414" t="s">
        <v>1338</v>
      </c>
      <c r="AU151" s="6414"/>
      <c r="AV151" s="6421" t="s">
        <v>939</v>
      </c>
      <c r="AW151" s="6420">
        <v>365.7</v>
      </c>
      <c r="AX151" s="5133"/>
    </row>
    <row r="152" spans="1:54" ht="12.75" customHeight="1">
      <c r="A152" s="6443" t="str">
        <f t="shared" si="12"/>
        <v/>
      </c>
      <c r="B152" s="6444"/>
      <c r="C152" s="6445"/>
      <c r="D152" s="5133"/>
      <c r="F152" s="5133"/>
      <c r="G152" s="6424">
        <v>135</v>
      </c>
      <c r="H152" s="6424">
        <v>193</v>
      </c>
      <c r="I152" s="10963"/>
      <c r="J152" s="10963"/>
      <c r="K152" s="10963" t="str">
        <f>+IF(ISNA(VLOOKUP(MATCH(P152,tfn,0),tao,'12(id)'!$K$20,FALSE)),"",IF(J152="NA","",VLOOKUP(MATCH(P152,tfn,0),tao,'12(id)'!$K$20,FALSE)+J152))</f>
        <v/>
      </c>
      <c r="L152" s="10963"/>
      <c r="M152" s="10963" t="str">
        <f t="shared" si="9"/>
        <v/>
      </c>
      <c r="N152" s="10946" t="str">
        <f>+IF(M152="","",VLOOKUP(MATCH(M152,tid,0),tao,'12(id)'!$Q$20,FALSE))</f>
        <v/>
      </c>
      <c r="O152" s="6424" t="s">
        <v>1208</v>
      </c>
      <c r="P152" s="6425" t="s">
        <v>353</v>
      </c>
      <c r="Q152" s="6425"/>
      <c r="R152" s="6426">
        <v>54605</v>
      </c>
      <c r="S152" s="6427" t="s">
        <v>1247</v>
      </c>
      <c r="T152" s="6433" t="s">
        <v>939</v>
      </c>
      <c r="U152" s="6428">
        <v>2008</v>
      </c>
      <c r="V152" s="6425" t="s">
        <v>1209</v>
      </c>
      <c r="W152" s="6429">
        <v>3198</v>
      </c>
      <c r="X152" s="6429">
        <v>5</v>
      </c>
      <c r="Y152" s="6429">
        <v>75029</v>
      </c>
      <c r="Z152" s="6429" t="s">
        <v>939</v>
      </c>
      <c r="AA152" s="6430">
        <v>0.02</v>
      </c>
      <c r="AB152" s="6431">
        <v>9.3000000000000007</v>
      </c>
      <c r="AC152" s="6429">
        <v>834875</v>
      </c>
      <c r="AD152" s="6425" t="s">
        <v>1273</v>
      </c>
      <c r="AE152" s="6425" t="s">
        <v>1255</v>
      </c>
      <c r="AF152" s="6425" t="s">
        <v>1291</v>
      </c>
      <c r="AG152" s="6425" t="s">
        <v>1292</v>
      </c>
      <c r="AH152" s="6425" t="s">
        <v>1293</v>
      </c>
      <c r="AI152" s="6425"/>
      <c r="AJ152" s="6425"/>
      <c r="AK152" s="6425"/>
      <c r="AL152" s="6425" t="s">
        <v>939</v>
      </c>
      <c r="AM152" s="6425" t="s">
        <v>939</v>
      </c>
      <c r="AN152" s="6425" t="s">
        <v>1300</v>
      </c>
      <c r="AO152" s="6425" t="s">
        <v>1304</v>
      </c>
      <c r="AP152" s="6425" t="s">
        <v>1305</v>
      </c>
      <c r="AQ152" s="6425" t="s">
        <v>1306</v>
      </c>
      <c r="AR152" s="6433" t="s">
        <v>939</v>
      </c>
      <c r="AS152" s="6425" t="s">
        <v>1022</v>
      </c>
      <c r="AT152" s="6425" t="s">
        <v>1338</v>
      </c>
      <c r="AU152" s="6425"/>
      <c r="AV152" s="6433" t="s">
        <v>939</v>
      </c>
      <c r="AW152" s="6431">
        <v>365.7</v>
      </c>
      <c r="AX152" s="5133"/>
    </row>
    <row r="153" spans="1:54" s="6520" customFormat="1" ht="12.75" customHeight="1">
      <c r="A153" s="10989" t="str">
        <f t="shared" si="12"/>
        <v>8302-01</v>
      </c>
      <c r="B153" s="10995" t="str">
        <f>+IF(A153="","",VLOOKUP(MATCH(A153,tid,0),tao,'12(id)'!$J$20,FALSE))</f>
        <v>CRRA</v>
      </c>
      <c r="C153" s="10992" t="str">
        <f>+N153</f>
        <v>11A</v>
      </c>
      <c r="E153" s="5132"/>
      <c r="G153" s="6530">
        <v>136</v>
      </c>
      <c r="H153" s="6530">
        <v>201</v>
      </c>
      <c r="I153" s="10977">
        <v>50</v>
      </c>
      <c r="J153" s="10977"/>
      <c r="K153" s="10977">
        <f>+IF(ISNA(VLOOKUP(MATCH(P153,tfn,0),tao,'12(id)'!$K$20,FALSE)),"",IF(J153="NA","",VLOOKUP(MATCH(P153,tfn,0),tao,'12(id)'!$K$20,FALSE)+J153))</f>
        <v>8302</v>
      </c>
      <c r="L153" s="10977">
        <v>1</v>
      </c>
      <c r="M153" s="10977" t="str">
        <f t="shared" si="9"/>
        <v>8302-01</v>
      </c>
      <c r="N153" s="10980" t="str">
        <f>+IF(M153="","",VLOOKUP(MATCH(M153,tid,0),tao,'12(id)'!$Q$20,FALSE))</f>
        <v>11A</v>
      </c>
      <c r="O153" s="6530" t="s">
        <v>1208</v>
      </c>
      <c r="P153" s="6531" t="s">
        <v>325</v>
      </c>
      <c r="Q153" s="6531"/>
      <c r="R153" s="6532">
        <v>563</v>
      </c>
      <c r="S153" s="6533" t="s">
        <v>487</v>
      </c>
      <c r="T153" s="6534" t="s">
        <v>939</v>
      </c>
      <c r="U153" s="6535">
        <v>2010</v>
      </c>
      <c r="V153" s="6531" t="s">
        <v>1209</v>
      </c>
      <c r="W153" s="6536">
        <v>15</v>
      </c>
      <c r="X153" s="6536">
        <v>5</v>
      </c>
      <c r="Y153" s="6536">
        <v>221</v>
      </c>
      <c r="Z153" s="6536" t="s">
        <v>939</v>
      </c>
      <c r="AA153" s="6537">
        <v>0.75</v>
      </c>
      <c r="AB153" s="6538">
        <v>1.1000000000000001</v>
      </c>
      <c r="AC153" s="6536">
        <v>2925</v>
      </c>
      <c r="AD153" s="6531" t="s">
        <v>944</v>
      </c>
      <c r="AE153" s="6531" t="s">
        <v>1259</v>
      </c>
      <c r="AF153" s="6531" t="s">
        <v>1261</v>
      </c>
      <c r="AG153" s="6531" t="s">
        <v>1262</v>
      </c>
      <c r="AH153" s="6531" t="s">
        <v>1294</v>
      </c>
      <c r="AI153" s="6531"/>
      <c r="AJ153" s="6531"/>
      <c r="AK153" s="6531"/>
      <c r="AL153" s="6534" t="s">
        <v>939</v>
      </c>
      <c r="AM153" s="6534" t="s">
        <v>939</v>
      </c>
      <c r="AN153" s="6534" t="s">
        <v>1300</v>
      </c>
      <c r="AO153" s="6534" t="s">
        <v>1304</v>
      </c>
      <c r="AP153" s="6534" t="s">
        <v>1306</v>
      </c>
      <c r="AQ153" s="6534" t="s">
        <v>939</v>
      </c>
      <c r="AR153" s="6534" t="s">
        <v>939</v>
      </c>
      <c r="AS153" s="6534" t="s">
        <v>939</v>
      </c>
      <c r="AT153" s="6534" t="s">
        <v>939</v>
      </c>
      <c r="AU153" s="6534"/>
      <c r="AV153" s="6534" t="s">
        <v>939</v>
      </c>
      <c r="AW153" s="6538">
        <v>266</v>
      </c>
      <c r="AX153" s="5133"/>
      <c r="AY153" s="5132"/>
      <c r="AZ153" s="5132"/>
      <c r="BA153" s="5132"/>
      <c r="BB153" s="5132"/>
    </row>
    <row r="154" spans="1:54" s="6520" customFormat="1" ht="12.75" customHeight="1">
      <c r="A154" s="10990" t="str">
        <f t="shared" si="12"/>
        <v>8302-01</v>
      </c>
      <c r="B154" s="10996"/>
      <c r="C154" s="10993"/>
      <c r="E154" s="5132"/>
      <c r="G154" s="6530">
        <v>137</v>
      </c>
      <c r="H154" s="6530">
        <v>200</v>
      </c>
      <c r="I154" s="10978"/>
      <c r="J154" s="10978"/>
      <c r="K154" s="10978">
        <f>+IF(ISNA(VLOOKUP(MATCH(P154,tfn,0),tao,'12(id)'!$K$20,FALSE)),"",IF(J154="NA","",VLOOKUP(MATCH(P154,tfn,0),tao,'12(id)'!$K$20,FALSE)+J154))</f>
        <v>8302</v>
      </c>
      <c r="L154" s="10978">
        <f>+L153</f>
        <v>1</v>
      </c>
      <c r="M154" s="10978" t="str">
        <f t="shared" si="9"/>
        <v>8302-01</v>
      </c>
      <c r="N154" s="10981" t="str">
        <f>+IF(M154="","",VLOOKUP(MATCH(M154,tid,0),tao,'12(id)'!$Q$20,FALSE))</f>
        <v>11A</v>
      </c>
      <c r="O154" s="6530" t="s">
        <v>1208</v>
      </c>
      <c r="P154" s="6531" t="s">
        <v>325</v>
      </c>
      <c r="Q154" s="6531"/>
      <c r="R154" s="6532">
        <v>563</v>
      </c>
      <c r="S154" s="6533" t="s">
        <v>487</v>
      </c>
      <c r="T154" s="6534" t="s">
        <v>939</v>
      </c>
      <c r="U154" s="6535">
        <v>2009</v>
      </c>
      <c r="V154" s="6531" t="s">
        <v>1209</v>
      </c>
      <c r="W154" s="6536">
        <v>8</v>
      </c>
      <c r="X154" s="6536">
        <v>5</v>
      </c>
      <c r="Y154" s="6536">
        <v>68</v>
      </c>
      <c r="Z154" s="6536" t="s">
        <v>939</v>
      </c>
      <c r="AA154" s="6537">
        <v>0.85</v>
      </c>
      <c r="AB154" s="6538">
        <v>0.4</v>
      </c>
      <c r="AC154" s="6536">
        <v>869</v>
      </c>
      <c r="AD154" s="6531" t="s">
        <v>944</v>
      </c>
      <c r="AE154" s="6531" t="s">
        <v>1259</v>
      </c>
      <c r="AF154" s="6531" t="s">
        <v>1261</v>
      </c>
      <c r="AG154" s="6531" t="s">
        <v>1262</v>
      </c>
      <c r="AH154" s="6531" t="s">
        <v>1294</v>
      </c>
      <c r="AI154" s="6531"/>
      <c r="AJ154" s="6531"/>
      <c r="AK154" s="6531"/>
      <c r="AL154" s="6534" t="s">
        <v>939</v>
      </c>
      <c r="AM154" s="6534" t="s">
        <v>939</v>
      </c>
      <c r="AN154" s="6534" t="s">
        <v>1300</v>
      </c>
      <c r="AO154" s="6534" t="s">
        <v>1304</v>
      </c>
      <c r="AP154" s="6534" t="s">
        <v>1306</v>
      </c>
      <c r="AQ154" s="6534" t="s">
        <v>939</v>
      </c>
      <c r="AR154" s="6534" t="s">
        <v>939</v>
      </c>
      <c r="AS154" s="6534" t="s">
        <v>939</v>
      </c>
      <c r="AT154" s="6534" t="s">
        <v>939</v>
      </c>
      <c r="AU154" s="6534"/>
      <c r="AV154" s="6534" t="s">
        <v>939</v>
      </c>
      <c r="AW154" s="6538">
        <v>266</v>
      </c>
      <c r="AX154" s="5133"/>
      <c r="AY154" s="5132"/>
      <c r="AZ154" s="5132"/>
      <c r="BA154" s="5132"/>
      <c r="BB154" s="5132"/>
    </row>
    <row r="155" spans="1:54" s="6520" customFormat="1" ht="12.75" customHeight="1">
      <c r="A155" s="10991" t="str">
        <f t="shared" si="12"/>
        <v>8302-01</v>
      </c>
      <c r="B155" s="10997"/>
      <c r="C155" s="10994"/>
      <c r="E155" s="5132"/>
      <c r="G155" s="6539">
        <v>138</v>
      </c>
      <c r="H155" s="6539">
        <v>199</v>
      </c>
      <c r="I155" s="10979"/>
      <c r="J155" s="10979"/>
      <c r="K155" s="10979">
        <f>+IF(ISNA(VLOOKUP(MATCH(P155,tfn,0),tao,'12(id)'!$K$20,FALSE)),"",IF(J155="NA","",VLOOKUP(MATCH(P155,tfn,0),tao,'12(id)'!$K$20,FALSE)+J155))</f>
        <v>8302</v>
      </c>
      <c r="L155" s="10979">
        <f>+L154</f>
        <v>1</v>
      </c>
      <c r="M155" s="10979" t="str">
        <f t="shared" si="9"/>
        <v>8302-01</v>
      </c>
      <c r="N155" s="10982" t="str">
        <f>+IF(M155="","",VLOOKUP(MATCH(M155,tid,0),tao,'12(id)'!$Q$20,FALSE))</f>
        <v>11A</v>
      </c>
      <c r="O155" s="6539" t="s">
        <v>1208</v>
      </c>
      <c r="P155" s="6540" t="s">
        <v>325</v>
      </c>
      <c r="Q155" s="6540"/>
      <c r="R155" s="6541">
        <v>563</v>
      </c>
      <c r="S155" s="6542" t="s">
        <v>487</v>
      </c>
      <c r="T155" s="6543" t="s">
        <v>939</v>
      </c>
      <c r="U155" s="6544">
        <v>2008</v>
      </c>
      <c r="V155" s="6540" t="s">
        <v>1209</v>
      </c>
      <c r="W155" s="6545">
        <v>12</v>
      </c>
      <c r="X155" s="6545">
        <v>5</v>
      </c>
      <c r="Y155" s="6545">
        <v>126</v>
      </c>
      <c r="Z155" s="6545" t="s">
        <v>939</v>
      </c>
      <c r="AA155" s="6546">
        <v>0.83</v>
      </c>
      <c r="AB155" s="6547">
        <v>0.7</v>
      </c>
      <c r="AC155" s="6545">
        <v>1575</v>
      </c>
      <c r="AD155" s="6540" t="s">
        <v>944</v>
      </c>
      <c r="AE155" s="6540" t="s">
        <v>1259</v>
      </c>
      <c r="AF155" s="6540" t="s">
        <v>1261</v>
      </c>
      <c r="AG155" s="6540" t="s">
        <v>1262</v>
      </c>
      <c r="AH155" s="6540" t="s">
        <v>1294</v>
      </c>
      <c r="AI155" s="6540"/>
      <c r="AJ155" s="6540"/>
      <c r="AK155" s="6540"/>
      <c r="AL155" s="6543" t="s">
        <v>939</v>
      </c>
      <c r="AM155" s="6543" t="s">
        <v>939</v>
      </c>
      <c r="AN155" s="6543" t="s">
        <v>1300</v>
      </c>
      <c r="AO155" s="6543" t="s">
        <v>1304</v>
      </c>
      <c r="AP155" s="6543" t="s">
        <v>1306</v>
      </c>
      <c r="AQ155" s="6543" t="s">
        <v>939</v>
      </c>
      <c r="AR155" s="6543" t="s">
        <v>939</v>
      </c>
      <c r="AS155" s="6543" t="s">
        <v>939</v>
      </c>
      <c r="AT155" s="6543" t="s">
        <v>939</v>
      </c>
      <c r="AU155" s="6543"/>
      <c r="AV155" s="6543" t="s">
        <v>939</v>
      </c>
      <c r="AW155" s="6547">
        <v>266</v>
      </c>
      <c r="AX155" s="5133"/>
      <c r="AY155" s="5132"/>
      <c r="AZ155" s="5132"/>
      <c r="BA155" s="5132"/>
      <c r="BB155" s="5132"/>
    </row>
    <row r="156" spans="1:54" s="6520" customFormat="1" ht="12.75" customHeight="1">
      <c r="A156" s="10989" t="str">
        <f t="shared" si="12"/>
        <v>8302-02</v>
      </c>
      <c r="B156" s="10995" t="str">
        <f>+B153</f>
        <v>CRRA</v>
      </c>
      <c r="C156" s="10992" t="str">
        <f>+N156</f>
        <v>11B</v>
      </c>
      <c r="E156" s="5132"/>
      <c r="G156" s="6530">
        <v>139</v>
      </c>
      <c r="H156" s="6530">
        <v>204</v>
      </c>
      <c r="I156" s="10977">
        <v>51</v>
      </c>
      <c r="J156" s="10977"/>
      <c r="K156" s="10977">
        <f>+IF(ISNA(VLOOKUP(MATCH(P156,tfn,0),tao,'12(id)'!$K$20,FALSE)),"",IF(J156="NA","",VLOOKUP(MATCH(P156,tfn,0),tao,'12(id)'!$K$20,FALSE)+J156))</f>
        <v>8302</v>
      </c>
      <c r="L156" s="10977">
        <f>1+L155</f>
        <v>2</v>
      </c>
      <c r="M156" s="10977" t="str">
        <f t="shared" si="9"/>
        <v>8302-02</v>
      </c>
      <c r="N156" s="10980" t="str">
        <f>+IF(M156="","",VLOOKUP(MATCH(M156,tid,0),tao,'12(id)'!$Q$20,FALSE))</f>
        <v>11B</v>
      </c>
      <c r="O156" s="6530" t="s">
        <v>1208</v>
      </c>
      <c r="P156" s="6531" t="s">
        <v>325</v>
      </c>
      <c r="Q156" s="6531"/>
      <c r="R156" s="6532">
        <v>563</v>
      </c>
      <c r="S156" s="6533" t="s">
        <v>488</v>
      </c>
      <c r="T156" s="6534" t="s">
        <v>939</v>
      </c>
      <c r="U156" s="6535">
        <v>2010</v>
      </c>
      <c r="V156" s="6531" t="s">
        <v>1209</v>
      </c>
      <c r="W156" s="6536">
        <v>15</v>
      </c>
      <c r="X156" s="6536">
        <v>5</v>
      </c>
      <c r="Y156" s="6536">
        <v>221</v>
      </c>
      <c r="Z156" s="6536" t="s">
        <v>939</v>
      </c>
      <c r="AA156" s="6537">
        <v>0.76</v>
      </c>
      <c r="AB156" s="6538">
        <v>1.1000000000000001</v>
      </c>
      <c r="AC156" s="6536">
        <v>2925</v>
      </c>
      <c r="AD156" s="6531" t="s">
        <v>944</v>
      </c>
      <c r="AE156" s="6531" t="s">
        <v>1259</v>
      </c>
      <c r="AF156" s="6531" t="s">
        <v>1261</v>
      </c>
      <c r="AG156" s="6531" t="s">
        <v>1262</v>
      </c>
      <c r="AH156" s="6531" t="s">
        <v>1294</v>
      </c>
      <c r="AI156" s="6531"/>
      <c r="AJ156" s="6531"/>
      <c r="AK156" s="6531"/>
      <c r="AL156" s="6534" t="s">
        <v>939</v>
      </c>
      <c r="AM156" s="6534" t="s">
        <v>939</v>
      </c>
      <c r="AN156" s="6534" t="s">
        <v>1300</v>
      </c>
      <c r="AO156" s="6534" t="s">
        <v>1304</v>
      </c>
      <c r="AP156" s="6534" t="s">
        <v>1306</v>
      </c>
      <c r="AQ156" s="6534" t="s">
        <v>939</v>
      </c>
      <c r="AR156" s="6534" t="s">
        <v>939</v>
      </c>
      <c r="AS156" s="6534" t="s">
        <v>939</v>
      </c>
      <c r="AT156" s="6534" t="s">
        <v>939</v>
      </c>
      <c r="AU156" s="6534"/>
      <c r="AV156" s="6534" t="s">
        <v>939</v>
      </c>
      <c r="AW156" s="6538">
        <v>266</v>
      </c>
      <c r="AX156" s="5133"/>
      <c r="AY156" s="5132"/>
      <c r="AZ156" s="5132"/>
      <c r="BA156" s="5132"/>
      <c r="BB156" s="5132"/>
    </row>
    <row r="157" spans="1:54" s="6520" customFormat="1" ht="12.75" customHeight="1">
      <c r="A157" s="10990" t="str">
        <f t="shared" si="12"/>
        <v>8302-02</v>
      </c>
      <c r="B157" s="10996"/>
      <c r="C157" s="10993"/>
      <c r="E157" s="5132"/>
      <c r="G157" s="6530">
        <v>140</v>
      </c>
      <c r="H157" s="6530">
        <v>203</v>
      </c>
      <c r="I157" s="10978"/>
      <c r="J157" s="10978"/>
      <c r="K157" s="10978">
        <f>+IF(ISNA(VLOOKUP(MATCH(P157,tfn,0),tao,'12(id)'!$K$20,FALSE)),"",IF(J157="NA","",VLOOKUP(MATCH(P157,tfn,0),tao,'12(id)'!$K$20,FALSE)+J157))</f>
        <v>8302</v>
      </c>
      <c r="L157" s="10978">
        <f>+L156</f>
        <v>2</v>
      </c>
      <c r="M157" s="10978" t="str">
        <f t="shared" si="9"/>
        <v>8302-02</v>
      </c>
      <c r="N157" s="10981" t="str">
        <f>+IF(M157="","",VLOOKUP(MATCH(M157,tid,0),tao,'12(id)'!$Q$20,FALSE))</f>
        <v>11B</v>
      </c>
      <c r="O157" s="6530" t="s">
        <v>1208</v>
      </c>
      <c r="P157" s="6531" t="s">
        <v>325</v>
      </c>
      <c r="Q157" s="6531"/>
      <c r="R157" s="6532">
        <v>563</v>
      </c>
      <c r="S157" s="6533" t="s">
        <v>488</v>
      </c>
      <c r="T157" s="6534" t="s">
        <v>939</v>
      </c>
      <c r="U157" s="6535">
        <v>2009</v>
      </c>
      <c r="V157" s="6531" t="s">
        <v>1209</v>
      </c>
      <c r="W157" s="6536">
        <v>8</v>
      </c>
      <c r="X157" s="6536">
        <v>5</v>
      </c>
      <c r="Y157" s="6536">
        <v>68</v>
      </c>
      <c r="Z157" s="6536" t="s">
        <v>939</v>
      </c>
      <c r="AA157" s="6537">
        <v>0.75</v>
      </c>
      <c r="AB157" s="6538">
        <v>0.3</v>
      </c>
      <c r="AC157" s="6536">
        <v>869</v>
      </c>
      <c r="AD157" s="6531" t="s">
        <v>944</v>
      </c>
      <c r="AE157" s="6531" t="s">
        <v>1259</v>
      </c>
      <c r="AF157" s="6531" t="s">
        <v>1261</v>
      </c>
      <c r="AG157" s="6531" t="s">
        <v>1262</v>
      </c>
      <c r="AH157" s="6531" t="s">
        <v>1294</v>
      </c>
      <c r="AI157" s="6531"/>
      <c r="AJ157" s="6531"/>
      <c r="AK157" s="6531"/>
      <c r="AL157" s="6534" t="s">
        <v>939</v>
      </c>
      <c r="AM157" s="6534" t="s">
        <v>939</v>
      </c>
      <c r="AN157" s="6534" t="s">
        <v>1300</v>
      </c>
      <c r="AO157" s="6534" t="s">
        <v>1304</v>
      </c>
      <c r="AP157" s="6534" t="s">
        <v>1306</v>
      </c>
      <c r="AQ157" s="6534" t="s">
        <v>939</v>
      </c>
      <c r="AR157" s="6534" t="s">
        <v>939</v>
      </c>
      <c r="AS157" s="6534" t="s">
        <v>939</v>
      </c>
      <c r="AT157" s="6534" t="s">
        <v>939</v>
      </c>
      <c r="AU157" s="6534"/>
      <c r="AV157" s="6534" t="s">
        <v>939</v>
      </c>
      <c r="AW157" s="6538">
        <v>266</v>
      </c>
      <c r="AX157" s="5133"/>
      <c r="AY157" s="5132"/>
      <c r="AZ157" s="5132"/>
      <c r="BA157" s="5132"/>
      <c r="BB157" s="5132"/>
    </row>
    <row r="158" spans="1:54" s="6520" customFormat="1" ht="12.75" customHeight="1">
      <c r="A158" s="10991" t="str">
        <f t="shared" si="12"/>
        <v>8302-02</v>
      </c>
      <c r="B158" s="10997"/>
      <c r="C158" s="10994"/>
      <c r="E158" s="5132"/>
      <c r="G158" s="6539">
        <v>141</v>
      </c>
      <c r="H158" s="6539">
        <v>202</v>
      </c>
      <c r="I158" s="10979"/>
      <c r="J158" s="10979"/>
      <c r="K158" s="10979">
        <f>+IF(ISNA(VLOOKUP(MATCH(P158,tfn,0),tao,'12(id)'!$K$20,FALSE)),"",IF(J158="NA","",VLOOKUP(MATCH(P158,tfn,0),tao,'12(id)'!$K$20,FALSE)+J158))</f>
        <v>8302</v>
      </c>
      <c r="L158" s="10979">
        <f>+L157</f>
        <v>2</v>
      </c>
      <c r="M158" s="10979" t="str">
        <f t="shared" si="9"/>
        <v>8302-02</v>
      </c>
      <c r="N158" s="10982" t="str">
        <f>+IF(M158="","",VLOOKUP(MATCH(M158,tid,0),tao,'12(id)'!$Q$20,FALSE))</f>
        <v>11B</v>
      </c>
      <c r="O158" s="6539" t="s">
        <v>1208</v>
      </c>
      <c r="P158" s="6540" t="s">
        <v>325</v>
      </c>
      <c r="Q158" s="6540"/>
      <c r="R158" s="6541">
        <v>563</v>
      </c>
      <c r="S158" s="6542" t="s">
        <v>488</v>
      </c>
      <c r="T158" s="6543" t="s">
        <v>939</v>
      </c>
      <c r="U158" s="6544">
        <v>2008</v>
      </c>
      <c r="V158" s="6540" t="s">
        <v>1209</v>
      </c>
      <c r="W158" s="6545">
        <v>12</v>
      </c>
      <c r="X158" s="6545">
        <v>5</v>
      </c>
      <c r="Y158" s="6545">
        <v>126</v>
      </c>
      <c r="Z158" s="6545" t="s">
        <v>939</v>
      </c>
      <c r="AA158" s="6546">
        <v>0.73</v>
      </c>
      <c r="AB158" s="6547">
        <v>0.6</v>
      </c>
      <c r="AC158" s="6545">
        <v>1575</v>
      </c>
      <c r="AD158" s="6540" t="s">
        <v>944</v>
      </c>
      <c r="AE158" s="6540" t="s">
        <v>1259</v>
      </c>
      <c r="AF158" s="6540" t="s">
        <v>1261</v>
      </c>
      <c r="AG158" s="6540" t="s">
        <v>1262</v>
      </c>
      <c r="AH158" s="6540" t="s">
        <v>1294</v>
      </c>
      <c r="AI158" s="6540"/>
      <c r="AJ158" s="6540"/>
      <c r="AK158" s="6540"/>
      <c r="AL158" s="6543" t="s">
        <v>939</v>
      </c>
      <c r="AM158" s="6543" t="s">
        <v>939</v>
      </c>
      <c r="AN158" s="6543" t="s">
        <v>1300</v>
      </c>
      <c r="AO158" s="6543" t="s">
        <v>1304</v>
      </c>
      <c r="AP158" s="6543" t="s">
        <v>1306</v>
      </c>
      <c r="AQ158" s="6543" t="s">
        <v>939</v>
      </c>
      <c r="AR158" s="6543" t="s">
        <v>939</v>
      </c>
      <c r="AS158" s="6543" t="s">
        <v>939</v>
      </c>
      <c r="AT158" s="6543" t="s">
        <v>939</v>
      </c>
      <c r="AU158" s="6543"/>
      <c r="AV158" s="6543" t="s">
        <v>939</v>
      </c>
      <c r="AW158" s="6547">
        <v>266</v>
      </c>
      <c r="AX158" s="5133"/>
      <c r="AY158" s="5132"/>
      <c r="AZ158" s="5132"/>
      <c r="BA158" s="5132"/>
      <c r="BB158" s="5132"/>
    </row>
    <row r="159" spans="1:54" s="6520" customFormat="1" ht="12.75" customHeight="1">
      <c r="A159" s="10989" t="str">
        <f t="shared" si="12"/>
        <v>8302-03</v>
      </c>
      <c r="B159" s="10995" t="str">
        <f>+B156</f>
        <v>CRRA</v>
      </c>
      <c r="C159" s="10992" t="str">
        <f>+N159</f>
        <v>12A</v>
      </c>
      <c r="E159" s="5132"/>
      <c r="G159" s="6530">
        <v>142</v>
      </c>
      <c r="H159" s="6530">
        <v>207</v>
      </c>
      <c r="I159" s="10977">
        <v>52</v>
      </c>
      <c r="J159" s="10977"/>
      <c r="K159" s="10977">
        <f>+IF(ISNA(VLOOKUP(MATCH(P159,tfn,0),tao,'12(id)'!$K$20,FALSE)),"",IF(J159="NA","",VLOOKUP(MATCH(P159,tfn,0),tao,'12(id)'!$K$20,FALSE)+J159))</f>
        <v>8302</v>
      </c>
      <c r="L159" s="10977">
        <f>1+L158</f>
        <v>3</v>
      </c>
      <c r="M159" s="10977" t="str">
        <f t="shared" ref="M159:M208" si="13">+IF(K159="","",K159&amp;IF(L159&lt;10,"-0"&amp;L159,"-"&amp;L159))</f>
        <v>8302-03</v>
      </c>
      <c r="N159" s="10980" t="str">
        <f>+IF(M159="","",VLOOKUP(MATCH(M159,tid,0),tao,'12(id)'!$Q$20,FALSE))</f>
        <v>12A</v>
      </c>
      <c r="O159" s="6530" t="s">
        <v>1208</v>
      </c>
      <c r="P159" s="6531" t="s">
        <v>325</v>
      </c>
      <c r="Q159" s="6531"/>
      <c r="R159" s="6532">
        <v>563</v>
      </c>
      <c r="S159" s="6533" t="s">
        <v>482</v>
      </c>
      <c r="T159" s="6534" t="s">
        <v>939</v>
      </c>
      <c r="U159" s="6535">
        <v>2010</v>
      </c>
      <c r="V159" s="6531" t="s">
        <v>1209</v>
      </c>
      <c r="W159" s="6536">
        <v>19</v>
      </c>
      <c r="X159" s="6536">
        <v>5</v>
      </c>
      <c r="Y159" s="6536">
        <v>285</v>
      </c>
      <c r="Z159" s="6536" t="s">
        <v>939</v>
      </c>
      <c r="AA159" s="6537">
        <v>0.8</v>
      </c>
      <c r="AB159" s="6538">
        <v>1.5</v>
      </c>
      <c r="AC159" s="6536">
        <v>3819</v>
      </c>
      <c r="AD159" s="6531" t="s">
        <v>944</v>
      </c>
      <c r="AE159" s="6531" t="s">
        <v>1259</v>
      </c>
      <c r="AF159" s="6531" t="s">
        <v>1261</v>
      </c>
      <c r="AG159" s="6531" t="s">
        <v>1262</v>
      </c>
      <c r="AH159" s="6531" t="s">
        <v>1294</v>
      </c>
      <c r="AI159" s="6531"/>
      <c r="AJ159" s="6531"/>
      <c r="AK159" s="6531"/>
      <c r="AL159" s="6534" t="s">
        <v>939</v>
      </c>
      <c r="AM159" s="6534" t="s">
        <v>939</v>
      </c>
      <c r="AN159" s="6534" t="s">
        <v>1300</v>
      </c>
      <c r="AO159" s="6534" t="s">
        <v>1304</v>
      </c>
      <c r="AP159" s="6534" t="s">
        <v>1306</v>
      </c>
      <c r="AQ159" s="6534" t="s">
        <v>939</v>
      </c>
      <c r="AR159" s="6534" t="s">
        <v>939</v>
      </c>
      <c r="AS159" s="6534" t="s">
        <v>939</v>
      </c>
      <c r="AT159" s="6534" t="s">
        <v>939</v>
      </c>
      <c r="AU159" s="6534"/>
      <c r="AV159" s="6534" t="s">
        <v>939</v>
      </c>
      <c r="AW159" s="6538">
        <v>266</v>
      </c>
      <c r="AX159" s="5133"/>
      <c r="AY159" s="5132"/>
      <c r="AZ159" s="5132"/>
      <c r="BA159" s="5132"/>
      <c r="BB159" s="5132"/>
    </row>
    <row r="160" spans="1:54" s="6520" customFormat="1" ht="12.75" customHeight="1">
      <c r="A160" s="10990" t="str">
        <f t="shared" si="12"/>
        <v>8302-03</v>
      </c>
      <c r="B160" s="10996"/>
      <c r="C160" s="10993"/>
      <c r="E160" s="5132"/>
      <c r="G160" s="6530">
        <v>143</v>
      </c>
      <c r="H160" s="6530">
        <v>206</v>
      </c>
      <c r="I160" s="10978"/>
      <c r="J160" s="10978"/>
      <c r="K160" s="10978">
        <f>+IF(ISNA(VLOOKUP(MATCH(P160,tfn,0),tao,'12(id)'!$K$20,FALSE)),"",IF(J160="NA","",VLOOKUP(MATCH(P160,tfn,0),tao,'12(id)'!$K$20,FALSE)+J160))</f>
        <v>8302</v>
      </c>
      <c r="L160" s="10978">
        <f>+L159</f>
        <v>3</v>
      </c>
      <c r="M160" s="10978" t="str">
        <f t="shared" si="13"/>
        <v>8302-03</v>
      </c>
      <c r="N160" s="10981" t="str">
        <f>+IF(M160="","",VLOOKUP(MATCH(M160,tid,0),tao,'12(id)'!$Q$20,FALSE))</f>
        <v>12A</v>
      </c>
      <c r="O160" s="6530" t="s">
        <v>1208</v>
      </c>
      <c r="P160" s="6531" t="s">
        <v>325</v>
      </c>
      <c r="Q160" s="6531"/>
      <c r="R160" s="6532">
        <v>563</v>
      </c>
      <c r="S160" s="6533" t="s">
        <v>482</v>
      </c>
      <c r="T160" s="6534" t="s">
        <v>939</v>
      </c>
      <c r="U160" s="6535">
        <v>2009</v>
      </c>
      <c r="V160" s="6531" t="s">
        <v>1209</v>
      </c>
      <c r="W160" s="6536">
        <v>7</v>
      </c>
      <c r="X160" s="6536">
        <v>5</v>
      </c>
      <c r="Y160" s="6536">
        <v>78</v>
      </c>
      <c r="Z160" s="6536" t="s">
        <v>939</v>
      </c>
      <c r="AA160" s="6537">
        <v>0.82</v>
      </c>
      <c r="AB160" s="6538">
        <v>0.4</v>
      </c>
      <c r="AC160" s="6536">
        <v>1013</v>
      </c>
      <c r="AD160" s="6531" t="s">
        <v>944</v>
      </c>
      <c r="AE160" s="6531" t="s">
        <v>1259</v>
      </c>
      <c r="AF160" s="6531" t="s">
        <v>1261</v>
      </c>
      <c r="AG160" s="6531" t="s">
        <v>1262</v>
      </c>
      <c r="AH160" s="6531" t="s">
        <v>1294</v>
      </c>
      <c r="AI160" s="6531"/>
      <c r="AJ160" s="6531"/>
      <c r="AK160" s="6531"/>
      <c r="AL160" s="6534" t="s">
        <v>939</v>
      </c>
      <c r="AM160" s="6534" t="s">
        <v>939</v>
      </c>
      <c r="AN160" s="6534" t="s">
        <v>1300</v>
      </c>
      <c r="AO160" s="6534" t="s">
        <v>1304</v>
      </c>
      <c r="AP160" s="6534" t="s">
        <v>1306</v>
      </c>
      <c r="AQ160" s="6534" t="s">
        <v>939</v>
      </c>
      <c r="AR160" s="6534" t="s">
        <v>939</v>
      </c>
      <c r="AS160" s="6534" t="s">
        <v>939</v>
      </c>
      <c r="AT160" s="6534" t="s">
        <v>939</v>
      </c>
      <c r="AU160" s="6534"/>
      <c r="AV160" s="6534" t="s">
        <v>939</v>
      </c>
      <c r="AW160" s="6538">
        <v>266</v>
      </c>
      <c r="AX160" s="5133"/>
      <c r="AY160" s="5132"/>
      <c r="AZ160" s="5132"/>
      <c r="BA160" s="5132"/>
      <c r="BB160" s="5132"/>
    </row>
    <row r="161" spans="1:54" s="6520" customFormat="1" ht="12.75" customHeight="1">
      <c r="A161" s="10991" t="str">
        <f t="shared" si="12"/>
        <v>8302-03</v>
      </c>
      <c r="B161" s="10997"/>
      <c r="C161" s="10994"/>
      <c r="E161" s="5132"/>
      <c r="G161" s="6539">
        <v>144</v>
      </c>
      <c r="H161" s="6539">
        <v>205</v>
      </c>
      <c r="I161" s="10979"/>
      <c r="J161" s="10979"/>
      <c r="K161" s="10979">
        <f>+IF(ISNA(VLOOKUP(MATCH(P161,tfn,0),tao,'12(id)'!$K$20,FALSE)),"",IF(J161="NA","",VLOOKUP(MATCH(P161,tfn,0),tao,'12(id)'!$K$20,FALSE)+J161))</f>
        <v>8302</v>
      </c>
      <c r="L161" s="10979">
        <f>+L160</f>
        <v>3</v>
      </c>
      <c r="M161" s="10979" t="str">
        <f t="shared" si="13"/>
        <v>8302-03</v>
      </c>
      <c r="N161" s="10982" t="str">
        <f>+IF(M161="","",VLOOKUP(MATCH(M161,tid,0),tao,'12(id)'!$Q$20,FALSE))</f>
        <v>12A</v>
      </c>
      <c r="O161" s="6539" t="s">
        <v>1208</v>
      </c>
      <c r="P161" s="6540" t="s">
        <v>325</v>
      </c>
      <c r="Q161" s="6540"/>
      <c r="R161" s="6541">
        <v>563</v>
      </c>
      <c r="S161" s="6542" t="s">
        <v>482</v>
      </c>
      <c r="T161" s="6543" t="s">
        <v>939</v>
      </c>
      <c r="U161" s="6544">
        <v>2008</v>
      </c>
      <c r="V161" s="6540" t="s">
        <v>1209</v>
      </c>
      <c r="W161" s="6545">
        <v>11</v>
      </c>
      <c r="X161" s="6545">
        <v>5</v>
      </c>
      <c r="Y161" s="6545">
        <v>123</v>
      </c>
      <c r="Z161" s="6545" t="s">
        <v>939</v>
      </c>
      <c r="AA161" s="6546">
        <v>0.8</v>
      </c>
      <c r="AB161" s="6547">
        <v>0.6</v>
      </c>
      <c r="AC161" s="6545">
        <v>1560</v>
      </c>
      <c r="AD161" s="6540" t="s">
        <v>944</v>
      </c>
      <c r="AE161" s="6540" t="s">
        <v>1259</v>
      </c>
      <c r="AF161" s="6540" t="s">
        <v>1261</v>
      </c>
      <c r="AG161" s="6540" t="s">
        <v>1262</v>
      </c>
      <c r="AH161" s="6540" t="s">
        <v>1294</v>
      </c>
      <c r="AI161" s="6540"/>
      <c r="AJ161" s="6540"/>
      <c r="AK161" s="6540"/>
      <c r="AL161" s="6543" t="s">
        <v>939</v>
      </c>
      <c r="AM161" s="6543" t="s">
        <v>939</v>
      </c>
      <c r="AN161" s="6543" t="s">
        <v>1300</v>
      </c>
      <c r="AO161" s="6543" t="s">
        <v>1304</v>
      </c>
      <c r="AP161" s="6543" t="s">
        <v>1306</v>
      </c>
      <c r="AQ161" s="6543" t="s">
        <v>939</v>
      </c>
      <c r="AR161" s="6543" t="s">
        <v>939</v>
      </c>
      <c r="AS161" s="6543" t="s">
        <v>939</v>
      </c>
      <c r="AT161" s="6543" t="s">
        <v>939</v>
      </c>
      <c r="AU161" s="6543"/>
      <c r="AV161" s="6543" t="s">
        <v>939</v>
      </c>
      <c r="AW161" s="6547">
        <v>266</v>
      </c>
      <c r="AX161" s="5133"/>
      <c r="AY161" s="5132"/>
      <c r="AZ161" s="5132"/>
      <c r="BA161" s="5132"/>
      <c r="BB161" s="5132"/>
    </row>
    <row r="162" spans="1:54" s="6520" customFormat="1" ht="12.75" customHeight="1">
      <c r="A162" s="10989" t="str">
        <f t="shared" si="12"/>
        <v>8302-04</v>
      </c>
      <c r="B162" s="10995" t="str">
        <f>+B159</f>
        <v>CRRA</v>
      </c>
      <c r="C162" s="10992" t="str">
        <f>+N162</f>
        <v>12B</v>
      </c>
      <c r="E162" s="5132"/>
      <c r="G162" s="6530">
        <v>145</v>
      </c>
      <c r="H162" s="6530">
        <v>210</v>
      </c>
      <c r="I162" s="10977">
        <v>53</v>
      </c>
      <c r="J162" s="10977"/>
      <c r="K162" s="10977">
        <f>+IF(ISNA(VLOOKUP(MATCH(P162,tfn,0),tao,'12(id)'!$K$20,FALSE)),"",IF(J162="NA","",VLOOKUP(MATCH(P162,tfn,0),tao,'12(id)'!$K$20,FALSE)+J162))</f>
        <v>8302</v>
      </c>
      <c r="L162" s="10977">
        <f>1+L161</f>
        <v>4</v>
      </c>
      <c r="M162" s="10977" t="str">
        <f t="shared" si="13"/>
        <v>8302-04</v>
      </c>
      <c r="N162" s="10980" t="str">
        <f>+IF(M162="","",VLOOKUP(MATCH(M162,tid,0),tao,'12(id)'!$Q$20,FALSE))</f>
        <v>12B</v>
      </c>
      <c r="O162" s="6530" t="s">
        <v>1208</v>
      </c>
      <c r="P162" s="6531" t="s">
        <v>325</v>
      </c>
      <c r="Q162" s="6531"/>
      <c r="R162" s="6532">
        <v>563</v>
      </c>
      <c r="S162" s="6533" t="s">
        <v>489</v>
      </c>
      <c r="T162" s="6534" t="s">
        <v>939</v>
      </c>
      <c r="U162" s="6535">
        <v>2010</v>
      </c>
      <c r="V162" s="6531" t="s">
        <v>1209</v>
      </c>
      <c r="W162" s="6536">
        <v>19</v>
      </c>
      <c r="X162" s="6536">
        <v>5</v>
      </c>
      <c r="Y162" s="6536">
        <v>285</v>
      </c>
      <c r="Z162" s="6536" t="s">
        <v>939</v>
      </c>
      <c r="AA162" s="6537">
        <v>0.76</v>
      </c>
      <c r="AB162" s="6538">
        <v>1.5</v>
      </c>
      <c r="AC162" s="6536">
        <v>3819</v>
      </c>
      <c r="AD162" s="6531" t="s">
        <v>944</v>
      </c>
      <c r="AE162" s="6531" t="s">
        <v>1259</v>
      </c>
      <c r="AF162" s="6531" t="s">
        <v>1261</v>
      </c>
      <c r="AG162" s="6531" t="s">
        <v>1262</v>
      </c>
      <c r="AH162" s="6531" t="s">
        <v>1294</v>
      </c>
      <c r="AI162" s="6531"/>
      <c r="AJ162" s="6531"/>
      <c r="AK162" s="6531"/>
      <c r="AL162" s="6534" t="s">
        <v>939</v>
      </c>
      <c r="AM162" s="6534" t="s">
        <v>939</v>
      </c>
      <c r="AN162" s="6534" t="s">
        <v>1300</v>
      </c>
      <c r="AO162" s="6534" t="s">
        <v>1304</v>
      </c>
      <c r="AP162" s="6534" t="s">
        <v>1306</v>
      </c>
      <c r="AQ162" s="6534" t="s">
        <v>939</v>
      </c>
      <c r="AR162" s="6534" t="s">
        <v>939</v>
      </c>
      <c r="AS162" s="6534" t="s">
        <v>939</v>
      </c>
      <c r="AT162" s="6534" t="s">
        <v>939</v>
      </c>
      <c r="AU162" s="6534"/>
      <c r="AV162" s="6534" t="s">
        <v>939</v>
      </c>
      <c r="AW162" s="6538">
        <v>266</v>
      </c>
      <c r="AX162" s="5133"/>
      <c r="AY162" s="5132"/>
      <c r="AZ162" s="5132"/>
      <c r="BA162" s="5132"/>
      <c r="BB162" s="5132"/>
    </row>
    <row r="163" spans="1:54" s="6520" customFormat="1" ht="12.75" customHeight="1">
      <c r="A163" s="10990" t="str">
        <f t="shared" si="12"/>
        <v>8302-04</v>
      </c>
      <c r="B163" s="10996"/>
      <c r="C163" s="10993"/>
      <c r="E163" s="5132"/>
      <c r="G163" s="6530">
        <v>146</v>
      </c>
      <c r="H163" s="6530">
        <v>209</v>
      </c>
      <c r="I163" s="10978"/>
      <c r="J163" s="10978"/>
      <c r="K163" s="10978">
        <f>+IF(ISNA(VLOOKUP(MATCH(P163,tfn,0),tao,'12(id)'!$K$20,FALSE)),"",IF(J163="NA","",VLOOKUP(MATCH(P163,tfn,0),tao,'12(id)'!$K$20,FALSE)+J163))</f>
        <v>8302</v>
      </c>
      <c r="L163" s="10978">
        <f>+L162</f>
        <v>4</v>
      </c>
      <c r="M163" s="10978" t="str">
        <f t="shared" si="13"/>
        <v>8302-04</v>
      </c>
      <c r="N163" s="10981" t="str">
        <f>+IF(M163="","",VLOOKUP(MATCH(M163,tid,0),tao,'12(id)'!$Q$20,FALSE))</f>
        <v>12B</v>
      </c>
      <c r="O163" s="6530" t="s">
        <v>1208</v>
      </c>
      <c r="P163" s="6531" t="s">
        <v>325</v>
      </c>
      <c r="Q163" s="6531"/>
      <c r="R163" s="6532">
        <v>563</v>
      </c>
      <c r="S163" s="6533" t="s">
        <v>489</v>
      </c>
      <c r="T163" s="6534" t="s">
        <v>939</v>
      </c>
      <c r="U163" s="6535">
        <v>2009</v>
      </c>
      <c r="V163" s="6531" t="s">
        <v>1209</v>
      </c>
      <c r="W163" s="6536">
        <v>7</v>
      </c>
      <c r="X163" s="6536">
        <v>5</v>
      </c>
      <c r="Y163" s="6536">
        <v>78</v>
      </c>
      <c r="Z163" s="6536" t="s">
        <v>939</v>
      </c>
      <c r="AA163" s="6537">
        <v>0.74</v>
      </c>
      <c r="AB163" s="6538">
        <v>0.4</v>
      </c>
      <c r="AC163" s="6536">
        <v>1013</v>
      </c>
      <c r="AD163" s="6531" t="s">
        <v>944</v>
      </c>
      <c r="AE163" s="6531" t="s">
        <v>1259</v>
      </c>
      <c r="AF163" s="6531" t="s">
        <v>1261</v>
      </c>
      <c r="AG163" s="6531" t="s">
        <v>1262</v>
      </c>
      <c r="AH163" s="6531" t="s">
        <v>1294</v>
      </c>
      <c r="AI163" s="6531"/>
      <c r="AJ163" s="6531"/>
      <c r="AK163" s="6531"/>
      <c r="AL163" s="6534" t="s">
        <v>939</v>
      </c>
      <c r="AM163" s="6534" t="s">
        <v>939</v>
      </c>
      <c r="AN163" s="6534" t="s">
        <v>1300</v>
      </c>
      <c r="AO163" s="6534" t="s">
        <v>1304</v>
      </c>
      <c r="AP163" s="6534" t="s">
        <v>1306</v>
      </c>
      <c r="AQ163" s="6534" t="s">
        <v>939</v>
      </c>
      <c r="AR163" s="6534" t="s">
        <v>939</v>
      </c>
      <c r="AS163" s="6534" t="s">
        <v>939</v>
      </c>
      <c r="AT163" s="6534" t="s">
        <v>939</v>
      </c>
      <c r="AU163" s="6534"/>
      <c r="AV163" s="6534" t="s">
        <v>939</v>
      </c>
      <c r="AW163" s="6538">
        <v>266</v>
      </c>
      <c r="AX163" s="5133"/>
      <c r="AY163" s="5132"/>
      <c r="AZ163" s="5132"/>
      <c r="BA163" s="5132"/>
      <c r="BB163" s="5132"/>
    </row>
    <row r="164" spans="1:54" s="6520" customFormat="1" ht="12.75" customHeight="1">
      <c r="A164" s="10991" t="str">
        <f t="shared" si="12"/>
        <v>8302-04</v>
      </c>
      <c r="B164" s="10997"/>
      <c r="C164" s="10994"/>
      <c r="E164" s="5132"/>
      <c r="G164" s="6539">
        <v>147</v>
      </c>
      <c r="H164" s="6539">
        <v>208</v>
      </c>
      <c r="I164" s="10979"/>
      <c r="J164" s="10979"/>
      <c r="K164" s="10979">
        <f>+IF(ISNA(VLOOKUP(MATCH(P164,tfn,0),tao,'12(id)'!$K$20,FALSE)),"",IF(J164="NA","",VLOOKUP(MATCH(P164,tfn,0),tao,'12(id)'!$K$20,FALSE)+J164))</f>
        <v>8302</v>
      </c>
      <c r="L164" s="10979">
        <f>+L163</f>
        <v>4</v>
      </c>
      <c r="M164" s="10979" t="str">
        <f t="shared" si="13"/>
        <v>8302-04</v>
      </c>
      <c r="N164" s="10982" t="str">
        <f>+IF(M164="","",VLOOKUP(MATCH(M164,tid,0),tao,'12(id)'!$Q$20,FALSE))</f>
        <v>12B</v>
      </c>
      <c r="O164" s="6539" t="s">
        <v>1208</v>
      </c>
      <c r="P164" s="6540" t="s">
        <v>325</v>
      </c>
      <c r="Q164" s="6540"/>
      <c r="R164" s="6541">
        <v>563</v>
      </c>
      <c r="S164" s="6542" t="s">
        <v>489</v>
      </c>
      <c r="T164" s="6543" t="s">
        <v>939</v>
      </c>
      <c r="U164" s="6544">
        <v>2008</v>
      </c>
      <c r="V164" s="6540" t="s">
        <v>1209</v>
      </c>
      <c r="W164" s="6545">
        <v>11</v>
      </c>
      <c r="X164" s="6545">
        <v>5</v>
      </c>
      <c r="Y164" s="6545">
        <v>123</v>
      </c>
      <c r="Z164" s="6545" t="s">
        <v>939</v>
      </c>
      <c r="AA164" s="6546">
        <v>0.72</v>
      </c>
      <c r="AB164" s="6547">
        <v>0.6</v>
      </c>
      <c r="AC164" s="6545">
        <v>1560</v>
      </c>
      <c r="AD164" s="6540" t="s">
        <v>944</v>
      </c>
      <c r="AE164" s="6540" t="s">
        <v>1259</v>
      </c>
      <c r="AF164" s="6540" t="s">
        <v>1261</v>
      </c>
      <c r="AG164" s="6540" t="s">
        <v>1262</v>
      </c>
      <c r="AH164" s="6540" t="s">
        <v>1294</v>
      </c>
      <c r="AI164" s="6540"/>
      <c r="AJ164" s="6540"/>
      <c r="AK164" s="6540"/>
      <c r="AL164" s="6543" t="s">
        <v>939</v>
      </c>
      <c r="AM164" s="6543" t="s">
        <v>939</v>
      </c>
      <c r="AN164" s="6543" t="s">
        <v>1300</v>
      </c>
      <c r="AO164" s="6543" t="s">
        <v>1304</v>
      </c>
      <c r="AP164" s="6543" t="s">
        <v>1306</v>
      </c>
      <c r="AQ164" s="6543" t="s">
        <v>939</v>
      </c>
      <c r="AR164" s="6543" t="s">
        <v>939</v>
      </c>
      <c r="AS164" s="6543" t="s">
        <v>939</v>
      </c>
      <c r="AT164" s="6543" t="s">
        <v>939</v>
      </c>
      <c r="AU164" s="6543"/>
      <c r="AV164" s="6543" t="s">
        <v>939</v>
      </c>
      <c r="AW164" s="6547">
        <v>266</v>
      </c>
      <c r="AX164" s="5133"/>
      <c r="AY164" s="5132"/>
      <c r="AZ164" s="5132"/>
      <c r="BA164" s="5132"/>
      <c r="BB164" s="5132"/>
    </row>
    <row r="165" spans="1:54" s="6520" customFormat="1" ht="12.75" customHeight="1">
      <c r="A165" s="10989" t="str">
        <f t="shared" si="12"/>
        <v>8302-05</v>
      </c>
      <c r="B165" s="10995" t="str">
        <f>+B162</f>
        <v>CRRA</v>
      </c>
      <c r="C165" s="10992" t="str">
        <f>+N165</f>
        <v>13A</v>
      </c>
      <c r="E165" s="5132"/>
      <c r="G165" s="6530">
        <v>148</v>
      </c>
      <c r="H165" s="6530">
        <v>213</v>
      </c>
      <c r="I165" s="10977">
        <v>54</v>
      </c>
      <c r="J165" s="10977"/>
      <c r="K165" s="10977">
        <f>+IF(ISNA(VLOOKUP(MATCH(P165,tfn,0),tao,'12(id)'!$K$20,FALSE)),"",IF(J165="NA","",VLOOKUP(MATCH(P165,tfn,0),tao,'12(id)'!$K$20,FALSE)+J165))</f>
        <v>8302</v>
      </c>
      <c r="L165" s="10977">
        <f>1+L164</f>
        <v>5</v>
      </c>
      <c r="M165" s="10977" t="str">
        <f t="shared" si="13"/>
        <v>8302-05</v>
      </c>
      <c r="N165" s="10980" t="str">
        <f>+IF(M165="","",VLOOKUP(MATCH(M165,tid,0),tao,'12(id)'!$Q$20,FALSE))</f>
        <v>13A</v>
      </c>
      <c r="O165" s="6530" t="s">
        <v>1208</v>
      </c>
      <c r="P165" s="6531" t="s">
        <v>325</v>
      </c>
      <c r="Q165" s="6531"/>
      <c r="R165" s="6532">
        <v>563</v>
      </c>
      <c r="S165" s="6533" t="s">
        <v>483</v>
      </c>
      <c r="T165" s="6534" t="s">
        <v>939</v>
      </c>
      <c r="U165" s="6535">
        <v>2010</v>
      </c>
      <c r="V165" s="6531" t="s">
        <v>1209</v>
      </c>
      <c r="W165" s="6536">
        <v>18</v>
      </c>
      <c r="X165" s="6536">
        <v>5</v>
      </c>
      <c r="Y165" s="6536">
        <v>248</v>
      </c>
      <c r="Z165" s="6536" t="s">
        <v>939</v>
      </c>
      <c r="AA165" s="6537">
        <v>0.81</v>
      </c>
      <c r="AB165" s="6538">
        <v>1.4</v>
      </c>
      <c r="AC165" s="6536">
        <v>3313</v>
      </c>
      <c r="AD165" s="6531" t="s">
        <v>944</v>
      </c>
      <c r="AE165" s="6531" t="s">
        <v>1259</v>
      </c>
      <c r="AF165" s="6531" t="s">
        <v>1261</v>
      </c>
      <c r="AG165" s="6531" t="s">
        <v>1262</v>
      </c>
      <c r="AH165" s="6531" t="s">
        <v>1294</v>
      </c>
      <c r="AI165" s="6531"/>
      <c r="AJ165" s="6531"/>
      <c r="AK165" s="6531"/>
      <c r="AL165" s="6534" t="s">
        <v>939</v>
      </c>
      <c r="AM165" s="6534" t="s">
        <v>939</v>
      </c>
      <c r="AN165" s="6534" t="s">
        <v>1300</v>
      </c>
      <c r="AO165" s="6534" t="s">
        <v>1304</v>
      </c>
      <c r="AP165" s="6534" t="s">
        <v>1306</v>
      </c>
      <c r="AQ165" s="6534" t="s">
        <v>939</v>
      </c>
      <c r="AR165" s="6534" t="s">
        <v>939</v>
      </c>
      <c r="AS165" s="6534" t="s">
        <v>939</v>
      </c>
      <c r="AT165" s="6534" t="s">
        <v>939</v>
      </c>
      <c r="AU165" s="6534"/>
      <c r="AV165" s="6534" t="s">
        <v>939</v>
      </c>
      <c r="AW165" s="6538">
        <v>266</v>
      </c>
      <c r="AX165" s="5133"/>
      <c r="AY165" s="5132"/>
      <c r="AZ165" s="5132"/>
      <c r="BA165" s="5132"/>
      <c r="BB165" s="5132"/>
    </row>
    <row r="166" spans="1:54" s="6520" customFormat="1" ht="12.75" customHeight="1">
      <c r="A166" s="10990" t="str">
        <f t="shared" si="12"/>
        <v>8302-05</v>
      </c>
      <c r="B166" s="10996"/>
      <c r="C166" s="10993"/>
      <c r="E166" s="5132"/>
      <c r="G166" s="6530">
        <v>149</v>
      </c>
      <c r="H166" s="6530">
        <v>212</v>
      </c>
      <c r="I166" s="10978"/>
      <c r="J166" s="10978"/>
      <c r="K166" s="10978">
        <f>+IF(ISNA(VLOOKUP(MATCH(P166,tfn,0),tao,'12(id)'!$K$20,FALSE)),"",IF(J166="NA","",VLOOKUP(MATCH(P166,tfn,0),tao,'12(id)'!$K$20,FALSE)+J166))</f>
        <v>8302</v>
      </c>
      <c r="L166" s="10978">
        <f>+L165</f>
        <v>5</v>
      </c>
      <c r="M166" s="10978" t="str">
        <f t="shared" si="13"/>
        <v>8302-05</v>
      </c>
      <c r="N166" s="10981" t="str">
        <f>+IF(M166="","",VLOOKUP(MATCH(M166,tid,0),tao,'12(id)'!$Q$20,FALSE))</f>
        <v>13A</v>
      </c>
      <c r="O166" s="6530" t="s">
        <v>1208</v>
      </c>
      <c r="P166" s="6531" t="s">
        <v>325</v>
      </c>
      <c r="Q166" s="6531"/>
      <c r="R166" s="6532">
        <v>563</v>
      </c>
      <c r="S166" s="6533" t="s">
        <v>483</v>
      </c>
      <c r="T166" s="6534" t="s">
        <v>939</v>
      </c>
      <c r="U166" s="6535">
        <v>2009</v>
      </c>
      <c r="V166" s="6531" t="s">
        <v>1209</v>
      </c>
      <c r="W166" s="6536">
        <v>8</v>
      </c>
      <c r="X166" s="6536">
        <v>5</v>
      </c>
      <c r="Y166" s="6536">
        <v>72</v>
      </c>
      <c r="Z166" s="6536" t="s">
        <v>939</v>
      </c>
      <c r="AA166" s="6537">
        <v>0.86</v>
      </c>
      <c r="AB166" s="6538">
        <v>0.4</v>
      </c>
      <c r="AC166" s="6536">
        <v>910</v>
      </c>
      <c r="AD166" s="6531" t="s">
        <v>944</v>
      </c>
      <c r="AE166" s="6531" t="s">
        <v>1259</v>
      </c>
      <c r="AF166" s="6531" t="s">
        <v>1261</v>
      </c>
      <c r="AG166" s="6531" t="s">
        <v>1262</v>
      </c>
      <c r="AH166" s="6531" t="s">
        <v>1294</v>
      </c>
      <c r="AI166" s="6531"/>
      <c r="AJ166" s="6531"/>
      <c r="AK166" s="6531"/>
      <c r="AL166" s="6534" t="s">
        <v>939</v>
      </c>
      <c r="AM166" s="6534" t="s">
        <v>939</v>
      </c>
      <c r="AN166" s="6534" t="s">
        <v>1300</v>
      </c>
      <c r="AO166" s="6534" t="s">
        <v>1304</v>
      </c>
      <c r="AP166" s="6534" t="s">
        <v>1306</v>
      </c>
      <c r="AQ166" s="6534" t="s">
        <v>939</v>
      </c>
      <c r="AR166" s="6534" t="s">
        <v>939</v>
      </c>
      <c r="AS166" s="6534" t="s">
        <v>939</v>
      </c>
      <c r="AT166" s="6534" t="s">
        <v>939</v>
      </c>
      <c r="AU166" s="6534"/>
      <c r="AV166" s="6534" t="s">
        <v>939</v>
      </c>
      <c r="AW166" s="6538">
        <v>266</v>
      </c>
      <c r="AX166" s="5133"/>
      <c r="AY166" s="5132"/>
      <c r="AZ166" s="5132"/>
      <c r="BA166" s="5132"/>
      <c r="BB166" s="5132"/>
    </row>
    <row r="167" spans="1:54" s="6520" customFormat="1" ht="12.75" customHeight="1">
      <c r="A167" s="10991" t="str">
        <f t="shared" si="12"/>
        <v>8302-05</v>
      </c>
      <c r="B167" s="10997"/>
      <c r="C167" s="10994"/>
      <c r="E167" s="5132"/>
      <c r="G167" s="6539">
        <v>150</v>
      </c>
      <c r="H167" s="6539">
        <v>211</v>
      </c>
      <c r="I167" s="10979"/>
      <c r="J167" s="10979"/>
      <c r="K167" s="10979">
        <f>+IF(ISNA(VLOOKUP(MATCH(P167,tfn,0),tao,'12(id)'!$K$20,FALSE)),"",IF(J167="NA","",VLOOKUP(MATCH(P167,tfn,0),tao,'12(id)'!$K$20,FALSE)+J167))</f>
        <v>8302</v>
      </c>
      <c r="L167" s="10979">
        <f>+L166</f>
        <v>5</v>
      </c>
      <c r="M167" s="10979" t="str">
        <f t="shared" si="13"/>
        <v>8302-05</v>
      </c>
      <c r="N167" s="10982" t="str">
        <f>+IF(M167="","",VLOOKUP(MATCH(M167,tid,0),tao,'12(id)'!$Q$20,FALSE))</f>
        <v>13A</v>
      </c>
      <c r="O167" s="6539" t="s">
        <v>1208</v>
      </c>
      <c r="P167" s="6540" t="s">
        <v>325</v>
      </c>
      <c r="Q167" s="6540"/>
      <c r="R167" s="6541">
        <v>563</v>
      </c>
      <c r="S167" s="6542" t="s">
        <v>483</v>
      </c>
      <c r="T167" s="6543" t="s">
        <v>939</v>
      </c>
      <c r="U167" s="6544">
        <v>2008</v>
      </c>
      <c r="V167" s="6540" t="s">
        <v>1209</v>
      </c>
      <c r="W167" s="6545">
        <v>12</v>
      </c>
      <c r="X167" s="6545">
        <v>5</v>
      </c>
      <c r="Y167" s="6545">
        <v>111</v>
      </c>
      <c r="Z167" s="6545" t="s">
        <v>939</v>
      </c>
      <c r="AA167" s="6546">
        <v>0.88</v>
      </c>
      <c r="AB167" s="6547">
        <v>0.6</v>
      </c>
      <c r="AC167" s="6545">
        <v>1405</v>
      </c>
      <c r="AD167" s="6540" t="s">
        <v>944</v>
      </c>
      <c r="AE167" s="6540" t="s">
        <v>1259</v>
      </c>
      <c r="AF167" s="6540" t="s">
        <v>1261</v>
      </c>
      <c r="AG167" s="6540" t="s">
        <v>1262</v>
      </c>
      <c r="AH167" s="6540" t="s">
        <v>1294</v>
      </c>
      <c r="AI167" s="6540"/>
      <c r="AJ167" s="6540"/>
      <c r="AK167" s="6540"/>
      <c r="AL167" s="6543" t="s">
        <v>939</v>
      </c>
      <c r="AM167" s="6543" t="s">
        <v>939</v>
      </c>
      <c r="AN167" s="6543" t="s">
        <v>1300</v>
      </c>
      <c r="AO167" s="6543" t="s">
        <v>1304</v>
      </c>
      <c r="AP167" s="6543" t="s">
        <v>1306</v>
      </c>
      <c r="AQ167" s="6543" t="s">
        <v>939</v>
      </c>
      <c r="AR167" s="6543" t="s">
        <v>939</v>
      </c>
      <c r="AS167" s="6543" t="s">
        <v>939</v>
      </c>
      <c r="AT167" s="6543" t="s">
        <v>939</v>
      </c>
      <c r="AU167" s="6543"/>
      <c r="AV167" s="6543" t="s">
        <v>939</v>
      </c>
      <c r="AW167" s="6547">
        <v>266</v>
      </c>
      <c r="AX167" s="5133"/>
      <c r="AY167" s="5132"/>
      <c r="AZ167" s="5132"/>
      <c r="BA167" s="5132"/>
      <c r="BB167" s="5132"/>
    </row>
    <row r="168" spans="1:54" s="6520" customFormat="1" ht="12.75" customHeight="1">
      <c r="A168" s="10989" t="str">
        <f t="shared" si="12"/>
        <v>8302-06</v>
      </c>
      <c r="B168" s="10995" t="str">
        <f>+B165</f>
        <v>CRRA</v>
      </c>
      <c r="C168" s="10992" t="str">
        <f>+N168</f>
        <v>13B</v>
      </c>
      <c r="E168" s="5132"/>
      <c r="G168" s="6530">
        <v>151</v>
      </c>
      <c r="H168" s="6530">
        <v>216</v>
      </c>
      <c r="I168" s="10977">
        <v>55</v>
      </c>
      <c r="J168" s="10977"/>
      <c r="K168" s="10977">
        <f>+IF(ISNA(VLOOKUP(MATCH(P168,tfn,0),tao,'12(id)'!$K$20,FALSE)),"",IF(J168="NA","",VLOOKUP(MATCH(P168,tfn,0),tao,'12(id)'!$K$20,FALSE)+J168))</f>
        <v>8302</v>
      </c>
      <c r="L168" s="10977">
        <f>1+L167</f>
        <v>6</v>
      </c>
      <c r="M168" s="10977" t="str">
        <f t="shared" si="13"/>
        <v>8302-06</v>
      </c>
      <c r="N168" s="10980" t="str">
        <f>+IF(M168="","",VLOOKUP(MATCH(M168,tid,0),tao,'12(id)'!$Q$20,FALSE))</f>
        <v>13B</v>
      </c>
      <c r="O168" s="6530" t="s">
        <v>1208</v>
      </c>
      <c r="P168" s="6531" t="s">
        <v>325</v>
      </c>
      <c r="Q168" s="6531"/>
      <c r="R168" s="6532">
        <v>563</v>
      </c>
      <c r="S168" s="6533" t="s">
        <v>490</v>
      </c>
      <c r="T168" s="6534" t="s">
        <v>939</v>
      </c>
      <c r="U168" s="6535">
        <v>2010</v>
      </c>
      <c r="V168" s="6531" t="s">
        <v>1209</v>
      </c>
      <c r="W168" s="6536">
        <v>18</v>
      </c>
      <c r="X168" s="6536">
        <v>5</v>
      </c>
      <c r="Y168" s="6536">
        <v>248</v>
      </c>
      <c r="Z168" s="6536" t="s">
        <v>939</v>
      </c>
      <c r="AA168" s="6537">
        <v>0.79</v>
      </c>
      <c r="AB168" s="6538">
        <v>1.3</v>
      </c>
      <c r="AC168" s="6536">
        <v>3313</v>
      </c>
      <c r="AD168" s="6531" t="s">
        <v>944</v>
      </c>
      <c r="AE168" s="6531" t="s">
        <v>1259</v>
      </c>
      <c r="AF168" s="6531" t="s">
        <v>1261</v>
      </c>
      <c r="AG168" s="6531" t="s">
        <v>1262</v>
      </c>
      <c r="AH168" s="6531" t="s">
        <v>1294</v>
      </c>
      <c r="AI168" s="6531"/>
      <c r="AJ168" s="6531"/>
      <c r="AK168" s="6531"/>
      <c r="AL168" s="6534" t="s">
        <v>939</v>
      </c>
      <c r="AM168" s="6534" t="s">
        <v>939</v>
      </c>
      <c r="AN168" s="6534" t="s">
        <v>1300</v>
      </c>
      <c r="AO168" s="6534" t="s">
        <v>1304</v>
      </c>
      <c r="AP168" s="6534" t="s">
        <v>1306</v>
      </c>
      <c r="AQ168" s="6534" t="s">
        <v>939</v>
      </c>
      <c r="AR168" s="6534" t="s">
        <v>939</v>
      </c>
      <c r="AS168" s="6534" t="s">
        <v>939</v>
      </c>
      <c r="AT168" s="6534" t="s">
        <v>939</v>
      </c>
      <c r="AU168" s="6534"/>
      <c r="AV168" s="6534" t="s">
        <v>939</v>
      </c>
      <c r="AW168" s="6538">
        <v>266</v>
      </c>
      <c r="AX168" s="5133"/>
      <c r="AY168" s="5132"/>
      <c r="AZ168" s="5132"/>
      <c r="BA168" s="5132"/>
      <c r="BB168" s="5132"/>
    </row>
    <row r="169" spans="1:54" s="6520" customFormat="1" ht="12.75" customHeight="1">
      <c r="A169" s="10990" t="str">
        <f t="shared" si="12"/>
        <v>8302-06</v>
      </c>
      <c r="B169" s="10996"/>
      <c r="C169" s="10993"/>
      <c r="E169" s="5132"/>
      <c r="G169" s="6530">
        <v>152</v>
      </c>
      <c r="H169" s="6530">
        <v>215</v>
      </c>
      <c r="I169" s="10978"/>
      <c r="J169" s="10978"/>
      <c r="K169" s="10978">
        <f>+IF(ISNA(VLOOKUP(MATCH(P169,tfn,0),tao,'12(id)'!$K$20,FALSE)),"",IF(J169="NA","",VLOOKUP(MATCH(P169,tfn,0),tao,'12(id)'!$K$20,FALSE)+J169))</f>
        <v>8302</v>
      </c>
      <c r="L169" s="10978">
        <f>+L168</f>
        <v>6</v>
      </c>
      <c r="M169" s="10978" t="str">
        <f t="shared" si="13"/>
        <v>8302-06</v>
      </c>
      <c r="N169" s="10981" t="str">
        <f>+IF(M169="","",VLOOKUP(MATCH(M169,tid,0),tao,'12(id)'!$Q$20,FALSE))</f>
        <v>13B</v>
      </c>
      <c r="O169" s="6530" t="s">
        <v>1208</v>
      </c>
      <c r="P169" s="6531" t="s">
        <v>325</v>
      </c>
      <c r="Q169" s="6531"/>
      <c r="R169" s="6532">
        <v>563</v>
      </c>
      <c r="S169" s="6533" t="s">
        <v>490</v>
      </c>
      <c r="T169" s="6534" t="s">
        <v>939</v>
      </c>
      <c r="U169" s="6535">
        <v>2009</v>
      </c>
      <c r="V169" s="6531" t="s">
        <v>1209</v>
      </c>
      <c r="W169" s="6536">
        <v>8</v>
      </c>
      <c r="X169" s="6536">
        <v>5</v>
      </c>
      <c r="Y169" s="6536">
        <v>72</v>
      </c>
      <c r="Z169" s="6536" t="s">
        <v>939</v>
      </c>
      <c r="AA169" s="6537">
        <v>0.82</v>
      </c>
      <c r="AB169" s="6538">
        <v>0.4</v>
      </c>
      <c r="AC169" s="6536">
        <v>910</v>
      </c>
      <c r="AD169" s="6531" t="s">
        <v>944</v>
      </c>
      <c r="AE169" s="6531" t="s">
        <v>1259</v>
      </c>
      <c r="AF169" s="6531" t="s">
        <v>1261</v>
      </c>
      <c r="AG169" s="6531" t="s">
        <v>1262</v>
      </c>
      <c r="AH169" s="6531" t="s">
        <v>1294</v>
      </c>
      <c r="AI169" s="6531"/>
      <c r="AJ169" s="6531"/>
      <c r="AK169" s="6531"/>
      <c r="AL169" s="6534" t="s">
        <v>939</v>
      </c>
      <c r="AM169" s="6534" t="s">
        <v>939</v>
      </c>
      <c r="AN169" s="6534" t="s">
        <v>1300</v>
      </c>
      <c r="AO169" s="6534" t="s">
        <v>1304</v>
      </c>
      <c r="AP169" s="6534" t="s">
        <v>1306</v>
      </c>
      <c r="AQ169" s="6534" t="s">
        <v>939</v>
      </c>
      <c r="AR169" s="6534" t="s">
        <v>939</v>
      </c>
      <c r="AS169" s="6534" t="s">
        <v>939</v>
      </c>
      <c r="AT169" s="6534" t="s">
        <v>939</v>
      </c>
      <c r="AU169" s="6534"/>
      <c r="AV169" s="6534" t="s">
        <v>939</v>
      </c>
      <c r="AW169" s="6538">
        <v>266</v>
      </c>
      <c r="AX169" s="5133"/>
      <c r="AY169" s="5132"/>
      <c r="AZ169" s="5132"/>
      <c r="BA169" s="5132"/>
      <c r="BB169" s="5132"/>
    </row>
    <row r="170" spans="1:54" s="6520" customFormat="1" ht="12.75" customHeight="1">
      <c r="A170" s="10991" t="str">
        <f t="shared" si="12"/>
        <v>8302-06</v>
      </c>
      <c r="B170" s="10997"/>
      <c r="C170" s="10994"/>
      <c r="E170" s="5132"/>
      <c r="G170" s="6539">
        <v>153</v>
      </c>
      <c r="H170" s="6539">
        <v>214</v>
      </c>
      <c r="I170" s="10979"/>
      <c r="J170" s="10979"/>
      <c r="K170" s="10979">
        <f>+IF(ISNA(VLOOKUP(MATCH(P170,tfn,0),tao,'12(id)'!$K$20,FALSE)),"",IF(J170="NA","",VLOOKUP(MATCH(P170,tfn,0),tao,'12(id)'!$K$20,FALSE)+J170))</f>
        <v>8302</v>
      </c>
      <c r="L170" s="10979">
        <f>+L169</f>
        <v>6</v>
      </c>
      <c r="M170" s="10979" t="str">
        <f t="shared" si="13"/>
        <v>8302-06</v>
      </c>
      <c r="N170" s="10982" t="str">
        <f>+IF(M170="","",VLOOKUP(MATCH(M170,tid,0),tao,'12(id)'!$Q$20,FALSE))</f>
        <v>13B</v>
      </c>
      <c r="O170" s="6539" t="s">
        <v>1208</v>
      </c>
      <c r="P170" s="6540" t="s">
        <v>325</v>
      </c>
      <c r="Q170" s="6540"/>
      <c r="R170" s="6541">
        <v>563</v>
      </c>
      <c r="S170" s="6542" t="s">
        <v>490</v>
      </c>
      <c r="T170" s="6543" t="s">
        <v>939</v>
      </c>
      <c r="U170" s="6544">
        <v>2008</v>
      </c>
      <c r="V170" s="6540" t="s">
        <v>1209</v>
      </c>
      <c r="W170" s="6545">
        <v>12</v>
      </c>
      <c r="X170" s="6545">
        <v>5</v>
      </c>
      <c r="Y170" s="6545">
        <v>111</v>
      </c>
      <c r="Z170" s="6545" t="s">
        <v>939</v>
      </c>
      <c r="AA170" s="6546">
        <v>0.84</v>
      </c>
      <c r="AB170" s="6547">
        <v>0.6</v>
      </c>
      <c r="AC170" s="6545">
        <v>1405</v>
      </c>
      <c r="AD170" s="6540" t="s">
        <v>944</v>
      </c>
      <c r="AE170" s="6540" t="s">
        <v>1259</v>
      </c>
      <c r="AF170" s="6540" t="s">
        <v>1261</v>
      </c>
      <c r="AG170" s="6540" t="s">
        <v>1262</v>
      </c>
      <c r="AH170" s="6540" t="s">
        <v>1294</v>
      </c>
      <c r="AI170" s="6540"/>
      <c r="AJ170" s="6540"/>
      <c r="AK170" s="6540"/>
      <c r="AL170" s="6543" t="s">
        <v>939</v>
      </c>
      <c r="AM170" s="6543" t="s">
        <v>939</v>
      </c>
      <c r="AN170" s="6543" t="s">
        <v>1300</v>
      </c>
      <c r="AO170" s="6543" t="s">
        <v>1304</v>
      </c>
      <c r="AP170" s="6543" t="s">
        <v>1306</v>
      </c>
      <c r="AQ170" s="6543" t="s">
        <v>939</v>
      </c>
      <c r="AR170" s="6543" t="s">
        <v>939</v>
      </c>
      <c r="AS170" s="6543" t="s">
        <v>939</v>
      </c>
      <c r="AT170" s="6543" t="s">
        <v>939</v>
      </c>
      <c r="AU170" s="6543"/>
      <c r="AV170" s="6543" t="s">
        <v>939</v>
      </c>
      <c r="AW170" s="6547">
        <v>266</v>
      </c>
      <c r="AX170" s="5133"/>
      <c r="AY170" s="5132"/>
      <c r="AZ170" s="5132"/>
      <c r="BA170" s="5132"/>
      <c r="BB170" s="5132"/>
    </row>
    <row r="171" spans="1:54" s="6520" customFormat="1" ht="12.75" customHeight="1">
      <c r="A171" s="10989" t="str">
        <f t="shared" ref="A171:A202" si="14">+IF(M171="","",M171)</f>
        <v>8302-07</v>
      </c>
      <c r="B171" s="10995" t="str">
        <f>+B168</f>
        <v>CRRA</v>
      </c>
      <c r="C171" s="10992" t="str">
        <f>+N171</f>
        <v>14A</v>
      </c>
      <c r="E171" s="5132"/>
      <c r="G171" s="6530">
        <v>154</v>
      </c>
      <c r="H171" s="6530">
        <v>219</v>
      </c>
      <c r="I171" s="10977">
        <v>56</v>
      </c>
      <c r="J171" s="10977"/>
      <c r="K171" s="10977">
        <f>+IF(ISNA(VLOOKUP(MATCH(P171,tfn,0),tao,'12(id)'!$K$20,FALSE)),"",IF(J171="NA","",VLOOKUP(MATCH(P171,tfn,0),tao,'12(id)'!$K$20,FALSE)+J171))</f>
        <v>8302</v>
      </c>
      <c r="L171" s="10977">
        <f>1+L170</f>
        <v>7</v>
      </c>
      <c r="M171" s="10977" t="str">
        <f t="shared" si="13"/>
        <v>8302-07</v>
      </c>
      <c r="N171" s="10980" t="str">
        <f>+IF(M171="","",VLOOKUP(MATCH(M171,tid,0),tao,'12(id)'!$Q$20,FALSE))</f>
        <v>14A</v>
      </c>
      <c r="O171" s="6530" t="s">
        <v>1208</v>
      </c>
      <c r="P171" s="6531" t="s">
        <v>325</v>
      </c>
      <c r="Q171" s="6531"/>
      <c r="R171" s="6532">
        <v>563</v>
      </c>
      <c r="S171" s="6533" t="s">
        <v>491</v>
      </c>
      <c r="T171" s="6534" t="s">
        <v>939</v>
      </c>
      <c r="U171" s="6535">
        <v>2010</v>
      </c>
      <c r="V171" s="6531" t="s">
        <v>1209</v>
      </c>
      <c r="W171" s="6536">
        <v>16</v>
      </c>
      <c r="X171" s="6536">
        <v>5</v>
      </c>
      <c r="Y171" s="6536">
        <v>220</v>
      </c>
      <c r="Z171" s="6536" t="s">
        <v>939</v>
      </c>
      <c r="AA171" s="6537">
        <v>0.82</v>
      </c>
      <c r="AB171" s="6538">
        <v>1.2</v>
      </c>
      <c r="AC171" s="6536">
        <v>2931</v>
      </c>
      <c r="AD171" s="6531" t="s">
        <v>944</v>
      </c>
      <c r="AE171" s="6531" t="s">
        <v>1259</v>
      </c>
      <c r="AF171" s="6531" t="s">
        <v>1261</v>
      </c>
      <c r="AG171" s="6531" t="s">
        <v>1262</v>
      </c>
      <c r="AH171" s="6531" t="s">
        <v>1294</v>
      </c>
      <c r="AI171" s="6531"/>
      <c r="AJ171" s="6531"/>
      <c r="AK171" s="6531"/>
      <c r="AL171" s="6534" t="s">
        <v>939</v>
      </c>
      <c r="AM171" s="6534" t="s">
        <v>939</v>
      </c>
      <c r="AN171" s="6534" t="s">
        <v>1300</v>
      </c>
      <c r="AO171" s="6534" t="s">
        <v>1304</v>
      </c>
      <c r="AP171" s="6534" t="s">
        <v>1306</v>
      </c>
      <c r="AQ171" s="6534" t="s">
        <v>939</v>
      </c>
      <c r="AR171" s="6534" t="s">
        <v>939</v>
      </c>
      <c r="AS171" s="6534" t="s">
        <v>939</v>
      </c>
      <c r="AT171" s="6534" t="s">
        <v>939</v>
      </c>
      <c r="AU171" s="6534"/>
      <c r="AV171" s="6534" t="s">
        <v>939</v>
      </c>
      <c r="AW171" s="6538">
        <v>266</v>
      </c>
      <c r="AX171" s="5133"/>
      <c r="AY171" s="5132"/>
      <c r="AZ171" s="5132"/>
      <c r="BA171" s="5132"/>
      <c r="BB171" s="5132"/>
    </row>
    <row r="172" spans="1:54" s="6520" customFormat="1" ht="12.75" customHeight="1">
      <c r="A172" s="10990" t="str">
        <f t="shared" si="14"/>
        <v>8302-07</v>
      </c>
      <c r="B172" s="10996"/>
      <c r="C172" s="10993"/>
      <c r="E172" s="5132"/>
      <c r="G172" s="6530">
        <v>155</v>
      </c>
      <c r="H172" s="6530">
        <v>218</v>
      </c>
      <c r="I172" s="10978"/>
      <c r="J172" s="10978"/>
      <c r="K172" s="10978">
        <f>+IF(ISNA(VLOOKUP(MATCH(P172,tfn,0),tao,'12(id)'!$K$20,FALSE)),"",IF(J172="NA","",VLOOKUP(MATCH(P172,tfn,0),tao,'12(id)'!$K$20,FALSE)+J172))</f>
        <v>8302</v>
      </c>
      <c r="L172" s="10978">
        <f>+L171</f>
        <v>7</v>
      </c>
      <c r="M172" s="10978" t="str">
        <f t="shared" si="13"/>
        <v>8302-07</v>
      </c>
      <c r="N172" s="10981" t="str">
        <f>+IF(M172="","",VLOOKUP(MATCH(M172,tid,0),tao,'12(id)'!$Q$20,FALSE))</f>
        <v>14A</v>
      </c>
      <c r="O172" s="6530" t="s">
        <v>1208</v>
      </c>
      <c r="P172" s="6531" t="s">
        <v>325</v>
      </c>
      <c r="Q172" s="6531"/>
      <c r="R172" s="6532">
        <v>563</v>
      </c>
      <c r="S172" s="6533" t="s">
        <v>491</v>
      </c>
      <c r="T172" s="6534" t="s">
        <v>939</v>
      </c>
      <c r="U172" s="6535">
        <v>2009</v>
      </c>
      <c r="V172" s="6531" t="s">
        <v>1209</v>
      </c>
      <c r="W172" s="6536">
        <v>6</v>
      </c>
      <c r="X172" s="6536">
        <v>5</v>
      </c>
      <c r="Y172" s="6536">
        <v>64</v>
      </c>
      <c r="Z172" s="6536" t="s">
        <v>939</v>
      </c>
      <c r="AA172" s="6537">
        <v>0.86</v>
      </c>
      <c r="AB172" s="6538">
        <v>0.4</v>
      </c>
      <c r="AC172" s="6536">
        <v>825</v>
      </c>
      <c r="AD172" s="6531" t="s">
        <v>944</v>
      </c>
      <c r="AE172" s="6531" t="s">
        <v>1259</v>
      </c>
      <c r="AF172" s="6531" t="s">
        <v>1261</v>
      </c>
      <c r="AG172" s="6531" t="s">
        <v>1262</v>
      </c>
      <c r="AH172" s="6531" t="s">
        <v>1294</v>
      </c>
      <c r="AI172" s="6531"/>
      <c r="AJ172" s="6531"/>
      <c r="AK172" s="6531"/>
      <c r="AL172" s="6534" t="s">
        <v>939</v>
      </c>
      <c r="AM172" s="6534" t="s">
        <v>939</v>
      </c>
      <c r="AN172" s="6534" t="s">
        <v>1300</v>
      </c>
      <c r="AO172" s="6534" t="s">
        <v>1304</v>
      </c>
      <c r="AP172" s="6534" t="s">
        <v>1306</v>
      </c>
      <c r="AQ172" s="6534" t="s">
        <v>939</v>
      </c>
      <c r="AR172" s="6534" t="s">
        <v>939</v>
      </c>
      <c r="AS172" s="6534" t="s">
        <v>939</v>
      </c>
      <c r="AT172" s="6534" t="s">
        <v>939</v>
      </c>
      <c r="AU172" s="6534"/>
      <c r="AV172" s="6534" t="s">
        <v>939</v>
      </c>
      <c r="AW172" s="6538">
        <v>266</v>
      </c>
      <c r="AX172" s="5133"/>
      <c r="AY172" s="5132"/>
      <c r="AZ172" s="5132"/>
      <c r="BA172" s="5132"/>
      <c r="BB172" s="5132"/>
    </row>
    <row r="173" spans="1:54" s="6520" customFormat="1" ht="12.75" customHeight="1">
      <c r="A173" s="10991" t="str">
        <f t="shared" si="14"/>
        <v>8302-07</v>
      </c>
      <c r="B173" s="10997"/>
      <c r="C173" s="10994"/>
      <c r="E173" s="5132"/>
      <c r="G173" s="6539">
        <v>156</v>
      </c>
      <c r="H173" s="6539">
        <v>217</v>
      </c>
      <c r="I173" s="10979"/>
      <c r="J173" s="10979"/>
      <c r="K173" s="10979">
        <f>+IF(ISNA(VLOOKUP(MATCH(P173,tfn,0),tao,'12(id)'!$K$20,FALSE)),"",IF(J173="NA","",VLOOKUP(MATCH(P173,tfn,0),tao,'12(id)'!$K$20,FALSE)+J173))</f>
        <v>8302</v>
      </c>
      <c r="L173" s="10979">
        <f>+L172</f>
        <v>7</v>
      </c>
      <c r="M173" s="10979" t="str">
        <f t="shared" si="13"/>
        <v>8302-07</v>
      </c>
      <c r="N173" s="10982" t="str">
        <f>+IF(M173="","",VLOOKUP(MATCH(M173,tid,0),tao,'12(id)'!$Q$20,FALSE))</f>
        <v>14A</v>
      </c>
      <c r="O173" s="6539" t="s">
        <v>1208</v>
      </c>
      <c r="P173" s="6540" t="s">
        <v>325</v>
      </c>
      <c r="Q173" s="6540"/>
      <c r="R173" s="6541">
        <v>563</v>
      </c>
      <c r="S173" s="6542" t="s">
        <v>491</v>
      </c>
      <c r="T173" s="6543" t="s">
        <v>939</v>
      </c>
      <c r="U173" s="6544">
        <v>2008</v>
      </c>
      <c r="V173" s="6540" t="s">
        <v>1209</v>
      </c>
      <c r="W173" s="6545">
        <v>9</v>
      </c>
      <c r="X173" s="6545">
        <v>5</v>
      </c>
      <c r="Y173" s="6545">
        <v>89</v>
      </c>
      <c r="Z173" s="6545" t="s">
        <v>939</v>
      </c>
      <c r="AA173" s="6546">
        <v>0.87</v>
      </c>
      <c r="AB173" s="6547">
        <v>0.5</v>
      </c>
      <c r="AC173" s="6545">
        <v>1135</v>
      </c>
      <c r="AD173" s="6540" t="s">
        <v>944</v>
      </c>
      <c r="AE173" s="6540" t="s">
        <v>1259</v>
      </c>
      <c r="AF173" s="6540" t="s">
        <v>1261</v>
      </c>
      <c r="AG173" s="6540" t="s">
        <v>1262</v>
      </c>
      <c r="AH173" s="6540" t="s">
        <v>1294</v>
      </c>
      <c r="AI173" s="6540"/>
      <c r="AJ173" s="6540"/>
      <c r="AK173" s="6540"/>
      <c r="AL173" s="6543" t="s">
        <v>939</v>
      </c>
      <c r="AM173" s="6543" t="s">
        <v>939</v>
      </c>
      <c r="AN173" s="6543" t="s">
        <v>1300</v>
      </c>
      <c r="AO173" s="6543" t="s">
        <v>1304</v>
      </c>
      <c r="AP173" s="6543" t="s">
        <v>1306</v>
      </c>
      <c r="AQ173" s="6543" t="s">
        <v>939</v>
      </c>
      <c r="AR173" s="6543" t="s">
        <v>939</v>
      </c>
      <c r="AS173" s="6543" t="s">
        <v>939</v>
      </c>
      <c r="AT173" s="6543" t="s">
        <v>939</v>
      </c>
      <c r="AU173" s="6543"/>
      <c r="AV173" s="6543" t="s">
        <v>939</v>
      </c>
      <c r="AW173" s="6547">
        <v>266</v>
      </c>
      <c r="AX173" s="5133"/>
      <c r="AY173" s="5132"/>
      <c r="AZ173" s="5132"/>
      <c r="BA173" s="5132"/>
      <c r="BB173" s="5132"/>
    </row>
    <row r="174" spans="1:54" s="6520" customFormat="1" ht="12.75" customHeight="1">
      <c r="A174" s="10989" t="str">
        <f t="shared" si="14"/>
        <v>8302-08</v>
      </c>
      <c r="B174" s="10995" t="str">
        <f>+B171</f>
        <v>CRRA</v>
      </c>
      <c r="C174" s="10992" t="str">
        <f>+N174</f>
        <v>14B</v>
      </c>
      <c r="E174" s="5132"/>
      <c r="G174" s="6530">
        <v>157</v>
      </c>
      <c r="H174" s="6530">
        <v>222</v>
      </c>
      <c r="I174" s="10977">
        <v>57</v>
      </c>
      <c r="J174" s="10977"/>
      <c r="K174" s="10977">
        <f>+IF(ISNA(VLOOKUP(MATCH(P174,tfn,0),tao,'12(id)'!$K$20,FALSE)),"",IF(J174="NA","",VLOOKUP(MATCH(P174,tfn,0),tao,'12(id)'!$K$20,FALSE)+J174))</f>
        <v>8302</v>
      </c>
      <c r="L174" s="10977">
        <f>1+L173</f>
        <v>8</v>
      </c>
      <c r="M174" s="10977" t="str">
        <f t="shared" si="13"/>
        <v>8302-08</v>
      </c>
      <c r="N174" s="10980" t="str">
        <f>+IF(M174="","",VLOOKUP(MATCH(M174,tid,0),tao,'12(id)'!$Q$20,FALSE))</f>
        <v>14B</v>
      </c>
      <c r="O174" s="6530" t="s">
        <v>1208</v>
      </c>
      <c r="P174" s="6531" t="s">
        <v>325</v>
      </c>
      <c r="Q174" s="6531"/>
      <c r="R174" s="6532">
        <v>563</v>
      </c>
      <c r="S174" s="6533" t="s">
        <v>492</v>
      </c>
      <c r="T174" s="6534" t="s">
        <v>939</v>
      </c>
      <c r="U174" s="6535">
        <v>2010</v>
      </c>
      <c r="V174" s="6531" t="s">
        <v>1209</v>
      </c>
      <c r="W174" s="6536">
        <v>16</v>
      </c>
      <c r="X174" s="6536">
        <v>5</v>
      </c>
      <c r="Y174" s="6536">
        <v>220</v>
      </c>
      <c r="Z174" s="6536" t="s">
        <v>939</v>
      </c>
      <c r="AA174" s="6537">
        <v>0.84</v>
      </c>
      <c r="AB174" s="6538">
        <v>1.2</v>
      </c>
      <c r="AC174" s="6536">
        <v>2931</v>
      </c>
      <c r="AD174" s="6531" t="s">
        <v>944</v>
      </c>
      <c r="AE174" s="6531" t="s">
        <v>1259</v>
      </c>
      <c r="AF174" s="6531" t="s">
        <v>1261</v>
      </c>
      <c r="AG174" s="6531" t="s">
        <v>1262</v>
      </c>
      <c r="AH174" s="6531" t="s">
        <v>1294</v>
      </c>
      <c r="AI174" s="6531"/>
      <c r="AJ174" s="6531"/>
      <c r="AK174" s="6531"/>
      <c r="AL174" s="6534" t="s">
        <v>939</v>
      </c>
      <c r="AM174" s="6534" t="s">
        <v>939</v>
      </c>
      <c r="AN174" s="6534" t="s">
        <v>1300</v>
      </c>
      <c r="AO174" s="6534" t="s">
        <v>1304</v>
      </c>
      <c r="AP174" s="6534" t="s">
        <v>1306</v>
      </c>
      <c r="AQ174" s="6534" t="s">
        <v>939</v>
      </c>
      <c r="AR174" s="6534" t="s">
        <v>939</v>
      </c>
      <c r="AS174" s="6534" t="s">
        <v>939</v>
      </c>
      <c r="AT174" s="6534" t="s">
        <v>939</v>
      </c>
      <c r="AU174" s="6534"/>
      <c r="AV174" s="6534" t="s">
        <v>939</v>
      </c>
      <c r="AW174" s="6538">
        <v>266</v>
      </c>
      <c r="AX174" s="5133"/>
      <c r="AY174" s="5132"/>
      <c r="AZ174" s="5132"/>
      <c r="BA174" s="5132"/>
      <c r="BB174" s="5132"/>
    </row>
    <row r="175" spans="1:54" s="6520" customFormat="1" ht="12.75" customHeight="1">
      <c r="A175" s="10990" t="str">
        <f t="shared" si="14"/>
        <v>8302-08</v>
      </c>
      <c r="B175" s="10996"/>
      <c r="C175" s="10993"/>
      <c r="E175" s="5132"/>
      <c r="G175" s="6530">
        <v>158</v>
      </c>
      <c r="H175" s="6530">
        <v>221</v>
      </c>
      <c r="I175" s="10978"/>
      <c r="J175" s="10978"/>
      <c r="K175" s="10978">
        <f>+IF(ISNA(VLOOKUP(MATCH(P175,tfn,0),tao,'12(id)'!$K$20,FALSE)),"",IF(J175="NA","",VLOOKUP(MATCH(P175,tfn,0),tao,'12(id)'!$K$20,FALSE)+J175))</f>
        <v>8302</v>
      </c>
      <c r="L175" s="10978">
        <f>+L174</f>
        <v>8</v>
      </c>
      <c r="M175" s="10978" t="str">
        <f t="shared" si="13"/>
        <v>8302-08</v>
      </c>
      <c r="N175" s="10981" t="str">
        <f>+IF(M175="","",VLOOKUP(MATCH(M175,tid,0),tao,'12(id)'!$Q$20,FALSE))</f>
        <v>14B</v>
      </c>
      <c r="O175" s="6530" t="s">
        <v>1208</v>
      </c>
      <c r="P175" s="6531" t="s">
        <v>325</v>
      </c>
      <c r="Q175" s="6531"/>
      <c r="R175" s="6532">
        <v>563</v>
      </c>
      <c r="S175" s="6533" t="s">
        <v>492</v>
      </c>
      <c r="T175" s="6534" t="s">
        <v>939</v>
      </c>
      <c r="U175" s="6535">
        <v>2009</v>
      </c>
      <c r="V175" s="6531" t="s">
        <v>1209</v>
      </c>
      <c r="W175" s="6536">
        <v>6</v>
      </c>
      <c r="X175" s="6536">
        <v>5</v>
      </c>
      <c r="Y175" s="6536">
        <v>64</v>
      </c>
      <c r="Z175" s="6536" t="s">
        <v>939</v>
      </c>
      <c r="AA175" s="6537">
        <v>0.73</v>
      </c>
      <c r="AB175" s="6538">
        <v>0.3</v>
      </c>
      <c r="AC175" s="6536">
        <v>825</v>
      </c>
      <c r="AD175" s="6531" t="s">
        <v>944</v>
      </c>
      <c r="AE175" s="6531" t="s">
        <v>1259</v>
      </c>
      <c r="AF175" s="6531" t="s">
        <v>1261</v>
      </c>
      <c r="AG175" s="6531" t="s">
        <v>1262</v>
      </c>
      <c r="AH175" s="6531" t="s">
        <v>1294</v>
      </c>
      <c r="AI175" s="6531"/>
      <c r="AJ175" s="6531"/>
      <c r="AK175" s="6531"/>
      <c r="AL175" s="6534" t="s">
        <v>939</v>
      </c>
      <c r="AM175" s="6534" t="s">
        <v>939</v>
      </c>
      <c r="AN175" s="6534" t="s">
        <v>1300</v>
      </c>
      <c r="AO175" s="6534" t="s">
        <v>1304</v>
      </c>
      <c r="AP175" s="6534" t="s">
        <v>1306</v>
      </c>
      <c r="AQ175" s="6534" t="s">
        <v>939</v>
      </c>
      <c r="AR175" s="6534" t="s">
        <v>939</v>
      </c>
      <c r="AS175" s="6534" t="s">
        <v>939</v>
      </c>
      <c r="AT175" s="6534" t="s">
        <v>939</v>
      </c>
      <c r="AU175" s="6534"/>
      <c r="AV175" s="6534" t="s">
        <v>939</v>
      </c>
      <c r="AW175" s="6538">
        <v>266</v>
      </c>
      <c r="AX175" s="5133"/>
      <c r="AY175" s="5132"/>
      <c r="AZ175" s="5132"/>
      <c r="BA175" s="5132"/>
      <c r="BB175" s="5132"/>
    </row>
    <row r="176" spans="1:54" s="6520" customFormat="1" ht="12.75" customHeight="1">
      <c r="A176" s="10991" t="str">
        <f t="shared" si="14"/>
        <v>8302-08</v>
      </c>
      <c r="B176" s="10997"/>
      <c r="C176" s="10994"/>
      <c r="E176" s="5132"/>
      <c r="G176" s="6539">
        <v>159</v>
      </c>
      <c r="H176" s="6539">
        <v>220</v>
      </c>
      <c r="I176" s="10979"/>
      <c r="J176" s="10979"/>
      <c r="K176" s="10979">
        <f>+IF(ISNA(VLOOKUP(MATCH(P176,tfn,0),tao,'12(id)'!$K$20,FALSE)),"",IF(J176="NA","",VLOOKUP(MATCH(P176,tfn,0),tao,'12(id)'!$K$20,FALSE)+J176))</f>
        <v>8302</v>
      </c>
      <c r="L176" s="10979">
        <f>+L175</f>
        <v>8</v>
      </c>
      <c r="M176" s="10979" t="str">
        <f t="shared" si="13"/>
        <v>8302-08</v>
      </c>
      <c r="N176" s="10982" t="str">
        <f>+IF(M176="","",VLOOKUP(MATCH(M176,tid,0),tao,'12(id)'!$Q$20,FALSE))</f>
        <v>14B</v>
      </c>
      <c r="O176" s="6539" t="s">
        <v>1208</v>
      </c>
      <c r="P176" s="6540" t="s">
        <v>325</v>
      </c>
      <c r="Q176" s="6540"/>
      <c r="R176" s="6541">
        <v>563</v>
      </c>
      <c r="S176" s="6542" t="s">
        <v>492</v>
      </c>
      <c r="T176" s="6543" t="s">
        <v>939</v>
      </c>
      <c r="U176" s="6544">
        <v>2008</v>
      </c>
      <c r="V176" s="6540" t="s">
        <v>1209</v>
      </c>
      <c r="W176" s="6545">
        <v>9</v>
      </c>
      <c r="X176" s="6545">
        <v>5</v>
      </c>
      <c r="Y176" s="6545">
        <v>89</v>
      </c>
      <c r="Z176" s="6545" t="s">
        <v>939</v>
      </c>
      <c r="AA176" s="6546">
        <v>0.74</v>
      </c>
      <c r="AB176" s="6547">
        <v>0.4</v>
      </c>
      <c r="AC176" s="6545">
        <v>1135</v>
      </c>
      <c r="AD176" s="6540" t="s">
        <v>944</v>
      </c>
      <c r="AE176" s="6540" t="s">
        <v>1259</v>
      </c>
      <c r="AF176" s="6540" t="s">
        <v>1261</v>
      </c>
      <c r="AG176" s="6540" t="s">
        <v>1262</v>
      </c>
      <c r="AH176" s="6540" t="s">
        <v>1294</v>
      </c>
      <c r="AI176" s="6540"/>
      <c r="AJ176" s="6540"/>
      <c r="AK176" s="6540"/>
      <c r="AL176" s="6543" t="s">
        <v>939</v>
      </c>
      <c r="AM176" s="6543" t="s">
        <v>939</v>
      </c>
      <c r="AN176" s="6543" t="s">
        <v>1300</v>
      </c>
      <c r="AO176" s="6543" t="s">
        <v>1304</v>
      </c>
      <c r="AP176" s="6543" t="s">
        <v>1306</v>
      </c>
      <c r="AQ176" s="6543" t="s">
        <v>939</v>
      </c>
      <c r="AR176" s="6543" t="s">
        <v>939</v>
      </c>
      <c r="AS176" s="6543" t="s">
        <v>939</v>
      </c>
      <c r="AT176" s="6543" t="s">
        <v>939</v>
      </c>
      <c r="AU176" s="6543"/>
      <c r="AV176" s="6543" t="s">
        <v>939</v>
      </c>
      <c r="AW176" s="6547">
        <v>266</v>
      </c>
      <c r="AX176" s="5133"/>
      <c r="AY176" s="5132"/>
      <c r="AZ176" s="5132"/>
      <c r="BA176" s="5132"/>
      <c r="BB176" s="5132"/>
    </row>
    <row r="177" spans="1:54" s="6520" customFormat="1" ht="12.75" customHeight="1">
      <c r="A177" s="10989" t="str">
        <f t="shared" si="14"/>
        <v>8300-08</v>
      </c>
      <c r="B177" s="10995" t="str">
        <f>+IF(A177="","",VLOOKUP(MATCH(A177,tid,0),tao,'12(id)'!$J$20,FALSE))</f>
        <v>NRG</v>
      </c>
      <c r="C177" s="10992" t="str">
        <f>+N177</f>
        <v>TT10</v>
      </c>
      <c r="E177" s="5132"/>
      <c r="G177" s="6530">
        <v>160</v>
      </c>
      <c r="H177" s="6530">
        <v>225</v>
      </c>
      <c r="I177" s="10977">
        <v>58</v>
      </c>
      <c r="J177" s="10977"/>
      <c r="K177" s="10977">
        <f>+IF(ISNA(VLOOKUP(MATCH(P177,tfn,0),tao,'12(id)'!$K$20,FALSE)),"",IF(J177="NA","",VLOOKUP(MATCH(P177,tfn,0),tao,'12(id)'!$K$20,FALSE)+J177))</f>
        <v>8300</v>
      </c>
      <c r="L177" s="10977">
        <f>1+L92</f>
        <v>8</v>
      </c>
      <c r="M177" s="10977" t="str">
        <f t="shared" si="13"/>
        <v>8300-08</v>
      </c>
      <c r="N177" s="10980" t="str">
        <f>+IF(M177="","",VLOOKUP(MATCH(M177,tid,0),tao,'12(id)'!$Q$20,FALSE))</f>
        <v>TT10</v>
      </c>
      <c r="O177" s="6530" t="s">
        <v>1208</v>
      </c>
      <c r="P177" s="6531" t="s">
        <v>354</v>
      </c>
      <c r="Q177" s="6531"/>
      <c r="R177" s="6532">
        <v>565</v>
      </c>
      <c r="S177" s="6533" t="s">
        <v>1215</v>
      </c>
      <c r="T177" s="6534" t="s">
        <v>939</v>
      </c>
      <c r="U177" s="6535">
        <v>2010</v>
      </c>
      <c r="V177" s="6531" t="s">
        <v>1209</v>
      </c>
      <c r="W177" s="6536">
        <v>36</v>
      </c>
      <c r="X177" s="6536">
        <v>5</v>
      </c>
      <c r="Y177" s="6536">
        <v>468</v>
      </c>
      <c r="Z177" s="6536" t="s">
        <v>939</v>
      </c>
      <c r="AA177" s="6537">
        <v>1.2</v>
      </c>
      <c r="AB177" s="6538">
        <v>5.4</v>
      </c>
      <c r="AC177" s="6536">
        <v>9070</v>
      </c>
      <c r="AD177" s="6531" t="s">
        <v>944</v>
      </c>
      <c r="AE177" s="6531" t="s">
        <v>1259</v>
      </c>
      <c r="AF177" s="6531" t="s">
        <v>1261</v>
      </c>
      <c r="AG177" s="6531" t="s">
        <v>1262</v>
      </c>
      <c r="AH177" s="6531" t="s">
        <v>1264</v>
      </c>
      <c r="AI177" s="6531"/>
      <c r="AJ177" s="6531"/>
      <c r="AK177" s="6531"/>
      <c r="AL177" s="6534" t="s">
        <v>939</v>
      </c>
      <c r="AM177" s="6534" t="s">
        <v>939</v>
      </c>
      <c r="AN177" s="6534" t="s">
        <v>1300</v>
      </c>
      <c r="AO177" s="6534" t="s">
        <v>1304</v>
      </c>
      <c r="AP177" s="6534" t="s">
        <v>1309</v>
      </c>
      <c r="AQ177" s="6534" t="s">
        <v>939</v>
      </c>
      <c r="AR177" s="6534" t="s">
        <v>939</v>
      </c>
      <c r="AS177" s="6534" t="s">
        <v>939</v>
      </c>
      <c r="AT177" s="6534" t="s">
        <v>939</v>
      </c>
      <c r="AU177" s="6534"/>
      <c r="AV177" s="6534" t="s">
        <v>939</v>
      </c>
      <c r="AW177" s="6538">
        <v>250</v>
      </c>
      <c r="AX177" s="5133"/>
      <c r="AY177" s="5132"/>
      <c r="AZ177" s="5132"/>
      <c r="BA177" s="5132"/>
      <c r="BB177" s="5132"/>
    </row>
    <row r="178" spans="1:54" s="6520" customFormat="1" ht="12.75" customHeight="1">
      <c r="A178" s="10990" t="str">
        <f t="shared" si="14"/>
        <v>8300-08</v>
      </c>
      <c r="B178" s="10996"/>
      <c r="C178" s="10993"/>
      <c r="E178" s="5132"/>
      <c r="G178" s="6530">
        <v>161</v>
      </c>
      <c r="H178" s="6530">
        <v>224</v>
      </c>
      <c r="I178" s="10978"/>
      <c r="J178" s="10978"/>
      <c r="K178" s="10978">
        <f>+IF(ISNA(VLOOKUP(MATCH(P178,tfn,0),tao,'12(id)'!$K$20,FALSE)),"",IF(J178="NA","",VLOOKUP(MATCH(P178,tfn,0),tao,'12(id)'!$K$20,FALSE)+J178))</f>
        <v>8300</v>
      </c>
      <c r="L178" s="10978">
        <f>+L177</f>
        <v>8</v>
      </c>
      <c r="M178" s="10978" t="str">
        <f t="shared" si="13"/>
        <v>8300-08</v>
      </c>
      <c r="N178" s="10981" t="str">
        <f>+IF(M178="","",VLOOKUP(MATCH(M178,tid,0),tao,'12(id)'!$Q$20,FALSE))</f>
        <v>TT10</v>
      </c>
      <c r="O178" s="6530" t="s">
        <v>1208</v>
      </c>
      <c r="P178" s="6531" t="s">
        <v>354</v>
      </c>
      <c r="Q178" s="6531"/>
      <c r="R178" s="6532">
        <v>565</v>
      </c>
      <c r="S178" s="6533" t="s">
        <v>1215</v>
      </c>
      <c r="T178" s="6534" t="s">
        <v>939</v>
      </c>
      <c r="U178" s="6535">
        <v>2009</v>
      </c>
      <c r="V178" s="6531" t="s">
        <v>1209</v>
      </c>
      <c r="W178" s="6536">
        <v>6</v>
      </c>
      <c r="X178" s="6536">
        <v>5</v>
      </c>
      <c r="Y178" s="6536">
        <v>91</v>
      </c>
      <c r="Z178" s="6536" t="s">
        <v>939</v>
      </c>
      <c r="AA178" s="6537">
        <v>1.2</v>
      </c>
      <c r="AB178" s="6538">
        <v>0.8</v>
      </c>
      <c r="AC178" s="6536">
        <v>1408</v>
      </c>
      <c r="AD178" s="6531" t="s">
        <v>944</v>
      </c>
      <c r="AE178" s="6531" t="s">
        <v>1259</v>
      </c>
      <c r="AF178" s="6531" t="s">
        <v>1261</v>
      </c>
      <c r="AG178" s="6531" t="s">
        <v>1262</v>
      </c>
      <c r="AH178" s="6531" t="s">
        <v>1264</v>
      </c>
      <c r="AI178" s="6531"/>
      <c r="AJ178" s="6531"/>
      <c r="AK178" s="6531"/>
      <c r="AL178" s="6534" t="s">
        <v>939</v>
      </c>
      <c r="AM178" s="6534" t="s">
        <v>939</v>
      </c>
      <c r="AN178" s="6534" t="s">
        <v>1300</v>
      </c>
      <c r="AO178" s="6534" t="s">
        <v>1304</v>
      </c>
      <c r="AP178" s="6534" t="s">
        <v>1309</v>
      </c>
      <c r="AQ178" s="6534" t="s">
        <v>939</v>
      </c>
      <c r="AR178" s="6534" t="s">
        <v>939</v>
      </c>
      <c r="AS178" s="6534" t="s">
        <v>939</v>
      </c>
      <c r="AT178" s="6534" t="s">
        <v>939</v>
      </c>
      <c r="AU178" s="6534"/>
      <c r="AV178" s="6534" t="s">
        <v>939</v>
      </c>
      <c r="AW178" s="6538">
        <v>250</v>
      </c>
      <c r="AX178" s="5133"/>
      <c r="AY178" s="5132"/>
      <c r="AZ178" s="5132"/>
      <c r="BA178" s="5132"/>
      <c r="BB178" s="5132"/>
    </row>
    <row r="179" spans="1:54" s="6520" customFormat="1" ht="12.75" customHeight="1">
      <c r="A179" s="10991" t="str">
        <f t="shared" si="14"/>
        <v>8300-08</v>
      </c>
      <c r="B179" s="10997"/>
      <c r="C179" s="10994"/>
      <c r="E179" s="5132"/>
      <c r="G179" s="6539">
        <v>162</v>
      </c>
      <c r="H179" s="6539">
        <v>223</v>
      </c>
      <c r="I179" s="10979"/>
      <c r="J179" s="10979"/>
      <c r="K179" s="10979">
        <f>+IF(ISNA(VLOOKUP(MATCH(P179,tfn,0),tao,'12(id)'!$K$20,FALSE)),"",IF(J179="NA","",VLOOKUP(MATCH(P179,tfn,0),tao,'12(id)'!$K$20,FALSE)+J179))</f>
        <v>8300</v>
      </c>
      <c r="L179" s="10979">
        <f>+L178</f>
        <v>8</v>
      </c>
      <c r="M179" s="10979" t="str">
        <f t="shared" si="13"/>
        <v>8300-08</v>
      </c>
      <c r="N179" s="10982" t="str">
        <f>+IF(M179="","",VLOOKUP(MATCH(M179,tid,0),tao,'12(id)'!$Q$20,FALSE))</f>
        <v>TT10</v>
      </c>
      <c r="O179" s="6539" t="s">
        <v>1208</v>
      </c>
      <c r="P179" s="6540" t="s">
        <v>354</v>
      </c>
      <c r="Q179" s="6540"/>
      <c r="R179" s="6541">
        <v>565</v>
      </c>
      <c r="S179" s="6542" t="s">
        <v>1215</v>
      </c>
      <c r="T179" s="6543" t="s">
        <v>939</v>
      </c>
      <c r="U179" s="6544">
        <v>2008</v>
      </c>
      <c r="V179" s="6540" t="s">
        <v>1209</v>
      </c>
      <c r="W179" s="6545">
        <v>6</v>
      </c>
      <c r="X179" s="6545">
        <v>5</v>
      </c>
      <c r="Y179" s="6545">
        <v>111</v>
      </c>
      <c r="Z179" s="6545" t="s">
        <v>939</v>
      </c>
      <c r="AA179" s="6546">
        <v>1.2</v>
      </c>
      <c r="AB179" s="6547">
        <v>0.9</v>
      </c>
      <c r="AC179" s="6545">
        <v>1450</v>
      </c>
      <c r="AD179" s="6540" t="s">
        <v>944</v>
      </c>
      <c r="AE179" s="6540" t="s">
        <v>1259</v>
      </c>
      <c r="AF179" s="6540" t="s">
        <v>1261</v>
      </c>
      <c r="AG179" s="6540" t="s">
        <v>1262</v>
      </c>
      <c r="AH179" s="6540" t="s">
        <v>1264</v>
      </c>
      <c r="AI179" s="6540"/>
      <c r="AJ179" s="6540"/>
      <c r="AK179" s="6540"/>
      <c r="AL179" s="6543" t="s">
        <v>939</v>
      </c>
      <c r="AM179" s="6543" t="s">
        <v>939</v>
      </c>
      <c r="AN179" s="6543" t="s">
        <v>1300</v>
      </c>
      <c r="AO179" s="6543" t="s">
        <v>1304</v>
      </c>
      <c r="AP179" s="6543" t="s">
        <v>1309</v>
      </c>
      <c r="AQ179" s="6543" t="s">
        <v>939</v>
      </c>
      <c r="AR179" s="6543" t="s">
        <v>939</v>
      </c>
      <c r="AS179" s="6543" t="s">
        <v>939</v>
      </c>
      <c r="AT179" s="6543" t="s">
        <v>939</v>
      </c>
      <c r="AU179" s="6543"/>
      <c r="AV179" s="6543" t="s">
        <v>939</v>
      </c>
      <c r="AW179" s="6547">
        <v>250</v>
      </c>
      <c r="AX179" s="5133"/>
      <c r="AY179" s="5132"/>
      <c r="AZ179" s="5132"/>
      <c r="BA179" s="5132"/>
      <c r="BB179" s="5132"/>
    </row>
    <row r="180" spans="1:54" s="6520" customFormat="1" ht="12.75" customHeight="1">
      <c r="A180" s="10989" t="str">
        <f t="shared" si="14"/>
        <v>8303-01</v>
      </c>
      <c r="B180" s="10995" t="str">
        <f>+IF(A180="","",VLOOKUP(MATCH(A180,tid,0),tao,'12(id)'!$J$20,FALSE))</f>
        <v>FirstLight</v>
      </c>
      <c r="C180" s="10992">
        <f>+N180</f>
        <v>10</v>
      </c>
      <c r="E180" s="5132"/>
      <c r="G180" s="6530">
        <v>163</v>
      </c>
      <c r="H180" s="6530">
        <v>232</v>
      </c>
      <c r="I180" s="10977">
        <v>59</v>
      </c>
      <c r="J180" s="10977"/>
      <c r="K180" s="10977">
        <f>+IF(ISNA(VLOOKUP(MATCH(P180,tfn,0),tao,'12(id)'!$K$20,FALSE)),"",IF(J180="NA","",VLOOKUP(MATCH(P180,tfn,0),tao,'12(id)'!$K$20,FALSE)+J180))</f>
        <v>8303</v>
      </c>
      <c r="L180" s="10977">
        <v>1</v>
      </c>
      <c r="M180" s="10977" t="str">
        <f t="shared" si="13"/>
        <v>8303-01</v>
      </c>
      <c r="N180" s="10980">
        <f>+IF(M180="","",VLOOKUP(MATCH(M180,tid,0),tao,'12(id)'!$Q$20,FALSE))</f>
        <v>10</v>
      </c>
      <c r="O180" s="6530" t="s">
        <v>1208</v>
      </c>
      <c r="P180" s="6531" t="s">
        <v>355</v>
      </c>
      <c r="Q180" s="6531"/>
      <c r="R180" s="6532">
        <v>557</v>
      </c>
      <c r="S180" s="6533" t="s">
        <v>1215</v>
      </c>
      <c r="T180" s="6534" t="s">
        <v>939</v>
      </c>
      <c r="U180" s="6535">
        <v>2010</v>
      </c>
      <c r="V180" s="6531" t="s">
        <v>1209</v>
      </c>
      <c r="W180" s="6536">
        <v>20</v>
      </c>
      <c r="X180" s="6536">
        <v>5</v>
      </c>
      <c r="Y180" s="6536">
        <v>301</v>
      </c>
      <c r="Z180" s="6536" t="s">
        <v>939</v>
      </c>
      <c r="AA180" s="6537">
        <v>0.73</v>
      </c>
      <c r="AB180" s="6538">
        <v>1.7</v>
      </c>
      <c r="AC180" s="6536">
        <v>4575</v>
      </c>
      <c r="AD180" s="6531" t="s">
        <v>944</v>
      </c>
      <c r="AE180" s="6531" t="s">
        <v>1259</v>
      </c>
      <c r="AF180" s="6531" t="s">
        <v>1261</v>
      </c>
      <c r="AG180" s="6531" t="s">
        <v>1262</v>
      </c>
      <c r="AH180" s="6531" t="s">
        <v>1296</v>
      </c>
      <c r="AI180" s="6531"/>
      <c r="AJ180" s="6531"/>
      <c r="AK180" s="6531"/>
      <c r="AL180" s="6534" t="s">
        <v>939</v>
      </c>
      <c r="AM180" s="6534" t="s">
        <v>939</v>
      </c>
      <c r="AN180" s="6534" t="s">
        <v>1300</v>
      </c>
      <c r="AO180" s="6534" t="s">
        <v>1304</v>
      </c>
      <c r="AP180" s="6534" t="s">
        <v>1306</v>
      </c>
      <c r="AQ180" s="6534" t="s">
        <v>939</v>
      </c>
      <c r="AR180" s="6534" t="s">
        <v>939</v>
      </c>
      <c r="AS180" s="6534" t="s">
        <v>939</v>
      </c>
      <c r="AT180" s="6534" t="s">
        <v>939</v>
      </c>
      <c r="AU180" s="6534"/>
      <c r="AV180" s="6534" t="s">
        <v>939</v>
      </c>
      <c r="AW180" s="6538">
        <v>243</v>
      </c>
      <c r="AX180" s="5133"/>
      <c r="AY180" s="5132"/>
      <c r="AZ180" s="5132"/>
      <c r="BA180" s="5132"/>
      <c r="BB180" s="5132"/>
    </row>
    <row r="181" spans="1:54" s="6520" customFormat="1" ht="12.75" customHeight="1">
      <c r="A181" s="10990" t="str">
        <f t="shared" si="14"/>
        <v>8303-01</v>
      </c>
      <c r="B181" s="10996"/>
      <c r="C181" s="10993"/>
      <c r="E181" s="5132"/>
      <c r="G181" s="6530">
        <v>164</v>
      </c>
      <c r="H181" s="6530">
        <v>229</v>
      </c>
      <c r="I181" s="10978"/>
      <c r="J181" s="10978"/>
      <c r="K181" s="10978">
        <f>+IF(ISNA(VLOOKUP(MATCH(P181,tfn,0),tao,'12(id)'!$K$20,FALSE)),"",IF(J181="NA","",VLOOKUP(MATCH(P181,tfn,0),tao,'12(id)'!$K$20,FALSE)+J181))</f>
        <v>8303</v>
      </c>
      <c r="L181" s="10978">
        <f>+L180</f>
        <v>1</v>
      </c>
      <c r="M181" s="10978" t="str">
        <f t="shared" si="13"/>
        <v>8303-01</v>
      </c>
      <c r="N181" s="10981">
        <f>+IF(M181="","",VLOOKUP(MATCH(M181,tid,0),tao,'12(id)'!$Q$20,FALSE))</f>
        <v>10</v>
      </c>
      <c r="O181" s="6530" t="s">
        <v>1208</v>
      </c>
      <c r="P181" s="6531" t="s">
        <v>355</v>
      </c>
      <c r="Q181" s="6531"/>
      <c r="R181" s="6532">
        <v>557</v>
      </c>
      <c r="S181" s="6533" t="s">
        <v>1215</v>
      </c>
      <c r="T181" s="6534" t="s">
        <v>939</v>
      </c>
      <c r="U181" s="6535">
        <v>2009</v>
      </c>
      <c r="V181" s="6531" t="s">
        <v>1209</v>
      </c>
      <c r="W181" s="6536">
        <v>3</v>
      </c>
      <c r="X181" s="6536">
        <v>5</v>
      </c>
      <c r="Y181" s="6536">
        <v>46</v>
      </c>
      <c r="Z181" s="6536" t="s">
        <v>939</v>
      </c>
      <c r="AA181" s="6537">
        <v>0.79</v>
      </c>
      <c r="AB181" s="6538">
        <v>0.3</v>
      </c>
      <c r="AC181" s="6536">
        <v>808</v>
      </c>
      <c r="AD181" s="6531" t="s">
        <v>944</v>
      </c>
      <c r="AE181" s="6531" t="s">
        <v>1259</v>
      </c>
      <c r="AF181" s="6531" t="s">
        <v>1261</v>
      </c>
      <c r="AG181" s="6531" t="s">
        <v>1262</v>
      </c>
      <c r="AH181" s="6531" t="s">
        <v>1295</v>
      </c>
      <c r="AI181" s="6531"/>
      <c r="AJ181" s="6531"/>
      <c r="AK181" s="6531"/>
      <c r="AL181" s="6534" t="s">
        <v>939</v>
      </c>
      <c r="AM181" s="6534" t="s">
        <v>939</v>
      </c>
      <c r="AN181" s="6534" t="s">
        <v>1300</v>
      </c>
      <c r="AO181" s="6534" t="s">
        <v>1304</v>
      </c>
      <c r="AP181" s="6534" t="s">
        <v>1306</v>
      </c>
      <c r="AQ181" s="6534" t="s">
        <v>939</v>
      </c>
      <c r="AR181" s="6534" t="s">
        <v>939</v>
      </c>
      <c r="AS181" s="6534" t="s">
        <v>939</v>
      </c>
      <c r="AT181" s="6534" t="s">
        <v>939</v>
      </c>
      <c r="AU181" s="6534"/>
      <c r="AV181" s="6534" t="s">
        <v>939</v>
      </c>
      <c r="AW181" s="6538">
        <v>243</v>
      </c>
      <c r="AX181" s="5133"/>
      <c r="AY181" s="5132"/>
      <c r="AZ181" s="5132"/>
      <c r="BA181" s="5132"/>
      <c r="BB181" s="5132"/>
    </row>
    <row r="182" spans="1:54" s="6520" customFormat="1" ht="12.75" customHeight="1">
      <c r="A182" s="10991" t="str">
        <f t="shared" si="14"/>
        <v>8303-01</v>
      </c>
      <c r="B182" s="10997"/>
      <c r="C182" s="10994"/>
      <c r="E182" s="5132"/>
      <c r="G182" s="6539">
        <v>165</v>
      </c>
      <c r="H182" s="6539">
        <v>226</v>
      </c>
      <c r="I182" s="10979"/>
      <c r="J182" s="10979"/>
      <c r="K182" s="10979">
        <f>+IF(ISNA(VLOOKUP(MATCH(P182,tfn,0),tao,'12(id)'!$K$20,FALSE)),"",IF(J182="NA","",VLOOKUP(MATCH(P182,tfn,0),tao,'12(id)'!$K$20,FALSE)+J182))</f>
        <v>8303</v>
      </c>
      <c r="L182" s="10979">
        <f>+L181</f>
        <v>1</v>
      </c>
      <c r="M182" s="10979" t="str">
        <f t="shared" si="13"/>
        <v>8303-01</v>
      </c>
      <c r="N182" s="10982">
        <f>+IF(M182="","",VLOOKUP(MATCH(M182,tid,0),tao,'12(id)'!$Q$20,FALSE))</f>
        <v>10</v>
      </c>
      <c r="O182" s="6539" t="s">
        <v>1208</v>
      </c>
      <c r="P182" s="6540" t="s">
        <v>355</v>
      </c>
      <c r="Q182" s="6540"/>
      <c r="R182" s="6541">
        <v>557</v>
      </c>
      <c r="S182" s="6542" t="s">
        <v>1215</v>
      </c>
      <c r="T182" s="6543" t="s">
        <v>939</v>
      </c>
      <c r="U182" s="6544">
        <v>2008</v>
      </c>
      <c r="V182" s="6540" t="s">
        <v>1209</v>
      </c>
      <c r="W182" s="6545">
        <v>15</v>
      </c>
      <c r="X182" s="6545">
        <v>5</v>
      </c>
      <c r="Y182" s="6545">
        <v>153</v>
      </c>
      <c r="Z182" s="6545" t="s">
        <v>939</v>
      </c>
      <c r="AA182" s="6546">
        <v>0.74</v>
      </c>
      <c r="AB182" s="6547">
        <v>1</v>
      </c>
      <c r="AC182" s="6545">
        <v>2596</v>
      </c>
      <c r="AD182" s="6540" t="s">
        <v>944</v>
      </c>
      <c r="AE182" s="6540" t="s">
        <v>1259</v>
      </c>
      <c r="AF182" s="6540" t="s">
        <v>1261</v>
      </c>
      <c r="AG182" s="6540" t="s">
        <v>1262</v>
      </c>
      <c r="AH182" s="6540" t="s">
        <v>1295</v>
      </c>
      <c r="AI182" s="6540"/>
      <c r="AJ182" s="6540"/>
      <c r="AK182" s="6540"/>
      <c r="AL182" s="6543" t="s">
        <v>939</v>
      </c>
      <c r="AM182" s="6543" t="s">
        <v>939</v>
      </c>
      <c r="AN182" s="6543" t="s">
        <v>1300</v>
      </c>
      <c r="AO182" s="6543" t="s">
        <v>1304</v>
      </c>
      <c r="AP182" s="6543" t="s">
        <v>1306</v>
      </c>
      <c r="AQ182" s="6543" t="s">
        <v>939</v>
      </c>
      <c r="AR182" s="6543" t="s">
        <v>939</v>
      </c>
      <c r="AS182" s="6543" t="s">
        <v>939</v>
      </c>
      <c r="AT182" s="6543" t="s">
        <v>939</v>
      </c>
      <c r="AU182" s="6543"/>
      <c r="AV182" s="6543" t="s">
        <v>939</v>
      </c>
      <c r="AW182" s="6547">
        <v>243</v>
      </c>
      <c r="AX182" s="5133"/>
      <c r="AY182" s="5132"/>
      <c r="AZ182" s="5132"/>
      <c r="BA182" s="5132"/>
      <c r="BB182" s="5132"/>
    </row>
    <row r="183" spans="1:54" ht="12.75" customHeight="1">
      <c r="A183" s="6443" t="str">
        <f t="shared" si="14"/>
        <v/>
      </c>
      <c r="B183" s="6444"/>
      <c r="C183" s="6445" t="str">
        <f>+N183</f>
        <v/>
      </c>
      <c r="D183" s="5133"/>
      <c r="F183" s="5133"/>
      <c r="G183" s="6413">
        <v>166</v>
      </c>
      <c r="H183" s="6413">
        <v>240</v>
      </c>
      <c r="I183" s="10961">
        <v>60</v>
      </c>
      <c r="J183" s="10961"/>
      <c r="K183" s="10961" t="str">
        <f>+IF(ISNA(VLOOKUP(MATCH(P183,tfn,0),tao,'12(id)'!$K$20,FALSE)),"",IF(J183="NA","",VLOOKUP(MATCH(P183,tfn,0),tao,'12(id)'!$K$20,FALSE)+J183))</f>
        <v/>
      </c>
      <c r="L183" s="10961"/>
      <c r="M183" s="10961" t="str">
        <f t="shared" si="13"/>
        <v/>
      </c>
      <c r="N183" s="10944" t="str">
        <f>+IF(M183="","",VLOOKUP(MATCH(M183,tid,0),tao,'12(id)'!$Q$20,FALSE))</f>
        <v/>
      </c>
      <c r="O183" s="6413" t="s">
        <v>1208</v>
      </c>
      <c r="P183" s="6414" t="s">
        <v>356</v>
      </c>
      <c r="Q183" s="6414"/>
      <c r="R183" s="6415">
        <v>55517</v>
      </c>
      <c r="S183" s="6416" t="s">
        <v>1240</v>
      </c>
      <c r="T183" s="6421" t="s">
        <v>939</v>
      </c>
      <c r="U183" s="6417">
        <v>2010</v>
      </c>
      <c r="V183" s="6414" t="s">
        <v>1209</v>
      </c>
      <c r="W183" s="6418">
        <v>742</v>
      </c>
      <c r="X183" s="6418">
        <v>5</v>
      </c>
      <c r="Y183" s="6418">
        <v>31800</v>
      </c>
      <c r="Z183" s="6418" t="s">
        <v>939</v>
      </c>
      <c r="AA183" s="6419">
        <v>0.02</v>
      </c>
      <c r="AB183" s="6420">
        <v>1.6</v>
      </c>
      <c r="AC183" s="6418">
        <v>326950</v>
      </c>
      <c r="AD183" s="6414" t="s">
        <v>944</v>
      </c>
      <c r="AE183" s="6414" t="s">
        <v>1259</v>
      </c>
      <c r="AF183" s="6414" t="s">
        <v>1261</v>
      </c>
      <c r="AG183" s="6414" t="s">
        <v>1262</v>
      </c>
      <c r="AH183" s="6414" t="s">
        <v>1297</v>
      </c>
      <c r="AI183" s="6414"/>
      <c r="AJ183" s="6414"/>
      <c r="AK183" s="6414"/>
      <c r="AL183" s="6421" t="s">
        <v>1303</v>
      </c>
      <c r="AM183" s="6421" t="s">
        <v>939</v>
      </c>
      <c r="AN183" s="6421" t="s">
        <v>1300</v>
      </c>
      <c r="AO183" s="6421" t="s">
        <v>1304</v>
      </c>
      <c r="AP183" s="6421" t="s">
        <v>1305</v>
      </c>
      <c r="AQ183" s="6421" t="s">
        <v>939</v>
      </c>
      <c r="AR183" s="6421" t="s">
        <v>939</v>
      </c>
      <c r="AS183" s="6414" t="s">
        <v>1022</v>
      </c>
      <c r="AT183" s="6414" t="s">
        <v>1338</v>
      </c>
      <c r="AU183" s="6414"/>
      <c r="AV183" s="6421" t="s">
        <v>939</v>
      </c>
      <c r="AW183" s="6420">
        <v>530</v>
      </c>
      <c r="AX183" s="5133"/>
    </row>
    <row r="184" spans="1:54" ht="12.75" customHeight="1">
      <c r="A184" s="6443" t="str">
        <f t="shared" si="14"/>
        <v/>
      </c>
      <c r="B184" s="6444"/>
      <c r="C184" s="6445"/>
      <c r="D184" s="5133"/>
      <c r="F184" s="5133"/>
      <c r="G184" s="6413">
        <v>167</v>
      </c>
      <c r="H184" s="6413">
        <v>238</v>
      </c>
      <c r="I184" s="10962"/>
      <c r="J184" s="10962"/>
      <c r="K184" s="10962" t="str">
        <f>+IF(ISNA(VLOOKUP(MATCH(P184,tfn,0),tao,'12(id)'!$K$20,FALSE)),"",IF(J184="NA","",VLOOKUP(MATCH(P184,tfn,0),tao,'12(id)'!$K$20,FALSE)+J184))</f>
        <v/>
      </c>
      <c r="L184" s="10962"/>
      <c r="M184" s="10962" t="str">
        <f t="shared" si="13"/>
        <v/>
      </c>
      <c r="N184" s="10945" t="str">
        <f>+IF(M184="","",VLOOKUP(MATCH(M184,tid,0),tao,'12(id)'!$Q$20,FALSE))</f>
        <v/>
      </c>
      <c r="O184" s="6413" t="s">
        <v>1208</v>
      </c>
      <c r="P184" s="6414" t="s">
        <v>356</v>
      </c>
      <c r="Q184" s="6414"/>
      <c r="R184" s="6415">
        <v>55517</v>
      </c>
      <c r="S184" s="6416" t="s">
        <v>1240</v>
      </c>
      <c r="T184" s="6421" t="s">
        <v>939</v>
      </c>
      <c r="U184" s="6417">
        <v>2009</v>
      </c>
      <c r="V184" s="6414" t="s">
        <v>1209</v>
      </c>
      <c r="W184" s="6418">
        <v>239</v>
      </c>
      <c r="X184" s="6418">
        <v>5</v>
      </c>
      <c r="Y184" s="6418">
        <v>10326</v>
      </c>
      <c r="Z184" s="6418" t="s">
        <v>939</v>
      </c>
      <c r="AA184" s="6419">
        <v>0.02</v>
      </c>
      <c r="AB184" s="6420">
        <v>0.5</v>
      </c>
      <c r="AC184" s="6418">
        <v>101965</v>
      </c>
      <c r="AD184" s="6414" t="s">
        <v>944</v>
      </c>
      <c r="AE184" s="6414" t="s">
        <v>1259</v>
      </c>
      <c r="AF184" s="6414" t="s">
        <v>1261</v>
      </c>
      <c r="AG184" s="6414" t="s">
        <v>1262</v>
      </c>
      <c r="AH184" s="6414" t="s">
        <v>1297</v>
      </c>
      <c r="AI184" s="6414"/>
      <c r="AJ184" s="6414"/>
      <c r="AK184" s="6414"/>
      <c r="AL184" s="6421" t="s">
        <v>1303</v>
      </c>
      <c r="AM184" s="6421" t="s">
        <v>939</v>
      </c>
      <c r="AN184" s="6421" t="s">
        <v>1300</v>
      </c>
      <c r="AO184" s="6421" t="s">
        <v>1304</v>
      </c>
      <c r="AP184" s="6421" t="s">
        <v>1305</v>
      </c>
      <c r="AQ184" s="6421" t="s">
        <v>939</v>
      </c>
      <c r="AR184" s="6421" t="s">
        <v>939</v>
      </c>
      <c r="AS184" s="6414" t="s">
        <v>1022</v>
      </c>
      <c r="AT184" s="6414" t="s">
        <v>1338</v>
      </c>
      <c r="AU184" s="6414"/>
      <c r="AV184" s="6421" t="s">
        <v>939</v>
      </c>
      <c r="AW184" s="6420">
        <v>487.3</v>
      </c>
      <c r="AX184" s="5133"/>
    </row>
    <row r="185" spans="1:54" ht="12.75" customHeight="1">
      <c r="A185" s="6443" t="str">
        <f t="shared" si="14"/>
        <v/>
      </c>
      <c r="B185" s="6444"/>
      <c r="C185" s="6445"/>
      <c r="D185" s="5133"/>
      <c r="F185" s="5133"/>
      <c r="G185" s="6424">
        <v>168</v>
      </c>
      <c r="H185" s="6424">
        <v>236</v>
      </c>
      <c r="I185" s="10963"/>
      <c r="J185" s="10963"/>
      <c r="K185" s="10963" t="str">
        <f>+IF(ISNA(VLOOKUP(MATCH(P185,tfn,0),tao,'12(id)'!$K$20,FALSE)),"",IF(J185="NA","",VLOOKUP(MATCH(P185,tfn,0),tao,'12(id)'!$K$20,FALSE)+J185))</f>
        <v/>
      </c>
      <c r="L185" s="10963"/>
      <c r="M185" s="10963" t="str">
        <f t="shared" si="13"/>
        <v/>
      </c>
      <c r="N185" s="10946" t="str">
        <f>+IF(M185="","",VLOOKUP(MATCH(M185,tid,0),tao,'12(id)'!$Q$20,FALSE))</f>
        <v/>
      </c>
      <c r="O185" s="6424" t="s">
        <v>1208</v>
      </c>
      <c r="P185" s="6425" t="s">
        <v>356</v>
      </c>
      <c r="Q185" s="6425"/>
      <c r="R185" s="6426">
        <v>55517</v>
      </c>
      <c r="S185" s="6427" t="s">
        <v>1240</v>
      </c>
      <c r="T185" s="6433" t="s">
        <v>939</v>
      </c>
      <c r="U185" s="6428">
        <v>2008</v>
      </c>
      <c r="V185" s="6425" t="s">
        <v>1209</v>
      </c>
      <c r="W185" s="6429">
        <v>310</v>
      </c>
      <c r="X185" s="6429">
        <v>5</v>
      </c>
      <c r="Y185" s="6429">
        <v>13406</v>
      </c>
      <c r="Z185" s="6429" t="s">
        <v>939</v>
      </c>
      <c r="AA185" s="6430">
        <v>0.02</v>
      </c>
      <c r="AB185" s="6431">
        <v>0.7</v>
      </c>
      <c r="AC185" s="6429">
        <v>131094</v>
      </c>
      <c r="AD185" s="6425" t="s">
        <v>944</v>
      </c>
      <c r="AE185" s="6425" t="s">
        <v>1259</v>
      </c>
      <c r="AF185" s="6425" t="s">
        <v>1261</v>
      </c>
      <c r="AG185" s="6425" t="s">
        <v>1262</v>
      </c>
      <c r="AH185" s="6425" t="s">
        <v>1297</v>
      </c>
      <c r="AI185" s="6425"/>
      <c r="AJ185" s="6425"/>
      <c r="AK185" s="6425"/>
      <c r="AL185" s="6433" t="s">
        <v>1303</v>
      </c>
      <c r="AM185" s="6433" t="s">
        <v>939</v>
      </c>
      <c r="AN185" s="6433" t="s">
        <v>1300</v>
      </c>
      <c r="AO185" s="6433" t="s">
        <v>1304</v>
      </c>
      <c r="AP185" s="6433" t="s">
        <v>1305</v>
      </c>
      <c r="AQ185" s="6433" t="s">
        <v>939</v>
      </c>
      <c r="AR185" s="6433" t="s">
        <v>939</v>
      </c>
      <c r="AS185" s="6425" t="s">
        <v>1022</v>
      </c>
      <c r="AT185" s="6425" t="s">
        <v>1338</v>
      </c>
      <c r="AU185" s="6425"/>
      <c r="AV185" s="6433" t="s">
        <v>939</v>
      </c>
      <c r="AW185" s="6431">
        <v>461</v>
      </c>
      <c r="AX185" s="5133"/>
    </row>
    <row r="186" spans="1:54" ht="12.75" customHeight="1">
      <c r="A186" s="6443" t="str">
        <f t="shared" si="14"/>
        <v/>
      </c>
      <c r="B186" s="6444"/>
      <c r="C186" s="6445" t="str">
        <f>+N186</f>
        <v/>
      </c>
      <c r="D186" s="5133"/>
      <c r="F186" s="5133"/>
      <c r="G186" s="6413">
        <v>169</v>
      </c>
      <c r="H186" s="6413">
        <v>246</v>
      </c>
      <c r="I186" s="10961">
        <v>61</v>
      </c>
      <c r="J186" s="10961"/>
      <c r="K186" s="10961" t="str">
        <f>+IF(ISNA(VLOOKUP(MATCH(P186,tfn,0),tao,'12(id)'!$K$20,FALSE)),"",IF(J186="NA","",VLOOKUP(MATCH(P186,tfn,0),tao,'12(id)'!$K$20,FALSE)+J186))</f>
        <v/>
      </c>
      <c r="L186" s="10961"/>
      <c r="M186" s="10961" t="str">
        <f t="shared" si="13"/>
        <v/>
      </c>
      <c r="N186" s="10944" t="str">
        <f>+IF(M186="","",VLOOKUP(MATCH(M186,tid,0),tao,'12(id)'!$Q$20,FALSE))</f>
        <v/>
      </c>
      <c r="O186" s="6413" t="s">
        <v>1208</v>
      </c>
      <c r="P186" s="6414" t="s">
        <v>356</v>
      </c>
      <c r="Q186" s="6414"/>
      <c r="R186" s="6415">
        <v>55517</v>
      </c>
      <c r="S186" s="6416" t="s">
        <v>1241</v>
      </c>
      <c r="T186" s="6421" t="s">
        <v>939</v>
      </c>
      <c r="U186" s="6417">
        <v>2010</v>
      </c>
      <c r="V186" s="6414" t="s">
        <v>1209</v>
      </c>
      <c r="W186" s="6418">
        <v>693</v>
      </c>
      <c r="X186" s="6418">
        <v>5</v>
      </c>
      <c r="Y186" s="6418">
        <v>29086</v>
      </c>
      <c r="Z186" s="6418" t="s">
        <v>939</v>
      </c>
      <c r="AA186" s="6419">
        <v>0.01</v>
      </c>
      <c r="AB186" s="6420">
        <v>1.3</v>
      </c>
      <c r="AC186" s="6418">
        <v>276159</v>
      </c>
      <c r="AD186" s="6414" t="s">
        <v>944</v>
      </c>
      <c r="AE186" s="6414" t="s">
        <v>1259</v>
      </c>
      <c r="AF186" s="6414" t="s">
        <v>1261</v>
      </c>
      <c r="AG186" s="6414" t="s">
        <v>1262</v>
      </c>
      <c r="AH186" s="6414" t="s">
        <v>1297</v>
      </c>
      <c r="AI186" s="6414"/>
      <c r="AJ186" s="6414"/>
      <c r="AK186" s="6414"/>
      <c r="AL186" s="6421" t="s">
        <v>1303</v>
      </c>
      <c r="AM186" s="6421" t="s">
        <v>939</v>
      </c>
      <c r="AN186" s="6421" t="s">
        <v>1300</v>
      </c>
      <c r="AO186" s="6421" t="s">
        <v>1304</v>
      </c>
      <c r="AP186" s="6421" t="s">
        <v>1305</v>
      </c>
      <c r="AQ186" s="6421" t="s">
        <v>939</v>
      </c>
      <c r="AR186" s="6421" t="s">
        <v>939</v>
      </c>
      <c r="AS186" s="6414" t="s">
        <v>1022</v>
      </c>
      <c r="AT186" s="6414" t="s">
        <v>1338</v>
      </c>
      <c r="AU186" s="6414"/>
      <c r="AV186" s="6421" t="s">
        <v>939</v>
      </c>
      <c r="AW186" s="6420">
        <v>530</v>
      </c>
      <c r="AX186" s="5133"/>
    </row>
    <row r="187" spans="1:54" ht="12.75" customHeight="1">
      <c r="A187" s="6443" t="str">
        <f t="shared" si="14"/>
        <v/>
      </c>
      <c r="B187" s="6444"/>
      <c r="C187" s="6445"/>
      <c r="D187" s="5133"/>
      <c r="F187" s="5133"/>
      <c r="G187" s="6413">
        <v>170</v>
      </c>
      <c r="H187" s="6413">
        <v>244</v>
      </c>
      <c r="I187" s="10962"/>
      <c r="J187" s="10962"/>
      <c r="K187" s="10962" t="str">
        <f>+IF(ISNA(VLOOKUP(MATCH(P187,tfn,0),tao,'12(id)'!$K$20,FALSE)),"",IF(J187="NA","",VLOOKUP(MATCH(P187,tfn,0),tao,'12(id)'!$K$20,FALSE)+J187))</f>
        <v/>
      </c>
      <c r="L187" s="10962"/>
      <c r="M187" s="10962" t="str">
        <f t="shared" si="13"/>
        <v/>
      </c>
      <c r="N187" s="10945" t="str">
        <f>+IF(M187="","",VLOOKUP(MATCH(M187,tid,0),tao,'12(id)'!$Q$20,FALSE))</f>
        <v/>
      </c>
      <c r="O187" s="6413" t="s">
        <v>1208</v>
      </c>
      <c r="P187" s="6414" t="s">
        <v>356</v>
      </c>
      <c r="Q187" s="6414"/>
      <c r="R187" s="6415">
        <v>55517</v>
      </c>
      <c r="S187" s="6416" t="s">
        <v>1241</v>
      </c>
      <c r="T187" s="6421" t="s">
        <v>939</v>
      </c>
      <c r="U187" s="6417">
        <v>2009</v>
      </c>
      <c r="V187" s="6414" t="s">
        <v>1209</v>
      </c>
      <c r="W187" s="6418">
        <v>188</v>
      </c>
      <c r="X187" s="6418">
        <v>5</v>
      </c>
      <c r="Y187" s="6418">
        <v>7964</v>
      </c>
      <c r="Z187" s="6418" t="s">
        <v>939</v>
      </c>
      <c r="AA187" s="6419">
        <v>0.01</v>
      </c>
      <c r="AB187" s="6420">
        <v>0.3</v>
      </c>
      <c r="AC187" s="6418">
        <v>77599</v>
      </c>
      <c r="AD187" s="6414" t="s">
        <v>944</v>
      </c>
      <c r="AE187" s="6414" t="s">
        <v>1259</v>
      </c>
      <c r="AF187" s="6414" t="s">
        <v>1261</v>
      </c>
      <c r="AG187" s="6414" t="s">
        <v>1262</v>
      </c>
      <c r="AH187" s="6414" t="s">
        <v>1297</v>
      </c>
      <c r="AI187" s="6414"/>
      <c r="AJ187" s="6414"/>
      <c r="AK187" s="6414"/>
      <c r="AL187" s="6421" t="s">
        <v>1303</v>
      </c>
      <c r="AM187" s="6421" t="s">
        <v>939</v>
      </c>
      <c r="AN187" s="6421" t="s">
        <v>1300</v>
      </c>
      <c r="AO187" s="6421" t="s">
        <v>1304</v>
      </c>
      <c r="AP187" s="6421" t="s">
        <v>1305</v>
      </c>
      <c r="AQ187" s="6421" t="s">
        <v>939</v>
      </c>
      <c r="AR187" s="6421" t="s">
        <v>939</v>
      </c>
      <c r="AS187" s="6414" t="s">
        <v>1022</v>
      </c>
      <c r="AT187" s="6414" t="s">
        <v>1338</v>
      </c>
      <c r="AU187" s="6414"/>
      <c r="AV187" s="6421" t="s">
        <v>939</v>
      </c>
      <c r="AW187" s="6420">
        <v>487.3</v>
      </c>
      <c r="AX187" s="5133"/>
    </row>
    <row r="188" spans="1:54" ht="12.75" customHeight="1">
      <c r="A188" s="6443" t="str">
        <f t="shared" si="14"/>
        <v/>
      </c>
      <c r="B188" s="6444"/>
      <c r="C188" s="6445"/>
      <c r="D188" s="5133"/>
      <c r="F188" s="5133"/>
      <c r="G188" s="6424">
        <v>171</v>
      </c>
      <c r="H188" s="6424">
        <v>242</v>
      </c>
      <c r="I188" s="10963"/>
      <c r="J188" s="10963"/>
      <c r="K188" s="10963" t="str">
        <f>+IF(ISNA(VLOOKUP(MATCH(P188,tfn,0),tao,'12(id)'!$K$20,FALSE)),"",IF(J188="NA","",VLOOKUP(MATCH(P188,tfn,0),tao,'12(id)'!$K$20,FALSE)+J188))</f>
        <v/>
      </c>
      <c r="L188" s="10963"/>
      <c r="M188" s="10963" t="str">
        <f t="shared" si="13"/>
        <v/>
      </c>
      <c r="N188" s="10946" t="str">
        <f>+IF(M188="","",VLOOKUP(MATCH(M188,tid,0),tao,'12(id)'!$Q$20,FALSE))</f>
        <v/>
      </c>
      <c r="O188" s="6424" t="s">
        <v>1208</v>
      </c>
      <c r="P188" s="6425" t="s">
        <v>356</v>
      </c>
      <c r="Q188" s="6425"/>
      <c r="R188" s="6426">
        <v>55517</v>
      </c>
      <c r="S188" s="6427" t="s">
        <v>1241</v>
      </c>
      <c r="T188" s="6433" t="s">
        <v>939</v>
      </c>
      <c r="U188" s="6428">
        <v>2008</v>
      </c>
      <c r="V188" s="6425" t="s">
        <v>1209</v>
      </c>
      <c r="W188" s="6429">
        <v>263</v>
      </c>
      <c r="X188" s="6429">
        <v>5</v>
      </c>
      <c r="Y188" s="6429">
        <v>11099</v>
      </c>
      <c r="Z188" s="6429" t="s">
        <v>939</v>
      </c>
      <c r="AA188" s="6430">
        <v>0.02</v>
      </c>
      <c r="AB188" s="6431">
        <v>0.5</v>
      </c>
      <c r="AC188" s="6429">
        <v>107867</v>
      </c>
      <c r="AD188" s="6425" t="s">
        <v>944</v>
      </c>
      <c r="AE188" s="6425" t="s">
        <v>1259</v>
      </c>
      <c r="AF188" s="6425" t="s">
        <v>1261</v>
      </c>
      <c r="AG188" s="6425" t="s">
        <v>1262</v>
      </c>
      <c r="AH188" s="6425" t="s">
        <v>1297</v>
      </c>
      <c r="AI188" s="6425"/>
      <c r="AJ188" s="6425"/>
      <c r="AK188" s="6425"/>
      <c r="AL188" s="6433" t="s">
        <v>1303</v>
      </c>
      <c r="AM188" s="6433" t="s">
        <v>939</v>
      </c>
      <c r="AN188" s="6433" t="s">
        <v>1300</v>
      </c>
      <c r="AO188" s="6433" t="s">
        <v>1304</v>
      </c>
      <c r="AP188" s="6433" t="s">
        <v>1305</v>
      </c>
      <c r="AQ188" s="6433" t="s">
        <v>939</v>
      </c>
      <c r="AR188" s="6433" t="s">
        <v>939</v>
      </c>
      <c r="AS188" s="6425" t="s">
        <v>1022</v>
      </c>
      <c r="AT188" s="6425" t="s">
        <v>1338</v>
      </c>
      <c r="AU188" s="6425"/>
      <c r="AV188" s="6433" t="s">
        <v>939</v>
      </c>
      <c r="AW188" s="6431">
        <v>461</v>
      </c>
      <c r="AX188" s="5133"/>
    </row>
    <row r="189" spans="1:54" ht="12.75" customHeight="1">
      <c r="A189" s="6443" t="str">
        <f t="shared" si="14"/>
        <v/>
      </c>
      <c r="B189" s="6444"/>
      <c r="C189" s="6445" t="str">
        <f>+N189</f>
        <v/>
      </c>
      <c r="D189" s="5133"/>
      <c r="F189" s="5133"/>
      <c r="G189" s="6413">
        <v>172</v>
      </c>
      <c r="H189" s="6413">
        <v>252</v>
      </c>
      <c r="I189" s="10961">
        <v>62</v>
      </c>
      <c r="J189" s="10961"/>
      <c r="K189" s="10961" t="str">
        <f>+IF(ISNA(VLOOKUP(MATCH(P189,tfn,0),tao,'12(id)'!$K$20,FALSE)),"",IF(J189="NA","",VLOOKUP(MATCH(P189,tfn,0),tao,'12(id)'!$K$20,FALSE)+J189))</f>
        <v/>
      </c>
      <c r="L189" s="10961"/>
      <c r="M189" s="10961" t="str">
        <f t="shared" si="13"/>
        <v/>
      </c>
      <c r="N189" s="10944" t="str">
        <f>+IF(M189="","",VLOOKUP(MATCH(M189,tid,0),tao,'12(id)'!$Q$20,FALSE))</f>
        <v/>
      </c>
      <c r="O189" s="6413" t="s">
        <v>1208</v>
      </c>
      <c r="P189" s="6414" t="s">
        <v>356</v>
      </c>
      <c r="Q189" s="6414"/>
      <c r="R189" s="6415">
        <v>55517</v>
      </c>
      <c r="S189" s="6416" t="s">
        <v>1248</v>
      </c>
      <c r="T189" s="6421" t="s">
        <v>939</v>
      </c>
      <c r="U189" s="6417">
        <v>2010</v>
      </c>
      <c r="V189" s="6414" t="s">
        <v>1209</v>
      </c>
      <c r="W189" s="6418">
        <v>546</v>
      </c>
      <c r="X189" s="6418">
        <v>5</v>
      </c>
      <c r="Y189" s="6418">
        <v>23858</v>
      </c>
      <c r="Z189" s="6418" t="s">
        <v>939</v>
      </c>
      <c r="AA189" s="6419">
        <v>0.02</v>
      </c>
      <c r="AB189" s="6420">
        <v>1.2</v>
      </c>
      <c r="AC189" s="6418">
        <v>234457</v>
      </c>
      <c r="AD189" s="6414" t="s">
        <v>944</v>
      </c>
      <c r="AE189" s="6414" t="s">
        <v>1259</v>
      </c>
      <c r="AF189" s="6414" t="s">
        <v>1261</v>
      </c>
      <c r="AG189" s="6414" t="s">
        <v>1262</v>
      </c>
      <c r="AH189" s="6414" t="s">
        <v>1297</v>
      </c>
      <c r="AI189" s="6414"/>
      <c r="AJ189" s="6414"/>
      <c r="AK189" s="6414"/>
      <c r="AL189" s="6421" t="s">
        <v>1303</v>
      </c>
      <c r="AM189" s="6421" t="s">
        <v>939</v>
      </c>
      <c r="AN189" s="6421" t="s">
        <v>1300</v>
      </c>
      <c r="AO189" s="6421" t="s">
        <v>1304</v>
      </c>
      <c r="AP189" s="6421" t="s">
        <v>1305</v>
      </c>
      <c r="AQ189" s="6421" t="s">
        <v>939</v>
      </c>
      <c r="AR189" s="6421" t="s">
        <v>939</v>
      </c>
      <c r="AS189" s="6414" t="s">
        <v>1022</v>
      </c>
      <c r="AT189" s="6414" t="s">
        <v>1338</v>
      </c>
      <c r="AU189" s="6414"/>
      <c r="AV189" s="6421" t="s">
        <v>939</v>
      </c>
      <c r="AW189" s="6420">
        <v>530</v>
      </c>
      <c r="AX189" s="5133"/>
    </row>
    <row r="190" spans="1:54" ht="12.75" customHeight="1">
      <c r="A190" s="6443" t="str">
        <f t="shared" si="14"/>
        <v/>
      </c>
      <c r="B190" s="6444"/>
      <c r="C190" s="6445"/>
      <c r="D190" s="5133"/>
      <c r="F190" s="5133"/>
      <c r="G190" s="6413">
        <v>173</v>
      </c>
      <c r="H190" s="6413">
        <v>250</v>
      </c>
      <c r="I190" s="10962"/>
      <c r="J190" s="10962"/>
      <c r="K190" s="10962" t="str">
        <f>+IF(ISNA(VLOOKUP(MATCH(P190,tfn,0),tao,'12(id)'!$K$20,FALSE)),"",IF(J190="NA","",VLOOKUP(MATCH(P190,tfn,0),tao,'12(id)'!$K$20,FALSE)+J190))</f>
        <v/>
      </c>
      <c r="L190" s="10962"/>
      <c r="M190" s="10962" t="str">
        <f t="shared" si="13"/>
        <v/>
      </c>
      <c r="N190" s="10945" t="str">
        <f>+IF(M190="","",VLOOKUP(MATCH(M190,tid,0),tao,'12(id)'!$Q$20,FALSE))</f>
        <v/>
      </c>
      <c r="O190" s="6413" t="s">
        <v>1208</v>
      </c>
      <c r="P190" s="6414" t="s">
        <v>356</v>
      </c>
      <c r="Q190" s="6414"/>
      <c r="R190" s="6415">
        <v>55517</v>
      </c>
      <c r="S190" s="6416" t="s">
        <v>1248</v>
      </c>
      <c r="T190" s="6421" t="s">
        <v>939</v>
      </c>
      <c r="U190" s="6417">
        <v>2009</v>
      </c>
      <c r="V190" s="6414" t="s">
        <v>1209</v>
      </c>
      <c r="W190" s="6418">
        <v>142</v>
      </c>
      <c r="X190" s="6418">
        <v>5</v>
      </c>
      <c r="Y190" s="6418">
        <v>6178</v>
      </c>
      <c r="Z190" s="6418" t="s">
        <v>939</v>
      </c>
      <c r="AA190" s="6419">
        <v>0.02</v>
      </c>
      <c r="AB190" s="6420">
        <v>0.3</v>
      </c>
      <c r="AC190" s="6418">
        <v>57960</v>
      </c>
      <c r="AD190" s="6414" t="s">
        <v>944</v>
      </c>
      <c r="AE190" s="6414" t="s">
        <v>1259</v>
      </c>
      <c r="AF190" s="6414" t="s">
        <v>1261</v>
      </c>
      <c r="AG190" s="6414" t="s">
        <v>1262</v>
      </c>
      <c r="AH190" s="6414" t="s">
        <v>1297</v>
      </c>
      <c r="AI190" s="6414"/>
      <c r="AJ190" s="6414"/>
      <c r="AK190" s="6414"/>
      <c r="AL190" s="6421" t="s">
        <v>1303</v>
      </c>
      <c r="AM190" s="6421" t="s">
        <v>939</v>
      </c>
      <c r="AN190" s="6421" t="s">
        <v>1300</v>
      </c>
      <c r="AO190" s="6421" t="s">
        <v>1304</v>
      </c>
      <c r="AP190" s="6421" t="s">
        <v>1305</v>
      </c>
      <c r="AQ190" s="6421" t="s">
        <v>939</v>
      </c>
      <c r="AR190" s="6421" t="s">
        <v>939</v>
      </c>
      <c r="AS190" s="6414" t="s">
        <v>1022</v>
      </c>
      <c r="AT190" s="6414" t="s">
        <v>1338</v>
      </c>
      <c r="AU190" s="6414"/>
      <c r="AV190" s="6421" t="s">
        <v>939</v>
      </c>
      <c r="AW190" s="6420">
        <v>487.3</v>
      </c>
      <c r="AX190" s="5133"/>
    </row>
    <row r="191" spans="1:54" ht="12.75" customHeight="1">
      <c r="A191" s="6443" t="str">
        <f t="shared" si="14"/>
        <v/>
      </c>
      <c r="B191" s="6444"/>
      <c r="C191" s="6445"/>
      <c r="D191" s="5133"/>
      <c r="F191" s="5133"/>
      <c r="G191" s="6424">
        <v>174</v>
      </c>
      <c r="H191" s="6424">
        <v>248</v>
      </c>
      <c r="I191" s="10963"/>
      <c r="J191" s="10963"/>
      <c r="K191" s="10963" t="str">
        <f>+IF(ISNA(VLOOKUP(MATCH(P191,tfn,0),tao,'12(id)'!$K$20,FALSE)),"",IF(J191="NA","",VLOOKUP(MATCH(P191,tfn,0),tao,'12(id)'!$K$20,FALSE)+J191))</f>
        <v/>
      </c>
      <c r="L191" s="10963"/>
      <c r="M191" s="10963" t="str">
        <f t="shared" si="13"/>
        <v/>
      </c>
      <c r="N191" s="10946" t="str">
        <f>+IF(M191="","",VLOOKUP(MATCH(M191,tid,0),tao,'12(id)'!$Q$20,FALSE))</f>
        <v/>
      </c>
      <c r="O191" s="6424" t="s">
        <v>1208</v>
      </c>
      <c r="P191" s="6425" t="s">
        <v>356</v>
      </c>
      <c r="Q191" s="6425"/>
      <c r="R191" s="6426">
        <v>55517</v>
      </c>
      <c r="S191" s="6427" t="s">
        <v>1248</v>
      </c>
      <c r="T191" s="6433" t="s">
        <v>939</v>
      </c>
      <c r="U191" s="6428">
        <v>2008</v>
      </c>
      <c r="V191" s="6425" t="s">
        <v>1209</v>
      </c>
      <c r="W191" s="6429">
        <v>155</v>
      </c>
      <c r="X191" s="6429">
        <v>5</v>
      </c>
      <c r="Y191" s="6429">
        <v>6577</v>
      </c>
      <c r="Z191" s="6429" t="s">
        <v>939</v>
      </c>
      <c r="AA191" s="6430">
        <v>0.02</v>
      </c>
      <c r="AB191" s="6431">
        <v>0.4</v>
      </c>
      <c r="AC191" s="6429">
        <v>63494</v>
      </c>
      <c r="AD191" s="6425" t="s">
        <v>944</v>
      </c>
      <c r="AE191" s="6425" t="s">
        <v>1259</v>
      </c>
      <c r="AF191" s="6425" t="s">
        <v>1261</v>
      </c>
      <c r="AG191" s="6425" t="s">
        <v>1262</v>
      </c>
      <c r="AH191" s="6425" t="s">
        <v>1297</v>
      </c>
      <c r="AI191" s="6425"/>
      <c r="AJ191" s="6425"/>
      <c r="AK191" s="6425"/>
      <c r="AL191" s="6433" t="s">
        <v>1303</v>
      </c>
      <c r="AM191" s="6433" t="s">
        <v>939</v>
      </c>
      <c r="AN191" s="6433" t="s">
        <v>1300</v>
      </c>
      <c r="AO191" s="6433" t="s">
        <v>1304</v>
      </c>
      <c r="AP191" s="6433" t="s">
        <v>1305</v>
      </c>
      <c r="AQ191" s="6433" t="s">
        <v>939</v>
      </c>
      <c r="AR191" s="6433" t="s">
        <v>939</v>
      </c>
      <c r="AS191" s="6425" t="s">
        <v>1022</v>
      </c>
      <c r="AT191" s="6425" t="s">
        <v>1338</v>
      </c>
      <c r="AU191" s="6425"/>
      <c r="AV191" s="6433" t="s">
        <v>939</v>
      </c>
      <c r="AW191" s="6431">
        <v>461</v>
      </c>
      <c r="AX191" s="5133"/>
    </row>
    <row r="192" spans="1:54" ht="12.75" customHeight="1">
      <c r="A192" s="6443" t="str">
        <f t="shared" si="14"/>
        <v/>
      </c>
      <c r="B192" s="6444"/>
      <c r="C192" s="6445" t="str">
        <f>+N192</f>
        <v/>
      </c>
      <c r="D192" s="5133"/>
      <c r="F192" s="5133"/>
      <c r="G192" s="6413">
        <v>175</v>
      </c>
      <c r="H192" s="6413">
        <v>258</v>
      </c>
      <c r="I192" s="10961">
        <v>63</v>
      </c>
      <c r="J192" s="10961"/>
      <c r="K192" s="10961" t="str">
        <f>+IF(ISNA(VLOOKUP(MATCH(P192,tfn,0),tao,'12(id)'!$K$20,FALSE)),"",IF(J192="NA","",VLOOKUP(MATCH(P192,tfn,0),tao,'12(id)'!$K$20,FALSE)+J192))</f>
        <v/>
      </c>
      <c r="L192" s="10961"/>
      <c r="M192" s="10961" t="str">
        <f t="shared" si="13"/>
        <v/>
      </c>
      <c r="N192" s="10944" t="str">
        <f>+IF(M192="","",VLOOKUP(MATCH(M192,tid,0),tao,'12(id)'!$Q$20,FALSE))</f>
        <v/>
      </c>
      <c r="O192" s="6413" t="s">
        <v>1208</v>
      </c>
      <c r="P192" s="6414" t="s">
        <v>356</v>
      </c>
      <c r="Q192" s="6414"/>
      <c r="R192" s="6415">
        <v>55517</v>
      </c>
      <c r="S192" s="6416" t="s">
        <v>1249</v>
      </c>
      <c r="T192" s="6421" t="s">
        <v>939</v>
      </c>
      <c r="U192" s="6417">
        <v>2010</v>
      </c>
      <c r="V192" s="6414" t="s">
        <v>1209</v>
      </c>
      <c r="W192" s="6418">
        <v>635</v>
      </c>
      <c r="X192" s="6418">
        <v>5</v>
      </c>
      <c r="Y192" s="6418">
        <v>27417</v>
      </c>
      <c r="Z192" s="6418" t="s">
        <v>939</v>
      </c>
      <c r="AA192" s="6419">
        <v>0.01</v>
      </c>
      <c r="AB192" s="6420">
        <v>1.2</v>
      </c>
      <c r="AC192" s="6418">
        <v>275934</v>
      </c>
      <c r="AD192" s="6414" t="s">
        <v>944</v>
      </c>
      <c r="AE192" s="6414" t="s">
        <v>1259</v>
      </c>
      <c r="AF192" s="6414" t="s">
        <v>1261</v>
      </c>
      <c r="AG192" s="6414" t="s">
        <v>1262</v>
      </c>
      <c r="AH192" s="6414" t="s">
        <v>1297</v>
      </c>
      <c r="AI192" s="6414"/>
      <c r="AJ192" s="6414"/>
      <c r="AK192" s="6414"/>
      <c r="AL192" s="6421" t="s">
        <v>1303</v>
      </c>
      <c r="AM192" s="6421" t="s">
        <v>939</v>
      </c>
      <c r="AN192" s="6421" t="s">
        <v>1300</v>
      </c>
      <c r="AO192" s="6421" t="s">
        <v>1304</v>
      </c>
      <c r="AP192" s="6421" t="s">
        <v>1305</v>
      </c>
      <c r="AQ192" s="6421" t="s">
        <v>939</v>
      </c>
      <c r="AR192" s="6421" t="s">
        <v>939</v>
      </c>
      <c r="AS192" s="6414" t="s">
        <v>1022</v>
      </c>
      <c r="AT192" s="6414" t="s">
        <v>1338</v>
      </c>
      <c r="AU192" s="6414"/>
      <c r="AV192" s="6421" t="s">
        <v>939</v>
      </c>
      <c r="AW192" s="6420">
        <v>530</v>
      </c>
      <c r="AX192" s="5133"/>
    </row>
    <row r="193" spans="1:50" ht="12.75" customHeight="1">
      <c r="A193" s="6443" t="str">
        <f t="shared" si="14"/>
        <v/>
      </c>
      <c r="B193" s="6444"/>
      <c r="C193" s="6445"/>
      <c r="D193" s="5133"/>
      <c r="F193" s="5133"/>
      <c r="G193" s="6413">
        <v>176</v>
      </c>
      <c r="H193" s="6413">
        <v>256</v>
      </c>
      <c r="I193" s="10962"/>
      <c r="J193" s="10962"/>
      <c r="K193" s="10962" t="str">
        <f>+IF(ISNA(VLOOKUP(MATCH(P193,tfn,0),tao,'12(id)'!$K$20,FALSE)),"",IF(J193="NA","",VLOOKUP(MATCH(P193,tfn,0),tao,'12(id)'!$K$20,FALSE)+J193))</f>
        <v/>
      </c>
      <c r="L193" s="10962"/>
      <c r="M193" s="10962" t="str">
        <f t="shared" si="13"/>
        <v/>
      </c>
      <c r="N193" s="10945" t="str">
        <f>+IF(M193="","",VLOOKUP(MATCH(M193,tid,0),tao,'12(id)'!$Q$20,FALSE))</f>
        <v/>
      </c>
      <c r="O193" s="6413" t="s">
        <v>1208</v>
      </c>
      <c r="P193" s="6414" t="s">
        <v>356</v>
      </c>
      <c r="Q193" s="6414"/>
      <c r="R193" s="6415">
        <v>55517</v>
      </c>
      <c r="S193" s="6416" t="s">
        <v>1249</v>
      </c>
      <c r="T193" s="6421" t="s">
        <v>939</v>
      </c>
      <c r="U193" s="6417">
        <v>2009</v>
      </c>
      <c r="V193" s="6414" t="s">
        <v>1209</v>
      </c>
      <c r="W193" s="6418">
        <v>270</v>
      </c>
      <c r="X193" s="6418">
        <v>5</v>
      </c>
      <c r="Y193" s="6418">
        <v>11686</v>
      </c>
      <c r="Z193" s="6418" t="s">
        <v>939</v>
      </c>
      <c r="AA193" s="6419">
        <v>0.01</v>
      </c>
      <c r="AB193" s="6420">
        <v>0.5</v>
      </c>
      <c r="AC193" s="6418">
        <v>107576</v>
      </c>
      <c r="AD193" s="6414" t="s">
        <v>944</v>
      </c>
      <c r="AE193" s="6414" t="s">
        <v>1259</v>
      </c>
      <c r="AF193" s="6414" t="s">
        <v>1261</v>
      </c>
      <c r="AG193" s="6414" t="s">
        <v>1262</v>
      </c>
      <c r="AH193" s="6414" t="s">
        <v>1297</v>
      </c>
      <c r="AI193" s="6414"/>
      <c r="AJ193" s="6414"/>
      <c r="AK193" s="6414"/>
      <c r="AL193" s="6421" t="s">
        <v>1303</v>
      </c>
      <c r="AM193" s="6421" t="s">
        <v>939</v>
      </c>
      <c r="AN193" s="6421" t="s">
        <v>1300</v>
      </c>
      <c r="AO193" s="6421" t="s">
        <v>1304</v>
      </c>
      <c r="AP193" s="6421" t="s">
        <v>1305</v>
      </c>
      <c r="AQ193" s="6421" t="s">
        <v>939</v>
      </c>
      <c r="AR193" s="6421" t="s">
        <v>939</v>
      </c>
      <c r="AS193" s="6414" t="s">
        <v>1022</v>
      </c>
      <c r="AT193" s="6414" t="s">
        <v>1338</v>
      </c>
      <c r="AU193" s="6414"/>
      <c r="AV193" s="6421" t="s">
        <v>939</v>
      </c>
      <c r="AW193" s="6420">
        <v>487.3</v>
      </c>
      <c r="AX193" s="5133"/>
    </row>
    <row r="194" spans="1:50" ht="12.75" customHeight="1">
      <c r="A194" s="6443" t="str">
        <f t="shared" si="14"/>
        <v/>
      </c>
      <c r="B194" s="6444"/>
      <c r="C194" s="6445"/>
      <c r="D194" s="5133"/>
      <c r="F194" s="5133"/>
      <c r="G194" s="6424">
        <v>177</v>
      </c>
      <c r="H194" s="6424">
        <v>254</v>
      </c>
      <c r="I194" s="10963"/>
      <c r="J194" s="10963"/>
      <c r="K194" s="10963" t="str">
        <f>+IF(ISNA(VLOOKUP(MATCH(P194,tfn,0),tao,'12(id)'!$K$20,FALSE)),"",IF(J194="NA","",VLOOKUP(MATCH(P194,tfn,0),tao,'12(id)'!$K$20,FALSE)+J194))</f>
        <v/>
      </c>
      <c r="L194" s="10963"/>
      <c r="M194" s="10963" t="str">
        <f t="shared" si="13"/>
        <v/>
      </c>
      <c r="N194" s="10946" t="str">
        <f>+IF(M194="","",VLOOKUP(MATCH(M194,tid,0),tao,'12(id)'!$Q$20,FALSE))</f>
        <v/>
      </c>
      <c r="O194" s="6424" t="s">
        <v>1208</v>
      </c>
      <c r="P194" s="6425" t="s">
        <v>356</v>
      </c>
      <c r="Q194" s="6425"/>
      <c r="R194" s="6426">
        <v>55517</v>
      </c>
      <c r="S194" s="6427" t="s">
        <v>1249</v>
      </c>
      <c r="T194" s="6433" t="s">
        <v>939</v>
      </c>
      <c r="U194" s="6428">
        <v>2008</v>
      </c>
      <c r="V194" s="6425" t="s">
        <v>1209</v>
      </c>
      <c r="W194" s="6429">
        <v>213</v>
      </c>
      <c r="X194" s="6429">
        <v>5</v>
      </c>
      <c r="Y194" s="6429">
        <v>8862</v>
      </c>
      <c r="Z194" s="6429" t="s">
        <v>939</v>
      </c>
      <c r="AA194" s="6430">
        <v>0.02</v>
      </c>
      <c r="AB194" s="6431">
        <v>0.5</v>
      </c>
      <c r="AC194" s="6429">
        <v>87914</v>
      </c>
      <c r="AD194" s="6425" t="s">
        <v>944</v>
      </c>
      <c r="AE194" s="6425" t="s">
        <v>1259</v>
      </c>
      <c r="AF194" s="6425" t="s">
        <v>1261</v>
      </c>
      <c r="AG194" s="6425" t="s">
        <v>1262</v>
      </c>
      <c r="AH194" s="6425" t="s">
        <v>1297</v>
      </c>
      <c r="AI194" s="6425"/>
      <c r="AJ194" s="6425"/>
      <c r="AK194" s="6425"/>
      <c r="AL194" s="6433" t="s">
        <v>1303</v>
      </c>
      <c r="AM194" s="6433" t="s">
        <v>939</v>
      </c>
      <c r="AN194" s="6433" t="s">
        <v>1300</v>
      </c>
      <c r="AO194" s="6433" t="s">
        <v>1304</v>
      </c>
      <c r="AP194" s="6433" t="s">
        <v>1305</v>
      </c>
      <c r="AQ194" s="6433" t="s">
        <v>939</v>
      </c>
      <c r="AR194" s="6433" t="s">
        <v>939</v>
      </c>
      <c r="AS194" s="6425" t="s">
        <v>1022</v>
      </c>
      <c r="AT194" s="6425" t="s">
        <v>1338</v>
      </c>
      <c r="AU194" s="6425"/>
      <c r="AV194" s="6433" t="s">
        <v>939</v>
      </c>
      <c r="AW194" s="6431">
        <v>461</v>
      </c>
      <c r="AX194" s="5133"/>
    </row>
    <row r="195" spans="1:50" ht="12.75" customHeight="1">
      <c r="A195" s="6443" t="str">
        <f t="shared" si="14"/>
        <v/>
      </c>
      <c r="B195" s="6444"/>
      <c r="C195" s="6445"/>
      <c r="D195" s="5133"/>
      <c r="F195" s="5133"/>
      <c r="G195" s="6413">
        <v>178</v>
      </c>
      <c r="H195" s="6413">
        <v>264</v>
      </c>
      <c r="I195" s="10961">
        <v>64</v>
      </c>
      <c r="J195" s="10961"/>
      <c r="K195" s="10961" t="str">
        <f>+IF(ISNA(VLOOKUP(MATCH(P195,tfn,0),tao,'12(id)'!$K$20,FALSE)),"",IF(J195="NA","",VLOOKUP(MATCH(P195,tfn,0),tao,'12(id)'!$K$20,FALSE)+J195))</f>
        <v/>
      </c>
      <c r="L195" s="10961"/>
      <c r="M195" s="10961" t="str">
        <f t="shared" si="13"/>
        <v/>
      </c>
      <c r="N195" s="10944" t="str">
        <f>+IF(M195="","",VLOOKUP(MATCH(M195,tid,0),tao,'12(id)'!$Q$20,FALSE))</f>
        <v/>
      </c>
      <c r="O195" s="6413" t="s">
        <v>1208</v>
      </c>
      <c r="P195" s="6414" t="s">
        <v>356</v>
      </c>
      <c r="Q195" s="6414"/>
      <c r="R195" s="6415">
        <v>55517</v>
      </c>
      <c r="S195" s="6416" t="s">
        <v>1250</v>
      </c>
      <c r="T195" s="6421" t="s">
        <v>939</v>
      </c>
      <c r="U195" s="6417">
        <v>2010</v>
      </c>
      <c r="V195" s="6414" t="s">
        <v>1209</v>
      </c>
      <c r="W195" s="6418">
        <v>629</v>
      </c>
      <c r="X195" s="6418">
        <v>5</v>
      </c>
      <c r="Y195" s="6418">
        <v>27653</v>
      </c>
      <c r="Z195" s="6418" t="s">
        <v>939</v>
      </c>
      <c r="AA195" s="6419">
        <v>0.01</v>
      </c>
      <c r="AB195" s="6420">
        <v>1.3</v>
      </c>
      <c r="AC195" s="6418">
        <v>269839</v>
      </c>
      <c r="AD195" s="6414" t="s">
        <v>944</v>
      </c>
      <c r="AE195" s="6414" t="s">
        <v>1259</v>
      </c>
      <c r="AF195" s="6414" t="s">
        <v>1261</v>
      </c>
      <c r="AG195" s="6414" t="s">
        <v>1262</v>
      </c>
      <c r="AH195" s="6414" t="s">
        <v>1297</v>
      </c>
      <c r="AI195" s="6414"/>
      <c r="AJ195" s="6414"/>
      <c r="AK195" s="6414"/>
      <c r="AL195" s="6421" t="s">
        <v>1303</v>
      </c>
      <c r="AM195" s="6421" t="s">
        <v>939</v>
      </c>
      <c r="AN195" s="6421" t="s">
        <v>1300</v>
      </c>
      <c r="AO195" s="6421" t="s">
        <v>1304</v>
      </c>
      <c r="AP195" s="6421" t="s">
        <v>1305</v>
      </c>
      <c r="AQ195" s="6421" t="s">
        <v>939</v>
      </c>
      <c r="AR195" s="6421" t="s">
        <v>939</v>
      </c>
      <c r="AS195" s="6414" t="s">
        <v>1022</v>
      </c>
      <c r="AT195" s="6414" t="s">
        <v>1338</v>
      </c>
      <c r="AU195" s="6414"/>
      <c r="AV195" s="6421" t="s">
        <v>939</v>
      </c>
      <c r="AW195" s="6420">
        <v>530</v>
      </c>
      <c r="AX195" s="5133"/>
    </row>
    <row r="196" spans="1:50" ht="12.75" customHeight="1">
      <c r="A196" s="6443" t="str">
        <f t="shared" si="14"/>
        <v/>
      </c>
      <c r="B196" s="6444"/>
      <c r="C196" s="6445"/>
      <c r="D196" s="5133"/>
      <c r="F196" s="5133"/>
      <c r="G196" s="6413">
        <v>179</v>
      </c>
      <c r="H196" s="6413">
        <v>262</v>
      </c>
      <c r="I196" s="10962"/>
      <c r="J196" s="10962"/>
      <c r="K196" s="10962" t="str">
        <f>+IF(ISNA(VLOOKUP(MATCH(P196,tfn,0),tao,'12(id)'!$K$20,FALSE)),"",IF(J196="NA","",VLOOKUP(MATCH(P196,tfn,0),tao,'12(id)'!$K$20,FALSE)+J196))</f>
        <v/>
      </c>
      <c r="L196" s="10962"/>
      <c r="M196" s="10962" t="str">
        <f t="shared" si="13"/>
        <v/>
      </c>
      <c r="N196" s="10945" t="str">
        <f>+IF(M196="","",VLOOKUP(MATCH(M196,tid,0),tao,'12(id)'!$Q$20,FALSE))</f>
        <v/>
      </c>
      <c r="O196" s="6413" t="s">
        <v>1208</v>
      </c>
      <c r="P196" s="6414" t="s">
        <v>356</v>
      </c>
      <c r="Q196" s="6414"/>
      <c r="R196" s="6415">
        <v>55517</v>
      </c>
      <c r="S196" s="6416" t="s">
        <v>1250</v>
      </c>
      <c r="T196" s="6421" t="s">
        <v>939</v>
      </c>
      <c r="U196" s="6417">
        <v>2009</v>
      </c>
      <c r="V196" s="6414" t="s">
        <v>1209</v>
      </c>
      <c r="W196" s="6418">
        <v>161</v>
      </c>
      <c r="X196" s="6418">
        <v>5</v>
      </c>
      <c r="Y196" s="6418">
        <v>6938</v>
      </c>
      <c r="Z196" s="6418" t="s">
        <v>939</v>
      </c>
      <c r="AA196" s="6419">
        <v>0.01</v>
      </c>
      <c r="AB196" s="6420">
        <v>0.3</v>
      </c>
      <c r="AC196" s="6418">
        <v>69578</v>
      </c>
      <c r="AD196" s="6414" t="s">
        <v>944</v>
      </c>
      <c r="AE196" s="6414" t="s">
        <v>1259</v>
      </c>
      <c r="AF196" s="6414" t="s">
        <v>1261</v>
      </c>
      <c r="AG196" s="6414" t="s">
        <v>1262</v>
      </c>
      <c r="AH196" s="6414" t="s">
        <v>1297</v>
      </c>
      <c r="AI196" s="6414"/>
      <c r="AJ196" s="6414"/>
      <c r="AK196" s="6414"/>
      <c r="AL196" s="6421" t="s">
        <v>1303</v>
      </c>
      <c r="AM196" s="6421" t="s">
        <v>939</v>
      </c>
      <c r="AN196" s="6421" t="s">
        <v>1300</v>
      </c>
      <c r="AO196" s="6421" t="s">
        <v>1304</v>
      </c>
      <c r="AP196" s="6421" t="s">
        <v>1305</v>
      </c>
      <c r="AQ196" s="6421" t="s">
        <v>939</v>
      </c>
      <c r="AR196" s="6421" t="s">
        <v>939</v>
      </c>
      <c r="AS196" s="6414" t="s">
        <v>1022</v>
      </c>
      <c r="AT196" s="6414" t="s">
        <v>1338</v>
      </c>
      <c r="AU196" s="6414"/>
      <c r="AV196" s="6421" t="s">
        <v>939</v>
      </c>
      <c r="AW196" s="6420">
        <v>487.3</v>
      </c>
      <c r="AX196" s="5133"/>
    </row>
    <row r="197" spans="1:50" ht="12.75" customHeight="1">
      <c r="A197" s="6443" t="str">
        <f t="shared" si="14"/>
        <v/>
      </c>
      <c r="B197" s="6444"/>
      <c r="C197" s="6445"/>
      <c r="D197" s="5133"/>
      <c r="F197" s="5133"/>
      <c r="G197" s="6424">
        <v>180</v>
      </c>
      <c r="H197" s="6424">
        <v>260</v>
      </c>
      <c r="I197" s="10963"/>
      <c r="J197" s="10963"/>
      <c r="K197" s="10963" t="str">
        <f>+IF(ISNA(VLOOKUP(MATCH(P197,tfn,0),tao,'12(id)'!$K$20,FALSE)),"",IF(J197="NA","",VLOOKUP(MATCH(P197,tfn,0),tao,'12(id)'!$K$20,FALSE)+J197))</f>
        <v/>
      </c>
      <c r="L197" s="10963"/>
      <c r="M197" s="10963" t="str">
        <f t="shared" si="13"/>
        <v/>
      </c>
      <c r="N197" s="10946" t="str">
        <f>+IF(M197="","",VLOOKUP(MATCH(M197,tid,0),tao,'12(id)'!$Q$20,FALSE))</f>
        <v/>
      </c>
      <c r="O197" s="6424" t="s">
        <v>1208</v>
      </c>
      <c r="P197" s="6425" t="s">
        <v>356</v>
      </c>
      <c r="Q197" s="6425"/>
      <c r="R197" s="6426">
        <v>55517</v>
      </c>
      <c r="S197" s="6427" t="s">
        <v>1250</v>
      </c>
      <c r="T197" s="6433" t="s">
        <v>939</v>
      </c>
      <c r="U197" s="6428">
        <v>2008</v>
      </c>
      <c r="V197" s="6425" t="s">
        <v>1209</v>
      </c>
      <c r="W197" s="6429">
        <v>166</v>
      </c>
      <c r="X197" s="6429">
        <v>5</v>
      </c>
      <c r="Y197" s="6429">
        <v>6837</v>
      </c>
      <c r="Z197" s="6429" t="s">
        <v>939</v>
      </c>
      <c r="AA197" s="6430">
        <v>0.02</v>
      </c>
      <c r="AB197" s="6431">
        <v>0.4</v>
      </c>
      <c r="AC197" s="6429">
        <v>68816</v>
      </c>
      <c r="AD197" s="6425" t="s">
        <v>944</v>
      </c>
      <c r="AE197" s="6425" t="s">
        <v>1259</v>
      </c>
      <c r="AF197" s="6425" t="s">
        <v>1261</v>
      </c>
      <c r="AG197" s="6425" t="s">
        <v>1262</v>
      </c>
      <c r="AH197" s="6425" t="s">
        <v>1297</v>
      </c>
      <c r="AI197" s="6425"/>
      <c r="AJ197" s="6425"/>
      <c r="AK197" s="6425"/>
      <c r="AL197" s="6433" t="s">
        <v>1303</v>
      </c>
      <c r="AM197" s="6433" t="s">
        <v>939</v>
      </c>
      <c r="AN197" s="6433" t="s">
        <v>1300</v>
      </c>
      <c r="AO197" s="6433" t="s">
        <v>1304</v>
      </c>
      <c r="AP197" s="6433" t="s">
        <v>1305</v>
      </c>
      <c r="AQ197" s="6433" t="s">
        <v>939</v>
      </c>
      <c r="AR197" s="6433" t="s">
        <v>939</v>
      </c>
      <c r="AS197" s="6425" t="s">
        <v>1022</v>
      </c>
      <c r="AT197" s="6425" t="s">
        <v>1338</v>
      </c>
      <c r="AU197" s="6425"/>
      <c r="AV197" s="6433" t="s">
        <v>939</v>
      </c>
      <c r="AW197" s="6431">
        <v>461</v>
      </c>
      <c r="AX197" s="5133"/>
    </row>
    <row r="198" spans="1:50" ht="12.75" customHeight="1">
      <c r="A198" s="6443" t="str">
        <f t="shared" si="14"/>
        <v/>
      </c>
      <c r="B198" s="6444"/>
      <c r="C198" s="6445"/>
      <c r="D198" s="5133"/>
      <c r="F198" s="5133"/>
      <c r="G198" s="6413">
        <v>181</v>
      </c>
      <c r="H198" s="6413">
        <v>268</v>
      </c>
      <c r="I198" s="10975">
        <v>65</v>
      </c>
      <c r="J198" s="10975"/>
      <c r="K198" s="10975" t="str">
        <f>+IF(ISNA(VLOOKUP(MATCH(P198,tfn,0),tao,'12(id)'!$K$20,FALSE)),"",IF(J198="NA","",VLOOKUP(MATCH(P198,tfn,0),tao,'12(id)'!$K$20,FALSE)+J198))</f>
        <v/>
      </c>
      <c r="L198" s="10975"/>
      <c r="M198" s="10975" t="str">
        <f t="shared" si="13"/>
        <v/>
      </c>
      <c r="N198" s="10973" t="str">
        <f>+IF(M198="","",VLOOKUP(MATCH(M198,tid,0),tao,'12(id)'!$Q$20,FALSE))</f>
        <v/>
      </c>
      <c r="O198" s="6413" t="s">
        <v>1208</v>
      </c>
      <c r="P198" s="6414" t="s">
        <v>357</v>
      </c>
      <c r="Q198" s="6414"/>
      <c r="R198" s="6415">
        <v>56629</v>
      </c>
      <c r="S198" s="6416" t="s">
        <v>1215</v>
      </c>
      <c r="T198" s="6421" t="s">
        <v>939</v>
      </c>
      <c r="U198" s="6417">
        <v>2010</v>
      </c>
      <c r="V198" s="6414" t="s">
        <v>1209</v>
      </c>
      <c r="W198" s="6418">
        <v>759</v>
      </c>
      <c r="X198" s="6418">
        <v>5</v>
      </c>
      <c r="Y198" s="6418">
        <v>65574</v>
      </c>
      <c r="Z198" s="6418" t="s">
        <v>939</v>
      </c>
      <c r="AA198" s="6419">
        <v>0.02</v>
      </c>
      <c r="AB198" s="6420">
        <v>2.9</v>
      </c>
      <c r="AC198" s="6418">
        <v>506766</v>
      </c>
      <c r="AD198" s="6414" t="s">
        <v>944</v>
      </c>
      <c r="AE198" s="6414" t="s">
        <v>1259</v>
      </c>
      <c r="AF198" s="6414" t="s">
        <v>939</v>
      </c>
      <c r="AG198" s="6414" t="s">
        <v>939</v>
      </c>
      <c r="AH198" s="6414" t="s">
        <v>1298</v>
      </c>
      <c r="AI198" s="6414"/>
      <c r="AJ198" s="6414"/>
      <c r="AK198" s="6414"/>
      <c r="AL198" s="6414" t="s">
        <v>1303</v>
      </c>
      <c r="AM198" s="6414" t="s">
        <v>939</v>
      </c>
      <c r="AN198" s="6414" t="s">
        <v>1300</v>
      </c>
      <c r="AO198" s="6414" t="s">
        <v>1304</v>
      </c>
      <c r="AP198" s="6414" t="s">
        <v>1305</v>
      </c>
      <c r="AQ198" s="6414" t="s">
        <v>1306</v>
      </c>
      <c r="AR198" s="6421" t="s">
        <v>939</v>
      </c>
      <c r="AS198" s="6414" t="s">
        <v>1022</v>
      </c>
      <c r="AT198" s="6414" t="s">
        <v>1338</v>
      </c>
      <c r="AU198" s="6414"/>
      <c r="AV198" s="6421" t="s">
        <v>939</v>
      </c>
      <c r="AW198" s="6420">
        <v>1800</v>
      </c>
      <c r="AX198" s="5133"/>
    </row>
    <row r="199" spans="1:50" ht="12.75" customHeight="1">
      <c r="A199" s="6443" t="str">
        <f t="shared" si="14"/>
        <v/>
      </c>
      <c r="B199" s="6444"/>
      <c r="C199" s="6445"/>
      <c r="D199" s="5133"/>
      <c r="F199" s="5133"/>
      <c r="G199" s="6424">
        <v>182</v>
      </c>
      <c r="H199" s="6424">
        <v>266</v>
      </c>
      <c r="I199" s="10976"/>
      <c r="J199" s="10976"/>
      <c r="K199" s="10976"/>
      <c r="L199" s="10976"/>
      <c r="M199" s="10976"/>
      <c r="N199" s="10974"/>
      <c r="O199" s="6424" t="s">
        <v>1208</v>
      </c>
      <c r="P199" s="6425" t="s">
        <v>357</v>
      </c>
      <c r="Q199" s="6425"/>
      <c r="R199" s="6426">
        <v>56629</v>
      </c>
      <c r="S199" s="6427" t="s">
        <v>1215</v>
      </c>
      <c r="T199" s="6433" t="s">
        <v>939</v>
      </c>
      <c r="U199" s="6428">
        <v>2009</v>
      </c>
      <c r="V199" s="6425" t="s">
        <v>1209</v>
      </c>
      <c r="W199" s="6429">
        <v>316</v>
      </c>
      <c r="X199" s="6429">
        <v>5</v>
      </c>
      <c r="Y199" s="6429">
        <v>20942</v>
      </c>
      <c r="Z199" s="6429" t="s">
        <v>939</v>
      </c>
      <c r="AA199" s="6430">
        <v>0.06</v>
      </c>
      <c r="AB199" s="6431">
        <v>4.5999999999999996</v>
      </c>
      <c r="AC199" s="6429">
        <v>208941</v>
      </c>
      <c r="AD199" s="6425" t="s">
        <v>944</v>
      </c>
      <c r="AE199" s="6425" t="s">
        <v>1259</v>
      </c>
      <c r="AF199" s="6425" t="s">
        <v>939</v>
      </c>
      <c r="AG199" s="6425" t="s">
        <v>939</v>
      </c>
      <c r="AH199" s="6425" t="s">
        <v>1298</v>
      </c>
      <c r="AI199" s="6425"/>
      <c r="AJ199" s="6425"/>
      <c r="AK199" s="6425"/>
      <c r="AL199" s="6425" t="s">
        <v>1303</v>
      </c>
      <c r="AM199" s="6425" t="s">
        <v>939</v>
      </c>
      <c r="AN199" s="6425" t="s">
        <v>1330</v>
      </c>
      <c r="AO199" s="6425" t="s">
        <v>1331</v>
      </c>
      <c r="AP199" s="6425" t="s">
        <v>1305</v>
      </c>
      <c r="AQ199" s="6425" t="s">
        <v>1306</v>
      </c>
      <c r="AR199" s="6433" t="s">
        <v>939</v>
      </c>
      <c r="AS199" s="6425" t="s">
        <v>1022</v>
      </c>
      <c r="AT199" s="6425" t="s">
        <v>1338</v>
      </c>
      <c r="AU199" s="6425"/>
      <c r="AV199" s="6433" t="s">
        <v>939</v>
      </c>
      <c r="AW199" s="6431">
        <v>1800</v>
      </c>
      <c r="AX199" s="5133"/>
    </row>
    <row r="200" spans="1:50" ht="12.75" customHeight="1">
      <c r="A200" s="6443" t="str">
        <f t="shared" si="14"/>
        <v/>
      </c>
      <c r="B200" s="6444"/>
      <c r="C200" s="6445"/>
      <c r="D200" s="5133"/>
      <c r="F200" s="5133"/>
      <c r="G200" s="6413">
        <v>183</v>
      </c>
      <c r="H200" s="6413">
        <v>272</v>
      </c>
      <c r="I200" s="10961">
        <v>66</v>
      </c>
      <c r="J200" s="10961"/>
      <c r="K200" s="10961" t="str">
        <f>+IF(ISNA(VLOOKUP(MATCH(P200,tfn,0),tao,'12(id)'!$K$20,FALSE)),"",IF(J200="NA","",VLOOKUP(MATCH(P200,tfn,0),tao,'12(id)'!$K$20,FALSE)+J200))</f>
        <v/>
      </c>
      <c r="L200" s="10961"/>
      <c r="M200" s="10961" t="str">
        <f t="shared" si="13"/>
        <v/>
      </c>
      <c r="N200" s="10944" t="str">
        <f>+IF(M200="","",VLOOKUP(MATCH(M200,tid,0),tao,'12(id)'!$Q$20,FALSE))</f>
        <v/>
      </c>
      <c r="O200" s="6413" t="s">
        <v>1208</v>
      </c>
      <c r="P200" s="6414" t="s">
        <v>358</v>
      </c>
      <c r="Q200" s="6414"/>
      <c r="R200" s="6415">
        <v>56189</v>
      </c>
      <c r="S200" s="6416" t="s">
        <v>1239</v>
      </c>
      <c r="T200" s="6421" t="s">
        <v>939</v>
      </c>
      <c r="U200" s="6417">
        <v>2010</v>
      </c>
      <c r="V200" s="6414" t="s">
        <v>1209</v>
      </c>
      <c r="W200" s="6418">
        <v>68</v>
      </c>
      <c r="X200" s="6418">
        <v>5</v>
      </c>
      <c r="Y200" s="6418" t="s">
        <v>939</v>
      </c>
      <c r="Z200" s="6418" t="s">
        <v>939</v>
      </c>
      <c r="AA200" s="6419">
        <v>0.33</v>
      </c>
      <c r="AB200" s="6420">
        <v>2.1</v>
      </c>
      <c r="AC200" s="6418">
        <v>16818</v>
      </c>
      <c r="AD200" s="6414" t="s">
        <v>944</v>
      </c>
      <c r="AE200" s="6414" t="s">
        <v>1259</v>
      </c>
      <c r="AF200" s="6414" t="s">
        <v>939</v>
      </c>
      <c r="AG200" s="6414" t="s">
        <v>939</v>
      </c>
      <c r="AH200" s="6414" t="s">
        <v>1299</v>
      </c>
      <c r="AI200" s="6414"/>
      <c r="AJ200" s="6414"/>
      <c r="AK200" s="6414"/>
      <c r="AL200" s="6421" t="s">
        <v>939</v>
      </c>
      <c r="AM200" s="6421" t="s">
        <v>939</v>
      </c>
      <c r="AN200" s="6421" t="s">
        <v>1300</v>
      </c>
      <c r="AO200" s="6421" t="s">
        <v>1304</v>
      </c>
      <c r="AP200" s="6421" t="s">
        <v>1306</v>
      </c>
      <c r="AQ200" s="6421" t="s">
        <v>939</v>
      </c>
      <c r="AR200" s="6421" t="s">
        <v>939</v>
      </c>
      <c r="AS200" s="6414" t="s">
        <v>1022</v>
      </c>
      <c r="AT200" s="6414" t="s">
        <v>939</v>
      </c>
      <c r="AU200" s="6414"/>
      <c r="AV200" s="6421" t="s">
        <v>939</v>
      </c>
      <c r="AW200" s="6420">
        <v>247</v>
      </c>
      <c r="AX200" s="5133"/>
    </row>
    <row r="201" spans="1:50" ht="12.75" customHeight="1">
      <c r="A201" s="6443" t="str">
        <f t="shared" si="14"/>
        <v/>
      </c>
      <c r="B201" s="6444"/>
      <c r="C201" s="6445"/>
      <c r="D201" s="5133"/>
      <c r="F201" s="5133"/>
      <c r="G201" s="6413">
        <v>184</v>
      </c>
      <c r="H201" s="6413">
        <v>271</v>
      </c>
      <c r="I201" s="10962"/>
      <c r="J201" s="10962"/>
      <c r="K201" s="10962" t="str">
        <f>+IF(ISNA(VLOOKUP(MATCH(P201,tfn,0),tao,'12(id)'!$K$20,FALSE)),"",IF(J201="NA","",VLOOKUP(MATCH(P201,tfn,0),tao,'12(id)'!$K$20,FALSE)+J201))</f>
        <v/>
      </c>
      <c r="L201" s="10962"/>
      <c r="M201" s="10962" t="str">
        <f t="shared" si="13"/>
        <v/>
      </c>
      <c r="N201" s="10945" t="str">
        <f>+IF(M201="","",VLOOKUP(MATCH(M201,tid,0),tao,'12(id)'!$Q$20,FALSE))</f>
        <v/>
      </c>
      <c r="O201" s="6413" t="s">
        <v>1208</v>
      </c>
      <c r="P201" s="6414" t="s">
        <v>358</v>
      </c>
      <c r="Q201" s="6414"/>
      <c r="R201" s="6415">
        <v>56189</v>
      </c>
      <c r="S201" s="6416" t="s">
        <v>1239</v>
      </c>
      <c r="T201" s="6421" t="s">
        <v>939</v>
      </c>
      <c r="U201" s="6417">
        <v>2009</v>
      </c>
      <c r="V201" s="6414" t="s">
        <v>1209</v>
      </c>
      <c r="W201" s="6418">
        <v>15</v>
      </c>
      <c r="X201" s="6418">
        <v>5</v>
      </c>
      <c r="Y201" s="6418" t="s">
        <v>939</v>
      </c>
      <c r="Z201" s="6418" t="s">
        <v>939</v>
      </c>
      <c r="AA201" s="6419">
        <v>0.6</v>
      </c>
      <c r="AB201" s="6420">
        <v>0.5</v>
      </c>
      <c r="AC201" s="6418">
        <v>3636</v>
      </c>
      <c r="AD201" s="6414" t="s">
        <v>944</v>
      </c>
      <c r="AE201" s="6414" t="s">
        <v>1259</v>
      </c>
      <c r="AF201" s="6414" t="s">
        <v>939</v>
      </c>
      <c r="AG201" s="6414" t="s">
        <v>939</v>
      </c>
      <c r="AH201" s="6414" t="s">
        <v>1299</v>
      </c>
      <c r="AI201" s="6414"/>
      <c r="AJ201" s="6414"/>
      <c r="AK201" s="6414"/>
      <c r="AL201" s="6421" t="s">
        <v>939</v>
      </c>
      <c r="AM201" s="6421" t="s">
        <v>939</v>
      </c>
      <c r="AN201" s="6421" t="s">
        <v>1300</v>
      </c>
      <c r="AO201" s="6421" t="s">
        <v>1304</v>
      </c>
      <c r="AP201" s="6421" t="s">
        <v>1306</v>
      </c>
      <c r="AQ201" s="6421" t="s">
        <v>939</v>
      </c>
      <c r="AR201" s="6421" t="s">
        <v>939</v>
      </c>
      <c r="AS201" s="6414" t="s">
        <v>1022</v>
      </c>
      <c r="AT201" s="6414" t="s">
        <v>939</v>
      </c>
      <c r="AU201" s="6414"/>
      <c r="AV201" s="6421" t="s">
        <v>939</v>
      </c>
      <c r="AW201" s="6420">
        <v>247</v>
      </c>
      <c r="AX201" s="5133"/>
    </row>
    <row r="202" spans="1:50" ht="12.75" customHeight="1">
      <c r="A202" s="6443" t="str">
        <f t="shared" si="14"/>
        <v/>
      </c>
      <c r="B202" s="6444"/>
      <c r="C202" s="6445"/>
      <c r="D202" s="5133"/>
      <c r="F202" s="5133"/>
      <c r="G202" s="6424">
        <v>185</v>
      </c>
      <c r="H202" s="6424">
        <v>270</v>
      </c>
      <c r="I202" s="10963"/>
      <c r="J202" s="10963"/>
      <c r="K202" s="10963" t="str">
        <f>+IF(ISNA(VLOOKUP(MATCH(P202,tfn,0),tao,'12(id)'!$K$20,FALSE)),"",IF(J202="NA","",VLOOKUP(MATCH(P202,tfn,0),tao,'12(id)'!$K$20,FALSE)+J202))</f>
        <v/>
      </c>
      <c r="L202" s="10963"/>
      <c r="M202" s="10963" t="str">
        <f t="shared" si="13"/>
        <v/>
      </c>
      <c r="N202" s="10946" t="str">
        <f>+IF(M202="","",VLOOKUP(MATCH(M202,tid,0),tao,'12(id)'!$Q$20,FALSE))</f>
        <v/>
      </c>
      <c r="O202" s="6424" t="s">
        <v>1208</v>
      </c>
      <c r="P202" s="6425" t="s">
        <v>358</v>
      </c>
      <c r="Q202" s="6425"/>
      <c r="R202" s="6426">
        <v>56189</v>
      </c>
      <c r="S202" s="6427" t="s">
        <v>1239</v>
      </c>
      <c r="T202" s="6433" t="s">
        <v>939</v>
      </c>
      <c r="U202" s="6428">
        <v>2008</v>
      </c>
      <c r="V202" s="6425" t="s">
        <v>1209</v>
      </c>
      <c r="W202" s="6429">
        <v>42</v>
      </c>
      <c r="X202" s="6429">
        <v>5</v>
      </c>
      <c r="Y202" s="6429" t="s">
        <v>939</v>
      </c>
      <c r="Z202" s="6429" t="s">
        <v>939</v>
      </c>
      <c r="AA202" s="6430">
        <v>0.44</v>
      </c>
      <c r="AB202" s="6431">
        <v>1.3</v>
      </c>
      <c r="AC202" s="6429">
        <v>10382</v>
      </c>
      <c r="AD202" s="6425" t="s">
        <v>944</v>
      </c>
      <c r="AE202" s="6425" t="s">
        <v>1259</v>
      </c>
      <c r="AF202" s="6425" t="s">
        <v>939</v>
      </c>
      <c r="AG202" s="6425" t="s">
        <v>939</v>
      </c>
      <c r="AH202" s="6425" t="s">
        <v>1299</v>
      </c>
      <c r="AI202" s="6425"/>
      <c r="AJ202" s="6425"/>
      <c r="AK202" s="6425"/>
      <c r="AL202" s="6433" t="s">
        <v>939</v>
      </c>
      <c r="AM202" s="6433" t="s">
        <v>939</v>
      </c>
      <c r="AN202" s="6433" t="s">
        <v>1300</v>
      </c>
      <c r="AO202" s="6433" t="s">
        <v>1304</v>
      </c>
      <c r="AP202" s="6433" t="s">
        <v>1306</v>
      </c>
      <c r="AQ202" s="6433" t="s">
        <v>939</v>
      </c>
      <c r="AR202" s="6433" t="s">
        <v>939</v>
      </c>
      <c r="AS202" s="6425" t="s">
        <v>1022</v>
      </c>
      <c r="AT202" s="6425" t="s">
        <v>939</v>
      </c>
      <c r="AU202" s="6425"/>
      <c r="AV202" s="6433" t="s">
        <v>939</v>
      </c>
      <c r="AW202" s="6431">
        <v>247</v>
      </c>
      <c r="AX202" s="5133"/>
    </row>
    <row r="203" spans="1:50" ht="12.75" customHeight="1">
      <c r="A203" s="6443" t="str">
        <f t="shared" ref="A203:A208" si="15">+IF(M203="","",M203)</f>
        <v/>
      </c>
      <c r="B203" s="6444"/>
      <c r="C203" s="6445"/>
      <c r="D203" s="5133"/>
      <c r="F203" s="5133"/>
      <c r="G203" s="6413">
        <v>186</v>
      </c>
      <c r="H203" s="6413">
        <v>275</v>
      </c>
      <c r="I203" s="10961">
        <v>67</v>
      </c>
      <c r="J203" s="10961"/>
      <c r="K203" s="10961" t="str">
        <f>+IF(ISNA(VLOOKUP(MATCH(P203,tfn,0),tao,'12(id)'!$K$20,FALSE)),"",IF(J203="NA","",VLOOKUP(MATCH(P203,tfn,0),tao,'12(id)'!$K$20,FALSE)+J203))</f>
        <v/>
      </c>
      <c r="L203" s="10961"/>
      <c r="M203" s="10961" t="str">
        <f t="shared" si="13"/>
        <v/>
      </c>
      <c r="N203" s="10944" t="str">
        <f>+IF(M203="","",VLOOKUP(MATCH(M203,tid,0),tao,'12(id)'!$Q$20,FALSE))</f>
        <v/>
      </c>
      <c r="O203" s="6413" t="s">
        <v>1208</v>
      </c>
      <c r="P203" s="6414" t="s">
        <v>358</v>
      </c>
      <c r="Q203" s="6414"/>
      <c r="R203" s="6415">
        <v>56189</v>
      </c>
      <c r="S203" s="6416" t="s">
        <v>1242</v>
      </c>
      <c r="T203" s="6421" t="s">
        <v>939</v>
      </c>
      <c r="U203" s="6417">
        <v>2010</v>
      </c>
      <c r="V203" s="6414" t="s">
        <v>1209</v>
      </c>
      <c r="W203" s="6418">
        <v>73</v>
      </c>
      <c r="X203" s="6418">
        <v>5</v>
      </c>
      <c r="Y203" s="6418" t="s">
        <v>939</v>
      </c>
      <c r="Z203" s="6418" t="s">
        <v>939</v>
      </c>
      <c r="AA203" s="6419">
        <v>0.52</v>
      </c>
      <c r="AB203" s="6420">
        <v>3.4</v>
      </c>
      <c r="AC203" s="6418">
        <v>17965</v>
      </c>
      <c r="AD203" s="6414" t="s">
        <v>944</v>
      </c>
      <c r="AE203" s="6414" t="s">
        <v>1259</v>
      </c>
      <c r="AF203" s="6414" t="s">
        <v>939</v>
      </c>
      <c r="AG203" s="6414" t="s">
        <v>939</v>
      </c>
      <c r="AH203" s="6414" t="s">
        <v>1299</v>
      </c>
      <c r="AI203" s="6414"/>
      <c r="AJ203" s="6414"/>
      <c r="AK203" s="6414"/>
      <c r="AL203" s="6421" t="s">
        <v>939</v>
      </c>
      <c r="AM203" s="6421" t="s">
        <v>939</v>
      </c>
      <c r="AN203" s="6421" t="s">
        <v>1300</v>
      </c>
      <c r="AO203" s="6421" t="s">
        <v>1304</v>
      </c>
      <c r="AP203" s="6421" t="s">
        <v>1306</v>
      </c>
      <c r="AQ203" s="6421" t="s">
        <v>939</v>
      </c>
      <c r="AR203" s="6421" t="s">
        <v>939</v>
      </c>
      <c r="AS203" s="6414" t="s">
        <v>1022</v>
      </c>
      <c r="AT203" s="6414" t="s">
        <v>939</v>
      </c>
      <c r="AU203" s="6414"/>
      <c r="AV203" s="6421" t="s">
        <v>939</v>
      </c>
      <c r="AW203" s="6420">
        <v>247</v>
      </c>
      <c r="AX203" s="5133"/>
    </row>
    <row r="204" spans="1:50" ht="12.75" customHeight="1">
      <c r="A204" s="6443" t="str">
        <f t="shared" si="15"/>
        <v/>
      </c>
      <c r="B204" s="6444"/>
      <c r="C204" s="6445"/>
      <c r="D204" s="5133"/>
      <c r="F204" s="5133"/>
      <c r="G204" s="6413">
        <v>187</v>
      </c>
      <c r="H204" s="6413">
        <v>274</v>
      </c>
      <c r="I204" s="10962"/>
      <c r="J204" s="10962"/>
      <c r="K204" s="10962" t="str">
        <f>+IF(ISNA(VLOOKUP(MATCH(P204,tfn,0),tao,'12(id)'!$K$20,FALSE)),"",IF(J204="NA","",VLOOKUP(MATCH(P204,tfn,0),tao,'12(id)'!$K$20,FALSE)+J204))</f>
        <v/>
      </c>
      <c r="L204" s="10962"/>
      <c r="M204" s="10962" t="str">
        <f t="shared" si="13"/>
        <v/>
      </c>
      <c r="N204" s="10945" t="str">
        <f>+IF(M204="","",VLOOKUP(MATCH(M204,tid,0),tao,'12(id)'!$Q$20,FALSE))</f>
        <v/>
      </c>
      <c r="O204" s="6413" t="s">
        <v>1208</v>
      </c>
      <c r="P204" s="6414" t="s">
        <v>358</v>
      </c>
      <c r="Q204" s="6414"/>
      <c r="R204" s="6415">
        <v>56189</v>
      </c>
      <c r="S204" s="6416" t="s">
        <v>1242</v>
      </c>
      <c r="T204" s="6421" t="s">
        <v>939</v>
      </c>
      <c r="U204" s="6417">
        <v>2009</v>
      </c>
      <c r="V204" s="6414" t="s">
        <v>1209</v>
      </c>
      <c r="W204" s="6418">
        <v>16</v>
      </c>
      <c r="X204" s="6418">
        <v>5</v>
      </c>
      <c r="Y204" s="6418" t="s">
        <v>939</v>
      </c>
      <c r="Z204" s="6418" t="s">
        <v>939</v>
      </c>
      <c r="AA204" s="6419">
        <v>0.56000000000000005</v>
      </c>
      <c r="AB204" s="6420">
        <v>0.6</v>
      </c>
      <c r="AC204" s="6418">
        <v>3841</v>
      </c>
      <c r="AD204" s="6414" t="s">
        <v>944</v>
      </c>
      <c r="AE204" s="6414" t="s">
        <v>1259</v>
      </c>
      <c r="AF204" s="6414" t="s">
        <v>939</v>
      </c>
      <c r="AG204" s="6414" t="s">
        <v>939</v>
      </c>
      <c r="AH204" s="6414" t="s">
        <v>1299</v>
      </c>
      <c r="AI204" s="6414"/>
      <c r="AJ204" s="6414"/>
      <c r="AK204" s="6414"/>
      <c r="AL204" s="6421" t="s">
        <v>939</v>
      </c>
      <c r="AM204" s="6421" t="s">
        <v>939</v>
      </c>
      <c r="AN204" s="6421" t="s">
        <v>1300</v>
      </c>
      <c r="AO204" s="6421" t="s">
        <v>1304</v>
      </c>
      <c r="AP204" s="6421" t="s">
        <v>1306</v>
      </c>
      <c r="AQ204" s="6421" t="s">
        <v>939</v>
      </c>
      <c r="AR204" s="6421" t="s">
        <v>939</v>
      </c>
      <c r="AS204" s="6414" t="s">
        <v>1022</v>
      </c>
      <c r="AT204" s="6414" t="s">
        <v>939</v>
      </c>
      <c r="AU204" s="6414"/>
      <c r="AV204" s="6421" t="s">
        <v>939</v>
      </c>
      <c r="AW204" s="6420">
        <v>247</v>
      </c>
      <c r="AX204" s="5133"/>
    </row>
    <row r="205" spans="1:50" ht="12.75" customHeight="1">
      <c r="A205" s="6443" t="str">
        <f t="shared" si="15"/>
        <v/>
      </c>
      <c r="B205" s="6444"/>
      <c r="C205" s="6445"/>
      <c r="D205" s="5133"/>
      <c r="F205" s="5133"/>
      <c r="G205" s="6424">
        <v>188</v>
      </c>
      <c r="H205" s="6424">
        <v>273</v>
      </c>
      <c r="I205" s="10963"/>
      <c r="J205" s="10963"/>
      <c r="K205" s="10963" t="str">
        <f>+IF(ISNA(VLOOKUP(MATCH(P205,tfn,0),tao,'12(id)'!$K$20,FALSE)),"",IF(J205="NA","",VLOOKUP(MATCH(P205,tfn,0),tao,'12(id)'!$K$20,FALSE)+J205))</f>
        <v/>
      </c>
      <c r="L205" s="10963"/>
      <c r="M205" s="10963" t="str">
        <f t="shared" si="13"/>
        <v/>
      </c>
      <c r="N205" s="10946" t="str">
        <f>+IF(M205="","",VLOOKUP(MATCH(M205,tid,0),tao,'12(id)'!$Q$20,FALSE))</f>
        <v/>
      </c>
      <c r="O205" s="6424" t="s">
        <v>1208</v>
      </c>
      <c r="P205" s="6425" t="s">
        <v>358</v>
      </c>
      <c r="Q205" s="6425"/>
      <c r="R205" s="6426">
        <v>56189</v>
      </c>
      <c r="S205" s="6427" t="s">
        <v>1242</v>
      </c>
      <c r="T205" s="6433" t="s">
        <v>939</v>
      </c>
      <c r="U205" s="6428">
        <v>2008</v>
      </c>
      <c r="V205" s="6425" t="s">
        <v>1209</v>
      </c>
      <c r="W205" s="6429">
        <v>45</v>
      </c>
      <c r="X205" s="6429">
        <v>5</v>
      </c>
      <c r="Y205" s="6429" t="s">
        <v>939</v>
      </c>
      <c r="Z205" s="6429" t="s">
        <v>939</v>
      </c>
      <c r="AA205" s="6430">
        <v>0.6</v>
      </c>
      <c r="AB205" s="6431">
        <v>1.7</v>
      </c>
      <c r="AC205" s="6429">
        <v>11112</v>
      </c>
      <c r="AD205" s="6425" t="s">
        <v>944</v>
      </c>
      <c r="AE205" s="6425" t="s">
        <v>1259</v>
      </c>
      <c r="AF205" s="6425" t="s">
        <v>939</v>
      </c>
      <c r="AG205" s="6425" t="s">
        <v>939</v>
      </c>
      <c r="AH205" s="6425" t="s">
        <v>1299</v>
      </c>
      <c r="AI205" s="6425"/>
      <c r="AJ205" s="6425"/>
      <c r="AK205" s="6425"/>
      <c r="AL205" s="6433" t="s">
        <v>939</v>
      </c>
      <c r="AM205" s="6433" t="s">
        <v>939</v>
      </c>
      <c r="AN205" s="6433" t="s">
        <v>1300</v>
      </c>
      <c r="AO205" s="6433" t="s">
        <v>1304</v>
      </c>
      <c r="AP205" s="6433" t="s">
        <v>1306</v>
      </c>
      <c r="AQ205" s="6433" t="s">
        <v>939</v>
      </c>
      <c r="AR205" s="6433" t="s">
        <v>939</v>
      </c>
      <c r="AS205" s="6425" t="s">
        <v>1022</v>
      </c>
      <c r="AT205" s="6425" t="s">
        <v>939</v>
      </c>
      <c r="AU205" s="6425"/>
      <c r="AV205" s="6433" t="s">
        <v>939</v>
      </c>
      <c r="AW205" s="6431">
        <v>247</v>
      </c>
      <c r="AX205" s="5133"/>
    </row>
    <row r="206" spans="1:50" ht="12.75" customHeight="1">
      <c r="A206" s="6443" t="str">
        <f t="shared" si="15"/>
        <v/>
      </c>
      <c r="B206" s="6444"/>
      <c r="C206" s="6445"/>
      <c r="D206" s="5133"/>
      <c r="F206" s="5133"/>
      <c r="G206" s="6413">
        <v>189</v>
      </c>
      <c r="H206" s="6413">
        <v>278</v>
      </c>
      <c r="I206" s="10961">
        <v>68</v>
      </c>
      <c r="J206" s="10961"/>
      <c r="K206" s="10961" t="str">
        <f>+IF(ISNA(VLOOKUP(MATCH(P206,tfn,0),tao,'12(id)'!$K$20,FALSE)),"",IF(J206="NA","",VLOOKUP(MATCH(P206,tfn,0),tao,'12(id)'!$K$20,FALSE)+J206))</f>
        <v/>
      </c>
      <c r="L206" s="10961"/>
      <c r="M206" s="10961" t="str">
        <f t="shared" si="13"/>
        <v/>
      </c>
      <c r="N206" s="10944" t="str">
        <f>+IF(M206="","",VLOOKUP(MATCH(M206,tid,0),tao,'12(id)'!$Q$20,FALSE))</f>
        <v/>
      </c>
      <c r="O206" s="6413" t="s">
        <v>1208</v>
      </c>
      <c r="P206" s="6414" t="s">
        <v>358</v>
      </c>
      <c r="Q206" s="6414"/>
      <c r="R206" s="6415">
        <v>56189</v>
      </c>
      <c r="S206" s="6416" t="s">
        <v>1251</v>
      </c>
      <c r="T206" s="6421" t="s">
        <v>939</v>
      </c>
      <c r="U206" s="6417">
        <v>2010</v>
      </c>
      <c r="V206" s="6414" t="s">
        <v>1209</v>
      </c>
      <c r="W206" s="6418">
        <v>69</v>
      </c>
      <c r="X206" s="6418">
        <v>5</v>
      </c>
      <c r="Y206" s="6418" t="s">
        <v>939</v>
      </c>
      <c r="Z206" s="6418" t="s">
        <v>939</v>
      </c>
      <c r="AA206" s="6419">
        <v>0.47</v>
      </c>
      <c r="AB206" s="6420">
        <v>2.7</v>
      </c>
      <c r="AC206" s="6418">
        <v>16957</v>
      </c>
      <c r="AD206" s="6414" t="s">
        <v>944</v>
      </c>
      <c r="AE206" s="6414" t="s">
        <v>1259</v>
      </c>
      <c r="AF206" s="6414" t="s">
        <v>939</v>
      </c>
      <c r="AG206" s="6414" t="s">
        <v>939</v>
      </c>
      <c r="AH206" s="6414" t="s">
        <v>1299</v>
      </c>
      <c r="AI206" s="6414"/>
      <c r="AJ206" s="6414"/>
      <c r="AK206" s="6414"/>
      <c r="AL206" s="6421" t="s">
        <v>939</v>
      </c>
      <c r="AM206" s="6421" t="s">
        <v>939</v>
      </c>
      <c r="AN206" s="6421" t="s">
        <v>1300</v>
      </c>
      <c r="AO206" s="6421" t="s">
        <v>1307</v>
      </c>
      <c r="AP206" s="6421" t="s">
        <v>1306</v>
      </c>
      <c r="AQ206" s="6421" t="s">
        <v>939</v>
      </c>
      <c r="AR206" s="6421" t="s">
        <v>939</v>
      </c>
      <c r="AS206" s="6414" t="s">
        <v>1022</v>
      </c>
      <c r="AT206" s="6414" t="s">
        <v>939</v>
      </c>
      <c r="AU206" s="6414"/>
      <c r="AV206" s="6421" t="s">
        <v>939</v>
      </c>
      <c r="AW206" s="6420">
        <v>247</v>
      </c>
      <c r="AX206" s="5133"/>
    </row>
    <row r="207" spans="1:50" ht="12.75" customHeight="1">
      <c r="A207" s="6443" t="str">
        <f t="shared" si="15"/>
        <v/>
      </c>
      <c r="B207" s="6444"/>
      <c r="C207" s="6445"/>
      <c r="D207" s="5133"/>
      <c r="F207" s="5133"/>
      <c r="G207" s="6413">
        <v>190</v>
      </c>
      <c r="H207" s="6413">
        <v>277</v>
      </c>
      <c r="I207" s="10962"/>
      <c r="J207" s="10962"/>
      <c r="K207" s="10962" t="str">
        <f>+IF(ISNA(VLOOKUP(MATCH(P207,tfn,0),tao,'12(id)'!$K$20,FALSE)),"",IF(J207="NA","",VLOOKUP(MATCH(P207,tfn,0),tao,'12(id)'!$K$20,FALSE)+J207))</f>
        <v/>
      </c>
      <c r="L207" s="10962"/>
      <c r="M207" s="10962" t="str">
        <f t="shared" si="13"/>
        <v/>
      </c>
      <c r="N207" s="10945" t="str">
        <f>+IF(M207="","",VLOOKUP(MATCH(M207,tid,0),tao,'12(id)'!$Q$20,FALSE))</f>
        <v/>
      </c>
      <c r="O207" s="6413" t="s">
        <v>1208</v>
      </c>
      <c r="P207" s="6414" t="s">
        <v>358</v>
      </c>
      <c r="Q207" s="6414"/>
      <c r="R207" s="6415">
        <v>56189</v>
      </c>
      <c r="S207" s="6416" t="s">
        <v>1251</v>
      </c>
      <c r="T207" s="6421" t="s">
        <v>939</v>
      </c>
      <c r="U207" s="6417">
        <v>2009</v>
      </c>
      <c r="V207" s="6414" t="s">
        <v>1209</v>
      </c>
      <c r="W207" s="6418">
        <v>16</v>
      </c>
      <c r="X207" s="6418">
        <v>5</v>
      </c>
      <c r="Y207" s="6418" t="s">
        <v>939</v>
      </c>
      <c r="Z207" s="6418" t="s">
        <v>939</v>
      </c>
      <c r="AA207" s="6419">
        <v>0.54</v>
      </c>
      <c r="AB207" s="6420">
        <v>0.6</v>
      </c>
      <c r="AC207" s="6418">
        <v>3866</v>
      </c>
      <c r="AD207" s="6414" t="s">
        <v>944</v>
      </c>
      <c r="AE207" s="6414" t="s">
        <v>1259</v>
      </c>
      <c r="AF207" s="6414" t="s">
        <v>939</v>
      </c>
      <c r="AG207" s="6414" t="s">
        <v>939</v>
      </c>
      <c r="AH207" s="6414" t="s">
        <v>1299</v>
      </c>
      <c r="AI207" s="6414"/>
      <c r="AJ207" s="6414"/>
      <c r="AK207" s="6414"/>
      <c r="AL207" s="6421" t="s">
        <v>939</v>
      </c>
      <c r="AM207" s="6421" t="s">
        <v>939</v>
      </c>
      <c r="AN207" s="6421" t="s">
        <v>1300</v>
      </c>
      <c r="AO207" s="6421" t="s">
        <v>1307</v>
      </c>
      <c r="AP207" s="6421" t="s">
        <v>1306</v>
      </c>
      <c r="AQ207" s="6421" t="s">
        <v>939</v>
      </c>
      <c r="AR207" s="6421" t="s">
        <v>939</v>
      </c>
      <c r="AS207" s="6414" t="s">
        <v>1022</v>
      </c>
      <c r="AT207" s="6414" t="s">
        <v>939</v>
      </c>
      <c r="AU207" s="6414"/>
      <c r="AV207" s="6421" t="s">
        <v>939</v>
      </c>
      <c r="AW207" s="6420">
        <v>247</v>
      </c>
      <c r="AX207" s="5133"/>
    </row>
    <row r="208" spans="1:50" ht="12.75" customHeight="1" thickBot="1">
      <c r="A208" s="6462" t="str">
        <f t="shared" si="15"/>
        <v/>
      </c>
      <c r="B208" s="6463"/>
      <c r="C208" s="6514"/>
      <c r="D208" s="5133"/>
      <c r="F208" s="5133"/>
      <c r="G208" s="6424">
        <v>191</v>
      </c>
      <c r="H208" s="6424">
        <v>276</v>
      </c>
      <c r="I208" s="10963"/>
      <c r="J208" s="10963"/>
      <c r="K208" s="10963" t="str">
        <f>+IF(ISNA(VLOOKUP(MATCH(P208,tfn,0),tao,'12(id)'!$K$20,FALSE)),"",IF(J208="NA","",VLOOKUP(MATCH(P208,tfn,0),tao,'12(id)'!$K$20,FALSE)+J208))</f>
        <v/>
      </c>
      <c r="L208" s="10963"/>
      <c r="M208" s="10963" t="str">
        <f t="shared" si="13"/>
        <v/>
      </c>
      <c r="N208" s="10946" t="str">
        <f>+IF(M208="","",VLOOKUP(MATCH(M208,tid,0),tao,'12(id)'!$Q$20,FALSE))</f>
        <v/>
      </c>
      <c r="O208" s="6424" t="s">
        <v>1208</v>
      </c>
      <c r="P208" s="6425" t="s">
        <v>358</v>
      </c>
      <c r="Q208" s="6425"/>
      <c r="R208" s="6426">
        <v>56189</v>
      </c>
      <c r="S208" s="6427" t="s">
        <v>1251</v>
      </c>
      <c r="T208" s="6433" t="s">
        <v>939</v>
      </c>
      <c r="U208" s="6428">
        <v>2008</v>
      </c>
      <c r="V208" s="6425" t="s">
        <v>1209</v>
      </c>
      <c r="W208" s="6429">
        <v>44</v>
      </c>
      <c r="X208" s="6429">
        <v>5</v>
      </c>
      <c r="Y208" s="6429" t="s">
        <v>939</v>
      </c>
      <c r="Z208" s="6429" t="s">
        <v>939</v>
      </c>
      <c r="AA208" s="6430">
        <v>0.47</v>
      </c>
      <c r="AB208" s="6431">
        <v>1.6</v>
      </c>
      <c r="AC208" s="6429">
        <v>10859</v>
      </c>
      <c r="AD208" s="6425" t="s">
        <v>944</v>
      </c>
      <c r="AE208" s="6425" t="s">
        <v>1259</v>
      </c>
      <c r="AF208" s="6425" t="s">
        <v>939</v>
      </c>
      <c r="AG208" s="6425" t="s">
        <v>939</v>
      </c>
      <c r="AH208" s="6425" t="s">
        <v>1299</v>
      </c>
      <c r="AI208" s="6425"/>
      <c r="AJ208" s="6425"/>
      <c r="AK208" s="6425"/>
      <c r="AL208" s="6433" t="s">
        <v>939</v>
      </c>
      <c r="AM208" s="6433" t="s">
        <v>939</v>
      </c>
      <c r="AN208" s="6433" t="s">
        <v>1300</v>
      </c>
      <c r="AO208" s="6433" t="s">
        <v>1307</v>
      </c>
      <c r="AP208" s="6433" t="s">
        <v>1306</v>
      </c>
      <c r="AQ208" s="6433" t="s">
        <v>939</v>
      </c>
      <c r="AR208" s="6433" t="s">
        <v>939</v>
      </c>
      <c r="AS208" s="6425" t="s">
        <v>1022</v>
      </c>
      <c r="AT208" s="6425" t="s">
        <v>939</v>
      </c>
      <c r="AU208" s="6425"/>
      <c r="AV208" s="6433" t="s">
        <v>939</v>
      </c>
      <c r="AW208" s="6431">
        <v>247</v>
      </c>
      <c r="AX208" s="5133"/>
    </row>
    <row r="209" spans="1:50" ht="12.75" customHeight="1">
      <c r="A209" s="5944"/>
      <c r="B209" s="5944"/>
      <c r="C209" s="5946"/>
      <c r="D209" s="5133"/>
      <c r="F209" s="5133"/>
      <c r="G209" s="5133"/>
      <c r="H209" s="5133"/>
      <c r="I209" s="5133"/>
      <c r="J209" s="5133"/>
      <c r="K209" s="5133"/>
      <c r="L209" s="5133"/>
      <c r="M209" s="5133"/>
      <c r="N209" s="5944"/>
      <c r="O209" s="5133"/>
      <c r="P209" s="5133"/>
      <c r="Q209" s="5133"/>
      <c r="R209" s="5133"/>
      <c r="S209" s="5133"/>
      <c r="T209" s="5133"/>
      <c r="U209" s="5133"/>
      <c r="V209" s="5133"/>
      <c r="W209" s="5133"/>
      <c r="X209" s="5133"/>
      <c r="Y209" s="5133"/>
      <c r="Z209" s="5133"/>
      <c r="AA209" s="6464"/>
      <c r="AB209" s="5133"/>
      <c r="AC209" s="5133"/>
      <c r="AD209" s="5133"/>
      <c r="AE209" s="5133"/>
      <c r="AF209" s="5133"/>
      <c r="AG209" s="5133"/>
      <c r="AH209" s="5133"/>
      <c r="AI209" s="5133"/>
      <c r="AJ209" s="5133"/>
      <c r="AK209" s="5133"/>
      <c r="AL209" s="5133"/>
      <c r="AM209" s="5133"/>
      <c r="AN209" s="5133"/>
      <c r="AO209" s="5133"/>
      <c r="AP209" s="5133"/>
      <c r="AQ209" s="5133"/>
      <c r="AR209" s="5133"/>
      <c r="AS209" s="5133"/>
      <c r="AT209" s="5133"/>
      <c r="AU209" s="5133"/>
      <c r="AV209" s="5133"/>
      <c r="AW209" s="5133"/>
      <c r="AX209" s="5133"/>
    </row>
    <row r="210" spans="1:50" ht="12.75" customHeight="1">
      <c r="A210" s="5944"/>
      <c r="B210" s="5944"/>
      <c r="C210" s="5946"/>
      <c r="D210" s="5133"/>
      <c r="F210" s="5133"/>
      <c r="G210" s="5133"/>
      <c r="H210" s="5133"/>
      <c r="I210" s="5133"/>
      <c r="J210" s="5133"/>
      <c r="K210" s="5133"/>
      <c r="L210" s="5133"/>
      <c r="M210" s="5133"/>
      <c r="N210" s="5944"/>
      <c r="O210" s="5133"/>
      <c r="P210" s="5133"/>
      <c r="Q210" s="5133"/>
      <c r="R210" s="5133"/>
      <c r="S210" s="5133"/>
      <c r="T210" s="5133"/>
      <c r="U210" s="5133"/>
      <c r="V210" s="5133"/>
      <c r="W210" s="5133"/>
      <c r="X210" s="5133"/>
      <c r="Y210" s="5133"/>
      <c r="Z210" s="5133"/>
      <c r="AA210" s="6464"/>
      <c r="AB210" s="5133"/>
      <c r="AC210" s="5133"/>
      <c r="AD210" s="5133"/>
      <c r="AE210" s="5133"/>
      <c r="AF210" s="5133"/>
      <c r="AG210" s="5133"/>
      <c r="AH210" s="5133"/>
      <c r="AI210" s="5133"/>
      <c r="AJ210" s="5133"/>
      <c r="AK210" s="5133"/>
      <c r="AL210" s="5133"/>
      <c r="AM210" s="5133"/>
      <c r="AN210" s="5133"/>
      <c r="AO210" s="5133"/>
      <c r="AP210" s="5133"/>
      <c r="AQ210" s="5133"/>
      <c r="AR210" s="5133"/>
      <c r="AS210" s="5133"/>
      <c r="AT210" s="5133"/>
      <c r="AU210" s="5133"/>
      <c r="AV210" s="5133"/>
      <c r="AW210" s="5133"/>
      <c r="AX210" s="5133"/>
    </row>
    <row r="211" spans="1:50" ht="12.75" customHeight="1">
      <c r="A211" s="6112"/>
      <c r="B211" s="6112"/>
      <c r="C211" s="6515"/>
      <c r="N211" s="6112"/>
      <c r="AA211" s="6504"/>
    </row>
    <row r="212" spans="1:50" ht="12.75" customHeight="1">
      <c r="A212" s="6112"/>
      <c r="B212" s="6112"/>
      <c r="C212" s="6515"/>
      <c r="N212" s="6112"/>
      <c r="AA212" s="6504"/>
    </row>
    <row r="213" spans="1:50" ht="12.75" customHeight="1">
      <c r="A213" s="6112"/>
      <c r="B213" s="6112"/>
      <c r="C213" s="6515"/>
      <c r="N213" s="6112"/>
      <c r="AA213" s="6504"/>
    </row>
    <row r="214" spans="1:50" ht="12.75" customHeight="1">
      <c r="A214" s="6112"/>
      <c r="B214" s="6112"/>
      <c r="C214" s="6515"/>
      <c r="N214" s="6112"/>
      <c r="AA214" s="6504"/>
    </row>
    <row r="215" spans="1:50" ht="12.75" customHeight="1">
      <c r="A215" s="6112"/>
      <c r="B215" s="6112"/>
      <c r="C215" s="6515"/>
      <c r="N215" s="6112"/>
      <c r="AA215" s="6504"/>
    </row>
    <row r="216" spans="1:50" ht="12.75" customHeight="1">
      <c r="A216" s="6112"/>
      <c r="B216" s="6112"/>
      <c r="C216" s="6515"/>
      <c r="N216" s="6112"/>
      <c r="AA216" s="6504"/>
    </row>
    <row r="217" spans="1:50" ht="12.75" customHeight="1">
      <c r="A217" s="6112"/>
      <c r="B217" s="6112"/>
      <c r="C217" s="6515"/>
      <c r="N217" s="6112"/>
      <c r="AA217" s="6504"/>
    </row>
    <row r="218" spans="1:50" ht="12.75" customHeight="1">
      <c r="A218" s="6112"/>
      <c r="B218" s="6112"/>
      <c r="C218" s="6515"/>
      <c r="G218" s="6505"/>
      <c r="H218" s="6505"/>
      <c r="I218" s="6505"/>
      <c r="J218" s="6505"/>
      <c r="K218" s="6505"/>
      <c r="L218" s="6505"/>
      <c r="M218" s="6505"/>
      <c r="N218" s="6505"/>
      <c r="O218" s="6505"/>
      <c r="P218" s="6506"/>
      <c r="Q218" s="6507"/>
      <c r="R218" s="5136"/>
      <c r="S218" s="6112"/>
      <c r="T218" s="6112"/>
      <c r="U218" s="5152"/>
      <c r="V218" s="5152"/>
      <c r="W218" s="5136"/>
      <c r="X218" s="5136"/>
      <c r="Y218" s="5136"/>
      <c r="Z218" s="5136"/>
      <c r="AA218" s="5136"/>
      <c r="AB218" s="5136"/>
      <c r="AC218" s="5136"/>
      <c r="AD218" s="6112"/>
      <c r="AE218" s="6112"/>
      <c r="AF218" s="6112"/>
      <c r="AG218" s="6112"/>
      <c r="AS218" s="6112"/>
      <c r="AT218" s="6112"/>
      <c r="AU218" s="6112"/>
      <c r="AV218" s="6112"/>
      <c r="AW218" s="5136"/>
    </row>
    <row r="219" spans="1:50" ht="12.75" customHeight="1">
      <c r="A219" s="5944"/>
      <c r="B219" s="5944"/>
      <c r="C219" s="5946"/>
      <c r="D219" s="5133"/>
      <c r="F219" s="5133"/>
      <c r="G219" s="6465"/>
      <c r="H219" s="6465"/>
      <c r="I219" s="6465"/>
      <c r="J219" s="6465"/>
      <c r="K219" s="6465"/>
      <c r="L219" s="6465"/>
      <c r="M219" s="6465"/>
      <c r="N219" s="6465"/>
      <c r="O219" s="6465"/>
      <c r="P219" s="6159"/>
      <c r="Q219" s="6466"/>
      <c r="R219" s="6467"/>
      <c r="S219" s="5944"/>
      <c r="T219" s="5944"/>
      <c r="U219" s="5353"/>
      <c r="V219" s="5353"/>
      <c r="W219" s="6467"/>
      <c r="X219" s="6467"/>
      <c r="Y219" s="6467"/>
      <c r="Z219" s="6467"/>
      <c r="AA219" s="6467"/>
      <c r="AB219" s="6467"/>
      <c r="AC219" s="6467"/>
      <c r="AD219" s="5944"/>
      <c r="AE219" s="5944"/>
      <c r="AF219" s="5944"/>
      <c r="AG219" s="5944"/>
      <c r="AH219" s="5133"/>
      <c r="AI219" s="5133"/>
      <c r="AJ219" s="5133"/>
      <c r="AK219" s="5133"/>
      <c r="AL219" s="5133"/>
      <c r="AM219" s="5133"/>
      <c r="AN219" s="5133"/>
      <c r="AO219" s="5133"/>
      <c r="AP219" s="5133"/>
      <c r="AQ219" s="5133"/>
      <c r="AR219" s="5133"/>
      <c r="AS219" s="5944"/>
      <c r="AT219" s="5944"/>
      <c r="AU219" s="5944"/>
      <c r="AV219" s="5944"/>
      <c r="AW219" s="6467"/>
      <c r="AX219" s="5133"/>
    </row>
    <row r="220" spans="1:50" ht="18" customHeight="1">
      <c r="A220" s="5944"/>
      <c r="B220" s="5944"/>
      <c r="C220" s="5946"/>
      <c r="D220" s="5133"/>
      <c r="F220" s="5133"/>
      <c r="G220" s="6465"/>
      <c r="H220" s="6465"/>
      <c r="I220" s="6465"/>
      <c r="J220" s="6465"/>
      <c r="K220" s="6465"/>
      <c r="L220" s="6465"/>
      <c r="M220" s="6465"/>
      <c r="N220" s="6465"/>
      <c r="O220" s="6465"/>
      <c r="P220" s="6508" t="s">
        <v>948</v>
      </c>
      <c r="Q220" s="6508"/>
      <c r="R220" s="6508"/>
      <c r="S220" s="6468"/>
      <c r="T220" s="6468"/>
      <c r="U220" s="6469"/>
      <c r="V220" s="6469"/>
      <c r="W220" s="6470"/>
      <c r="X220" s="6470"/>
      <c r="Y220" s="6470"/>
      <c r="Z220" s="6470"/>
      <c r="AA220" s="6470"/>
      <c r="AB220" s="6470"/>
      <c r="AC220" s="6470"/>
      <c r="AD220" s="5944"/>
      <c r="AE220" s="5944"/>
      <c r="AF220" s="6468"/>
      <c r="AG220" s="5944"/>
      <c r="AH220" s="5133"/>
      <c r="AI220" s="5133"/>
      <c r="AJ220" s="5133"/>
      <c r="AK220" s="5133"/>
      <c r="AL220" s="5133"/>
      <c r="AM220" s="5133"/>
      <c r="AN220" s="5133"/>
      <c r="AO220" s="5133"/>
      <c r="AP220" s="5133"/>
      <c r="AQ220" s="5133"/>
      <c r="AR220" s="5133"/>
      <c r="AS220" s="5944"/>
      <c r="AT220" s="5944"/>
      <c r="AU220" s="5944"/>
      <c r="AV220" s="5944"/>
      <c r="AW220" s="6470"/>
      <c r="AX220" s="5133"/>
    </row>
    <row r="221" spans="1:50" ht="12.75" customHeight="1">
      <c r="A221" s="5944"/>
      <c r="B221" s="5944"/>
      <c r="C221" s="5946"/>
      <c r="D221" s="5133"/>
      <c r="F221" s="5133"/>
      <c r="G221" s="6465"/>
      <c r="H221" s="6465"/>
      <c r="I221" s="6465"/>
      <c r="J221" s="6465"/>
      <c r="K221" s="6465"/>
      <c r="L221" s="6465"/>
      <c r="M221" s="6465"/>
      <c r="N221" s="6465"/>
      <c r="O221" s="6465"/>
      <c r="P221" s="6471">
        <v>40688</v>
      </c>
      <c r="Q221" s="6472"/>
      <c r="R221" s="6473"/>
      <c r="S221" s="5944"/>
      <c r="T221" s="5944"/>
      <c r="U221" s="5353"/>
      <c r="V221" s="5353"/>
      <c r="W221" s="6467"/>
      <c r="X221" s="6467"/>
      <c r="Y221" s="6467"/>
      <c r="Z221" s="6467"/>
      <c r="AA221" s="6467"/>
      <c r="AB221" s="6467"/>
      <c r="AC221" s="6467"/>
      <c r="AD221" s="5944"/>
      <c r="AE221" s="5944"/>
      <c r="AF221" s="5944"/>
      <c r="AG221" s="5944"/>
      <c r="AH221" s="5133"/>
      <c r="AI221" s="5133"/>
      <c r="AJ221" s="5133"/>
      <c r="AK221" s="5133"/>
      <c r="AL221" s="5133"/>
      <c r="AM221" s="5133"/>
      <c r="AN221" s="5133"/>
      <c r="AO221" s="5133"/>
      <c r="AP221" s="5133"/>
      <c r="AQ221" s="5133"/>
      <c r="AR221" s="5133"/>
      <c r="AS221" s="5944"/>
      <c r="AT221" s="5944"/>
      <c r="AU221" s="5944"/>
      <c r="AV221" s="5944"/>
      <c r="AW221" s="6467"/>
      <c r="AX221" s="5133"/>
    </row>
    <row r="222" spans="1:50" ht="12.75" customHeight="1">
      <c r="A222" s="5944"/>
      <c r="B222" s="5944"/>
      <c r="C222" s="5946"/>
      <c r="D222" s="5133"/>
      <c r="F222" s="5133"/>
      <c r="G222" s="6465"/>
      <c r="H222" s="6465"/>
      <c r="I222" s="6465"/>
      <c r="J222" s="6465"/>
      <c r="K222" s="6465"/>
      <c r="L222" s="6465"/>
      <c r="M222" s="6465"/>
      <c r="N222" s="6465"/>
      <c r="O222" s="6465"/>
      <c r="P222" s="6159"/>
      <c r="Q222" s="6466"/>
      <c r="R222" s="6467"/>
      <c r="S222" s="5944"/>
      <c r="T222" s="5944"/>
      <c r="U222" s="5353"/>
      <c r="V222" s="5353"/>
      <c r="W222" s="6467"/>
      <c r="X222" s="6467"/>
      <c r="Y222" s="6467"/>
      <c r="Z222" s="6467"/>
      <c r="AA222" s="6467"/>
      <c r="AB222" s="6467"/>
      <c r="AC222" s="6467"/>
      <c r="AD222" s="5944"/>
      <c r="AE222" s="5944"/>
      <c r="AF222" s="5944"/>
      <c r="AG222" s="5944"/>
      <c r="AH222" s="5133"/>
      <c r="AI222" s="5133"/>
      <c r="AJ222" s="5133"/>
      <c r="AK222" s="5133"/>
      <c r="AL222" s="5133"/>
      <c r="AM222" s="5133"/>
      <c r="AN222" s="5133"/>
      <c r="AO222" s="5133"/>
      <c r="AP222" s="5133"/>
      <c r="AQ222" s="5133"/>
      <c r="AR222" s="5133"/>
      <c r="AS222" s="5944"/>
      <c r="AT222" s="5944"/>
      <c r="AU222" s="5944"/>
      <c r="AV222" s="5944"/>
      <c r="AW222" s="6467"/>
      <c r="AX222" s="5133"/>
    </row>
    <row r="223" spans="1:50" ht="12.75" customHeight="1">
      <c r="A223" s="5944"/>
      <c r="B223" s="5944"/>
      <c r="C223" s="5946"/>
      <c r="D223" s="5133"/>
      <c r="F223" s="5133"/>
      <c r="G223" s="6465"/>
      <c r="H223" s="6465"/>
      <c r="I223" s="6465"/>
      <c r="J223" s="6465"/>
      <c r="K223" s="6465"/>
      <c r="L223" s="6465"/>
      <c r="M223" s="6465"/>
      <c r="N223" s="6465"/>
      <c r="O223" s="6465"/>
      <c r="P223" s="10970" t="s">
        <v>997</v>
      </c>
      <c r="Q223" s="10970"/>
      <c r="R223" s="10970"/>
      <c r="S223" s="6474"/>
      <c r="T223" s="5944"/>
      <c r="U223" s="6475"/>
      <c r="V223" s="6475"/>
      <c r="W223" s="6476"/>
      <c r="X223" s="6476"/>
      <c r="Y223" s="6476"/>
      <c r="Z223" s="6476"/>
      <c r="AA223" s="6476"/>
      <c r="AB223" s="6476"/>
      <c r="AC223" s="6476"/>
      <c r="AD223" s="5944"/>
      <c r="AE223" s="5944"/>
      <c r="AF223" s="6477"/>
      <c r="AG223" s="5944"/>
      <c r="AH223" s="5133"/>
      <c r="AI223" s="5133"/>
      <c r="AJ223" s="5133"/>
      <c r="AK223" s="5133"/>
      <c r="AL223" s="5133"/>
      <c r="AM223" s="5133"/>
      <c r="AN223" s="5133"/>
      <c r="AO223" s="5133"/>
      <c r="AP223" s="5133"/>
      <c r="AQ223" s="5133"/>
      <c r="AR223" s="5133"/>
      <c r="AS223" s="5944"/>
      <c r="AT223" s="5944"/>
      <c r="AU223" s="5944"/>
      <c r="AV223" s="5944"/>
      <c r="AW223" s="6476"/>
      <c r="AX223" s="5133"/>
    </row>
    <row r="224" spans="1:50" ht="12.75" customHeight="1">
      <c r="A224" s="5133"/>
      <c r="B224" s="5944"/>
      <c r="C224" s="5946"/>
      <c r="D224" s="5133"/>
      <c r="F224" s="5133"/>
      <c r="G224" s="6465"/>
      <c r="H224" s="6465"/>
      <c r="I224" s="6465"/>
      <c r="J224" s="6465"/>
      <c r="K224" s="6465"/>
      <c r="L224" s="6465"/>
      <c r="M224" s="6465"/>
      <c r="N224" s="6465"/>
      <c r="O224" s="6465"/>
      <c r="P224" s="5949"/>
      <c r="Q224" s="6478"/>
      <c r="R224" s="6479"/>
      <c r="S224" s="6474"/>
      <c r="T224" s="5944"/>
      <c r="U224" s="5353"/>
      <c r="V224" s="5353"/>
      <c r="W224" s="6467"/>
      <c r="X224" s="6467"/>
      <c r="Y224" s="6467"/>
      <c r="Z224" s="6467"/>
      <c r="AA224" s="6467"/>
      <c r="AB224" s="6467"/>
      <c r="AC224" s="6467"/>
      <c r="AD224" s="5944"/>
      <c r="AE224" s="5944"/>
      <c r="AF224" s="5944"/>
      <c r="AG224" s="5944"/>
      <c r="AH224" s="5133"/>
      <c r="AI224" s="5133"/>
      <c r="AJ224" s="5133"/>
      <c r="AK224" s="5133"/>
      <c r="AL224" s="5133"/>
      <c r="AM224" s="5133"/>
      <c r="AN224" s="5133"/>
      <c r="AO224" s="5133"/>
      <c r="AP224" s="5133"/>
      <c r="AQ224" s="5133"/>
      <c r="AR224" s="5133"/>
      <c r="AS224" s="5944"/>
      <c r="AT224" s="5944"/>
      <c r="AU224" s="5944"/>
      <c r="AV224" s="5944"/>
      <c r="AW224" s="6467"/>
      <c r="AX224" s="5133"/>
    </row>
    <row r="225" spans="1:50" ht="12.75" customHeight="1">
      <c r="A225" s="5133"/>
      <c r="B225" s="5944"/>
      <c r="C225" s="5946"/>
      <c r="D225" s="5133"/>
      <c r="F225" s="5133"/>
      <c r="G225" s="5377" t="str">
        <f>+P220</f>
        <v>Unit CAIROS Emissions Report</v>
      </c>
      <c r="H225" s="6465"/>
      <c r="I225" s="6465"/>
      <c r="J225" s="6465"/>
      <c r="K225" s="6465"/>
      <c r="L225" s="6465"/>
      <c r="M225" s="6465"/>
      <c r="N225" s="6465"/>
      <c r="O225" s="6465"/>
      <c r="P225" s="10971" t="s">
        <v>998</v>
      </c>
      <c r="Q225" s="10971"/>
      <c r="R225" s="10971"/>
      <c r="S225" s="10971"/>
      <c r="T225" s="5944"/>
      <c r="U225" s="5353"/>
      <c r="V225" s="5353"/>
      <c r="W225" s="6467"/>
      <c r="X225" s="6467"/>
      <c r="Y225" s="6467"/>
      <c r="Z225" s="6467"/>
      <c r="AA225" s="6467"/>
      <c r="AB225" s="6467"/>
      <c r="AC225" s="6467"/>
      <c r="AD225" s="5944"/>
      <c r="AE225" s="5944"/>
      <c r="AF225" s="5944"/>
      <c r="AG225" s="5944"/>
      <c r="AH225" s="5133"/>
      <c r="AI225" s="5133"/>
      <c r="AJ225" s="5133"/>
      <c r="AK225" s="5133"/>
      <c r="AL225" s="5133"/>
      <c r="AM225" s="5133"/>
      <c r="AN225" s="5133"/>
      <c r="AO225" s="5133"/>
      <c r="AP225" s="5133"/>
      <c r="AQ225" s="5133"/>
      <c r="AR225" s="5133"/>
      <c r="AS225" s="5944"/>
      <c r="AT225" s="5944"/>
      <c r="AU225" s="5944"/>
      <c r="AV225" s="5944"/>
      <c r="AW225" s="6467"/>
      <c r="AX225" s="5133"/>
    </row>
    <row r="226" spans="1:50" ht="12.75" customHeight="1" thickBot="1">
      <c r="A226" s="5133"/>
      <c r="B226" s="5944"/>
      <c r="C226" s="5946"/>
      <c r="D226" s="5133"/>
      <c r="F226" s="5133"/>
      <c r="G226" s="5133"/>
      <c r="H226" s="5133"/>
      <c r="I226" s="5133"/>
      <c r="J226" s="5133"/>
      <c r="K226" s="5133"/>
      <c r="L226" s="5133"/>
      <c r="M226" s="5133"/>
      <c r="N226" s="5133"/>
      <c r="O226" s="5133"/>
      <c r="P226" s="5133"/>
      <c r="Q226" s="5353"/>
      <c r="R226" s="6467"/>
      <c r="S226" s="5944"/>
      <c r="T226" s="5944"/>
      <c r="U226" s="5353"/>
      <c r="V226" s="5353"/>
      <c r="W226" s="6467"/>
      <c r="X226" s="6467"/>
      <c r="Y226" s="6467"/>
      <c r="Z226" s="6467"/>
      <c r="AA226" s="6467"/>
      <c r="AB226" s="6467"/>
      <c r="AC226" s="6467"/>
      <c r="AD226" s="5944"/>
      <c r="AE226" s="5944"/>
      <c r="AF226" s="5944"/>
      <c r="AG226" s="5944"/>
      <c r="AH226" s="5133"/>
      <c r="AI226" s="5133"/>
      <c r="AJ226" s="5133"/>
      <c r="AK226" s="5133"/>
      <c r="AL226" s="5133"/>
      <c r="AM226" s="5133"/>
      <c r="AN226" s="5133"/>
      <c r="AO226" s="5133"/>
      <c r="AP226" s="5133"/>
      <c r="AQ226" s="5133"/>
      <c r="AR226" s="5133"/>
      <c r="AS226" s="5944"/>
      <c r="AT226" s="5944"/>
      <c r="AU226" s="5944"/>
      <c r="AV226" s="5944"/>
      <c r="AW226" s="6467"/>
      <c r="AX226" s="5133"/>
    </row>
    <row r="227" spans="1:50" ht="34.5" customHeight="1" thickTop="1">
      <c r="A227" s="5133"/>
      <c r="B227" s="5944"/>
      <c r="C227" s="5946"/>
      <c r="D227" s="5133"/>
      <c r="F227" s="5133"/>
      <c r="G227" s="291" t="s">
        <v>382</v>
      </c>
      <c r="H227" s="291" t="s">
        <v>320</v>
      </c>
      <c r="I227" s="291" t="s">
        <v>321</v>
      </c>
      <c r="J227" s="152" t="s">
        <v>1359</v>
      </c>
      <c r="K227" s="290" t="s">
        <v>318</v>
      </c>
      <c r="L227" s="152" t="s">
        <v>1358</v>
      </c>
      <c r="M227" s="152" t="s">
        <v>381</v>
      </c>
      <c r="N227" s="152" t="s">
        <v>411</v>
      </c>
      <c r="O227" s="152" t="s">
        <v>1199</v>
      </c>
      <c r="P227" s="291" t="s">
        <v>949</v>
      </c>
      <c r="Q227" s="290" t="s">
        <v>319</v>
      </c>
      <c r="R227" s="292" t="s">
        <v>942</v>
      </c>
      <c r="S227" s="291" t="s">
        <v>411</v>
      </c>
      <c r="T227" s="291" t="s">
        <v>950</v>
      </c>
      <c r="U227" s="290" t="s">
        <v>413</v>
      </c>
      <c r="V227" s="152" t="s">
        <v>1200</v>
      </c>
      <c r="W227" s="290" t="s">
        <v>418</v>
      </c>
      <c r="X227" s="290" t="s">
        <v>951</v>
      </c>
      <c r="Y227" s="293" t="s">
        <v>952</v>
      </c>
      <c r="Z227" s="293" t="s">
        <v>999</v>
      </c>
      <c r="AA227" s="294" t="s">
        <v>971</v>
      </c>
      <c r="AB227" s="295" t="s">
        <v>946</v>
      </c>
      <c r="AC227" s="293" t="s">
        <v>953</v>
      </c>
      <c r="AD227" s="291" t="s">
        <v>954</v>
      </c>
      <c r="AE227" s="152" t="s">
        <v>1203</v>
      </c>
      <c r="AF227" s="291" t="s">
        <v>1000</v>
      </c>
      <c r="AG227" s="291" t="s">
        <v>1001</v>
      </c>
      <c r="AH227" s="290" t="s">
        <v>317</v>
      </c>
      <c r="AI227" s="290" t="s">
        <v>123</v>
      </c>
      <c r="AJ227" s="290" t="s">
        <v>1002</v>
      </c>
      <c r="AK227" s="290" t="s">
        <v>1003</v>
      </c>
      <c r="AL227" s="152" t="s">
        <v>1205</v>
      </c>
      <c r="AM227" s="290" t="s">
        <v>1004</v>
      </c>
      <c r="AN227" s="290" t="s">
        <v>1005</v>
      </c>
      <c r="AO227" s="290" t="s">
        <v>1006</v>
      </c>
      <c r="AP227" s="290" t="s">
        <v>955</v>
      </c>
      <c r="AQ227" s="290" t="s">
        <v>956</v>
      </c>
      <c r="AR227" s="290" t="s">
        <v>120</v>
      </c>
      <c r="AS227" s="297" t="s">
        <v>1495</v>
      </c>
      <c r="AT227" s="297" t="s">
        <v>1496</v>
      </c>
      <c r="AU227" s="297" t="s">
        <v>1497</v>
      </c>
      <c r="AV227" s="291" t="s">
        <v>121</v>
      </c>
      <c r="AW227" s="292" t="s">
        <v>957</v>
      </c>
      <c r="AX227" s="5133"/>
    </row>
    <row r="228" spans="1:50" ht="12.75" customHeight="1" thickBot="1">
      <c r="A228" s="6513" t="s">
        <v>1357</v>
      </c>
      <c r="B228" s="6519"/>
      <c r="C228" s="6516"/>
      <c r="D228" s="5133"/>
      <c r="F228" s="5133"/>
      <c r="G228" s="296">
        <v>1</v>
      </c>
      <c r="H228" s="296">
        <f t="shared" ref="H228:AW228" si="16">1+G228</f>
        <v>2</v>
      </c>
      <c r="I228" s="296">
        <f t="shared" si="16"/>
        <v>3</v>
      </c>
      <c r="J228" s="296">
        <f t="shared" si="16"/>
        <v>4</v>
      </c>
      <c r="K228" s="296">
        <f t="shared" si="16"/>
        <v>5</v>
      </c>
      <c r="L228" s="296">
        <f t="shared" si="16"/>
        <v>6</v>
      </c>
      <c r="M228" s="296">
        <f t="shared" si="16"/>
        <v>7</v>
      </c>
      <c r="N228" s="296">
        <f t="shared" si="16"/>
        <v>8</v>
      </c>
      <c r="O228" s="296">
        <f t="shared" si="16"/>
        <v>9</v>
      </c>
      <c r="P228" s="296">
        <f t="shared" si="16"/>
        <v>10</v>
      </c>
      <c r="Q228" s="296">
        <f t="shared" si="16"/>
        <v>11</v>
      </c>
      <c r="R228" s="296">
        <f t="shared" si="16"/>
        <v>12</v>
      </c>
      <c r="S228" s="296">
        <f t="shared" si="16"/>
        <v>13</v>
      </c>
      <c r="T228" s="296">
        <f t="shared" si="16"/>
        <v>14</v>
      </c>
      <c r="U228" s="296">
        <f t="shared" si="16"/>
        <v>15</v>
      </c>
      <c r="V228" s="296">
        <f t="shared" si="16"/>
        <v>16</v>
      </c>
      <c r="W228" s="296">
        <f t="shared" si="16"/>
        <v>17</v>
      </c>
      <c r="X228" s="296">
        <f t="shared" si="16"/>
        <v>18</v>
      </c>
      <c r="Y228" s="296">
        <f t="shared" si="16"/>
        <v>19</v>
      </c>
      <c r="Z228" s="296">
        <f t="shared" si="16"/>
        <v>20</v>
      </c>
      <c r="AA228" s="296">
        <f t="shared" si="16"/>
        <v>21</v>
      </c>
      <c r="AB228" s="296">
        <f t="shared" si="16"/>
        <v>22</v>
      </c>
      <c r="AC228" s="296">
        <f t="shared" si="16"/>
        <v>23</v>
      </c>
      <c r="AD228" s="296">
        <f t="shared" si="16"/>
        <v>24</v>
      </c>
      <c r="AE228" s="296">
        <f t="shared" si="16"/>
        <v>25</v>
      </c>
      <c r="AF228" s="296">
        <f t="shared" si="16"/>
        <v>26</v>
      </c>
      <c r="AG228" s="296">
        <f t="shared" si="16"/>
        <v>27</v>
      </c>
      <c r="AH228" s="296">
        <f t="shared" si="16"/>
        <v>28</v>
      </c>
      <c r="AI228" s="296">
        <f t="shared" si="16"/>
        <v>29</v>
      </c>
      <c r="AJ228" s="296">
        <f t="shared" si="16"/>
        <v>30</v>
      </c>
      <c r="AK228" s="296">
        <f t="shared" si="16"/>
        <v>31</v>
      </c>
      <c r="AL228" s="296">
        <f t="shared" si="16"/>
        <v>32</v>
      </c>
      <c r="AM228" s="296">
        <f t="shared" si="16"/>
        <v>33</v>
      </c>
      <c r="AN228" s="296">
        <f t="shared" si="16"/>
        <v>34</v>
      </c>
      <c r="AO228" s="296">
        <f t="shared" si="16"/>
        <v>35</v>
      </c>
      <c r="AP228" s="296">
        <f t="shared" si="16"/>
        <v>36</v>
      </c>
      <c r="AQ228" s="296">
        <f t="shared" si="16"/>
        <v>37</v>
      </c>
      <c r="AR228" s="296">
        <f t="shared" si="16"/>
        <v>38</v>
      </c>
      <c r="AS228" s="296">
        <f t="shared" si="16"/>
        <v>39</v>
      </c>
      <c r="AT228" s="296">
        <f t="shared" si="16"/>
        <v>40</v>
      </c>
      <c r="AU228" s="296">
        <f t="shared" si="16"/>
        <v>41</v>
      </c>
      <c r="AV228" s="296">
        <f t="shared" si="16"/>
        <v>42</v>
      </c>
      <c r="AW228" s="296">
        <f t="shared" si="16"/>
        <v>43</v>
      </c>
      <c r="AX228" s="5133"/>
    </row>
    <row r="229" spans="1:50" ht="12.75" customHeight="1" thickTop="1">
      <c r="A229" s="10961" t="str">
        <f>+IF(M229="","",M229)</f>
        <v/>
      </c>
      <c r="B229" s="10944"/>
      <c r="C229" s="10947"/>
      <c r="D229" s="5133"/>
      <c r="F229" s="5133"/>
      <c r="G229" s="6480">
        <v>1</v>
      </c>
      <c r="H229" s="6480">
        <v>3</v>
      </c>
      <c r="I229" s="10972">
        <v>1</v>
      </c>
      <c r="J229" s="10961"/>
      <c r="K229" s="10961" t="str">
        <f>+IF(ISNA(VLOOKUP(MATCH(P229,tfn,0),tao,'12(id)'!$K$20,FALSE)),"",IF(J229="NA","",VLOOKUP(MATCH(P229,tfn,0),tao,'12(id)'!$K$20,FALSE)+J229))</f>
        <v/>
      </c>
      <c r="L229" s="10961"/>
      <c r="M229" s="10961"/>
      <c r="N229" s="10961"/>
      <c r="O229" s="6481"/>
      <c r="P229" s="6482" t="s">
        <v>326</v>
      </c>
      <c r="Q229" s="6483"/>
      <c r="R229" s="6480">
        <v>10675</v>
      </c>
      <c r="S229" s="6482" t="s">
        <v>124</v>
      </c>
      <c r="T229" s="6482" t="s">
        <v>125</v>
      </c>
      <c r="U229" s="6483">
        <v>2010</v>
      </c>
      <c r="V229" s="6483"/>
      <c r="W229" s="6480">
        <v>8442</v>
      </c>
      <c r="X229" s="6480">
        <v>12</v>
      </c>
      <c r="Y229" s="6484" t="s">
        <v>939</v>
      </c>
      <c r="Z229" s="6484">
        <v>5762995</v>
      </c>
      <c r="AA229" s="6485">
        <v>0.06</v>
      </c>
      <c r="AB229" s="6486">
        <v>253.1</v>
      </c>
      <c r="AC229" s="6484">
        <v>8057126</v>
      </c>
      <c r="AD229" s="6482" t="s">
        <v>961</v>
      </c>
      <c r="AE229" s="6482"/>
      <c r="AF229" s="6482">
        <v>4961</v>
      </c>
      <c r="AG229" s="6482" t="s">
        <v>126</v>
      </c>
      <c r="AH229" s="6487" t="s">
        <v>127</v>
      </c>
      <c r="AI229" s="6487" t="s">
        <v>127</v>
      </c>
      <c r="AJ229" s="6487" t="s">
        <v>211</v>
      </c>
      <c r="AK229" s="6487" t="s">
        <v>213</v>
      </c>
      <c r="AL229" s="6487"/>
      <c r="AM229" s="6488"/>
      <c r="AN229" s="6487" t="s">
        <v>1013</v>
      </c>
      <c r="AO229" s="6487" t="s">
        <v>128</v>
      </c>
      <c r="AP229" s="6487" t="s">
        <v>129</v>
      </c>
      <c r="AQ229" s="6488"/>
      <c r="AR229" s="6487" t="s">
        <v>130</v>
      </c>
      <c r="AS229" s="6482" t="s">
        <v>131</v>
      </c>
      <c r="AT229" s="6482"/>
      <c r="AU229" s="6482"/>
      <c r="AV229" s="6482" t="s">
        <v>132</v>
      </c>
      <c r="AW229" s="6486">
        <v>1045</v>
      </c>
      <c r="AX229" s="5133"/>
    </row>
    <row r="230" spans="1:50" ht="12.75" customHeight="1">
      <c r="A230" s="10962"/>
      <c r="B230" s="10945"/>
      <c r="C230" s="10948"/>
      <c r="D230" s="5133"/>
      <c r="F230" s="5133"/>
      <c r="G230" s="6489">
        <f t="shared" ref="G230:G261" si="17">1+G229</f>
        <v>2</v>
      </c>
      <c r="H230" s="6489">
        <v>2</v>
      </c>
      <c r="I230" s="10956"/>
      <c r="J230" s="10962"/>
      <c r="K230" s="10962" t="str">
        <f>+IF(ISNA(VLOOKUP(MATCH(P230,tfn,0),tao,'12(id)'!$K$20,FALSE)),"",IF(J230="NA","",VLOOKUP(MATCH(P230,tfn,0),tao,'12(id)'!$K$20,FALSE)+J230))</f>
        <v/>
      </c>
      <c r="L230" s="10962"/>
      <c r="M230" s="10962"/>
      <c r="N230" s="10962"/>
      <c r="O230" s="6481"/>
      <c r="P230" s="6490" t="s">
        <v>326</v>
      </c>
      <c r="Q230" s="6491"/>
      <c r="R230" s="6489">
        <v>10675</v>
      </c>
      <c r="S230" s="6490" t="s">
        <v>124</v>
      </c>
      <c r="T230" s="6490" t="s">
        <v>125</v>
      </c>
      <c r="U230" s="6491">
        <v>2009</v>
      </c>
      <c r="V230" s="6491"/>
      <c r="W230" s="6489">
        <v>8322</v>
      </c>
      <c r="X230" s="6489">
        <v>12</v>
      </c>
      <c r="Y230" s="6492" t="s">
        <v>939</v>
      </c>
      <c r="Z230" s="6492">
        <v>5906894</v>
      </c>
      <c r="AA230" s="6493">
        <v>0.06</v>
      </c>
      <c r="AB230" s="6494">
        <v>226.3</v>
      </c>
      <c r="AC230" s="6492">
        <v>7862908</v>
      </c>
      <c r="AD230" s="6490" t="s">
        <v>961</v>
      </c>
      <c r="AE230" s="6490"/>
      <c r="AF230" s="6490">
        <v>4961</v>
      </c>
      <c r="AG230" s="6490" t="s">
        <v>126</v>
      </c>
      <c r="AH230" s="6495" t="s">
        <v>127</v>
      </c>
      <c r="AI230" s="6495" t="s">
        <v>127</v>
      </c>
      <c r="AJ230" s="6495" t="s">
        <v>211</v>
      </c>
      <c r="AK230" s="6495" t="s">
        <v>212</v>
      </c>
      <c r="AL230" s="6495"/>
      <c r="AM230" s="6496"/>
      <c r="AN230" s="6495" t="s">
        <v>1013</v>
      </c>
      <c r="AO230" s="6495" t="s">
        <v>128</v>
      </c>
      <c r="AP230" s="6495" t="s">
        <v>129</v>
      </c>
      <c r="AQ230" s="6496"/>
      <c r="AR230" s="6495" t="s">
        <v>130</v>
      </c>
      <c r="AS230" s="6490" t="s">
        <v>131</v>
      </c>
      <c r="AT230" s="6490"/>
      <c r="AU230" s="6490"/>
      <c r="AV230" s="6490" t="s">
        <v>132</v>
      </c>
      <c r="AW230" s="6494">
        <v>1045</v>
      </c>
      <c r="AX230" s="5133"/>
    </row>
    <row r="231" spans="1:50" ht="12.75" customHeight="1">
      <c r="A231" s="10963"/>
      <c r="B231" s="10946"/>
      <c r="C231" s="10949"/>
      <c r="D231" s="5133"/>
      <c r="F231" s="5133"/>
      <c r="G231" s="6489">
        <f t="shared" si="17"/>
        <v>3</v>
      </c>
      <c r="H231" s="6489">
        <v>1</v>
      </c>
      <c r="I231" s="10957"/>
      <c r="J231" s="10963"/>
      <c r="K231" s="10963" t="str">
        <f>+IF(ISNA(VLOOKUP(MATCH(P231,tfn,0),tao,'12(id)'!$K$20,FALSE)),"",IF(J231="NA","",VLOOKUP(MATCH(P231,tfn,0),tao,'12(id)'!$K$20,FALSE)+J231))</f>
        <v/>
      </c>
      <c r="L231" s="10963"/>
      <c r="M231" s="10963"/>
      <c r="N231" s="10963"/>
      <c r="O231" s="6480"/>
      <c r="P231" s="6490" t="s">
        <v>326</v>
      </c>
      <c r="Q231" s="6491"/>
      <c r="R231" s="6489">
        <v>10675</v>
      </c>
      <c r="S231" s="6490" t="s">
        <v>124</v>
      </c>
      <c r="T231" s="6490" t="s">
        <v>125</v>
      </c>
      <c r="U231" s="6491">
        <v>2008</v>
      </c>
      <c r="V231" s="6491"/>
      <c r="W231" s="6489">
        <v>8499</v>
      </c>
      <c r="X231" s="6489">
        <v>12</v>
      </c>
      <c r="Y231" s="6492" t="s">
        <v>939</v>
      </c>
      <c r="Z231" s="6492">
        <v>6008050</v>
      </c>
      <c r="AA231" s="6493">
        <v>0.05</v>
      </c>
      <c r="AB231" s="6494">
        <v>213.1</v>
      </c>
      <c r="AC231" s="6492">
        <v>8257504</v>
      </c>
      <c r="AD231" s="6490" t="s">
        <v>961</v>
      </c>
      <c r="AE231" s="6490"/>
      <c r="AF231" s="6490">
        <v>4961</v>
      </c>
      <c r="AG231" s="6490" t="s">
        <v>126</v>
      </c>
      <c r="AH231" s="6496" t="s">
        <v>127</v>
      </c>
      <c r="AI231" s="6495" t="s">
        <v>127</v>
      </c>
      <c r="AJ231" s="6495" t="s">
        <v>209</v>
      </c>
      <c r="AK231" s="6495" t="s">
        <v>210</v>
      </c>
      <c r="AL231" s="6495"/>
      <c r="AM231" s="6496"/>
      <c r="AN231" s="6496" t="s">
        <v>1013</v>
      </c>
      <c r="AO231" s="6496" t="s">
        <v>128</v>
      </c>
      <c r="AP231" s="6496" t="s">
        <v>129</v>
      </c>
      <c r="AQ231" s="6496"/>
      <c r="AR231" s="6496" t="s">
        <v>130</v>
      </c>
      <c r="AS231" s="6490" t="s">
        <v>131</v>
      </c>
      <c r="AT231" s="6490"/>
      <c r="AU231" s="6490"/>
      <c r="AV231" s="6490" t="s">
        <v>132</v>
      </c>
      <c r="AW231" s="6494">
        <v>1045</v>
      </c>
      <c r="AX231" s="5133"/>
    </row>
    <row r="232" spans="1:50" ht="12.75" customHeight="1">
      <c r="A232" s="10961" t="str">
        <f>+IF(M232="","",M232)</f>
        <v/>
      </c>
      <c r="B232" s="10944"/>
      <c r="C232" s="10947"/>
      <c r="D232" s="5133"/>
      <c r="F232" s="5133"/>
      <c r="G232" s="6489">
        <f t="shared" si="17"/>
        <v>4</v>
      </c>
      <c r="H232" s="6489">
        <v>6</v>
      </c>
      <c r="I232" s="10955">
        <f>1+I229</f>
        <v>2</v>
      </c>
      <c r="J232" s="10961"/>
      <c r="K232" s="10961" t="str">
        <f>+IF(ISNA(VLOOKUP(MATCH(P232,tfn,0),tao,'12(id)'!$K$20,FALSE)),"",IF(J232="NA","",VLOOKUP(MATCH(P232,tfn,0),tao,'12(id)'!$K$20,FALSE)+J232))</f>
        <v/>
      </c>
      <c r="L232" s="10961"/>
      <c r="M232" s="10961"/>
      <c r="N232" s="10961"/>
      <c r="O232" s="6497"/>
      <c r="P232" s="6490" t="s">
        <v>326</v>
      </c>
      <c r="Q232" s="6491"/>
      <c r="R232" s="6489">
        <v>10675</v>
      </c>
      <c r="S232" s="6490" t="s">
        <v>133</v>
      </c>
      <c r="T232" s="6490" t="s">
        <v>125</v>
      </c>
      <c r="U232" s="6491">
        <v>2010</v>
      </c>
      <c r="V232" s="6491"/>
      <c r="W232" s="6489">
        <v>7838</v>
      </c>
      <c r="X232" s="6489">
        <v>12</v>
      </c>
      <c r="Y232" s="6492" t="s">
        <v>939</v>
      </c>
      <c r="Z232" s="6492">
        <v>5360533</v>
      </c>
      <c r="AA232" s="6493">
        <v>0.06</v>
      </c>
      <c r="AB232" s="6494">
        <v>227.2</v>
      </c>
      <c r="AC232" s="6492">
        <v>7505560</v>
      </c>
      <c r="AD232" s="6490" t="s">
        <v>961</v>
      </c>
      <c r="AE232" s="6490"/>
      <c r="AF232" s="6490">
        <v>4961</v>
      </c>
      <c r="AG232" s="6490" t="s">
        <v>126</v>
      </c>
      <c r="AH232" s="6495" t="s">
        <v>127</v>
      </c>
      <c r="AI232" s="6495" t="s">
        <v>127</v>
      </c>
      <c r="AJ232" s="6495" t="s">
        <v>211</v>
      </c>
      <c r="AK232" s="6495" t="s">
        <v>213</v>
      </c>
      <c r="AL232" s="6495"/>
      <c r="AM232" s="6496"/>
      <c r="AN232" s="6495" t="s">
        <v>1013</v>
      </c>
      <c r="AO232" s="6495" t="s">
        <v>128</v>
      </c>
      <c r="AP232" s="6495" t="s">
        <v>129</v>
      </c>
      <c r="AQ232" s="6496"/>
      <c r="AR232" s="6495" t="s">
        <v>130</v>
      </c>
      <c r="AS232" s="6490" t="s">
        <v>131</v>
      </c>
      <c r="AT232" s="6490"/>
      <c r="AU232" s="6490"/>
      <c r="AV232" s="6490" t="s">
        <v>132</v>
      </c>
      <c r="AW232" s="6494">
        <v>1045</v>
      </c>
      <c r="AX232" s="5133"/>
    </row>
    <row r="233" spans="1:50" ht="12.75" customHeight="1">
      <c r="A233" s="10962"/>
      <c r="B233" s="10945"/>
      <c r="C233" s="10948"/>
      <c r="D233" s="5133"/>
      <c r="F233" s="5133"/>
      <c r="G233" s="6489">
        <f t="shared" si="17"/>
        <v>5</v>
      </c>
      <c r="H233" s="6489">
        <v>5</v>
      </c>
      <c r="I233" s="10956"/>
      <c r="J233" s="10962"/>
      <c r="K233" s="10962" t="str">
        <f>+IF(ISNA(VLOOKUP(MATCH(P233,tfn,0),tao,'12(id)'!$K$20,FALSE)),"",IF(J233="NA","",VLOOKUP(MATCH(P233,tfn,0),tao,'12(id)'!$K$20,FALSE)+J233))</f>
        <v/>
      </c>
      <c r="L233" s="10962"/>
      <c r="M233" s="10962"/>
      <c r="N233" s="10962"/>
      <c r="O233" s="6481"/>
      <c r="P233" s="6490" t="s">
        <v>326</v>
      </c>
      <c r="Q233" s="6491"/>
      <c r="R233" s="6489">
        <v>10675</v>
      </c>
      <c r="S233" s="6490" t="s">
        <v>133</v>
      </c>
      <c r="T233" s="6490" t="s">
        <v>125</v>
      </c>
      <c r="U233" s="6491">
        <v>2009</v>
      </c>
      <c r="V233" s="6491"/>
      <c r="W233" s="6489">
        <v>8118</v>
      </c>
      <c r="X233" s="6489">
        <v>12</v>
      </c>
      <c r="Y233" s="6492" t="s">
        <v>939</v>
      </c>
      <c r="Z233" s="6492">
        <v>5718691</v>
      </c>
      <c r="AA233" s="6493">
        <v>0.06</v>
      </c>
      <c r="AB233" s="6494">
        <v>214.9</v>
      </c>
      <c r="AC233" s="6492">
        <v>7620536</v>
      </c>
      <c r="AD233" s="6490" t="s">
        <v>961</v>
      </c>
      <c r="AE233" s="6490"/>
      <c r="AF233" s="6490">
        <v>4961</v>
      </c>
      <c r="AG233" s="6490" t="s">
        <v>126</v>
      </c>
      <c r="AH233" s="6495" t="s">
        <v>127</v>
      </c>
      <c r="AI233" s="6495" t="s">
        <v>127</v>
      </c>
      <c r="AJ233" s="6495" t="s">
        <v>211</v>
      </c>
      <c r="AK233" s="6495" t="s">
        <v>212</v>
      </c>
      <c r="AL233" s="6495"/>
      <c r="AM233" s="6496"/>
      <c r="AN233" s="6495" t="s">
        <v>1013</v>
      </c>
      <c r="AO233" s="6495" t="s">
        <v>128</v>
      </c>
      <c r="AP233" s="6495" t="s">
        <v>129</v>
      </c>
      <c r="AQ233" s="6496"/>
      <c r="AR233" s="6495" t="s">
        <v>130</v>
      </c>
      <c r="AS233" s="6490" t="s">
        <v>131</v>
      </c>
      <c r="AT233" s="6490"/>
      <c r="AU233" s="6490"/>
      <c r="AV233" s="6490" t="s">
        <v>132</v>
      </c>
      <c r="AW233" s="6494">
        <v>1045</v>
      </c>
      <c r="AX233" s="5133"/>
    </row>
    <row r="234" spans="1:50" ht="12.75" customHeight="1">
      <c r="A234" s="10963"/>
      <c r="B234" s="10946"/>
      <c r="C234" s="10949"/>
      <c r="D234" s="5133"/>
      <c r="F234" s="5133"/>
      <c r="G234" s="6489">
        <f t="shared" si="17"/>
        <v>6</v>
      </c>
      <c r="H234" s="6489">
        <v>4</v>
      </c>
      <c r="I234" s="10957"/>
      <c r="J234" s="10963"/>
      <c r="K234" s="10963" t="str">
        <f>+IF(ISNA(VLOOKUP(MATCH(P234,tfn,0),tao,'12(id)'!$K$20,FALSE)),"",IF(J234="NA","",VLOOKUP(MATCH(P234,tfn,0),tao,'12(id)'!$K$20,FALSE)+J234))</f>
        <v/>
      </c>
      <c r="L234" s="10963"/>
      <c r="M234" s="10963"/>
      <c r="N234" s="10963"/>
      <c r="O234" s="6480"/>
      <c r="P234" s="6490" t="s">
        <v>326</v>
      </c>
      <c r="Q234" s="6491"/>
      <c r="R234" s="6489">
        <v>10675</v>
      </c>
      <c r="S234" s="6490" t="s">
        <v>133</v>
      </c>
      <c r="T234" s="6490" t="s">
        <v>125</v>
      </c>
      <c r="U234" s="6491">
        <v>2008</v>
      </c>
      <c r="V234" s="6491"/>
      <c r="W234" s="6489">
        <v>8542</v>
      </c>
      <c r="X234" s="6489">
        <v>12</v>
      </c>
      <c r="Y234" s="6492" t="s">
        <v>939</v>
      </c>
      <c r="Z234" s="6492">
        <v>6048914</v>
      </c>
      <c r="AA234" s="6493">
        <v>0.05</v>
      </c>
      <c r="AB234" s="6494">
        <v>209.2</v>
      </c>
      <c r="AC234" s="6492">
        <v>8319727</v>
      </c>
      <c r="AD234" s="6490" t="s">
        <v>961</v>
      </c>
      <c r="AE234" s="6490"/>
      <c r="AF234" s="6490">
        <v>4961</v>
      </c>
      <c r="AG234" s="6490" t="s">
        <v>126</v>
      </c>
      <c r="AH234" s="6496" t="s">
        <v>127</v>
      </c>
      <c r="AI234" s="6495" t="s">
        <v>127</v>
      </c>
      <c r="AJ234" s="6495" t="s">
        <v>209</v>
      </c>
      <c r="AK234" s="6495" t="s">
        <v>210</v>
      </c>
      <c r="AL234" s="6495"/>
      <c r="AM234" s="6496"/>
      <c r="AN234" s="6496" t="s">
        <v>1013</v>
      </c>
      <c r="AO234" s="6496" t="s">
        <v>128</v>
      </c>
      <c r="AP234" s="6496" t="s">
        <v>129</v>
      </c>
      <c r="AQ234" s="6496"/>
      <c r="AR234" s="6496" t="s">
        <v>130</v>
      </c>
      <c r="AS234" s="6490" t="s">
        <v>131</v>
      </c>
      <c r="AT234" s="6490"/>
      <c r="AU234" s="6490"/>
      <c r="AV234" s="6490" t="s">
        <v>132</v>
      </c>
      <c r="AW234" s="6494">
        <v>1045</v>
      </c>
      <c r="AX234" s="5133"/>
    </row>
    <row r="235" spans="1:50" ht="12.75" customHeight="1">
      <c r="A235" s="10961" t="str">
        <f>+IF(M235="","",M235)</f>
        <v/>
      </c>
      <c r="B235" s="10944"/>
      <c r="C235" s="10947"/>
      <c r="D235" s="5133"/>
      <c r="F235" s="5133"/>
      <c r="G235" s="6489">
        <f t="shared" si="17"/>
        <v>7</v>
      </c>
      <c r="H235" s="6489">
        <v>9</v>
      </c>
      <c r="I235" s="10955">
        <f>1+I232</f>
        <v>3</v>
      </c>
      <c r="J235" s="10961"/>
      <c r="K235" s="10961" t="str">
        <f>+IF(ISNA(VLOOKUP(MATCH(P235,tfn,0),tao,'12(id)'!$K$20,FALSE)),"",IF(J235="NA","",VLOOKUP(MATCH(P235,tfn,0),tao,'12(id)'!$K$20,FALSE)+J235))</f>
        <v/>
      </c>
      <c r="L235" s="10961"/>
      <c r="M235" s="10961"/>
      <c r="N235" s="10961"/>
      <c r="O235" s="6497"/>
      <c r="P235" s="6490" t="s">
        <v>327</v>
      </c>
      <c r="Q235" s="6491"/>
      <c r="R235" s="6489">
        <v>6635</v>
      </c>
      <c r="S235" s="6490" t="s">
        <v>134</v>
      </c>
      <c r="T235" s="6490"/>
      <c r="U235" s="6491">
        <v>2010</v>
      </c>
      <c r="V235" s="6491"/>
      <c r="W235" s="6489">
        <v>80</v>
      </c>
      <c r="X235" s="6489">
        <v>12</v>
      </c>
      <c r="Y235" s="6492">
        <v>5228</v>
      </c>
      <c r="Z235" s="6492" t="s">
        <v>939</v>
      </c>
      <c r="AA235" s="6493">
        <v>0.1</v>
      </c>
      <c r="AB235" s="6494">
        <v>4.2</v>
      </c>
      <c r="AC235" s="6492">
        <v>85341</v>
      </c>
      <c r="AD235" s="6490" t="s">
        <v>961</v>
      </c>
      <c r="AE235" s="6490"/>
      <c r="AF235" s="6490" t="s">
        <v>939</v>
      </c>
      <c r="AG235" s="6490"/>
      <c r="AH235" s="6496" t="s">
        <v>135</v>
      </c>
      <c r="AI235" s="6496" t="s">
        <v>135</v>
      </c>
      <c r="AJ235" s="6496" t="s">
        <v>216</v>
      </c>
      <c r="AK235" s="6496" t="s">
        <v>217</v>
      </c>
      <c r="AL235" s="6496"/>
      <c r="AM235" s="6496"/>
      <c r="AN235" s="6496" t="s">
        <v>1013</v>
      </c>
      <c r="AO235" s="6496" t="s">
        <v>1054</v>
      </c>
      <c r="AP235" s="6496" t="s">
        <v>1021</v>
      </c>
      <c r="AQ235" s="6496" t="s">
        <v>962</v>
      </c>
      <c r="AR235" s="6496"/>
      <c r="AS235" s="6490" t="s">
        <v>136</v>
      </c>
      <c r="AT235" s="6490" t="s">
        <v>38</v>
      </c>
      <c r="AU235" s="6490"/>
      <c r="AV235" s="6490"/>
      <c r="AW235" s="6494">
        <v>1560</v>
      </c>
      <c r="AX235" s="5133"/>
    </row>
    <row r="236" spans="1:50" ht="12.75" customHeight="1">
      <c r="A236" s="10962"/>
      <c r="B236" s="10945"/>
      <c r="C236" s="10948"/>
      <c r="D236" s="5133"/>
      <c r="F236" s="5133"/>
      <c r="G236" s="6489">
        <f t="shared" si="17"/>
        <v>8</v>
      </c>
      <c r="H236" s="6489">
        <v>8</v>
      </c>
      <c r="I236" s="10956"/>
      <c r="J236" s="10962"/>
      <c r="K236" s="10962" t="str">
        <f>+IF(ISNA(VLOOKUP(MATCH(P236,tfn,0),tao,'12(id)'!$K$20,FALSE)),"",IF(J236="NA","",VLOOKUP(MATCH(P236,tfn,0),tao,'12(id)'!$K$20,FALSE)+J236))</f>
        <v/>
      </c>
      <c r="L236" s="10962"/>
      <c r="M236" s="10962"/>
      <c r="N236" s="10962"/>
      <c r="O236" s="6481"/>
      <c r="P236" s="6490" t="s">
        <v>327</v>
      </c>
      <c r="Q236" s="6491"/>
      <c r="R236" s="6489">
        <v>6635</v>
      </c>
      <c r="S236" s="6490" t="s">
        <v>134</v>
      </c>
      <c r="T236" s="6490"/>
      <c r="U236" s="6491">
        <v>2009</v>
      </c>
      <c r="V236" s="6491"/>
      <c r="W236" s="6489">
        <v>52</v>
      </c>
      <c r="X236" s="6489">
        <v>12</v>
      </c>
      <c r="Y236" s="6492">
        <v>3775</v>
      </c>
      <c r="Z236" s="6492" t="s">
        <v>939</v>
      </c>
      <c r="AA236" s="6493">
        <v>0.1</v>
      </c>
      <c r="AB236" s="6494">
        <v>3.3</v>
      </c>
      <c r="AC236" s="6492">
        <v>61045</v>
      </c>
      <c r="AD236" s="6490" t="s">
        <v>961</v>
      </c>
      <c r="AE236" s="6490"/>
      <c r="AF236" s="6490" t="s">
        <v>939</v>
      </c>
      <c r="AG236" s="6490"/>
      <c r="AH236" s="6496" t="s">
        <v>135</v>
      </c>
      <c r="AI236" s="6496" t="s">
        <v>135</v>
      </c>
      <c r="AJ236" s="6496" t="s">
        <v>214</v>
      </c>
      <c r="AK236" s="6496" t="s">
        <v>215</v>
      </c>
      <c r="AL236" s="6496"/>
      <c r="AM236" s="6496"/>
      <c r="AN236" s="6496" t="s">
        <v>1013</v>
      </c>
      <c r="AO236" s="6496" t="s">
        <v>1054</v>
      </c>
      <c r="AP236" s="6496" t="s">
        <v>1021</v>
      </c>
      <c r="AQ236" s="6496" t="s">
        <v>962</v>
      </c>
      <c r="AR236" s="6496"/>
      <c r="AS236" s="6490" t="s">
        <v>136</v>
      </c>
      <c r="AT236" s="6490" t="s">
        <v>38</v>
      </c>
      <c r="AU236" s="6490"/>
      <c r="AV236" s="6490"/>
      <c r="AW236" s="6494">
        <v>1560</v>
      </c>
      <c r="AX236" s="5133"/>
    </row>
    <row r="237" spans="1:50" ht="12.75" customHeight="1">
      <c r="A237" s="10963"/>
      <c r="B237" s="10946"/>
      <c r="C237" s="10949"/>
      <c r="D237" s="5133"/>
      <c r="F237" s="5133"/>
      <c r="G237" s="6489">
        <f t="shared" si="17"/>
        <v>9</v>
      </c>
      <c r="H237" s="6489">
        <v>7</v>
      </c>
      <c r="I237" s="10957"/>
      <c r="J237" s="10963"/>
      <c r="K237" s="10963" t="str">
        <f>+IF(ISNA(VLOOKUP(MATCH(P237,tfn,0),tao,'12(id)'!$K$20,FALSE)),"",IF(J237="NA","",VLOOKUP(MATCH(P237,tfn,0),tao,'12(id)'!$K$20,FALSE)+J237))</f>
        <v/>
      </c>
      <c r="L237" s="10963"/>
      <c r="M237" s="10963"/>
      <c r="N237" s="10963"/>
      <c r="O237" s="6480"/>
      <c r="P237" s="6490" t="s">
        <v>327</v>
      </c>
      <c r="Q237" s="6491"/>
      <c r="R237" s="6489">
        <v>6635</v>
      </c>
      <c r="S237" s="6490" t="s">
        <v>134</v>
      </c>
      <c r="T237" s="6490"/>
      <c r="U237" s="6491">
        <v>2008</v>
      </c>
      <c r="V237" s="6491"/>
      <c r="W237" s="6489">
        <v>75</v>
      </c>
      <c r="X237" s="6489">
        <v>12</v>
      </c>
      <c r="Y237" s="6492">
        <v>4731</v>
      </c>
      <c r="Z237" s="6492" t="s">
        <v>939</v>
      </c>
      <c r="AA237" s="6493">
        <v>0.13</v>
      </c>
      <c r="AB237" s="6494">
        <v>4.3</v>
      </c>
      <c r="AC237" s="6492">
        <v>66556</v>
      </c>
      <c r="AD237" s="6490" t="s">
        <v>961</v>
      </c>
      <c r="AE237" s="6490"/>
      <c r="AF237" s="6490" t="s">
        <v>939</v>
      </c>
      <c r="AG237" s="6490"/>
      <c r="AH237" s="6496" t="s">
        <v>135</v>
      </c>
      <c r="AI237" s="6496" t="s">
        <v>135</v>
      </c>
      <c r="AJ237" s="6496"/>
      <c r="AK237" s="6496"/>
      <c r="AL237" s="6496"/>
      <c r="AM237" s="6496"/>
      <c r="AN237" s="6496" t="s">
        <v>1013</v>
      </c>
      <c r="AO237" s="6496" t="s">
        <v>1054</v>
      </c>
      <c r="AP237" s="6496" t="s">
        <v>1021</v>
      </c>
      <c r="AQ237" s="6496" t="s">
        <v>962</v>
      </c>
      <c r="AR237" s="6496"/>
      <c r="AS237" s="6490" t="s">
        <v>136</v>
      </c>
      <c r="AT237" s="6490" t="s">
        <v>38</v>
      </c>
      <c r="AU237" s="6490"/>
      <c r="AV237" s="6490"/>
      <c r="AW237" s="6494">
        <v>1560</v>
      </c>
      <c r="AX237" s="5133"/>
    </row>
    <row r="238" spans="1:50" ht="12.75" customHeight="1">
      <c r="A238" s="10961" t="str">
        <f>+IF(M238="","",M238)</f>
        <v/>
      </c>
      <c r="B238" s="10944"/>
      <c r="C238" s="10947"/>
      <c r="D238" s="5133"/>
      <c r="F238" s="5133"/>
      <c r="G238" s="6489">
        <f t="shared" si="17"/>
        <v>10</v>
      </c>
      <c r="H238" s="6489">
        <v>12</v>
      </c>
      <c r="I238" s="10955">
        <f>1+I235</f>
        <v>4</v>
      </c>
      <c r="J238" s="10961"/>
      <c r="K238" s="10961" t="str">
        <f>+IF(ISNA(VLOOKUP(MATCH(P238,tfn,0),tao,'12(id)'!$K$20,FALSE)),"",IF(J238="NA","",VLOOKUP(MATCH(P238,tfn,0),tao,'12(id)'!$K$20,FALSE)+J238))</f>
        <v/>
      </c>
      <c r="L238" s="10961"/>
      <c r="M238" s="10961"/>
      <c r="N238" s="10961"/>
      <c r="O238" s="6497"/>
      <c r="P238" s="6490" t="s">
        <v>328</v>
      </c>
      <c r="Q238" s="6491"/>
      <c r="R238" s="6489">
        <v>10567</v>
      </c>
      <c r="S238" s="6490" t="s">
        <v>137</v>
      </c>
      <c r="T238" s="6490"/>
      <c r="U238" s="6491">
        <v>2010</v>
      </c>
      <c r="V238" s="6491"/>
      <c r="W238" s="6489">
        <v>8332</v>
      </c>
      <c r="X238" s="6489">
        <v>12</v>
      </c>
      <c r="Y238" s="6492">
        <v>253419</v>
      </c>
      <c r="Z238" s="6492" t="s">
        <v>939</v>
      </c>
      <c r="AA238" s="6493">
        <v>0.14000000000000001</v>
      </c>
      <c r="AB238" s="6494">
        <v>219.3</v>
      </c>
      <c r="AC238" s="6492">
        <v>3171618</v>
      </c>
      <c r="AD238" s="6490" t="s">
        <v>961</v>
      </c>
      <c r="AE238" s="6490"/>
      <c r="AF238" s="6490">
        <v>4911</v>
      </c>
      <c r="AG238" s="6490" t="s">
        <v>1008</v>
      </c>
      <c r="AH238" s="6495" t="s">
        <v>138</v>
      </c>
      <c r="AI238" s="6495" t="s">
        <v>138</v>
      </c>
      <c r="AJ238" s="6495" t="s">
        <v>218</v>
      </c>
      <c r="AK238" s="6496"/>
      <c r="AL238" s="6496"/>
      <c r="AM238" s="6496"/>
      <c r="AN238" s="6495" t="s">
        <v>1013</v>
      </c>
      <c r="AO238" s="6495" t="s">
        <v>1020</v>
      </c>
      <c r="AP238" s="6495" t="s">
        <v>1021</v>
      </c>
      <c r="AQ238" s="6495" t="s">
        <v>1015</v>
      </c>
      <c r="AR238" s="6496"/>
      <c r="AS238" s="6490" t="s">
        <v>139</v>
      </c>
      <c r="AT238" s="6490"/>
      <c r="AU238" s="6490"/>
      <c r="AV238" s="6490"/>
      <c r="AW238" s="6494">
        <v>555</v>
      </c>
      <c r="AX238" s="5133"/>
    </row>
    <row r="239" spans="1:50" ht="12.75" customHeight="1">
      <c r="A239" s="10962"/>
      <c r="B239" s="10945"/>
      <c r="C239" s="10948"/>
      <c r="D239" s="5133"/>
      <c r="F239" s="5133"/>
      <c r="G239" s="6489">
        <f t="shared" si="17"/>
        <v>11</v>
      </c>
      <c r="H239" s="6489">
        <v>11</v>
      </c>
      <c r="I239" s="10956"/>
      <c r="J239" s="10962"/>
      <c r="K239" s="10962" t="str">
        <f>+IF(ISNA(VLOOKUP(MATCH(P239,tfn,0),tao,'12(id)'!$K$20,FALSE)),"",IF(J239="NA","",VLOOKUP(MATCH(P239,tfn,0),tao,'12(id)'!$K$20,FALSE)+J239))</f>
        <v/>
      </c>
      <c r="L239" s="10962"/>
      <c r="M239" s="10962"/>
      <c r="N239" s="10962"/>
      <c r="O239" s="6481"/>
      <c r="P239" s="6490" t="s">
        <v>328</v>
      </c>
      <c r="Q239" s="6491"/>
      <c r="R239" s="6489">
        <v>10567</v>
      </c>
      <c r="S239" s="6490" t="s">
        <v>137</v>
      </c>
      <c r="T239" s="6490"/>
      <c r="U239" s="6491">
        <v>2009</v>
      </c>
      <c r="V239" s="6491"/>
      <c r="W239" s="6489">
        <v>8537</v>
      </c>
      <c r="X239" s="6489">
        <v>12</v>
      </c>
      <c r="Y239" s="6492">
        <v>311060</v>
      </c>
      <c r="Z239" s="6492" t="s">
        <v>939</v>
      </c>
      <c r="AA239" s="6493">
        <v>0.14000000000000001</v>
      </c>
      <c r="AB239" s="6494">
        <v>259.10000000000002</v>
      </c>
      <c r="AC239" s="6492">
        <v>3723099</v>
      </c>
      <c r="AD239" s="6490" t="s">
        <v>961</v>
      </c>
      <c r="AE239" s="6490"/>
      <c r="AF239" s="6490">
        <v>4911</v>
      </c>
      <c r="AG239" s="6490" t="s">
        <v>1008</v>
      </c>
      <c r="AH239" s="6495" t="s">
        <v>138</v>
      </c>
      <c r="AI239" s="6495" t="s">
        <v>138</v>
      </c>
      <c r="AJ239" s="6495" t="s">
        <v>218</v>
      </c>
      <c r="AK239" s="6496"/>
      <c r="AL239" s="6496"/>
      <c r="AM239" s="6496"/>
      <c r="AN239" s="6495" t="s">
        <v>1013</v>
      </c>
      <c r="AO239" s="6495" t="s">
        <v>1020</v>
      </c>
      <c r="AP239" s="6495" t="s">
        <v>1021</v>
      </c>
      <c r="AQ239" s="6495" t="s">
        <v>1015</v>
      </c>
      <c r="AR239" s="6496"/>
      <c r="AS239" s="6490" t="s">
        <v>139</v>
      </c>
      <c r="AT239" s="6490"/>
      <c r="AU239" s="6490"/>
      <c r="AV239" s="6490"/>
      <c r="AW239" s="6494">
        <v>555</v>
      </c>
      <c r="AX239" s="5133"/>
    </row>
    <row r="240" spans="1:50" ht="12.75" customHeight="1">
      <c r="A240" s="10963"/>
      <c r="B240" s="10946"/>
      <c r="C240" s="10949"/>
      <c r="D240" s="5133"/>
      <c r="F240" s="5133"/>
      <c r="G240" s="6489">
        <f t="shared" si="17"/>
        <v>12</v>
      </c>
      <c r="H240" s="6489">
        <v>10</v>
      </c>
      <c r="I240" s="10957"/>
      <c r="J240" s="10963"/>
      <c r="K240" s="10963" t="str">
        <f>+IF(ISNA(VLOOKUP(MATCH(P240,tfn,0),tao,'12(id)'!$K$20,FALSE)),"",IF(J240="NA","",VLOOKUP(MATCH(P240,tfn,0),tao,'12(id)'!$K$20,FALSE)+J240))</f>
        <v/>
      </c>
      <c r="L240" s="10963"/>
      <c r="M240" s="10963"/>
      <c r="N240" s="10963"/>
      <c r="O240" s="6480"/>
      <c r="P240" s="6490" t="s">
        <v>328</v>
      </c>
      <c r="Q240" s="6491"/>
      <c r="R240" s="6489">
        <v>10567</v>
      </c>
      <c r="S240" s="6490" t="s">
        <v>137</v>
      </c>
      <c r="T240" s="6490"/>
      <c r="U240" s="6491">
        <v>2008</v>
      </c>
      <c r="V240" s="6491"/>
      <c r="W240" s="6489">
        <v>8710</v>
      </c>
      <c r="X240" s="6489">
        <v>12</v>
      </c>
      <c r="Y240" s="6492">
        <v>322573</v>
      </c>
      <c r="Z240" s="6492" t="s">
        <v>939</v>
      </c>
      <c r="AA240" s="6493">
        <v>0.14000000000000001</v>
      </c>
      <c r="AB240" s="6494">
        <v>265.89999999999998</v>
      </c>
      <c r="AC240" s="6492">
        <v>3802900</v>
      </c>
      <c r="AD240" s="6490" t="s">
        <v>961</v>
      </c>
      <c r="AE240" s="6490"/>
      <c r="AF240" s="6490">
        <v>4911</v>
      </c>
      <c r="AG240" s="6490" t="s">
        <v>1008</v>
      </c>
      <c r="AH240" s="6495" t="s">
        <v>138</v>
      </c>
      <c r="AI240" s="6495" t="s">
        <v>138</v>
      </c>
      <c r="AJ240" s="6495" t="s">
        <v>218</v>
      </c>
      <c r="AK240" s="6496"/>
      <c r="AL240" s="6496"/>
      <c r="AM240" s="6496"/>
      <c r="AN240" s="6495" t="s">
        <v>1013</v>
      </c>
      <c r="AO240" s="6495" t="s">
        <v>1020</v>
      </c>
      <c r="AP240" s="6495" t="s">
        <v>1021</v>
      </c>
      <c r="AQ240" s="6495" t="s">
        <v>1015</v>
      </c>
      <c r="AR240" s="6496"/>
      <c r="AS240" s="6490" t="s">
        <v>139</v>
      </c>
      <c r="AT240" s="6490"/>
      <c r="AU240" s="6490"/>
      <c r="AV240" s="6490"/>
      <c r="AW240" s="6494">
        <v>555</v>
      </c>
      <c r="AX240" s="5133"/>
    </row>
    <row r="241" spans="1:54" s="6369" customFormat="1" ht="12.75" customHeight="1">
      <c r="A241" s="10967" t="str">
        <f t="shared" ref="A241:A304" si="18">+IF(M241="","",M241)</f>
        <v>8300-01</v>
      </c>
      <c r="B241" s="10953" t="str">
        <f>+IF(A241="","",VLOOKUP(MATCH(A241,tid,0),tao,'12(id)'!$J$20,FALSE))</f>
        <v>NRG</v>
      </c>
      <c r="C241" s="10954" t="str">
        <f>+IF(N241="","",N241)</f>
        <v>BR10</v>
      </c>
      <c r="E241" s="5132"/>
      <c r="G241" s="6548">
        <f t="shared" si="17"/>
        <v>13</v>
      </c>
      <c r="H241" s="6548">
        <v>15</v>
      </c>
      <c r="I241" s="10958">
        <f>1+I238</f>
        <v>5</v>
      </c>
      <c r="J241" s="10964"/>
      <c r="K241" s="10964">
        <f>+IF(ISNA(VLOOKUP(MATCH(P241,tfn,0),tao,'12(id)'!$K$20,FALSE)),"",IF(J241="NA","",VLOOKUP(MATCH(P241,tfn,0),tao,'12(id)'!$K$20,FALSE)+J241))</f>
        <v>8300</v>
      </c>
      <c r="L241" s="10964">
        <v>1</v>
      </c>
      <c r="M241" s="10964" t="str">
        <f>+IF(K241="","",K241&amp;IF(L241&lt;10,"-0"&amp;L241,"-"&amp;L241))</f>
        <v>8300-01</v>
      </c>
      <c r="N241" s="10964" t="str">
        <f>+IF(M241="","",VLOOKUP(MATCH(M241,tid,0),tao,'12(id)'!$Q$20,FALSE))</f>
        <v>BR10</v>
      </c>
      <c r="O241" s="10964"/>
      <c r="P241" s="6549" t="s">
        <v>475</v>
      </c>
      <c r="Q241" s="6550"/>
      <c r="R241" s="6548">
        <v>540</v>
      </c>
      <c r="S241" s="6549" t="s">
        <v>1044</v>
      </c>
      <c r="T241" s="6549"/>
      <c r="U241" s="6550">
        <v>2010</v>
      </c>
      <c r="V241" s="6550"/>
      <c r="W241" s="6548">
        <v>39</v>
      </c>
      <c r="X241" s="6548">
        <v>6</v>
      </c>
      <c r="Y241" s="6551">
        <v>512</v>
      </c>
      <c r="Z241" s="6551" t="s">
        <v>939</v>
      </c>
      <c r="AA241" s="6552">
        <v>1.2</v>
      </c>
      <c r="AB241" s="6553">
        <v>5.9</v>
      </c>
      <c r="AC241" s="6551">
        <v>9750</v>
      </c>
      <c r="AD241" s="6549" t="s">
        <v>961</v>
      </c>
      <c r="AE241" s="6549"/>
      <c r="AF241" s="6549">
        <v>4911</v>
      </c>
      <c r="AG241" s="6549" t="s">
        <v>1008</v>
      </c>
      <c r="AH241" s="6554" t="s">
        <v>1075</v>
      </c>
      <c r="AI241" s="6554" t="s">
        <v>1075</v>
      </c>
      <c r="AJ241" s="6554" t="s">
        <v>1040</v>
      </c>
      <c r="AK241" s="6554" t="s">
        <v>1011</v>
      </c>
      <c r="AL241" s="6554"/>
      <c r="AM241" s="6555"/>
      <c r="AN241" s="6554" t="s">
        <v>1013</v>
      </c>
      <c r="AO241" s="6554" t="s">
        <v>1054</v>
      </c>
      <c r="AP241" s="6554" t="s">
        <v>1047</v>
      </c>
      <c r="AQ241" s="6555"/>
      <c r="AR241" s="6555"/>
      <c r="AS241" s="6549" t="s">
        <v>38</v>
      </c>
      <c r="AT241" s="6549"/>
      <c r="AU241" s="6549"/>
      <c r="AV241" s="6549"/>
      <c r="AW241" s="6553">
        <v>250</v>
      </c>
      <c r="AX241" s="5133"/>
      <c r="AY241" s="5132"/>
      <c r="AZ241" s="5132"/>
      <c r="BA241" s="5132"/>
      <c r="BB241" s="5132"/>
    </row>
    <row r="242" spans="1:54" s="6369" customFormat="1" ht="12.75" customHeight="1">
      <c r="A242" s="10965"/>
      <c r="B242" s="10951"/>
      <c r="C242" s="10942"/>
      <c r="E242" s="5132"/>
      <c r="G242" s="6548">
        <f t="shared" si="17"/>
        <v>14</v>
      </c>
      <c r="H242" s="6548">
        <v>14</v>
      </c>
      <c r="I242" s="10959"/>
      <c r="J242" s="10965"/>
      <c r="K242" s="10965">
        <f>+IF(ISNA(VLOOKUP(MATCH(P242,tfn,0),tao,'12(id)'!$K$20,FALSE)),"",IF(J242="NA","",VLOOKUP(MATCH(P242,tfn,0),tao,'12(id)'!$K$20,FALSE)+J242))</f>
        <v>8300</v>
      </c>
      <c r="L242" s="10965"/>
      <c r="M242" s="10965"/>
      <c r="N242" s="10965"/>
      <c r="O242" s="10965"/>
      <c r="P242" s="6549" t="s">
        <v>475</v>
      </c>
      <c r="Q242" s="6550"/>
      <c r="R242" s="6548">
        <v>540</v>
      </c>
      <c r="S242" s="6549" t="s">
        <v>1044</v>
      </c>
      <c r="T242" s="6549"/>
      <c r="U242" s="6550">
        <v>2009</v>
      </c>
      <c r="V242" s="6550"/>
      <c r="W242" s="6548">
        <v>2</v>
      </c>
      <c r="X242" s="6548">
        <v>6</v>
      </c>
      <c r="Y242" s="6551">
        <v>20</v>
      </c>
      <c r="Z242" s="6551" t="s">
        <v>939</v>
      </c>
      <c r="AA242" s="6552">
        <v>1.2</v>
      </c>
      <c r="AB242" s="6553">
        <v>0.3</v>
      </c>
      <c r="AC242" s="6551">
        <v>525</v>
      </c>
      <c r="AD242" s="6549" t="s">
        <v>961</v>
      </c>
      <c r="AE242" s="6549"/>
      <c r="AF242" s="6549">
        <v>4911</v>
      </c>
      <c r="AG242" s="6549" t="s">
        <v>1008</v>
      </c>
      <c r="AH242" s="6555" t="s">
        <v>1075</v>
      </c>
      <c r="AI242" s="6554" t="s">
        <v>1075</v>
      </c>
      <c r="AJ242" s="6554" t="s">
        <v>11</v>
      </c>
      <c r="AK242" s="6554" t="s">
        <v>1043</v>
      </c>
      <c r="AL242" s="6554"/>
      <c r="AM242" s="6555"/>
      <c r="AN242" s="6555" t="s">
        <v>1013</v>
      </c>
      <c r="AO242" s="6555" t="s">
        <v>1054</v>
      </c>
      <c r="AP242" s="6555" t="s">
        <v>1047</v>
      </c>
      <c r="AQ242" s="6555"/>
      <c r="AR242" s="6555"/>
      <c r="AS242" s="6549" t="s">
        <v>38</v>
      </c>
      <c r="AT242" s="6549"/>
      <c r="AU242" s="6549"/>
      <c r="AV242" s="6549"/>
      <c r="AW242" s="6553">
        <v>250</v>
      </c>
      <c r="AX242" s="5133"/>
      <c r="AY242" s="5132"/>
      <c r="AZ242" s="5132"/>
      <c r="BA242" s="5132"/>
      <c r="BB242" s="5132"/>
    </row>
    <row r="243" spans="1:54" s="6369" customFormat="1" ht="12.75" customHeight="1">
      <c r="A243" s="10966"/>
      <c r="B243" s="10952"/>
      <c r="C243" s="10943"/>
      <c r="E243" s="5132"/>
      <c r="G243" s="6548">
        <f t="shared" si="17"/>
        <v>15</v>
      </c>
      <c r="H243" s="6548">
        <v>13</v>
      </c>
      <c r="I243" s="10960"/>
      <c r="J243" s="10966"/>
      <c r="K243" s="10966">
        <f>+IF(ISNA(VLOOKUP(MATCH(P243,tfn,0),tao,'12(id)'!$K$20,FALSE)),"",IF(J243="NA","",VLOOKUP(MATCH(P243,tfn,0),tao,'12(id)'!$K$20,FALSE)+J243))</f>
        <v>8300</v>
      </c>
      <c r="L243" s="10966"/>
      <c r="M243" s="10966"/>
      <c r="N243" s="10966"/>
      <c r="O243" s="10966"/>
      <c r="P243" s="6549" t="s">
        <v>475</v>
      </c>
      <c r="Q243" s="6550"/>
      <c r="R243" s="6548">
        <v>540</v>
      </c>
      <c r="S243" s="6549" t="s">
        <v>1044</v>
      </c>
      <c r="T243" s="6549"/>
      <c r="U243" s="6550">
        <v>2008</v>
      </c>
      <c r="V243" s="6550"/>
      <c r="W243" s="6548">
        <v>7</v>
      </c>
      <c r="X243" s="6548">
        <v>6</v>
      </c>
      <c r="Y243" s="6551">
        <v>123</v>
      </c>
      <c r="Z243" s="6551" t="s">
        <v>939</v>
      </c>
      <c r="AA243" s="6552">
        <v>1.2</v>
      </c>
      <c r="AB243" s="6553">
        <v>1.1000000000000001</v>
      </c>
      <c r="AC243" s="6551">
        <v>1778</v>
      </c>
      <c r="AD243" s="6549" t="s">
        <v>961</v>
      </c>
      <c r="AE243" s="6549"/>
      <c r="AF243" s="6549">
        <v>4911</v>
      </c>
      <c r="AG243" s="6549" t="s">
        <v>1008</v>
      </c>
      <c r="AH243" s="6555" t="s">
        <v>1075</v>
      </c>
      <c r="AI243" s="6554" t="s">
        <v>1075</v>
      </c>
      <c r="AJ243" s="6554" t="s">
        <v>9</v>
      </c>
      <c r="AK243" s="6555" t="s">
        <v>10</v>
      </c>
      <c r="AL243" s="6555"/>
      <c r="AM243" s="6555"/>
      <c r="AN243" s="6555" t="s">
        <v>1013</v>
      </c>
      <c r="AO243" s="6555" t="s">
        <v>1054</v>
      </c>
      <c r="AP243" s="6555" t="s">
        <v>1047</v>
      </c>
      <c r="AQ243" s="6555"/>
      <c r="AR243" s="6555"/>
      <c r="AS243" s="6549" t="s">
        <v>140</v>
      </c>
      <c r="AT243" s="6549"/>
      <c r="AU243" s="6549"/>
      <c r="AV243" s="6549"/>
      <c r="AW243" s="6553">
        <v>250</v>
      </c>
      <c r="AX243" s="5133"/>
      <c r="AY243" s="5132"/>
      <c r="AZ243" s="5132"/>
      <c r="BA243" s="5132"/>
      <c r="BB243" s="5132"/>
    </row>
    <row r="244" spans="1:54" ht="12.75" customHeight="1">
      <c r="A244" s="10961" t="str">
        <f t="shared" si="18"/>
        <v/>
      </c>
      <c r="B244" s="10944" t="str">
        <f>+IF(A244="","",VLOOKUP(MATCH(A244,tid,0),tao,'12(id)'!$J$20,FALSE))</f>
        <v/>
      </c>
      <c r="C244" s="10947" t="str">
        <f t="shared" ref="C244:C307" si="19">+IF(N244="","",N244)</f>
        <v/>
      </c>
      <c r="D244" s="5133"/>
      <c r="F244" s="5133"/>
      <c r="G244" s="6489">
        <f t="shared" si="17"/>
        <v>16</v>
      </c>
      <c r="H244" s="6489">
        <v>18</v>
      </c>
      <c r="I244" s="10955">
        <f>1+I241</f>
        <v>6</v>
      </c>
      <c r="J244" s="10961"/>
      <c r="K244" s="10961" t="str">
        <f>+IF(ISNA(VLOOKUP(MATCH(P244,tfn,0),tao,'12(id)'!$K$20,FALSE)),"",IF(J244="NA","",VLOOKUP(MATCH(P244,tfn,0),tao,'12(id)'!$K$20,FALSE)+J244))</f>
        <v/>
      </c>
      <c r="L244" s="10961"/>
      <c r="M244" s="10961"/>
      <c r="N244" s="10961"/>
      <c r="O244" s="10961"/>
      <c r="P244" s="6490" t="s">
        <v>329</v>
      </c>
      <c r="Q244" s="6491"/>
      <c r="R244" s="6489">
        <v>55042</v>
      </c>
      <c r="S244" s="6490" t="s">
        <v>141</v>
      </c>
      <c r="T244" s="6490"/>
      <c r="U244" s="6491">
        <v>2010</v>
      </c>
      <c r="V244" s="6491"/>
      <c r="W244" s="6489">
        <v>7332</v>
      </c>
      <c r="X244" s="6489">
        <v>12</v>
      </c>
      <c r="Y244" s="6492">
        <v>1112541</v>
      </c>
      <c r="Z244" s="6492" t="s">
        <v>939</v>
      </c>
      <c r="AA244" s="6493">
        <v>0.02</v>
      </c>
      <c r="AB244" s="6494">
        <v>88.6</v>
      </c>
      <c r="AC244" s="6492">
        <v>11857074</v>
      </c>
      <c r="AD244" s="6490" t="s">
        <v>961</v>
      </c>
      <c r="AE244" s="6490"/>
      <c r="AF244" s="6490">
        <v>4911</v>
      </c>
      <c r="AG244" s="6490" t="s">
        <v>1008</v>
      </c>
      <c r="AH244" s="6496" t="s">
        <v>142</v>
      </c>
      <c r="AI244" s="6495" t="s">
        <v>142</v>
      </c>
      <c r="AJ244" s="6496" t="s">
        <v>223</v>
      </c>
      <c r="AK244" s="6496" t="s">
        <v>224</v>
      </c>
      <c r="AL244" s="6496"/>
      <c r="AM244" s="6496"/>
      <c r="AN244" s="6496" t="s">
        <v>1013</v>
      </c>
      <c r="AO244" s="6496" t="s">
        <v>1020</v>
      </c>
      <c r="AP244" s="6496" t="s">
        <v>1021</v>
      </c>
      <c r="AQ244" s="6496"/>
      <c r="AR244" s="6496"/>
      <c r="AS244" s="6490" t="s">
        <v>1022</v>
      </c>
      <c r="AT244" s="6490" t="s">
        <v>1023</v>
      </c>
      <c r="AU244" s="6490"/>
      <c r="AV244" s="6490"/>
      <c r="AW244" s="6494">
        <v>1884</v>
      </c>
      <c r="AX244" s="5133"/>
    </row>
    <row r="245" spans="1:54" ht="12.75" customHeight="1">
      <c r="A245" s="10962" t="str">
        <f t="shared" si="18"/>
        <v/>
      </c>
      <c r="B245" s="10945" t="str">
        <f>+IF(A245="","",VLOOKUP(MATCH(A245,tid,0),tao,'12(id)'!$J$20,FALSE))</f>
        <v/>
      </c>
      <c r="C245" s="10948" t="str">
        <f t="shared" si="19"/>
        <v/>
      </c>
      <c r="D245" s="5133"/>
      <c r="F245" s="5133"/>
      <c r="G245" s="6489">
        <f t="shared" si="17"/>
        <v>17</v>
      </c>
      <c r="H245" s="6489">
        <v>17</v>
      </c>
      <c r="I245" s="10956"/>
      <c r="J245" s="10962"/>
      <c r="K245" s="10962" t="str">
        <f>+IF(ISNA(VLOOKUP(MATCH(P245,tfn,0),tao,'12(id)'!$K$20,FALSE)),"",IF(J245="NA","",VLOOKUP(MATCH(P245,tfn,0),tao,'12(id)'!$K$20,FALSE)+J245))</f>
        <v/>
      </c>
      <c r="L245" s="10962"/>
      <c r="M245" s="10962"/>
      <c r="N245" s="10962"/>
      <c r="O245" s="10962"/>
      <c r="P245" s="6490" t="s">
        <v>329</v>
      </c>
      <c r="Q245" s="6491"/>
      <c r="R245" s="6489">
        <v>55042</v>
      </c>
      <c r="S245" s="6490" t="s">
        <v>141</v>
      </c>
      <c r="T245" s="6490"/>
      <c r="U245" s="6491">
        <v>2009</v>
      </c>
      <c r="V245" s="6491"/>
      <c r="W245" s="6489">
        <v>6436</v>
      </c>
      <c r="X245" s="6489">
        <v>12</v>
      </c>
      <c r="Y245" s="6492">
        <v>897743</v>
      </c>
      <c r="Z245" s="6492" t="s">
        <v>939</v>
      </c>
      <c r="AA245" s="6493">
        <v>0.02</v>
      </c>
      <c r="AB245" s="6494">
        <v>71.599999999999994</v>
      </c>
      <c r="AC245" s="6492">
        <v>9670892</v>
      </c>
      <c r="AD245" s="6490" t="s">
        <v>961</v>
      </c>
      <c r="AE245" s="6490"/>
      <c r="AF245" s="6490">
        <v>4911</v>
      </c>
      <c r="AG245" s="6490" t="s">
        <v>1008</v>
      </c>
      <c r="AH245" s="6496" t="s">
        <v>142</v>
      </c>
      <c r="AI245" s="6495" t="s">
        <v>142</v>
      </c>
      <c r="AJ245" s="6495" t="s">
        <v>221</v>
      </c>
      <c r="AK245" s="6495" t="s">
        <v>222</v>
      </c>
      <c r="AL245" s="6495"/>
      <c r="AM245" s="6496"/>
      <c r="AN245" s="6496" t="s">
        <v>1013</v>
      </c>
      <c r="AO245" s="6496" t="s">
        <v>1020</v>
      </c>
      <c r="AP245" s="6496" t="s">
        <v>1021</v>
      </c>
      <c r="AQ245" s="6496"/>
      <c r="AR245" s="6496"/>
      <c r="AS245" s="6490" t="s">
        <v>1022</v>
      </c>
      <c r="AT245" s="6490" t="s">
        <v>1023</v>
      </c>
      <c r="AU245" s="6490"/>
      <c r="AV245" s="6490"/>
      <c r="AW245" s="6494">
        <v>1884</v>
      </c>
      <c r="AX245" s="5133"/>
    </row>
    <row r="246" spans="1:54" ht="12.75" customHeight="1">
      <c r="A246" s="10963" t="str">
        <f t="shared" si="18"/>
        <v/>
      </c>
      <c r="B246" s="10946" t="str">
        <f>+IF(A246="","",VLOOKUP(MATCH(A246,tid,0),tao,'12(id)'!$J$20,FALSE))</f>
        <v/>
      </c>
      <c r="C246" s="10949" t="str">
        <f t="shared" si="19"/>
        <v/>
      </c>
      <c r="D246" s="5133"/>
      <c r="F246" s="5133"/>
      <c r="G246" s="6489">
        <f t="shared" si="17"/>
        <v>18</v>
      </c>
      <c r="H246" s="6489">
        <v>16</v>
      </c>
      <c r="I246" s="10957"/>
      <c r="J246" s="10963"/>
      <c r="K246" s="10963" t="str">
        <f>+IF(ISNA(VLOOKUP(MATCH(P246,tfn,0),tao,'12(id)'!$K$20,FALSE)),"",IF(J246="NA","",VLOOKUP(MATCH(P246,tfn,0),tao,'12(id)'!$K$20,FALSE)+J246))</f>
        <v/>
      </c>
      <c r="L246" s="10963"/>
      <c r="M246" s="10963"/>
      <c r="N246" s="10963"/>
      <c r="O246" s="10963"/>
      <c r="P246" s="6490" t="s">
        <v>329</v>
      </c>
      <c r="Q246" s="6491"/>
      <c r="R246" s="6489">
        <v>55042</v>
      </c>
      <c r="S246" s="6490" t="s">
        <v>141</v>
      </c>
      <c r="T246" s="6490"/>
      <c r="U246" s="6491">
        <v>2008</v>
      </c>
      <c r="V246" s="6491"/>
      <c r="W246" s="6489">
        <v>4634</v>
      </c>
      <c r="X246" s="6489">
        <v>12</v>
      </c>
      <c r="Y246" s="6492">
        <v>599482</v>
      </c>
      <c r="Z246" s="6492" t="s">
        <v>939</v>
      </c>
      <c r="AA246" s="6493">
        <v>0.02</v>
      </c>
      <c r="AB246" s="6494">
        <v>57.1</v>
      </c>
      <c r="AC246" s="6492">
        <v>6571263</v>
      </c>
      <c r="AD246" s="6490" t="s">
        <v>961</v>
      </c>
      <c r="AE246" s="6490"/>
      <c r="AF246" s="6490">
        <v>4911</v>
      </c>
      <c r="AG246" s="6490" t="s">
        <v>1008</v>
      </c>
      <c r="AH246" s="6496" t="s">
        <v>142</v>
      </c>
      <c r="AI246" s="6495" t="s">
        <v>142</v>
      </c>
      <c r="AJ246" s="6496" t="s">
        <v>219</v>
      </c>
      <c r="AK246" s="6496" t="s">
        <v>220</v>
      </c>
      <c r="AL246" s="6496"/>
      <c r="AM246" s="6496"/>
      <c r="AN246" s="6496" t="s">
        <v>1013</v>
      </c>
      <c r="AO246" s="6496" t="s">
        <v>1020</v>
      </c>
      <c r="AP246" s="6496" t="s">
        <v>1021</v>
      </c>
      <c r="AQ246" s="6496"/>
      <c r="AR246" s="6496"/>
      <c r="AS246" s="6490" t="s">
        <v>1022</v>
      </c>
      <c r="AT246" s="6490" t="s">
        <v>1023</v>
      </c>
      <c r="AU246" s="6490"/>
      <c r="AV246" s="6490"/>
      <c r="AW246" s="6494">
        <v>1884</v>
      </c>
      <c r="AX246" s="5133"/>
    </row>
    <row r="247" spans="1:54" ht="12.75" customHeight="1">
      <c r="A247" s="10961" t="str">
        <f t="shared" si="18"/>
        <v/>
      </c>
      <c r="B247" s="10944" t="str">
        <f>+IF(A247="","",VLOOKUP(MATCH(A247,tid,0),tao,'12(id)'!$J$20,FALSE))</f>
        <v/>
      </c>
      <c r="C247" s="10947" t="str">
        <f t="shared" si="19"/>
        <v/>
      </c>
      <c r="D247" s="5133"/>
      <c r="F247" s="5133"/>
      <c r="G247" s="6489">
        <f t="shared" si="17"/>
        <v>19</v>
      </c>
      <c r="H247" s="6489">
        <v>21</v>
      </c>
      <c r="I247" s="10955">
        <f>1+I244</f>
        <v>7</v>
      </c>
      <c r="J247" s="10961"/>
      <c r="K247" s="10961" t="str">
        <f>+IF(ISNA(VLOOKUP(MATCH(P247,tfn,0),tao,'12(id)'!$K$20,FALSE)),"",IF(J247="NA","",VLOOKUP(MATCH(P247,tfn,0),tao,'12(id)'!$K$20,FALSE)+J247))</f>
        <v/>
      </c>
      <c r="L247" s="10961"/>
      <c r="M247" s="10961"/>
      <c r="N247" s="10961"/>
      <c r="O247" s="10961"/>
      <c r="P247" s="6490" t="s">
        <v>329</v>
      </c>
      <c r="Q247" s="6491"/>
      <c r="R247" s="6489">
        <v>55042</v>
      </c>
      <c r="S247" s="6490" t="s">
        <v>143</v>
      </c>
      <c r="T247" s="6490"/>
      <c r="U247" s="6491">
        <v>2010</v>
      </c>
      <c r="V247" s="6491"/>
      <c r="W247" s="6489">
        <v>7217</v>
      </c>
      <c r="X247" s="6489">
        <v>12</v>
      </c>
      <c r="Y247" s="6492">
        <v>1089246</v>
      </c>
      <c r="Z247" s="6492" t="s">
        <v>939</v>
      </c>
      <c r="AA247" s="6493">
        <v>0.02</v>
      </c>
      <c r="AB247" s="6494">
        <v>87.8</v>
      </c>
      <c r="AC247" s="6492">
        <v>11491142</v>
      </c>
      <c r="AD247" s="6490" t="s">
        <v>961</v>
      </c>
      <c r="AE247" s="6490"/>
      <c r="AF247" s="6490">
        <v>4911</v>
      </c>
      <c r="AG247" s="6490" t="s">
        <v>1008</v>
      </c>
      <c r="AH247" s="6496" t="s">
        <v>142</v>
      </c>
      <c r="AI247" s="6495" t="s">
        <v>142</v>
      </c>
      <c r="AJ247" s="6496" t="s">
        <v>223</v>
      </c>
      <c r="AK247" s="6496" t="s">
        <v>224</v>
      </c>
      <c r="AL247" s="6496"/>
      <c r="AM247" s="6496"/>
      <c r="AN247" s="6496" t="s">
        <v>1013</v>
      </c>
      <c r="AO247" s="6496" t="s">
        <v>1020</v>
      </c>
      <c r="AP247" s="6496" t="s">
        <v>1021</v>
      </c>
      <c r="AQ247" s="6496"/>
      <c r="AR247" s="6496"/>
      <c r="AS247" s="6490" t="s">
        <v>1022</v>
      </c>
      <c r="AT247" s="6490" t="s">
        <v>1023</v>
      </c>
      <c r="AU247" s="6490"/>
      <c r="AV247" s="6490"/>
      <c r="AW247" s="6494">
        <v>1884</v>
      </c>
      <c r="AX247" s="5133"/>
    </row>
    <row r="248" spans="1:54" ht="12.75" customHeight="1">
      <c r="A248" s="10962" t="str">
        <f t="shared" si="18"/>
        <v/>
      </c>
      <c r="B248" s="10945" t="str">
        <f>+IF(A248="","",VLOOKUP(MATCH(A248,tid,0),tao,'12(id)'!$J$20,FALSE))</f>
        <v/>
      </c>
      <c r="C248" s="10948" t="str">
        <f t="shared" si="19"/>
        <v/>
      </c>
      <c r="D248" s="5133"/>
      <c r="F248" s="5133"/>
      <c r="G248" s="6489">
        <f t="shared" si="17"/>
        <v>20</v>
      </c>
      <c r="H248" s="6489">
        <v>20</v>
      </c>
      <c r="I248" s="10956"/>
      <c r="J248" s="10962"/>
      <c r="K248" s="10962" t="str">
        <f>+IF(ISNA(VLOOKUP(MATCH(P248,tfn,0),tao,'12(id)'!$K$20,FALSE)),"",IF(J248="NA","",VLOOKUP(MATCH(P248,tfn,0),tao,'12(id)'!$K$20,FALSE)+J248))</f>
        <v/>
      </c>
      <c r="L248" s="10962"/>
      <c r="M248" s="10962"/>
      <c r="N248" s="10962"/>
      <c r="O248" s="10962"/>
      <c r="P248" s="6490" t="s">
        <v>329</v>
      </c>
      <c r="Q248" s="6491"/>
      <c r="R248" s="6489">
        <v>55042</v>
      </c>
      <c r="S248" s="6490" t="s">
        <v>143</v>
      </c>
      <c r="T248" s="6490"/>
      <c r="U248" s="6491">
        <v>2009</v>
      </c>
      <c r="V248" s="6491"/>
      <c r="W248" s="6489">
        <v>6159</v>
      </c>
      <c r="X248" s="6489">
        <v>12</v>
      </c>
      <c r="Y248" s="6492">
        <v>863661</v>
      </c>
      <c r="Z248" s="6492" t="s">
        <v>939</v>
      </c>
      <c r="AA248" s="6493">
        <v>0.02</v>
      </c>
      <c r="AB248" s="6494">
        <v>74.599999999999994</v>
      </c>
      <c r="AC248" s="6492">
        <v>9218833</v>
      </c>
      <c r="AD248" s="6490" t="s">
        <v>961</v>
      </c>
      <c r="AE248" s="6490"/>
      <c r="AF248" s="6490">
        <v>4911</v>
      </c>
      <c r="AG248" s="6490" t="s">
        <v>1008</v>
      </c>
      <c r="AH248" s="6496" t="s">
        <v>142</v>
      </c>
      <c r="AI248" s="6495" t="s">
        <v>142</v>
      </c>
      <c r="AJ248" s="6495" t="s">
        <v>221</v>
      </c>
      <c r="AK248" s="6495" t="s">
        <v>222</v>
      </c>
      <c r="AL248" s="6495"/>
      <c r="AM248" s="6496"/>
      <c r="AN248" s="6496" t="s">
        <v>1013</v>
      </c>
      <c r="AO248" s="6496" t="s">
        <v>1020</v>
      </c>
      <c r="AP248" s="6496" t="s">
        <v>1021</v>
      </c>
      <c r="AQ248" s="6496"/>
      <c r="AR248" s="6496"/>
      <c r="AS248" s="6490" t="s">
        <v>1022</v>
      </c>
      <c r="AT248" s="6490" t="s">
        <v>1023</v>
      </c>
      <c r="AU248" s="6490"/>
      <c r="AV248" s="6490"/>
      <c r="AW248" s="6494">
        <v>1884</v>
      </c>
      <c r="AX248" s="5133"/>
    </row>
    <row r="249" spans="1:54" ht="12.75" customHeight="1">
      <c r="A249" s="10963" t="str">
        <f t="shared" si="18"/>
        <v/>
      </c>
      <c r="B249" s="10946" t="str">
        <f>+IF(A249="","",VLOOKUP(MATCH(A249,tid,0),tao,'12(id)'!$J$20,FALSE))</f>
        <v/>
      </c>
      <c r="C249" s="10949" t="str">
        <f t="shared" si="19"/>
        <v/>
      </c>
      <c r="D249" s="5133"/>
      <c r="F249" s="5133"/>
      <c r="G249" s="6489">
        <f t="shared" si="17"/>
        <v>21</v>
      </c>
      <c r="H249" s="6489">
        <v>19</v>
      </c>
      <c r="I249" s="10957"/>
      <c r="J249" s="10963"/>
      <c r="K249" s="10963" t="str">
        <f>+IF(ISNA(VLOOKUP(MATCH(P249,tfn,0),tao,'12(id)'!$K$20,FALSE)),"",IF(J249="NA","",VLOOKUP(MATCH(P249,tfn,0),tao,'12(id)'!$K$20,FALSE)+J249))</f>
        <v/>
      </c>
      <c r="L249" s="10963"/>
      <c r="M249" s="10963"/>
      <c r="N249" s="10963"/>
      <c r="O249" s="10963"/>
      <c r="P249" s="6490" t="s">
        <v>329</v>
      </c>
      <c r="Q249" s="6491"/>
      <c r="R249" s="6489">
        <v>55042</v>
      </c>
      <c r="S249" s="6490" t="s">
        <v>143</v>
      </c>
      <c r="T249" s="6490"/>
      <c r="U249" s="6491">
        <v>2008</v>
      </c>
      <c r="V249" s="6491"/>
      <c r="W249" s="6489">
        <v>5372</v>
      </c>
      <c r="X249" s="6489">
        <v>12</v>
      </c>
      <c r="Y249" s="6492">
        <v>707813</v>
      </c>
      <c r="Z249" s="6492" t="s">
        <v>939</v>
      </c>
      <c r="AA249" s="6493">
        <v>0.02</v>
      </c>
      <c r="AB249" s="6494">
        <v>69.400000000000006</v>
      </c>
      <c r="AC249" s="6492">
        <v>7732619</v>
      </c>
      <c r="AD249" s="6490" t="s">
        <v>961</v>
      </c>
      <c r="AE249" s="6490"/>
      <c r="AF249" s="6490">
        <v>4911</v>
      </c>
      <c r="AG249" s="6490" t="s">
        <v>1008</v>
      </c>
      <c r="AH249" s="6496" t="s">
        <v>142</v>
      </c>
      <c r="AI249" s="6495" t="s">
        <v>142</v>
      </c>
      <c r="AJ249" s="6496" t="s">
        <v>219</v>
      </c>
      <c r="AK249" s="6496" t="s">
        <v>220</v>
      </c>
      <c r="AL249" s="6496"/>
      <c r="AM249" s="6496"/>
      <c r="AN249" s="6496" t="s">
        <v>1013</v>
      </c>
      <c r="AO249" s="6496" t="s">
        <v>1020</v>
      </c>
      <c r="AP249" s="6496" t="s">
        <v>1021</v>
      </c>
      <c r="AQ249" s="6496"/>
      <c r="AR249" s="6496"/>
      <c r="AS249" s="6490" t="s">
        <v>1022</v>
      </c>
      <c r="AT249" s="6490" t="s">
        <v>1023</v>
      </c>
      <c r="AU249" s="6490"/>
      <c r="AV249" s="6490"/>
      <c r="AW249" s="6494">
        <v>1884</v>
      </c>
      <c r="AX249" s="5133"/>
    </row>
    <row r="250" spans="1:54" ht="12.75" customHeight="1">
      <c r="A250" s="6491" t="str">
        <f t="shared" si="18"/>
        <v/>
      </c>
      <c r="B250" s="6490" t="str">
        <f>+IF(A250="","",VLOOKUP(MATCH(A250,tid,0),tao,'12(id)'!$J$20,FALSE))</f>
        <v/>
      </c>
      <c r="C250" s="6517" t="str">
        <f t="shared" si="19"/>
        <v/>
      </c>
      <c r="D250" s="5133"/>
      <c r="F250" s="5133"/>
      <c r="G250" s="6489">
        <f t="shared" si="17"/>
        <v>22</v>
      </c>
      <c r="H250" s="6489">
        <v>22</v>
      </c>
      <c r="I250" s="6498">
        <f>1+I247</f>
        <v>8</v>
      </c>
      <c r="J250" s="6447" t="s">
        <v>1193</v>
      </c>
      <c r="K250" s="6491" t="str">
        <f>+IF(ISNA(VLOOKUP(MATCH(P250,tfn,0),tao,'12(id)'!$K$20,FALSE)),"",IF(J250="NA","",VLOOKUP(MATCH(P250,tfn,0),tao,'12(id)'!$K$20,FALSE)+J250))</f>
        <v/>
      </c>
      <c r="L250" s="6491"/>
      <c r="M250" s="6491"/>
      <c r="N250" s="6491"/>
      <c r="O250" s="6491"/>
      <c r="P250" s="6490" t="s">
        <v>330</v>
      </c>
      <c r="Q250" s="6491"/>
      <c r="R250" s="6489">
        <v>568</v>
      </c>
      <c r="S250" s="6490" t="s">
        <v>144</v>
      </c>
      <c r="T250" s="6490"/>
      <c r="U250" s="6491">
        <v>2008</v>
      </c>
      <c r="V250" s="6491"/>
      <c r="W250" s="6489">
        <v>0</v>
      </c>
      <c r="X250" s="6489">
        <v>9</v>
      </c>
      <c r="Y250" s="6492" t="s">
        <v>939</v>
      </c>
      <c r="Z250" s="6492" t="s">
        <v>939</v>
      </c>
      <c r="AA250" s="6493" t="s">
        <v>939</v>
      </c>
      <c r="AB250" s="6494" t="s">
        <v>939</v>
      </c>
      <c r="AC250" s="6492" t="s">
        <v>939</v>
      </c>
      <c r="AD250" s="6490" t="s">
        <v>961</v>
      </c>
      <c r="AE250" s="6490"/>
      <c r="AF250" s="6490">
        <v>4911</v>
      </c>
      <c r="AG250" s="6490" t="s">
        <v>1008</v>
      </c>
      <c r="AH250" s="6495" t="s">
        <v>145</v>
      </c>
      <c r="AI250" s="6495" t="s">
        <v>145</v>
      </c>
      <c r="AJ250" s="6495" t="s">
        <v>226</v>
      </c>
      <c r="AK250" s="6496" t="s">
        <v>1033</v>
      </c>
      <c r="AL250" s="6496"/>
      <c r="AM250" s="6496"/>
      <c r="AN250" s="6496" t="s">
        <v>1013</v>
      </c>
      <c r="AO250" s="6496" t="s">
        <v>146</v>
      </c>
      <c r="AP250" s="6496" t="s">
        <v>1015</v>
      </c>
      <c r="AQ250" s="6496" t="s">
        <v>962</v>
      </c>
      <c r="AR250" s="6496"/>
      <c r="AS250" s="6490"/>
      <c r="AT250" s="6490"/>
      <c r="AU250" s="6490"/>
      <c r="AV250" s="6490" t="s">
        <v>122</v>
      </c>
      <c r="AW250" s="6494">
        <v>865</v>
      </c>
      <c r="AX250" s="5133"/>
    </row>
    <row r="251" spans="1:54" s="6369" customFormat="1" ht="12.75" customHeight="1">
      <c r="A251" s="10964" t="str">
        <f t="shared" si="18"/>
        <v>8305-02</v>
      </c>
      <c r="B251" s="10950" t="str">
        <f>+IF(A251="","",VLOOKUP(MATCH(A251,tid,0),tao,'12(id)'!$J$20,FALSE))</f>
        <v>PSEG</v>
      </c>
      <c r="C251" s="10941" t="str">
        <f t="shared" si="19"/>
        <v>BHB2</v>
      </c>
      <c r="E251" s="5132"/>
      <c r="G251" s="6548">
        <f t="shared" si="17"/>
        <v>23</v>
      </c>
      <c r="H251" s="6548">
        <v>25</v>
      </c>
      <c r="I251" s="10958">
        <f>1+I250</f>
        <v>9</v>
      </c>
      <c r="J251" s="10964">
        <v>4</v>
      </c>
      <c r="K251" s="10964">
        <f>+IF(ISNA(VLOOKUP(MATCH(P251,tfn,0),tao,'12(id)'!$K$20,FALSE)),"",IF(J251="NA","",VLOOKUP(MATCH(P251,tfn,0),tao,'12(id)'!$K$20,FALSE)+J251))</f>
        <v>8305</v>
      </c>
      <c r="L251" s="10964">
        <v>2</v>
      </c>
      <c r="M251" s="10964" t="str">
        <f t="shared" ref="M251:M262" si="20">+IF(K251="","",K251&amp;IF(L251&lt;10,"-0"&amp;L251,"-"&amp;L251))</f>
        <v>8305-02</v>
      </c>
      <c r="N251" s="10964" t="str">
        <f>+IF(M251="","",VLOOKUP(MATCH(M251,tid,0),tao,'12(id)'!$Q$20,FALSE))</f>
        <v>BHB2</v>
      </c>
      <c r="O251" s="10964"/>
      <c r="P251" s="6549" t="s">
        <v>330</v>
      </c>
      <c r="Q251" s="6550" t="s">
        <v>421</v>
      </c>
      <c r="R251" s="6548">
        <v>568</v>
      </c>
      <c r="S251" s="6549" t="s">
        <v>147</v>
      </c>
      <c r="T251" s="6549"/>
      <c r="U251" s="6550">
        <v>2010</v>
      </c>
      <c r="V251" s="6550"/>
      <c r="W251" s="6548">
        <v>157</v>
      </c>
      <c r="X251" s="6548">
        <v>12</v>
      </c>
      <c r="Y251" s="6551">
        <v>8430</v>
      </c>
      <c r="Z251" s="6551" t="s">
        <v>939</v>
      </c>
      <c r="AA251" s="6552">
        <v>0.23</v>
      </c>
      <c r="AB251" s="6553">
        <v>14.8</v>
      </c>
      <c r="AC251" s="6551">
        <v>105337</v>
      </c>
      <c r="AD251" s="6549" t="s">
        <v>961</v>
      </c>
      <c r="AE251" s="6549"/>
      <c r="AF251" s="6549">
        <v>4911</v>
      </c>
      <c r="AG251" s="6549" t="s">
        <v>1008</v>
      </c>
      <c r="AH251" s="6554" t="s">
        <v>149</v>
      </c>
      <c r="AI251" s="6554" t="s">
        <v>149</v>
      </c>
      <c r="AJ251" s="6554" t="s">
        <v>1036</v>
      </c>
      <c r="AK251" s="6554" t="s">
        <v>1033</v>
      </c>
      <c r="AL251" s="6554"/>
      <c r="AM251" s="6555"/>
      <c r="AN251" s="6554" t="s">
        <v>1013</v>
      </c>
      <c r="AO251" s="6554" t="s">
        <v>146</v>
      </c>
      <c r="AP251" s="6554" t="s">
        <v>1015</v>
      </c>
      <c r="AQ251" s="6554" t="s">
        <v>962</v>
      </c>
      <c r="AR251" s="6555"/>
      <c r="AS251" s="6549"/>
      <c r="AT251" s="6549"/>
      <c r="AU251" s="6549"/>
      <c r="AV251" s="6549" t="s">
        <v>122</v>
      </c>
      <c r="AW251" s="6553">
        <v>1785</v>
      </c>
      <c r="AX251" s="5133"/>
      <c r="AY251" s="5132"/>
      <c r="AZ251" s="5132"/>
      <c r="BA251" s="5132"/>
      <c r="BB251" s="5132"/>
    </row>
    <row r="252" spans="1:54" s="6369" customFormat="1" ht="12.75" customHeight="1">
      <c r="A252" s="10965" t="str">
        <f t="shared" si="18"/>
        <v>8305-02</v>
      </c>
      <c r="B252" s="10951" t="str">
        <f>+IF(A252="","",VLOOKUP(MATCH(A252,tid,0),tao,'12(id)'!$J$20,FALSE))</f>
        <v>PSEG</v>
      </c>
      <c r="C252" s="10942" t="str">
        <f t="shared" si="19"/>
        <v>BHB2</v>
      </c>
      <c r="E252" s="5132"/>
      <c r="G252" s="6548">
        <f t="shared" si="17"/>
        <v>24</v>
      </c>
      <c r="H252" s="6548">
        <v>24</v>
      </c>
      <c r="I252" s="10959"/>
      <c r="J252" s="10965">
        <f>+J251</f>
        <v>4</v>
      </c>
      <c r="K252" s="10965">
        <f>+IF(ISNA(VLOOKUP(MATCH(P252,tfn,0),tao,'12(id)'!$K$20,FALSE)),"",IF(J252="NA","",VLOOKUP(MATCH(P252,tfn,0),tao,'12(id)'!$K$20,FALSE)+J252))</f>
        <v>8305</v>
      </c>
      <c r="L252" s="10965">
        <f>+L251</f>
        <v>2</v>
      </c>
      <c r="M252" s="10965" t="str">
        <f t="shared" si="20"/>
        <v>8305-02</v>
      </c>
      <c r="N252" s="10965" t="str">
        <f>+IF(M252="","",VLOOKUP(MATCH(M252,tid,0),tao,'12(id)'!$Q$20,FALSE))</f>
        <v>BHB2</v>
      </c>
      <c r="O252" s="10965"/>
      <c r="P252" s="6549" t="s">
        <v>330</v>
      </c>
      <c r="Q252" s="6550" t="s">
        <v>421</v>
      </c>
      <c r="R252" s="6548">
        <v>568</v>
      </c>
      <c r="S252" s="6549" t="s">
        <v>147</v>
      </c>
      <c r="T252" s="6549"/>
      <c r="U252" s="6550">
        <v>2009</v>
      </c>
      <c r="V252" s="6550"/>
      <c r="W252" s="6548">
        <v>161</v>
      </c>
      <c r="X252" s="6548">
        <v>12</v>
      </c>
      <c r="Y252" s="6551">
        <v>4917</v>
      </c>
      <c r="Z252" s="6551" t="s">
        <v>939</v>
      </c>
      <c r="AA252" s="6552">
        <v>0.14000000000000001</v>
      </c>
      <c r="AB252" s="6553">
        <v>8.6</v>
      </c>
      <c r="AC252" s="6551">
        <v>66280</v>
      </c>
      <c r="AD252" s="6549" t="s">
        <v>961</v>
      </c>
      <c r="AE252" s="6549"/>
      <c r="AF252" s="6549">
        <v>4911</v>
      </c>
      <c r="AG252" s="6549" t="s">
        <v>1008</v>
      </c>
      <c r="AH252" s="6554" t="s">
        <v>148</v>
      </c>
      <c r="AI252" s="6554" t="s">
        <v>148</v>
      </c>
      <c r="AJ252" s="6554" t="s">
        <v>227</v>
      </c>
      <c r="AK252" s="6555" t="s">
        <v>1033</v>
      </c>
      <c r="AL252" s="6555"/>
      <c r="AM252" s="6555"/>
      <c r="AN252" s="6555" t="s">
        <v>1013</v>
      </c>
      <c r="AO252" s="6555" t="s">
        <v>146</v>
      </c>
      <c r="AP252" s="6555" t="s">
        <v>1015</v>
      </c>
      <c r="AQ252" s="6555" t="s">
        <v>962</v>
      </c>
      <c r="AR252" s="6555"/>
      <c r="AS252" s="6549"/>
      <c r="AT252" s="6549"/>
      <c r="AU252" s="6549"/>
      <c r="AV252" s="6549" t="s">
        <v>122</v>
      </c>
      <c r="AW252" s="6553">
        <v>1785</v>
      </c>
      <c r="AX252" s="5133"/>
      <c r="AY252" s="5132"/>
      <c r="AZ252" s="5132"/>
      <c r="BA252" s="5132"/>
      <c r="BB252" s="5132"/>
    </row>
    <row r="253" spans="1:54" s="6369" customFormat="1" ht="12.75" customHeight="1">
      <c r="A253" s="10966" t="str">
        <f t="shared" si="18"/>
        <v>8305-02</v>
      </c>
      <c r="B253" s="10952" t="str">
        <f>+IF(A253="","",VLOOKUP(MATCH(A253,tid,0),tao,'12(id)'!$J$20,FALSE))</f>
        <v>PSEG</v>
      </c>
      <c r="C253" s="10943" t="str">
        <f t="shared" si="19"/>
        <v>BHB2</v>
      </c>
      <c r="E253" s="5132"/>
      <c r="G253" s="6548">
        <f t="shared" si="17"/>
        <v>25</v>
      </c>
      <c r="H253" s="6548">
        <v>23</v>
      </c>
      <c r="I253" s="10960"/>
      <c r="J253" s="10966">
        <f>+J252</f>
        <v>4</v>
      </c>
      <c r="K253" s="10966">
        <f>+IF(ISNA(VLOOKUP(MATCH(P253,tfn,0),tao,'12(id)'!$K$20,FALSE)),"",IF(J253="NA","",VLOOKUP(MATCH(P253,tfn,0),tao,'12(id)'!$K$20,FALSE)+J253))</f>
        <v>8305</v>
      </c>
      <c r="L253" s="10966">
        <f>+L252</f>
        <v>2</v>
      </c>
      <c r="M253" s="10966" t="str">
        <f t="shared" si="20"/>
        <v>8305-02</v>
      </c>
      <c r="N253" s="10966" t="str">
        <f>+IF(M253="","",VLOOKUP(MATCH(M253,tid,0),tao,'12(id)'!$Q$20,FALSE))</f>
        <v>BHB2</v>
      </c>
      <c r="O253" s="10966"/>
      <c r="P253" s="6549" t="s">
        <v>330</v>
      </c>
      <c r="Q253" s="6550" t="s">
        <v>421</v>
      </c>
      <c r="R253" s="6548">
        <v>568</v>
      </c>
      <c r="S253" s="6549" t="s">
        <v>147</v>
      </c>
      <c r="T253" s="6549"/>
      <c r="U253" s="6550">
        <v>2008</v>
      </c>
      <c r="V253" s="6550"/>
      <c r="W253" s="6548">
        <v>271</v>
      </c>
      <c r="X253" s="6548">
        <v>12</v>
      </c>
      <c r="Y253" s="6551">
        <v>8250</v>
      </c>
      <c r="Z253" s="6551" t="s">
        <v>939</v>
      </c>
      <c r="AA253" s="6552">
        <v>0.21</v>
      </c>
      <c r="AB253" s="6553">
        <v>15.1</v>
      </c>
      <c r="AC253" s="6551">
        <v>106629</v>
      </c>
      <c r="AD253" s="6549" t="s">
        <v>961</v>
      </c>
      <c r="AE253" s="6549"/>
      <c r="AF253" s="6549">
        <v>4911</v>
      </c>
      <c r="AG253" s="6549" t="s">
        <v>1008</v>
      </c>
      <c r="AH253" s="6554" t="s">
        <v>145</v>
      </c>
      <c r="AI253" s="6554" t="s">
        <v>145</v>
      </c>
      <c r="AJ253" s="6554" t="s">
        <v>226</v>
      </c>
      <c r="AK253" s="6555" t="s">
        <v>1033</v>
      </c>
      <c r="AL253" s="6555"/>
      <c r="AM253" s="6555"/>
      <c r="AN253" s="6555" t="s">
        <v>1013</v>
      </c>
      <c r="AO253" s="6555" t="s">
        <v>146</v>
      </c>
      <c r="AP253" s="6555" t="s">
        <v>1015</v>
      </c>
      <c r="AQ253" s="6555" t="s">
        <v>962</v>
      </c>
      <c r="AR253" s="6555"/>
      <c r="AS253" s="6549"/>
      <c r="AT253" s="6549"/>
      <c r="AU253" s="6549"/>
      <c r="AV253" s="6549" t="s">
        <v>122</v>
      </c>
      <c r="AW253" s="6553">
        <v>1785</v>
      </c>
      <c r="AX253" s="5133"/>
      <c r="AY253" s="5132"/>
      <c r="AZ253" s="5132"/>
      <c r="BA253" s="5132"/>
      <c r="BB253" s="5132"/>
    </row>
    <row r="254" spans="1:54" s="6369" customFormat="1" ht="12.75" customHeight="1">
      <c r="A254" s="10964" t="str">
        <f t="shared" si="18"/>
        <v>8305-03</v>
      </c>
      <c r="B254" s="10950" t="str">
        <f>+IF(A254="","",VLOOKUP(MATCH(A254,tid,0),tao,'12(id)'!$J$20,FALSE))</f>
        <v>PSEG</v>
      </c>
      <c r="C254" s="10941" t="str">
        <f t="shared" si="19"/>
        <v>BHB3</v>
      </c>
      <c r="E254" s="5132"/>
      <c r="G254" s="6548">
        <f t="shared" si="17"/>
        <v>26</v>
      </c>
      <c r="H254" s="6548">
        <v>28</v>
      </c>
      <c r="I254" s="10958">
        <f>1+I251</f>
        <v>10</v>
      </c>
      <c r="J254" s="10964">
        <f>+J253</f>
        <v>4</v>
      </c>
      <c r="K254" s="10964">
        <f>+IF(ISNA(VLOOKUP(MATCH(P254,tfn,0),tao,'12(id)'!$K$20,FALSE)),"",IF(J254="NA","",VLOOKUP(MATCH(P254,tfn,0),tao,'12(id)'!$K$20,FALSE)+J254))</f>
        <v>8305</v>
      </c>
      <c r="L254" s="10964">
        <v>3</v>
      </c>
      <c r="M254" s="10964" t="str">
        <f t="shared" si="20"/>
        <v>8305-03</v>
      </c>
      <c r="N254" s="10964" t="str">
        <f>+IF(M254="","",VLOOKUP(MATCH(M254,tid,0),tao,'12(id)'!$Q$20,FALSE))</f>
        <v>BHB3</v>
      </c>
      <c r="O254" s="10964"/>
      <c r="P254" s="6549" t="s">
        <v>330</v>
      </c>
      <c r="Q254" s="6550" t="s">
        <v>421</v>
      </c>
      <c r="R254" s="6548">
        <v>568</v>
      </c>
      <c r="S254" s="6549" t="s">
        <v>150</v>
      </c>
      <c r="T254" s="6549"/>
      <c r="U254" s="6550">
        <v>2010</v>
      </c>
      <c r="V254" s="6550"/>
      <c r="W254" s="6548">
        <v>4583</v>
      </c>
      <c r="X254" s="6548">
        <v>12</v>
      </c>
      <c r="Y254" s="6551">
        <v>1302618</v>
      </c>
      <c r="Z254" s="6551" t="s">
        <v>939</v>
      </c>
      <c r="AA254" s="6552">
        <v>0.14000000000000001</v>
      </c>
      <c r="AB254" s="6553">
        <v>934.1</v>
      </c>
      <c r="AC254" s="6551">
        <v>13168116</v>
      </c>
      <c r="AD254" s="6549" t="s">
        <v>961</v>
      </c>
      <c r="AE254" s="6549"/>
      <c r="AF254" s="6549">
        <v>4911</v>
      </c>
      <c r="AG254" s="6549" t="s">
        <v>1008</v>
      </c>
      <c r="AH254" s="6554" t="s">
        <v>149</v>
      </c>
      <c r="AI254" s="6554" t="s">
        <v>149</v>
      </c>
      <c r="AJ254" s="6554" t="s">
        <v>1036</v>
      </c>
      <c r="AK254" s="6554" t="s">
        <v>1033</v>
      </c>
      <c r="AL254" s="6554"/>
      <c r="AM254" s="6554" t="s">
        <v>151</v>
      </c>
      <c r="AN254" s="6554" t="s">
        <v>1013</v>
      </c>
      <c r="AO254" s="6554" t="s">
        <v>1014</v>
      </c>
      <c r="AP254" s="6554" t="s">
        <v>129</v>
      </c>
      <c r="AQ254" s="6554" t="s">
        <v>152</v>
      </c>
      <c r="AR254" s="6555"/>
      <c r="AS254" s="6549" t="s">
        <v>153</v>
      </c>
      <c r="AT254" s="6549"/>
      <c r="AU254" s="6549"/>
      <c r="AV254" s="6549" t="s">
        <v>122</v>
      </c>
      <c r="AW254" s="6553">
        <v>4100</v>
      </c>
      <c r="AX254" s="5133"/>
      <c r="AY254" s="5132"/>
      <c r="AZ254" s="5132"/>
      <c r="BA254" s="5132"/>
      <c r="BB254" s="5132"/>
    </row>
    <row r="255" spans="1:54" s="6369" customFormat="1" ht="12.75" customHeight="1">
      <c r="A255" s="10965" t="str">
        <f t="shared" si="18"/>
        <v>8305-03</v>
      </c>
      <c r="B255" s="10951" t="str">
        <f>+IF(A255="","",VLOOKUP(MATCH(A255,tid,0),tao,'12(id)'!$J$20,FALSE))</f>
        <v>PSEG</v>
      </c>
      <c r="C255" s="10942" t="str">
        <f t="shared" si="19"/>
        <v>BHB3</v>
      </c>
      <c r="E255" s="5132"/>
      <c r="G255" s="6548">
        <f t="shared" si="17"/>
        <v>27</v>
      </c>
      <c r="H255" s="6548">
        <v>27</v>
      </c>
      <c r="I255" s="10959"/>
      <c r="J255" s="10965">
        <f>+J254</f>
        <v>4</v>
      </c>
      <c r="K255" s="10965">
        <f>+IF(ISNA(VLOOKUP(MATCH(P255,tfn,0),tao,'12(id)'!$K$20,FALSE)),"",IF(J255="NA","",VLOOKUP(MATCH(P255,tfn,0),tao,'12(id)'!$K$20,FALSE)+J255))</f>
        <v>8305</v>
      </c>
      <c r="L255" s="10965">
        <f>+L254</f>
        <v>3</v>
      </c>
      <c r="M255" s="10965" t="str">
        <f t="shared" si="20"/>
        <v>8305-03</v>
      </c>
      <c r="N255" s="10965" t="str">
        <f>+IF(M255="","",VLOOKUP(MATCH(M255,tid,0),tao,'12(id)'!$Q$20,FALSE))</f>
        <v>BHB3</v>
      </c>
      <c r="O255" s="10965"/>
      <c r="P255" s="6549" t="s">
        <v>330</v>
      </c>
      <c r="Q255" s="6550" t="s">
        <v>421</v>
      </c>
      <c r="R255" s="6548">
        <v>568</v>
      </c>
      <c r="S255" s="6549" t="s">
        <v>150</v>
      </c>
      <c r="T255" s="6549"/>
      <c r="U255" s="6550">
        <v>2009</v>
      </c>
      <c r="V255" s="6550"/>
      <c r="W255" s="6548">
        <v>3767</v>
      </c>
      <c r="X255" s="6548">
        <v>12</v>
      </c>
      <c r="Y255" s="6551">
        <v>1070682</v>
      </c>
      <c r="Z255" s="6551" t="s">
        <v>939</v>
      </c>
      <c r="AA255" s="6552">
        <v>0.15</v>
      </c>
      <c r="AB255" s="6553">
        <v>838.2</v>
      </c>
      <c r="AC255" s="6551">
        <v>11147747</v>
      </c>
      <c r="AD255" s="6549" t="s">
        <v>961</v>
      </c>
      <c r="AE255" s="6549"/>
      <c r="AF255" s="6549">
        <v>4911</v>
      </c>
      <c r="AG255" s="6549" t="s">
        <v>1008</v>
      </c>
      <c r="AH255" s="6554" t="s">
        <v>148</v>
      </c>
      <c r="AI255" s="6554" t="s">
        <v>148</v>
      </c>
      <c r="AJ255" s="6554" t="s">
        <v>227</v>
      </c>
      <c r="AK255" s="6555" t="s">
        <v>1033</v>
      </c>
      <c r="AL255" s="6555"/>
      <c r="AM255" s="6555" t="s">
        <v>151</v>
      </c>
      <c r="AN255" s="6555" t="s">
        <v>1013</v>
      </c>
      <c r="AO255" s="6555" t="s">
        <v>1014</v>
      </c>
      <c r="AP255" s="6555" t="s">
        <v>129</v>
      </c>
      <c r="AQ255" s="6555" t="s">
        <v>152</v>
      </c>
      <c r="AR255" s="6555"/>
      <c r="AS255" s="6549" t="s">
        <v>153</v>
      </c>
      <c r="AT255" s="6549"/>
      <c r="AU255" s="6549"/>
      <c r="AV255" s="6549" t="s">
        <v>122</v>
      </c>
      <c r="AW255" s="6553">
        <v>4100</v>
      </c>
      <c r="AX255" s="5133"/>
      <c r="AY255" s="5132"/>
      <c r="AZ255" s="5132"/>
      <c r="BA255" s="5132"/>
      <c r="BB255" s="5132"/>
    </row>
    <row r="256" spans="1:54" s="6369" customFormat="1" ht="12.75" customHeight="1">
      <c r="A256" s="10966" t="str">
        <f t="shared" si="18"/>
        <v>8305-03</v>
      </c>
      <c r="B256" s="10952" t="str">
        <f>+IF(A256="","",VLOOKUP(MATCH(A256,tid,0),tao,'12(id)'!$J$20,FALSE))</f>
        <v>PSEG</v>
      </c>
      <c r="C256" s="10943" t="str">
        <f t="shared" si="19"/>
        <v>BHB3</v>
      </c>
      <c r="E256" s="5132"/>
      <c r="G256" s="6548">
        <f t="shared" si="17"/>
        <v>28</v>
      </c>
      <c r="H256" s="6548">
        <v>26</v>
      </c>
      <c r="I256" s="10960"/>
      <c r="J256" s="10966">
        <f>+J255</f>
        <v>4</v>
      </c>
      <c r="K256" s="10966">
        <f>+IF(ISNA(VLOOKUP(MATCH(P256,tfn,0),tao,'12(id)'!$K$20,FALSE)),"",IF(J256="NA","",VLOOKUP(MATCH(P256,tfn,0),tao,'12(id)'!$K$20,FALSE)+J256))</f>
        <v>8305</v>
      </c>
      <c r="L256" s="10966">
        <f>+L255</f>
        <v>3</v>
      </c>
      <c r="M256" s="10966" t="str">
        <f t="shared" si="20"/>
        <v>8305-03</v>
      </c>
      <c r="N256" s="10966" t="str">
        <f>+IF(M256="","",VLOOKUP(MATCH(M256,tid,0),tao,'12(id)'!$Q$20,FALSE))</f>
        <v>BHB3</v>
      </c>
      <c r="O256" s="10966"/>
      <c r="P256" s="6549" t="s">
        <v>330</v>
      </c>
      <c r="Q256" s="6550" t="s">
        <v>421</v>
      </c>
      <c r="R256" s="6548">
        <v>568</v>
      </c>
      <c r="S256" s="6549" t="s">
        <v>150</v>
      </c>
      <c r="T256" s="6549"/>
      <c r="U256" s="6550">
        <v>2008</v>
      </c>
      <c r="V256" s="6550"/>
      <c r="W256" s="6548">
        <v>8303</v>
      </c>
      <c r="X256" s="6548">
        <v>12</v>
      </c>
      <c r="Y256" s="6551">
        <v>3010354</v>
      </c>
      <c r="Z256" s="6551" t="s">
        <v>939</v>
      </c>
      <c r="AA256" s="6552">
        <v>0.14000000000000001</v>
      </c>
      <c r="AB256" s="6553">
        <v>2112.1999999999998</v>
      </c>
      <c r="AC256" s="6551">
        <v>30494774</v>
      </c>
      <c r="AD256" s="6549" t="s">
        <v>961</v>
      </c>
      <c r="AE256" s="6549"/>
      <c r="AF256" s="6549">
        <v>4911</v>
      </c>
      <c r="AG256" s="6549" t="s">
        <v>1008</v>
      </c>
      <c r="AH256" s="6554" t="s">
        <v>145</v>
      </c>
      <c r="AI256" s="6554" t="s">
        <v>145</v>
      </c>
      <c r="AJ256" s="6554" t="s">
        <v>225</v>
      </c>
      <c r="AK256" s="6555" t="s">
        <v>1033</v>
      </c>
      <c r="AL256" s="6555"/>
      <c r="AM256" s="6555" t="s">
        <v>151</v>
      </c>
      <c r="AN256" s="6555" t="s">
        <v>1013</v>
      </c>
      <c r="AO256" s="6555" t="s">
        <v>1014</v>
      </c>
      <c r="AP256" s="6555" t="s">
        <v>129</v>
      </c>
      <c r="AQ256" s="6555" t="s">
        <v>152</v>
      </c>
      <c r="AR256" s="6555"/>
      <c r="AS256" s="6549" t="s">
        <v>153</v>
      </c>
      <c r="AT256" s="6549"/>
      <c r="AU256" s="6549"/>
      <c r="AV256" s="6549" t="s">
        <v>122</v>
      </c>
      <c r="AW256" s="6553">
        <v>4100</v>
      </c>
      <c r="AX256" s="5133"/>
      <c r="AY256" s="5132"/>
      <c r="AZ256" s="5132"/>
      <c r="BA256" s="5132"/>
      <c r="BB256" s="5132"/>
    </row>
    <row r="257" spans="1:54" s="6369" customFormat="1" ht="12.75" customHeight="1">
      <c r="A257" s="10964" t="str">
        <f t="shared" si="18"/>
        <v>8301-01</v>
      </c>
      <c r="B257" s="10950" t="str">
        <f>+IF(A257="","",VLOOKUP(MATCH(A257,tid,0),tao,'12(id)'!$J$20,FALSE))</f>
        <v>PSEG</v>
      </c>
      <c r="C257" s="10941" t="str">
        <f t="shared" si="19"/>
        <v>BHB4 </v>
      </c>
      <c r="E257" s="5132"/>
      <c r="G257" s="6548">
        <f t="shared" si="17"/>
        <v>29</v>
      </c>
      <c r="H257" s="6548">
        <v>31</v>
      </c>
      <c r="I257" s="10958">
        <f>1+I254</f>
        <v>11</v>
      </c>
      <c r="J257" s="10968"/>
      <c r="K257" s="10964">
        <f>+IF(ISNA(VLOOKUP(MATCH(P257,tfn,0),tao,'12(id)'!$K$20,FALSE)),"",IF(J257="NA","",VLOOKUP(MATCH(P257,tfn,0),tao,'12(id)'!$K$20,FALSE)+J257))</f>
        <v>8301</v>
      </c>
      <c r="L257" s="10964">
        <v>1</v>
      </c>
      <c r="M257" s="10964" t="str">
        <f t="shared" si="20"/>
        <v>8301-01</v>
      </c>
      <c r="N257" s="10964" t="str">
        <f>+IF(M257="","",VLOOKUP(MATCH(M257,tid,0),tao,'12(id)'!$Q$20,FALSE))</f>
        <v>BHB4 </v>
      </c>
      <c r="O257" s="10964"/>
      <c r="P257" s="6549" t="s">
        <v>330</v>
      </c>
      <c r="Q257" s="6550" t="s">
        <v>421</v>
      </c>
      <c r="R257" s="6548">
        <v>568</v>
      </c>
      <c r="S257" s="6549" t="s">
        <v>154</v>
      </c>
      <c r="T257" s="6549"/>
      <c r="U257" s="6550">
        <v>2010</v>
      </c>
      <c r="V257" s="6550"/>
      <c r="W257" s="6548">
        <v>11</v>
      </c>
      <c r="X257" s="6548">
        <v>6</v>
      </c>
      <c r="Y257" s="6551">
        <v>114</v>
      </c>
      <c r="Z257" s="6551" t="s">
        <v>939</v>
      </c>
      <c r="AA257" s="6552">
        <v>0.71</v>
      </c>
      <c r="AB257" s="6553">
        <v>0.7</v>
      </c>
      <c r="AC257" s="6551">
        <v>2026</v>
      </c>
      <c r="AD257" s="6549" t="s">
        <v>961</v>
      </c>
      <c r="AE257" s="6549"/>
      <c r="AF257" s="6549">
        <v>4911</v>
      </c>
      <c r="AG257" s="6549" t="s">
        <v>1008</v>
      </c>
      <c r="AH257" s="6554" t="s">
        <v>149</v>
      </c>
      <c r="AI257" s="6554" t="s">
        <v>148</v>
      </c>
      <c r="AJ257" s="6554" t="s">
        <v>1036</v>
      </c>
      <c r="AK257" s="6554" t="s">
        <v>1033</v>
      </c>
      <c r="AL257" s="6554"/>
      <c r="AM257" s="6555"/>
      <c r="AN257" s="6554" t="s">
        <v>1013</v>
      </c>
      <c r="AO257" s="6554" t="s">
        <v>1054</v>
      </c>
      <c r="AP257" s="6554" t="s">
        <v>1047</v>
      </c>
      <c r="AQ257" s="6555"/>
      <c r="AR257" s="6555"/>
      <c r="AS257" s="6549"/>
      <c r="AT257" s="6549"/>
      <c r="AU257" s="6549"/>
      <c r="AV257" s="6549"/>
      <c r="AW257" s="6553">
        <v>287</v>
      </c>
      <c r="AX257" s="5133"/>
      <c r="AY257" s="5132"/>
      <c r="AZ257" s="5132"/>
      <c r="BA257" s="5132"/>
      <c r="BB257" s="5132"/>
    </row>
    <row r="258" spans="1:54" s="6369" customFormat="1" ht="12.75" customHeight="1">
      <c r="A258" s="10965" t="str">
        <f t="shared" si="18"/>
        <v>8301-01</v>
      </c>
      <c r="B258" s="10951" t="str">
        <f>+IF(A258="","",VLOOKUP(MATCH(A258,tid,0),tao,'12(id)'!$J$20,FALSE))</f>
        <v>PSEG</v>
      </c>
      <c r="C258" s="10942" t="str">
        <f t="shared" si="19"/>
        <v>BHB4 </v>
      </c>
      <c r="E258" s="5132"/>
      <c r="G258" s="6548">
        <f t="shared" si="17"/>
        <v>30</v>
      </c>
      <c r="H258" s="6548">
        <v>30</v>
      </c>
      <c r="I258" s="10959"/>
      <c r="J258" s="10959"/>
      <c r="K258" s="10965">
        <f>+IF(ISNA(VLOOKUP(MATCH(P258,tfn,0),tao,'12(id)'!$K$20,FALSE)),"",IF(J258="NA","",VLOOKUP(MATCH(P258,tfn,0),tao,'12(id)'!$K$20,FALSE)+J258))</f>
        <v>8301</v>
      </c>
      <c r="L258" s="10965">
        <f>+L257</f>
        <v>1</v>
      </c>
      <c r="M258" s="10965" t="str">
        <f t="shared" si="20"/>
        <v>8301-01</v>
      </c>
      <c r="N258" s="10965" t="str">
        <f>+IF(M258="","",VLOOKUP(MATCH(M258,tid,0),tao,'12(id)'!$Q$20,FALSE))</f>
        <v>BHB4 </v>
      </c>
      <c r="O258" s="10965"/>
      <c r="P258" s="6549" t="s">
        <v>330</v>
      </c>
      <c r="Q258" s="6550" t="s">
        <v>421</v>
      </c>
      <c r="R258" s="6548">
        <v>568</v>
      </c>
      <c r="S258" s="6549" t="s">
        <v>154</v>
      </c>
      <c r="T258" s="6549"/>
      <c r="U258" s="6550">
        <v>2009</v>
      </c>
      <c r="V258" s="6550"/>
      <c r="W258" s="6548">
        <v>8</v>
      </c>
      <c r="X258" s="6548">
        <v>6</v>
      </c>
      <c r="Y258" s="6551">
        <v>119</v>
      </c>
      <c r="Z258" s="6551" t="s">
        <v>939</v>
      </c>
      <c r="AA258" s="6552">
        <v>0.67</v>
      </c>
      <c r="AB258" s="6553">
        <v>0.7</v>
      </c>
      <c r="AC258" s="6551">
        <v>1962</v>
      </c>
      <c r="AD258" s="6549" t="s">
        <v>961</v>
      </c>
      <c r="AE258" s="6549"/>
      <c r="AF258" s="6549">
        <v>4911</v>
      </c>
      <c r="AG258" s="6549" t="s">
        <v>1008</v>
      </c>
      <c r="AH258" s="6554" t="s">
        <v>148</v>
      </c>
      <c r="AI258" s="6554" t="s">
        <v>148</v>
      </c>
      <c r="AJ258" s="6554" t="s">
        <v>227</v>
      </c>
      <c r="AK258" s="6555" t="s">
        <v>1033</v>
      </c>
      <c r="AL258" s="6555"/>
      <c r="AM258" s="6555"/>
      <c r="AN258" s="6555" t="s">
        <v>1013</v>
      </c>
      <c r="AO258" s="6555" t="s">
        <v>1054</v>
      </c>
      <c r="AP258" s="6555" t="s">
        <v>1047</v>
      </c>
      <c r="AQ258" s="6555"/>
      <c r="AR258" s="6555"/>
      <c r="AS258" s="6549"/>
      <c r="AT258" s="6549"/>
      <c r="AU258" s="6549"/>
      <c r="AV258" s="6549"/>
      <c r="AW258" s="6553">
        <v>287</v>
      </c>
      <c r="AX258" s="5133"/>
      <c r="AY258" s="5132"/>
      <c r="AZ258" s="5132"/>
      <c r="BA258" s="5132"/>
      <c r="BB258" s="5132"/>
    </row>
    <row r="259" spans="1:54" s="6369" customFormat="1" ht="12.75" customHeight="1">
      <c r="A259" s="10966" t="str">
        <f t="shared" si="18"/>
        <v>8301-01</v>
      </c>
      <c r="B259" s="10952" t="str">
        <f>+IF(A259="","",VLOOKUP(MATCH(A259,tid,0),tao,'12(id)'!$J$20,FALSE))</f>
        <v>PSEG</v>
      </c>
      <c r="C259" s="10943" t="str">
        <f t="shared" si="19"/>
        <v>BHB4 </v>
      </c>
      <c r="E259" s="5132"/>
      <c r="G259" s="6548">
        <f t="shared" si="17"/>
        <v>31</v>
      </c>
      <c r="H259" s="6548">
        <v>29</v>
      </c>
      <c r="I259" s="10960"/>
      <c r="J259" s="10960"/>
      <c r="K259" s="10966">
        <f>+IF(ISNA(VLOOKUP(MATCH(P259,tfn,0),tao,'12(id)'!$K$20,FALSE)),"",IF(J259="NA","",VLOOKUP(MATCH(P259,tfn,0),tao,'12(id)'!$K$20,FALSE)+J259))</f>
        <v>8301</v>
      </c>
      <c r="L259" s="10966">
        <f>+L258</f>
        <v>1</v>
      </c>
      <c r="M259" s="10966" t="str">
        <f t="shared" si="20"/>
        <v>8301-01</v>
      </c>
      <c r="N259" s="10966" t="str">
        <f>+IF(M259="","",VLOOKUP(MATCH(M259,tid,0),tao,'12(id)'!$Q$20,FALSE))</f>
        <v>BHB4 </v>
      </c>
      <c r="O259" s="10966"/>
      <c r="P259" s="6549" t="s">
        <v>330</v>
      </c>
      <c r="Q259" s="6550" t="s">
        <v>421</v>
      </c>
      <c r="R259" s="6548">
        <v>568</v>
      </c>
      <c r="S259" s="6549" t="s">
        <v>154</v>
      </c>
      <c r="T259" s="6549"/>
      <c r="U259" s="6550">
        <v>2008</v>
      </c>
      <c r="V259" s="6550"/>
      <c r="W259" s="6548">
        <v>24</v>
      </c>
      <c r="X259" s="6548">
        <v>6</v>
      </c>
      <c r="Y259" s="6551">
        <v>105</v>
      </c>
      <c r="Z259" s="6551" t="s">
        <v>939</v>
      </c>
      <c r="AA259" s="6552">
        <v>0.67</v>
      </c>
      <c r="AB259" s="6553">
        <v>0.8</v>
      </c>
      <c r="AC259" s="6551">
        <v>2366</v>
      </c>
      <c r="AD259" s="6549" t="s">
        <v>961</v>
      </c>
      <c r="AE259" s="6549"/>
      <c r="AF259" s="6549">
        <v>4911</v>
      </c>
      <c r="AG259" s="6549" t="s">
        <v>1008</v>
      </c>
      <c r="AH259" s="6554" t="s">
        <v>145</v>
      </c>
      <c r="AI259" s="6554" t="s">
        <v>148</v>
      </c>
      <c r="AJ259" s="6554" t="s">
        <v>225</v>
      </c>
      <c r="AK259" s="6555" t="s">
        <v>1033</v>
      </c>
      <c r="AL259" s="6555"/>
      <c r="AM259" s="6555"/>
      <c r="AN259" s="6555" t="s">
        <v>1013</v>
      </c>
      <c r="AO259" s="6555" t="s">
        <v>1054</v>
      </c>
      <c r="AP259" s="6555" t="s">
        <v>1047</v>
      </c>
      <c r="AQ259" s="6555"/>
      <c r="AR259" s="6555"/>
      <c r="AS259" s="6549"/>
      <c r="AT259" s="6549"/>
      <c r="AU259" s="6549"/>
      <c r="AV259" s="6549"/>
      <c r="AW259" s="6553">
        <v>287</v>
      </c>
      <c r="AX259" s="5133"/>
      <c r="AY259" s="5132"/>
      <c r="AZ259" s="5132"/>
      <c r="BA259" s="5132"/>
      <c r="BB259" s="5132"/>
    </row>
    <row r="260" spans="1:54" s="6369" customFormat="1" ht="12.75" customHeight="1">
      <c r="A260" s="10964" t="str">
        <f t="shared" si="18"/>
        <v>8298-01</v>
      </c>
      <c r="B260" s="10950" t="str">
        <f>+IF(A260="","",VLOOKUP(MATCH(A260,tid,0),tao,'12(id)'!$J$20,FALSE))</f>
        <v>CDECCA</v>
      </c>
      <c r="C260" s="10941" t="str">
        <f t="shared" si="19"/>
        <v>GT </v>
      </c>
      <c r="E260" s="5132"/>
      <c r="G260" s="6548">
        <f t="shared" si="17"/>
        <v>32</v>
      </c>
      <c r="H260" s="6548">
        <v>34</v>
      </c>
      <c r="I260" s="10958">
        <f>1+I257</f>
        <v>12</v>
      </c>
      <c r="J260" s="10968"/>
      <c r="K260" s="10964">
        <f>+IF(ISNA(VLOOKUP(MATCH(P260,tfn,0),tao,'12(id)'!$K$20,FALSE)),"",IF(J260="NA","",VLOOKUP(MATCH(P260,tfn,0),tao,'12(id)'!$K$20,FALSE)+J260))</f>
        <v>8298</v>
      </c>
      <c r="L260" s="10964">
        <v>1</v>
      </c>
      <c r="M260" s="10964" t="str">
        <f t="shared" si="20"/>
        <v>8298-01</v>
      </c>
      <c r="N260" s="10964" t="str">
        <f>+IF(M260="","",VLOOKUP(MATCH(M260,tid,0),tao,'12(id)'!$Q$20,FALSE))</f>
        <v>GT </v>
      </c>
      <c r="O260" s="10964"/>
      <c r="P260" s="6549" t="s">
        <v>342</v>
      </c>
      <c r="Q260" s="6550" t="s">
        <v>797</v>
      </c>
      <c r="R260" s="6548">
        <v>50498</v>
      </c>
      <c r="S260" s="6549" t="s">
        <v>155</v>
      </c>
      <c r="T260" s="6549"/>
      <c r="U260" s="6550">
        <v>2010</v>
      </c>
      <c r="V260" s="6550"/>
      <c r="W260" s="6548">
        <v>308</v>
      </c>
      <c r="X260" s="6548">
        <v>12</v>
      </c>
      <c r="Y260" s="6551">
        <v>11458</v>
      </c>
      <c r="Z260" s="6551" t="s">
        <v>939</v>
      </c>
      <c r="AA260" s="6552">
        <v>0.14000000000000001</v>
      </c>
      <c r="AB260" s="6553">
        <v>5.9</v>
      </c>
      <c r="AC260" s="6551">
        <v>103236</v>
      </c>
      <c r="AD260" s="6549" t="s">
        <v>961</v>
      </c>
      <c r="AE260" s="6549"/>
      <c r="AF260" s="6549">
        <v>4961</v>
      </c>
      <c r="AG260" s="6549" t="s">
        <v>126</v>
      </c>
      <c r="AH260" s="6554" t="s">
        <v>156</v>
      </c>
      <c r="AI260" s="6554" t="s">
        <v>158</v>
      </c>
      <c r="AJ260" s="6555" t="s">
        <v>228</v>
      </c>
      <c r="AK260" s="6555" t="s">
        <v>230</v>
      </c>
      <c r="AL260" s="6555"/>
      <c r="AM260" s="6555"/>
      <c r="AN260" s="6555" t="s">
        <v>1013</v>
      </c>
      <c r="AO260" s="6555" t="s">
        <v>1020</v>
      </c>
      <c r="AP260" s="6555" t="s">
        <v>1021</v>
      </c>
      <c r="AQ260" s="6555" t="s">
        <v>962</v>
      </c>
      <c r="AR260" s="6555"/>
      <c r="AS260" s="6549"/>
      <c r="AT260" s="6549"/>
      <c r="AU260" s="6549"/>
      <c r="AV260" s="6549"/>
      <c r="AW260" s="6553">
        <v>739</v>
      </c>
      <c r="AX260" s="5133"/>
      <c r="AY260" s="5132"/>
      <c r="AZ260" s="5132"/>
      <c r="BA260" s="5132"/>
      <c r="BB260" s="5132"/>
    </row>
    <row r="261" spans="1:54" s="6369" customFormat="1" ht="12.75" customHeight="1">
      <c r="A261" s="10965" t="str">
        <f t="shared" si="18"/>
        <v>8298-01</v>
      </c>
      <c r="B261" s="10951" t="str">
        <f>+IF(A261="","",VLOOKUP(MATCH(A261,tid,0),tao,'12(id)'!$J$20,FALSE))</f>
        <v>CDECCA</v>
      </c>
      <c r="C261" s="10942" t="str">
        <f t="shared" si="19"/>
        <v>GT </v>
      </c>
      <c r="E261" s="5132"/>
      <c r="G261" s="6548">
        <f t="shared" si="17"/>
        <v>33</v>
      </c>
      <c r="H261" s="6548">
        <v>33</v>
      </c>
      <c r="I261" s="10959"/>
      <c r="J261" s="10959"/>
      <c r="K261" s="10965">
        <f>+IF(ISNA(VLOOKUP(MATCH(P261,tfn,0),tao,'12(id)'!$K$20,FALSE)),"",IF(J261="NA","",VLOOKUP(MATCH(P261,tfn,0),tao,'12(id)'!$K$20,FALSE)+J261))</f>
        <v>8298</v>
      </c>
      <c r="L261" s="10965">
        <f>+L260</f>
        <v>1</v>
      </c>
      <c r="M261" s="10965" t="str">
        <f t="shared" si="20"/>
        <v>8298-01</v>
      </c>
      <c r="N261" s="10965" t="str">
        <f>+IF(M261="","",VLOOKUP(MATCH(M261,tid,0),tao,'12(id)'!$Q$20,FALSE))</f>
        <v>GT </v>
      </c>
      <c r="O261" s="10965"/>
      <c r="P261" s="6549" t="s">
        <v>342</v>
      </c>
      <c r="Q261" s="6550" t="s">
        <v>797</v>
      </c>
      <c r="R261" s="6548">
        <v>50498</v>
      </c>
      <c r="S261" s="6549" t="s">
        <v>155</v>
      </c>
      <c r="T261" s="6549"/>
      <c r="U261" s="6550">
        <v>2009</v>
      </c>
      <c r="V261" s="6550"/>
      <c r="W261" s="6548">
        <v>207</v>
      </c>
      <c r="X261" s="6548">
        <v>12</v>
      </c>
      <c r="Y261" s="6551">
        <v>7968</v>
      </c>
      <c r="Z261" s="6551" t="s">
        <v>939</v>
      </c>
      <c r="AA261" s="6552">
        <v>0.14000000000000001</v>
      </c>
      <c r="AB261" s="6553">
        <v>4.0999999999999996</v>
      </c>
      <c r="AC261" s="6551">
        <v>69014</v>
      </c>
      <c r="AD261" s="6549" t="s">
        <v>961</v>
      </c>
      <c r="AE261" s="6549"/>
      <c r="AF261" s="6549">
        <v>4961</v>
      </c>
      <c r="AG261" s="6549" t="s">
        <v>126</v>
      </c>
      <c r="AH261" s="6554" t="s">
        <v>156</v>
      </c>
      <c r="AI261" s="6554" t="s">
        <v>158</v>
      </c>
      <c r="AJ261" s="6555" t="s">
        <v>228</v>
      </c>
      <c r="AK261" s="6555" t="s">
        <v>230</v>
      </c>
      <c r="AL261" s="6555"/>
      <c r="AM261" s="6555"/>
      <c r="AN261" s="6555" t="s">
        <v>1013</v>
      </c>
      <c r="AO261" s="6555" t="s">
        <v>1020</v>
      </c>
      <c r="AP261" s="6555" t="s">
        <v>1021</v>
      </c>
      <c r="AQ261" s="6555" t="s">
        <v>962</v>
      </c>
      <c r="AR261" s="6555"/>
      <c r="AS261" s="6549"/>
      <c r="AT261" s="6549"/>
      <c r="AU261" s="6549"/>
      <c r="AV261" s="6549"/>
      <c r="AW261" s="6553">
        <v>739</v>
      </c>
      <c r="AX261" s="5133"/>
      <c r="AY261" s="5132"/>
      <c r="AZ261" s="5132"/>
      <c r="BA261" s="5132"/>
      <c r="BB261" s="5132"/>
    </row>
    <row r="262" spans="1:54" s="6369" customFormat="1" ht="12.75" customHeight="1">
      <c r="A262" s="10966" t="str">
        <f t="shared" si="18"/>
        <v>8298-01</v>
      </c>
      <c r="B262" s="10952" t="str">
        <f>+IF(A262="","",VLOOKUP(MATCH(A262,tid,0),tao,'12(id)'!$J$20,FALSE))</f>
        <v>CDECCA</v>
      </c>
      <c r="C262" s="10943" t="str">
        <f t="shared" si="19"/>
        <v>GT </v>
      </c>
      <c r="E262" s="5132"/>
      <c r="G262" s="6548">
        <f t="shared" ref="G262:G293" si="21">1+G261</f>
        <v>34</v>
      </c>
      <c r="H262" s="6548">
        <v>32</v>
      </c>
      <c r="I262" s="10960"/>
      <c r="J262" s="10960"/>
      <c r="K262" s="10966">
        <f>+IF(ISNA(VLOOKUP(MATCH(P262,tfn,0),tao,'12(id)'!$K$20,FALSE)),"",IF(J262="NA","",VLOOKUP(MATCH(P262,tfn,0),tao,'12(id)'!$K$20,FALSE)+J262))</f>
        <v>8298</v>
      </c>
      <c r="L262" s="10966">
        <f>+L261</f>
        <v>1</v>
      </c>
      <c r="M262" s="10966" t="str">
        <f t="shared" si="20"/>
        <v>8298-01</v>
      </c>
      <c r="N262" s="10966" t="str">
        <f>+IF(M262="","",VLOOKUP(MATCH(M262,tid,0),tao,'12(id)'!$Q$20,FALSE))</f>
        <v>GT </v>
      </c>
      <c r="O262" s="10966"/>
      <c r="P262" s="6549" t="s">
        <v>342</v>
      </c>
      <c r="Q262" s="6550" t="s">
        <v>797</v>
      </c>
      <c r="R262" s="6548">
        <v>50498</v>
      </c>
      <c r="S262" s="6549" t="s">
        <v>155</v>
      </c>
      <c r="T262" s="6549"/>
      <c r="U262" s="6550">
        <v>2008</v>
      </c>
      <c r="V262" s="6550"/>
      <c r="W262" s="6548">
        <v>461</v>
      </c>
      <c r="X262" s="6548">
        <v>12</v>
      </c>
      <c r="Y262" s="6551">
        <v>21154</v>
      </c>
      <c r="Z262" s="6551" t="s">
        <v>939</v>
      </c>
      <c r="AA262" s="6552">
        <v>0.14000000000000001</v>
      </c>
      <c r="AB262" s="6553">
        <v>13.2</v>
      </c>
      <c r="AC262" s="6551">
        <v>183804</v>
      </c>
      <c r="AD262" s="6549" t="s">
        <v>961</v>
      </c>
      <c r="AE262" s="6549"/>
      <c r="AF262" s="6549">
        <v>4961</v>
      </c>
      <c r="AG262" s="6549" t="s">
        <v>126</v>
      </c>
      <c r="AH262" s="6554" t="s">
        <v>156</v>
      </c>
      <c r="AI262" s="6554" t="s">
        <v>157</v>
      </c>
      <c r="AJ262" s="6555" t="s">
        <v>228</v>
      </c>
      <c r="AK262" s="6554" t="s">
        <v>229</v>
      </c>
      <c r="AL262" s="6554"/>
      <c r="AM262" s="6555"/>
      <c r="AN262" s="6555" t="s">
        <v>1013</v>
      </c>
      <c r="AO262" s="6555" t="s">
        <v>1020</v>
      </c>
      <c r="AP262" s="6555" t="s">
        <v>1021</v>
      </c>
      <c r="AQ262" s="6555" t="s">
        <v>962</v>
      </c>
      <c r="AR262" s="6555"/>
      <c r="AS262" s="6549"/>
      <c r="AT262" s="6549"/>
      <c r="AU262" s="6549"/>
      <c r="AV262" s="6549"/>
      <c r="AW262" s="6553">
        <v>739</v>
      </c>
      <c r="AX262" s="5133"/>
      <c r="AY262" s="5132"/>
      <c r="AZ262" s="5132"/>
      <c r="BA262" s="5132"/>
      <c r="BB262" s="5132"/>
    </row>
    <row r="263" spans="1:54" ht="12.75" customHeight="1">
      <c r="A263" s="10961" t="str">
        <f t="shared" si="18"/>
        <v/>
      </c>
      <c r="B263" s="10944" t="str">
        <f>+IF(A263="","",VLOOKUP(MATCH(A263,tid,0),tao,'12(id)'!$J$20,FALSE))</f>
        <v/>
      </c>
      <c r="C263" s="10947" t="str">
        <f t="shared" si="19"/>
        <v/>
      </c>
      <c r="D263" s="5133"/>
      <c r="F263" s="5133"/>
      <c r="G263" s="6489">
        <f t="shared" si="21"/>
        <v>35</v>
      </c>
      <c r="H263" s="6489">
        <v>37</v>
      </c>
      <c r="I263" s="10955">
        <f>1+I260</f>
        <v>13</v>
      </c>
      <c r="J263" s="10969"/>
      <c r="K263" s="10961" t="str">
        <f>+IF(ISNA(VLOOKUP(MATCH(P263,tfn,0),tao,'12(id)'!$K$20,FALSE)),"",IF(J263="NA","",VLOOKUP(MATCH(P263,tfn,0),tao,'12(id)'!$K$20,FALSE)+J263))</f>
        <v/>
      </c>
      <c r="L263" s="10961"/>
      <c r="M263" s="10961"/>
      <c r="N263" s="10961"/>
      <c r="O263" s="10961"/>
      <c r="P263" s="6490" t="s">
        <v>343</v>
      </c>
      <c r="Q263" s="6491"/>
      <c r="R263" s="6489">
        <v>54657</v>
      </c>
      <c r="S263" s="6490" t="s">
        <v>1037</v>
      </c>
      <c r="T263" s="6490"/>
      <c r="U263" s="6491">
        <v>2010</v>
      </c>
      <c r="V263" s="6491"/>
      <c r="W263" s="6489">
        <v>8605</v>
      </c>
      <c r="X263" s="6489">
        <v>12</v>
      </c>
      <c r="Y263" s="6492" t="s">
        <v>939</v>
      </c>
      <c r="Z263" s="6492">
        <v>1252275</v>
      </c>
      <c r="AA263" s="6493">
        <v>0.27</v>
      </c>
      <c r="AB263" s="6494">
        <v>236.4</v>
      </c>
      <c r="AC263" s="6492">
        <v>1725706</v>
      </c>
      <c r="AD263" s="6490" t="s">
        <v>159</v>
      </c>
      <c r="AE263" s="6490"/>
      <c r="AF263" s="6490">
        <v>2653</v>
      </c>
      <c r="AG263" s="6490" t="s">
        <v>160</v>
      </c>
      <c r="AH263" s="6495" t="s">
        <v>161</v>
      </c>
      <c r="AI263" s="6495" t="s">
        <v>161</v>
      </c>
      <c r="AJ263" s="6495" t="s">
        <v>235</v>
      </c>
      <c r="AK263" s="6495" t="s">
        <v>236</v>
      </c>
      <c r="AL263" s="6495"/>
      <c r="AM263" s="6496"/>
      <c r="AN263" s="6495" t="s">
        <v>1013</v>
      </c>
      <c r="AO263" s="6495" t="s">
        <v>1062</v>
      </c>
      <c r="AP263" s="6495" t="s">
        <v>1021</v>
      </c>
      <c r="AQ263" s="6495" t="s">
        <v>1015</v>
      </c>
      <c r="AR263" s="6496"/>
      <c r="AS263" s="6499" t="s">
        <v>162</v>
      </c>
      <c r="AT263" s="6490"/>
      <c r="AU263" s="6490"/>
      <c r="AV263" s="6490"/>
      <c r="AW263" s="6494">
        <v>275</v>
      </c>
      <c r="AX263" s="5133"/>
    </row>
    <row r="264" spans="1:54" ht="12.75" customHeight="1">
      <c r="A264" s="10962" t="str">
        <f t="shared" si="18"/>
        <v/>
      </c>
      <c r="B264" s="10945" t="str">
        <f>+IF(A264="","",VLOOKUP(MATCH(A264,tid,0),tao,'12(id)'!$J$20,FALSE))</f>
        <v/>
      </c>
      <c r="C264" s="10948" t="str">
        <f t="shared" si="19"/>
        <v/>
      </c>
      <c r="D264" s="5133"/>
      <c r="F264" s="5133"/>
      <c r="G264" s="6489">
        <f t="shared" si="21"/>
        <v>36</v>
      </c>
      <c r="H264" s="6489">
        <v>36</v>
      </c>
      <c r="I264" s="10956"/>
      <c r="J264" s="10956"/>
      <c r="K264" s="10962" t="str">
        <f>+IF(ISNA(VLOOKUP(MATCH(P264,tfn,0),tao,'12(id)'!$K$20,FALSE)),"",IF(J264="NA","",VLOOKUP(MATCH(P264,tfn,0),tao,'12(id)'!$K$20,FALSE)+J264))</f>
        <v/>
      </c>
      <c r="L264" s="10962"/>
      <c r="M264" s="10962"/>
      <c r="N264" s="10962"/>
      <c r="O264" s="10962"/>
      <c r="P264" s="6490" t="s">
        <v>343</v>
      </c>
      <c r="Q264" s="6491"/>
      <c r="R264" s="6489">
        <v>54657</v>
      </c>
      <c r="S264" s="6490" t="s">
        <v>1037</v>
      </c>
      <c r="T264" s="6490"/>
      <c r="U264" s="6491">
        <v>2009</v>
      </c>
      <c r="V264" s="6491"/>
      <c r="W264" s="6489">
        <v>7882</v>
      </c>
      <c r="X264" s="6489">
        <v>12</v>
      </c>
      <c r="Y264" s="6492" t="s">
        <v>939</v>
      </c>
      <c r="Z264" s="6492">
        <v>1150270</v>
      </c>
      <c r="AA264" s="6493">
        <v>0.23</v>
      </c>
      <c r="AB264" s="6494">
        <v>191.8</v>
      </c>
      <c r="AC264" s="6492">
        <v>1591452</v>
      </c>
      <c r="AD264" s="6490" t="s">
        <v>159</v>
      </c>
      <c r="AE264" s="6490"/>
      <c r="AF264" s="6490">
        <v>2653</v>
      </c>
      <c r="AG264" s="6490" t="s">
        <v>160</v>
      </c>
      <c r="AH264" s="6496" t="s">
        <v>161</v>
      </c>
      <c r="AI264" s="6496" t="s">
        <v>161</v>
      </c>
      <c r="AJ264" s="6495" t="s">
        <v>233</v>
      </c>
      <c r="AK264" s="6495" t="s">
        <v>234</v>
      </c>
      <c r="AL264" s="6495"/>
      <c r="AM264" s="6496"/>
      <c r="AN264" s="6496" t="s">
        <v>1013</v>
      </c>
      <c r="AO264" s="6496" t="s">
        <v>1062</v>
      </c>
      <c r="AP264" s="6496" t="s">
        <v>1021</v>
      </c>
      <c r="AQ264" s="6496" t="s">
        <v>1015</v>
      </c>
      <c r="AR264" s="6496"/>
      <c r="AS264" s="6490" t="s">
        <v>162</v>
      </c>
      <c r="AT264" s="6490"/>
      <c r="AU264" s="6490"/>
      <c r="AV264" s="6490"/>
      <c r="AW264" s="6494">
        <v>275</v>
      </c>
      <c r="AX264" s="5133"/>
    </row>
    <row r="265" spans="1:54" ht="12.75" customHeight="1">
      <c r="A265" s="10963" t="str">
        <f t="shared" si="18"/>
        <v/>
      </c>
      <c r="B265" s="10946" t="str">
        <f>+IF(A265="","",VLOOKUP(MATCH(A265,tid,0),tao,'12(id)'!$J$20,FALSE))</f>
        <v/>
      </c>
      <c r="C265" s="10949" t="str">
        <f t="shared" si="19"/>
        <v/>
      </c>
      <c r="D265" s="5133"/>
      <c r="F265" s="5133"/>
      <c r="G265" s="6489">
        <f t="shared" si="21"/>
        <v>37</v>
      </c>
      <c r="H265" s="6489">
        <v>35</v>
      </c>
      <c r="I265" s="10957"/>
      <c r="J265" s="10957"/>
      <c r="K265" s="10963" t="str">
        <f>+IF(ISNA(VLOOKUP(MATCH(P265,tfn,0),tao,'12(id)'!$K$20,FALSE)),"",IF(J265="NA","",VLOOKUP(MATCH(P265,tfn,0),tao,'12(id)'!$K$20,FALSE)+J265))</f>
        <v/>
      </c>
      <c r="L265" s="10963"/>
      <c r="M265" s="10963"/>
      <c r="N265" s="10963"/>
      <c r="O265" s="10963"/>
      <c r="P265" s="6490" t="s">
        <v>343</v>
      </c>
      <c r="Q265" s="6491"/>
      <c r="R265" s="6489">
        <v>54657</v>
      </c>
      <c r="S265" s="6490" t="s">
        <v>1037</v>
      </c>
      <c r="T265" s="6490"/>
      <c r="U265" s="6491">
        <v>2008</v>
      </c>
      <c r="V265" s="6491"/>
      <c r="W265" s="6489">
        <v>7842</v>
      </c>
      <c r="X265" s="6489">
        <v>12</v>
      </c>
      <c r="Y265" s="6492" t="s">
        <v>939</v>
      </c>
      <c r="Z265" s="6492">
        <v>1021493</v>
      </c>
      <c r="AA265" s="6493">
        <v>0.18</v>
      </c>
      <c r="AB265" s="6494">
        <v>137.1</v>
      </c>
      <c r="AC265" s="6492">
        <v>1398093</v>
      </c>
      <c r="AD265" s="6490" t="s">
        <v>159</v>
      </c>
      <c r="AE265" s="6490"/>
      <c r="AF265" s="6490">
        <v>2653</v>
      </c>
      <c r="AG265" s="6490" t="s">
        <v>160</v>
      </c>
      <c r="AH265" s="6495" t="s">
        <v>161</v>
      </c>
      <c r="AI265" s="6495" t="s">
        <v>161</v>
      </c>
      <c r="AJ265" s="6495" t="s">
        <v>231</v>
      </c>
      <c r="AK265" s="6495" t="s">
        <v>232</v>
      </c>
      <c r="AL265" s="6495"/>
      <c r="AM265" s="6496"/>
      <c r="AN265" s="6495" t="s">
        <v>1013</v>
      </c>
      <c r="AO265" s="6495" t="s">
        <v>1062</v>
      </c>
      <c r="AP265" s="6495" t="s">
        <v>1021</v>
      </c>
      <c r="AQ265" s="6495" t="s">
        <v>1015</v>
      </c>
      <c r="AR265" s="6496"/>
      <c r="AS265" s="6490" t="s">
        <v>162</v>
      </c>
      <c r="AT265" s="6490"/>
      <c r="AU265" s="6490"/>
      <c r="AV265" s="6490"/>
      <c r="AW265" s="6494">
        <v>275</v>
      </c>
      <c r="AX265" s="5133"/>
    </row>
    <row r="266" spans="1:54" s="6369" customFormat="1" ht="12.75" customHeight="1">
      <c r="A266" s="10964" t="str">
        <f t="shared" si="18"/>
        <v>8300-02</v>
      </c>
      <c r="B266" s="10950" t="str">
        <f>+IF(A266="","",VLOOKUP(MATCH(A266,tid,0),tao,'12(id)'!$J$20,FALSE))</f>
        <v>NRG</v>
      </c>
      <c r="C266" s="10941" t="str">
        <f t="shared" si="19"/>
        <v>CC10</v>
      </c>
      <c r="E266" s="5132"/>
      <c r="G266" s="6548">
        <f t="shared" si="21"/>
        <v>38</v>
      </c>
      <c r="H266" s="6548">
        <v>40</v>
      </c>
      <c r="I266" s="10958">
        <f>1+I263</f>
        <v>14</v>
      </c>
      <c r="J266" s="10968"/>
      <c r="K266" s="10964">
        <f>+IF(ISNA(VLOOKUP(MATCH(P266,tfn,0),tao,'12(id)'!$K$20,FALSE)),"",IF(J266="NA","",VLOOKUP(MATCH(P266,tfn,0),tao,'12(id)'!$K$20,FALSE)+J266))</f>
        <v>8300</v>
      </c>
      <c r="L266" s="10964">
        <v>2</v>
      </c>
      <c r="M266" s="10964" t="str">
        <f t="shared" ref="M266:M297" si="22">+IF(K266="","",K266&amp;IF(L266&lt;10,"-0"&amp;L266,"-"&amp;L266))</f>
        <v>8300-02</v>
      </c>
      <c r="N266" s="10964" t="str">
        <f>+IF(M266="","",VLOOKUP(MATCH(M266,tid,0),tao,'12(id)'!$Q$20,FALSE))</f>
        <v>CC10</v>
      </c>
      <c r="O266" s="10964"/>
      <c r="P266" s="6549" t="s">
        <v>344</v>
      </c>
      <c r="Q266" s="6550"/>
      <c r="R266" s="6548">
        <v>542</v>
      </c>
      <c r="S266" s="6549" t="s">
        <v>1044</v>
      </c>
      <c r="T266" s="6549"/>
      <c r="U266" s="6550">
        <v>2010</v>
      </c>
      <c r="V266" s="6550"/>
      <c r="W266" s="6548">
        <v>44</v>
      </c>
      <c r="X266" s="6548">
        <v>6</v>
      </c>
      <c r="Y266" s="6551">
        <v>677</v>
      </c>
      <c r="Z266" s="6551" t="s">
        <v>939</v>
      </c>
      <c r="AA266" s="6552">
        <v>1.2</v>
      </c>
      <c r="AB266" s="6553">
        <v>6.6</v>
      </c>
      <c r="AC266" s="6551">
        <v>11038</v>
      </c>
      <c r="AD266" s="6549" t="s">
        <v>961</v>
      </c>
      <c r="AE266" s="6549"/>
      <c r="AF266" s="6549">
        <v>4911</v>
      </c>
      <c r="AG266" s="6549" t="s">
        <v>1008</v>
      </c>
      <c r="AH266" s="6554" t="s">
        <v>1075</v>
      </c>
      <c r="AI266" s="6554" t="s">
        <v>1075</v>
      </c>
      <c r="AJ266" s="6554" t="s">
        <v>1040</v>
      </c>
      <c r="AK266" s="6554" t="s">
        <v>1011</v>
      </c>
      <c r="AL266" s="6554"/>
      <c r="AM266" s="6555"/>
      <c r="AN266" s="6554" t="s">
        <v>1013</v>
      </c>
      <c r="AO266" s="6554" t="s">
        <v>1054</v>
      </c>
      <c r="AP266" s="6554" t="s">
        <v>1047</v>
      </c>
      <c r="AQ266" s="6555"/>
      <c r="AR266" s="6555"/>
      <c r="AS266" s="6549" t="s">
        <v>38</v>
      </c>
      <c r="AT266" s="6549"/>
      <c r="AU266" s="6549"/>
      <c r="AV266" s="6549"/>
      <c r="AW266" s="6553">
        <v>250</v>
      </c>
      <c r="AX266" s="5133"/>
      <c r="AY266" s="5132"/>
      <c r="AZ266" s="5132"/>
      <c r="BA266" s="5132"/>
      <c r="BB266" s="5132"/>
    </row>
    <row r="267" spans="1:54" s="6369" customFormat="1" ht="12.75" customHeight="1">
      <c r="A267" s="10965" t="str">
        <f t="shared" si="18"/>
        <v>8300-02</v>
      </c>
      <c r="B267" s="10951" t="str">
        <f>+IF(A267="","",VLOOKUP(MATCH(A267,tid,0),tao,'12(id)'!$J$20,FALSE))</f>
        <v>NRG</v>
      </c>
      <c r="C267" s="10942" t="str">
        <f t="shared" si="19"/>
        <v>CC10</v>
      </c>
      <c r="E267" s="5132"/>
      <c r="G267" s="6548">
        <f t="shared" si="21"/>
        <v>39</v>
      </c>
      <c r="H267" s="6548">
        <v>39</v>
      </c>
      <c r="I267" s="10959"/>
      <c r="J267" s="10959"/>
      <c r="K267" s="10965">
        <f>+IF(ISNA(VLOOKUP(MATCH(P267,tfn,0),tao,'12(id)'!$K$20,FALSE)),"",IF(J267="NA","",VLOOKUP(MATCH(P267,tfn,0),tao,'12(id)'!$K$20,FALSE)+J267))</f>
        <v>8300</v>
      </c>
      <c r="L267" s="10965">
        <f>+L266</f>
        <v>2</v>
      </c>
      <c r="M267" s="10965" t="str">
        <f t="shared" si="22"/>
        <v>8300-02</v>
      </c>
      <c r="N267" s="10965" t="str">
        <f>+IF(M267="","",VLOOKUP(MATCH(M267,tid,0),tao,'12(id)'!$Q$20,FALSE))</f>
        <v>CC10</v>
      </c>
      <c r="O267" s="10965"/>
      <c r="P267" s="6549" t="s">
        <v>344</v>
      </c>
      <c r="Q267" s="6550"/>
      <c r="R267" s="6548">
        <v>542</v>
      </c>
      <c r="S267" s="6549" t="s">
        <v>1044</v>
      </c>
      <c r="T267" s="6549"/>
      <c r="U267" s="6550">
        <v>2009</v>
      </c>
      <c r="V267" s="6550"/>
      <c r="W267" s="6548">
        <v>8</v>
      </c>
      <c r="X267" s="6548">
        <v>6</v>
      </c>
      <c r="Y267" s="6551">
        <v>139</v>
      </c>
      <c r="Z267" s="6551" t="s">
        <v>939</v>
      </c>
      <c r="AA267" s="6552">
        <v>1.2</v>
      </c>
      <c r="AB267" s="6553">
        <v>1.2</v>
      </c>
      <c r="AC267" s="6551">
        <v>1968</v>
      </c>
      <c r="AD267" s="6549" t="s">
        <v>961</v>
      </c>
      <c r="AE267" s="6549"/>
      <c r="AF267" s="6549">
        <v>4911</v>
      </c>
      <c r="AG267" s="6549" t="s">
        <v>1008</v>
      </c>
      <c r="AH267" s="6555" t="s">
        <v>1075</v>
      </c>
      <c r="AI267" s="6554" t="s">
        <v>1075</v>
      </c>
      <c r="AJ267" s="6554" t="s">
        <v>11</v>
      </c>
      <c r="AK267" s="6554" t="s">
        <v>1043</v>
      </c>
      <c r="AL267" s="6554"/>
      <c r="AM267" s="6555"/>
      <c r="AN267" s="6555" t="s">
        <v>1013</v>
      </c>
      <c r="AO267" s="6555" t="s">
        <v>1054</v>
      </c>
      <c r="AP267" s="6555" t="s">
        <v>1047</v>
      </c>
      <c r="AQ267" s="6555"/>
      <c r="AR267" s="6555"/>
      <c r="AS267" s="6549" t="s">
        <v>38</v>
      </c>
      <c r="AT267" s="6549"/>
      <c r="AU267" s="6549"/>
      <c r="AV267" s="6549"/>
      <c r="AW267" s="6553">
        <v>250</v>
      </c>
      <c r="AX267" s="5133"/>
      <c r="AY267" s="5132"/>
      <c r="AZ267" s="5132"/>
      <c r="BA267" s="5132"/>
      <c r="BB267" s="5132"/>
    </row>
    <row r="268" spans="1:54" s="6369" customFormat="1" ht="12.75" customHeight="1">
      <c r="A268" s="10966" t="str">
        <f t="shared" si="18"/>
        <v>8300-02</v>
      </c>
      <c r="B268" s="10952" t="str">
        <f>+IF(A268="","",VLOOKUP(MATCH(A268,tid,0),tao,'12(id)'!$J$20,FALSE))</f>
        <v>NRG</v>
      </c>
      <c r="C268" s="10943" t="str">
        <f t="shared" si="19"/>
        <v>CC10</v>
      </c>
      <c r="E268" s="5132"/>
      <c r="G268" s="6548">
        <f t="shared" si="21"/>
        <v>40</v>
      </c>
      <c r="H268" s="6548">
        <v>38</v>
      </c>
      <c r="I268" s="10960"/>
      <c r="J268" s="10960"/>
      <c r="K268" s="10966">
        <f>+IF(ISNA(VLOOKUP(MATCH(P268,tfn,0),tao,'12(id)'!$K$20,FALSE)),"",IF(J268="NA","",VLOOKUP(MATCH(P268,tfn,0),tao,'12(id)'!$K$20,FALSE)+J268))</f>
        <v>8300</v>
      </c>
      <c r="L268" s="10966">
        <f>+L267</f>
        <v>2</v>
      </c>
      <c r="M268" s="10966" t="str">
        <f t="shared" si="22"/>
        <v>8300-02</v>
      </c>
      <c r="N268" s="10966" t="str">
        <f>+IF(M268="","",VLOOKUP(MATCH(M268,tid,0),tao,'12(id)'!$Q$20,FALSE))</f>
        <v>CC10</v>
      </c>
      <c r="O268" s="10966"/>
      <c r="P268" s="6549" t="s">
        <v>344</v>
      </c>
      <c r="Q268" s="6550"/>
      <c r="R268" s="6548">
        <v>542</v>
      </c>
      <c r="S268" s="6549" t="s">
        <v>1044</v>
      </c>
      <c r="T268" s="6549"/>
      <c r="U268" s="6550">
        <v>2008</v>
      </c>
      <c r="V268" s="6550"/>
      <c r="W268" s="6548">
        <v>11</v>
      </c>
      <c r="X268" s="6548">
        <v>6</v>
      </c>
      <c r="Y268" s="6551">
        <v>183</v>
      </c>
      <c r="Z268" s="6551" t="s">
        <v>939</v>
      </c>
      <c r="AA268" s="6552">
        <v>1.2</v>
      </c>
      <c r="AB268" s="6553">
        <v>1.6</v>
      </c>
      <c r="AC268" s="6551">
        <v>2740</v>
      </c>
      <c r="AD268" s="6549" t="s">
        <v>961</v>
      </c>
      <c r="AE268" s="6549"/>
      <c r="AF268" s="6549">
        <v>4911</v>
      </c>
      <c r="AG268" s="6549" t="s">
        <v>1008</v>
      </c>
      <c r="AH268" s="6555" t="s">
        <v>1075</v>
      </c>
      <c r="AI268" s="6554" t="s">
        <v>1075</v>
      </c>
      <c r="AJ268" s="6554" t="s">
        <v>9</v>
      </c>
      <c r="AK268" s="6555" t="s">
        <v>10</v>
      </c>
      <c r="AL268" s="6555"/>
      <c r="AM268" s="6555"/>
      <c r="AN268" s="6555" t="s">
        <v>1013</v>
      </c>
      <c r="AO268" s="6555" t="s">
        <v>1054</v>
      </c>
      <c r="AP268" s="6555" t="s">
        <v>1047</v>
      </c>
      <c r="AQ268" s="6555"/>
      <c r="AR268" s="6555"/>
      <c r="AS268" s="6549" t="s">
        <v>163</v>
      </c>
      <c r="AT268" s="6549"/>
      <c r="AU268" s="6549"/>
      <c r="AV268" s="6549"/>
      <c r="AW268" s="6553">
        <v>250</v>
      </c>
      <c r="AX268" s="5133"/>
      <c r="AY268" s="5132"/>
      <c r="AZ268" s="5132"/>
      <c r="BA268" s="5132"/>
      <c r="BB268" s="5132"/>
    </row>
    <row r="269" spans="1:54" s="6369" customFormat="1" ht="12.75" customHeight="1">
      <c r="A269" s="10964" t="str">
        <f t="shared" si="18"/>
        <v>8300-03</v>
      </c>
      <c r="B269" s="10950" t="str">
        <f>+IF(A269="","",VLOOKUP(MATCH(A269,tid,0),tao,'12(id)'!$J$20,FALSE))</f>
        <v>NRG</v>
      </c>
      <c r="C269" s="10941" t="str">
        <f t="shared" si="19"/>
        <v>CC11</v>
      </c>
      <c r="E269" s="5132"/>
      <c r="G269" s="6548">
        <f t="shared" si="21"/>
        <v>41</v>
      </c>
      <c r="H269" s="6548">
        <v>43</v>
      </c>
      <c r="I269" s="10958">
        <f>1+I266</f>
        <v>15</v>
      </c>
      <c r="J269" s="10968"/>
      <c r="K269" s="10964">
        <f>+IF(ISNA(VLOOKUP(MATCH(P269,tfn,0),tao,'12(id)'!$K$20,FALSE)),"",IF(J269="NA","",VLOOKUP(MATCH(P269,tfn,0),tao,'12(id)'!$K$20,FALSE)+J269))</f>
        <v>8300</v>
      </c>
      <c r="L269" s="10964">
        <f>1+L266</f>
        <v>3</v>
      </c>
      <c r="M269" s="10964" t="str">
        <f t="shared" si="22"/>
        <v>8300-03</v>
      </c>
      <c r="N269" s="10964" t="str">
        <f>+IF(M269="","",VLOOKUP(MATCH(M269,tid,0),tao,'12(id)'!$Q$20,FALSE))</f>
        <v>CC11</v>
      </c>
      <c r="O269" s="10964"/>
      <c r="P269" s="6549" t="s">
        <v>344</v>
      </c>
      <c r="Q269" s="6550"/>
      <c r="R269" s="6548">
        <v>542</v>
      </c>
      <c r="S269" s="6549" t="s">
        <v>965</v>
      </c>
      <c r="T269" s="6549"/>
      <c r="U269" s="6550">
        <v>2010</v>
      </c>
      <c r="V269" s="6550"/>
      <c r="W269" s="6548">
        <v>40</v>
      </c>
      <c r="X269" s="6548">
        <v>6</v>
      </c>
      <c r="Y269" s="6551">
        <v>619</v>
      </c>
      <c r="Z269" s="6551" t="s">
        <v>939</v>
      </c>
      <c r="AA269" s="6552">
        <v>1.2</v>
      </c>
      <c r="AB269" s="6553">
        <v>6.1</v>
      </c>
      <c r="AC269" s="6551">
        <v>10085</v>
      </c>
      <c r="AD269" s="6549" t="s">
        <v>961</v>
      </c>
      <c r="AE269" s="6549"/>
      <c r="AF269" s="6549">
        <v>4911</v>
      </c>
      <c r="AG269" s="6549" t="s">
        <v>1008</v>
      </c>
      <c r="AH269" s="6554" t="s">
        <v>1075</v>
      </c>
      <c r="AI269" s="6554" t="s">
        <v>1075</v>
      </c>
      <c r="AJ269" s="6554" t="s">
        <v>1040</v>
      </c>
      <c r="AK269" s="6554" t="s">
        <v>1011</v>
      </c>
      <c r="AL269" s="6554"/>
      <c r="AM269" s="6555"/>
      <c r="AN269" s="6554" t="s">
        <v>1013</v>
      </c>
      <c r="AO269" s="6554" t="s">
        <v>1054</v>
      </c>
      <c r="AP269" s="6554" t="s">
        <v>1047</v>
      </c>
      <c r="AQ269" s="6555"/>
      <c r="AR269" s="6555"/>
      <c r="AS269" s="6549" t="s">
        <v>38</v>
      </c>
      <c r="AT269" s="6549"/>
      <c r="AU269" s="6549"/>
      <c r="AV269" s="6549"/>
      <c r="AW269" s="6553">
        <v>250</v>
      </c>
      <c r="AX269" s="5133"/>
      <c r="AY269" s="5132"/>
      <c r="AZ269" s="5132"/>
      <c r="BA269" s="5132"/>
      <c r="BB269" s="5132"/>
    </row>
    <row r="270" spans="1:54" s="6369" customFormat="1" ht="12.75" customHeight="1">
      <c r="A270" s="10965" t="str">
        <f t="shared" si="18"/>
        <v>8300-03</v>
      </c>
      <c r="B270" s="10951" t="str">
        <f>+IF(A270="","",VLOOKUP(MATCH(A270,tid,0),tao,'12(id)'!$J$20,FALSE))</f>
        <v>NRG</v>
      </c>
      <c r="C270" s="10942" t="str">
        <f t="shared" si="19"/>
        <v>CC11</v>
      </c>
      <c r="E270" s="5132"/>
      <c r="G270" s="6548">
        <f t="shared" si="21"/>
        <v>42</v>
      </c>
      <c r="H270" s="6548">
        <v>42</v>
      </c>
      <c r="I270" s="10959"/>
      <c r="J270" s="10959"/>
      <c r="K270" s="10965">
        <f>+IF(ISNA(VLOOKUP(MATCH(P270,tfn,0),tao,'12(id)'!$K$20,FALSE)),"",IF(J270="NA","",VLOOKUP(MATCH(P270,tfn,0),tao,'12(id)'!$K$20,FALSE)+J270))</f>
        <v>8300</v>
      </c>
      <c r="L270" s="10965">
        <f>+L269</f>
        <v>3</v>
      </c>
      <c r="M270" s="10965" t="str">
        <f t="shared" si="22"/>
        <v>8300-03</v>
      </c>
      <c r="N270" s="10965" t="str">
        <f>+IF(M270="","",VLOOKUP(MATCH(M270,tid,0),tao,'12(id)'!$Q$20,FALSE))</f>
        <v>CC11</v>
      </c>
      <c r="O270" s="10965"/>
      <c r="P270" s="6549" t="s">
        <v>344</v>
      </c>
      <c r="Q270" s="6550"/>
      <c r="R270" s="6548">
        <v>542</v>
      </c>
      <c r="S270" s="6549" t="s">
        <v>965</v>
      </c>
      <c r="T270" s="6549"/>
      <c r="U270" s="6550">
        <v>2009</v>
      </c>
      <c r="V270" s="6550"/>
      <c r="W270" s="6548">
        <v>6</v>
      </c>
      <c r="X270" s="6548">
        <v>6</v>
      </c>
      <c r="Y270" s="6551">
        <v>102</v>
      </c>
      <c r="Z270" s="6551" t="s">
        <v>939</v>
      </c>
      <c r="AA270" s="6552">
        <v>1.2</v>
      </c>
      <c r="AB270" s="6553">
        <v>0.9</v>
      </c>
      <c r="AC270" s="6551">
        <v>1465</v>
      </c>
      <c r="AD270" s="6549" t="s">
        <v>961</v>
      </c>
      <c r="AE270" s="6549"/>
      <c r="AF270" s="6549">
        <v>4911</v>
      </c>
      <c r="AG270" s="6549" t="s">
        <v>1008</v>
      </c>
      <c r="AH270" s="6555" t="s">
        <v>1075</v>
      </c>
      <c r="AI270" s="6554" t="s">
        <v>1075</v>
      </c>
      <c r="AJ270" s="6554" t="s">
        <v>11</v>
      </c>
      <c r="AK270" s="6554" t="s">
        <v>1043</v>
      </c>
      <c r="AL270" s="6554"/>
      <c r="AM270" s="6555"/>
      <c r="AN270" s="6555" t="s">
        <v>1013</v>
      </c>
      <c r="AO270" s="6555" t="s">
        <v>1054</v>
      </c>
      <c r="AP270" s="6555" t="s">
        <v>1047</v>
      </c>
      <c r="AQ270" s="6555"/>
      <c r="AR270" s="6555"/>
      <c r="AS270" s="6549" t="s">
        <v>38</v>
      </c>
      <c r="AT270" s="6549"/>
      <c r="AU270" s="6549"/>
      <c r="AV270" s="6549"/>
      <c r="AW270" s="6553">
        <v>250</v>
      </c>
      <c r="AX270" s="5133"/>
      <c r="AY270" s="5132"/>
      <c r="AZ270" s="5132"/>
      <c r="BA270" s="5132"/>
      <c r="BB270" s="5132"/>
    </row>
    <row r="271" spans="1:54" s="6369" customFormat="1" ht="12.75" customHeight="1">
      <c r="A271" s="10966" t="str">
        <f t="shared" si="18"/>
        <v>8300-03</v>
      </c>
      <c r="B271" s="10952" t="str">
        <f>+IF(A271="","",VLOOKUP(MATCH(A271,tid,0),tao,'12(id)'!$J$20,FALSE))</f>
        <v>NRG</v>
      </c>
      <c r="C271" s="10943" t="str">
        <f t="shared" si="19"/>
        <v>CC11</v>
      </c>
      <c r="E271" s="5132"/>
      <c r="G271" s="6548">
        <f t="shared" si="21"/>
        <v>43</v>
      </c>
      <c r="H271" s="6548">
        <v>41</v>
      </c>
      <c r="I271" s="10960"/>
      <c r="J271" s="10960"/>
      <c r="K271" s="10966">
        <f>+IF(ISNA(VLOOKUP(MATCH(P271,tfn,0),tao,'12(id)'!$K$20,FALSE)),"",IF(J271="NA","",VLOOKUP(MATCH(P271,tfn,0),tao,'12(id)'!$K$20,FALSE)+J271))</f>
        <v>8300</v>
      </c>
      <c r="L271" s="10966">
        <f>+L270</f>
        <v>3</v>
      </c>
      <c r="M271" s="10966" t="str">
        <f t="shared" si="22"/>
        <v>8300-03</v>
      </c>
      <c r="N271" s="10966" t="str">
        <f>+IF(M271="","",VLOOKUP(MATCH(M271,tid,0),tao,'12(id)'!$Q$20,FALSE))</f>
        <v>CC11</v>
      </c>
      <c r="O271" s="10966"/>
      <c r="P271" s="6549" t="s">
        <v>344</v>
      </c>
      <c r="Q271" s="6550"/>
      <c r="R271" s="6548">
        <v>542</v>
      </c>
      <c r="S271" s="6549" t="s">
        <v>965</v>
      </c>
      <c r="T271" s="6549"/>
      <c r="U271" s="6550">
        <v>2008</v>
      </c>
      <c r="V271" s="6550"/>
      <c r="W271" s="6548">
        <v>9</v>
      </c>
      <c r="X271" s="6548">
        <v>6</v>
      </c>
      <c r="Y271" s="6551">
        <v>160</v>
      </c>
      <c r="Z271" s="6551" t="s">
        <v>939</v>
      </c>
      <c r="AA271" s="6552">
        <v>1.2</v>
      </c>
      <c r="AB271" s="6553">
        <v>1.3</v>
      </c>
      <c r="AC271" s="6551">
        <v>2225</v>
      </c>
      <c r="AD271" s="6549" t="s">
        <v>961</v>
      </c>
      <c r="AE271" s="6549"/>
      <c r="AF271" s="6549">
        <v>4911</v>
      </c>
      <c r="AG271" s="6549" t="s">
        <v>1008</v>
      </c>
      <c r="AH271" s="6555" t="s">
        <v>1075</v>
      </c>
      <c r="AI271" s="6554" t="s">
        <v>1075</v>
      </c>
      <c r="AJ271" s="6554" t="s">
        <v>9</v>
      </c>
      <c r="AK271" s="6555" t="s">
        <v>10</v>
      </c>
      <c r="AL271" s="6555"/>
      <c r="AM271" s="6555"/>
      <c r="AN271" s="6555" t="s">
        <v>1013</v>
      </c>
      <c r="AO271" s="6555" t="s">
        <v>1054</v>
      </c>
      <c r="AP271" s="6555" t="s">
        <v>1047</v>
      </c>
      <c r="AQ271" s="6555"/>
      <c r="AR271" s="6555"/>
      <c r="AS271" s="6549" t="s">
        <v>163</v>
      </c>
      <c r="AT271" s="6549"/>
      <c r="AU271" s="6549"/>
      <c r="AV271" s="6549"/>
      <c r="AW271" s="6553">
        <v>250</v>
      </c>
      <c r="AX271" s="5133"/>
      <c r="AY271" s="5132"/>
      <c r="AZ271" s="5132"/>
      <c r="BA271" s="5132"/>
      <c r="BB271" s="5132"/>
    </row>
    <row r="272" spans="1:54" s="6369" customFormat="1" ht="12.75" customHeight="1">
      <c r="A272" s="10964" t="str">
        <f t="shared" si="18"/>
        <v>8300-04</v>
      </c>
      <c r="B272" s="10950" t="str">
        <f>+IF(A272="","",VLOOKUP(MATCH(A272,tid,0),tao,'12(id)'!$J$20,FALSE))</f>
        <v>NRG</v>
      </c>
      <c r="C272" s="10941" t="str">
        <f t="shared" si="19"/>
        <v>CC12</v>
      </c>
      <c r="E272" s="5132"/>
      <c r="G272" s="6548">
        <f t="shared" si="21"/>
        <v>44</v>
      </c>
      <c r="H272" s="6548">
        <v>46</v>
      </c>
      <c r="I272" s="10958">
        <f>1+I269</f>
        <v>16</v>
      </c>
      <c r="J272" s="10968"/>
      <c r="K272" s="10964">
        <f>+IF(ISNA(VLOOKUP(MATCH(P272,tfn,0),tao,'12(id)'!$K$20,FALSE)),"",IF(J272="NA","",VLOOKUP(MATCH(P272,tfn,0),tao,'12(id)'!$K$20,FALSE)+J272))</f>
        <v>8300</v>
      </c>
      <c r="L272" s="10964">
        <f>1+L269</f>
        <v>4</v>
      </c>
      <c r="M272" s="10964" t="str">
        <f t="shared" si="22"/>
        <v>8300-04</v>
      </c>
      <c r="N272" s="10964" t="str">
        <f>+IF(M272="","",VLOOKUP(MATCH(M272,tid,0),tao,'12(id)'!$Q$20,FALSE))</f>
        <v>CC12</v>
      </c>
      <c r="O272" s="10964"/>
      <c r="P272" s="6549" t="s">
        <v>344</v>
      </c>
      <c r="Q272" s="6550"/>
      <c r="R272" s="6548">
        <v>542</v>
      </c>
      <c r="S272" s="6549" t="s">
        <v>959</v>
      </c>
      <c r="T272" s="6549"/>
      <c r="U272" s="6550">
        <v>2010</v>
      </c>
      <c r="V272" s="6550"/>
      <c r="W272" s="6548">
        <v>51</v>
      </c>
      <c r="X272" s="6548">
        <v>6</v>
      </c>
      <c r="Y272" s="6551">
        <v>790</v>
      </c>
      <c r="Z272" s="6551" t="s">
        <v>939</v>
      </c>
      <c r="AA272" s="6552">
        <v>1.2</v>
      </c>
      <c r="AB272" s="6553">
        <v>7.7</v>
      </c>
      <c r="AC272" s="6551">
        <v>12848</v>
      </c>
      <c r="AD272" s="6549" t="s">
        <v>961</v>
      </c>
      <c r="AE272" s="6549"/>
      <c r="AF272" s="6549">
        <v>4911</v>
      </c>
      <c r="AG272" s="6549" t="s">
        <v>1008</v>
      </c>
      <c r="AH272" s="6554" t="s">
        <v>1075</v>
      </c>
      <c r="AI272" s="6554" t="s">
        <v>1075</v>
      </c>
      <c r="AJ272" s="6554" t="s">
        <v>1040</v>
      </c>
      <c r="AK272" s="6554" t="s">
        <v>1011</v>
      </c>
      <c r="AL272" s="6554"/>
      <c r="AM272" s="6555"/>
      <c r="AN272" s="6554" t="s">
        <v>1013</v>
      </c>
      <c r="AO272" s="6554" t="s">
        <v>1054</v>
      </c>
      <c r="AP272" s="6554" t="s">
        <v>1047</v>
      </c>
      <c r="AQ272" s="6555"/>
      <c r="AR272" s="6555"/>
      <c r="AS272" s="6549" t="s">
        <v>38</v>
      </c>
      <c r="AT272" s="6549"/>
      <c r="AU272" s="6549"/>
      <c r="AV272" s="6549"/>
      <c r="AW272" s="6553">
        <v>250</v>
      </c>
      <c r="AX272" s="5133"/>
      <c r="AY272" s="5132"/>
      <c r="AZ272" s="5132"/>
      <c r="BA272" s="5132"/>
      <c r="BB272" s="5132"/>
    </row>
    <row r="273" spans="1:54" s="6369" customFormat="1" ht="12.75" customHeight="1">
      <c r="A273" s="10965" t="str">
        <f t="shared" si="18"/>
        <v>8300-04</v>
      </c>
      <c r="B273" s="10951" t="str">
        <f>+IF(A273="","",VLOOKUP(MATCH(A273,tid,0),tao,'12(id)'!$J$20,FALSE))</f>
        <v>NRG</v>
      </c>
      <c r="C273" s="10942" t="str">
        <f t="shared" si="19"/>
        <v>CC12</v>
      </c>
      <c r="E273" s="5132"/>
      <c r="G273" s="6548">
        <f t="shared" si="21"/>
        <v>45</v>
      </c>
      <c r="H273" s="6548">
        <v>45</v>
      </c>
      <c r="I273" s="10959"/>
      <c r="J273" s="10959"/>
      <c r="K273" s="10965">
        <f>+IF(ISNA(VLOOKUP(MATCH(P273,tfn,0),tao,'12(id)'!$K$20,FALSE)),"",IF(J273="NA","",VLOOKUP(MATCH(P273,tfn,0),tao,'12(id)'!$K$20,FALSE)+J273))</f>
        <v>8300</v>
      </c>
      <c r="L273" s="10965">
        <f>+L272</f>
        <v>4</v>
      </c>
      <c r="M273" s="10965" t="str">
        <f t="shared" si="22"/>
        <v>8300-04</v>
      </c>
      <c r="N273" s="10965" t="str">
        <f>+IF(M273="","",VLOOKUP(MATCH(M273,tid,0),tao,'12(id)'!$Q$20,FALSE))</f>
        <v>CC12</v>
      </c>
      <c r="O273" s="10965"/>
      <c r="P273" s="6549" t="s">
        <v>344</v>
      </c>
      <c r="Q273" s="6550"/>
      <c r="R273" s="6548">
        <v>542</v>
      </c>
      <c r="S273" s="6549" t="s">
        <v>959</v>
      </c>
      <c r="T273" s="6549"/>
      <c r="U273" s="6550">
        <v>2009</v>
      </c>
      <c r="V273" s="6550"/>
      <c r="W273" s="6548">
        <v>7</v>
      </c>
      <c r="X273" s="6548">
        <v>6</v>
      </c>
      <c r="Y273" s="6551">
        <v>131</v>
      </c>
      <c r="Z273" s="6551" t="s">
        <v>939</v>
      </c>
      <c r="AA273" s="6552">
        <v>1.2</v>
      </c>
      <c r="AB273" s="6553">
        <v>1.1000000000000001</v>
      </c>
      <c r="AC273" s="6551">
        <v>1780</v>
      </c>
      <c r="AD273" s="6549" t="s">
        <v>961</v>
      </c>
      <c r="AE273" s="6549"/>
      <c r="AF273" s="6549">
        <v>4911</v>
      </c>
      <c r="AG273" s="6549" t="s">
        <v>1008</v>
      </c>
      <c r="AH273" s="6555" t="s">
        <v>1075</v>
      </c>
      <c r="AI273" s="6554" t="s">
        <v>1075</v>
      </c>
      <c r="AJ273" s="6554" t="s">
        <v>11</v>
      </c>
      <c r="AK273" s="6554" t="s">
        <v>1043</v>
      </c>
      <c r="AL273" s="6554"/>
      <c r="AM273" s="6555"/>
      <c r="AN273" s="6555" t="s">
        <v>1013</v>
      </c>
      <c r="AO273" s="6555" t="s">
        <v>1054</v>
      </c>
      <c r="AP273" s="6555" t="s">
        <v>1047</v>
      </c>
      <c r="AQ273" s="6555"/>
      <c r="AR273" s="6555"/>
      <c r="AS273" s="6549" t="s">
        <v>38</v>
      </c>
      <c r="AT273" s="6549"/>
      <c r="AU273" s="6549"/>
      <c r="AV273" s="6549"/>
      <c r="AW273" s="6553">
        <v>250</v>
      </c>
      <c r="AX273" s="5133"/>
      <c r="AY273" s="5132"/>
      <c r="AZ273" s="5132"/>
      <c r="BA273" s="5132"/>
      <c r="BB273" s="5132"/>
    </row>
    <row r="274" spans="1:54" s="6369" customFormat="1" ht="12.75" customHeight="1">
      <c r="A274" s="10966" t="str">
        <f t="shared" si="18"/>
        <v>8300-04</v>
      </c>
      <c r="B274" s="10952" t="str">
        <f>+IF(A274="","",VLOOKUP(MATCH(A274,tid,0),tao,'12(id)'!$J$20,FALSE))</f>
        <v>NRG</v>
      </c>
      <c r="C274" s="10943" t="str">
        <f t="shared" si="19"/>
        <v>CC12</v>
      </c>
      <c r="E274" s="5132"/>
      <c r="G274" s="6548">
        <f t="shared" si="21"/>
        <v>46</v>
      </c>
      <c r="H274" s="6548">
        <v>44</v>
      </c>
      <c r="I274" s="10960"/>
      <c r="J274" s="10960"/>
      <c r="K274" s="10966">
        <f>+IF(ISNA(VLOOKUP(MATCH(P274,tfn,0),tao,'12(id)'!$K$20,FALSE)),"",IF(J274="NA","",VLOOKUP(MATCH(P274,tfn,0),tao,'12(id)'!$K$20,FALSE)+J274))</f>
        <v>8300</v>
      </c>
      <c r="L274" s="10966">
        <f>+L273</f>
        <v>4</v>
      </c>
      <c r="M274" s="10966" t="str">
        <f t="shared" si="22"/>
        <v>8300-04</v>
      </c>
      <c r="N274" s="10966" t="str">
        <f>+IF(M274="","",VLOOKUP(MATCH(M274,tid,0),tao,'12(id)'!$Q$20,FALSE))</f>
        <v>CC12</v>
      </c>
      <c r="O274" s="10966"/>
      <c r="P274" s="6549" t="s">
        <v>344</v>
      </c>
      <c r="Q274" s="6550"/>
      <c r="R274" s="6548">
        <v>542</v>
      </c>
      <c r="S274" s="6549" t="s">
        <v>959</v>
      </c>
      <c r="T274" s="6549"/>
      <c r="U274" s="6550">
        <v>2008</v>
      </c>
      <c r="V274" s="6550"/>
      <c r="W274" s="6548">
        <v>6</v>
      </c>
      <c r="X274" s="6548">
        <v>6</v>
      </c>
      <c r="Y274" s="6551">
        <v>115</v>
      </c>
      <c r="Z274" s="6551" t="s">
        <v>939</v>
      </c>
      <c r="AA274" s="6552">
        <v>1.2</v>
      </c>
      <c r="AB274" s="6553">
        <v>1</v>
      </c>
      <c r="AC274" s="6551">
        <v>1595</v>
      </c>
      <c r="AD274" s="6549" t="s">
        <v>961</v>
      </c>
      <c r="AE274" s="6549"/>
      <c r="AF274" s="6549">
        <v>4911</v>
      </c>
      <c r="AG274" s="6549" t="s">
        <v>1008</v>
      </c>
      <c r="AH274" s="6555" t="s">
        <v>1075</v>
      </c>
      <c r="AI274" s="6554" t="s">
        <v>1075</v>
      </c>
      <c r="AJ274" s="6554"/>
      <c r="AK274" s="6555"/>
      <c r="AL274" s="6555"/>
      <c r="AM274" s="6555"/>
      <c r="AN274" s="6555" t="s">
        <v>1013</v>
      </c>
      <c r="AO274" s="6555" t="s">
        <v>1054</v>
      </c>
      <c r="AP274" s="6555" t="s">
        <v>1047</v>
      </c>
      <c r="AQ274" s="6555"/>
      <c r="AR274" s="6555"/>
      <c r="AS274" s="6549" t="s">
        <v>163</v>
      </c>
      <c r="AT274" s="6549"/>
      <c r="AU274" s="6549"/>
      <c r="AV274" s="6549"/>
      <c r="AW274" s="6553">
        <v>250</v>
      </c>
      <c r="AX274" s="5133"/>
      <c r="AY274" s="5132"/>
      <c r="AZ274" s="5132"/>
      <c r="BA274" s="5132"/>
      <c r="BB274" s="5132"/>
    </row>
    <row r="275" spans="1:54" s="6369" customFormat="1" ht="12.75" customHeight="1">
      <c r="A275" s="10964" t="str">
        <f t="shared" si="18"/>
        <v>8300-05</v>
      </c>
      <c r="B275" s="10950" t="str">
        <f>+IF(A275="","",VLOOKUP(MATCH(A275,tid,0),tao,'12(id)'!$J$20,FALSE))</f>
        <v>NRG</v>
      </c>
      <c r="C275" s="10941" t="str">
        <f t="shared" si="19"/>
        <v>CC13</v>
      </c>
      <c r="E275" s="5132"/>
      <c r="G275" s="6548">
        <f t="shared" si="21"/>
        <v>47</v>
      </c>
      <c r="H275" s="6548">
        <v>49</v>
      </c>
      <c r="I275" s="10958">
        <f>1+I272</f>
        <v>17</v>
      </c>
      <c r="J275" s="10968"/>
      <c r="K275" s="10964">
        <f>+IF(ISNA(VLOOKUP(MATCH(P275,tfn,0),tao,'12(id)'!$K$20,FALSE)),"",IF(J275="NA","",VLOOKUP(MATCH(P275,tfn,0),tao,'12(id)'!$K$20,FALSE)+J275))</f>
        <v>8300</v>
      </c>
      <c r="L275" s="10964">
        <f>1+L272</f>
        <v>5</v>
      </c>
      <c r="M275" s="10964" t="str">
        <f t="shared" si="22"/>
        <v>8300-05</v>
      </c>
      <c r="N275" s="10964" t="str">
        <f>+IF(M275="","",VLOOKUP(MATCH(M275,tid,0),tao,'12(id)'!$Q$20,FALSE))</f>
        <v>CC13</v>
      </c>
      <c r="O275" s="10964"/>
      <c r="P275" s="6549" t="s">
        <v>344</v>
      </c>
      <c r="Q275" s="6550"/>
      <c r="R275" s="6548">
        <v>542</v>
      </c>
      <c r="S275" s="6549" t="s">
        <v>1048</v>
      </c>
      <c r="T275" s="6549"/>
      <c r="U275" s="6550">
        <v>2010</v>
      </c>
      <c r="V275" s="6550"/>
      <c r="W275" s="6548">
        <v>35</v>
      </c>
      <c r="X275" s="6548">
        <v>6</v>
      </c>
      <c r="Y275" s="6551">
        <v>476</v>
      </c>
      <c r="Z275" s="6551" t="s">
        <v>939</v>
      </c>
      <c r="AA275" s="6552">
        <v>1.2</v>
      </c>
      <c r="AB275" s="6553">
        <v>6.5</v>
      </c>
      <c r="AC275" s="6551">
        <v>10832</v>
      </c>
      <c r="AD275" s="6549" t="s">
        <v>961</v>
      </c>
      <c r="AE275" s="6549"/>
      <c r="AF275" s="6549">
        <v>4911</v>
      </c>
      <c r="AG275" s="6549" t="s">
        <v>1008</v>
      </c>
      <c r="AH275" s="6554" t="s">
        <v>1075</v>
      </c>
      <c r="AI275" s="6554" t="s">
        <v>1075</v>
      </c>
      <c r="AJ275" s="6554" t="s">
        <v>1040</v>
      </c>
      <c r="AK275" s="6554" t="s">
        <v>1011</v>
      </c>
      <c r="AL275" s="6554"/>
      <c r="AM275" s="6555"/>
      <c r="AN275" s="6554" t="s">
        <v>1013</v>
      </c>
      <c r="AO275" s="6554" t="s">
        <v>1054</v>
      </c>
      <c r="AP275" s="6554" t="s">
        <v>1047</v>
      </c>
      <c r="AQ275" s="6555"/>
      <c r="AR275" s="6555"/>
      <c r="AS275" s="6549" t="s">
        <v>38</v>
      </c>
      <c r="AT275" s="6549"/>
      <c r="AU275" s="6549"/>
      <c r="AV275" s="6549"/>
      <c r="AW275" s="6553">
        <v>308</v>
      </c>
      <c r="AX275" s="5133"/>
      <c r="AY275" s="5132"/>
      <c r="AZ275" s="5132"/>
      <c r="BA275" s="5132"/>
      <c r="BB275" s="5132"/>
    </row>
    <row r="276" spans="1:54" s="6369" customFormat="1" ht="12.75" customHeight="1">
      <c r="A276" s="10965" t="str">
        <f t="shared" si="18"/>
        <v>8300-05</v>
      </c>
      <c r="B276" s="10951" t="str">
        <f>+IF(A276="","",VLOOKUP(MATCH(A276,tid,0),tao,'12(id)'!$J$20,FALSE))</f>
        <v>NRG</v>
      </c>
      <c r="C276" s="10942" t="str">
        <f t="shared" si="19"/>
        <v>CC13</v>
      </c>
      <c r="E276" s="5132"/>
      <c r="G276" s="6548">
        <f t="shared" si="21"/>
        <v>48</v>
      </c>
      <c r="H276" s="6548">
        <v>48</v>
      </c>
      <c r="I276" s="10959"/>
      <c r="J276" s="10959"/>
      <c r="K276" s="10965">
        <f>+IF(ISNA(VLOOKUP(MATCH(P276,tfn,0),tao,'12(id)'!$K$20,FALSE)),"",IF(J276="NA","",VLOOKUP(MATCH(P276,tfn,0),tao,'12(id)'!$K$20,FALSE)+J276))</f>
        <v>8300</v>
      </c>
      <c r="L276" s="10965">
        <f>+L275</f>
        <v>5</v>
      </c>
      <c r="M276" s="10965" t="str">
        <f t="shared" si="22"/>
        <v>8300-05</v>
      </c>
      <c r="N276" s="10965" t="str">
        <f>+IF(M276="","",VLOOKUP(MATCH(M276,tid,0),tao,'12(id)'!$Q$20,FALSE))</f>
        <v>CC13</v>
      </c>
      <c r="O276" s="10965"/>
      <c r="P276" s="6549" t="s">
        <v>344</v>
      </c>
      <c r="Q276" s="6550"/>
      <c r="R276" s="6548">
        <v>542</v>
      </c>
      <c r="S276" s="6549" t="s">
        <v>1048</v>
      </c>
      <c r="T276" s="6549"/>
      <c r="U276" s="6550">
        <v>2009</v>
      </c>
      <c r="V276" s="6550"/>
      <c r="W276" s="6548">
        <v>8</v>
      </c>
      <c r="X276" s="6548">
        <v>6</v>
      </c>
      <c r="Y276" s="6551">
        <v>155</v>
      </c>
      <c r="Z276" s="6551" t="s">
        <v>939</v>
      </c>
      <c r="AA276" s="6552">
        <v>1.2</v>
      </c>
      <c r="AB276" s="6553">
        <v>1.6</v>
      </c>
      <c r="AC276" s="6551">
        <v>2602</v>
      </c>
      <c r="AD276" s="6549" t="s">
        <v>961</v>
      </c>
      <c r="AE276" s="6549"/>
      <c r="AF276" s="6549">
        <v>4911</v>
      </c>
      <c r="AG276" s="6549" t="s">
        <v>1008</v>
      </c>
      <c r="AH276" s="6555" t="s">
        <v>1075</v>
      </c>
      <c r="AI276" s="6554" t="s">
        <v>1075</v>
      </c>
      <c r="AJ276" s="6554" t="s">
        <v>11</v>
      </c>
      <c r="AK276" s="6554" t="s">
        <v>1043</v>
      </c>
      <c r="AL276" s="6554"/>
      <c r="AM276" s="6555"/>
      <c r="AN276" s="6555" t="s">
        <v>1013</v>
      </c>
      <c r="AO276" s="6555" t="s">
        <v>1054</v>
      </c>
      <c r="AP276" s="6555" t="s">
        <v>1047</v>
      </c>
      <c r="AQ276" s="6555"/>
      <c r="AR276" s="6555"/>
      <c r="AS276" s="6549" t="s">
        <v>38</v>
      </c>
      <c r="AT276" s="6549"/>
      <c r="AU276" s="6549"/>
      <c r="AV276" s="6549"/>
      <c r="AW276" s="6553">
        <v>308</v>
      </c>
      <c r="AX276" s="5133"/>
      <c r="AY276" s="5132"/>
      <c r="AZ276" s="5132"/>
      <c r="BA276" s="5132"/>
      <c r="BB276" s="5132"/>
    </row>
    <row r="277" spans="1:54" s="6369" customFormat="1" ht="12.75" customHeight="1">
      <c r="A277" s="10966" t="str">
        <f t="shared" si="18"/>
        <v>8300-05</v>
      </c>
      <c r="B277" s="10952" t="str">
        <f>+IF(A277="","",VLOOKUP(MATCH(A277,tid,0),tao,'12(id)'!$J$20,FALSE))</f>
        <v>NRG</v>
      </c>
      <c r="C277" s="10943" t="str">
        <f t="shared" si="19"/>
        <v>CC13</v>
      </c>
      <c r="E277" s="5132"/>
      <c r="G277" s="6548">
        <f t="shared" si="21"/>
        <v>49</v>
      </c>
      <c r="H277" s="6548">
        <v>47</v>
      </c>
      <c r="I277" s="10960"/>
      <c r="J277" s="10960"/>
      <c r="K277" s="10966">
        <f>+IF(ISNA(VLOOKUP(MATCH(P277,tfn,0),tao,'12(id)'!$K$20,FALSE)),"",IF(J277="NA","",VLOOKUP(MATCH(P277,tfn,0),tao,'12(id)'!$K$20,FALSE)+J277))</f>
        <v>8300</v>
      </c>
      <c r="L277" s="10966">
        <f>+L276</f>
        <v>5</v>
      </c>
      <c r="M277" s="10966" t="str">
        <f t="shared" si="22"/>
        <v>8300-05</v>
      </c>
      <c r="N277" s="10966" t="str">
        <f>+IF(M277="","",VLOOKUP(MATCH(M277,tid,0),tao,'12(id)'!$Q$20,FALSE))</f>
        <v>CC13</v>
      </c>
      <c r="O277" s="10966"/>
      <c r="P277" s="6549" t="s">
        <v>344</v>
      </c>
      <c r="Q277" s="6550"/>
      <c r="R277" s="6548">
        <v>542</v>
      </c>
      <c r="S277" s="6549" t="s">
        <v>1048</v>
      </c>
      <c r="T277" s="6549"/>
      <c r="U277" s="6550">
        <v>2008</v>
      </c>
      <c r="V277" s="6550"/>
      <c r="W277" s="6548">
        <v>4</v>
      </c>
      <c r="X277" s="6548">
        <v>6</v>
      </c>
      <c r="Y277" s="6551">
        <v>93</v>
      </c>
      <c r="Z277" s="6551" t="s">
        <v>939</v>
      </c>
      <c r="AA277" s="6552">
        <v>1.2</v>
      </c>
      <c r="AB277" s="6553">
        <v>0.8</v>
      </c>
      <c r="AC277" s="6551">
        <v>1368</v>
      </c>
      <c r="AD277" s="6549" t="s">
        <v>961</v>
      </c>
      <c r="AE277" s="6549"/>
      <c r="AF277" s="6549">
        <v>4911</v>
      </c>
      <c r="AG277" s="6549" t="s">
        <v>1008</v>
      </c>
      <c r="AH277" s="6555"/>
      <c r="AI277" s="6554"/>
      <c r="AJ277" s="6554"/>
      <c r="AK277" s="6555"/>
      <c r="AL277" s="6555"/>
      <c r="AM277" s="6555"/>
      <c r="AN277" s="6555" t="s">
        <v>164</v>
      </c>
      <c r="AO277" s="6555" t="s">
        <v>165</v>
      </c>
      <c r="AP277" s="6555" t="s">
        <v>1047</v>
      </c>
      <c r="AQ277" s="6555"/>
      <c r="AR277" s="6555"/>
      <c r="AS277" s="6549" t="s">
        <v>166</v>
      </c>
      <c r="AT277" s="6549"/>
      <c r="AU277" s="6549"/>
      <c r="AV277" s="6549"/>
      <c r="AW277" s="6553">
        <v>308</v>
      </c>
      <c r="AX277" s="5133"/>
      <c r="AY277" s="5132"/>
      <c r="AZ277" s="5132"/>
      <c r="BA277" s="5132"/>
      <c r="BB277" s="5132"/>
    </row>
    <row r="278" spans="1:54" s="6369" customFormat="1" ht="12.75" customHeight="1">
      <c r="A278" s="10964" t="str">
        <f t="shared" si="18"/>
        <v>8300-06</v>
      </c>
      <c r="B278" s="10950" t="str">
        <f>+IF(A278="","",VLOOKUP(MATCH(A278,tid,0),tao,'12(id)'!$J$20,FALSE))</f>
        <v>NRG</v>
      </c>
      <c r="C278" s="10941" t="str">
        <f t="shared" si="19"/>
        <v>CC14</v>
      </c>
      <c r="E278" s="5132"/>
      <c r="G278" s="6548">
        <f t="shared" si="21"/>
        <v>50</v>
      </c>
      <c r="H278" s="6548">
        <v>52</v>
      </c>
      <c r="I278" s="10958">
        <f>1+I275</f>
        <v>18</v>
      </c>
      <c r="J278" s="10968"/>
      <c r="K278" s="10964">
        <f>+IF(ISNA(VLOOKUP(MATCH(P278,tfn,0),tao,'12(id)'!$K$20,FALSE)),"",IF(J278="NA","",VLOOKUP(MATCH(P278,tfn,0),tao,'12(id)'!$K$20,FALSE)+J278))</f>
        <v>8300</v>
      </c>
      <c r="L278" s="10964">
        <f>1+L275</f>
        <v>6</v>
      </c>
      <c r="M278" s="10964" t="str">
        <f t="shared" si="22"/>
        <v>8300-06</v>
      </c>
      <c r="N278" s="10964" t="str">
        <f>+IF(M278="","",VLOOKUP(MATCH(M278,tid,0),tao,'12(id)'!$Q$20,FALSE))</f>
        <v>CC14</v>
      </c>
      <c r="O278" s="10964"/>
      <c r="P278" s="6549" t="s">
        <v>344</v>
      </c>
      <c r="Q278" s="6550"/>
      <c r="R278" s="6548">
        <v>542</v>
      </c>
      <c r="S278" s="6549" t="s">
        <v>167</v>
      </c>
      <c r="T278" s="6549"/>
      <c r="U278" s="6550">
        <v>2010</v>
      </c>
      <c r="V278" s="6550"/>
      <c r="W278" s="6548">
        <v>42</v>
      </c>
      <c r="X278" s="6548">
        <v>6</v>
      </c>
      <c r="Y278" s="6551">
        <v>604</v>
      </c>
      <c r="Z278" s="6551" t="s">
        <v>939</v>
      </c>
      <c r="AA278" s="6552">
        <v>1.2</v>
      </c>
      <c r="AB278" s="6553">
        <v>7.8</v>
      </c>
      <c r="AC278" s="6551">
        <v>12967</v>
      </c>
      <c r="AD278" s="6549" t="s">
        <v>961</v>
      </c>
      <c r="AE278" s="6549"/>
      <c r="AF278" s="6549">
        <v>4911</v>
      </c>
      <c r="AG278" s="6549" t="s">
        <v>1008</v>
      </c>
      <c r="AH278" s="6554" t="s">
        <v>1075</v>
      </c>
      <c r="AI278" s="6554" t="s">
        <v>1075</v>
      </c>
      <c r="AJ278" s="6554" t="s">
        <v>1040</v>
      </c>
      <c r="AK278" s="6554" t="s">
        <v>1011</v>
      </c>
      <c r="AL278" s="6554"/>
      <c r="AM278" s="6555"/>
      <c r="AN278" s="6554" t="s">
        <v>1013</v>
      </c>
      <c r="AO278" s="6554" t="s">
        <v>1054</v>
      </c>
      <c r="AP278" s="6554" t="s">
        <v>1047</v>
      </c>
      <c r="AQ278" s="6555"/>
      <c r="AR278" s="6555"/>
      <c r="AS278" s="6549" t="s">
        <v>38</v>
      </c>
      <c r="AT278" s="6549"/>
      <c r="AU278" s="6549"/>
      <c r="AV278" s="6549"/>
      <c r="AW278" s="6553">
        <v>308</v>
      </c>
      <c r="AX278" s="5133"/>
      <c r="AY278" s="5132"/>
      <c r="AZ278" s="5132"/>
      <c r="BA278" s="5132"/>
      <c r="BB278" s="5132"/>
    </row>
    <row r="279" spans="1:54" s="6369" customFormat="1" ht="12.75" customHeight="1">
      <c r="A279" s="10965" t="str">
        <f t="shared" si="18"/>
        <v>8300-06</v>
      </c>
      <c r="B279" s="10951" t="str">
        <f>+IF(A279="","",VLOOKUP(MATCH(A279,tid,0),tao,'12(id)'!$J$20,FALSE))</f>
        <v>NRG</v>
      </c>
      <c r="C279" s="10942" t="str">
        <f t="shared" si="19"/>
        <v>CC14</v>
      </c>
      <c r="E279" s="5132"/>
      <c r="G279" s="6548">
        <f t="shared" si="21"/>
        <v>51</v>
      </c>
      <c r="H279" s="6548">
        <v>51</v>
      </c>
      <c r="I279" s="10959"/>
      <c r="J279" s="10959"/>
      <c r="K279" s="10965">
        <f>+IF(ISNA(VLOOKUP(MATCH(P279,tfn,0),tao,'12(id)'!$K$20,FALSE)),"",IF(J279="NA","",VLOOKUP(MATCH(P279,tfn,0),tao,'12(id)'!$K$20,FALSE)+J279))</f>
        <v>8300</v>
      </c>
      <c r="L279" s="10965">
        <f>+L278</f>
        <v>6</v>
      </c>
      <c r="M279" s="10965" t="str">
        <f t="shared" si="22"/>
        <v>8300-06</v>
      </c>
      <c r="N279" s="10965" t="str">
        <f>+IF(M279="","",VLOOKUP(MATCH(M279,tid,0),tao,'12(id)'!$Q$20,FALSE))</f>
        <v>CC14</v>
      </c>
      <c r="O279" s="10965"/>
      <c r="P279" s="6549" t="s">
        <v>344</v>
      </c>
      <c r="Q279" s="6550"/>
      <c r="R279" s="6548">
        <v>542</v>
      </c>
      <c r="S279" s="6549" t="s">
        <v>167</v>
      </c>
      <c r="T279" s="6549"/>
      <c r="U279" s="6550">
        <v>2009</v>
      </c>
      <c r="V279" s="6550"/>
      <c r="W279" s="6548">
        <v>13</v>
      </c>
      <c r="X279" s="6548">
        <v>6</v>
      </c>
      <c r="Y279" s="6551">
        <v>209</v>
      </c>
      <c r="Z279" s="6551" t="s">
        <v>939</v>
      </c>
      <c r="AA279" s="6552">
        <v>1.2</v>
      </c>
      <c r="AB279" s="6553">
        <v>2.5</v>
      </c>
      <c r="AC279" s="6551">
        <v>4118</v>
      </c>
      <c r="AD279" s="6549" t="s">
        <v>961</v>
      </c>
      <c r="AE279" s="6549"/>
      <c r="AF279" s="6549">
        <v>4911</v>
      </c>
      <c r="AG279" s="6549" t="s">
        <v>1008</v>
      </c>
      <c r="AH279" s="6555" t="s">
        <v>1075</v>
      </c>
      <c r="AI279" s="6554" t="s">
        <v>1075</v>
      </c>
      <c r="AJ279" s="6554" t="s">
        <v>11</v>
      </c>
      <c r="AK279" s="6554" t="s">
        <v>1043</v>
      </c>
      <c r="AL279" s="6554"/>
      <c r="AM279" s="6555"/>
      <c r="AN279" s="6555" t="s">
        <v>1013</v>
      </c>
      <c r="AO279" s="6555" t="s">
        <v>1054</v>
      </c>
      <c r="AP279" s="6555" t="s">
        <v>1047</v>
      </c>
      <c r="AQ279" s="6555"/>
      <c r="AR279" s="6555"/>
      <c r="AS279" s="6549" t="s">
        <v>38</v>
      </c>
      <c r="AT279" s="6549"/>
      <c r="AU279" s="6549"/>
      <c r="AV279" s="6549"/>
      <c r="AW279" s="6553">
        <v>308</v>
      </c>
      <c r="AX279" s="5133"/>
      <c r="AY279" s="5132"/>
      <c r="AZ279" s="5132"/>
      <c r="BA279" s="5132"/>
      <c r="BB279" s="5132"/>
    </row>
    <row r="280" spans="1:54" s="6369" customFormat="1" ht="12.75" customHeight="1">
      <c r="A280" s="10966" t="str">
        <f t="shared" si="18"/>
        <v>8300-06</v>
      </c>
      <c r="B280" s="10952" t="str">
        <f>+IF(A280="","",VLOOKUP(MATCH(A280,tid,0),tao,'12(id)'!$J$20,FALSE))</f>
        <v>NRG</v>
      </c>
      <c r="C280" s="10943" t="str">
        <f t="shared" si="19"/>
        <v>CC14</v>
      </c>
      <c r="E280" s="5132"/>
      <c r="G280" s="6548">
        <f t="shared" si="21"/>
        <v>52</v>
      </c>
      <c r="H280" s="6548">
        <v>50</v>
      </c>
      <c r="I280" s="10960"/>
      <c r="J280" s="10960"/>
      <c r="K280" s="10966">
        <f>+IF(ISNA(VLOOKUP(MATCH(P280,tfn,0),tao,'12(id)'!$K$20,FALSE)),"",IF(J280="NA","",VLOOKUP(MATCH(P280,tfn,0),tao,'12(id)'!$K$20,FALSE)+J280))</f>
        <v>8300</v>
      </c>
      <c r="L280" s="10966">
        <f>+L279</f>
        <v>6</v>
      </c>
      <c r="M280" s="10966" t="str">
        <f t="shared" si="22"/>
        <v>8300-06</v>
      </c>
      <c r="N280" s="10966" t="str">
        <f>+IF(M280="","",VLOOKUP(MATCH(M280,tid,0),tao,'12(id)'!$Q$20,FALSE))</f>
        <v>CC14</v>
      </c>
      <c r="O280" s="10966"/>
      <c r="P280" s="6549" t="s">
        <v>344</v>
      </c>
      <c r="Q280" s="6550"/>
      <c r="R280" s="6548">
        <v>542</v>
      </c>
      <c r="S280" s="6549" t="s">
        <v>167</v>
      </c>
      <c r="T280" s="6549"/>
      <c r="U280" s="6550">
        <v>2008</v>
      </c>
      <c r="V280" s="6550"/>
      <c r="W280" s="6548">
        <v>4</v>
      </c>
      <c r="X280" s="6548">
        <v>6</v>
      </c>
      <c r="Y280" s="6551">
        <v>91</v>
      </c>
      <c r="Z280" s="6551" t="s">
        <v>939</v>
      </c>
      <c r="AA280" s="6552">
        <v>1.2</v>
      </c>
      <c r="AB280" s="6553">
        <v>0.8</v>
      </c>
      <c r="AC280" s="6551">
        <v>1334</v>
      </c>
      <c r="AD280" s="6549" t="s">
        <v>961</v>
      </c>
      <c r="AE280" s="6549"/>
      <c r="AF280" s="6549">
        <v>4911</v>
      </c>
      <c r="AG280" s="6549" t="s">
        <v>1008</v>
      </c>
      <c r="AH280" s="6555"/>
      <c r="AI280" s="6554"/>
      <c r="AJ280" s="6554" t="s">
        <v>9</v>
      </c>
      <c r="AK280" s="6555" t="s">
        <v>10</v>
      </c>
      <c r="AL280" s="6555"/>
      <c r="AM280" s="6555"/>
      <c r="AN280" s="6555" t="s">
        <v>168</v>
      </c>
      <c r="AO280" s="6555" t="s">
        <v>165</v>
      </c>
      <c r="AP280" s="6555" t="s">
        <v>1047</v>
      </c>
      <c r="AQ280" s="6555"/>
      <c r="AR280" s="6555"/>
      <c r="AS280" s="6549" t="s">
        <v>169</v>
      </c>
      <c r="AT280" s="6549"/>
      <c r="AU280" s="6549"/>
      <c r="AV280" s="6549"/>
      <c r="AW280" s="6553">
        <v>308</v>
      </c>
      <c r="AX280" s="5133"/>
      <c r="AY280" s="5132"/>
      <c r="AZ280" s="5132"/>
      <c r="BA280" s="5132"/>
      <c r="BB280" s="5132"/>
    </row>
    <row r="281" spans="1:54" s="6369" customFormat="1" ht="12.75" customHeight="1">
      <c r="A281" s="10964" t="str">
        <f t="shared" si="18"/>
        <v>8300-11</v>
      </c>
      <c r="B281" s="10950" t="str">
        <f>+IF(A281="","",VLOOKUP(MATCH(A281,tid,0),tao,'12(id)'!$J$20,FALSE))</f>
        <v>NRG</v>
      </c>
      <c r="C281" s="10941" t="str">
        <f t="shared" si="19"/>
        <v>DV10</v>
      </c>
      <c r="E281" s="5132"/>
      <c r="G281" s="6548">
        <f t="shared" si="21"/>
        <v>53</v>
      </c>
      <c r="H281" s="6548">
        <v>55</v>
      </c>
      <c r="I281" s="10958">
        <f>1+I278</f>
        <v>19</v>
      </c>
      <c r="J281" s="6556"/>
      <c r="K281" s="10964">
        <f>+IF(ISNA(VLOOKUP(MATCH(P281,tfn,0),tao,'12(id)'!$K$20,FALSE)),"",IF(J281="NA","",VLOOKUP(MATCH(P281,tfn,0),tao,'12(id)'!$K$20,FALSE)+J281))</f>
        <v>8300</v>
      </c>
      <c r="L281" s="10964">
        <v>11</v>
      </c>
      <c r="M281" s="10964" t="str">
        <f t="shared" si="22"/>
        <v>8300-11</v>
      </c>
      <c r="N281" s="10964" t="str">
        <f>+IF(M281="","",VLOOKUP(MATCH(M281,tid,0),tao,'12(id)'!$Q$20,FALSE))</f>
        <v>DV10</v>
      </c>
      <c r="O281" s="10964"/>
      <c r="P281" s="6549" t="s">
        <v>345</v>
      </c>
      <c r="Q281" s="6550"/>
      <c r="R281" s="6548">
        <v>544</v>
      </c>
      <c r="S281" s="6549" t="s">
        <v>1044</v>
      </c>
      <c r="T281" s="6549"/>
      <c r="U281" s="6550">
        <v>2010</v>
      </c>
      <c r="V281" s="6550"/>
      <c r="W281" s="6548">
        <v>24</v>
      </c>
      <c r="X281" s="6548">
        <v>6</v>
      </c>
      <c r="Y281" s="6551">
        <v>454</v>
      </c>
      <c r="Z281" s="6551" t="s">
        <v>939</v>
      </c>
      <c r="AA281" s="6552">
        <v>1.2</v>
      </c>
      <c r="AB281" s="6553">
        <v>3.3</v>
      </c>
      <c r="AC281" s="6551">
        <v>5575</v>
      </c>
      <c r="AD281" s="6549" t="s">
        <v>961</v>
      </c>
      <c r="AE281" s="6549"/>
      <c r="AF281" s="6549">
        <v>4911</v>
      </c>
      <c r="AG281" s="6549" t="s">
        <v>1008</v>
      </c>
      <c r="AH281" s="6554" t="s">
        <v>170</v>
      </c>
      <c r="AI281" s="6554" t="s">
        <v>170</v>
      </c>
      <c r="AJ281" s="6554" t="s">
        <v>1040</v>
      </c>
      <c r="AK281" s="6554" t="s">
        <v>238</v>
      </c>
      <c r="AL281" s="6554"/>
      <c r="AM281" s="6555"/>
      <c r="AN281" s="6554" t="s">
        <v>1013</v>
      </c>
      <c r="AO281" s="6554" t="s">
        <v>1054</v>
      </c>
      <c r="AP281" s="6554" t="s">
        <v>1047</v>
      </c>
      <c r="AQ281" s="6555"/>
      <c r="AR281" s="6555"/>
      <c r="AS281" s="6549"/>
      <c r="AT281" s="6549"/>
      <c r="AU281" s="6549"/>
      <c r="AV281" s="6549"/>
      <c r="AW281" s="6553">
        <v>230</v>
      </c>
      <c r="AX281" s="5133"/>
      <c r="AY281" s="5132"/>
      <c r="AZ281" s="5132"/>
      <c r="BA281" s="5132"/>
      <c r="BB281" s="5132"/>
    </row>
    <row r="282" spans="1:54" s="6369" customFormat="1" ht="12.75" customHeight="1">
      <c r="A282" s="10965" t="str">
        <f t="shared" si="18"/>
        <v>8300-11</v>
      </c>
      <c r="B282" s="10951" t="str">
        <f>+IF(A282="","",VLOOKUP(MATCH(A282,tid,0),tao,'12(id)'!$J$20,FALSE))</f>
        <v>NRG</v>
      </c>
      <c r="C282" s="10942" t="str">
        <f t="shared" si="19"/>
        <v>DV10</v>
      </c>
      <c r="E282" s="5132"/>
      <c r="G282" s="6548">
        <f t="shared" si="21"/>
        <v>54</v>
      </c>
      <c r="H282" s="6548">
        <v>54</v>
      </c>
      <c r="I282" s="10959"/>
      <c r="J282" s="6557"/>
      <c r="K282" s="10965">
        <f>+IF(ISNA(VLOOKUP(MATCH(P282,tfn,0),tao,'12(id)'!$K$20,FALSE)),"",IF(J282="NA","",VLOOKUP(MATCH(P282,tfn,0),tao,'12(id)'!$K$20,FALSE)+J282))</f>
        <v>8300</v>
      </c>
      <c r="L282" s="10965">
        <f>+L281</f>
        <v>11</v>
      </c>
      <c r="M282" s="10965" t="str">
        <f t="shared" si="22"/>
        <v>8300-11</v>
      </c>
      <c r="N282" s="10965" t="str">
        <f>+IF(M282="","",VLOOKUP(MATCH(M282,tid,0),tao,'12(id)'!$Q$20,FALSE))</f>
        <v>DV10</v>
      </c>
      <c r="O282" s="10965"/>
      <c r="P282" s="6549" t="s">
        <v>345</v>
      </c>
      <c r="Q282" s="6550"/>
      <c r="R282" s="6548">
        <v>544</v>
      </c>
      <c r="S282" s="6549" t="s">
        <v>1044</v>
      </c>
      <c r="T282" s="6549"/>
      <c r="U282" s="6550">
        <v>2009</v>
      </c>
      <c r="V282" s="6550"/>
      <c r="W282" s="6548">
        <v>4</v>
      </c>
      <c r="X282" s="6548">
        <v>6</v>
      </c>
      <c r="Y282" s="6551">
        <v>65</v>
      </c>
      <c r="Z282" s="6551" t="s">
        <v>939</v>
      </c>
      <c r="AA282" s="6552">
        <v>1.2</v>
      </c>
      <c r="AB282" s="6553">
        <v>0.5</v>
      </c>
      <c r="AC282" s="6551">
        <v>869</v>
      </c>
      <c r="AD282" s="6549" t="s">
        <v>961</v>
      </c>
      <c r="AE282" s="6549"/>
      <c r="AF282" s="6549">
        <v>4911</v>
      </c>
      <c r="AG282" s="6549" t="s">
        <v>1008</v>
      </c>
      <c r="AH282" s="6554" t="s">
        <v>170</v>
      </c>
      <c r="AI282" s="6554" t="s">
        <v>170</v>
      </c>
      <c r="AJ282" s="6554" t="s">
        <v>1040</v>
      </c>
      <c r="AK282" s="6554" t="s">
        <v>238</v>
      </c>
      <c r="AL282" s="6554"/>
      <c r="AM282" s="6555"/>
      <c r="AN282" s="6554" t="s">
        <v>1013</v>
      </c>
      <c r="AO282" s="6554" t="s">
        <v>1054</v>
      </c>
      <c r="AP282" s="6554" t="s">
        <v>1047</v>
      </c>
      <c r="AQ282" s="6555"/>
      <c r="AR282" s="6555"/>
      <c r="AS282" s="6549"/>
      <c r="AT282" s="6549"/>
      <c r="AU282" s="6549"/>
      <c r="AV282" s="6549"/>
      <c r="AW282" s="6553">
        <v>230</v>
      </c>
      <c r="AX282" s="5133"/>
      <c r="AY282" s="5132"/>
      <c r="AZ282" s="5132"/>
      <c r="BA282" s="5132"/>
      <c r="BB282" s="5132"/>
    </row>
    <row r="283" spans="1:54" s="6369" customFormat="1" ht="12.75" customHeight="1">
      <c r="A283" s="10966" t="str">
        <f t="shared" si="18"/>
        <v>8300-11</v>
      </c>
      <c r="B283" s="10952" t="str">
        <f>+IF(A283="","",VLOOKUP(MATCH(A283,tid,0),tao,'12(id)'!$J$20,FALSE))</f>
        <v>NRG</v>
      </c>
      <c r="C283" s="10943" t="str">
        <f t="shared" si="19"/>
        <v>DV10</v>
      </c>
      <c r="E283" s="5132"/>
      <c r="G283" s="6548">
        <f t="shared" si="21"/>
        <v>55</v>
      </c>
      <c r="H283" s="6548">
        <v>53</v>
      </c>
      <c r="I283" s="10960"/>
      <c r="J283" s="6558"/>
      <c r="K283" s="10966">
        <f>+IF(ISNA(VLOOKUP(MATCH(P283,tfn,0),tao,'12(id)'!$K$20,FALSE)),"",IF(J283="NA","",VLOOKUP(MATCH(P283,tfn,0),tao,'12(id)'!$K$20,FALSE)+J283))</f>
        <v>8300</v>
      </c>
      <c r="L283" s="10966">
        <f>+L282</f>
        <v>11</v>
      </c>
      <c r="M283" s="10966" t="str">
        <f t="shared" si="22"/>
        <v>8300-11</v>
      </c>
      <c r="N283" s="10966" t="str">
        <f>+IF(M283="","",VLOOKUP(MATCH(M283,tid,0),tao,'12(id)'!$Q$20,FALSE))</f>
        <v>DV10</v>
      </c>
      <c r="O283" s="10966"/>
      <c r="P283" s="6549" t="s">
        <v>345</v>
      </c>
      <c r="Q283" s="6550"/>
      <c r="R283" s="6548">
        <v>544</v>
      </c>
      <c r="S283" s="6549" t="s">
        <v>1044</v>
      </c>
      <c r="T283" s="6549"/>
      <c r="U283" s="6550">
        <v>2008</v>
      </c>
      <c r="V283" s="6550"/>
      <c r="W283" s="6548">
        <v>6</v>
      </c>
      <c r="X283" s="6548">
        <v>6</v>
      </c>
      <c r="Y283" s="6551">
        <v>112</v>
      </c>
      <c r="Z283" s="6551" t="s">
        <v>939</v>
      </c>
      <c r="AA283" s="6552">
        <v>1.2</v>
      </c>
      <c r="AB283" s="6553">
        <v>0.8</v>
      </c>
      <c r="AC283" s="6551">
        <v>1352</v>
      </c>
      <c r="AD283" s="6549" t="s">
        <v>961</v>
      </c>
      <c r="AE283" s="6549"/>
      <c r="AF283" s="6549">
        <v>4911</v>
      </c>
      <c r="AG283" s="6549" t="s">
        <v>1008</v>
      </c>
      <c r="AH283" s="6555" t="s">
        <v>170</v>
      </c>
      <c r="AI283" s="6554" t="s">
        <v>170</v>
      </c>
      <c r="AJ283" s="6554"/>
      <c r="AK283" s="6555"/>
      <c r="AL283" s="6555"/>
      <c r="AM283" s="6555"/>
      <c r="AN283" s="6555" t="s">
        <v>1013</v>
      </c>
      <c r="AO283" s="6555" t="s">
        <v>1054</v>
      </c>
      <c r="AP283" s="6555" t="s">
        <v>1047</v>
      </c>
      <c r="AQ283" s="6555"/>
      <c r="AR283" s="6555"/>
      <c r="AS283" s="6549"/>
      <c r="AT283" s="6549"/>
      <c r="AU283" s="6549"/>
      <c r="AV283" s="6549"/>
      <c r="AW283" s="6553">
        <v>230</v>
      </c>
      <c r="AX283" s="5133"/>
      <c r="AY283" s="5132"/>
      <c r="AZ283" s="5132"/>
      <c r="BA283" s="5132"/>
      <c r="BB283" s="5132"/>
    </row>
    <row r="284" spans="1:54" s="6369" customFormat="1" ht="12.75" customHeight="1">
      <c r="A284" s="10964" t="str">
        <f t="shared" si="18"/>
        <v>8300-12</v>
      </c>
      <c r="B284" s="10950" t="str">
        <f>+IF(A284="","",VLOOKUP(MATCH(A284,tid,0),tao,'12(id)'!$J$20,FALSE))</f>
        <v>NRG</v>
      </c>
      <c r="C284" s="10941" t="str">
        <f t="shared" si="19"/>
        <v>DV11</v>
      </c>
      <c r="E284" s="5132"/>
      <c r="G284" s="6548">
        <f t="shared" si="21"/>
        <v>56</v>
      </c>
      <c r="H284" s="6548">
        <v>58</v>
      </c>
      <c r="I284" s="10958">
        <f>1+I281</f>
        <v>20</v>
      </c>
      <c r="J284" s="10968"/>
      <c r="K284" s="10964">
        <f>+IF(ISNA(VLOOKUP(MATCH(P284,tfn,0),tao,'12(id)'!$K$20,FALSE)),"",IF(J284="NA","",VLOOKUP(MATCH(P284,tfn,0),tao,'12(id)'!$K$20,FALSE)+J284))</f>
        <v>8300</v>
      </c>
      <c r="L284" s="10964">
        <f>1+L281</f>
        <v>12</v>
      </c>
      <c r="M284" s="10964" t="str">
        <f t="shared" si="22"/>
        <v>8300-12</v>
      </c>
      <c r="N284" s="10964" t="str">
        <f>+IF(M284="","",VLOOKUP(MATCH(M284,tid,0),tao,'12(id)'!$Q$20,FALSE))</f>
        <v>DV11</v>
      </c>
      <c r="O284" s="10964"/>
      <c r="P284" s="6549" t="s">
        <v>345</v>
      </c>
      <c r="Q284" s="6550"/>
      <c r="R284" s="6548">
        <v>544</v>
      </c>
      <c r="S284" s="6549" t="s">
        <v>965</v>
      </c>
      <c r="T284" s="6549"/>
      <c r="U284" s="6550">
        <v>2010</v>
      </c>
      <c r="V284" s="6550"/>
      <c r="W284" s="6548">
        <v>107</v>
      </c>
      <c r="X284" s="6548">
        <v>12</v>
      </c>
      <c r="Y284" s="6551">
        <v>3341</v>
      </c>
      <c r="Z284" s="6551" t="s">
        <v>939</v>
      </c>
      <c r="AA284" s="6552">
        <v>0.15</v>
      </c>
      <c r="AB284" s="6553">
        <v>2.6</v>
      </c>
      <c r="AC284" s="6551">
        <v>34493</v>
      </c>
      <c r="AD284" s="6549" t="s">
        <v>961</v>
      </c>
      <c r="AE284" s="6549"/>
      <c r="AF284" s="6549">
        <v>4911</v>
      </c>
      <c r="AG284" s="6549" t="s">
        <v>1008</v>
      </c>
      <c r="AH284" s="6554" t="s">
        <v>170</v>
      </c>
      <c r="AI284" s="6554" t="s">
        <v>170</v>
      </c>
      <c r="AJ284" s="6554" t="s">
        <v>1040</v>
      </c>
      <c r="AK284" s="6554" t="s">
        <v>238</v>
      </c>
      <c r="AL284" s="6554"/>
      <c r="AM284" s="6555"/>
      <c r="AN284" s="6554" t="s">
        <v>1013</v>
      </c>
      <c r="AO284" s="6554" t="s">
        <v>1054</v>
      </c>
      <c r="AP284" s="6554" t="s">
        <v>1021</v>
      </c>
      <c r="AQ284" s="6554" t="s">
        <v>1047</v>
      </c>
      <c r="AR284" s="6555"/>
      <c r="AS284" s="6549" t="s">
        <v>38</v>
      </c>
      <c r="AT284" s="6549"/>
      <c r="AU284" s="6549"/>
      <c r="AV284" s="6549"/>
      <c r="AW284" s="6553">
        <v>415</v>
      </c>
      <c r="AX284" s="5133"/>
      <c r="AY284" s="5132"/>
      <c r="AZ284" s="5132"/>
      <c r="BA284" s="5132"/>
      <c r="BB284" s="5132"/>
    </row>
    <row r="285" spans="1:54" s="6369" customFormat="1" ht="12.75" customHeight="1">
      <c r="A285" s="10965" t="str">
        <f t="shared" si="18"/>
        <v>8300-12</v>
      </c>
      <c r="B285" s="10951" t="str">
        <f>+IF(A285="","",VLOOKUP(MATCH(A285,tid,0),tao,'12(id)'!$J$20,FALSE))</f>
        <v>NRG</v>
      </c>
      <c r="C285" s="10942" t="str">
        <f t="shared" si="19"/>
        <v>DV11</v>
      </c>
      <c r="E285" s="5132"/>
      <c r="G285" s="6548">
        <f t="shared" si="21"/>
        <v>57</v>
      </c>
      <c r="H285" s="6548">
        <v>57</v>
      </c>
      <c r="I285" s="10959"/>
      <c r="J285" s="10959"/>
      <c r="K285" s="10965">
        <f>+IF(ISNA(VLOOKUP(MATCH(P285,tfn,0),tao,'12(id)'!$K$20,FALSE)),"",IF(J285="NA","",VLOOKUP(MATCH(P285,tfn,0),tao,'12(id)'!$K$20,FALSE)+J285))</f>
        <v>8300</v>
      </c>
      <c r="L285" s="10965">
        <f>+L284</f>
        <v>12</v>
      </c>
      <c r="M285" s="10965" t="str">
        <f t="shared" si="22"/>
        <v>8300-12</v>
      </c>
      <c r="N285" s="10965" t="str">
        <f>+IF(M285="","",VLOOKUP(MATCH(M285,tid,0),tao,'12(id)'!$Q$20,FALSE))</f>
        <v>DV11</v>
      </c>
      <c r="O285" s="10965"/>
      <c r="P285" s="6549" t="s">
        <v>345</v>
      </c>
      <c r="Q285" s="6550"/>
      <c r="R285" s="6548">
        <v>544</v>
      </c>
      <c r="S285" s="6549" t="s">
        <v>965</v>
      </c>
      <c r="T285" s="6549"/>
      <c r="U285" s="6550">
        <v>2009</v>
      </c>
      <c r="V285" s="6550"/>
      <c r="W285" s="6548">
        <v>70</v>
      </c>
      <c r="X285" s="6548">
        <v>12</v>
      </c>
      <c r="Y285" s="6551">
        <v>2387</v>
      </c>
      <c r="Z285" s="6551" t="s">
        <v>939</v>
      </c>
      <c r="AA285" s="6552">
        <v>0.16</v>
      </c>
      <c r="AB285" s="6553">
        <v>2</v>
      </c>
      <c r="AC285" s="6551">
        <v>24111</v>
      </c>
      <c r="AD285" s="6549" t="s">
        <v>961</v>
      </c>
      <c r="AE285" s="6549"/>
      <c r="AF285" s="6549">
        <v>4911</v>
      </c>
      <c r="AG285" s="6549" t="s">
        <v>1008</v>
      </c>
      <c r="AH285" s="6554" t="s">
        <v>170</v>
      </c>
      <c r="AI285" s="6554" t="s">
        <v>170</v>
      </c>
      <c r="AJ285" s="6554" t="s">
        <v>1040</v>
      </c>
      <c r="AK285" s="6554" t="s">
        <v>238</v>
      </c>
      <c r="AL285" s="6554"/>
      <c r="AM285" s="6555"/>
      <c r="AN285" s="6554" t="s">
        <v>1013</v>
      </c>
      <c r="AO285" s="6554" t="s">
        <v>1054</v>
      </c>
      <c r="AP285" s="6554" t="s">
        <v>1021</v>
      </c>
      <c r="AQ285" s="6554" t="s">
        <v>1047</v>
      </c>
      <c r="AR285" s="6555"/>
      <c r="AS285" s="6549" t="s">
        <v>38</v>
      </c>
      <c r="AT285" s="6549"/>
      <c r="AU285" s="6549"/>
      <c r="AV285" s="6549"/>
      <c r="AW285" s="6553">
        <v>415</v>
      </c>
      <c r="AX285" s="5133"/>
      <c r="AY285" s="5132"/>
      <c r="AZ285" s="5132"/>
      <c r="BA285" s="5132"/>
      <c r="BB285" s="5132"/>
    </row>
    <row r="286" spans="1:54" s="6369" customFormat="1" ht="12.75" customHeight="1">
      <c r="A286" s="10966" t="str">
        <f t="shared" si="18"/>
        <v>8300-12</v>
      </c>
      <c r="B286" s="10952" t="str">
        <f>+IF(A286="","",VLOOKUP(MATCH(A286,tid,0),tao,'12(id)'!$J$20,FALSE))</f>
        <v>NRG</v>
      </c>
      <c r="C286" s="10943" t="str">
        <f t="shared" si="19"/>
        <v>DV11</v>
      </c>
      <c r="E286" s="5132"/>
      <c r="G286" s="6548">
        <f t="shared" si="21"/>
        <v>58</v>
      </c>
      <c r="H286" s="6548">
        <v>56</v>
      </c>
      <c r="I286" s="10960"/>
      <c r="J286" s="10960"/>
      <c r="K286" s="10966">
        <f>+IF(ISNA(VLOOKUP(MATCH(P286,tfn,0),tao,'12(id)'!$K$20,FALSE)),"",IF(J286="NA","",VLOOKUP(MATCH(P286,tfn,0),tao,'12(id)'!$K$20,FALSE)+J286))</f>
        <v>8300</v>
      </c>
      <c r="L286" s="10966">
        <f>+L285</f>
        <v>12</v>
      </c>
      <c r="M286" s="10966" t="str">
        <f t="shared" si="22"/>
        <v>8300-12</v>
      </c>
      <c r="N286" s="10966" t="str">
        <f>+IF(M286="","",VLOOKUP(MATCH(M286,tid,0),tao,'12(id)'!$Q$20,FALSE))</f>
        <v>DV11</v>
      </c>
      <c r="O286" s="10966"/>
      <c r="P286" s="6549" t="s">
        <v>345</v>
      </c>
      <c r="Q286" s="6550"/>
      <c r="R286" s="6548">
        <v>544</v>
      </c>
      <c r="S286" s="6549" t="s">
        <v>965</v>
      </c>
      <c r="T286" s="6549"/>
      <c r="U286" s="6550">
        <v>2008</v>
      </c>
      <c r="V286" s="6550"/>
      <c r="W286" s="6548">
        <v>38</v>
      </c>
      <c r="X286" s="6548">
        <v>12</v>
      </c>
      <c r="Y286" s="6551">
        <v>1181</v>
      </c>
      <c r="Z286" s="6551" t="s">
        <v>939</v>
      </c>
      <c r="AA286" s="6552">
        <v>0.16</v>
      </c>
      <c r="AB286" s="6553">
        <v>1</v>
      </c>
      <c r="AC286" s="6551">
        <v>12062</v>
      </c>
      <c r="AD286" s="6549" t="s">
        <v>961</v>
      </c>
      <c r="AE286" s="6549"/>
      <c r="AF286" s="6549">
        <v>4911</v>
      </c>
      <c r="AG286" s="6549" t="s">
        <v>1008</v>
      </c>
      <c r="AH286" s="6555" t="s">
        <v>170</v>
      </c>
      <c r="AI286" s="6554" t="s">
        <v>170</v>
      </c>
      <c r="AJ286" s="6554" t="s">
        <v>237</v>
      </c>
      <c r="AK286" s="6555" t="s">
        <v>10</v>
      </c>
      <c r="AL286" s="6555"/>
      <c r="AM286" s="6555"/>
      <c r="AN286" s="6555" t="s">
        <v>1013</v>
      </c>
      <c r="AO286" s="6555" t="s">
        <v>1054</v>
      </c>
      <c r="AP286" s="6555" t="s">
        <v>1021</v>
      </c>
      <c r="AQ286" s="6555" t="s">
        <v>1047</v>
      </c>
      <c r="AR286" s="6555"/>
      <c r="AS286" s="6549" t="s">
        <v>38</v>
      </c>
      <c r="AT286" s="6549"/>
      <c r="AU286" s="6549"/>
      <c r="AV286" s="6549"/>
      <c r="AW286" s="6553">
        <v>415</v>
      </c>
      <c r="AX286" s="5133"/>
      <c r="AY286" s="5132"/>
      <c r="AZ286" s="5132"/>
      <c r="BA286" s="5132"/>
      <c r="BB286" s="5132"/>
    </row>
    <row r="287" spans="1:54" s="6369" customFormat="1" ht="12.75" customHeight="1">
      <c r="A287" s="10964" t="str">
        <f t="shared" si="18"/>
        <v>8300-13</v>
      </c>
      <c r="B287" s="10950" t="str">
        <f>+IF(A287="","",VLOOKUP(MATCH(A287,tid,0),tao,'12(id)'!$J$20,FALSE))</f>
        <v>NRG</v>
      </c>
      <c r="C287" s="10941" t="str">
        <f t="shared" si="19"/>
        <v>DV12</v>
      </c>
      <c r="E287" s="5132"/>
      <c r="G287" s="6548">
        <f t="shared" si="21"/>
        <v>59</v>
      </c>
      <c r="H287" s="6548">
        <v>61</v>
      </c>
      <c r="I287" s="10958">
        <f>1+I284</f>
        <v>21</v>
      </c>
      <c r="J287" s="6556"/>
      <c r="K287" s="10964">
        <f>+IF(ISNA(VLOOKUP(MATCH(P287,tfn,0),tao,'12(id)'!$K$20,FALSE)),"",IF(J287="NA","",VLOOKUP(MATCH(P287,tfn,0),tao,'12(id)'!$K$20,FALSE)+J287))</f>
        <v>8300</v>
      </c>
      <c r="L287" s="10964">
        <f>1+L284</f>
        <v>13</v>
      </c>
      <c r="M287" s="10964" t="str">
        <f t="shared" si="22"/>
        <v>8300-13</v>
      </c>
      <c r="N287" s="10964" t="str">
        <f>+IF(M287="","",VLOOKUP(MATCH(M287,tid,0),tao,'12(id)'!$Q$20,FALSE))</f>
        <v>DV12</v>
      </c>
      <c r="O287" s="10964"/>
      <c r="P287" s="6549" t="s">
        <v>345</v>
      </c>
      <c r="Q287" s="6550"/>
      <c r="R287" s="6548">
        <v>544</v>
      </c>
      <c r="S287" s="6549" t="s">
        <v>959</v>
      </c>
      <c r="T287" s="6549"/>
      <c r="U287" s="6550">
        <v>2010</v>
      </c>
      <c r="V287" s="6550"/>
      <c r="W287" s="6548">
        <v>79</v>
      </c>
      <c r="X287" s="6548">
        <v>12</v>
      </c>
      <c r="Y287" s="6551">
        <v>2531</v>
      </c>
      <c r="Z287" s="6551" t="s">
        <v>939</v>
      </c>
      <c r="AA287" s="6552">
        <v>0.13</v>
      </c>
      <c r="AB287" s="6553">
        <v>1.7</v>
      </c>
      <c r="AC287" s="6551">
        <v>25823</v>
      </c>
      <c r="AD287" s="6549" t="s">
        <v>961</v>
      </c>
      <c r="AE287" s="6549"/>
      <c r="AF287" s="6549">
        <v>4911</v>
      </c>
      <c r="AG287" s="6549" t="s">
        <v>1008</v>
      </c>
      <c r="AH287" s="6554" t="s">
        <v>170</v>
      </c>
      <c r="AI287" s="6554" t="s">
        <v>170</v>
      </c>
      <c r="AJ287" s="6554" t="s">
        <v>1040</v>
      </c>
      <c r="AK287" s="6554" t="s">
        <v>238</v>
      </c>
      <c r="AL287" s="6554"/>
      <c r="AM287" s="6555"/>
      <c r="AN287" s="6554" t="s">
        <v>1013</v>
      </c>
      <c r="AO287" s="6554" t="s">
        <v>1054</v>
      </c>
      <c r="AP287" s="6554" t="s">
        <v>1021</v>
      </c>
      <c r="AQ287" s="6554" t="s">
        <v>1047</v>
      </c>
      <c r="AR287" s="6555"/>
      <c r="AS287" s="6549" t="s">
        <v>38</v>
      </c>
      <c r="AT287" s="6549"/>
      <c r="AU287" s="6549"/>
      <c r="AV287" s="6549"/>
      <c r="AW287" s="6553">
        <v>415</v>
      </c>
      <c r="AX287" s="5133"/>
      <c r="AY287" s="5132"/>
      <c r="AZ287" s="5132"/>
      <c r="BA287" s="5132"/>
      <c r="BB287" s="5132"/>
    </row>
    <row r="288" spans="1:54" s="6369" customFormat="1" ht="12.75" customHeight="1">
      <c r="A288" s="10965" t="str">
        <f t="shared" si="18"/>
        <v>8300-13</v>
      </c>
      <c r="B288" s="10951" t="str">
        <f>+IF(A288="","",VLOOKUP(MATCH(A288,tid,0),tao,'12(id)'!$J$20,FALSE))</f>
        <v>NRG</v>
      </c>
      <c r="C288" s="10942" t="str">
        <f t="shared" si="19"/>
        <v>DV12</v>
      </c>
      <c r="E288" s="5132"/>
      <c r="G288" s="6548">
        <f t="shared" si="21"/>
        <v>60</v>
      </c>
      <c r="H288" s="6548">
        <v>60</v>
      </c>
      <c r="I288" s="10959"/>
      <c r="J288" s="6557"/>
      <c r="K288" s="10965">
        <f>+IF(ISNA(VLOOKUP(MATCH(P288,tfn,0),tao,'12(id)'!$K$20,FALSE)),"",IF(J288="NA","",VLOOKUP(MATCH(P288,tfn,0),tao,'12(id)'!$K$20,FALSE)+J288))</f>
        <v>8300</v>
      </c>
      <c r="L288" s="10965">
        <f>+L287</f>
        <v>13</v>
      </c>
      <c r="M288" s="10965" t="str">
        <f t="shared" si="22"/>
        <v>8300-13</v>
      </c>
      <c r="N288" s="10965" t="str">
        <f>+IF(M288="","",VLOOKUP(MATCH(M288,tid,0),tao,'12(id)'!$Q$20,FALSE))</f>
        <v>DV12</v>
      </c>
      <c r="O288" s="10965"/>
      <c r="P288" s="6549" t="s">
        <v>345</v>
      </c>
      <c r="Q288" s="6550"/>
      <c r="R288" s="6548">
        <v>544</v>
      </c>
      <c r="S288" s="6549" t="s">
        <v>959</v>
      </c>
      <c r="T288" s="6549"/>
      <c r="U288" s="6550">
        <v>2009</v>
      </c>
      <c r="V288" s="6550"/>
      <c r="W288" s="6548">
        <v>66</v>
      </c>
      <c r="X288" s="6548">
        <v>12</v>
      </c>
      <c r="Y288" s="6551">
        <v>2202</v>
      </c>
      <c r="Z288" s="6551" t="s">
        <v>939</v>
      </c>
      <c r="AA288" s="6552">
        <v>0.13</v>
      </c>
      <c r="AB288" s="6553">
        <v>1.5</v>
      </c>
      <c r="AC288" s="6551">
        <v>22459</v>
      </c>
      <c r="AD288" s="6549" t="s">
        <v>961</v>
      </c>
      <c r="AE288" s="6549"/>
      <c r="AF288" s="6549">
        <v>4911</v>
      </c>
      <c r="AG288" s="6549" t="s">
        <v>1008</v>
      </c>
      <c r="AH288" s="6554" t="s">
        <v>170</v>
      </c>
      <c r="AI288" s="6554" t="s">
        <v>170</v>
      </c>
      <c r="AJ288" s="6554" t="s">
        <v>1040</v>
      </c>
      <c r="AK288" s="6554" t="s">
        <v>238</v>
      </c>
      <c r="AL288" s="6554"/>
      <c r="AM288" s="6555"/>
      <c r="AN288" s="6554" t="s">
        <v>1013</v>
      </c>
      <c r="AO288" s="6554" t="s">
        <v>1054</v>
      </c>
      <c r="AP288" s="6554" t="s">
        <v>1021</v>
      </c>
      <c r="AQ288" s="6554" t="s">
        <v>1047</v>
      </c>
      <c r="AR288" s="6555"/>
      <c r="AS288" s="6549" t="s">
        <v>38</v>
      </c>
      <c r="AT288" s="6549"/>
      <c r="AU288" s="6549"/>
      <c r="AV288" s="6549"/>
      <c r="AW288" s="6553">
        <v>415</v>
      </c>
      <c r="AX288" s="5133"/>
      <c r="AY288" s="5132"/>
      <c r="AZ288" s="5132"/>
      <c r="BA288" s="5132"/>
      <c r="BB288" s="5132"/>
    </row>
    <row r="289" spans="1:54" s="6369" customFormat="1" ht="12.75" customHeight="1">
      <c r="A289" s="10966" t="str">
        <f t="shared" si="18"/>
        <v>8300-13</v>
      </c>
      <c r="B289" s="10952" t="str">
        <f>+IF(A289="","",VLOOKUP(MATCH(A289,tid,0),tao,'12(id)'!$J$20,FALSE))</f>
        <v>NRG</v>
      </c>
      <c r="C289" s="10943" t="str">
        <f t="shared" si="19"/>
        <v>DV12</v>
      </c>
      <c r="E289" s="5132"/>
      <c r="G289" s="6548">
        <f t="shared" si="21"/>
        <v>61</v>
      </c>
      <c r="H289" s="6548">
        <v>59</v>
      </c>
      <c r="I289" s="10960"/>
      <c r="J289" s="6558"/>
      <c r="K289" s="10966">
        <f>+IF(ISNA(VLOOKUP(MATCH(P289,tfn,0),tao,'12(id)'!$K$20,FALSE)),"",IF(J289="NA","",VLOOKUP(MATCH(P289,tfn,0),tao,'12(id)'!$K$20,FALSE)+J289))</f>
        <v>8300</v>
      </c>
      <c r="L289" s="10966">
        <f>+L288</f>
        <v>13</v>
      </c>
      <c r="M289" s="10966" t="str">
        <f t="shared" si="22"/>
        <v>8300-13</v>
      </c>
      <c r="N289" s="10966" t="str">
        <f>+IF(M289="","",VLOOKUP(MATCH(M289,tid,0),tao,'12(id)'!$Q$20,FALSE))</f>
        <v>DV12</v>
      </c>
      <c r="O289" s="10966"/>
      <c r="P289" s="6549" t="s">
        <v>345</v>
      </c>
      <c r="Q289" s="6550"/>
      <c r="R289" s="6548">
        <v>544</v>
      </c>
      <c r="S289" s="6549" t="s">
        <v>959</v>
      </c>
      <c r="T289" s="6549"/>
      <c r="U289" s="6550">
        <v>2008</v>
      </c>
      <c r="V289" s="6550"/>
      <c r="W289" s="6548">
        <v>37</v>
      </c>
      <c r="X289" s="6548">
        <v>12</v>
      </c>
      <c r="Y289" s="6551">
        <v>1155</v>
      </c>
      <c r="Z289" s="6551" t="s">
        <v>939</v>
      </c>
      <c r="AA289" s="6552">
        <v>0.13</v>
      </c>
      <c r="AB289" s="6553">
        <v>0.9</v>
      </c>
      <c r="AC289" s="6551">
        <v>12576</v>
      </c>
      <c r="AD289" s="6549" t="s">
        <v>961</v>
      </c>
      <c r="AE289" s="6549"/>
      <c r="AF289" s="6549">
        <v>4911</v>
      </c>
      <c r="AG289" s="6549" t="s">
        <v>1008</v>
      </c>
      <c r="AH289" s="6555" t="s">
        <v>170</v>
      </c>
      <c r="AI289" s="6554" t="s">
        <v>170</v>
      </c>
      <c r="AJ289" s="6554" t="s">
        <v>237</v>
      </c>
      <c r="AK289" s="6555" t="s">
        <v>10</v>
      </c>
      <c r="AL289" s="6555"/>
      <c r="AM289" s="6555"/>
      <c r="AN289" s="6555" t="s">
        <v>1013</v>
      </c>
      <c r="AO289" s="6555" t="s">
        <v>1054</v>
      </c>
      <c r="AP289" s="6555" t="s">
        <v>1021</v>
      </c>
      <c r="AQ289" s="6555" t="s">
        <v>1047</v>
      </c>
      <c r="AR289" s="6555"/>
      <c r="AS289" s="6549" t="s">
        <v>38</v>
      </c>
      <c r="AT289" s="6549"/>
      <c r="AU289" s="6549"/>
      <c r="AV289" s="6549"/>
      <c r="AW289" s="6553">
        <v>415</v>
      </c>
      <c r="AX289" s="5133"/>
      <c r="AY289" s="5132"/>
      <c r="AZ289" s="5132"/>
      <c r="BA289" s="5132"/>
      <c r="BB289" s="5132"/>
    </row>
    <row r="290" spans="1:54" s="6369" customFormat="1" ht="12.75" customHeight="1">
      <c r="A290" s="10964" t="str">
        <f t="shared" si="18"/>
        <v>8300-14</v>
      </c>
      <c r="B290" s="10950" t="str">
        <f>+IF(A290="","",VLOOKUP(MATCH(A290,tid,0),tao,'12(id)'!$J$20,FALSE))</f>
        <v>NRG</v>
      </c>
      <c r="C290" s="10941" t="str">
        <f t="shared" si="19"/>
        <v>DV13</v>
      </c>
      <c r="E290" s="5132"/>
      <c r="G290" s="6548">
        <f t="shared" si="21"/>
        <v>62</v>
      </c>
      <c r="H290" s="6548">
        <v>64</v>
      </c>
      <c r="I290" s="10958">
        <f>1+I287</f>
        <v>22</v>
      </c>
      <c r="J290" s="10968"/>
      <c r="K290" s="10964">
        <f>+IF(ISNA(VLOOKUP(MATCH(P290,tfn,0),tao,'12(id)'!$K$20,FALSE)),"",IF(J290="NA","",VLOOKUP(MATCH(P290,tfn,0),tao,'12(id)'!$K$20,FALSE)+J290))</f>
        <v>8300</v>
      </c>
      <c r="L290" s="10964">
        <f>1+L287</f>
        <v>14</v>
      </c>
      <c r="M290" s="10964" t="str">
        <f t="shared" si="22"/>
        <v>8300-14</v>
      </c>
      <c r="N290" s="10964" t="str">
        <f>+IF(M290="","",VLOOKUP(MATCH(M290,tid,0),tao,'12(id)'!$Q$20,FALSE))</f>
        <v>DV13</v>
      </c>
      <c r="O290" s="10964"/>
      <c r="P290" s="6549" t="s">
        <v>345</v>
      </c>
      <c r="Q290" s="6550"/>
      <c r="R290" s="6548">
        <v>544</v>
      </c>
      <c r="S290" s="6549" t="s">
        <v>1048</v>
      </c>
      <c r="T290" s="6549"/>
      <c r="U290" s="6550">
        <v>2010</v>
      </c>
      <c r="V290" s="6550"/>
      <c r="W290" s="6548">
        <v>114</v>
      </c>
      <c r="X290" s="6548">
        <v>12</v>
      </c>
      <c r="Y290" s="6551">
        <v>3634</v>
      </c>
      <c r="Z290" s="6551" t="s">
        <v>939</v>
      </c>
      <c r="AA290" s="6552">
        <v>0.15</v>
      </c>
      <c r="AB290" s="6553">
        <v>3</v>
      </c>
      <c r="AC290" s="6551">
        <v>37637</v>
      </c>
      <c r="AD290" s="6549" t="s">
        <v>961</v>
      </c>
      <c r="AE290" s="6549"/>
      <c r="AF290" s="6549">
        <v>4911</v>
      </c>
      <c r="AG290" s="6549" t="s">
        <v>1008</v>
      </c>
      <c r="AH290" s="6554" t="s">
        <v>170</v>
      </c>
      <c r="AI290" s="6554" t="s">
        <v>170</v>
      </c>
      <c r="AJ290" s="6554" t="s">
        <v>1040</v>
      </c>
      <c r="AK290" s="6554" t="s">
        <v>238</v>
      </c>
      <c r="AL290" s="6554"/>
      <c r="AM290" s="6555"/>
      <c r="AN290" s="6554" t="s">
        <v>1013</v>
      </c>
      <c r="AO290" s="6554" t="s">
        <v>1054</v>
      </c>
      <c r="AP290" s="6554" t="s">
        <v>1021</v>
      </c>
      <c r="AQ290" s="6554" t="s">
        <v>1047</v>
      </c>
      <c r="AR290" s="6555"/>
      <c r="AS290" s="6549" t="s">
        <v>38</v>
      </c>
      <c r="AT290" s="6549"/>
      <c r="AU290" s="6549"/>
      <c r="AV290" s="6549"/>
      <c r="AW290" s="6553">
        <v>415</v>
      </c>
      <c r="AX290" s="5133"/>
      <c r="AY290" s="5132"/>
      <c r="AZ290" s="5132"/>
      <c r="BA290" s="5132"/>
      <c r="BB290" s="5132"/>
    </row>
    <row r="291" spans="1:54" s="6369" customFormat="1" ht="12.75" customHeight="1">
      <c r="A291" s="10965" t="str">
        <f t="shared" si="18"/>
        <v>8300-14</v>
      </c>
      <c r="B291" s="10951" t="str">
        <f>+IF(A291="","",VLOOKUP(MATCH(A291,tid,0),tao,'12(id)'!$J$20,FALSE))</f>
        <v>NRG</v>
      </c>
      <c r="C291" s="10942" t="str">
        <f t="shared" si="19"/>
        <v>DV13</v>
      </c>
      <c r="E291" s="5132"/>
      <c r="G291" s="6548">
        <f t="shared" si="21"/>
        <v>63</v>
      </c>
      <c r="H291" s="6548">
        <v>63</v>
      </c>
      <c r="I291" s="10959"/>
      <c r="J291" s="10959"/>
      <c r="K291" s="10965">
        <f>+IF(ISNA(VLOOKUP(MATCH(P291,tfn,0),tao,'12(id)'!$K$20,FALSE)),"",IF(J291="NA","",VLOOKUP(MATCH(P291,tfn,0),tao,'12(id)'!$K$20,FALSE)+J291))</f>
        <v>8300</v>
      </c>
      <c r="L291" s="10965">
        <f>+L290</f>
        <v>14</v>
      </c>
      <c r="M291" s="10965" t="str">
        <f t="shared" si="22"/>
        <v>8300-14</v>
      </c>
      <c r="N291" s="10965" t="str">
        <f>+IF(M291="","",VLOOKUP(MATCH(M291,tid,0),tao,'12(id)'!$Q$20,FALSE))</f>
        <v>DV13</v>
      </c>
      <c r="O291" s="10965"/>
      <c r="P291" s="6549" t="s">
        <v>345</v>
      </c>
      <c r="Q291" s="6550"/>
      <c r="R291" s="6548">
        <v>544</v>
      </c>
      <c r="S291" s="6549" t="s">
        <v>1048</v>
      </c>
      <c r="T291" s="6549"/>
      <c r="U291" s="6550">
        <v>2009</v>
      </c>
      <c r="V291" s="6550"/>
      <c r="W291" s="6548">
        <v>93</v>
      </c>
      <c r="X291" s="6548">
        <v>12</v>
      </c>
      <c r="Y291" s="6551">
        <v>3120</v>
      </c>
      <c r="Z291" s="6551" t="s">
        <v>939</v>
      </c>
      <c r="AA291" s="6552">
        <v>0.15</v>
      </c>
      <c r="AB291" s="6553">
        <v>2.5</v>
      </c>
      <c r="AC291" s="6551">
        <v>31591</v>
      </c>
      <c r="AD291" s="6549" t="s">
        <v>961</v>
      </c>
      <c r="AE291" s="6549"/>
      <c r="AF291" s="6549">
        <v>4911</v>
      </c>
      <c r="AG291" s="6549" t="s">
        <v>1008</v>
      </c>
      <c r="AH291" s="6554" t="s">
        <v>170</v>
      </c>
      <c r="AI291" s="6554" t="s">
        <v>170</v>
      </c>
      <c r="AJ291" s="6554" t="s">
        <v>1040</v>
      </c>
      <c r="AK291" s="6554" t="s">
        <v>238</v>
      </c>
      <c r="AL291" s="6554"/>
      <c r="AM291" s="6555"/>
      <c r="AN291" s="6554" t="s">
        <v>1013</v>
      </c>
      <c r="AO291" s="6554" t="s">
        <v>1054</v>
      </c>
      <c r="AP291" s="6554" t="s">
        <v>1021</v>
      </c>
      <c r="AQ291" s="6554" t="s">
        <v>1047</v>
      </c>
      <c r="AR291" s="6555"/>
      <c r="AS291" s="6549" t="s">
        <v>38</v>
      </c>
      <c r="AT291" s="6549"/>
      <c r="AU291" s="6549"/>
      <c r="AV291" s="6549"/>
      <c r="AW291" s="6553">
        <v>415</v>
      </c>
      <c r="AX291" s="5133"/>
      <c r="AY291" s="5132"/>
      <c r="AZ291" s="5132"/>
      <c r="BA291" s="5132"/>
      <c r="BB291" s="5132"/>
    </row>
    <row r="292" spans="1:54" s="6369" customFormat="1" ht="12.75" customHeight="1">
      <c r="A292" s="10966" t="str">
        <f t="shared" si="18"/>
        <v>8300-14</v>
      </c>
      <c r="B292" s="10952" t="str">
        <f>+IF(A292="","",VLOOKUP(MATCH(A292,tid,0),tao,'12(id)'!$J$20,FALSE))</f>
        <v>NRG</v>
      </c>
      <c r="C292" s="10943" t="str">
        <f t="shared" si="19"/>
        <v>DV13</v>
      </c>
      <c r="E292" s="5132"/>
      <c r="G292" s="6548">
        <f t="shared" si="21"/>
        <v>64</v>
      </c>
      <c r="H292" s="6548">
        <v>62</v>
      </c>
      <c r="I292" s="10960"/>
      <c r="J292" s="10960"/>
      <c r="K292" s="10966">
        <f>+IF(ISNA(VLOOKUP(MATCH(P292,tfn,0),tao,'12(id)'!$K$20,FALSE)),"",IF(J292="NA","",VLOOKUP(MATCH(P292,tfn,0),tao,'12(id)'!$K$20,FALSE)+J292))</f>
        <v>8300</v>
      </c>
      <c r="L292" s="10966">
        <f>+L291</f>
        <v>14</v>
      </c>
      <c r="M292" s="10966" t="str">
        <f t="shared" si="22"/>
        <v>8300-14</v>
      </c>
      <c r="N292" s="10966" t="str">
        <f>+IF(M292="","",VLOOKUP(MATCH(M292,tid,0),tao,'12(id)'!$Q$20,FALSE))</f>
        <v>DV13</v>
      </c>
      <c r="O292" s="10966"/>
      <c r="P292" s="6549" t="s">
        <v>345</v>
      </c>
      <c r="Q292" s="6550"/>
      <c r="R292" s="6548">
        <v>544</v>
      </c>
      <c r="S292" s="6549" t="s">
        <v>1048</v>
      </c>
      <c r="T292" s="6549"/>
      <c r="U292" s="6550">
        <v>2008</v>
      </c>
      <c r="V292" s="6550"/>
      <c r="W292" s="6548">
        <v>44</v>
      </c>
      <c r="X292" s="6548">
        <v>12</v>
      </c>
      <c r="Y292" s="6551">
        <v>1419</v>
      </c>
      <c r="Z292" s="6551" t="s">
        <v>939</v>
      </c>
      <c r="AA292" s="6552">
        <v>0.16</v>
      </c>
      <c r="AB292" s="6553">
        <v>1.2</v>
      </c>
      <c r="AC292" s="6551">
        <v>14561</v>
      </c>
      <c r="AD292" s="6549" t="s">
        <v>961</v>
      </c>
      <c r="AE292" s="6549"/>
      <c r="AF292" s="6549">
        <v>4911</v>
      </c>
      <c r="AG292" s="6549" t="s">
        <v>1008</v>
      </c>
      <c r="AH292" s="6555" t="s">
        <v>170</v>
      </c>
      <c r="AI292" s="6554" t="s">
        <v>170</v>
      </c>
      <c r="AJ292" s="6554" t="s">
        <v>237</v>
      </c>
      <c r="AK292" s="6555" t="s">
        <v>10</v>
      </c>
      <c r="AL292" s="6555"/>
      <c r="AM292" s="6555"/>
      <c r="AN292" s="6555" t="s">
        <v>1013</v>
      </c>
      <c r="AO292" s="6555" t="s">
        <v>1054</v>
      </c>
      <c r="AP292" s="6555" t="s">
        <v>1021</v>
      </c>
      <c r="AQ292" s="6555" t="s">
        <v>1047</v>
      </c>
      <c r="AR292" s="6555"/>
      <c r="AS292" s="6549" t="s">
        <v>38</v>
      </c>
      <c r="AT292" s="6549"/>
      <c r="AU292" s="6549"/>
      <c r="AV292" s="6549"/>
      <c r="AW292" s="6553">
        <v>415</v>
      </c>
      <c r="AX292" s="5133"/>
      <c r="AY292" s="5132"/>
      <c r="AZ292" s="5132"/>
      <c r="BA292" s="5132"/>
      <c r="BB292" s="5132"/>
    </row>
    <row r="293" spans="1:54" s="6369" customFormat="1" ht="12.75" customHeight="1">
      <c r="A293" s="10964" t="str">
        <f t="shared" si="18"/>
        <v>8300-15</v>
      </c>
      <c r="B293" s="10950" t="str">
        <f>+IF(A293="","",VLOOKUP(MATCH(A293,tid,0),tao,'12(id)'!$J$20,FALSE))</f>
        <v>NRG</v>
      </c>
      <c r="C293" s="10941" t="str">
        <f t="shared" si="19"/>
        <v>DV14</v>
      </c>
      <c r="E293" s="5132"/>
      <c r="G293" s="6548">
        <f t="shared" si="21"/>
        <v>65</v>
      </c>
      <c r="H293" s="6548">
        <v>67</v>
      </c>
      <c r="I293" s="10958">
        <f>1+I290</f>
        <v>23</v>
      </c>
      <c r="J293" s="10968"/>
      <c r="K293" s="10964">
        <f>+IF(ISNA(VLOOKUP(MATCH(P293,tfn,0),tao,'12(id)'!$K$20,FALSE)),"",IF(J293="NA","",VLOOKUP(MATCH(P293,tfn,0),tao,'12(id)'!$K$20,FALSE)+J293))</f>
        <v>8300</v>
      </c>
      <c r="L293" s="10964">
        <f>1+L290</f>
        <v>15</v>
      </c>
      <c r="M293" s="10964" t="str">
        <f t="shared" si="22"/>
        <v>8300-15</v>
      </c>
      <c r="N293" s="10964" t="str">
        <f>+IF(M293="","",VLOOKUP(MATCH(M293,tid,0),tao,'12(id)'!$Q$20,FALSE))</f>
        <v>DV14</v>
      </c>
      <c r="O293" s="10964"/>
      <c r="P293" s="6549" t="s">
        <v>345</v>
      </c>
      <c r="Q293" s="6550"/>
      <c r="R293" s="6548">
        <v>544</v>
      </c>
      <c r="S293" s="6549" t="s">
        <v>167</v>
      </c>
      <c r="T293" s="6549"/>
      <c r="U293" s="6550">
        <v>2010</v>
      </c>
      <c r="V293" s="6550"/>
      <c r="W293" s="6548">
        <v>131</v>
      </c>
      <c r="X293" s="6548">
        <v>12</v>
      </c>
      <c r="Y293" s="6551">
        <v>4136</v>
      </c>
      <c r="Z293" s="6551" t="s">
        <v>939</v>
      </c>
      <c r="AA293" s="6552">
        <v>0.15</v>
      </c>
      <c r="AB293" s="6553">
        <v>3.3</v>
      </c>
      <c r="AC293" s="6551">
        <v>41882</v>
      </c>
      <c r="AD293" s="6549" t="s">
        <v>961</v>
      </c>
      <c r="AE293" s="6549"/>
      <c r="AF293" s="6549">
        <v>4911</v>
      </c>
      <c r="AG293" s="6549" t="s">
        <v>1008</v>
      </c>
      <c r="AH293" s="6554" t="s">
        <v>170</v>
      </c>
      <c r="AI293" s="6554" t="s">
        <v>170</v>
      </c>
      <c r="AJ293" s="6554" t="s">
        <v>1040</v>
      </c>
      <c r="AK293" s="6554" t="s">
        <v>238</v>
      </c>
      <c r="AL293" s="6554"/>
      <c r="AM293" s="6555"/>
      <c r="AN293" s="6554" t="s">
        <v>1013</v>
      </c>
      <c r="AO293" s="6554" t="s">
        <v>1054</v>
      </c>
      <c r="AP293" s="6554" t="s">
        <v>1021</v>
      </c>
      <c r="AQ293" s="6554" t="s">
        <v>1047</v>
      </c>
      <c r="AR293" s="6555"/>
      <c r="AS293" s="6549" t="s">
        <v>38</v>
      </c>
      <c r="AT293" s="6549"/>
      <c r="AU293" s="6549"/>
      <c r="AV293" s="6549"/>
      <c r="AW293" s="6553">
        <v>415</v>
      </c>
      <c r="AX293" s="5133"/>
      <c r="AY293" s="5132"/>
      <c r="AZ293" s="5132"/>
      <c r="BA293" s="5132"/>
      <c r="BB293" s="5132"/>
    </row>
    <row r="294" spans="1:54" s="6369" customFormat="1" ht="12.75" customHeight="1">
      <c r="A294" s="10965" t="str">
        <f t="shared" si="18"/>
        <v/>
      </c>
      <c r="B294" s="10951" t="str">
        <f>+IF(A294="","",VLOOKUP(MATCH(A294,tid,0),tao,'12(id)'!$J$20,FALSE))</f>
        <v/>
      </c>
      <c r="C294" s="10942" t="str">
        <f t="shared" si="19"/>
        <v/>
      </c>
      <c r="E294" s="5132"/>
      <c r="G294" s="6548">
        <f t="shared" ref="G294:G325" si="23">1+G293</f>
        <v>66</v>
      </c>
      <c r="H294" s="6548">
        <v>66</v>
      </c>
      <c r="I294" s="10959"/>
      <c r="J294" s="10959"/>
      <c r="K294" s="10965"/>
      <c r="L294" s="10965">
        <f>+L293</f>
        <v>15</v>
      </c>
      <c r="M294" s="10965" t="str">
        <f t="shared" si="22"/>
        <v/>
      </c>
      <c r="N294" s="10965" t="str">
        <f>+IF(M294="","",VLOOKUP(MATCH(M294,tid,0),tao,'12(id)'!$Q$20,FALSE))</f>
        <v/>
      </c>
      <c r="O294" s="10965"/>
      <c r="P294" s="6549" t="s">
        <v>345</v>
      </c>
      <c r="Q294" s="6550"/>
      <c r="R294" s="6548">
        <v>544</v>
      </c>
      <c r="S294" s="6549" t="s">
        <v>167</v>
      </c>
      <c r="T294" s="6549"/>
      <c r="U294" s="6550">
        <v>2009</v>
      </c>
      <c r="V294" s="6550"/>
      <c r="W294" s="6548">
        <v>91</v>
      </c>
      <c r="X294" s="6548">
        <v>12</v>
      </c>
      <c r="Y294" s="6551">
        <v>3150</v>
      </c>
      <c r="Z294" s="6551" t="s">
        <v>939</v>
      </c>
      <c r="AA294" s="6552">
        <v>0.16</v>
      </c>
      <c r="AB294" s="6553">
        <v>2.6</v>
      </c>
      <c r="AC294" s="6551">
        <v>31304</v>
      </c>
      <c r="AD294" s="6549" t="s">
        <v>961</v>
      </c>
      <c r="AE294" s="6549"/>
      <c r="AF294" s="6549">
        <v>4911</v>
      </c>
      <c r="AG294" s="6549" t="s">
        <v>1008</v>
      </c>
      <c r="AH294" s="6554" t="s">
        <v>170</v>
      </c>
      <c r="AI294" s="6554" t="s">
        <v>170</v>
      </c>
      <c r="AJ294" s="6554" t="s">
        <v>1040</v>
      </c>
      <c r="AK294" s="6554" t="s">
        <v>238</v>
      </c>
      <c r="AL294" s="6554"/>
      <c r="AM294" s="6555"/>
      <c r="AN294" s="6554" t="s">
        <v>1013</v>
      </c>
      <c r="AO294" s="6554" t="s">
        <v>1054</v>
      </c>
      <c r="AP294" s="6554" t="s">
        <v>1021</v>
      </c>
      <c r="AQ294" s="6554" t="s">
        <v>1047</v>
      </c>
      <c r="AR294" s="6555"/>
      <c r="AS294" s="6549" t="s">
        <v>38</v>
      </c>
      <c r="AT294" s="6549"/>
      <c r="AU294" s="6549"/>
      <c r="AV294" s="6549"/>
      <c r="AW294" s="6553">
        <v>415</v>
      </c>
      <c r="AX294" s="5133"/>
      <c r="AY294" s="5132"/>
      <c r="AZ294" s="5132"/>
      <c r="BA294" s="5132"/>
      <c r="BB294" s="5132"/>
    </row>
    <row r="295" spans="1:54" s="6369" customFormat="1" ht="12.75" customHeight="1">
      <c r="A295" s="10966" t="str">
        <f t="shared" si="18"/>
        <v/>
      </c>
      <c r="B295" s="10952" t="str">
        <f>+IF(A295="","",VLOOKUP(MATCH(A295,tid,0),tao,'12(id)'!$J$20,FALSE))</f>
        <v/>
      </c>
      <c r="C295" s="10943" t="str">
        <f t="shared" si="19"/>
        <v/>
      </c>
      <c r="E295" s="5132"/>
      <c r="G295" s="6548">
        <f t="shared" si="23"/>
        <v>67</v>
      </c>
      <c r="H295" s="6548">
        <v>65</v>
      </c>
      <c r="I295" s="10960"/>
      <c r="J295" s="10960"/>
      <c r="K295" s="10966"/>
      <c r="L295" s="10966">
        <f>+L294</f>
        <v>15</v>
      </c>
      <c r="M295" s="10966" t="str">
        <f t="shared" si="22"/>
        <v/>
      </c>
      <c r="N295" s="10966" t="str">
        <f>+IF(M295="","",VLOOKUP(MATCH(M295,tid,0),tao,'12(id)'!$Q$20,FALSE))</f>
        <v/>
      </c>
      <c r="O295" s="10966"/>
      <c r="P295" s="6549" t="s">
        <v>345</v>
      </c>
      <c r="Q295" s="6550"/>
      <c r="R295" s="6548">
        <v>544</v>
      </c>
      <c r="S295" s="6549" t="s">
        <v>167</v>
      </c>
      <c r="T295" s="6549"/>
      <c r="U295" s="6550">
        <v>2008</v>
      </c>
      <c r="V295" s="6550"/>
      <c r="W295" s="6548">
        <v>39</v>
      </c>
      <c r="X295" s="6548">
        <v>12</v>
      </c>
      <c r="Y295" s="6551">
        <v>1247</v>
      </c>
      <c r="Z295" s="6551" t="s">
        <v>939</v>
      </c>
      <c r="AA295" s="6552">
        <v>0.15</v>
      </c>
      <c r="AB295" s="6553">
        <v>1</v>
      </c>
      <c r="AC295" s="6551">
        <v>12495</v>
      </c>
      <c r="AD295" s="6549" t="s">
        <v>961</v>
      </c>
      <c r="AE295" s="6549"/>
      <c r="AF295" s="6549">
        <v>4911</v>
      </c>
      <c r="AG295" s="6549" t="s">
        <v>1008</v>
      </c>
      <c r="AH295" s="6555" t="s">
        <v>170</v>
      </c>
      <c r="AI295" s="6554" t="s">
        <v>170</v>
      </c>
      <c r="AJ295" s="6554" t="s">
        <v>237</v>
      </c>
      <c r="AK295" s="6555" t="s">
        <v>10</v>
      </c>
      <c r="AL295" s="6555"/>
      <c r="AM295" s="6555"/>
      <c r="AN295" s="6555" t="s">
        <v>1013</v>
      </c>
      <c r="AO295" s="6555" t="s">
        <v>1054</v>
      </c>
      <c r="AP295" s="6555" t="s">
        <v>1021</v>
      </c>
      <c r="AQ295" s="6555" t="s">
        <v>1047</v>
      </c>
      <c r="AR295" s="6555"/>
      <c r="AS295" s="6549" t="s">
        <v>38</v>
      </c>
      <c r="AT295" s="6549"/>
      <c r="AU295" s="6549"/>
      <c r="AV295" s="6549"/>
      <c r="AW295" s="6553">
        <v>415</v>
      </c>
      <c r="AX295" s="5133"/>
      <c r="AY295" s="5132"/>
      <c r="AZ295" s="5132"/>
      <c r="BA295" s="5132"/>
      <c r="BB295" s="5132"/>
    </row>
    <row r="296" spans="1:54" ht="12.75" customHeight="1">
      <c r="A296" s="6424" t="str">
        <f t="shared" si="18"/>
        <v/>
      </c>
      <c r="B296" s="6427" t="str">
        <f>+IF(A296="","",VLOOKUP(MATCH(A296,tid,0),tao,'12(id)'!$J$20,FALSE))</f>
        <v/>
      </c>
      <c r="C296" s="6518" t="str">
        <f t="shared" si="19"/>
        <v/>
      </c>
      <c r="D296" s="5133"/>
      <c r="F296" s="5133"/>
      <c r="G296" s="6489">
        <f t="shared" si="23"/>
        <v>68</v>
      </c>
      <c r="H296" s="6489">
        <v>68</v>
      </c>
      <c r="I296" s="6491">
        <f>1+I293</f>
        <v>24</v>
      </c>
      <c r="J296" s="6500" t="s">
        <v>1193</v>
      </c>
      <c r="K296" s="6491" t="str">
        <f>+IF(ISNA(VLOOKUP(MATCH(P296,tfn,0),tao,'12(id)'!$K$20,FALSE)),"",IF(J296="NA","",VLOOKUP(MATCH(P296,tfn,0),tao,'12(id)'!$K$20,FALSE)+J296))</f>
        <v/>
      </c>
      <c r="L296" s="6424"/>
      <c r="M296" s="6424" t="str">
        <f t="shared" si="22"/>
        <v/>
      </c>
      <c r="N296" s="6458" t="str">
        <f>+IF(M296="","",VLOOKUP(MATCH(M296,tid,0),tao,'12(id)'!$Q$20,FALSE))</f>
        <v/>
      </c>
      <c r="O296" s="6491"/>
      <c r="P296" s="6490" t="s">
        <v>345</v>
      </c>
      <c r="Q296" s="6491"/>
      <c r="R296" s="6489">
        <v>544</v>
      </c>
      <c r="S296" s="6490" t="s">
        <v>1055</v>
      </c>
      <c r="T296" s="6490"/>
      <c r="U296" s="6491">
        <v>2010</v>
      </c>
      <c r="V296" s="6491"/>
      <c r="W296" s="6489">
        <v>13</v>
      </c>
      <c r="X296" s="6489">
        <v>6</v>
      </c>
      <c r="Y296" s="6492">
        <v>497</v>
      </c>
      <c r="Z296" s="6492" t="s">
        <v>939</v>
      </c>
      <c r="AA296" s="6493">
        <v>0.02</v>
      </c>
      <c r="AB296" s="6494">
        <v>0</v>
      </c>
      <c r="AC296" s="6492">
        <v>4857</v>
      </c>
      <c r="AD296" s="6490" t="s">
        <v>961</v>
      </c>
      <c r="AE296" s="6490"/>
      <c r="AF296" s="6490">
        <v>4911</v>
      </c>
      <c r="AG296" s="6490" t="s">
        <v>1008</v>
      </c>
      <c r="AH296" s="6495" t="s">
        <v>171</v>
      </c>
      <c r="AI296" s="6495" t="s">
        <v>172</v>
      </c>
      <c r="AJ296" s="6496" t="s">
        <v>1040</v>
      </c>
      <c r="AK296" s="6496" t="s">
        <v>238</v>
      </c>
      <c r="AL296" s="6496"/>
      <c r="AM296" s="6496"/>
      <c r="AN296" s="6496" t="s">
        <v>173</v>
      </c>
      <c r="AO296" s="6496" t="s">
        <v>174</v>
      </c>
      <c r="AP296" s="6496" t="s">
        <v>1047</v>
      </c>
      <c r="AQ296" s="6496" t="s">
        <v>1021</v>
      </c>
      <c r="AR296" s="6496"/>
      <c r="AS296" s="6490" t="s">
        <v>1022</v>
      </c>
      <c r="AT296" s="6490" t="s">
        <v>1023</v>
      </c>
      <c r="AU296" s="6490"/>
      <c r="AV296" s="6490"/>
      <c r="AW296" s="6494">
        <v>474.9</v>
      </c>
      <c r="AX296" s="5133"/>
    </row>
    <row r="297" spans="1:54" ht="12.75" customHeight="1">
      <c r="A297" s="6424" t="str">
        <f t="shared" si="18"/>
        <v/>
      </c>
      <c r="B297" s="6427" t="str">
        <f>+IF(A297="","",VLOOKUP(MATCH(A297,tid,0),tao,'12(id)'!$J$20,FALSE))</f>
        <v/>
      </c>
      <c r="C297" s="6518" t="str">
        <f t="shared" si="19"/>
        <v/>
      </c>
      <c r="D297" s="5133"/>
      <c r="F297" s="5133"/>
      <c r="G297" s="6489">
        <f t="shared" si="23"/>
        <v>69</v>
      </c>
      <c r="H297" s="6489">
        <v>69</v>
      </c>
      <c r="I297" s="6491">
        <f>1+I296</f>
        <v>25</v>
      </c>
      <c r="J297" s="6500" t="s">
        <v>1193</v>
      </c>
      <c r="K297" s="6491" t="str">
        <f>+IF(ISNA(VLOOKUP(MATCH(P297,tfn,0),tao,'12(id)'!$K$20,FALSE)),"",IF(J297="NA","",VLOOKUP(MATCH(P297,tfn,0),tao,'12(id)'!$K$20,FALSE)+J297))</f>
        <v/>
      </c>
      <c r="L297" s="6424"/>
      <c r="M297" s="6424" t="str">
        <f t="shared" si="22"/>
        <v/>
      </c>
      <c r="N297" s="6458" t="str">
        <f>+IF(M297="","",VLOOKUP(MATCH(M297,tid,0),tao,'12(id)'!$Q$20,FALSE))</f>
        <v/>
      </c>
      <c r="O297" s="6491"/>
      <c r="P297" s="6490" t="s">
        <v>345</v>
      </c>
      <c r="Q297" s="6491"/>
      <c r="R297" s="6489">
        <v>544</v>
      </c>
      <c r="S297" s="6490" t="s">
        <v>42</v>
      </c>
      <c r="T297" s="6490"/>
      <c r="U297" s="6491">
        <v>2010</v>
      </c>
      <c r="V297" s="6491"/>
      <c r="W297" s="6489">
        <v>11</v>
      </c>
      <c r="X297" s="6489">
        <v>6</v>
      </c>
      <c r="Y297" s="6492">
        <v>470</v>
      </c>
      <c r="Z297" s="6492" t="s">
        <v>939</v>
      </c>
      <c r="AA297" s="6493">
        <v>0.02</v>
      </c>
      <c r="AB297" s="6494">
        <v>0</v>
      </c>
      <c r="AC297" s="6492">
        <v>4333</v>
      </c>
      <c r="AD297" s="6490" t="s">
        <v>961</v>
      </c>
      <c r="AE297" s="6490"/>
      <c r="AF297" s="6490">
        <v>4911</v>
      </c>
      <c r="AG297" s="6490" t="s">
        <v>1008</v>
      </c>
      <c r="AH297" s="6495" t="s">
        <v>171</v>
      </c>
      <c r="AI297" s="6495" t="s">
        <v>172</v>
      </c>
      <c r="AJ297" s="6496" t="s">
        <v>1040</v>
      </c>
      <c r="AK297" s="6496" t="s">
        <v>238</v>
      </c>
      <c r="AL297" s="6496"/>
      <c r="AM297" s="6496"/>
      <c r="AN297" s="6496" t="s">
        <v>175</v>
      </c>
      <c r="AO297" s="6496" t="s">
        <v>176</v>
      </c>
      <c r="AP297" s="6496" t="s">
        <v>1047</v>
      </c>
      <c r="AQ297" s="6496" t="s">
        <v>1021</v>
      </c>
      <c r="AR297" s="6496"/>
      <c r="AS297" s="6490" t="s">
        <v>1022</v>
      </c>
      <c r="AT297" s="6490" t="s">
        <v>1023</v>
      </c>
      <c r="AU297" s="6490"/>
      <c r="AV297" s="6490"/>
      <c r="AW297" s="6494">
        <v>589</v>
      </c>
      <c r="AX297" s="5133"/>
    </row>
    <row r="298" spans="1:54" ht="12.75" customHeight="1">
      <c r="A298" s="6424" t="str">
        <f t="shared" si="18"/>
        <v/>
      </c>
      <c r="B298" s="6427" t="str">
        <f>+IF(A298="","",VLOOKUP(MATCH(A298,tid,0),tao,'12(id)'!$J$20,FALSE))</f>
        <v/>
      </c>
      <c r="C298" s="6518" t="str">
        <f t="shared" si="19"/>
        <v/>
      </c>
      <c r="D298" s="5133"/>
      <c r="F298" s="5133"/>
      <c r="G298" s="6489">
        <f t="shared" si="23"/>
        <v>70</v>
      </c>
      <c r="H298" s="6489">
        <v>70</v>
      </c>
      <c r="I298" s="6491">
        <f>1+I297</f>
        <v>26</v>
      </c>
      <c r="J298" s="6500" t="s">
        <v>1193</v>
      </c>
      <c r="K298" s="6491" t="str">
        <f>+IF(ISNA(VLOOKUP(MATCH(P298,tfn,0),tao,'12(id)'!$K$20,FALSE)),"",IF(J298="NA","",VLOOKUP(MATCH(P298,tfn,0),tao,'12(id)'!$K$20,FALSE)+J298))</f>
        <v/>
      </c>
      <c r="L298" s="6424"/>
      <c r="M298" s="6424" t="str">
        <f t="shared" ref="M298:M329" si="24">+IF(K298="","",K298&amp;IF(L298&lt;10,"-0"&amp;L298,"-"&amp;L298))</f>
        <v/>
      </c>
      <c r="N298" s="6458" t="str">
        <f>+IF(M298="","",VLOOKUP(MATCH(M298,tid,0),tao,'12(id)'!$Q$20,FALSE))</f>
        <v/>
      </c>
      <c r="O298" s="6491"/>
      <c r="P298" s="6490" t="s">
        <v>345</v>
      </c>
      <c r="Q298" s="6491"/>
      <c r="R298" s="6489">
        <v>544</v>
      </c>
      <c r="S298" s="6490" t="s">
        <v>177</v>
      </c>
      <c r="T298" s="6490"/>
      <c r="U298" s="6491">
        <v>2010</v>
      </c>
      <c r="V298" s="6491"/>
      <c r="W298" s="6489">
        <v>14</v>
      </c>
      <c r="X298" s="6489">
        <v>6</v>
      </c>
      <c r="Y298" s="6492">
        <v>631</v>
      </c>
      <c r="Z298" s="6492" t="s">
        <v>939</v>
      </c>
      <c r="AA298" s="6493">
        <v>0.01</v>
      </c>
      <c r="AB298" s="6494">
        <v>0</v>
      </c>
      <c r="AC298" s="6492">
        <v>5783</v>
      </c>
      <c r="AD298" s="6490" t="s">
        <v>961</v>
      </c>
      <c r="AE298" s="6490"/>
      <c r="AF298" s="6490">
        <v>4911</v>
      </c>
      <c r="AG298" s="6490" t="s">
        <v>1008</v>
      </c>
      <c r="AH298" s="6495" t="s">
        <v>171</v>
      </c>
      <c r="AI298" s="6495" t="s">
        <v>172</v>
      </c>
      <c r="AJ298" s="6496" t="s">
        <v>1040</v>
      </c>
      <c r="AK298" s="6496" t="s">
        <v>238</v>
      </c>
      <c r="AL298" s="6496"/>
      <c r="AM298" s="6496"/>
      <c r="AN298" s="6496" t="s">
        <v>178</v>
      </c>
      <c r="AO298" s="6496" t="s">
        <v>179</v>
      </c>
      <c r="AP298" s="6496" t="s">
        <v>1047</v>
      </c>
      <c r="AQ298" s="6496" t="s">
        <v>1021</v>
      </c>
      <c r="AR298" s="6496"/>
      <c r="AS298" s="6490" t="s">
        <v>1022</v>
      </c>
      <c r="AT298" s="6490" t="s">
        <v>1023</v>
      </c>
      <c r="AU298" s="6490"/>
      <c r="AV298" s="6490"/>
      <c r="AW298" s="6494">
        <v>590.6</v>
      </c>
      <c r="AX298" s="5133"/>
    </row>
    <row r="299" spans="1:54" ht="12.75" customHeight="1">
      <c r="A299" s="6424" t="str">
        <f t="shared" si="18"/>
        <v/>
      </c>
      <c r="B299" s="6427" t="str">
        <f>+IF(A299="","",VLOOKUP(MATCH(A299,tid,0),tao,'12(id)'!$J$20,FALSE))</f>
        <v/>
      </c>
      <c r="C299" s="6518" t="str">
        <f t="shared" si="19"/>
        <v/>
      </c>
      <c r="D299" s="5133"/>
      <c r="F299" s="5133"/>
      <c r="G299" s="6489">
        <f t="shared" si="23"/>
        <v>71</v>
      </c>
      <c r="H299" s="6489">
        <v>71</v>
      </c>
      <c r="I299" s="6491">
        <f>1+I298</f>
        <v>27</v>
      </c>
      <c r="J299" s="6500" t="s">
        <v>1193</v>
      </c>
      <c r="K299" s="6491" t="str">
        <f>+IF(ISNA(VLOOKUP(MATCH(P299,tfn,0),tao,'12(id)'!$K$20,FALSE)),"",IF(J299="NA","",VLOOKUP(MATCH(P299,tfn,0),tao,'12(id)'!$K$20,FALSE)+J299))</f>
        <v/>
      </c>
      <c r="L299" s="6424"/>
      <c r="M299" s="6424" t="str">
        <f t="shared" si="24"/>
        <v/>
      </c>
      <c r="N299" s="6458" t="str">
        <f>+IF(M299="","",VLOOKUP(MATCH(M299,tid,0),tao,'12(id)'!$Q$20,FALSE))</f>
        <v/>
      </c>
      <c r="O299" s="6491"/>
      <c r="P299" s="6490" t="s">
        <v>345</v>
      </c>
      <c r="Q299" s="6491"/>
      <c r="R299" s="6489">
        <v>544</v>
      </c>
      <c r="S299" s="6490" t="s">
        <v>180</v>
      </c>
      <c r="T299" s="6490"/>
      <c r="U299" s="6491">
        <v>2010</v>
      </c>
      <c r="V299" s="6491"/>
      <c r="W299" s="6489">
        <v>12</v>
      </c>
      <c r="X299" s="6489">
        <v>6</v>
      </c>
      <c r="Y299" s="6492">
        <v>464</v>
      </c>
      <c r="Z299" s="6492" t="s">
        <v>939</v>
      </c>
      <c r="AA299" s="6493">
        <v>0.02</v>
      </c>
      <c r="AB299" s="6494">
        <v>0</v>
      </c>
      <c r="AC299" s="6492">
        <v>4541</v>
      </c>
      <c r="AD299" s="6490" t="s">
        <v>961</v>
      </c>
      <c r="AE299" s="6490"/>
      <c r="AF299" s="6490">
        <v>4911</v>
      </c>
      <c r="AG299" s="6490" t="s">
        <v>1008</v>
      </c>
      <c r="AH299" s="6495" t="s">
        <v>171</v>
      </c>
      <c r="AI299" s="6495" t="s">
        <v>172</v>
      </c>
      <c r="AJ299" s="6496" t="s">
        <v>1040</v>
      </c>
      <c r="AK299" s="6496" t="s">
        <v>238</v>
      </c>
      <c r="AL299" s="6496"/>
      <c r="AM299" s="6496"/>
      <c r="AN299" s="6496" t="s">
        <v>181</v>
      </c>
      <c r="AO299" s="6496" t="s">
        <v>182</v>
      </c>
      <c r="AP299" s="6496" t="s">
        <v>1047</v>
      </c>
      <c r="AQ299" s="6496" t="s">
        <v>1021</v>
      </c>
      <c r="AR299" s="6496"/>
      <c r="AS299" s="6490" t="s">
        <v>1022</v>
      </c>
      <c r="AT299" s="6490" t="s">
        <v>1023</v>
      </c>
      <c r="AU299" s="6490"/>
      <c r="AV299" s="6490"/>
      <c r="AW299" s="6494">
        <v>590</v>
      </c>
      <c r="AX299" s="5133"/>
    </row>
    <row r="300" spans="1:54" ht="12.75" customHeight="1">
      <c r="A300" s="10961" t="str">
        <f t="shared" si="18"/>
        <v/>
      </c>
      <c r="B300" s="10944" t="str">
        <f>+IF(A300="","",VLOOKUP(MATCH(A300,tid,0),tao,'12(id)'!$J$20,FALSE))</f>
        <v/>
      </c>
      <c r="C300" s="10947" t="str">
        <f t="shared" si="19"/>
        <v/>
      </c>
      <c r="D300" s="5133"/>
      <c r="F300" s="5133"/>
      <c r="G300" s="6489">
        <f t="shared" si="23"/>
        <v>72</v>
      </c>
      <c r="H300" s="6489">
        <v>74</v>
      </c>
      <c r="I300" s="10955">
        <f>1+I299</f>
        <v>28</v>
      </c>
      <c r="J300" s="10961"/>
      <c r="K300" s="10961" t="str">
        <f>+IF(ISNA(VLOOKUP(MATCH(P300,tfn,0),tao,'12(id)'!$K$20,FALSE)),"",IF(J300="NA","",VLOOKUP(MATCH(P300,tfn,0),tao,'12(id)'!$K$20,FALSE)+J300))</f>
        <v/>
      </c>
      <c r="L300" s="10961"/>
      <c r="M300" s="10961" t="str">
        <f t="shared" si="24"/>
        <v/>
      </c>
      <c r="N300" s="10944" t="str">
        <f>+IF(M300="","",VLOOKUP(MATCH(M300,tid,0),tao,'12(id)'!$Q$20,FALSE))</f>
        <v/>
      </c>
      <c r="O300" s="10961"/>
      <c r="P300" s="6490" t="s">
        <v>346</v>
      </c>
      <c r="Q300" s="6491"/>
      <c r="R300" s="6489">
        <v>50736</v>
      </c>
      <c r="S300" s="6490" t="s">
        <v>183</v>
      </c>
      <c r="T300" s="6490" t="s">
        <v>184</v>
      </c>
      <c r="U300" s="6491">
        <v>2010</v>
      </c>
      <c r="V300" s="6491"/>
      <c r="W300" s="6489">
        <v>3190</v>
      </c>
      <c r="X300" s="6489">
        <v>6</v>
      </c>
      <c r="Y300" s="6492" t="s">
        <v>939</v>
      </c>
      <c r="Z300" s="6492">
        <v>401260</v>
      </c>
      <c r="AA300" s="6493">
        <v>0.12</v>
      </c>
      <c r="AB300" s="6494">
        <v>39.799999999999997</v>
      </c>
      <c r="AC300" s="6492">
        <v>679481</v>
      </c>
      <c r="AD300" s="6490" t="s">
        <v>961</v>
      </c>
      <c r="AE300" s="6490"/>
      <c r="AF300" s="6490" t="s">
        <v>939</v>
      </c>
      <c r="AG300" s="6490"/>
      <c r="AH300" s="6495" t="s">
        <v>197</v>
      </c>
      <c r="AI300" s="6495" t="s">
        <v>197</v>
      </c>
      <c r="AJ300" s="6495" t="s">
        <v>248</v>
      </c>
      <c r="AK300" s="6495" t="s">
        <v>249</v>
      </c>
      <c r="AL300" s="6495"/>
      <c r="AM300" s="6496"/>
      <c r="AN300" s="6495" t="s">
        <v>1013</v>
      </c>
      <c r="AO300" s="6495" t="s">
        <v>199</v>
      </c>
      <c r="AP300" s="6495" t="s">
        <v>195</v>
      </c>
      <c r="AQ300" s="6495" t="s">
        <v>196</v>
      </c>
      <c r="AR300" s="6496"/>
      <c r="AS300" s="6490"/>
      <c r="AT300" s="6490"/>
      <c r="AU300" s="6490"/>
      <c r="AV300" s="6490"/>
      <c r="AW300" s="6494">
        <v>181</v>
      </c>
      <c r="AX300" s="5133"/>
    </row>
    <row r="301" spans="1:54" ht="12.75" customHeight="1">
      <c r="A301" s="10962" t="str">
        <f t="shared" si="18"/>
        <v/>
      </c>
      <c r="B301" s="10945" t="str">
        <f>+IF(A301="","",VLOOKUP(MATCH(A301,tid,0),tao,'12(id)'!$J$20,FALSE))</f>
        <v/>
      </c>
      <c r="C301" s="10948" t="str">
        <f t="shared" si="19"/>
        <v/>
      </c>
      <c r="D301" s="5133"/>
      <c r="F301" s="5133"/>
      <c r="G301" s="6489">
        <f t="shared" si="23"/>
        <v>73</v>
      </c>
      <c r="H301" s="6489">
        <v>73</v>
      </c>
      <c r="I301" s="10956"/>
      <c r="J301" s="10962"/>
      <c r="K301" s="10962" t="str">
        <f>+IF(ISNA(VLOOKUP(MATCH(P301,tfn,0),tao,'12(id)'!$K$20,FALSE)),"",IF(J301="NA","",VLOOKUP(MATCH(P301,tfn,0),tao,'12(id)'!$K$20,FALSE)+J301))</f>
        <v/>
      </c>
      <c r="L301" s="10962"/>
      <c r="M301" s="10962" t="str">
        <f t="shared" si="24"/>
        <v/>
      </c>
      <c r="N301" s="10945" t="str">
        <f>+IF(M301="","",VLOOKUP(MATCH(M301,tid,0),tao,'12(id)'!$Q$20,FALSE))</f>
        <v/>
      </c>
      <c r="O301" s="10962"/>
      <c r="P301" s="6490" t="s">
        <v>346</v>
      </c>
      <c r="Q301" s="6491"/>
      <c r="R301" s="6489">
        <v>50736</v>
      </c>
      <c r="S301" s="6490" t="s">
        <v>183</v>
      </c>
      <c r="T301" s="6490" t="s">
        <v>184</v>
      </c>
      <c r="U301" s="6491">
        <v>2009</v>
      </c>
      <c r="V301" s="6491"/>
      <c r="W301" s="6489">
        <v>2885</v>
      </c>
      <c r="X301" s="6489">
        <v>6</v>
      </c>
      <c r="Y301" s="6492" t="s">
        <v>939</v>
      </c>
      <c r="Z301" s="6492">
        <v>324373</v>
      </c>
      <c r="AA301" s="6493">
        <v>0.1</v>
      </c>
      <c r="AB301" s="6494">
        <v>21.2</v>
      </c>
      <c r="AC301" s="6492">
        <v>440239</v>
      </c>
      <c r="AD301" s="6490" t="s">
        <v>961</v>
      </c>
      <c r="AE301" s="6490"/>
      <c r="AF301" s="6490" t="s">
        <v>939</v>
      </c>
      <c r="AG301" s="6490"/>
      <c r="AH301" s="6496" t="s">
        <v>197</v>
      </c>
      <c r="AI301" s="6496" t="s">
        <v>197</v>
      </c>
      <c r="AJ301" s="6495" t="s">
        <v>246</v>
      </c>
      <c r="AK301" s="6495" t="s">
        <v>247</v>
      </c>
      <c r="AL301" s="6495"/>
      <c r="AM301" s="6496"/>
      <c r="AN301" s="6496" t="s">
        <v>1013</v>
      </c>
      <c r="AO301" s="6496" t="s">
        <v>198</v>
      </c>
      <c r="AP301" s="6496" t="s">
        <v>195</v>
      </c>
      <c r="AQ301" s="6496" t="s">
        <v>196</v>
      </c>
      <c r="AR301" s="6496"/>
      <c r="AS301" s="6490"/>
      <c r="AT301" s="6490"/>
      <c r="AU301" s="6490"/>
      <c r="AV301" s="6490"/>
      <c r="AW301" s="6494">
        <v>181</v>
      </c>
      <c r="AX301" s="5133"/>
    </row>
    <row r="302" spans="1:54" ht="12.75" customHeight="1">
      <c r="A302" s="10963" t="str">
        <f t="shared" si="18"/>
        <v/>
      </c>
      <c r="B302" s="10946" t="str">
        <f>+IF(A302="","",VLOOKUP(MATCH(A302,tid,0),tao,'12(id)'!$J$20,FALSE))</f>
        <v/>
      </c>
      <c r="C302" s="10949" t="str">
        <f t="shared" si="19"/>
        <v/>
      </c>
      <c r="D302" s="5133"/>
      <c r="F302" s="5133"/>
      <c r="G302" s="6489">
        <f t="shared" si="23"/>
        <v>74</v>
      </c>
      <c r="H302" s="6489">
        <v>72</v>
      </c>
      <c r="I302" s="10957"/>
      <c r="J302" s="10963"/>
      <c r="K302" s="10963" t="str">
        <f>+IF(ISNA(VLOOKUP(MATCH(P302,tfn,0),tao,'12(id)'!$K$20,FALSE)),"",IF(J302="NA","",VLOOKUP(MATCH(P302,tfn,0),tao,'12(id)'!$K$20,FALSE)+J302))</f>
        <v/>
      </c>
      <c r="L302" s="10963"/>
      <c r="M302" s="10963" t="str">
        <f t="shared" si="24"/>
        <v/>
      </c>
      <c r="N302" s="10946" t="str">
        <f>+IF(M302="","",VLOOKUP(MATCH(M302,tid,0),tao,'12(id)'!$Q$20,FALSE))</f>
        <v/>
      </c>
      <c r="O302" s="10963"/>
      <c r="P302" s="6490" t="s">
        <v>346</v>
      </c>
      <c r="Q302" s="6491"/>
      <c r="R302" s="6489">
        <v>50736</v>
      </c>
      <c r="S302" s="6490" t="s">
        <v>183</v>
      </c>
      <c r="T302" s="6490" t="s">
        <v>184</v>
      </c>
      <c r="U302" s="6491">
        <v>2008</v>
      </c>
      <c r="V302" s="6491"/>
      <c r="W302" s="6489">
        <v>2842</v>
      </c>
      <c r="X302" s="6489">
        <v>6</v>
      </c>
      <c r="Y302" s="6492" t="s">
        <v>939</v>
      </c>
      <c r="Z302" s="6492">
        <v>324972</v>
      </c>
      <c r="AA302" s="6493">
        <v>0.11</v>
      </c>
      <c r="AB302" s="6494">
        <v>48</v>
      </c>
      <c r="AC302" s="6492">
        <v>913123</v>
      </c>
      <c r="AD302" s="6490" t="s">
        <v>961</v>
      </c>
      <c r="AE302" s="6490"/>
      <c r="AF302" s="6490" t="s">
        <v>939</v>
      </c>
      <c r="AG302" s="6490"/>
      <c r="AH302" s="6495" t="s">
        <v>193</v>
      </c>
      <c r="AI302" s="6495"/>
      <c r="AJ302" s="6495" t="s">
        <v>245</v>
      </c>
      <c r="AK302" s="6496"/>
      <c r="AL302" s="6496"/>
      <c r="AM302" s="6496"/>
      <c r="AN302" s="6495" t="s">
        <v>1013</v>
      </c>
      <c r="AO302" s="6495" t="s">
        <v>194</v>
      </c>
      <c r="AP302" s="6495" t="s">
        <v>195</v>
      </c>
      <c r="AQ302" s="6495" t="s">
        <v>196</v>
      </c>
      <c r="AR302" s="6496"/>
      <c r="AS302" s="6490"/>
      <c r="AT302" s="6490"/>
      <c r="AU302" s="6490"/>
      <c r="AV302" s="6490"/>
      <c r="AW302" s="6494">
        <v>181</v>
      </c>
      <c r="AX302" s="5133"/>
    </row>
    <row r="303" spans="1:54" ht="12.75" customHeight="1">
      <c r="A303" s="10961" t="str">
        <f t="shared" si="18"/>
        <v/>
      </c>
      <c r="B303" s="10944" t="str">
        <f>+IF(A303="","",VLOOKUP(MATCH(A303,tid,0),tao,'12(id)'!$J$20,FALSE))</f>
        <v/>
      </c>
      <c r="C303" s="10947" t="str">
        <f t="shared" si="19"/>
        <v/>
      </c>
      <c r="D303" s="5133"/>
      <c r="F303" s="5133"/>
      <c r="G303" s="6489">
        <f t="shared" si="23"/>
        <v>75</v>
      </c>
      <c r="H303" s="6489">
        <v>77</v>
      </c>
      <c r="I303" s="10955">
        <f>1+I300</f>
        <v>29</v>
      </c>
      <c r="J303" s="10961"/>
      <c r="K303" s="10961" t="str">
        <f>+IF(ISNA(VLOOKUP(MATCH(P303,tfn,0),tao,'12(id)'!$K$20,FALSE)),"",IF(J303="NA","",VLOOKUP(MATCH(P303,tfn,0),tao,'12(id)'!$K$20,FALSE)+J303))</f>
        <v/>
      </c>
      <c r="L303" s="10961"/>
      <c r="M303" s="10961" t="str">
        <f t="shared" si="24"/>
        <v/>
      </c>
      <c r="N303" s="10944" t="str">
        <f>+IF(M303="","",VLOOKUP(MATCH(M303,tid,0),tao,'12(id)'!$Q$20,FALSE))</f>
        <v/>
      </c>
      <c r="O303" s="10961"/>
      <c r="P303" s="6490" t="s">
        <v>346</v>
      </c>
      <c r="Q303" s="6491"/>
      <c r="R303" s="6489">
        <v>50736</v>
      </c>
      <c r="S303" s="6490" t="s">
        <v>200</v>
      </c>
      <c r="T303" s="6490" t="s">
        <v>184</v>
      </c>
      <c r="U303" s="6491">
        <v>2010</v>
      </c>
      <c r="V303" s="6491"/>
      <c r="W303" s="6489">
        <v>3494</v>
      </c>
      <c r="X303" s="6489">
        <v>6</v>
      </c>
      <c r="Y303" s="6492" t="s">
        <v>939</v>
      </c>
      <c r="Z303" s="6492">
        <v>436752</v>
      </c>
      <c r="AA303" s="6493">
        <v>0.12</v>
      </c>
      <c r="AB303" s="6494">
        <v>43.5</v>
      </c>
      <c r="AC303" s="6492">
        <v>744972</v>
      </c>
      <c r="AD303" s="6490" t="s">
        <v>961</v>
      </c>
      <c r="AE303" s="6490"/>
      <c r="AF303" s="6490" t="s">
        <v>939</v>
      </c>
      <c r="AG303" s="6490"/>
      <c r="AH303" s="6495" t="s">
        <v>197</v>
      </c>
      <c r="AI303" s="6495" t="s">
        <v>197</v>
      </c>
      <c r="AJ303" s="6495" t="s">
        <v>248</v>
      </c>
      <c r="AK303" s="6495" t="s">
        <v>249</v>
      </c>
      <c r="AL303" s="6495"/>
      <c r="AM303" s="6496"/>
      <c r="AN303" s="6495" t="s">
        <v>1013</v>
      </c>
      <c r="AO303" s="6495" t="s">
        <v>199</v>
      </c>
      <c r="AP303" s="6495" t="s">
        <v>195</v>
      </c>
      <c r="AQ303" s="6495" t="s">
        <v>196</v>
      </c>
      <c r="AR303" s="6496"/>
      <c r="AS303" s="6490"/>
      <c r="AT303" s="6490"/>
      <c r="AU303" s="6490"/>
      <c r="AV303" s="6490"/>
      <c r="AW303" s="6494">
        <v>181</v>
      </c>
      <c r="AX303" s="5133"/>
    </row>
    <row r="304" spans="1:54" ht="12.75" customHeight="1">
      <c r="A304" s="10962" t="str">
        <f t="shared" si="18"/>
        <v/>
      </c>
      <c r="B304" s="10945" t="str">
        <f>+IF(A304="","",VLOOKUP(MATCH(A304,tid,0),tao,'12(id)'!$J$20,FALSE))</f>
        <v/>
      </c>
      <c r="C304" s="10948" t="str">
        <f t="shared" si="19"/>
        <v/>
      </c>
      <c r="D304" s="5133"/>
      <c r="F304" s="5133"/>
      <c r="G304" s="6489">
        <f t="shared" si="23"/>
        <v>76</v>
      </c>
      <c r="H304" s="6489">
        <v>76</v>
      </c>
      <c r="I304" s="10956"/>
      <c r="J304" s="10962"/>
      <c r="K304" s="10962" t="str">
        <f>+IF(ISNA(VLOOKUP(MATCH(P304,tfn,0),tao,'12(id)'!$K$20,FALSE)),"",IF(J304="NA","",VLOOKUP(MATCH(P304,tfn,0),tao,'12(id)'!$K$20,FALSE)+J304))</f>
        <v/>
      </c>
      <c r="L304" s="10962"/>
      <c r="M304" s="10962" t="str">
        <f t="shared" si="24"/>
        <v/>
      </c>
      <c r="N304" s="10945" t="str">
        <f>+IF(M304="","",VLOOKUP(MATCH(M304,tid,0),tao,'12(id)'!$Q$20,FALSE))</f>
        <v/>
      </c>
      <c r="O304" s="10962"/>
      <c r="P304" s="6490" t="s">
        <v>346</v>
      </c>
      <c r="Q304" s="6491"/>
      <c r="R304" s="6489">
        <v>50736</v>
      </c>
      <c r="S304" s="6490" t="s">
        <v>200</v>
      </c>
      <c r="T304" s="6490" t="s">
        <v>184</v>
      </c>
      <c r="U304" s="6491">
        <v>2009</v>
      </c>
      <c r="V304" s="6491"/>
      <c r="W304" s="6489">
        <v>2936</v>
      </c>
      <c r="X304" s="6489">
        <v>6</v>
      </c>
      <c r="Y304" s="6492" t="s">
        <v>939</v>
      </c>
      <c r="Z304" s="6492">
        <v>326730</v>
      </c>
      <c r="AA304" s="6493">
        <v>0.11</v>
      </c>
      <c r="AB304" s="6494">
        <v>21.4</v>
      </c>
      <c r="AC304" s="6492">
        <v>446393</v>
      </c>
      <c r="AD304" s="6490" t="s">
        <v>961</v>
      </c>
      <c r="AE304" s="6490"/>
      <c r="AF304" s="6490" t="s">
        <v>939</v>
      </c>
      <c r="AG304" s="6490"/>
      <c r="AH304" s="6496" t="s">
        <v>197</v>
      </c>
      <c r="AI304" s="6496" t="s">
        <v>197</v>
      </c>
      <c r="AJ304" s="6495" t="s">
        <v>246</v>
      </c>
      <c r="AK304" s="6495" t="s">
        <v>247</v>
      </c>
      <c r="AL304" s="6495"/>
      <c r="AM304" s="6496"/>
      <c r="AN304" s="6496" t="s">
        <v>1013</v>
      </c>
      <c r="AO304" s="6496" t="s">
        <v>198</v>
      </c>
      <c r="AP304" s="6496" t="s">
        <v>195</v>
      </c>
      <c r="AQ304" s="6496" t="s">
        <v>196</v>
      </c>
      <c r="AR304" s="6496"/>
      <c r="AS304" s="6490"/>
      <c r="AT304" s="6490"/>
      <c r="AU304" s="6490"/>
      <c r="AV304" s="6490"/>
      <c r="AW304" s="6494">
        <v>181</v>
      </c>
      <c r="AX304" s="5133"/>
    </row>
    <row r="305" spans="1:54" ht="12.75" customHeight="1">
      <c r="A305" s="10963" t="str">
        <f t="shared" ref="A305:A368" si="25">+IF(M305="","",M305)</f>
        <v/>
      </c>
      <c r="B305" s="10946" t="str">
        <f>+IF(A305="","",VLOOKUP(MATCH(A305,tid,0),tao,'12(id)'!$J$20,FALSE))</f>
        <v/>
      </c>
      <c r="C305" s="10949" t="str">
        <f t="shared" si="19"/>
        <v/>
      </c>
      <c r="D305" s="5133"/>
      <c r="F305" s="5133"/>
      <c r="G305" s="6489">
        <f t="shared" si="23"/>
        <v>77</v>
      </c>
      <c r="H305" s="6489">
        <v>75</v>
      </c>
      <c r="I305" s="10957"/>
      <c r="J305" s="10963"/>
      <c r="K305" s="10963" t="str">
        <f>+IF(ISNA(VLOOKUP(MATCH(P305,tfn,0),tao,'12(id)'!$K$20,FALSE)),"",IF(J305="NA","",VLOOKUP(MATCH(P305,tfn,0),tao,'12(id)'!$K$20,FALSE)+J305))</f>
        <v/>
      </c>
      <c r="L305" s="10963"/>
      <c r="M305" s="10963" t="str">
        <f t="shared" si="24"/>
        <v/>
      </c>
      <c r="N305" s="10946" t="str">
        <f>+IF(M305="","",VLOOKUP(MATCH(M305,tid,0),tao,'12(id)'!$Q$20,FALSE))</f>
        <v/>
      </c>
      <c r="O305" s="10963"/>
      <c r="P305" s="6490" t="s">
        <v>346</v>
      </c>
      <c r="Q305" s="6491"/>
      <c r="R305" s="6489">
        <v>50736</v>
      </c>
      <c r="S305" s="6490" t="s">
        <v>200</v>
      </c>
      <c r="T305" s="6490" t="s">
        <v>184</v>
      </c>
      <c r="U305" s="6491">
        <v>2008</v>
      </c>
      <c r="V305" s="6491"/>
      <c r="W305" s="6489">
        <v>2908</v>
      </c>
      <c r="X305" s="6489">
        <v>6</v>
      </c>
      <c r="Y305" s="6492" t="s">
        <v>939</v>
      </c>
      <c r="Z305" s="6492">
        <v>336464</v>
      </c>
      <c r="AA305" s="6493">
        <v>0.11</v>
      </c>
      <c r="AB305" s="6494">
        <v>61.4</v>
      </c>
      <c r="AC305" s="6492">
        <v>1167796</v>
      </c>
      <c r="AD305" s="6490" t="s">
        <v>961</v>
      </c>
      <c r="AE305" s="6490"/>
      <c r="AF305" s="6490" t="s">
        <v>939</v>
      </c>
      <c r="AG305" s="6490"/>
      <c r="AH305" s="6495" t="s">
        <v>193</v>
      </c>
      <c r="AI305" s="6495" t="s">
        <v>193</v>
      </c>
      <c r="AJ305" s="6495" t="s">
        <v>245</v>
      </c>
      <c r="AK305" s="6496"/>
      <c r="AL305" s="6496"/>
      <c r="AM305" s="6496"/>
      <c r="AN305" s="6495" t="s">
        <v>1013</v>
      </c>
      <c r="AO305" s="6495" t="s">
        <v>194</v>
      </c>
      <c r="AP305" s="6495" t="s">
        <v>195</v>
      </c>
      <c r="AQ305" s="6495" t="s">
        <v>196</v>
      </c>
      <c r="AR305" s="6496"/>
      <c r="AS305" s="6490"/>
      <c r="AT305" s="6490"/>
      <c r="AU305" s="6490"/>
      <c r="AV305" s="6490"/>
      <c r="AW305" s="6494">
        <v>181</v>
      </c>
      <c r="AX305" s="5133"/>
    </row>
    <row r="306" spans="1:54" s="6369" customFormat="1" ht="12.75" customHeight="1">
      <c r="A306" s="10964" t="str">
        <f t="shared" si="25"/>
        <v>8300-07</v>
      </c>
      <c r="B306" s="10950" t="str">
        <f>+IF(A306="","",VLOOKUP(MATCH(A306,tid,0),tao,'12(id)'!$J$20,FALSE))</f>
        <v>NRG</v>
      </c>
      <c r="C306" s="10941" t="str">
        <f t="shared" si="19"/>
        <v>FD10</v>
      </c>
      <c r="E306" s="5132"/>
      <c r="G306" s="6548">
        <f t="shared" si="23"/>
        <v>78</v>
      </c>
      <c r="H306" s="6548">
        <v>80</v>
      </c>
      <c r="I306" s="10958">
        <f>1+I303</f>
        <v>30</v>
      </c>
      <c r="J306" s="10964"/>
      <c r="K306" s="10964">
        <f>+IF(ISNA(VLOOKUP(MATCH(P306,tfn,0),tao,'12(id)'!$K$20,FALSE)),"",IF(J306="NA","",VLOOKUP(MATCH(P306,tfn,0),tao,'12(id)'!$K$20,FALSE)+J306))</f>
        <v>8300</v>
      </c>
      <c r="L306" s="10964">
        <f>1+L278</f>
        <v>7</v>
      </c>
      <c r="M306" s="10964" t="str">
        <f t="shared" si="24"/>
        <v>8300-07</v>
      </c>
      <c r="N306" s="10950" t="str">
        <f>+IF(M306="","",VLOOKUP(MATCH(M306,tid,0),tao,'12(id)'!$Q$20,FALSE))</f>
        <v>FD10</v>
      </c>
      <c r="O306" s="10964"/>
      <c r="P306" s="6549" t="s">
        <v>347</v>
      </c>
      <c r="Q306" s="6550"/>
      <c r="R306" s="6548">
        <v>561</v>
      </c>
      <c r="S306" s="6549" t="s">
        <v>1044</v>
      </c>
      <c r="T306" s="6549"/>
      <c r="U306" s="6550">
        <v>2010</v>
      </c>
      <c r="V306" s="6550"/>
      <c r="W306" s="6548">
        <v>46</v>
      </c>
      <c r="X306" s="6548">
        <v>6</v>
      </c>
      <c r="Y306" s="6551">
        <v>639</v>
      </c>
      <c r="Z306" s="6551" t="s">
        <v>939</v>
      </c>
      <c r="AA306" s="6552">
        <v>1.2</v>
      </c>
      <c r="AB306" s="6553">
        <v>6.9</v>
      </c>
      <c r="AC306" s="6551">
        <v>11515</v>
      </c>
      <c r="AD306" s="6549" t="s">
        <v>961</v>
      </c>
      <c r="AE306" s="6549"/>
      <c r="AF306" s="6549">
        <v>4911</v>
      </c>
      <c r="AG306" s="6549" t="s">
        <v>1008</v>
      </c>
      <c r="AH306" s="6554" t="s">
        <v>1075</v>
      </c>
      <c r="AI306" s="6554" t="s">
        <v>1075</v>
      </c>
      <c r="AJ306" s="6554" t="s">
        <v>1040</v>
      </c>
      <c r="AK306" s="6554" t="s">
        <v>1011</v>
      </c>
      <c r="AL306" s="6554"/>
      <c r="AM306" s="6555"/>
      <c r="AN306" s="6554" t="s">
        <v>1013</v>
      </c>
      <c r="AO306" s="6554" t="s">
        <v>1054</v>
      </c>
      <c r="AP306" s="6554" t="s">
        <v>1047</v>
      </c>
      <c r="AQ306" s="6555"/>
      <c r="AR306" s="6555"/>
      <c r="AS306" s="6549"/>
      <c r="AT306" s="6549"/>
      <c r="AU306" s="6549"/>
      <c r="AV306" s="6549"/>
      <c r="AW306" s="6553">
        <v>250</v>
      </c>
      <c r="AX306" s="5133"/>
      <c r="AY306" s="5132"/>
      <c r="AZ306" s="5132"/>
      <c r="BA306" s="5132"/>
      <c r="BB306" s="5132"/>
    </row>
    <row r="307" spans="1:54" s="6369" customFormat="1" ht="12.75" customHeight="1">
      <c r="A307" s="10965" t="str">
        <f t="shared" si="25"/>
        <v>8300-07</v>
      </c>
      <c r="B307" s="10951" t="str">
        <f>+IF(A307="","",VLOOKUP(MATCH(A307,tid,0),tao,'12(id)'!$J$20,FALSE))</f>
        <v>NRG</v>
      </c>
      <c r="C307" s="10942" t="str">
        <f t="shared" si="19"/>
        <v>FD10</v>
      </c>
      <c r="E307" s="5132"/>
      <c r="G307" s="6548">
        <f t="shared" si="23"/>
        <v>79</v>
      </c>
      <c r="H307" s="6548">
        <v>79</v>
      </c>
      <c r="I307" s="10959"/>
      <c r="J307" s="10965"/>
      <c r="K307" s="10965">
        <f>+IF(ISNA(VLOOKUP(MATCH(P307,tfn,0),tao,'12(id)'!$K$20,FALSE)),"",IF(J307="NA","",VLOOKUP(MATCH(P307,tfn,0),tao,'12(id)'!$K$20,FALSE)+J307))</f>
        <v>8300</v>
      </c>
      <c r="L307" s="10965">
        <f>+L306</f>
        <v>7</v>
      </c>
      <c r="M307" s="10965" t="str">
        <f t="shared" si="24"/>
        <v>8300-07</v>
      </c>
      <c r="N307" s="10951" t="str">
        <f>+IF(M307="","",VLOOKUP(MATCH(M307,tid,0),tao,'12(id)'!$Q$20,FALSE))</f>
        <v>FD10</v>
      </c>
      <c r="O307" s="10965"/>
      <c r="P307" s="6549" t="s">
        <v>347</v>
      </c>
      <c r="Q307" s="6550"/>
      <c r="R307" s="6548">
        <v>561</v>
      </c>
      <c r="S307" s="6549" t="s">
        <v>1044</v>
      </c>
      <c r="T307" s="6549"/>
      <c r="U307" s="6550">
        <v>2009</v>
      </c>
      <c r="V307" s="6550"/>
      <c r="W307" s="6548">
        <v>5</v>
      </c>
      <c r="X307" s="6548">
        <v>6</v>
      </c>
      <c r="Y307" s="6551">
        <v>62</v>
      </c>
      <c r="Z307" s="6551" t="s">
        <v>939</v>
      </c>
      <c r="AA307" s="6552">
        <v>1.2</v>
      </c>
      <c r="AB307" s="6553">
        <v>0.7</v>
      </c>
      <c r="AC307" s="6551">
        <v>1145</v>
      </c>
      <c r="AD307" s="6549" t="s">
        <v>961</v>
      </c>
      <c r="AE307" s="6549"/>
      <c r="AF307" s="6549">
        <v>4911</v>
      </c>
      <c r="AG307" s="6549" t="s">
        <v>1008</v>
      </c>
      <c r="AH307" s="6555" t="s">
        <v>1075</v>
      </c>
      <c r="AI307" s="6554" t="s">
        <v>1075</v>
      </c>
      <c r="AJ307" s="6554" t="s">
        <v>11</v>
      </c>
      <c r="AK307" s="6554" t="s">
        <v>1043</v>
      </c>
      <c r="AL307" s="6554"/>
      <c r="AM307" s="6555"/>
      <c r="AN307" s="6555" t="s">
        <v>1013</v>
      </c>
      <c r="AO307" s="6555" t="s">
        <v>1054</v>
      </c>
      <c r="AP307" s="6555" t="s">
        <v>1047</v>
      </c>
      <c r="AQ307" s="6555"/>
      <c r="AR307" s="6555"/>
      <c r="AS307" s="6549"/>
      <c r="AT307" s="6549"/>
      <c r="AU307" s="6549"/>
      <c r="AV307" s="6549"/>
      <c r="AW307" s="6553">
        <v>250</v>
      </c>
      <c r="AX307" s="5133"/>
      <c r="AY307" s="5132"/>
      <c r="AZ307" s="5132"/>
      <c r="BA307" s="5132"/>
      <c r="BB307" s="5132"/>
    </row>
    <row r="308" spans="1:54" s="6369" customFormat="1" ht="12.75" customHeight="1">
      <c r="A308" s="10966" t="str">
        <f t="shared" si="25"/>
        <v>8300-07</v>
      </c>
      <c r="B308" s="10952" t="str">
        <f>+IF(A308="","",VLOOKUP(MATCH(A308,tid,0),tao,'12(id)'!$J$20,FALSE))</f>
        <v>NRG</v>
      </c>
      <c r="C308" s="10943" t="str">
        <f t="shared" ref="C308:C371" si="26">+IF(N308="","",N308)</f>
        <v>FD10</v>
      </c>
      <c r="E308" s="5132"/>
      <c r="G308" s="6548">
        <f t="shared" si="23"/>
        <v>80</v>
      </c>
      <c r="H308" s="6548">
        <v>78</v>
      </c>
      <c r="I308" s="10960"/>
      <c r="J308" s="10966"/>
      <c r="K308" s="10966">
        <f>+IF(ISNA(VLOOKUP(MATCH(P308,tfn,0),tao,'12(id)'!$K$20,FALSE)),"",IF(J308="NA","",VLOOKUP(MATCH(P308,tfn,0),tao,'12(id)'!$K$20,FALSE)+J308))</f>
        <v>8300</v>
      </c>
      <c r="L308" s="10966">
        <f>+L307</f>
        <v>7</v>
      </c>
      <c r="M308" s="10966" t="str">
        <f t="shared" si="24"/>
        <v>8300-07</v>
      </c>
      <c r="N308" s="10952" t="str">
        <f>+IF(M308="","",VLOOKUP(MATCH(M308,tid,0),tao,'12(id)'!$Q$20,FALSE))</f>
        <v>FD10</v>
      </c>
      <c r="O308" s="10966"/>
      <c r="P308" s="6549" t="s">
        <v>347</v>
      </c>
      <c r="Q308" s="6550"/>
      <c r="R308" s="6548">
        <v>561</v>
      </c>
      <c r="S308" s="6549" t="s">
        <v>1044</v>
      </c>
      <c r="T308" s="6549"/>
      <c r="U308" s="6550">
        <v>2008</v>
      </c>
      <c r="V308" s="6550"/>
      <c r="W308" s="6548">
        <v>8</v>
      </c>
      <c r="X308" s="6548">
        <v>6</v>
      </c>
      <c r="Y308" s="6551">
        <v>142</v>
      </c>
      <c r="Z308" s="6551" t="s">
        <v>939</v>
      </c>
      <c r="AA308" s="6552">
        <v>1.2</v>
      </c>
      <c r="AB308" s="6553">
        <v>1.2</v>
      </c>
      <c r="AC308" s="6551">
        <v>2060</v>
      </c>
      <c r="AD308" s="6549" t="s">
        <v>961</v>
      </c>
      <c r="AE308" s="6549"/>
      <c r="AF308" s="6549">
        <v>4911</v>
      </c>
      <c r="AG308" s="6549" t="s">
        <v>1008</v>
      </c>
      <c r="AH308" s="6555" t="s">
        <v>1075</v>
      </c>
      <c r="AI308" s="6554" t="s">
        <v>1075</v>
      </c>
      <c r="AJ308" s="6554" t="s">
        <v>9</v>
      </c>
      <c r="AK308" s="6555" t="s">
        <v>10</v>
      </c>
      <c r="AL308" s="6555"/>
      <c r="AM308" s="6555"/>
      <c r="AN308" s="6555" t="s">
        <v>1013</v>
      </c>
      <c r="AO308" s="6555" t="s">
        <v>1054</v>
      </c>
      <c r="AP308" s="6555" t="s">
        <v>1047</v>
      </c>
      <c r="AQ308" s="6555"/>
      <c r="AR308" s="6555"/>
      <c r="AS308" s="6549"/>
      <c r="AT308" s="6549"/>
      <c r="AU308" s="6549"/>
      <c r="AV308" s="6549"/>
      <c r="AW308" s="6553">
        <v>250</v>
      </c>
      <c r="AX308" s="5133"/>
      <c r="AY308" s="5132"/>
      <c r="AZ308" s="5132"/>
      <c r="BA308" s="5132"/>
      <c r="BB308" s="5132"/>
    </row>
    <row r="309" spans="1:54" ht="12.75" customHeight="1">
      <c r="A309" s="10961" t="str">
        <f t="shared" si="25"/>
        <v/>
      </c>
      <c r="B309" s="10944" t="str">
        <f>+IF(A309="","",VLOOKUP(MATCH(A309,tid,0),tao,'12(id)'!$J$20,FALSE))</f>
        <v/>
      </c>
      <c r="C309" s="10947" t="str">
        <f t="shared" si="26"/>
        <v/>
      </c>
      <c r="D309" s="5133"/>
      <c r="F309" s="5133"/>
      <c r="G309" s="6489">
        <f t="shared" si="23"/>
        <v>81</v>
      </c>
      <c r="H309" s="6489">
        <v>83</v>
      </c>
      <c r="I309" s="10955">
        <f>1+I306</f>
        <v>31</v>
      </c>
      <c r="J309" s="10961"/>
      <c r="K309" s="10961" t="str">
        <f>+IF(ISNA(VLOOKUP(MATCH(P309,tfn,0),tao,'12(id)'!$K$20,FALSE)),"",IF(J309="NA","",VLOOKUP(MATCH(P309,tfn,0),tao,'12(id)'!$K$20,FALSE)+J309))</f>
        <v/>
      </c>
      <c r="L309" s="10961"/>
      <c r="M309" s="10961" t="str">
        <f t="shared" si="24"/>
        <v/>
      </c>
      <c r="N309" s="10944" t="str">
        <f>+IF(M309="","",VLOOKUP(MATCH(M309,tid,0),tao,'12(id)'!$Q$20,FALSE))</f>
        <v/>
      </c>
      <c r="O309" s="10961"/>
      <c r="P309" s="6490" t="s">
        <v>348</v>
      </c>
      <c r="Q309" s="6491"/>
      <c r="R309" s="6489">
        <v>55149</v>
      </c>
      <c r="S309" s="6490" t="s">
        <v>201</v>
      </c>
      <c r="T309" s="6490"/>
      <c r="U309" s="6491">
        <v>2010</v>
      </c>
      <c r="V309" s="6491"/>
      <c r="W309" s="6489">
        <v>5505</v>
      </c>
      <c r="X309" s="6489">
        <v>12</v>
      </c>
      <c r="Y309" s="6492">
        <v>849690</v>
      </c>
      <c r="Z309" s="6492" t="s">
        <v>939</v>
      </c>
      <c r="AA309" s="6493">
        <v>0.01</v>
      </c>
      <c r="AB309" s="6494">
        <v>33.1</v>
      </c>
      <c r="AC309" s="6492">
        <v>9159016</v>
      </c>
      <c r="AD309" s="6490" t="s">
        <v>961</v>
      </c>
      <c r="AE309" s="6490"/>
      <c r="AF309" s="6490">
        <v>4911</v>
      </c>
      <c r="AG309" s="6490" t="s">
        <v>1008</v>
      </c>
      <c r="AH309" s="6496" t="s">
        <v>202</v>
      </c>
      <c r="AI309" s="6495" t="s">
        <v>202</v>
      </c>
      <c r="AJ309" s="6495" t="s">
        <v>313</v>
      </c>
      <c r="AK309" s="6495" t="s">
        <v>314</v>
      </c>
      <c r="AL309" s="6495"/>
      <c r="AM309" s="6496"/>
      <c r="AN309" s="6496" t="s">
        <v>1013</v>
      </c>
      <c r="AO309" s="6496" t="s">
        <v>1020</v>
      </c>
      <c r="AP309" s="6496" t="s">
        <v>1021</v>
      </c>
      <c r="AQ309" s="6496" t="s">
        <v>962</v>
      </c>
      <c r="AR309" s="6496"/>
      <c r="AS309" s="6490" t="s">
        <v>136</v>
      </c>
      <c r="AT309" s="6490" t="s">
        <v>1022</v>
      </c>
      <c r="AU309" s="6490" t="s">
        <v>1023</v>
      </c>
      <c r="AV309" s="6490"/>
      <c r="AW309" s="6494">
        <v>2276</v>
      </c>
      <c r="AX309" s="5133"/>
    </row>
    <row r="310" spans="1:54" ht="12.75" customHeight="1">
      <c r="A310" s="10962" t="str">
        <f t="shared" si="25"/>
        <v/>
      </c>
      <c r="B310" s="10945" t="str">
        <f>+IF(A310="","",VLOOKUP(MATCH(A310,tid,0),tao,'12(id)'!$J$20,FALSE))</f>
        <v/>
      </c>
      <c r="C310" s="10948" t="str">
        <f t="shared" si="26"/>
        <v/>
      </c>
      <c r="D310" s="5133"/>
      <c r="F310" s="5133"/>
      <c r="G310" s="6489">
        <f t="shared" si="23"/>
        <v>82</v>
      </c>
      <c r="H310" s="6489">
        <v>82</v>
      </c>
      <c r="I310" s="10956"/>
      <c r="J310" s="10962"/>
      <c r="K310" s="10962" t="str">
        <f>+IF(ISNA(VLOOKUP(MATCH(P310,tfn,0),tao,'12(id)'!$K$20,FALSE)),"",IF(J310="NA","",VLOOKUP(MATCH(P310,tfn,0),tao,'12(id)'!$K$20,FALSE)+J310))</f>
        <v/>
      </c>
      <c r="L310" s="10962"/>
      <c r="M310" s="10962" t="str">
        <f t="shared" si="24"/>
        <v/>
      </c>
      <c r="N310" s="10945" t="str">
        <f>+IF(M310="","",VLOOKUP(MATCH(M310,tid,0),tao,'12(id)'!$Q$20,FALSE))</f>
        <v/>
      </c>
      <c r="O310" s="10962"/>
      <c r="P310" s="6490" t="s">
        <v>348</v>
      </c>
      <c r="Q310" s="6491"/>
      <c r="R310" s="6489">
        <v>55149</v>
      </c>
      <c r="S310" s="6490" t="s">
        <v>201</v>
      </c>
      <c r="T310" s="6490"/>
      <c r="U310" s="6491">
        <v>2009</v>
      </c>
      <c r="V310" s="6491"/>
      <c r="W310" s="6489">
        <v>4567</v>
      </c>
      <c r="X310" s="6489">
        <v>12</v>
      </c>
      <c r="Y310" s="6492">
        <v>680126</v>
      </c>
      <c r="Z310" s="6492" t="s">
        <v>939</v>
      </c>
      <c r="AA310" s="6493">
        <v>0.01</v>
      </c>
      <c r="AB310" s="6494">
        <v>26.7</v>
      </c>
      <c r="AC310" s="6492">
        <v>7405915</v>
      </c>
      <c r="AD310" s="6490" t="s">
        <v>961</v>
      </c>
      <c r="AE310" s="6490"/>
      <c r="AF310" s="6490">
        <v>4911</v>
      </c>
      <c r="AG310" s="6490" t="s">
        <v>1008</v>
      </c>
      <c r="AH310" s="6496" t="s">
        <v>202</v>
      </c>
      <c r="AI310" s="6495" t="s">
        <v>202</v>
      </c>
      <c r="AJ310" s="6495" t="s">
        <v>252</v>
      </c>
      <c r="AK310" s="6495" t="s">
        <v>253</v>
      </c>
      <c r="AL310" s="6495"/>
      <c r="AM310" s="6496"/>
      <c r="AN310" s="6496" t="s">
        <v>1013</v>
      </c>
      <c r="AO310" s="6496" t="s">
        <v>1020</v>
      </c>
      <c r="AP310" s="6496" t="s">
        <v>1021</v>
      </c>
      <c r="AQ310" s="6496" t="s">
        <v>962</v>
      </c>
      <c r="AR310" s="6496"/>
      <c r="AS310" s="6490" t="s">
        <v>136</v>
      </c>
      <c r="AT310" s="6490" t="s">
        <v>1022</v>
      </c>
      <c r="AU310" s="6490" t="s">
        <v>1023</v>
      </c>
      <c r="AV310" s="6490"/>
      <c r="AW310" s="6494">
        <v>2276</v>
      </c>
      <c r="AX310" s="5133"/>
    </row>
    <row r="311" spans="1:54" ht="12.75" customHeight="1">
      <c r="A311" s="10963" t="str">
        <f t="shared" si="25"/>
        <v/>
      </c>
      <c r="B311" s="10946" t="str">
        <f>+IF(A311="","",VLOOKUP(MATCH(A311,tid,0),tao,'12(id)'!$J$20,FALSE))</f>
        <v/>
      </c>
      <c r="C311" s="10949" t="str">
        <f t="shared" si="26"/>
        <v/>
      </c>
      <c r="D311" s="5133"/>
      <c r="F311" s="5133"/>
      <c r="G311" s="6489">
        <f t="shared" si="23"/>
        <v>83</v>
      </c>
      <c r="H311" s="6489">
        <v>81</v>
      </c>
      <c r="I311" s="10957"/>
      <c r="J311" s="10963"/>
      <c r="K311" s="10963" t="str">
        <f>+IF(ISNA(VLOOKUP(MATCH(P311,tfn,0),tao,'12(id)'!$K$20,FALSE)),"",IF(J311="NA","",VLOOKUP(MATCH(P311,tfn,0),tao,'12(id)'!$K$20,FALSE)+J311))</f>
        <v/>
      </c>
      <c r="L311" s="10963"/>
      <c r="M311" s="10963" t="str">
        <f t="shared" si="24"/>
        <v/>
      </c>
      <c r="N311" s="10946" t="str">
        <f>+IF(M311="","",VLOOKUP(MATCH(M311,tid,0),tao,'12(id)'!$Q$20,FALSE))</f>
        <v/>
      </c>
      <c r="O311" s="10963"/>
      <c r="P311" s="6490" t="s">
        <v>348</v>
      </c>
      <c r="Q311" s="6491"/>
      <c r="R311" s="6489">
        <v>55149</v>
      </c>
      <c r="S311" s="6490" t="s">
        <v>201</v>
      </c>
      <c r="T311" s="6490"/>
      <c r="U311" s="6491">
        <v>2008</v>
      </c>
      <c r="V311" s="6491"/>
      <c r="W311" s="6489">
        <v>3321</v>
      </c>
      <c r="X311" s="6489">
        <v>12</v>
      </c>
      <c r="Y311" s="6492">
        <v>479170</v>
      </c>
      <c r="Z311" s="6492" t="s">
        <v>939</v>
      </c>
      <c r="AA311" s="6493">
        <v>0.01</v>
      </c>
      <c r="AB311" s="6494">
        <v>20.8</v>
      </c>
      <c r="AC311" s="6492">
        <v>5311245</v>
      </c>
      <c r="AD311" s="6490" t="s">
        <v>961</v>
      </c>
      <c r="AE311" s="6490"/>
      <c r="AF311" s="6490">
        <v>4911</v>
      </c>
      <c r="AG311" s="6490" t="s">
        <v>1008</v>
      </c>
      <c r="AH311" s="6496" t="s">
        <v>202</v>
      </c>
      <c r="AI311" s="6495" t="s">
        <v>202</v>
      </c>
      <c r="AJ311" s="6496" t="s">
        <v>250</v>
      </c>
      <c r="AK311" s="6495" t="s">
        <v>251</v>
      </c>
      <c r="AL311" s="6495"/>
      <c r="AM311" s="6496"/>
      <c r="AN311" s="6496" t="s">
        <v>1013</v>
      </c>
      <c r="AO311" s="6496" t="s">
        <v>1020</v>
      </c>
      <c r="AP311" s="6496" t="s">
        <v>1021</v>
      </c>
      <c r="AQ311" s="6496" t="s">
        <v>962</v>
      </c>
      <c r="AR311" s="6496"/>
      <c r="AS311" s="6490" t="s">
        <v>136</v>
      </c>
      <c r="AT311" s="6490" t="s">
        <v>1022</v>
      </c>
      <c r="AU311" s="6490" t="s">
        <v>1023</v>
      </c>
      <c r="AV311" s="6490"/>
      <c r="AW311" s="6494">
        <v>2276</v>
      </c>
      <c r="AX311" s="5133"/>
    </row>
    <row r="312" spans="1:54" ht="12.75" customHeight="1">
      <c r="A312" s="10961" t="str">
        <f t="shared" si="25"/>
        <v/>
      </c>
      <c r="B312" s="10944" t="str">
        <f>+IF(A312="","",VLOOKUP(MATCH(A312,tid,0),tao,'12(id)'!$J$20,FALSE))</f>
        <v/>
      </c>
      <c r="C312" s="10947" t="str">
        <f t="shared" si="26"/>
        <v/>
      </c>
      <c r="D312" s="5133"/>
      <c r="F312" s="5133"/>
      <c r="G312" s="6489">
        <f t="shared" si="23"/>
        <v>84</v>
      </c>
      <c r="H312" s="6489">
        <v>86</v>
      </c>
      <c r="I312" s="10955">
        <f>1+I309</f>
        <v>32</v>
      </c>
      <c r="J312" s="10961"/>
      <c r="K312" s="10961" t="str">
        <f>+IF(ISNA(VLOOKUP(MATCH(P312,tfn,0),tao,'12(id)'!$K$20,FALSE)),"",IF(J312="NA","",VLOOKUP(MATCH(P312,tfn,0),tao,'12(id)'!$K$20,FALSE)+J312))</f>
        <v/>
      </c>
      <c r="L312" s="10961"/>
      <c r="M312" s="10961" t="str">
        <f t="shared" si="24"/>
        <v/>
      </c>
      <c r="N312" s="10944" t="str">
        <f>+IF(M312="","",VLOOKUP(MATCH(M312,tid,0),tao,'12(id)'!$Q$20,FALSE))</f>
        <v/>
      </c>
      <c r="O312" s="10961"/>
      <c r="P312" s="6490" t="s">
        <v>348</v>
      </c>
      <c r="Q312" s="6491"/>
      <c r="R312" s="6489">
        <v>55149</v>
      </c>
      <c r="S312" s="6490" t="s">
        <v>203</v>
      </c>
      <c r="T312" s="6490"/>
      <c r="U312" s="6491">
        <v>2010</v>
      </c>
      <c r="V312" s="6491"/>
      <c r="W312" s="6489">
        <v>5293</v>
      </c>
      <c r="X312" s="6489">
        <v>12</v>
      </c>
      <c r="Y312" s="6492">
        <v>831134</v>
      </c>
      <c r="Z312" s="6492" t="s">
        <v>939</v>
      </c>
      <c r="AA312" s="6493">
        <v>0.01</v>
      </c>
      <c r="AB312" s="6494">
        <v>33.200000000000003</v>
      </c>
      <c r="AC312" s="6492">
        <v>8885452</v>
      </c>
      <c r="AD312" s="6490" t="s">
        <v>961</v>
      </c>
      <c r="AE312" s="6490"/>
      <c r="AF312" s="6490">
        <v>4911</v>
      </c>
      <c r="AG312" s="6490" t="s">
        <v>1008</v>
      </c>
      <c r="AH312" s="6496" t="s">
        <v>202</v>
      </c>
      <c r="AI312" s="6495" t="s">
        <v>202</v>
      </c>
      <c r="AJ312" s="6495" t="s">
        <v>313</v>
      </c>
      <c r="AK312" s="6495" t="s">
        <v>314</v>
      </c>
      <c r="AL312" s="6495"/>
      <c r="AM312" s="6496"/>
      <c r="AN312" s="6496" t="s">
        <v>1013</v>
      </c>
      <c r="AO312" s="6496" t="s">
        <v>1020</v>
      </c>
      <c r="AP312" s="6496" t="s">
        <v>1021</v>
      </c>
      <c r="AQ312" s="6496" t="s">
        <v>962</v>
      </c>
      <c r="AR312" s="6496"/>
      <c r="AS312" s="6490" t="s">
        <v>136</v>
      </c>
      <c r="AT312" s="6490" t="s">
        <v>1022</v>
      </c>
      <c r="AU312" s="6490" t="s">
        <v>1023</v>
      </c>
      <c r="AV312" s="6490"/>
      <c r="AW312" s="6494">
        <v>2276</v>
      </c>
      <c r="AX312" s="5133"/>
    </row>
    <row r="313" spans="1:54" ht="12.75" customHeight="1">
      <c r="A313" s="10962" t="str">
        <f t="shared" si="25"/>
        <v/>
      </c>
      <c r="B313" s="10945" t="str">
        <f>+IF(A313="","",VLOOKUP(MATCH(A313,tid,0),tao,'12(id)'!$J$20,FALSE))</f>
        <v/>
      </c>
      <c r="C313" s="10948" t="str">
        <f t="shared" si="26"/>
        <v/>
      </c>
      <c r="D313" s="5133"/>
      <c r="F313" s="5133"/>
      <c r="G313" s="6489">
        <f t="shared" si="23"/>
        <v>85</v>
      </c>
      <c r="H313" s="6489">
        <v>85</v>
      </c>
      <c r="I313" s="10956"/>
      <c r="J313" s="10962"/>
      <c r="K313" s="10962" t="str">
        <f>+IF(ISNA(VLOOKUP(MATCH(P313,tfn,0),tao,'12(id)'!$K$20,FALSE)),"",IF(J313="NA","",VLOOKUP(MATCH(P313,tfn,0),tao,'12(id)'!$K$20,FALSE)+J313))</f>
        <v/>
      </c>
      <c r="L313" s="10962"/>
      <c r="M313" s="10962" t="str">
        <f t="shared" si="24"/>
        <v/>
      </c>
      <c r="N313" s="10945" t="str">
        <f>+IF(M313="","",VLOOKUP(MATCH(M313,tid,0),tao,'12(id)'!$Q$20,FALSE))</f>
        <v/>
      </c>
      <c r="O313" s="10962"/>
      <c r="P313" s="6490" t="s">
        <v>348</v>
      </c>
      <c r="Q313" s="6491"/>
      <c r="R313" s="6489">
        <v>55149</v>
      </c>
      <c r="S313" s="6490" t="s">
        <v>203</v>
      </c>
      <c r="T313" s="6490"/>
      <c r="U313" s="6491">
        <v>2009</v>
      </c>
      <c r="V313" s="6491"/>
      <c r="W313" s="6489">
        <v>4249</v>
      </c>
      <c r="X313" s="6489">
        <v>12</v>
      </c>
      <c r="Y313" s="6492">
        <v>632605</v>
      </c>
      <c r="Z313" s="6492" t="s">
        <v>939</v>
      </c>
      <c r="AA313" s="6493">
        <v>0.01</v>
      </c>
      <c r="AB313" s="6494">
        <v>27.4</v>
      </c>
      <c r="AC313" s="6492">
        <v>6802198</v>
      </c>
      <c r="AD313" s="6490" t="s">
        <v>961</v>
      </c>
      <c r="AE313" s="6490"/>
      <c r="AF313" s="6490">
        <v>4911</v>
      </c>
      <c r="AG313" s="6490" t="s">
        <v>1008</v>
      </c>
      <c r="AH313" s="6496" t="s">
        <v>202</v>
      </c>
      <c r="AI313" s="6495" t="s">
        <v>202</v>
      </c>
      <c r="AJ313" s="6495" t="s">
        <v>252</v>
      </c>
      <c r="AK313" s="6495" t="s">
        <v>253</v>
      </c>
      <c r="AL313" s="6495"/>
      <c r="AM313" s="6496"/>
      <c r="AN313" s="6496" t="s">
        <v>1013</v>
      </c>
      <c r="AO313" s="6496" t="s">
        <v>1020</v>
      </c>
      <c r="AP313" s="6496" t="s">
        <v>1021</v>
      </c>
      <c r="AQ313" s="6496" t="s">
        <v>962</v>
      </c>
      <c r="AR313" s="6496"/>
      <c r="AS313" s="6490" t="s">
        <v>136</v>
      </c>
      <c r="AT313" s="6490" t="s">
        <v>1022</v>
      </c>
      <c r="AU313" s="6490" t="s">
        <v>1023</v>
      </c>
      <c r="AV313" s="6490"/>
      <c r="AW313" s="6494">
        <v>2276</v>
      </c>
      <c r="AX313" s="5133"/>
    </row>
    <row r="314" spans="1:54" ht="12.75" customHeight="1">
      <c r="A314" s="10963" t="str">
        <f t="shared" si="25"/>
        <v/>
      </c>
      <c r="B314" s="10946" t="str">
        <f>+IF(A314="","",VLOOKUP(MATCH(A314,tid,0),tao,'12(id)'!$J$20,FALSE))</f>
        <v/>
      </c>
      <c r="C314" s="10949" t="str">
        <f t="shared" si="26"/>
        <v/>
      </c>
      <c r="D314" s="5133"/>
      <c r="F314" s="5133"/>
      <c r="G314" s="6489">
        <f t="shared" si="23"/>
        <v>86</v>
      </c>
      <c r="H314" s="6489">
        <v>84</v>
      </c>
      <c r="I314" s="10957"/>
      <c r="J314" s="10963"/>
      <c r="K314" s="10963" t="str">
        <f>+IF(ISNA(VLOOKUP(MATCH(P314,tfn,0),tao,'12(id)'!$K$20,FALSE)),"",IF(J314="NA","",VLOOKUP(MATCH(P314,tfn,0),tao,'12(id)'!$K$20,FALSE)+J314))</f>
        <v/>
      </c>
      <c r="L314" s="10963"/>
      <c r="M314" s="10963" t="str">
        <f t="shared" si="24"/>
        <v/>
      </c>
      <c r="N314" s="10946" t="str">
        <f>+IF(M314="","",VLOOKUP(MATCH(M314,tid,0),tao,'12(id)'!$Q$20,FALSE))</f>
        <v/>
      </c>
      <c r="O314" s="10963"/>
      <c r="P314" s="6490" t="s">
        <v>348</v>
      </c>
      <c r="Q314" s="6491"/>
      <c r="R314" s="6489">
        <v>55149</v>
      </c>
      <c r="S314" s="6490" t="s">
        <v>203</v>
      </c>
      <c r="T314" s="6490"/>
      <c r="U314" s="6491">
        <v>2008</v>
      </c>
      <c r="V314" s="6491"/>
      <c r="W314" s="6489">
        <v>4262</v>
      </c>
      <c r="X314" s="6489">
        <v>12</v>
      </c>
      <c r="Y314" s="6492">
        <v>650810</v>
      </c>
      <c r="Z314" s="6492" t="s">
        <v>939</v>
      </c>
      <c r="AA314" s="6493">
        <v>0.02</v>
      </c>
      <c r="AB314" s="6494">
        <v>30.4</v>
      </c>
      <c r="AC314" s="6492">
        <v>6973951</v>
      </c>
      <c r="AD314" s="6490" t="s">
        <v>961</v>
      </c>
      <c r="AE314" s="6490"/>
      <c r="AF314" s="6490">
        <v>4911</v>
      </c>
      <c r="AG314" s="6490" t="s">
        <v>1008</v>
      </c>
      <c r="AH314" s="6496" t="s">
        <v>202</v>
      </c>
      <c r="AI314" s="6495" t="s">
        <v>202</v>
      </c>
      <c r="AJ314" s="6496" t="s">
        <v>250</v>
      </c>
      <c r="AK314" s="6495" t="s">
        <v>251</v>
      </c>
      <c r="AL314" s="6495"/>
      <c r="AM314" s="6496"/>
      <c r="AN314" s="6496" t="s">
        <v>1013</v>
      </c>
      <c r="AO314" s="6496" t="s">
        <v>1020</v>
      </c>
      <c r="AP314" s="6496" t="s">
        <v>1021</v>
      </c>
      <c r="AQ314" s="6496" t="s">
        <v>962</v>
      </c>
      <c r="AR314" s="6496"/>
      <c r="AS314" s="6490" t="s">
        <v>136</v>
      </c>
      <c r="AT314" s="6490" t="s">
        <v>1022</v>
      </c>
      <c r="AU314" s="6490" t="s">
        <v>1023</v>
      </c>
      <c r="AV314" s="6490"/>
      <c r="AW314" s="6494">
        <v>2276</v>
      </c>
      <c r="AX314" s="5133"/>
    </row>
    <row r="315" spans="1:54" ht="12.75" customHeight="1">
      <c r="A315" s="10961" t="str">
        <f t="shared" si="25"/>
        <v/>
      </c>
      <c r="B315" s="10944" t="str">
        <f>+IF(A315="","",VLOOKUP(MATCH(A315,tid,0),tao,'12(id)'!$J$20,FALSE))</f>
        <v/>
      </c>
      <c r="C315" s="10947" t="str">
        <f t="shared" si="26"/>
        <v/>
      </c>
      <c r="D315" s="5133"/>
      <c r="F315" s="5133"/>
      <c r="G315" s="6489">
        <f t="shared" si="23"/>
        <v>87</v>
      </c>
      <c r="H315" s="6489">
        <v>89</v>
      </c>
      <c r="I315" s="10955">
        <f>1+I312</f>
        <v>33</v>
      </c>
      <c r="J315" s="10961"/>
      <c r="K315" s="10961" t="str">
        <f>+IF(ISNA(VLOOKUP(MATCH(P315,tfn,0),tao,'12(id)'!$K$20,FALSE)),"",IF(J315="NA","",VLOOKUP(MATCH(P315,tfn,0),tao,'12(id)'!$K$20,FALSE)+J315))</f>
        <v/>
      </c>
      <c r="L315" s="10961"/>
      <c r="M315" s="10961" t="str">
        <f t="shared" si="24"/>
        <v/>
      </c>
      <c r="N315" s="10944" t="str">
        <f>+IF(M315="","",VLOOKUP(MATCH(M315,tid,0),tao,'12(id)'!$Q$20,FALSE))</f>
        <v/>
      </c>
      <c r="O315" s="10961"/>
      <c r="P315" s="6490" t="s">
        <v>348</v>
      </c>
      <c r="Q315" s="6491"/>
      <c r="R315" s="6489">
        <v>55149</v>
      </c>
      <c r="S315" s="6490" t="s">
        <v>204</v>
      </c>
      <c r="T315" s="6490"/>
      <c r="U315" s="6491">
        <v>2010</v>
      </c>
      <c r="V315" s="6491"/>
      <c r="W315" s="6489">
        <v>5239</v>
      </c>
      <c r="X315" s="6489">
        <v>12</v>
      </c>
      <c r="Y315" s="6492">
        <v>829023</v>
      </c>
      <c r="Z315" s="6492" t="s">
        <v>939</v>
      </c>
      <c r="AA315" s="6493">
        <v>0.01</v>
      </c>
      <c r="AB315" s="6494">
        <v>27.5</v>
      </c>
      <c r="AC315" s="6492">
        <v>8927591</v>
      </c>
      <c r="AD315" s="6490" t="s">
        <v>961</v>
      </c>
      <c r="AE315" s="6490"/>
      <c r="AF315" s="6490">
        <v>4911</v>
      </c>
      <c r="AG315" s="6490" t="s">
        <v>1008</v>
      </c>
      <c r="AH315" s="6496" t="s">
        <v>202</v>
      </c>
      <c r="AI315" s="6495" t="s">
        <v>202</v>
      </c>
      <c r="AJ315" s="6495" t="s">
        <v>313</v>
      </c>
      <c r="AK315" s="6495" t="s">
        <v>314</v>
      </c>
      <c r="AL315" s="6495"/>
      <c r="AM315" s="6496"/>
      <c r="AN315" s="6496" t="s">
        <v>1013</v>
      </c>
      <c r="AO315" s="6496" t="s">
        <v>1020</v>
      </c>
      <c r="AP315" s="6496" t="s">
        <v>1021</v>
      </c>
      <c r="AQ315" s="6496" t="s">
        <v>962</v>
      </c>
      <c r="AR315" s="6496"/>
      <c r="AS315" s="6490" t="s">
        <v>136</v>
      </c>
      <c r="AT315" s="6490" t="s">
        <v>1022</v>
      </c>
      <c r="AU315" s="6490" t="s">
        <v>1023</v>
      </c>
      <c r="AV315" s="6490"/>
      <c r="AW315" s="6494">
        <v>2276</v>
      </c>
      <c r="AX315" s="5133"/>
    </row>
    <row r="316" spans="1:54" ht="12.75" customHeight="1">
      <c r="A316" s="10962" t="str">
        <f t="shared" si="25"/>
        <v/>
      </c>
      <c r="B316" s="10945" t="str">
        <f>+IF(A316="","",VLOOKUP(MATCH(A316,tid,0),tao,'12(id)'!$J$20,FALSE))</f>
        <v/>
      </c>
      <c r="C316" s="10948" t="str">
        <f t="shared" si="26"/>
        <v/>
      </c>
      <c r="D316" s="5133"/>
      <c r="F316" s="5133"/>
      <c r="G316" s="6489">
        <f t="shared" si="23"/>
        <v>88</v>
      </c>
      <c r="H316" s="6489">
        <v>88</v>
      </c>
      <c r="I316" s="10956"/>
      <c r="J316" s="10962"/>
      <c r="K316" s="10962" t="str">
        <f>+IF(ISNA(VLOOKUP(MATCH(P316,tfn,0),tao,'12(id)'!$K$20,FALSE)),"",IF(J316="NA","",VLOOKUP(MATCH(P316,tfn,0),tao,'12(id)'!$K$20,FALSE)+J316))</f>
        <v/>
      </c>
      <c r="L316" s="10962"/>
      <c r="M316" s="10962" t="str">
        <f t="shared" si="24"/>
        <v/>
      </c>
      <c r="N316" s="10945" t="str">
        <f>+IF(M316="","",VLOOKUP(MATCH(M316,tid,0),tao,'12(id)'!$Q$20,FALSE))</f>
        <v/>
      </c>
      <c r="O316" s="10962"/>
      <c r="P316" s="6490" t="s">
        <v>348</v>
      </c>
      <c r="Q316" s="6491"/>
      <c r="R316" s="6489">
        <v>55149</v>
      </c>
      <c r="S316" s="6490" t="s">
        <v>204</v>
      </c>
      <c r="T316" s="6490"/>
      <c r="U316" s="6491">
        <v>2009</v>
      </c>
      <c r="V316" s="6491"/>
      <c r="W316" s="6489">
        <v>3364</v>
      </c>
      <c r="X316" s="6489">
        <v>12</v>
      </c>
      <c r="Y316" s="6492">
        <v>491589</v>
      </c>
      <c r="Z316" s="6492" t="s">
        <v>939</v>
      </c>
      <c r="AA316" s="6493">
        <v>0.02</v>
      </c>
      <c r="AB316" s="6494">
        <v>22</v>
      </c>
      <c r="AC316" s="6492">
        <v>5441846</v>
      </c>
      <c r="AD316" s="6490" t="s">
        <v>961</v>
      </c>
      <c r="AE316" s="6490"/>
      <c r="AF316" s="6490">
        <v>4911</v>
      </c>
      <c r="AG316" s="6490" t="s">
        <v>1008</v>
      </c>
      <c r="AH316" s="6496" t="s">
        <v>202</v>
      </c>
      <c r="AI316" s="6495" t="s">
        <v>202</v>
      </c>
      <c r="AJ316" s="6495" t="s">
        <v>252</v>
      </c>
      <c r="AK316" s="6495" t="s">
        <v>253</v>
      </c>
      <c r="AL316" s="6495"/>
      <c r="AM316" s="6496"/>
      <c r="AN316" s="6496" t="s">
        <v>1013</v>
      </c>
      <c r="AO316" s="6496" t="s">
        <v>1020</v>
      </c>
      <c r="AP316" s="6496" t="s">
        <v>1021</v>
      </c>
      <c r="AQ316" s="6496" t="s">
        <v>962</v>
      </c>
      <c r="AR316" s="6496"/>
      <c r="AS316" s="6490" t="s">
        <v>136</v>
      </c>
      <c r="AT316" s="6490" t="s">
        <v>1022</v>
      </c>
      <c r="AU316" s="6490" t="s">
        <v>1023</v>
      </c>
      <c r="AV316" s="6490"/>
      <c r="AW316" s="6494">
        <v>2276</v>
      </c>
      <c r="AX316" s="5133"/>
    </row>
    <row r="317" spans="1:54" ht="12.75" customHeight="1">
      <c r="A317" s="10963" t="str">
        <f t="shared" si="25"/>
        <v/>
      </c>
      <c r="B317" s="10946" t="str">
        <f>+IF(A317="","",VLOOKUP(MATCH(A317,tid,0),tao,'12(id)'!$J$20,FALSE))</f>
        <v/>
      </c>
      <c r="C317" s="10949" t="str">
        <f t="shared" si="26"/>
        <v/>
      </c>
      <c r="D317" s="5133"/>
      <c r="F317" s="5133"/>
      <c r="G317" s="6489">
        <f t="shared" si="23"/>
        <v>89</v>
      </c>
      <c r="H317" s="6489">
        <v>87</v>
      </c>
      <c r="I317" s="10957"/>
      <c r="J317" s="10963"/>
      <c r="K317" s="10963" t="str">
        <f>+IF(ISNA(VLOOKUP(MATCH(P317,tfn,0),tao,'12(id)'!$K$20,FALSE)),"",IF(J317="NA","",VLOOKUP(MATCH(P317,tfn,0),tao,'12(id)'!$K$20,FALSE)+J317))</f>
        <v/>
      </c>
      <c r="L317" s="10963"/>
      <c r="M317" s="10963" t="str">
        <f t="shared" si="24"/>
        <v/>
      </c>
      <c r="N317" s="10946" t="str">
        <f>+IF(M317="","",VLOOKUP(MATCH(M317,tid,0),tao,'12(id)'!$Q$20,FALSE))</f>
        <v/>
      </c>
      <c r="O317" s="10963"/>
      <c r="P317" s="6490" t="s">
        <v>348</v>
      </c>
      <c r="Q317" s="6491"/>
      <c r="R317" s="6489">
        <v>55149</v>
      </c>
      <c r="S317" s="6490" t="s">
        <v>204</v>
      </c>
      <c r="T317" s="6490"/>
      <c r="U317" s="6491">
        <v>2008</v>
      </c>
      <c r="V317" s="6491"/>
      <c r="W317" s="6489">
        <v>3904</v>
      </c>
      <c r="X317" s="6489">
        <v>12</v>
      </c>
      <c r="Y317" s="6492">
        <v>599777</v>
      </c>
      <c r="Z317" s="6492" t="s">
        <v>939</v>
      </c>
      <c r="AA317" s="6493">
        <v>0.02</v>
      </c>
      <c r="AB317" s="6494">
        <v>26.8</v>
      </c>
      <c r="AC317" s="6492">
        <v>6648893</v>
      </c>
      <c r="AD317" s="6490" t="s">
        <v>961</v>
      </c>
      <c r="AE317" s="6490"/>
      <c r="AF317" s="6490">
        <v>4911</v>
      </c>
      <c r="AG317" s="6490" t="s">
        <v>1008</v>
      </c>
      <c r="AH317" s="6496" t="s">
        <v>202</v>
      </c>
      <c r="AI317" s="6495" t="s">
        <v>202</v>
      </c>
      <c r="AJ317" s="6496" t="s">
        <v>250</v>
      </c>
      <c r="AK317" s="6495" t="s">
        <v>251</v>
      </c>
      <c r="AL317" s="6495"/>
      <c r="AM317" s="6496"/>
      <c r="AN317" s="6496" t="s">
        <v>1013</v>
      </c>
      <c r="AO317" s="6496" t="s">
        <v>1020</v>
      </c>
      <c r="AP317" s="6496" t="s">
        <v>1021</v>
      </c>
      <c r="AQ317" s="6496" t="s">
        <v>962</v>
      </c>
      <c r="AR317" s="6496"/>
      <c r="AS317" s="6490" t="s">
        <v>136</v>
      </c>
      <c r="AT317" s="6490" t="s">
        <v>1022</v>
      </c>
      <c r="AU317" s="6490" t="s">
        <v>1023</v>
      </c>
      <c r="AV317" s="6490"/>
      <c r="AW317" s="6494">
        <v>2276</v>
      </c>
      <c r="AX317" s="5133"/>
    </row>
    <row r="318" spans="1:54" s="6369" customFormat="1" ht="12.75" customHeight="1">
      <c r="A318" s="10964" t="str">
        <f t="shared" si="25"/>
        <v>8300-09</v>
      </c>
      <c r="B318" s="10950" t="str">
        <f>+IF(A318="","",VLOOKUP(MATCH(A318,tid,0),tao,'12(id)'!$J$20,FALSE))</f>
        <v>NRG</v>
      </c>
      <c r="C318" s="10941" t="str">
        <f t="shared" si="26"/>
        <v>MD10</v>
      </c>
      <c r="E318" s="5132"/>
      <c r="G318" s="6548">
        <f t="shared" si="23"/>
        <v>90</v>
      </c>
      <c r="H318" s="6548">
        <v>92</v>
      </c>
      <c r="I318" s="10958">
        <f>1+I315</f>
        <v>34</v>
      </c>
      <c r="J318" s="10968"/>
      <c r="K318" s="10964">
        <f>+IF(ISNA(VLOOKUP(MATCH(P318,tfn,0),tao,'12(id)'!$K$20,FALSE)),"",IF(J318="NA","",VLOOKUP(MATCH(P318,tfn,0),tao,'12(id)'!$K$20,FALSE)+J318))</f>
        <v>8300</v>
      </c>
      <c r="L318" s="10964">
        <v>9</v>
      </c>
      <c r="M318" s="10964" t="str">
        <f t="shared" si="24"/>
        <v>8300-09</v>
      </c>
      <c r="N318" s="10964" t="str">
        <f>+IF(M318="","",VLOOKUP(MATCH(M318,tid,0),tao,'12(id)'!$Q$20,FALSE))</f>
        <v>MD10</v>
      </c>
      <c r="O318" s="10964"/>
      <c r="P318" s="6549" t="s">
        <v>500</v>
      </c>
      <c r="Q318" s="6550"/>
      <c r="R318" s="6548">
        <v>562</v>
      </c>
      <c r="S318" s="6549" t="s">
        <v>1044</v>
      </c>
      <c r="T318" s="6549"/>
      <c r="U318" s="6550">
        <v>2010</v>
      </c>
      <c r="V318" s="6550"/>
      <c r="W318" s="6548">
        <v>95</v>
      </c>
      <c r="X318" s="6548">
        <v>6</v>
      </c>
      <c r="Y318" s="6551">
        <v>1275</v>
      </c>
      <c r="Z318" s="6551" t="s">
        <v>939</v>
      </c>
      <c r="AA318" s="6552">
        <v>1.2</v>
      </c>
      <c r="AB318" s="6553">
        <v>14.3</v>
      </c>
      <c r="AC318" s="6551">
        <v>23750</v>
      </c>
      <c r="AD318" s="6549" t="s">
        <v>961</v>
      </c>
      <c r="AE318" s="6549"/>
      <c r="AF318" s="6549">
        <v>4911</v>
      </c>
      <c r="AG318" s="6549" t="s">
        <v>1008</v>
      </c>
      <c r="AH318" s="6555" t="s">
        <v>206</v>
      </c>
      <c r="AI318" s="6555" t="s">
        <v>206</v>
      </c>
      <c r="AJ318" s="6555" t="s">
        <v>1011</v>
      </c>
      <c r="AK318" s="6554" t="s">
        <v>1012</v>
      </c>
      <c r="AL318" s="6554"/>
      <c r="AM318" s="6555"/>
      <c r="AN318" s="6555" t="s">
        <v>1013</v>
      </c>
      <c r="AO318" s="6555" t="s">
        <v>1054</v>
      </c>
      <c r="AP318" s="6555" t="s">
        <v>1047</v>
      </c>
      <c r="AQ318" s="6555"/>
      <c r="AR318" s="6555"/>
      <c r="AS318" s="6549"/>
      <c r="AT318" s="6549"/>
      <c r="AU318" s="6549"/>
      <c r="AV318" s="6549"/>
      <c r="AW318" s="6553">
        <v>250</v>
      </c>
      <c r="AX318" s="5133"/>
      <c r="AY318" s="5132"/>
      <c r="AZ318" s="5132"/>
      <c r="BA318" s="5132"/>
      <c r="BB318" s="5132"/>
    </row>
    <row r="319" spans="1:54" s="6369" customFormat="1" ht="12.75" customHeight="1">
      <c r="A319" s="10965" t="str">
        <f t="shared" si="25"/>
        <v>8300-09</v>
      </c>
      <c r="B319" s="10951" t="str">
        <f>+IF(A319="","",VLOOKUP(MATCH(A319,tid,0),tao,'12(id)'!$J$20,FALSE))</f>
        <v>NRG</v>
      </c>
      <c r="C319" s="10942" t="str">
        <f t="shared" si="26"/>
        <v>MD10</v>
      </c>
      <c r="E319" s="5132"/>
      <c r="G319" s="6548">
        <f t="shared" si="23"/>
        <v>91</v>
      </c>
      <c r="H319" s="6548">
        <v>91</v>
      </c>
      <c r="I319" s="10959"/>
      <c r="J319" s="10959"/>
      <c r="K319" s="10965">
        <f>+IF(ISNA(VLOOKUP(MATCH(P319,tfn,0),tao,'12(id)'!$K$20,FALSE)),"",IF(J319="NA","",VLOOKUP(MATCH(P319,tfn,0),tao,'12(id)'!$K$20,FALSE)+J319))</f>
        <v>8300</v>
      </c>
      <c r="L319" s="10965">
        <f>+L318</f>
        <v>9</v>
      </c>
      <c r="M319" s="10965" t="str">
        <f t="shared" si="24"/>
        <v>8300-09</v>
      </c>
      <c r="N319" s="10965" t="str">
        <f>+IF(M319="","",VLOOKUP(MATCH(M319,tid,0),tao,'12(id)'!$Q$20,FALSE))</f>
        <v>MD10</v>
      </c>
      <c r="O319" s="10965"/>
      <c r="P319" s="6549" t="s">
        <v>500</v>
      </c>
      <c r="Q319" s="6550"/>
      <c r="R319" s="6548">
        <v>562</v>
      </c>
      <c r="S319" s="6549" t="s">
        <v>1044</v>
      </c>
      <c r="T319" s="6549"/>
      <c r="U319" s="6550">
        <v>2009</v>
      </c>
      <c r="V319" s="6550"/>
      <c r="W319" s="6548">
        <v>20</v>
      </c>
      <c r="X319" s="6548">
        <v>6</v>
      </c>
      <c r="Y319" s="6551">
        <v>243</v>
      </c>
      <c r="Z319" s="6551" t="s">
        <v>939</v>
      </c>
      <c r="AA319" s="6552">
        <v>1.2</v>
      </c>
      <c r="AB319" s="6553">
        <v>3</v>
      </c>
      <c r="AC319" s="6551">
        <v>5013</v>
      </c>
      <c r="AD319" s="6549" t="s">
        <v>961</v>
      </c>
      <c r="AE319" s="6549"/>
      <c r="AF319" s="6549">
        <v>4911</v>
      </c>
      <c r="AG319" s="6549" t="s">
        <v>1008</v>
      </c>
      <c r="AH319" s="6554" t="s">
        <v>205</v>
      </c>
      <c r="AI319" s="6554" t="s">
        <v>205</v>
      </c>
      <c r="AJ319" s="6554" t="s">
        <v>316</v>
      </c>
      <c r="AK319" s="6554" t="s">
        <v>1029</v>
      </c>
      <c r="AL319" s="6554"/>
      <c r="AM319" s="6555"/>
      <c r="AN319" s="6555" t="s">
        <v>1013</v>
      </c>
      <c r="AO319" s="6555" t="s">
        <v>1054</v>
      </c>
      <c r="AP319" s="6555" t="s">
        <v>1047</v>
      </c>
      <c r="AQ319" s="6555"/>
      <c r="AR319" s="6555"/>
      <c r="AS319" s="6549"/>
      <c r="AT319" s="6549"/>
      <c r="AU319" s="6549"/>
      <c r="AV319" s="6549"/>
      <c r="AW319" s="6553">
        <v>250</v>
      </c>
      <c r="AX319" s="5133"/>
      <c r="AY319" s="5132"/>
      <c r="AZ319" s="5132"/>
      <c r="BA319" s="5132"/>
      <c r="BB319" s="5132"/>
    </row>
    <row r="320" spans="1:54" s="6369" customFormat="1" ht="12.75" customHeight="1">
      <c r="A320" s="10966" t="str">
        <f t="shared" si="25"/>
        <v>8300-09</v>
      </c>
      <c r="B320" s="10952" t="str">
        <f>+IF(A320="","",VLOOKUP(MATCH(A320,tid,0),tao,'12(id)'!$J$20,FALSE))</f>
        <v>NRG</v>
      </c>
      <c r="C320" s="10943" t="str">
        <f t="shared" si="26"/>
        <v>MD10</v>
      </c>
      <c r="E320" s="5132"/>
      <c r="G320" s="6548">
        <f t="shared" si="23"/>
        <v>92</v>
      </c>
      <c r="H320" s="6548">
        <v>90</v>
      </c>
      <c r="I320" s="10960"/>
      <c r="J320" s="10960"/>
      <c r="K320" s="10966">
        <f>+IF(ISNA(VLOOKUP(MATCH(P320,tfn,0),tao,'12(id)'!$K$20,FALSE)),"",IF(J320="NA","",VLOOKUP(MATCH(P320,tfn,0),tao,'12(id)'!$K$20,FALSE)+J320))</f>
        <v>8300</v>
      </c>
      <c r="L320" s="10966">
        <f>+L319</f>
        <v>9</v>
      </c>
      <c r="M320" s="10966" t="str">
        <f t="shared" si="24"/>
        <v>8300-09</v>
      </c>
      <c r="N320" s="10966" t="str">
        <f>+IF(M320="","",VLOOKUP(MATCH(M320,tid,0),tao,'12(id)'!$Q$20,FALSE))</f>
        <v>MD10</v>
      </c>
      <c r="O320" s="10966"/>
      <c r="P320" s="6549" t="s">
        <v>500</v>
      </c>
      <c r="Q320" s="6550"/>
      <c r="R320" s="6548">
        <v>562</v>
      </c>
      <c r="S320" s="6549" t="s">
        <v>1044</v>
      </c>
      <c r="T320" s="6549"/>
      <c r="U320" s="6550">
        <v>2008</v>
      </c>
      <c r="V320" s="6550"/>
      <c r="W320" s="6548">
        <v>17</v>
      </c>
      <c r="X320" s="6548">
        <v>6</v>
      </c>
      <c r="Y320" s="6551">
        <v>405</v>
      </c>
      <c r="Z320" s="6551" t="s">
        <v>939</v>
      </c>
      <c r="AA320" s="6552">
        <v>1.2</v>
      </c>
      <c r="AB320" s="6553">
        <v>2.6</v>
      </c>
      <c r="AC320" s="6551">
        <v>4250</v>
      </c>
      <c r="AD320" s="6549" t="s">
        <v>961</v>
      </c>
      <c r="AE320" s="6549"/>
      <c r="AF320" s="6549">
        <v>4911</v>
      </c>
      <c r="AG320" s="6549" t="s">
        <v>1008</v>
      </c>
      <c r="AH320" s="6554" t="s">
        <v>1010</v>
      </c>
      <c r="AI320" s="6554" t="s">
        <v>1009</v>
      </c>
      <c r="AJ320" s="6555" t="s">
        <v>315</v>
      </c>
      <c r="AK320" s="6555" t="s">
        <v>238</v>
      </c>
      <c r="AL320" s="6555"/>
      <c r="AM320" s="6555"/>
      <c r="AN320" s="6555" t="s">
        <v>1013</v>
      </c>
      <c r="AO320" s="6555" t="s">
        <v>1054</v>
      </c>
      <c r="AP320" s="6555" t="s">
        <v>1047</v>
      </c>
      <c r="AQ320" s="6555"/>
      <c r="AR320" s="6555"/>
      <c r="AS320" s="6549"/>
      <c r="AT320" s="6549"/>
      <c r="AU320" s="6549"/>
      <c r="AV320" s="6549"/>
      <c r="AW320" s="6553">
        <v>250</v>
      </c>
      <c r="AX320" s="5133"/>
      <c r="AY320" s="5132"/>
      <c r="AZ320" s="5132"/>
      <c r="BA320" s="5132"/>
      <c r="BB320" s="5132"/>
    </row>
    <row r="321" spans="1:54" s="6369" customFormat="1" ht="12.75" customHeight="1">
      <c r="A321" s="10964" t="str">
        <f t="shared" si="25"/>
        <v>8306-01</v>
      </c>
      <c r="B321" s="10950" t="str">
        <f>+IF(A321="","",VLOOKUP(MATCH(A321,tid,0),tao,'12(id)'!$J$20,FALSE))</f>
        <v>NRG</v>
      </c>
      <c r="C321" s="10941" t="str">
        <f t="shared" si="26"/>
        <v>MD2</v>
      </c>
      <c r="E321" s="5132"/>
      <c r="G321" s="6548">
        <f t="shared" si="23"/>
        <v>93</v>
      </c>
      <c r="H321" s="6548">
        <v>95</v>
      </c>
      <c r="I321" s="10958">
        <f>1+I318</f>
        <v>35</v>
      </c>
      <c r="J321" s="10968">
        <v>6</v>
      </c>
      <c r="K321" s="10964">
        <f>+IF(ISNA(VLOOKUP(MATCH(P321,tfn,0),tao,'12(id)'!$K$20,FALSE)),"",IF(J321="NA","",VLOOKUP(MATCH(P321,tfn,0),tao,'12(id)'!$K$20,FALSE)+J321))</f>
        <v>8306</v>
      </c>
      <c r="L321" s="10964">
        <v>1</v>
      </c>
      <c r="M321" s="10964" t="str">
        <f t="shared" si="24"/>
        <v>8306-01</v>
      </c>
      <c r="N321" s="10964" t="str">
        <f>+IF(M321="","",VLOOKUP(MATCH(M321,tid,0),tao,'12(id)'!$Q$20,FALSE))</f>
        <v>MD2</v>
      </c>
      <c r="O321" s="10964"/>
      <c r="P321" s="6549" t="s">
        <v>500</v>
      </c>
      <c r="Q321" s="6550"/>
      <c r="R321" s="6548">
        <v>562</v>
      </c>
      <c r="S321" s="6549" t="s">
        <v>1049</v>
      </c>
      <c r="T321" s="6549"/>
      <c r="U321" s="6550">
        <v>2010</v>
      </c>
      <c r="V321" s="6550"/>
      <c r="W321" s="6548">
        <v>2181</v>
      </c>
      <c r="X321" s="6548">
        <v>12</v>
      </c>
      <c r="Y321" s="6551">
        <v>124995</v>
      </c>
      <c r="Z321" s="6551" t="s">
        <v>939</v>
      </c>
      <c r="AA321" s="6552">
        <v>0.12</v>
      </c>
      <c r="AB321" s="6553">
        <v>107.3</v>
      </c>
      <c r="AC321" s="6551">
        <v>1620374</v>
      </c>
      <c r="AD321" s="6549" t="s">
        <v>961</v>
      </c>
      <c r="AE321" s="6549"/>
      <c r="AF321" s="6549">
        <v>4911</v>
      </c>
      <c r="AG321" s="6549" t="s">
        <v>1008</v>
      </c>
      <c r="AH321" s="6555" t="s">
        <v>206</v>
      </c>
      <c r="AI321" s="6555" t="s">
        <v>206</v>
      </c>
      <c r="AJ321" s="6555" t="s">
        <v>1011</v>
      </c>
      <c r="AK321" s="6554" t="s">
        <v>1012</v>
      </c>
      <c r="AL321" s="6554"/>
      <c r="AM321" s="6555"/>
      <c r="AN321" s="6555" t="s">
        <v>1013</v>
      </c>
      <c r="AO321" s="6555" t="s">
        <v>1062</v>
      </c>
      <c r="AP321" s="6555" t="s">
        <v>1015</v>
      </c>
      <c r="AQ321" s="6555" t="s">
        <v>1021</v>
      </c>
      <c r="AR321" s="6555"/>
      <c r="AS321" s="6549" t="s">
        <v>207</v>
      </c>
      <c r="AT321" s="6549"/>
      <c r="AU321" s="6549"/>
      <c r="AV321" s="6549" t="s">
        <v>122</v>
      </c>
      <c r="AW321" s="6553">
        <v>1295</v>
      </c>
      <c r="AX321" s="5133"/>
      <c r="AY321" s="5132"/>
      <c r="AZ321" s="5132"/>
      <c r="BA321" s="5132"/>
      <c r="BB321" s="5132"/>
    </row>
    <row r="322" spans="1:54" s="6369" customFormat="1" ht="12.75" customHeight="1">
      <c r="A322" s="10965" t="str">
        <f t="shared" si="25"/>
        <v>8306-01</v>
      </c>
      <c r="B322" s="10951" t="str">
        <f>+IF(A322="","",VLOOKUP(MATCH(A322,tid,0),tao,'12(id)'!$J$20,FALSE))</f>
        <v>NRG</v>
      </c>
      <c r="C322" s="10942" t="str">
        <f t="shared" si="26"/>
        <v>MD2</v>
      </c>
      <c r="E322" s="5132"/>
      <c r="G322" s="6548">
        <f t="shared" si="23"/>
        <v>94</v>
      </c>
      <c r="H322" s="6548">
        <v>94</v>
      </c>
      <c r="I322" s="10959"/>
      <c r="J322" s="10959">
        <f t="shared" ref="J322:J329" si="27">+J321</f>
        <v>6</v>
      </c>
      <c r="K322" s="10965">
        <f>+IF(ISNA(VLOOKUP(MATCH(P322,tfn,0),tao,'12(id)'!$K$20,FALSE)),"",IF(J322="NA","",VLOOKUP(MATCH(P322,tfn,0),tao,'12(id)'!$K$20,FALSE)+J322))</f>
        <v>8306</v>
      </c>
      <c r="L322" s="10965">
        <f>+L321</f>
        <v>1</v>
      </c>
      <c r="M322" s="10965" t="str">
        <f t="shared" si="24"/>
        <v>8306-01</v>
      </c>
      <c r="N322" s="10965" t="str">
        <f>+IF(M322="","",VLOOKUP(MATCH(M322,tid,0),tao,'12(id)'!$Q$20,FALSE))</f>
        <v>MD2</v>
      </c>
      <c r="O322" s="10965"/>
      <c r="P322" s="6549" t="s">
        <v>500</v>
      </c>
      <c r="Q322" s="6550"/>
      <c r="R322" s="6548">
        <v>562</v>
      </c>
      <c r="S322" s="6549" t="s">
        <v>1049</v>
      </c>
      <c r="T322" s="6549"/>
      <c r="U322" s="6550">
        <v>2009</v>
      </c>
      <c r="V322" s="6550"/>
      <c r="W322" s="6548">
        <v>1196</v>
      </c>
      <c r="X322" s="6548">
        <v>12</v>
      </c>
      <c r="Y322" s="6551">
        <v>66397</v>
      </c>
      <c r="Z322" s="6551" t="s">
        <v>939</v>
      </c>
      <c r="AA322" s="6552">
        <v>0.13</v>
      </c>
      <c r="AB322" s="6553">
        <v>66.7</v>
      </c>
      <c r="AC322" s="6551">
        <v>878712</v>
      </c>
      <c r="AD322" s="6549" t="s">
        <v>961</v>
      </c>
      <c r="AE322" s="6549"/>
      <c r="AF322" s="6549">
        <v>4911</v>
      </c>
      <c r="AG322" s="6549" t="s">
        <v>1008</v>
      </c>
      <c r="AH322" s="6554" t="s">
        <v>208</v>
      </c>
      <c r="AI322" s="6554" t="s">
        <v>208</v>
      </c>
      <c r="AJ322" s="6554" t="s">
        <v>316</v>
      </c>
      <c r="AK322" s="6554" t="s">
        <v>1029</v>
      </c>
      <c r="AL322" s="6554"/>
      <c r="AM322" s="6555"/>
      <c r="AN322" s="6555" t="s">
        <v>1013</v>
      </c>
      <c r="AO322" s="6555" t="s">
        <v>1062</v>
      </c>
      <c r="AP322" s="6555" t="s">
        <v>1015</v>
      </c>
      <c r="AQ322" s="6555" t="s">
        <v>1021</v>
      </c>
      <c r="AR322" s="6555"/>
      <c r="AS322" s="6549" t="s">
        <v>207</v>
      </c>
      <c r="AT322" s="6549"/>
      <c r="AU322" s="6549"/>
      <c r="AV322" s="6549" t="s">
        <v>122</v>
      </c>
      <c r="AW322" s="6553">
        <v>1295</v>
      </c>
      <c r="AX322" s="5133"/>
      <c r="AY322" s="5132"/>
      <c r="AZ322" s="5132"/>
      <c r="BA322" s="5132"/>
      <c r="BB322" s="5132"/>
    </row>
    <row r="323" spans="1:54" s="6369" customFormat="1" ht="12.75" customHeight="1">
      <c r="A323" s="10966" t="str">
        <f t="shared" si="25"/>
        <v>8306-01</v>
      </c>
      <c r="B323" s="10952" t="str">
        <f>+IF(A323="","",VLOOKUP(MATCH(A323,tid,0),tao,'12(id)'!$J$20,FALSE))</f>
        <v>NRG</v>
      </c>
      <c r="C323" s="10943" t="str">
        <f t="shared" si="26"/>
        <v>MD2</v>
      </c>
      <c r="E323" s="5132"/>
      <c r="G323" s="6548">
        <f t="shared" si="23"/>
        <v>95</v>
      </c>
      <c r="H323" s="6548">
        <v>93</v>
      </c>
      <c r="I323" s="10960"/>
      <c r="J323" s="10960">
        <f t="shared" si="27"/>
        <v>6</v>
      </c>
      <c r="K323" s="10966">
        <f>+IF(ISNA(VLOOKUP(MATCH(P323,tfn,0),tao,'12(id)'!$K$20,FALSE)),"",IF(J323="NA","",VLOOKUP(MATCH(P323,tfn,0),tao,'12(id)'!$K$20,FALSE)+J323))</f>
        <v>8306</v>
      </c>
      <c r="L323" s="10966">
        <f>+L322</f>
        <v>1</v>
      </c>
      <c r="M323" s="10966" t="str">
        <f t="shared" si="24"/>
        <v>8306-01</v>
      </c>
      <c r="N323" s="10966" t="str">
        <f>+IF(M323="","",VLOOKUP(MATCH(M323,tid,0),tao,'12(id)'!$Q$20,FALSE))</f>
        <v>MD2</v>
      </c>
      <c r="O323" s="10966"/>
      <c r="P323" s="6549" t="s">
        <v>500</v>
      </c>
      <c r="Q323" s="6550"/>
      <c r="R323" s="6548">
        <v>562</v>
      </c>
      <c r="S323" s="6549" t="s">
        <v>1049</v>
      </c>
      <c r="T323" s="6549"/>
      <c r="U323" s="6550">
        <v>2008</v>
      </c>
      <c r="V323" s="6550"/>
      <c r="W323" s="6548">
        <v>1482</v>
      </c>
      <c r="X323" s="6548">
        <v>12</v>
      </c>
      <c r="Y323" s="6551">
        <v>57415</v>
      </c>
      <c r="Z323" s="6551" t="s">
        <v>939</v>
      </c>
      <c r="AA323" s="6552">
        <v>0.11</v>
      </c>
      <c r="AB323" s="6553">
        <v>53.5</v>
      </c>
      <c r="AC323" s="6551">
        <v>728969</v>
      </c>
      <c r="AD323" s="6549" t="s">
        <v>961</v>
      </c>
      <c r="AE323" s="6549"/>
      <c r="AF323" s="6549">
        <v>4911</v>
      </c>
      <c r="AG323" s="6549" t="s">
        <v>1008</v>
      </c>
      <c r="AH323" s="6554" t="s">
        <v>1010</v>
      </c>
      <c r="AI323" s="6554" t="s">
        <v>1009</v>
      </c>
      <c r="AJ323" s="6555" t="s">
        <v>315</v>
      </c>
      <c r="AK323" s="6555" t="s">
        <v>238</v>
      </c>
      <c r="AL323" s="6555"/>
      <c r="AM323" s="6555"/>
      <c r="AN323" s="6555" t="s">
        <v>1013</v>
      </c>
      <c r="AO323" s="6555" t="s">
        <v>1062</v>
      </c>
      <c r="AP323" s="6555" t="s">
        <v>1015</v>
      </c>
      <c r="AQ323" s="6555" t="s">
        <v>1021</v>
      </c>
      <c r="AR323" s="6555"/>
      <c r="AS323" s="6549" t="s">
        <v>207</v>
      </c>
      <c r="AT323" s="6549"/>
      <c r="AU323" s="6549"/>
      <c r="AV323" s="6549" t="s">
        <v>122</v>
      </c>
      <c r="AW323" s="6553">
        <v>1295</v>
      </c>
      <c r="AX323" s="5133"/>
      <c r="AY323" s="5132"/>
      <c r="AZ323" s="5132"/>
      <c r="BA323" s="5132"/>
      <c r="BB323" s="5132"/>
    </row>
    <row r="324" spans="1:54" s="6369" customFormat="1" ht="12.75" customHeight="1">
      <c r="A324" s="10964" t="str">
        <f t="shared" si="25"/>
        <v>8306-02</v>
      </c>
      <c r="B324" s="10950" t="str">
        <f>+IF(A324="","",VLOOKUP(MATCH(A324,tid,0),tao,'12(id)'!$J$20,FALSE))</f>
        <v>NRG</v>
      </c>
      <c r="C324" s="10941" t="str">
        <f t="shared" si="26"/>
        <v>MD3 </v>
      </c>
      <c r="E324" s="5132"/>
      <c r="G324" s="6548">
        <f t="shared" si="23"/>
        <v>96</v>
      </c>
      <c r="H324" s="6548">
        <v>98</v>
      </c>
      <c r="I324" s="10958">
        <f>1+I321</f>
        <v>36</v>
      </c>
      <c r="J324" s="10968">
        <f t="shared" si="27"/>
        <v>6</v>
      </c>
      <c r="K324" s="10964">
        <f>+IF(ISNA(VLOOKUP(MATCH(P324,tfn,0),tao,'12(id)'!$K$20,FALSE)),"",IF(J324="NA","",VLOOKUP(MATCH(P324,tfn,0),tao,'12(id)'!$K$20,FALSE)+J324))</f>
        <v>8306</v>
      </c>
      <c r="L324" s="10964">
        <v>2</v>
      </c>
      <c r="M324" s="10964" t="str">
        <f t="shared" si="24"/>
        <v>8306-02</v>
      </c>
      <c r="N324" s="10964" t="str">
        <f>+IF(M324="","",VLOOKUP(MATCH(M324,tid,0),tao,'12(id)'!$Q$20,FALSE))</f>
        <v>MD3 </v>
      </c>
      <c r="O324" s="10964"/>
      <c r="P324" s="6549" t="s">
        <v>500</v>
      </c>
      <c r="Q324" s="6550"/>
      <c r="R324" s="6548">
        <v>562</v>
      </c>
      <c r="S324" s="6549" t="s">
        <v>16</v>
      </c>
      <c r="T324" s="6549"/>
      <c r="U324" s="6550">
        <v>2010</v>
      </c>
      <c r="V324" s="6550"/>
      <c r="W324" s="6548">
        <v>1173</v>
      </c>
      <c r="X324" s="6548">
        <v>12</v>
      </c>
      <c r="Y324" s="6551">
        <v>151235</v>
      </c>
      <c r="Z324" s="6551" t="s">
        <v>939</v>
      </c>
      <c r="AA324" s="6552">
        <v>0.19</v>
      </c>
      <c r="AB324" s="6553">
        <v>213.4</v>
      </c>
      <c r="AC324" s="6551">
        <v>1937944</v>
      </c>
      <c r="AD324" s="6549" t="s">
        <v>961</v>
      </c>
      <c r="AE324" s="6549"/>
      <c r="AF324" s="6549">
        <v>4911</v>
      </c>
      <c r="AG324" s="6549" t="s">
        <v>1008</v>
      </c>
      <c r="AH324" s="6555" t="s">
        <v>206</v>
      </c>
      <c r="AI324" s="6555" t="s">
        <v>206</v>
      </c>
      <c r="AJ324" s="6555" t="s">
        <v>1011</v>
      </c>
      <c r="AK324" s="6554" t="s">
        <v>1012</v>
      </c>
      <c r="AL324" s="6554"/>
      <c r="AM324" s="6555"/>
      <c r="AN324" s="6555" t="s">
        <v>1013</v>
      </c>
      <c r="AO324" s="6555" t="s">
        <v>146</v>
      </c>
      <c r="AP324" s="6555" t="s">
        <v>1015</v>
      </c>
      <c r="AQ324" s="6555" t="s">
        <v>1021</v>
      </c>
      <c r="AR324" s="6555"/>
      <c r="AS324" s="6549" t="s">
        <v>1022</v>
      </c>
      <c r="AT324" s="6549" t="s">
        <v>1042</v>
      </c>
      <c r="AU324" s="6549"/>
      <c r="AV324" s="6549" t="s">
        <v>122</v>
      </c>
      <c r="AW324" s="6553">
        <v>2370</v>
      </c>
      <c r="AX324" s="5133"/>
      <c r="AY324" s="5132"/>
      <c r="AZ324" s="5132"/>
      <c r="BA324" s="5132"/>
      <c r="BB324" s="5132"/>
    </row>
    <row r="325" spans="1:54" s="6369" customFormat="1" ht="12.75" customHeight="1">
      <c r="A325" s="10965" t="str">
        <f t="shared" si="25"/>
        <v>8306-02</v>
      </c>
      <c r="B325" s="10951" t="str">
        <f>+IF(A325="","",VLOOKUP(MATCH(A325,tid,0),tao,'12(id)'!$J$20,FALSE))</f>
        <v>NRG</v>
      </c>
      <c r="C325" s="10942" t="str">
        <f t="shared" si="26"/>
        <v>MD3 </v>
      </c>
      <c r="E325" s="5132"/>
      <c r="G325" s="6548">
        <f t="shared" si="23"/>
        <v>97</v>
      </c>
      <c r="H325" s="6548">
        <v>97</v>
      </c>
      <c r="I325" s="10959"/>
      <c r="J325" s="10959">
        <f t="shared" si="27"/>
        <v>6</v>
      </c>
      <c r="K325" s="10965">
        <f>+IF(ISNA(VLOOKUP(MATCH(P325,tfn,0),tao,'12(id)'!$K$20,FALSE)),"",IF(J325="NA","",VLOOKUP(MATCH(P325,tfn,0),tao,'12(id)'!$K$20,FALSE)+J325))</f>
        <v>8306</v>
      </c>
      <c r="L325" s="10965">
        <f>+L324</f>
        <v>2</v>
      </c>
      <c r="M325" s="10965" t="str">
        <f t="shared" si="24"/>
        <v>8306-02</v>
      </c>
      <c r="N325" s="10965" t="str">
        <f>+IF(M325="","",VLOOKUP(MATCH(M325,tid,0),tao,'12(id)'!$Q$20,FALSE))</f>
        <v>MD3 </v>
      </c>
      <c r="O325" s="10965"/>
      <c r="P325" s="6549" t="s">
        <v>500</v>
      </c>
      <c r="Q325" s="6550"/>
      <c r="R325" s="6548">
        <v>562</v>
      </c>
      <c r="S325" s="6549" t="s">
        <v>16</v>
      </c>
      <c r="T325" s="6549"/>
      <c r="U325" s="6550">
        <v>2009</v>
      </c>
      <c r="V325" s="6550"/>
      <c r="W325" s="6548">
        <v>500</v>
      </c>
      <c r="X325" s="6548">
        <v>12</v>
      </c>
      <c r="Y325" s="6551">
        <v>67712</v>
      </c>
      <c r="Z325" s="6551" t="s">
        <v>939</v>
      </c>
      <c r="AA325" s="6552">
        <v>0.25</v>
      </c>
      <c r="AB325" s="6553">
        <v>105.1</v>
      </c>
      <c r="AC325" s="6551">
        <v>754650</v>
      </c>
      <c r="AD325" s="6549" t="s">
        <v>961</v>
      </c>
      <c r="AE325" s="6549"/>
      <c r="AF325" s="6549">
        <v>4911</v>
      </c>
      <c r="AG325" s="6549" t="s">
        <v>1008</v>
      </c>
      <c r="AH325" s="6554" t="s">
        <v>205</v>
      </c>
      <c r="AI325" s="6554" t="s">
        <v>205</v>
      </c>
      <c r="AJ325" s="6554" t="s">
        <v>316</v>
      </c>
      <c r="AK325" s="6554" t="s">
        <v>1029</v>
      </c>
      <c r="AL325" s="6554"/>
      <c r="AM325" s="6555"/>
      <c r="AN325" s="6555" t="s">
        <v>1013</v>
      </c>
      <c r="AO325" s="6555" t="s">
        <v>146</v>
      </c>
      <c r="AP325" s="6555" t="s">
        <v>1015</v>
      </c>
      <c r="AQ325" s="6555" t="s">
        <v>1021</v>
      </c>
      <c r="AR325" s="6555"/>
      <c r="AS325" s="6549" t="s">
        <v>1022</v>
      </c>
      <c r="AT325" s="6549" t="s">
        <v>1042</v>
      </c>
      <c r="AU325" s="6549"/>
      <c r="AV325" s="6549" t="s">
        <v>122</v>
      </c>
      <c r="AW325" s="6553">
        <v>2370</v>
      </c>
      <c r="AX325" s="5133"/>
      <c r="AY325" s="5132"/>
      <c r="AZ325" s="5132"/>
      <c r="BA325" s="5132"/>
      <c r="BB325" s="5132"/>
    </row>
    <row r="326" spans="1:54" s="6369" customFormat="1" ht="12.75" customHeight="1">
      <c r="A326" s="10966" t="str">
        <f t="shared" si="25"/>
        <v>8306-02</v>
      </c>
      <c r="B326" s="10952" t="str">
        <f>+IF(A326="","",VLOOKUP(MATCH(A326,tid,0),tao,'12(id)'!$J$20,FALSE))</f>
        <v>NRG</v>
      </c>
      <c r="C326" s="10943" t="str">
        <f t="shared" si="26"/>
        <v>MD3 </v>
      </c>
      <c r="E326" s="5132"/>
      <c r="G326" s="6548">
        <f t="shared" ref="G326:G357" si="28">1+G325</f>
        <v>98</v>
      </c>
      <c r="H326" s="6548">
        <v>96</v>
      </c>
      <c r="I326" s="10960"/>
      <c r="J326" s="10960">
        <f t="shared" si="27"/>
        <v>6</v>
      </c>
      <c r="K326" s="10966">
        <f>+IF(ISNA(VLOOKUP(MATCH(P326,tfn,0),tao,'12(id)'!$K$20,FALSE)),"",IF(J326="NA","",VLOOKUP(MATCH(P326,tfn,0),tao,'12(id)'!$K$20,FALSE)+J326))</f>
        <v>8306</v>
      </c>
      <c r="L326" s="10966">
        <f>+L325</f>
        <v>2</v>
      </c>
      <c r="M326" s="10966" t="str">
        <f t="shared" si="24"/>
        <v>8306-02</v>
      </c>
      <c r="N326" s="10966" t="str">
        <f>+IF(M326="","",VLOOKUP(MATCH(M326,tid,0),tao,'12(id)'!$Q$20,FALSE))</f>
        <v>MD3 </v>
      </c>
      <c r="O326" s="10966"/>
      <c r="P326" s="6549" t="s">
        <v>500</v>
      </c>
      <c r="Q326" s="6550"/>
      <c r="R326" s="6548">
        <v>562</v>
      </c>
      <c r="S326" s="6549" t="s">
        <v>16</v>
      </c>
      <c r="T326" s="6549"/>
      <c r="U326" s="6550">
        <v>2008</v>
      </c>
      <c r="V326" s="6550"/>
      <c r="W326" s="6548">
        <v>626</v>
      </c>
      <c r="X326" s="6548">
        <v>12</v>
      </c>
      <c r="Y326" s="6551">
        <v>68834</v>
      </c>
      <c r="Z326" s="6551" t="s">
        <v>939</v>
      </c>
      <c r="AA326" s="6552">
        <v>0.28000000000000003</v>
      </c>
      <c r="AB326" s="6553">
        <v>149.69999999999999</v>
      </c>
      <c r="AC326" s="6551">
        <v>908281</v>
      </c>
      <c r="AD326" s="6549" t="s">
        <v>961</v>
      </c>
      <c r="AE326" s="6549"/>
      <c r="AF326" s="6549">
        <v>4911</v>
      </c>
      <c r="AG326" s="6549" t="s">
        <v>1008</v>
      </c>
      <c r="AH326" s="6554" t="s">
        <v>1010</v>
      </c>
      <c r="AI326" s="6554" t="s">
        <v>1009</v>
      </c>
      <c r="AJ326" s="6555" t="s">
        <v>315</v>
      </c>
      <c r="AK326" s="6555" t="s">
        <v>238</v>
      </c>
      <c r="AL326" s="6555"/>
      <c r="AM326" s="6555"/>
      <c r="AN326" s="6555" t="s">
        <v>1013</v>
      </c>
      <c r="AO326" s="6555" t="s">
        <v>146</v>
      </c>
      <c r="AP326" s="6555" t="s">
        <v>1015</v>
      </c>
      <c r="AQ326" s="6555" t="s">
        <v>1021</v>
      </c>
      <c r="AR326" s="6555"/>
      <c r="AS326" s="6549" t="s">
        <v>1022</v>
      </c>
      <c r="AT326" s="6549" t="s">
        <v>1042</v>
      </c>
      <c r="AU326" s="6549"/>
      <c r="AV326" s="6549" t="s">
        <v>122</v>
      </c>
      <c r="AW326" s="6553">
        <v>2370</v>
      </c>
      <c r="AX326" s="5133"/>
      <c r="AY326" s="5132"/>
      <c r="AZ326" s="5132"/>
      <c r="BA326" s="5132"/>
      <c r="BB326" s="5132"/>
    </row>
    <row r="327" spans="1:54" s="6369" customFormat="1" ht="12.75" customHeight="1">
      <c r="A327" s="10958" t="str">
        <f t="shared" si="25"/>
        <v>8306-03</v>
      </c>
      <c r="B327" s="10932" t="str">
        <f>+IF(A327="","",VLOOKUP(MATCH(A327,tid,0),tao,'12(id)'!$J$20,FALSE))</f>
        <v>NRG</v>
      </c>
      <c r="C327" s="10929" t="str">
        <f t="shared" si="26"/>
        <v>MD4 </v>
      </c>
      <c r="E327" s="5132"/>
      <c r="G327" s="6548">
        <f t="shared" si="28"/>
        <v>99</v>
      </c>
      <c r="H327" s="6548">
        <v>101</v>
      </c>
      <c r="I327" s="10958">
        <f>1+I324</f>
        <v>37</v>
      </c>
      <c r="J327" s="10968">
        <f t="shared" si="27"/>
        <v>6</v>
      </c>
      <c r="K327" s="10958">
        <f>+IF(ISNA(VLOOKUP(MATCH(P327,tfn,0),tao,'12(id)'!$K$20,FALSE)),"",IF(J327="NA","",VLOOKUP(MATCH(P327,tfn,0),tao,'12(id)'!$K$20,FALSE)+J327))</f>
        <v>8306</v>
      </c>
      <c r="L327" s="10958">
        <v>3</v>
      </c>
      <c r="M327" s="10958" t="str">
        <f t="shared" si="24"/>
        <v>8306-03</v>
      </c>
      <c r="N327" s="10958" t="str">
        <f>+IF(M327="","",VLOOKUP(MATCH(M327,tid,0),tao,'12(id)'!$Q$20,FALSE))</f>
        <v>MD4 </v>
      </c>
      <c r="O327" s="10958"/>
      <c r="P327" s="6549" t="s">
        <v>500</v>
      </c>
      <c r="Q327" s="6550"/>
      <c r="R327" s="6548">
        <v>562</v>
      </c>
      <c r="S327" s="6549" t="s">
        <v>1007</v>
      </c>
      <c r="T327" s="6549"/>
      <c r="U327" s="6550">
        <v>2010</v>
      </c>
      <c r="V327" s="6550"/>
      <c r="W327" s="6548">
        <v>510</v>
      </c>
      <c r="X327" s="6548">
        <v>12</v>
      </c>
      <c r="Y327" s="6551">
        <v>59969</v>
      </c>
      <c r="Z327" s="6551" t="s">
        <v>939</v>
      </c>
      <c r="AA327" s="6552">
        <v>0.16</v>
      </c>
      <c r="AB327" s="6553">
        <v>90.5</v>
      </c>
      <c r="AC327" s="6551">
        <v>955986</v>
      </c>
      <c r="AD327" s="6549" t="s">
        <v>961</v>
      </c>
      <c r="AE327" s="6549"/>
      <c r="AF327" s="6549">
        <v>4911</v>
      </c>
      <c r="AG327" s="6549" t="s">
        <v>1008</v>
      </c>
      <c r="AH327" s="6554" t="s">
        <v>1010</v>
      </c>
      <c r="AI327" s="6554" t="s">
        <v>1009</v>
      </c>
      <c r="AJ327" s="6555" t="s">
        <v>1011</v>
      </c>
      <c r="AK327" s="6554" t="s">
        <v>1012</v>
      </c>
      <c r="AL327" s="6554"/>
      <c r="AM327" s="6555"/>
      <c r="AN327" s="6555" t="s">
        <v>1013</v>
      </c>
      <c r="AO327" s="6555" t="s">
        <v>1014</v>
      </c>
      <c r="AP327" s="6555" t="s">
        <v>1015</v>
      </c>
      <c r="AQ327" s="6555"/>
      <c r="AR327" s="6555"/>
      <c r="AS327" s="6549"/>
      <c r="AT327" s="6549"/>
      <c r="AU327" s="6549"/>
      <c r="AV327" s="6549"/>
      <c r="AW327" s="6553">
        <v>4684</v>
      </c>
      <c r="AX327" s="5133"/>
      <c r="AY327" s="5132"/>
      <c r="AZ327" s="5132"/>
      <c r="BA327" s="5132"/>
      <c r="BB327" s="5132"/>
    </row>
    <row r="328" spans="1:54" s="6369" customFormat="1" ht="12.75" customHeight="1">
      <c r="A328" s="10959" t="str">
        <f t="shared" si="25"/>
        <v>8306-03</v>
      </c>
      <c r="B328" s="10933" t="str">
        <f>+IF(A328="","",VLOOKUP(MATCH(A328,tid,0),tao,'12(id)'!$J$20,FALSE))</f>
        <v>NRG</v>
      </c>
      <c r="C328" s="10930" t="str">
        <f t="shared" si="26"/>
        <v>MD4 </v>
      </c>
      <c r="E328" s="5132"/>
      <c r="G328" s="6548">
        <f t="shared" si="28"/>
        <v>100</v>
      </c>
      <c r="H328" s="6548">
        <v>100</v>
      </c>
      <c r="I328" s="10959"/>
      <c r="J328" s="10959">
        <f t="shared" si="27"/>
        <v>6</v>
      </c>
      <c r="K328" s="10959">
        <f>+IF(ISNA(VLOOKUP(MATCH(P328,tfn,0),tao,'12(id)'!$K$20,FALSE)),"",IF(J328="NA","",VLOOKUP(MATCH(P328,tfn,0),tao,'12(id)'!$K$20,FALSE)+J328))</f>
        <v>8306</v>
      </c>
      <c r="L328" s="10959">
        <f>+L327</f>
        <v>3</v>
      </c>
      <c r="M328" s="10959" t="str">
        <f t="shared" si="24"/>
        <v>8306-03</v>
      </c>
      <c r="N328" s="10959" t="str">
        <f>+IF(M328="","",VLOOKUP(MATCH(M328,tid,0),tao,'12(id)'!$Q$20,FALSE))</f>
        <v>MD4 </v>
      </c>
      <c r="O328" s="10959"/>
      <c r="P328" s="6549" t="s">
        <v>500</v>
      </c>
      <c r="Q328" s="6550"/>
      <c r="R328" s="6548">
        <v>562</v>
      </c>
      <c r="S328" s="6549" t="s">
        <v>1007</v>
      </c>
      <c r="T328" s="6549"/>
      <c r="U328" s="6550">
        <v>2009</v>
      </c>
      <c r="V328" s="6550"/>
      <c r="W328" s="6548">
        <v>143</v>
      </c>
      <c r="X328" s="6548">
        <v>12</v>
      </c>
      <c r="Y328" s="6551">
        <v>24512</v>
      </c>
      <c r="Z328" s="6551" t="s">
        <v>939</v>
      </c>
      <c r="AA328" s="6552">
        <v>0.17</v>
      </c>
      <c r="AB328" s="6553">
        <v>40.4</v>
      </c>
      <c r="AC328" s="6551">
        <v>374322</v>
      </c>
      <c r="AD328" s="6549" t="s">
        <v>961</v>
      </c>
      <c r="AE328" s="6549"/>
      <c r="AF328" s="6549">
        <v>4911</v>
      </c>
      <c r="AG328" s="6549" t="s">
        <v>1008</v>
      </c>
      <c r="AH328" s="6554" t="s">
        <v>1010</v>
      </c>
      <c r="AI328" s="6554" t="s">
        <v>1009</v>
      </c>
      <c r="AJ328" s="6554" t="s">
        <v>316</v>
      </c>
      <c r="AK328" s="6554" t="s">
        <v>1029</v>
      </c>
      <c r="AL328" s="6554"/>
      <c r="AM328" s="6555"/>
      <c r="AN328" s="6555" t="s">
        <v>1013</v>
      </c>
      <c r="AO328" s="6555" t="s">
        <v>1014</v>
      </c>
      <c r="AP328" s="6555" t="s">
        <v>1015</v>
      </c>
      <c r="AQ328" s="6555"/>
      <c r="AR328" s="6555"/>
      <c r="AS328" s="6549"/>
      <c r="AT328" s="6549"/>
      <c r="AU328" s="6549"/>
      <c r="AV328" s="6549"/>
      <c r="AW328" s="6553">
        <v>4684</v>
      </c>
      <c r="AX328" s="5133"/>
      <c r="AY328" s="5132"/>
      <c r="AZ328" s="5132"/>
      <c r="BA328" s="5132"/>
      <c r="BB328" s="5132"/>
    </row>
    <row r="329" spans="1:54" s="6369" customFormat="1" ht="12.75" customHeight="1">
      <c r="A329" s="10960" t="str">
        <f t="shared" si="25"/>
        <v>8306-03</v>
      </c>
      <c r="B329" s="10934" t="str">
        <f>+IF(A329="","",VLOOKUP(MATCH(A329,tid,0),tao,'12(id)'!$J$20,FALSE))</f>
        <v>NRG</v>
      </c>
      <c r="C329" s="10931" t="str">
        <f t="shared" si="26"/>
        <v>MD4 </v>
      </c>
      <c r="E329" s="5132"/>
      <c r="G329" s="6548">
        <f t="shared" si="28"/>
        <v>101</v>
      </c>
      <c r="H329" s="6548">
        <v>99</v>
      </c>
      <c r="I329" s="10960"/>
      <c r="J329" s="10960">
        <f t="shared" si="27"/>
        <v>6</v>
      </c>
      <c r="K329" s="10960">
        <f>+IF(ISNA(VLOOKUP(MATCH(P329,tfn,0),tao,'12(id)'!$K$20,FALSE)),"",IF(J329="NA","",VLOOKUP(MATCH(P329,tfn,0),tao,'12(id)'!$K$20,FALSE)+J329))</f>
        <v>8306</v>
      </c>
      <c r="L329" s="10960">
        <f>+L328</f>
        <v>3</v>
      </c>
      <c r="M329" s="10960" t="str">
        <f t="shared" si="24"/>
        <v>8306-03</v>
      </c>
      <c r="N329" s="10960" t="str">
        <f>+IF(M329="","",VLOOKUP(MATCH(M329,tid,0),tao,'12(id)'!$Q$20,FALSE))</f>
        <v>MD4 </v>
      </c>
      <c r="O329" s="10960"/>
      <c r="P329" s="6549" t="s">
        <v>500</v>
      </c>
      <c r="Q329" s="6550"/>
      <c r="R329" s="6548">
        <v>562</v>
      </c>
      <c r="S329" s="6549" t="s">
        <v>1007</v>
      </c>
      <c r="T329" s="6549"/>
      <c r="U329" s="6550">
        <v>2008</v>
      </c>
      <c r="V329" s="6550"/>
      <c r="W329" s="6548">
        <v>369</v>
      </c>
      <c r="X329" s="6548">
        <v>12</v>
      </c>
      <c r="Y329" s="6551">
        <v>41286</v>
      </c>
      <c r="Z329" s="6551" t="s">
        <v>939</v>
      </c>
      <c r="AA329" s="6552">
        <v>0.17</v>
      </c>
      <c r="AB329" s="6553">
        <v>62.8</v>
      </c>
      <c r="AC329" s="6551">
        <v>640297</v>
      </c>
      <c r="AD329" s="6549" t="s">
        <v>961</v>
      </c>
      <c r="AE329" s="6549"/>
      <c r="AF329" s="6549">
        <v>4911</v>
      </c>
      <c r="AG329" s="6549" t="s">
        <v>1008</v>
      </c>
      <c r="AH329" s="6554" t="s">
        <v>1010</v>
      </c>
      <c r="AI329" s="6554" t="s">
        <v>1009</v>
      </c>
      <c r="AJ329" s="6555" t="s">
        <v>315</v>
      </c>
      <c r="AK329" s="6555" t="s">
        <v>238</v>
      </c>
      <c r="AL329" s="6555"/>
      <c r="AM329" s="6555"/>
      <c r="AN329" s="6555" t="s">
        <v>1013</v>
      </c>
      <c r="AO329" s="6555" t="s">
        <v>1014</v>
      </c>
      <c r="AP329" s="6555" t="s">
        <v>1015</v>
      </c>
      <c r="AQ329" s="6555"/>
      <c r="AR329" s="6555"/>
      <c r="AS329" s="6549"/>
      <c r="AT329" s="6549"/>
      <c r="AU329" s="6549"/>
      <c r="AV329" s="6549"/>
      <c r="AW329" s="6553">
        <v>4684</v>
      </c>
      <c r="AX329" s="5133"/>
      <c r="AY329" s="5132"/>
      <c r="AZ329" s="5132"/>
      <c r="BA329" s="5132"/>
      <c r="BB329" s="5132"/>
    </row>
    <row r="330" spans="1:54" ht="12.75" customHeight="1">
      <c r="A330" s="10961" t="str">
        <f t="shared" si="25"/>
        <v/>
      </c>
      <c r="B330" s="10944" t="str">
        <f>+IF(A330="","",VLOOKUP(MATCH(A330,tid,0),tao,'12(id)'!$J$20,FALSE))</f>
        <v/>
      </c>
      <c r="C330" s="10947" t="str">
        <f t="shared" si="26"/>
        <v/>
      </c>
      <c r="D330" s="5133"/>
      <c r="F330" s="5133"/>
      <c r="G330" s="6489">
        <f t="shared" si="28"/>
        <v>102</v>
      </c>
      <c r="H330" s="6489">
        <v>104</v>
      </c>
      <c r="I330" s="10955">
        <f>1+I327</f>
        <v>38</v>
      </c>
      <c r="J330" s="10961"/>
      <c r="K330" s="10961" t="str">
        <f>+IF(ISNA(VLOOKUP(MATCH(P330,tfn,0),tao,'12(id)'!$K$20,FALSE)),"",IF(J330="NA","",VLOOKUP(MATCH(P330,tfn,0),tao,'12(id)'!$K$20,FALSE)+J330))</f>
        <v/>
      </c>
      <c r="L330" s="10961"/>
      <c r="M330" s="10961" t="str">
        <f t="shared" ref="M330:M361" si="29">+IF(K330="","",K330&amp;IF(L330&lt;10,"-0"&amp;L330,"-"&amp;L330))</f>
        <v/>
      </c>
      <c r="N330" s="10944" t="str">
        <f>+IF(M330="","",VLOOKUP(MATCH(M330,tid,0),tao,'12(id)'!$Q$20,FALSE))</f>
        <v/>
      </c>
      <c r="O330" s="10955"/>
      <c r="P330" s="6490" t="s">
        <v>349</v>
      </c>
      <c r="Q330" s="6491"/>
      <c r="R330" s="6489">
        <v>55126</v>
      </c>
      <c r="S330" s="6490" t="s">
        <v>1016</v>
      </c>
      <c r="T330" s="6490"/>
      <c r="U330" s="6491">
        <v>2010</v>
      </c>
      <c r="V330" s="6491"/>
      <c r="W330" s="6489">
        <v>7931</v>
      </c>
      <c r="X330" s="6489">
        <v>12</v>
      </c>
      <c r="Y330" s="6492">
        <v>1939122</v>
      </c>
      <c r="Z330" s="6492" t="s">
        <v>939</v>
      </c>
      <c r="AA330" s="6493">
        <v>0.02</v>
      </c>
      <c r="AB330" s="6494">
        <v>49.7</v>
      </c>
      <c r="AC330" s="6492">
        <v>13397425</v>
      </c>
      <c r="AD330" s="6490" t="s">
        <v>961</v>
      </c>
      <c r="AE330" s="6490"/>
      <c r="AF330" s="6490" t="s">
        <v>939</v>
      </c>
      <c r="AG330" s="6490"/>
      <c r="AH330" s="6496" t="s">
        <v>1017</v>
      </c>
      <c r="AI330" s="6495" t="s">
        <v>1017</v>
      </c>
      <c r="AJ330" s="6496" t="s">
        <v>1018</v>
      </c>
      <c r="AK330" s="6496" t="s">
        <v>1019</v>
      </c>
      <c r="AL330" s="6496"/>
      <c r="AM330" s="6496"/>
      <c r="AN330" s="6496" t="s">
        <v>1013</v>
      </c>
      <c r="AO330" s="6496" t="s">
        <v>1020</v>
      </c>
      <c r="AP330" s="6496" t="s">
        <v>1021</v>
      </c>
      <c r="AQ330" s="6496" t="s">
        <v>962</v>
      </c>
      <c r="AR330" s="6496"/>
      <c r="AS330" s="6490" t="s">
        <v>1022</v>
      </c>
      <c r="AT330" s="6490" t="s">
        <v>1023</v>
      </c>
      <c r="AU330" s="6490"/>
      <c r="AV330" s="6490"/>
      <c r="AW330" s="6494">
        <v>2064</v>
      </c>
      <c r="AX330" s="5133"/>
    </row>
    <row r="331" spans="1:54" ht="12.75" customHeight="1">
      <c r="A331" s="10962" t="str">
        <f t="shared" si="25"/>
        <v/>
      </c>
      <c r="B331" s="10945" t="str">
        <f>+IF(A331="","",VLOOKUP(MATCH(A331,tid,0),tao,'12(id)'!$J$20,FALSE))</f>
        <v/>
      </c>
      <c r="C331" s="10948" t="str">
        <f t="shared" si="26"/>
        <v/>
      </c>
      <c r="D331" s="5133"/>
      <c r="F331" s="5133"/>
      <c r="G331" s="6489">
        <f t="shared" si="28"/>
        <v>103</v>
      </c>
      <c r="H331" s="6489">
        <v>103</v>
      </c>
      <c r="I331" s="10956"/>
      <c r="J331" s="10962"/>
      <c r="K331" s="10962" t="str">
        <f>+IF(ISNA(VLOOKUP(MATCH(P331,tfn,0),tao,'12(id)'!$K$20,FALSE)),"",IF(J331="NA","",VLOOKUP(MATCH(P331,tfn,0),tao,'12(id)'!$K$20,FALSE)+J331))</f>
        <v/>
      </c>
      <c r="L331" s="10962"/>
      <c r="M331" s="10962" t="str">
        <f t="shared" si="29"/>
        <v/>
      </c>
      <c r="N331" s="10945" t="str">
        <f>+IF(M331="","",VLOOKUP(MATCH(M331,tid,0),tao,'12(id)'!$Q$20,FALSE))</f>
        <v/>
      </c>
      <c r="O331" s="10956"/>
      <c r="P331" s="6490" t="s">
        <v>349</v>
      </c>
      <c r="Q331" s="6491"/>
      <c r="R331" s="6489">
        <v>55126</v>
      </c>
      <c r="S331" s="6490" t="s">
        <v>1016</v>
      </c>
      <c r="T331" s="6490"/>
      <c r="U331" s="6491">
        <v>2009</v>
      </c>
      <c r="V331" s="6491"/>
      <c r="W331" s="6489">
        <v>7685</v>
      </c>
      <c r="X331" s="6489">
        <v>12</v>
      </c>
      <c r="Y331" s="6492">
        <v>1854472</v>
      </c>
      <c r="Z331" s="6492" t="s">
        <v>939</v>
      </c>
      <c r="AA331" s="6493">
        <v>0.01</v>
      </c>
      <c r="AB331" s="6494">
        <v>45.8</v>
      </c>
      <c r="AC331" s="6492">
        <v>12629802</v>
      </c>
      <c r="AD331" s="6490" t="s">
        <v>961</v>
      </c>
      <c r="AE331" s="6490"/>
      <c r="AF331" s="6490" t="s">
        <v>939</v>
      </c>
      <c r="AG331" s="6490"/>
      <c r="AH331" s="6496" t="s">
        <v>1017</v>
      </c>
      <c r="AI331" s="6495" t="s">
        <v>1017</v>
      </c>
      <c r="AJ331" s="6496" t="s">
        <v>1018</v>
      </c>
      <c r="AK331" s="6496" t="s">
        <v>1019</v>
      </c>
      <c r="AL331" s="6496"/>
      <c r="AM331" s="6496"/>
      <c r="AN331" s="6496" t="s">
        <v>1013</v>
      </c>
      <c r="AO331" s="6496" t="s">
        <v>1020</v>
      </c>
      <c r="AP331" s="6496" t="s">
        <v>1021</v>
      </c>
      <c r="AQ331" s="6496" t="s">
        <v>962</v>
      </c>
      <c r="AR331" s="6496"/>
      <c r="AS331" s="6490" t="s">
        <v>1022</v>
      </c>
      <c r="AT331" s="6490" t="s">
        <v>1023</v>
      </c>
      <c r="AU331" s="6490"/>
      <c r="AV331" s="6490"/>
      <c r="AW331" s="6494">
        <v>2064</v>
      </c>
      <c r="AX331" s="5133"/>
    </row>
    <row r="332" spans="1:54" ht="12.75" customHeight="1">
      <c r="A332" s="10963" t="str">
        <f t="shared" si="25"/>
        <v/>
      </c>
      <c r="B332" s="10946" t="str">
        <f>+IF(A332="","",VLOOKUP(MATCH(A332,tid,0),tao,'12(id)'!$J$20,FALSE))</f>
        <v/>
      </c>
      <c r="C332" s="10949" t="str">
        <f t="shared" si="26"/>
        <v/>
      </c>
      <c r="D332" s="5133"/>
      <c r="F332" s="5133"/>
      <c r="G332" s="6489">
        <f t="shared" si="28"/>
        <v>104</v>
      </c>
      <c r="H332" s="6489">
        <v>102</v>
      </c>
      <c r="I332" s="10957"/>
      <c r="J332" s="10963"/>
      <c r="K332" s="10963" t="str">
        <f>+IF(ISNA(VLOOKUP(MATCH(P332,tfn,0),tao,'12(id)'!$K$20,FALSE)),"",IF(J332="NA","",VLOOKUP(MATCH(P332,tfn,0),tao,'12(id)'!$K$20,FALSE)+J332))</f>
        <v/>
      </c>
      <c r="L332" s="10963"/>
      <c r="M332" s="10963" t="str">
        <f t="shared" si="29"/>
        <v/>
      </c>
      <c r="N332" s="10946" t="str">
        <f>+IF(M332="","",VLOOKUP(MATCH(M332,tid,0),tao,'12(id)'!$Q$20,FALSE))</f>
        <v/>
      </c>
      <c r="O332" s="10957"/>
      <c r="P332" s="6490" t="s">
        <v>349</v>
      </c>
      <c r="Q332" s="6491"/>
      <c r="R332" s="6489">
        <v>55126</v>
      </c>
      <c r="S332" s="6490" t="s">
        <v>1016</v>
      </c>
      <c r="T332" s="6490"/>
      <c r="U332" s="6491">
        <v>2008</v>
      </c>
      <c r="V332" s="6491"/>
      <c r="W332" s="6489">
        <v>5870</v>
      </c>
      <c r="X332" s="6489">
        <v>12</v>
      </c>
      <c r="Y332" s="6492">
        <v>1338625</v>
      </c>
      <c r="Z332" s="6492" t="s">
        <v>939</v>
      </c>
      <c r="AA332" s="6493">
        <v>0.02</v>
      </c>
      <c r="AB332" s="6494">
        <v>37</v>
      </c>
      <c r="AC332" s="6492">
        <v>9272237</v>
      </c>
      <c r="AD332" s="6490" t="s">
        <v>961</v>
      </c>
      <c r="AE332" s="6490"/>
      <c r="AF332" s="6490" t="s">
        <v>939</v>
      </c>
      <c r="AG332" s="6490"/>
      <c r="AH332" s="6496" t="s">
        <v>1017</v>
      </c>
      <c r="AI332" s="6496" t="s">
        <v>1017</v>
      </c>
      <c r="AJ332" s="6496" t="s">
        <v>1018</v>
      </c>
      <c r="AK332" s="6496" t="s">
        <v>1019</v>
      </c>
      <c r="AL332" s="6496"/>
      <c r="AM332" s="6496"/>
      <c r="AN332" s="6496" t="s">
        <v>1013</v>
      </c>
      <c r="AO332" s="6496" t="s">
        <v>1020</v>
      </c>
      <c r="AP332" s="6496" t="s">
        <v>1021</v>
      </c>
      <c r="AQ332" s="6496" t="s">
        <v>962</v>
      </c>
      <c r="AR332" s="6496"/>
      <c r="AS332" s="6490" t="s">
        <v>1022</v>
      </c>
      <c r="AT332" s="6490" t="s">
        <v>1023</v>
      </c>
      <c r="AU332" s="6490"/>
      <c r="AV332" s="6490"/>
      <c r="AW332" s="6494">
        <v>2064</v>
      </c>
      <c r="AX332" s="5133"/>
    </row>
    <row r="333" spans="1:54" ht="12.75" customHeight="1">
      <c r="A333" s="10961" t="str">
        <f t="shared" si="25"/>
        <v/>
      </c>
      <c r="B333" s="10944" t="str">
        <f>+IF(A333="","",VLOOKUP(MATCH(A333,tid,0),tao,'12(id)'!$J$20,FALSE))</f>
        <v/>
      </c>
      <c r="C333" s="10947" t="str">
        <f t="shared" si="26"/>
        <v/>
      </c>
      <c r="D333" s="5133"/>
      <c r="F333" s="5133"/>
      <c r="G333" s="6489">
        <f t="shared" si="28"/>
        <v>105</v>
      </c>
      <c r="H333" s="6489">
        <v>107</v>
      </c>
      <c r="I333" s="10955">
        <f>1+I330</f>
        <v>39</v>
      </c>
      <c r="J333" s="10961"/>
      <c r="K333" s="10961" t="str">
        <f>+IF(ISNA(VLOOKUP(MATCH(P333,tfn,0),tao,'12(id)'!$K$20,FALSE)),"",IF(J333="NA","",VLOOKUP(MATCH(P333,tfn,0),tao,'12(id)'!$K$20,FALSE)+J333))</f>
        <v/>
      </c>
      <c r="L333" s="10961"/>
      <c r="M333" s="10961" t="str">
        <f t="shared" si="29"/>
        <v/>
      </c>
      <c r="N333" s="10944" t="str">
        <f>+IF(M333="","",VLOOKUP(MATCH(M333,tid,0),tao,'12(id)'!$Q$20,FALSE))</f>
        <v/>
      </c>
      <c r="O333" s="10955"/>
      <c r="P333" s="6490" t="s">
        <v>349</v>
      </c>
      <c r="Q333" s="6491"/>
      <c r="R333" s="6489">
        <v>55126</v>
      </c>
      <c r="S333" s="6490" t="s">
        <v>1024</v>
      </c>
      <c r="T333" s="6490"/>
      <c r="U333" s="6491">
        <v>2010</v>
      </c>
      <c r="V333" s="6491"/>
      <c r="W333" s="6489">
        <v>6309</v>
      </c>
      <c r="X333" s="6489">
        <v>12</v>
      </c>
      <c r="Y333" s="6492">
        <v>1539549</v>
      </c>
      <c r="Z333" s="6492" t="s">
        <v>939</v>
      </c>
      <c r="AA333" s="6493">
        <v>0.02</v>
      </c>
      <c r="AB333" s="6494">
        <v>43.7</v>
      </c>
      <c r="AC333" s="6492">
        <v>11012521</v>
      </c>
      <c r="AD333" s="6490" t="s">
        <v>961</v>
      </c>
      <c r="AE333" s="6490"/>
      <c r="AF333" s="6490" t="s">
        <v>939</v>
      </c>
      <c r="AG333" s="6490"/>
      <c r="AH333" s="6496" t="s">
        <v>1017</v>
      </c>
      <c r="AI333" s="6495" t="s">
        <v>1017</v>
      </c>
      <c r="AJ333" s="6496" t="s">
        <v>1018</v>
      </c>
      <c r="AK333" s="6496" t="s">
        <v>1019</v>
      </c>
      <c r="AL333" s="6496"/>
      <c r="AM333" s="6496"/>
      <c r="AN333" s="6496" t="s">
        <v>1013</v>
      </c>
      <c r="AO333" s="6496" t="s">
        <v>1020</v>
      </c>
      <c r="AP333" s="6496" t="s">
        <v>1021</v>
      </c>
      <c r="AQ333" s="6496" t="s">
        <v>962</v>
      </c>
      <c r="AR333" s="6496"/>
      <c r="AS333" s="6490" t="s">
        <v>1022</v>
      </c>
      <c r="AT333" s="6490" t="s">
        <v>1023</v>
      </c>
      <c r="AU333" s="6490"/>
      <c r="AV333" s="6490"/>
      <c r="AW333" s="6494">
        <v>2082</v>
      </c>
      <c r="AX333" s="5133"/>
    </row>
    <row r="334" spans="1:54" ht="12.75" customHeight="1">
      <c r="A334" s="10962" t="str">
        <f t="shared" si="25"/>
        <v/>
      </c>
      <c r="B334" s="10945" t="str">
        <f>+IF(A334="","",VLOOKUP(MATCH(A334,tid,0),tao,'12(id)'!$J$20,FALSE))</f>
        <v/>
      </c>
      <c r="C334" s="10948" t="str">
        <f t="shared" si="26"/>
        <v/>
      </c>
      <c r="D334" s="5133"/>
      <c r="F334" s="5133"/>
      <c r="G334" s="6489">
        <f t="shared" si="28"/>
        <v>106</v>
      </c>
      <c r="H334" s="6489">
        <v>106</v>
      </c>
      <c r="I334" s="10956"/>
      <c r="J334" s="10962"/>
      <c r="K334" s="10962" t="str">
        <f>+IF(ISNA(VLOOKUP(MATCH(P334,tfn,0),tao,'12(id)'!$K$20,FALSE)),"",IF(J334="NA","",VLOOKUP(MATCH(P334,tfn,0),tao,'12(id)'!$K$20,FALSE)+J334))</f>
        <v/>
      </c>
      <c r="L334" s="10962"/>
      <c r="M334" s="10962" t="str">
        <f t="shared" si="29"/>
        <v/>
      </c>
      <c r="N334" s="10945" t="str">
        <f>+IF(M334="","",VLOOKUP(MATCH(M334,tid,0),tao,'12(id)'!$Q$20,FALSE))</f>
        <v/>
      </c>
      <c r="O334" s="10956"/>
      <c r="P334" s="6490" t="s">
        <v>349</v>
      </c>
      <c r="Q334" s="6491"/>
      <c r="R334" s="6489">
        <v>55126</v>
      </c>
      <c r="S334" s="6490" t="s">
        <v>1024</v>
      </c>
      <c r="T334" s="6490"/>
      <c r="U334" s="6491">
        <v>2009</v>
      </c>
      <c r="V334" s="6491"/>
      <c r="W334" s="6489">
        <v>7545</v>
      </c>
      <c r="X334" s="6489">
        <v>12</v>
      </c>
      <c r="Y334" s="6492">
        <v>1811093</v>
      </c>
      <c r="Z334" s="6492" t="s">
        <v>939</v>
      </c>
      <c r="AA334" s="6493">
        <v>0.01</v>
      </c>
      <c r="AB334" s="6494">
        <v>48.6</v>
      </c>
      <c r="AC334" s="6492">
        <v>12726748</v>
      </c>
      <c r="AD334" s="6490" t="s">
        <v>961</v>
      </c>
      <c r="AE334" s="6490"/>
      <c r="AF334" s="6490" t="s">
        <v>939</v>
      </c>
      <c r="AG334" s="6490"/>
      <c r="AH334" s="6496" t="s">
        <v>1017</v>
      </c>
      <c r="AI334" s="6495" t="s">
        <v>1017</v>
      </c>
      <c r="AJ334" s="6496" t="s">
        <v>1018</v>
      </c>
      <c r="AK334" s="6496" t="s">
        <v>1019</v>
      </c>
      <c r="AL334" s="6496"/>
      <c r="AM334" s="6496"/>
      <c r="AN334" s="6496" t="s">
        <v>1013</v>
      </c>
      <c r="AO334" s="6496" t="s">
        <v>1020</v>
      </c>
      <c r="AP334" s="6496" t="s">
        <v>1021</v>
      </c>
      <c r="AQ334" s="6496" t="s">
        <v>962</v>
      </c>
      <c r="AR334" s="6496"/>
      <c r="AS334" s="6490" t="s">
        <v>1022</v>
      </c>
      <c r="AT334" s="6490" t="s">
        <v>1023</v>
      </c>
      <c r="AU334" s="6490"/>
      <c r="AV334" s="6490"/>
      <c r="AW334" s="6494">
        <v>2082</v>
      </c>
      <c r="AX334" s="5133"/>
    </row>
    <row r="335" spans="1:54" ht="12.75" customHeight="1">
      <c r="A335" s="10963" t="str">
        <f t="shared" si="25"/>
        <v/>
      </c>
      <c r="B335" s="10946" t="str">
        <f>+IF(A335="","",VLOOKUP(MATCH(A335,tid,0),tao,'12(id)'!$J$20,FALSE))</f>
        <v/>
      </c>
      <c r="C335" s="10949" t="str">
        <f t="shared" si="26"/>
        <v/>
      </c>
      <c r="D335" s="5133"/>
      <c r="F335" s="5133"/>
      <c r="G335" s="6489">
        <f t="shared" si="28"/>
        <v>107</v>
      </c>
      <c r="H335" s="6489">
        <v>105</v>
      </c>
      <c r="I335" s="10957"/>
      <c r="J335" s="10963"/>
      <c r="K335" s="10963" t="str">
        <f>+IF(ISNA(VLOOKUP(MATCH(P335,tfn,0),tao,'12(id)'!$K$20,FALSE)),"",IF(J335="NA","",VLOOKUP(MATCH(P335,tfn,0),tao,'12(id)'!$K$20,FALSE)+J335))</f>
        <v/>
      </c>
      <c r="L335" s="10963"/>
      <c r="M335" s="10963" t="str">
        <f t="shared" si="29"/>
        <v/>
      </c>
      <c r="N335" s="10946" t="str">
        <f>+IF(M335="","",VLOOKUP(MATCH(M335,tid,0),tao,'12(id)'!$Q$20,FALSE))</f>
        <v/>
      </c>
      <c r="O335" s="10957"/>
      <c r="P335" s="6490" t="s">
        <v>349</v>
      </c>
      <c r="Q335" s="6491"/>
      <c r="R335" s="6489">
        <v>55126</v>
      </c>
      <c r="S335" s="6490" t="s">
        <v>1024</v>
      </c>
      <c r="T335" s="6490"/>
      <c r="U335" s="6491">
        <v>2008</v>
      </c>
      <c r="V335" s="6491"/>
      <c r="W335" s="6489">
        <v>6318</v>
      </c>
      <c r="X335" s="6489">
        <v>12</v>
      </c>
      <c r="Y335" s="6492">
        <v>1474792</v>
      </c>
      <c r="Z335" s="6492" t="s">
        <v>939</v>
      </c>
      <c r="AA335" s="6493">
        <v>0.01</v>
      </c>
      <c r="AB335" s="6494">
        <v>40.4</v>
      </c>
      <c r="AC335" s="6492">
        <v>10414008</v>
      </c>
      <c r="AD335" s="6490" t="s">
        <v>961</v>
      </c>
      <c r="AE335" s="6490"/>
      <c r="AF335" s="6490" t="s">
        <v>939</v>
      </c>
      <c r="AG335" s="6490"/>
      <c r="AH335" s="6496" t="s">
        <v>1017</v>
      </c>
      <c r="AI335" s="6495" t="s">
        <v>1017</v>
      </c>
      <c r="AJ335" s="6496" t="s">
        <v>1018</v>
      </c>
      <c r="AK335" s="6496" t="s">
        <v>1019</v>
      </c>
      <c r="AL335" s="6496"/>
      <c r="AM335" s="6496"/>
      <c r="AN335" s="6496" t="s">
        <v>1013</v>
      </c>
      <c r="AO335" s="6496" t="s">
        <v>1020</v>
      </c>
      <c r="AP335" s="6496" t="s">
        <v>1021</v>
      </c>
      <c r="AQ335" s="6496" t="s">
        <v>962</v>
      </c>
      <c r="AR335" s="6496"/>
      <c r="AS335" s="6490" t="s">
        <v>1022</v>
      </c>
      <c r="AT335" s="6490" t="s">
        <v>1023</v>
      </c>
      <c r="AU335" s="6490"/>
      <c r="AV335" s="6490"/>
      <c r="AW335" s="6494">
        <v>2082</v>
      </c>
      <c r="AX335" s="5133"/>
    </row>
    <row r="336" spans="1:54" s="6369" customFormat="1" ht="12.75" customHeight="1">
      <c r="A336" s="10964" t="str">
        <f t="shared" si="25"/>
        <v>8306-04</v>
      </c>
      <c r="B336" s="10950" t="str">
        <f>+IF(A336="","",VLOOKUP(MATCH(A336,tid,0),tao,'12(id)'!$J$20,FALSE))</f>
        <v>NRG</v>
      </c>
      <c r="C336" s="10941" t="str">
        <f t="shared" si="26"/>
        <v>MV5 </v>
      </c>
      <c r="E336" s="5132"/>
      <c r="G336" s="6548">
        <f t="shared" si="28"/>
        <v>108</v>
      </c>
      <c r="H336" s="6548">
        <v>110</v>
      </c>
      <c r="I336" s="10958">
        <f>1+I333</f>
        <v>40</v>
      </c>
      <c r="J336" s="10964">
        <v>6</v>
      </c>
      <c r="K336" s="10964">
        <f>+IF(ISNA(VLOOKUP(MATCH(P336,tfn,0),tao,'12(id)'!$K$20,FALSE)),"",IF(J336="NA","",VLOOKUP(MATCH(P336,tfn,0),tao,'12(id)'!$K$20,FALSE)+J336))</f>
        <v>8306</v>
      </c>
      <c r="L336" s="10964">
        <v>4</v>
      </c>
      <c r="M336" s="10964" t="str">
        <f t="shared" si="29"/>
        <v>8306-04</v>
      </c>
      <c r="N336" s="10950" t="str">
        <f>+IF(M336="","",VLOOKUP(MATCH(M336,tid,0),tao,'12(id)'!$Q$20,FALSE))</f>
        <v>MV5 </v>
      </c>
      <c r="O336" s="10958"/>
      <c r="P336" s="6549" t="s">
        <v>478</v>
      </c>
      <c r="Q336" s="6550"/>
      <c r="R336" s="6548">
        <v>546</v>
      </c>
      <c r="S336" s="6549" t="s">
        <v>1025</v>
      </c>
      <c r="T336" s="6549"/>
      <c r="U336" s="6550">
        <v>2010</v>
      </c>
      <c r="V336" s="6550"/>
      <c r="W336" s="6548">
        <v>1052</v>
      </c>
      <c r="X336" s="6548">
        <v>12</v>
      </c>
      <c r="Y336" s="6551">
        <v>50747</v>
      </c>
      <c r="Z336" s="6551" t="s">
        <v>939</v>
      </c>
      <c r="AA336" s="6552">
        <v>0.09</v>
      </c>
      <c r="AB336" s="6553">
        <v>31.9</v>
      </c>
      <c r="AC336" s="6551">
        <v>631690</v>
      </c>
      <c r="AD336" s="6549" t="s">
        <v>961</v>
      </c>
      <c r="AE336" s="6549"/>
      <c r="AF336" s="6549">
        <v>4911</v>
      </c>
      <c r="AG336" s="6549" t="s">
        <v>1008</v>
      </c>
      <c r="AH336" s="6555" t="s">
        <v>1026</v>
      </c>
      <c r="AI336" s="6554" t="s">
        <v>1026</v>
      </c>
      <c r="AJ336" s="6555" t="s">
        <v>1011</v>
      </c>
      <c r="AK336" s="6554" t="s">
        <v>1012</v>
      </c>
      <c r="AL336" s="6554"/>
      <c r="AM336" s="6555"/>
      <c r="AN336" s="6555" t="s">
        <v>1013</v>
      </c>
      <c r="AO336" s="6555" t="s">
        <v>1014</v>
      </c>
      <c r="AP336" s="6555" t="s">
        <v>1015</v>
      </c>
      <c r="AQ336" s="6555" t="s">
        <v>1021</v>
      </c>
      <c r="AR336" s="6555"/>
      <c r="AS336" s="6549"/>
      <c r="AT336" s="6549"/>
      <c r="AU336" s="6549"/>
      <c r="AV336" s="6549" t="s">
        <v>122</v>
      </c>
      <c r="AW336" s="6553">
        <v>995</v>
      </c>
      <c r="AX336" s="5133"/>
      <c r="AY336" s="5132"/>
      <c r="AZ336" s="5132"/>
      <c r="BA336" s="5132"/>
      <c r="BB336" s="5132"/>
    </row>
    <row r="337" spans="1:54" s="6369" customFormat="1" ht="12.75" customHeight="1">
      <c r="A337" s="10965" t="str">
        <f t="shared" si="25"/>
        <v>8300-0</v>
      </c>
      <c r="B337" s="10951" t="e">
        <f>+IF(A337="","",VLOOKUP(MATCH(A337,tid,0),tao,'12(id)'!$J$20,FALSE))</f>
        <v>#N/A</v>
      </c>
      <c r="C337" s="10942" t="e">
        <f t="shared" si="26"/>
        <v>#N/A</v>
      </c>
      <c r="E337" s="5132"/>
      <c r="G337" s="6548">
        <f t="shared" si="28"/>
        <v>109</v>
      </c>
      <c r="H337" s="6548">
        <v>109</v>
      </c>
      <c r="I337" s="10959"/>
      <c r="J337" s="10965"/>
      <c r="K337" s="10965">
        <f>+IF(ISNA(VLOOKUP(MATCH(P337,tfn,0),tao,'12(id)'!$K$20,FALSE)),"",IF(J337="NA","",VLOOKUP(MATCH(P337,tfn,0),tao,'12(id)'!$K$20,FALSE)+J337))</f>
        <v>8300</v>
      </c>
      <c r="L337" s="10965"/>
      <c r="M337" s="10965" t="str">
        <f t="shared" si="29"/>
        <v>8300-0</v>
      </c>
      <c r="N337" s="10951" t="e">
        <f>+IF(M337="","",VLOOKUP(MATCH(M337,tid,0),tao,'12(id)'!$Q$20,FALSE))</f>
        <v>#N/A</v>
      </c>
      <c r="O337" s="10959"/>
      <c r="P337" s="6549" t="s">
        <v>478</v>
      </c>
      <c r="Q337" s="6550"/>
      <c r="R337" s="6548">
        <v>546</v>
      </c>
      <c r="S337" s="6549" t="s">
        <v>1025</v>
      </c>
      <c r="T337" s="6549"/>
      <c r="U337" s="6550">
        <v>2009</v>
      </c>
      <c r="V337" s="6550"/>
      <c r="W337" s="6548">
        <v>256</v>
      </c>
      <c r="X337" s="6548">
        <v>12</v>
      </c>
      <c r="Y337" s="6551">
        <v>13005</v>
      </c>
      <c r="Z337" s="6551" t="s">
        <v>939</v>
      </c>
      <c r="AA337" s="6552">
        <v>0.11</v>
      </c>
      <c r="AB337" s="6553">
        <v>11.2</v>
      </c>
      <c r="AC337" s="6551">
        <v>163032</v>
      </c>
      <c r="AD337" s="6549" t="s">
        <v>961</v>
      </c>
      <c r="AE337" s="6549"/>
      <c r="AF337" s="6549">
        <v>4911</v>
      </c>
      <c r="AG337" s="6549" t="s">
        <v>1008</v>
      </c>
      <c r="AH337" s="6555" t="s">
        <v>1026</v>
      </c>
      <c r="AI337" s="6554" t="s">
        <v>1026</v>
      </c>
      <c r="AJ337" s="6555" t="s">
        <v>1011</v>
      </c>
      <c r="AK337" s="6554" t="s">
        <v>1029</v>
      </c>
      <c r="AL337" s="6554"/>
      <c r="AM337" s="6555"/>
      <c r="AN337" s="6555" t="s">
        <v>1013</v>
      </c>
      <c r="AO337" s="6555" t="s">
        <v>1014</v>
      </c>
      <c r="AP337" s="6555" t="s">
        <v>1015</v>
      </c>
      <c r="AQ337" s="6555" t="s">
        <v>1021</v>
      </c>
      <c r="AR337" s="6555"/>
      <c r="AS337" s="6549"/>
      <c r="AT337" s="6549"/>
      <c r="AU337" s="6549"/>
      <c r="AV337" s="6549" t="s">
        <v>122</v>
      </c>
      <c r="AW337" s="6553">
        <v>995</v>
      </c>
      <c r="AX337" s="5133"/>
      <c r="AY337" s="5132"/>
      <c r="AZ337" s="5132"/>
      <c r="BA337" s="5132"/>
      <c r="BB337" s="5132"/>
    </row>
    <row r="338" spans="1:54" s="6369" customFormat="1" ht="12.75" customHeight="1">
      <c r="A338" s="10966" t="str">
        <f t="shared" si="25"/>
        <v>8300-0</v>
      </c>
      <c r="B338" s="10952" t="e">
        <f>+IF(A338="","",VLOOKUP(MATCH(A338,tid,0),tao,'12(id)'!$J$20,FALSE))</f>
        <v>#N/A</v>
      </c>
      <c r="C338" s="10943" t="e">
        <f t="shared" si="26"/>
        <v>#N/A</v>
      </c>
      <c r="E338" s="5132"/>
      <c r="G338" s="6548">
        <f t="shared" si="28"/>
        <v>110</v>
      </c>
      <c r="H338" s="6548">
        <v>108</v>
      </c>
      <c r="I338" s="10960"/>
      <c r="J338" s="10966"/>
      <c r="K338" s="10966">
        <f>+IF(ISNA(VLOOKUP(MATCH(P338,tfn,0),tao,'12(id)'!$K$20,FALSE)),"",IF(J338="NA","",VLOOKUP(MATCH(P338,tfn,0),tao,'12(id)'!$K$20,FALSE)+J338))</f>
        <v>8300</v>
      </c>
      <c r="L338" s="10966"/>
      <c r="M338" s="10966" t="str">
        <f t="shared" si="29"/>
        <v>8300-0</v>
      </c>
      <c r="N338" s="10952" t="e">
        <f>+IF(M338="","",VLOOKUP(MATCH(M338,tid,0),tao,'12(id)'!$Q$20,FALSE))</f>
        <v>#N/A</v>
      </c>
      <c r="O338" s="10960"/>
      <c r="P338" s="6549" t="s">
        <v>478</v>
      </c>
      <c r="Q338" s="6550"/>
      <c r="R338" s="6548">
        <v>546</v>
      </c>
      <c r="S338" s="6549" t="s">
        <v>1025</v>
      </c>
      <c r="T338" s="6549"/>
      <c r="U338" s="6550">
        <v>2008</v>
      </c>
      <c r="V338" s="6550"/>
      <c r="W338" s="6548">
        <v>444</v>
      </c>
      <c r="X338" s="6548">
        <v>12</v>
      </c>
      <c r="Y338" s="6551">
        <v>20012</v>
      </c>
      <c r="Z338" s="6551" t="s">
        <v>939</v>
      </c>
      <c r="AA338" s="6552">
        <v>0.11</v>
      </c>
      <c r="AB338" s="6553">
        <v>15</v>
      </c>
      <c r="AC338" s="6551">
        <v>247031</v>
      </c>
      <c r="AD338" s="6549" t="s">
        <v>961</v>
      </c>
      <c r="AE338" s="6549"/>
      <c r="AF338" s="6549">
        <v>4911</v>
      </c>
      <c r="AG338" s="6549" t="s">
        <v>1008</v>
      </c>
      <c r="AH338" s="6555" t="s">
        <v>1026</v>
      </c>
      <c r="AI338" s="6554" t="s">
        <v>1026</v>
      </c>
      <c r="AJ338" s="6554" t="s">
        <v>1027</v>
      </c>
      <c r="AK338" s="6555" t="s">
        <v>1028</v>
      </c>
      <c r="AL338" s="6555"/>
      <c r="AM338" s="6555"/>
      <c r="AN338" s="6555" t="s">
        <v>1013</v>
      </c>
      <c r="AO338" s="6555" t="s">
        <v>1014</v>
      </c>
      <c r="AP338" s="6555" t="s">
        <v>1015</v>
      </c>
      <c r="AQ338" s="6555" t="s">
        <v>1021</v>
      </c>
      <c r="AR338" s="6555"/>
      <c r="AS338" s="6549"/>
      <c r="AT338" s="6549"/>
      <c r="AU338" s="6549"/>
      <c r="AV338" s="6549" t="s">
        <v>122</v>
      </c>
      <c r="AW338" s="6553">
        <v>995</v>
      </c>
      <c r="AX338" s="5133"/>
      <c r="AY338" s="5132"/>
      <c r="AZ338" s="5132"/>
      <c r="BA338" s="5132"/>
      <c r="BB338" s="5132"/>
    </row>
    <row r="339" spans="1:54" s="6369" customFormat="1" ht="12.75" customHeight="1">
      <c r="A339" s="10964" t="str">
        <f t="shared" si="25"/>
        <v>8306-05</v>
      </c>
      <c r="B339" s="10950" t="str">
        <f>+IF(A339="","",VLOOKUP(MATCH(A339,tid,0),tao,'12(id)'!$J$20,FALSE))</f>
        <v>NRG</v>
      </c>
      <c r="C339" s="10941" t="str">
        <f t="shared" si="26"/>
        <v>MV6 </v>
      </c>
      <c r="E339" s="5132"/>
      <c r="G339" s="6548">
        <f t="shared" si="28"/>
        <v>111</v>
      </c>
      <c r="H339" s="6548">
        <v>113</v>
      </c>
      <c r="I339" s="10958">
        <f>1+I336</f>
        <v>41</v>
      </c>
      <c r="J339" s="10964">
        <v>6</v>
      </c>
      <c r="K339" s="10964">
        <f>+IF(ISNA(VLOOKUP(MATCH(P339,tfn,0),tao,'12(id)'!$K$20,FALSE)),"",IF(J339="NA","",VLOOKUP(MATCH(P339,tfn,0),tao,'12(id)'!$K$20,FALSE)+J339))</f>
        <v>8306</v>
      </c>
      <c r="L339" s="10964">
        <v>5</v>
      </c>
      <c r="M339" s="10964" t="str">
        <f t="shared" si="29"/>
        <v>8306-05</v>
      </c>
      <c r="N339" s="10950" t="str">
        <f>+IF(M339="","",VLOOKUP(MATCH(M339,tid,0),tao,'12(id)'!$Q$20,FALSE))</f>
        <v>MV6 </v>
      </c>
      <c r="O339" s="10958"/>
      <c r="P339" s="6549" t="s">
        <v>478</v>
      </c>
      <c r="Q339" s="6550"/>
      <c r="R339" s="6548">
        <v>546</v>
      </c>
      <c r="S339" s="6549" t="s">
        <v>960</v>
      </c>
      <c r="T339" s="6549"/>
      <c r="U339" s="6550">
        <v>2010</v>
      </c>
      <c r="V339" s="6550"/>
      <c r="W339" s="6548">
        <v>426</v>
      </c>
      <c r="X339" s="6548">
        <v>12</v>
      </c>
      <c r="Y339" s="6551">
        <v>45724</v>
      </c>
      <c r="Z339" s="6551" t="s">
        <v>939</v>
      </c>
      <c r="AA339" s="6552">
        <v>0.14000000000000001</v>
      </c>
      <c r="AB339" s="6553">
        <v>52.1</v>
      </c>
      <c r="AC339" s="6551">
        <v>674427</v>
      </c>
      <c r="AD339" s="6549" t="s">
        <v>961</v>
      </c>
      <c r="AE339" s="6549"/>
      <c r="AF339" s="6549">
        <v>4911</v>
      </c>
      <c r="AG339" s="6549" t="s">
        <v>1008</v>
      </c>
      <c r="AH339" s="6555" t="s">
        <v>1026</v>
      </c>
      <c r="AI339" s="6554" t="s">
        <v>1026</v>
      </c>
      <c r="AJ339" s="6555" t="s">
        <v>1011</v>
      </c>
      <c r="AK339" s="6554" t="s">
        <v>1012</v>
      </c>
      <c r="AL339" s="6554"/>
      <c r="AM339" s="6555"/>
      <c r="AN339" s="6555" t="s">
        <v>1013</v>
      </c>
      <c r="AO339" s="6555" t="s">
        <v>1014</v>
      </c>
      <c r="AP339" s="6555" t="s">
        <v>1015</v>
      </c>
      <c r="AQ339" s="6555"/>
      <c r="AR339" s="6555"/>
      <c r="AS339" s="6549"/>
      <c r="AT339" s="6549"/>
      <c r="AU339" s="6549"/>
      <c r="AV339" s="6549"/>
      <c r="AW339" s="6553">
        <v>5925</v>
      </c>
      <c r="AX339" s="5133"/>
      <c r="AY339" s="5132"/>
      <c r="AZ339" s="5132"/>
      <c r="BA339" s="5132"/>
      <c r="BB339" s="5132"/>
    </row>
    <row r="340" spans="1:54" s="6369" customFormat="1" ht="12.75" customHeight="1">
      <c r="A340" s="10965" t="str">
        <f t="shared" si="25"/>
        <v>8300-0</v>
      </c>
      <c r="B340" s="10951" t="e">
        <f>+IF(A340="","",VLOOKUP(MATCH(A340,tid,0),tao,'12(id)'!$J$20,FALSE))</f>
        <v>#N/A</v>
      </c>
      <c r="C340" s="10942" t="e">
        <f t="shared" si="26"/>
        <v>#N/A</v>
      </c>
      <c r="E340" s="5132"/>
      <c r="G340" s="6548">
        <f t="shared" si="28"/>
        <v>112</v>
      </c>
      <c r="H340" s="6548">
        <v>112</v>
      </c>
      <c r="I340" s="10959"/>
      <c r="J340" s="10965"/>
      <c r="K340" s="10965">
        <f>+IF(ISNA(VLOOKUP(MATCH(P340,tfn,0),tao,'12(id)'!$K$20,FALSE)),"",IF(J340="NA","",VLOOKUP(MATCH(P340,tfn,0),tao,'12(id)'!$K$20,FALSE)+J340))</f>
        <v>8300</v>
      </c>
      <c r="L340" s="10965"/>
      <c r="M340" s="10965" t="str">
        <f t="shared" si="29"/>
        <v>8300-0</v>
      </c>
      <c r="N340" s="10951" t="e">
        <f>+IF(M340="","",VLOOKUP(MATCH(M340,tid,0),tao,'12(id)'!$Q$20,FALSE))</f>
        <v>#N/A</v>
      </c>
      <c r="O340" s="10959"/>
      <c r="P340" s="6549" t="s">
        <v>478</v>
      </c>
      <c r="Q340" s="6550"/>
      <c r="R340" s="6548">
        <v>546</v>
      </c>
      <c r="S340" s="6549" t="s">
        <v>960</v>
      </c>
      <c r="T340" s="6549"/>
      <c r="U340" s="6550">
        <v>2009</v>
      </c>
      <c r="V340" s="6550"/>
      <c r="W340" s="6548">
        <v>173</v>
      </c>
      <c r="X340" s="6548">
        <v>12</v>
      </c>
      <c r="Y340" s="6551">
        <v>21297</v>
      </c>
      <c r="Z340" s="6551" t="s">
        <v>939</v>
      </c>
      <c r="AA340" s="6552">
        <v>0.17</v>
      </c>
      <c r="AB340" s="6553">
        <v>33.4</v>
      </c>
      <c r="AC340" s="6551">
        <v>325660</v>
      </c>
      <c r="AD340" s="6549" t="s">
        <v>961</v>
      </c>
      <c r="AE340" s="6549"/>
      <c r="AF340" s="6549">
        <v>4911</v>
      </c>
      <c r="AG340" s="6549" t="s">
        <v>1008</v>
      </c>
      <c r="AH340" s="6555" t="s">
        <v>1026</v>
      </c>
      <c r="AI340" s="6554" t="s">
        <v>1026</v>
      </c>
      <c r="AJ340" s="6555" t="s">
        <v>1011</v>
      </c>
      <c r="AK340" s="6554" t="s">
        <v>1029</v>
      </c>
      <c r="AL340" s="6554"/>
      <c r="AM340" s="6555"/>
      <c r="AN340" s="6555" t="s">
        <v>1013</v>
      </c>
      <c r="AO340" s="6555" t="s">
        <v>1014</v>
      </c>
      <c r="AP340" s="6555" t="s">
        <v>1015</v>
      </c>
      <c r="AQ340" s="6555"/>
      <c r="AR340" s="6555"/>
      <c r="AS340" s="6549"/>
      <c r="AT340" s="6549"/>
      <c r="AU340" s="6549"/>
      <c r="AV340" s="6549"/>
      <c r="AW340" s="6553">
        <v>5925</v>
      </c>
      <c r="AX340" s="5133"/>
      <c r="AY340" s="5132"/>
      <c r="AZ340" s="5132"/>
      <c r="BA340" s="5132"/>
      <c r="BB340" s="5132"/>
    </row>
    <row r="341" spans="1:54" s="6369" customFormat="1" ht="12.75" customHeight="1">
      <c r="A341" s="10966" t="str">
        <f t="shared" si="25"/>
        <v>8300-0</v>
      </c>
      <c r="B341" s="10952" t="e">
        <f>+IF(A341="","",VLOOKUP(MATCH(A341,tid,0),tao,'12(id)'!$J$20,FALSE))</f>
        <v>#N/A</v>
      </c>
      <c r="C341" s="10943" t="e">
        <f t="shared" si="26"/>
        <v>#N/A</v>
      </c>
      <c r="E341" s="5132"/>
      <c r="G341" s="6548">
        <f t="shared" si="28"/>
        <v>113</v>
      </c>
      <c r="H341" s="6548">
        <v>111</v>
      </c>
      <c r="I341" s="10960"/>
      <c r="J341" s="10966"/>
      <c r="K341" s="10966">
        <f>+IF(ISNA(VLOOKUP(MATCH(P341,tfn,0),tao,'12(id)'!$K$20,FALSE)),"",IF(J341="NA","",VLOOKUP(MATCH(P341,tfn,0),tao,'12(id)'!$K$20,FALSE)+J341))</f>
        <v>8300</v>
      </c>
      <c r="L341" s="10966"/>
      <c r="M341" s="10966" t="str">
        <f t="shared" si="29"/>
        <v>8300-0</v>
      </c>
      <c r="N341" s="10952" t="e">
        <f>+IF(M341="","",VLOOKUP(MATCH(M341,tid,0),tao,'12(id)'!$Q$20,FALSE))</f>
        <v>#N/A</v>
      </c>
      <c r="O341" s="10960"/>
      <c r="P341" s="6549" t="s">
        <v>478</v>
      </c>
      <c r="Q341" s="6550"/>
      <c r="R341" s="6548">
        <v>546</v>
      </c>
      <c r="S341" s="6549" t="s">
        <v>960</v>
      </c>
      <c r="T341" s="6549"/>
      <c r="U341" s="6550">
        <v>2008</v>
      </c>
      <c r="V341" s="6550"/>
      <c r="W341" s="6548">
        <v>126</v>
      </c>
      <c r="X341" s="6548">
        <v>12</v>
      </c>
      <c r="Y341" s="6551">
        <v>20652</v>
      </c>
      <c r="Z341" s="6551" t="s">
        <v>939</v>
      </c>
      <c r="AA341" s="6552">
        <v>0.18</v>
      </c>
      <c r="AB341" s="6553">
        <v>26.3</v>
      </c>
      <c r="AC341" s="6551">
        <v>255457</v>
      </c>
      <c r="AD341" s="6549" t="s">
        <v>961</v>
      </c>
      <c r="AE341" s="6549"/>
      <c r="AF341" s="6549">
        <v>4911</v>
      </c>
      <c r="AG341" s="6549" t="s">
        <v>1008</v>
      </c>
      <c r="AH341" s="6555" t="s">
        <v>1026</v>
      </c>
      <c r="AI341" s="6554" t="s">
        <v>1026</v>
      </c>
      <c r="AJ341" s="6554" t="s">
        <v>1027</v>
      </c>
      <c r="AK341" s="6555" t="s">
        <v>1028</v>
      </c>
      <c r="AL341" s="6555"/>
      <c r="AM341" s="6555"/>
      <c r="AN341" s="6555" t="s">
        <v>1013</v>
      </c>
      <c r="AO341" s="6555" t="s">
        <v>1014</v>
      </c>
      <c r="AP341" s="6555" t="s">
        <v>1015</v>
      </c>
      <c r="AQ341" s="6555"/>
      <c r="AR341" s="6555"/>
      <c r="AS341" s="6549"/>
      <c r="AT341" s="6549"/>
      <c r="AU341" s="6549"/>
      <c r="AV341" s="6549"/>
      <c r="AW341" s="6553">
        <v>5925</v>
      </c>
      <c r="AX341" s="5133"/>
      <c r="AY341" s="5132"/>
      <c r="AZ341" s="5132"/>
      <c r="BA341" s="5132"/>
      <c r="BB341" s="5132"/>
    </row>
    <row r="342" spans="1:54" s="6369" customFormat="1" ht="12.75" customHeight="1">
      <c r="A342" s="10958" t="str">
        <f t="shared" si="25"/>
        <v>8305-01</v>
      </c>
      <c r="B342" s="10932" t="str">
        <f>+IF(A342="","",VLOOKUP(MATCH(A342,tid,0),tao,'12(id)'!$J$20,FALSE))</f>
        <v>PSEG</v>
      </c>
      <c r="C342" s="10929" t="str">
        <f t="shared" si="26"/>
        <v>NHB1</v>
      </c>
      <c r="E342" s="5132"/>
      <c r="G342" s="6548">
        <f t="shared" si="28"/>
        <v>114</v>
      </c>
      <c r="H342" s="6548">
        <v>116</v>
      </c>
      <c r="I342" s="10958">
        <f>1+I339</f>
        <v>42</v>
      </c>
      <c r="J342" s="10968"/>
      <c r="K342" s="10958">
        <f>+IF(ISNA(VLOOKUP(MATCH(P342,tfn,0),tao,'12(id)'!$K$20,FALSE)),"",IF(J342="NA","",VLOOKUP(MATCH(P342,tfn,0),tao,'12(id)'!$K$20,FALSE)+J342))</f>
        <v>8305</v>
      </c>
      <c r="L342" s="10958">
        <v>1</v>
      </c>
      <c r="M342" s="10958" t="str">
        <f t="shared" si="29"/>
        <v>8305-01</v>
      </c>
      <c r="N342" s="10958" t="str">
        <f>+IF(M342="","",VLOOKUP(MATCH(M342,tid,0),tao,'12(id)'!$Q$20,FALSE))</f>
        <v>NHB1</v>
      </c>
      <c r="O342" s="10958"/>
      <c r="P342" s="6549" t="s">
        <v>350</v>
      </c>
      <c r="Q342" s="6550" t="s">
        <v>541</v>
      </c>
      <c r="R342" s="6548">
        <v>6156</v>
      </c>
      <c r="S342" s="6549" t="s">
        <v>1030</v>
      </c>
      <c r="T342" s="6549"/>
      <c r="U342" s="6550">
        <v>2010</v>
      </c>
      <c r="V342" s="6550"/>
      <c r="W342" s="6548">
        <v>1077</v>
      </c>
      <c r="X342" s="6548">
        <v>12</v>
      </c>
      <c r="Y342" s="6551">
        <v>168256</v>
      </c>
      <c r="Z342" s="6551" t="s">
        <v>939</v>
      </c>
      <c r="AA342" s="6552">
        <v>0.13</v>
      </c>
      <c r="AB342" s="6553">
        <v>127.5</v>
      </c>
      <c r="AC342" s="6551">
        <v>1842328</v>
      </c>
      <c r="AD342" s="6549" t="s">
        <v>961</v>
      </c>
      <c r="AE342" s="6549"/>
      <c r="AF342" s="6549">
        <v>4911</v>
      </c>
      <c r="AG342" s="6549" t="s">
        <v>1008</v>
      </c>
      <c r="AH342" s="6554" t="s">
        <v>1031</v>
      </c>
      <c r="AI342" s="6554" t="s">
        <v>1031</v>
      </c>
      <c r="AJ342" s="6554" t="s">
        <v>1036</v>
      </c>
      <c r="AK342" s="6554" t="s">
        <v>1033</v>
      </c>
      <c r="AL342" s="6554"/>
      <c r="AM342" s="6555"/>
      <c r="AN342" s="6554" t="s">
        <v>1013</v>
      </c>
      <c r="AO342" s="6554" t="s">
        <v>1014</v>
      </c>
      <c r="AP342" s="6554" t="s">
        <v>1015</v>
      </c>
      <c r="AQ342" s="6554" t="s">
        <v>1034</v>
      </c>
      <c r="AR342" s="6555"/>
      <c r="AS342" s="6549"/>
      <c r="AT342" s="6549"/>
      <c r="AU342" s="6549"/>
      <c r="AV342" s="6549" t="s">
        <v>122</v>
      </c>
      <c r="AW342" s="6553">
        <v>4425</v>
      </c>
      <c r="AX342" s="5133"/>
      <c r="AY342" s="5132"/>
      <c r="AZ342" s="5132"/>
      <c r="BA342" s="5132"/>
      <c r="BB342" s="5132"/>
    </row>
    <row r="343" spans="1:54" s="6369" customFormat="1" ht="12.75" customHeight="1">
      <c r="A343" s="10959" t="str">
        <f t="shared" si="25"/>
        <v>8305-01</v>
      </c>
      <c r="B343" s="10933" t="str">
        <f>+IF(A343="","",VLOOKUP(MATCH(A343,tid,0),tao,'12(id)'!$J$20,FALSE))</f>
        <v>PSEG</v>
      </c>
      <c r="C343" s="10930" t="str">
        <f t="shared" si="26"/>
        <v>NHB1</v>
      </c>
      <c r="E343" s="5132"/>
      <c r="G343" s="6548">
        <f t="shared" si="28"/>
        <v>115</v>
      </c>
      <c r="H343" s="6548">
        <v>115</v>
      </c>
      <c r="I343" s="10959"/>
      <c r="J343" s="10959"/>
      <c r="K343" s="10959">
        <f>+IF(ISNA(VLOOKUP(MATCH(P343,tfn,0),tao,'12(id)'!$K$20,FALSE)),"",IF(J343="NA","",VLOOKUP(MATCH(P343,tfn,0),tao,'12(id)'!$K$20,FALSE)+J343))</f>
        <v>8305</v>
      </c>
      <c r="L343" s="10959">
        <f>+L342</f>
        <v>1</v>
      </c>
      <c r="M343" s="10959" t="str">
        <f t="shared" si="29"/>
        <v>8305-01</v>
      </c>
      <c r="N343" s="10959" t="str">
        <f>+IF(M343="","",VLOOKUP(MATCH(M343,tid,0),tao,'12(id)'!$Q$20,FALSE))</f>
        <v>NHB1</v>
      </c>
      <c r="O343" s="10959"/>
      <c r="P343" s="6549" t="s">
        <v>350</v>
      </c>
      <c r="Q343" s="6550" t="s">
        <v>541</v>
      </c>
      <c r="R343" s="6548">
        <v>6156</v>
      </c>
      <c r="S343" s="6549" t="s">
        <v>1030</v>
      </c>
      <c r="T343" s="6549"/>
      <c r="U343" s="6550">
        <v>2009</v>
      </c>
      <c r="V343" s="6550"/>
      <c r="W343" s="6548">
        <v>703</v>
      </c>
      <c r="X343" s="6548">
        <v>12</v>
      </c>
      <c r="Y343" s="6551">
        <v>152988</v>
      </c>
      <c r="Z343" s="6551" t="s">
        <v>939</v>
      </c>
      <c r="AA343" s="6552">
        <v>0.13</v>
      </c>
      <c r="AB343" s="6553">
        <v>115.4</v>
      </c>
      <c r="AC343" s="6551">
        <v>1640110</v>
      </c>
      <c r="AD343" s="6549" t="s">
        <v>961</v>
      </c>
      <c r="AE343" s="6549"/>
      <c r="AF343" s="6549">
        <v>4911</v>
      </c>
      <c r="AG343" s="6549" t="s">
        <v>1008</v>
      </c>
      <c r="AH343" s="6555" t="s">
        <v>1031</v>
      </c>
      <c r="AI343" s="6554" t="s">
        <v>1031</v>
      </c>
      <c r="AJ343" s="6554" t="s">
        <v>1035</v>
      </c>
      <c r="AK343" s="6555" t="s">
        <v>1033</v>
      </c>
      <c r="AL343" s="6555"/>
      <c r="AM343" s="6555"/>
      <c r="AN343" s="6555" t="s">
        <v>1013</v>
      </c>
      <c r="AO343" s="6555" t="s">
        <v>1014</v>
      </c>
      <c r="AP343" s="6555" t="s">
        <v>1015</v>
      </c>
      <c r="AQ343" s="6555" t="s">
        <v>1034</v>
      </c>
      <c r="AR343" s="6555"/>
      <c r="AS343" s="6549"/>
      <c r="AT343" s="6549"/>
      <c r="AU343" s="6549"/>
      <c r="AV343" s="6549" t="s">
        <v>122</v>
      </c>
      <c r="AW343" s="6553">
        <v>4425</v>
      </c>
      <c r="AX343" s="5133"/>
      <c r="AY343" s="5132"/>
      <c r="AZ343" s="5132"/>
      <c r="BA343" s="5132"/>
      <c r="BB343" s="5132"/>
    </row>
    <row r="344" spans="1:54" s="6369" customFormat="1" ht="12.75" customHeight="1">
      <c r="A344" s="10960" t="str">
        <f t="shared" si="25"/>
        <v>8305-01</v>
      </c>
      <c r="B344" s="10934" t="str">
        <f>+IF(A344="","",VLOOKUP(MATCH(A344,tid,0),tao,'12(id)'!$J$20,FALSE))</f>
        <v>PSEG</v>
      </c>
      <c r="C344" s="10931" t="str">
        <f t="shared" si="26"/>
        <v>NHB1</v>
      </c>
      <c r="E344" s="5132"/>
      <c r="G344" s="6548">
        <f t="shared" si="28"/>
        <v>116</v>
      </c>
      <c r="H344" s="6548">
        <v>114</v>
      </c>
      <c r="I344" s="10960"/>
      <c r="J344" s="10960"/>
      <c r="K344" s="10960">
        <f>+IF(ISNA(VLOOKUP(MATCH(P344,tfn,0),tao,'12(id)'!$K$20,FALSE)),"",IF(J344="NA","",VLOOKUP(MATCH(P344,tfn,0),tao,'12(id)'!$K$20,FALSE)+J344))</f>
        <v>8305</v>
      </c>
      <c r="L344" s="10960">
        <f>+L343</f>
        <v>1</v>
      </c>
      <c r="M344" s="10960" t="str">
        <f t="shared" si="29"/>
        <v>8305-01</v>
      </c>
      <c r="N344" s="10960" t="str">
        <f>+IF(M344="","",VLOOKUP(MATCH(M344,tid,0),tao,'12(id)'!$Q$20,FALSE))</f>
        <v>NHB1</v>
      </c>
      <c r="O344" s="10960"/>
      <c r="P344" s="6549" t="s">
        <v>350</v>
      </c>
      <c r="Q344" s="6550" t="s">
        <v>541</v>
      </c>
      <c r="R344" s="6548">
        <v>6156</v>
      </c>
      <c r="S344" s="6549" t="s">
        <v>1030</v>
      </c>
      <c r="T344" s="6549"/>
      <c r="U344" s="6550">
        <v>2008</v>
      </c>
      <c r="V344" s="6550"/>
      <c r="W344" s="6548">
        <v>839</v>
      </c>
      <c r="X344" s="6548">
        <v>12</v>
      </c>
      <c r="Y344" s="6551">
        <v>138007</v>
      </c>
      <c r="Z344" s="6551" t="s">
        <v>939</v>
      </c>
      <c r="AA344" s="6552">
        <v>0.14000000000000001</v>
      </c>
      <c r="AB344" s="6553">
        <v>117.8</v>
      </c>
      <c r="AC344" s="6551">
        <v>1570919</v>
      </c>
      <c r="AD344" s="6549" t="s">
        <v>961</v>
      </c>
      <c r="AE344" s="6549"/>
      <c r="AF344" s="6549">
        <v>4911</v>
      </c>
      <c r="AG344" s="6549" t="s">
        <v>1008</v>
      </c>
      <c r="AH344" s="6554" t="s">
        <v>1031</v>
      </c>
      <c r="AI344" s="6554" t="s">
        <v>1031</v>
      </c>
      <c r="AJ344" s="6554" t="s">
        <v>1032</v>
      </c>
      <c r="AK344" s="6554" t="s">
        <v>1033</v>
      </c>
      <c r="AL344" s="6554"/>
      <c r="AM344" s="6555"/>
      <c r="AN344" s="6554" t="s">
        <v>1013</v>
      </c>
      <c r="AO344" s="6554" t="s">
        <v>1014</v>
      </c>
      <c r="AP344" s="6554" t="s">
        <v>1015</v>
      </c>
      <c r="AQ344" s="6554" t="s">
        <v>1034</v>
      </c>
      <c r="AR344" s="6555"/>
      <c r="AS344" s="6549"/>
      <c r="AT344" s="6549"/>
      <c r="AU344" s="6549"/>
      <c r="AV344" s="6549" t="s">
        <v>122</v>
      </c>
      <c r="AW344" s="6553">
        <v>4425</v>
      </c>
      <c r="AX344" s="5133"/>
      <c r="AY344" s="5132"/>
      <c r="AZ344" s="5132"/>
      <c r="BA344" s="5132"/>
      <c r="BB344" s="5132"/>
    </row>
    <row r="345" spans="1:54" s="6369" customFormat="1" ht="12.75" customHeight="1">
      <c r="A345" s="10958" t="str">
        <f t="shared" si="25"/>
        <v>8306-06</v>
      </c>
      <c r="B345" s="10932" t="str">
        <f>+IF(A345="","",VLOOKUP(MATCH(A345,tid,0),tao,'12(id)'!$J$20,FALSE))</f>
        <v>NRG</v>
      </c>
      <c r="C345" s="10929" t="str">
        <f t="shared" si="26"/>
        <v>NH1 </v>
      </c>
      <c r="E345" s="5132"/>
      <c r="G345" s="6548">
        <f t="shared" si="28"/>
        <v>117</v>
      </c>
      <c r="H345" s="6548">
        <v>119</v>
      </c>
      <c r="I345" s="10958">
        <f>1+I342</f>
        <v>43</v>
      </c>
      <c r="J345" s="10968">
        <v>6</v>
      </c>
      <c r="K345" s="10958">
        <f>+IF(ISNA(VLOOKUP(MATCH(P345,tfn,0),tao,'12(id)'!$K$20,FALSE)),"",IF(J345="NA","",VLOOKUP(MATCH(P345,tfn,0),tao,'12(id)'!$K$20,FALSE)+J345))</f>
        <v>8306</v>
      </c>
      <c r="L345" s="10958">
        <v>6</v>
      </c>
      <c r="M345" s="10958" t="str">
        <f t="shared" si="29"/>
        <v>8306-06</v>
      </c>
      <c r="N345" s="10958" t="str">
        <f>+IF(M345="","",VLOOKUP(MATCH(M345,tid,0),tao,'12(id)'!$Q$20,FALSE))</f>
        <v>NH1 </v>
      </c>
      <c r="O345" s="10958"/>
      <c r="P345" s="6549" t="s">
        <v>351</v>
      </c>
      <c r="Q345" s="6550"/>
      <c r="R345" s="6548">
        <v>548</v>
      </c>
      <c r="S345" s="6549" t="s">
        <v>1037</v>
      </c>
      <c r="T345" s="6549" t="s">
        <v>1038</v>
      </c>
      <c r="U345" s="6550">
        <v>2010</v>
      </c>
      <c r="V345" s="6550"/>
      <c r="W345" s="6548">
        <v>885</v>
      </c>
      <c r="X345" s="6548">
        <v>12</v>
      </c>
      <c r="Y345" s="6551">
        <v>38314</v>
      </c>
      <c r="Z345" s="6551" t="s">
        <v>939</v>
      </c>
      <c r="AA345" s="6552">
        <v>0.13</v>
      </c>
      <c r="AB345" s="6553">
        <v>36.4</v>
      </c>
      <c r="AC345" s="6551">
        <v>447264</v>
      </c>
      <c r="AD345" s="6549" t="s">
        <v>961</v>
      </c>
      <c r="AE345" s="6549"/>
      <c r="AF345" s="6549">
        <v>4911</v>
      </c>
      <c r="AG345" s="6549" t="s">
        <v>1008</v>
      </c>
      <c r="AH345" s="6554" t="s">
        <v>1039</v>
      </c>
      <c r="AI345" s="6554" t="s">
        <v>1039</v>
      </c>
      <c r="AJ345" s="6554" t="s">
        <v>1040</v>
      </c>
      <c r="AK345" s="6554" t="s">
        <v>1011</v>
      </c>
      <c r="AL345" s="6554"/>
      <c r="AM345" s="6555"/>
      <c r="AN345" s="6554" t="s">
        <v>1013</v>
      </c>
      <c r="AO345" s="6554" t="s">
        <v>1014</v>
      </c>
      <c r="AP345" s="6554" t="s">
        <v>1015</v>
      </c>
      <c r="AQ345" s="6555"/>
      <c r="AR345" s="6555"/>
      <c r="AS345" s="6549" t="s">
        <v>1042</v>
      </c>
      <c r="AT345" s="6549"/>
      <c r="AU345" s="6549"/>
      <c r="AV345" s="6549" t="s">
        <v>122</v>
      </c>
      <c r="AW345" s="6553">
        <v>1776</v>
      </c>
      <c r="AX345" s="5133"/>
      <c r="AY345" s="5132"/>
      <c r="AZ345" s="5132"/>
      <c r="BA345" s="5132"/>
      <c r="BB345" s="5132"/>
    </row>
    <row r="346" spans="1:54" s="6369" customFormat="1" ht="12.75" customHeight="1">
      <c r="A346" s="10959" t="str">
        <f t="shared" si="25"/>
        <v>8300-06</v>
      </c>
      <c r="B346" s="10933" t="str">
        <f>+IF(A346="","",VLOOKUP(MATCH(A346,tid,0),tao,'12(id)'!$J$20,FALSE))</f>
        <v>NRG</v>
      </c>
      <c r="C346" s="10930" t="str">
        <f t="shared" si="26"/>
        <v>CC14</v>
      </c>
      <c r="E346" s="5132"/>
      <c r="G346" s="6548">
        <f t="shared" si="28"/>
        <v>118</v>
      </c>
      <c r="H346" s="6548">
        <v>118</v>
      </c>
      <c r="I346" s="10959"/>
      <c r="J346" s="10959"/>
      <c r="K346" s="10959">
        <f>+IF(ISNA(VLOOKUP(MATCH(P346,tfn,0),tao,'12(id)'!$K$20,FALSE)),"",IF(J346="NA","",VLOOKUP(MATCH(P346,tfn,0),tao,'12(id)'!$K$20,FALSE)+J346))</f>
        <v>8300</v>
      </c>
      <c r="L346" s="10959">
        <f>+L345</f>
        <v>6</v>
      </c>
      <c r="M346" s="10959" t="str">
        <f t="shared" si="29"/>
        <v>8300-06</v>
      </c>
      <c r="N346" s="10959" t="str">
        <f>+IF(M346="","",VLOOKUP(MATCH(M346,tid,0),tao,'12(id)'!$Q$20,FALSE))</f>
        <v>CC14</v>
      </c>
      <c r="O346" s="10959"/>
      <c r="P346" s="6549" t="s">
        <v>351</v>
      </c>
      <c r="Q346" s="6550"/>
      <c r="R346" s="6548">
        <v>548</v>
      </c>
      <c r="S346" s="6549" t="s">
        <v>1037</v>
      </c>
      <c r="T346" s="6549" t="s">
        <v>1038</v>
      </c>
      <c r="U346" s="6550">
        <v>2009</v>
      </c>
      <c r="V346" s="6550"/>
      <c r="W346" s="6548">
        <v>304</v>
      </c>
      <c r="X346" s="6548">
        <v>12</v>
      </c>
      <c r="Y346" s="6551">
        <v>16636</v>
      </c>
      <c r="Z346" s="6551" t="s">
        <v>939</v>
      </c>
      <c r="AA346" s="6552">
        <v>0.11</v>
      </c>
      <c r="AB346" s="6553">
        <v>17.399999999999999</v>
      </c>
      <c r="AC346" s="6551">
        <v>201785</v>
      </c>
      <c r="AD346" s="6549" t="s">
        <v>961</v>
      </c>
      <c r="AE346" s="6549"/>
      <c r="AF346" s="6549">
        <v>4911</v>
      </c>
      <c r="AG346" s="6549" t="s">
        <v>1008</v>
      </c>
      <c r="AH346" s="6555" t="s">
        <v>1039</v>
      </c>
      <c r="AI346" s="6554" t="s">
        <v>1039</v>
      </c>
      <c r="AJ346" s="6555" t="s">
        <v>1040</v>
      </c>
      <c r="AK346" s="6554" t="s">
        <v>1043</v>
      </c>
      <c r="AL346" s="6554"/>
      <c r="AM346" s="6555"/>
      <c r="AN346" s="6555" t="s">
        <v>1013</v>
      </c>
      <c r="AO346" s="6555" t="s">
        <v>1014</v>
      </c>
      <c r="AP346" s="6555" t="s">
        <v>1015</v>
      </c>
      <c r="AQ346" s="6555"/>
      <c r="AR346" s="6555"/>
      <c r="AS346" s="6549" t="s">
        <v>1042</v>
      </c>
      <c r="AT346" s="6549"/>
      <c r="AU346" s="6549"/>
      <c r="AV346" s="6549" t="s">
        <v>122</v>
      </c>
      <c r="AW346" s="6553">
        <v>1776</v>
      </c>
      <c r="AX346" s="5133"/>
      <c r="AY346" s="5132"/>
      <c r="AZ346" s="5132"/>
      <c r="BA346" s="5132"/>
      <c r="BB346" s="5132"/>
    </row>
    <row r="347" spans="1:54" s="6369" customFormat="1" ht="12.75" customHeight="1">
      <c r="A347" s="10960" t="str">
        <f t="shared" si="25"/>
        <v>8300-06</v>
      </c>
      <c r="B347" s="10934" t="str">
        <f>+IF(A347="","",VLOOKUP(MATCH(A347,tid,0),tao,'12(id)'!$J$20,FALSE))</f>
        <v>NRG</v>
      </c>
      <c r="C347" s="10931" t="str">
        <f t="shared" si="26"/>
        <v>CC14</v>
      </c>
      <c r="E347" s="5132"/>
      <c r="G347" s="6548">
        <f t="shared" si="28"/>
        <v>119</v>
      </c>
      <c r="H347" s="6548">
        <v>117</v>
      </c>
      <c r="I347" s="10960"/>
      <c r="J347" s="10960"/>
      <c r="K347" s="10960">
        <f>+IF(ISNA(VLOOKUP(MATCH(P347,tfn,0),tao,'12(id)'!$K$20,FALSE)),"",IF(J347="NA","",VLOOKUP(MATCH(P347,tfn,0),tao,'12(id)'!$K$20,FALSE)+J347))</f>
        <v>8300</v>
      </c>
      <c r="L347" s="10960">
        <f>+L346</f>
        <v>6</v>
      </c>
      <c r="M347" s="10960" t="str">
        <f t="shared" si="29"/>
        <v>8300-06</v>
      </c>
      <c r="N347" s="10960" t="str">
        <f>+IF(M347="","",VLOOKUP(MATCH(M347,tid,0),tao,'12(id)'!$Q$20,FALSE))</f>
        <v>CC14</v>
      </c>
      <c r="O347" s="10960"/>
      <c r="P347" s="6549" t="s">
        <v>351</v>
      </c>
      <c r="Q347" s="6550"/>
      <c r="R347" s="6548">
        <v>548</v>
      </c>
      <c r="S347" s="6549" t="s">
        <v>1037</v>
      </c>
      <c r="T347" s="6549" t="s">
        <v>1038</v>
      </c>
      <c r="U347" s="6550">
        <v>2008</v>
      </c>
      <c r="V347" s="6550"/>
      <c r="W347" s="6548">
        <v>1604</v>
      </c>
      <c r="X347" s="6548">
        <v>12</v>
      </c>
      <c r="Y347" s="6551">
        <v>90980</v>
      </c>
      <c r="Z347" s="6551" t="s">
        <v>939</v>
      </c>
      <c r="AA347" s="6552">
        <v>0.14000000000000001</v>
      </c>
      <c r="AB347" s="6553">
        <v>95.6</v>
      </c>
      <c r="AC347" s="6551">
        <v>1180412</v>
      </c>
      <c r="AD347" s="6549" t="s">
        <v>961</v>
      </c>
      <c r="AE347" s="6549"/>
      <c r="AF347" s="6549">
        <v>4911</v>
      </c>
      <c r="AG347" s="6549" t="s">
        <v>1008</v>
      </c>
      <c r="AH347" s="6555" t="s">
        <v>1039</v>
      </c>
      <c r="AI347" s="6554" t="s">
        <v>1039</v>
      </c>
      <c r="AJ347" s="6555" t="s">
        <v>1040</v>
      </c>
      <c r="AK347" s="6554" t="s">
        <v>1041</v>
      </c>
      <c r="AL347" s="6554"/>
      <c r="AM347" s="6555"/>
      <c r="AN347" s="6555" t="s">
        <v>1013</v>
      </c>
      <c r="AO347" s="6555" t="s">
        <v>1014</v>
      </c>
      <c r="AP347" s="6555" t="s">
        <v>1015</v>
      </c>
      <c r="AQ347" s="6555"/>
      <c r="AR347" s="6555"/>
      <c r="AS347" s="6549" t="s">
        <v>1042</v>
      </c>
      <c r="AT347" s="6549"/>
      <c r="AU347" s="6549"/>
      <c r="AV347" s="6549" t="s">
        <v>122</v>
      </c>
      <c r="AW347" s="6553">
        <v>1776</v>
      </c>
      <c r="AX347" s="5133"/>
      <c r="AY347" s="5132"/>
      <c r="AZ347" s="5132"/>
      <c r="BA347" s="5132"/>
      <c r="BB347" s="5132"/>
    </row>
    <row r="348" spans="1:54" s="6369" customFormat="1" ht="12.75" customHeight="1">
      <c r="A348" s="10958" t="str">
        <f t="shared" si="25"/>
        <v>8300-10</v>
      </c>
      <c r="B348" s="10932" t="str">
        <f>+IF(A348="","",VLOOKUP(MATCH(A348,tid,0),tao,'12(id)'!$J$20,FALSE))</f>
        <v>NRG</v>
      </c>
      <c r="C348" s="10929" t="str">
        <f t="shared" si="26"/>
        <v>NH10</v>
      </c>
      <c r="E348" s="5132"/>
      <c r="G348" s="6548">
        <f t="shared" si="28"/>
        <v>120</v>
      </c>
      <c r="H348" s="6548">
        <v>122</v>
      </c>
      <c r="I348" s="10958">
        <f>1+I345</f>
        <v>44</v>
      </c>
      <c r="J348" s="10968"/>
      <c r="K348" s="10958">
        <f>+IF(ISNA(VLOOKUP(MATCH(P348,tfn,0),tao,'12(id)'!$K$20,FALSE)),"",IF(J348="NA","",VLOOKUP(MATCH(P348,tfn,0),tao,'12(id)'!$K$20,FALSE)+J348))</f>
        <v>8300</v>
      </c>
      <c r="L348" s="10958">
        <v>10</v>
      </c>
      <c r="M348" s="10958" t="str">
        <f t="shared" si="29"/>
        <v>8300-10</v>
      </c>
      <c r="N348" s="10958" t="str">
        <f>+IF(M348="","",VLOOKUP(MATCH(M348,tid,0),tao,'12(id)'!$Q$20,FALSE))</f>
        <v>NH10</v>
      </c>
      <c r="O348" s="10958"/>
      <c r="P348" s="6549" t="s">
        <v>351</v>
      </c>
      <c r="Q348" s="6550"/>
      <c r="R348" s="6548">
        <v>548</v>
      </c>
      <c r="S348" s="6549" t="s">
        <v>1044</v>
      </c>
      <c r="T348" s="6549"/>
      <c r="U348" s="6550">
        <v>2010</v>
      </c>
      <c r="V348" s="6550"/>
      <c r="W348" s="6548">
        <v>22</v>
      </c>
      <c r="X348" s="6548">
        <v>6</v>
      </c>
      <c r="Y348" s="6551">
        <v>216</v>
      </c>
      <c r="Z348" s="6551" t="s">
        <v>939</v>
      </c>
      <c r="AA348" s="6552">
        <v>1.17</v>
      </c>
      <c r="AB348" s="6553">
        <v>0</v>
      </c>
      <c r="AC348" s="6551">
        <v>13</v>
      </c>
      <c r="AD348" s="6549" t="s">
        <v>961</v>
      </c>
      <c r="AE348" s="6549"/>
      <c r="AF348" s="6549">
        <v>4911</v>
      </c>
      <c r="AG348" s="6549" t="s">
        <v>1008</v>
      </c>
      <c r="AH348" s="6554" t="s">
        <v>1039</v>
      </c>
      <c r="AI348" s="6554" t="s">
        <v>1039</v>
      </c>
      <c r="AJ348" s="6554" t="s">
        <v>1040</v>
      </c>
      <c r="AK348" s="6554" t="s">
        <v>1011</v>
      </c>
      <c r="AL348" s="6554"/>
      <c r="AM348" s="6555"/>
      <c r="AN348" s="6554" t="s">
        <v>1013</v>
      </c>
      <c r="AO348" s="6554" t="s">
        <v>1046</v>
      </c>
      <c r="AP348" s="6554" t="s">
        <v>1047</v>
      </c>
      <c r="AQ348" s="6555"/>
      <c r="AR348" s="6555"/>
      <c r="AS348" s="6549"/>
      <c r="AT348" s="6549"/>
      <c r="AU348" s="6549"/>
      <c r="AV348" s="6549"/>
      <c r="AW348" s="6553">
        <v>232</v>
      </c>
      <c r="AX348" s="5133"/>
      <c r="AY348" s="5132"/>
      <c r="AZ348" s="5132"/>
      <c r="BA348" s="5132"/>
      <c r="BB348" s="5132"/>
    </row>
    <row r="349" spans="1:54" s="6369" customFormat="1" ht="12.75" customHeight="1">
      <c r="A349" s="10959" t="str">
        <f t="shared" si="25"/>
        <v>8300-0</v>
      </c>
      <c r="B349" s="10933" t="e">
        <f>+IF(A349="","",VLOOKUP(MATCH(A349,tid,0),tao,'12(id)'!$J$20,FALSE))</f>
        <v>#N/A</v>
      </c>
      <c r="C349" s="10930" t="e">
        <f t="shared" si="26"/>
        <v>#N/A</v>
      </c>
      <c r="E349" s="5132"/>
      <c r="G349" s="6548">
        <f t="shared" si="28"/>
        <v>121</v>
      </c>
      <c r="H349" s="6548">
        <v>121</v>
      </c>
      <c r="I349" s="10959"/>
      <c r="J349" s="10959"/>
      <c r="K349" s="10959">
        <f>+IF(ISNA(VLOOKUP(MATCH(P349,tfn,0),tao,'12(id)'!$K$20,FALSE)),"",IF(J349="NA","",VLOOKUP(MATCH(P349,tfn,0),tao,'12(id)'!$K$20,FALSE)+J349))</f>
        <v>8300</v>
      </c>
      <c r="L349" s="10959"/>
      <c r="M349" s="10959" t="str">
        <f t="shared" si="29"/>
        <v>8300-0</v>
      </c>
      <c r="N349" s="10959" t="e">
        <f>+IF(M349="","",VLOOKUP(MATCH(M349,tid,0),tao,'12(id)'!$Q$20,FALSE))</f>
        <v>#N/A</v>
      </c>
      <c r="O349" s="10959"/>
      <c r="P349" s="6549" t="s">
        <v>351</v>
      </c>
      <c r="Q349" s="6550"/>
      <c r="R349" s="6548">
        <v>548</v>
      </c>
      <c r="S349" s="6549" t="s">
        <v>1044</v>
      </c>
      <c r="T349" s="6549"/>
      <c r="U349" s="6550">
        <v>2009</v>
      </c>
      <c r="V349" s="6550"/>
      <c r="W349" s="6548">
        <v>6</v>
      </c>
      <c r="X349" s="6548">
        <v>6</v>
      </c>
      <c r="Y349" s="6551">
        <v>55</v>
      </c>
      <c r="Z349" s="6551" t="s">
        <v>939</v>
      </c>
      <c r="AA349" s="6552">
        <v>1.17</v>
      </c>
      <c r="AB349" s="6553">
        <v>0</v>
      </c>
      <c r="AC349" s="6551">
        <v>4</v>
      </c>
      <c r="AD349" s="6549" t="s">
        <v>961</v>
      </c>
      <c r="AE349" s="6549"/>
      <c r="AF349" s="6549">
        <v>4911</v>
      </c>
      <c r="AG349" s="6549" t="s">
        <v>1008</v>
      </c>
      <c r="AH349" s="6555" t="s">
        <v>1039</v>
      </c>
      <c r="AI349" s="6554" t="s">
        <v>1039</v>
      </c>
      <c r="AJ349" s="6555" t="s">
        <v>1040</v>
      </c>
      <c r="AK349" s="6554" t="s">
        <v>1043</v>
      </c>
      <c r="AL349" s="6554"/>
      <c r="AM349" s="6555"/>
      <c r="AN349" s="6555" t="s">
        <v>1013</v>
      </c>
      <c r="AO349" s="6555" t="s">
        <v>1046</v>
      </c>
      <c r="AP349" s="6555" t="s">
        <v>1047</v>
      </c>
      <c r="AQ349" s="6555"/>
      <c r="AR349" s="6555"/>
      <c r="AS349" s="6549"/>
      <c r="AT349" s="6549"/>
      <c r="AU349" s="6549"/>
      <c r="AV349" s="6549"/>
      <c r="AW349" s="6553">
        <v>232</v>
      </c>
      <c r="AX349" s="5133"/>
      <c r="AY349" s="5132"/>
      <c r="AZ349" s="5132"/>
      <c r="BA349" s="5132"/>
      <c r="BB349" s="5132"/>
    </row>
    <row r="350" spans="1:54" s="6369" customFormat="1" ht="12.75" customHeight="1">
      <c r="A350" s="10960" t="str">
        <f t="shared" si="25"/>
        <v>8300-0</v>
      </c>
      <c r="B350" s="10934" t="e">
        <f>+IF(A350="","",VLOOKUP(MATCH(A350,tid,0),tao,'12(id)'!$J$20,FALSE))</f>
        <v>#N/A</v>
      </c>
      <c r="C350" s="10931" t="e">
        <f t="shared" si="26"/>
        <v>#N/A</v>
      </c>
      <c r="E350" s="5132"/>
      <c r="G350" s="6548">
        <f t="shared" si="28"/>
        <v>122</v>
      </c>
      <c r="H350" s="6548">
        <v>120</v>
      </c>
      <c r="I350" s="10960"/>
      <c r="J350" s="10960"/>
      <c r="K350" s="10960">
        <f>+IF(ISNA(VLOOKUP(MATCH(P350,tfn,0),tao,'12(id)'!$K$20,FALSE)),"",IF(J350="NA","",VLOOKUP(MATCH(P350,tfn,0),tao,'12(id)'!$K$20,FALSE)+J350))</f>
        <v>8300</v>
      </c>
      <c r="L350" s="10960"/>
      <c r="M350" s="10960" t="str">
        <f t="shared" si="29"/>
        <v>8300-0</v>
      </c>
      <c r="N350" s="10960" t="e">
        <f>+IF(M350="","",VLOOKUP(MATCH(M350,tid,0),tao,'12(id)'!$Q$20,FALSE))</f>
        <v>#N/A</v>
      </c>
      <c r="O350" s="10960"/>
      <c r="P350" s="6549" t="s">
        <v>351</v>
      </c>
      <c r="Q350" s="6550"/>
      <c r="R350" s="6548">
        <v>548</v>
      </c>
      <c r="S350" s="6549" t="s">
        <v>1044</v>
      </c>
      <c r="T350" s="6549"/>
      <c r="U350" s="6550">
        <v>2008</v>
      </c>
      <c r="V350" s="6550"/>
      <c r="W350" s="6548">
        <v>8</v>
      </c>
      <c r="X350" s="6548">
        <v>6</v>
      </c>
      <c r="Y350" s="6551">
        <v>67</v>
      </c>
      <c r="Z350" s="6551" t="s">
        <v>939</v>
      </c>
      <c r="AA350" s="6552">
        <v>1.18</v>
      </c>
      <c r="AB350" s="6553">
        <v>0.3</v>
      </c>
      <c r="AC350" s="6551">
        <v>468</v>
      </c>
      <c r="AD350" s="6549" t="s">
        <v>961</v>
      </c>
      <c r="AE350" s="6549"/>
      <c r="AF350" s="6549">
        <v>4911</v>
      </c>
      <c r="AG350" s="6549" t="s">
        <v>1008</v>
      </c>
      <c r="AH350" s="6555" t="s">
        <v>1039</v>
      </c>
      <c r="AI350" s="6554" t="s">
        <v>1039</v>
      </c>
      <c r="AJ350" s="6555" t="s">
        <v>1040</v>
      </c>
      <c r="AK350" s="6554" t="s">
        <v>1041</v>
      </c>
      <c r="AL350" s="6554"/>
      <c r="AM350" s="6555"/>
      <c r="AN350" s="6555" t="s">
        <v>1013</v>
      </c>
      <c r="AO350" s="6555" t="s">
        <v>1046</v>
      </c>
      <c r="AP350" s="6555" t="s">
        <v>1047</v>
      </c>
      <c r="AQ350" s="6555"/>
      <c r="AR350" s="6555"/>
      <c r="AS350" s="6549"/>
      <c r="AT350" s="6549"/>
      <c r="AU350" s="6549"/>
      <c r="AV350" s="6549"/>
      <c r="AW350" s="6553">
        <v>232</v>
      </c>
      <c r="AX350" s="5133"/>
      <c r="AY350" s="5132"/>
      <c r="AZ350" s="5132"/>
      <c r="BA350" s="5132"/>
      <c r="BB350" s="5132"/>
    </row>
    <row r="351" spans="1:54" s="6369" customFormat="1" ht="12.75" customHeight="1">
      <c r="A351" s="10958" t="str">
        <f t="shared" si="25"/>
        <v>8306-07</v>
      </c>
      <c r="B351" s="10932" t="str">
        <f>+IF(A351="","",VLOOKUP(MATCH(A351,tid,0),tao,'12(id)'!$J$20,FALSE))</f>
        <v>NRG</v>
      </c>
      <c r="C351" s="10929" t="str">
        <f t="shared" si="26"/>
        <v>NH2 </v>
      </c>
      <c r="E351" s="5132"/>
      <c r="G351" s="6548">
        <f t="shared" si="28"/>
        <v>123</v>
      </c>
      <c r="H351" s="6548">
        <v>125</v>
      </c>
      <c r="I351" s="10958">
        <f>1+I348</f>
        <v>45</v>
      </c>
      <c r="J351" s="10968">
        <v>6</v>
      </c>
      <c r="K351" s="10958">
        <f>+IF(ISNA(VLOOKUP(MATCH(P351,tfn,0),tao,'12(id)'!$K$20,FALSE)),"",IF(J351="NA","",VLOOKUP(MATCH(P351,tfn,0),tao,'12(id)'!$K$20,FALSE)+J351))</f>
        <v>8306</v>
      </c>
      <c r="L351" s="10958">
        <v>7</v>
      </c>
      <c r="M351" s="10958" t="str">
        <f t="shared" si="29"/>
        <v>8306-07</v>
      </c>
      <c r="N351" s="10958" t="str">
        <f>+IF(M351="","",VLOOKUP(MATCH(M351,tid,0),tao,'12(id)'!$Q$20,FALSE))</f>
        <v>NH2 </v>
      </c>
      <c r="O351" s="10958"/>
      <c r="P351" s="6549" t="s">
        <v>351</v>
      </c>
      <c r="Q351" s="6550"/>
      <c r="R351" s="6548">
        <v>548</v>
      </c>
      <c r="S351" s="6549" t="s">
        <v>1049</v>
      </c>
      <c r="T351" s="6549" t="s">
        <v>1038</v>
      </c>
      <c r="U351" s="6550">
        <v>2010</v>
      </c>
      <c r="V351" s="6550"/>
      <c r="W351" s="6548">
        <v>928</v>
      </c>
      <c r="X351" s="6548">
        <v>12</v>
      </c>
      <c r="Y351" s="6551">
        <v>45429</v>
      </c>
      <c r="Z351" s="6551" t="s">
        <v>939</v>
      </c>
      <c r="AA351" s="6552">
        <v>0.13</v>
      </c>
      <c r="AB351" s="6553">
        <v>43.9</v>
      </c>
      <c r="AC351" s="6551">
        <v>533193</v>
      </c>
      <c r="AD351" s="6549" t="s">
        <v>961</v>
      </c>
      <c r="AE351" s="6549"/>
      <c r="AF351" s="6549">
        <v>4911</v>
      </c>
      <c r="AG351" s="6549" t="s">
        <v>1008</v>
      </c>
      <c r="AH351" s="6554" t="s">
        <v>1039</v>
      </c>
      <c r="AI351" s="6554" t="s">
        <v>1039</v>
      </c>
      <c r="AJ351" s="6554" t="s">
        <v>1040</v>
      </c>
      <c r="AK351" s="6554" t="s">
        <v>1011</v>
      </c>
      <c r="AL351" s="6554"/>
      <c r="AM351" s="6555"/>
      <c r="AN351" s="6554" t="s">
        <v>1013</v>
      </c>
      <c r="AO351" s="6554" t="s">
        <v>1014</v>
      </c>
      <c r="AP351" s="6554" t="s">
        <v>1015</v>
      </c>
      <c r="AQ351" s="6555"/>
      <c r="AR351" s="6555"/>
      <c r="AS351" s="6549" t="s">
        <v>1042</v>
      </c>
      <c r="AT351" s="6549"/>
      <c r="AU351" s="6549"/>
      <c r="AV351" s="6549" t="s">
        <v>122</v>
      </c>
      <c r="AW351" s="6553">
        <v>1776</v>
      </c>
      <c r="AX351" s="5133"/>
      <c r="AY351" s="5132"/>
      <c r="AZ351" s="5132"/>
      <c r="BA351" s="5132"/>
      <c r="BB351" s="5132"/>
    </row>
    <row r="352" spans="1:54" s="6369" customFormat="1" ht="12.75" customHeight="1">
      <c r="A352" s="10959" t="str">
        <f t="shared" si="25"/>
        <v>8300-07</v>
      </c>
      <c r="B352" s="10933" t="str">
        <f>+IF(A352="","",VLOOKUP(MATCH(A352,tid,0),tao,'12(id)'!$J$20,FALSE))</f>
        <v>NRG</v>
      </c>
      <c r="C352" s="10930" t="str">
        <f t="shared" si="26"/>
        <v>FD10</v>
      </c>
      <c r="E352" s="5132"/>
      <c r="G352" s="6548">
        <f t="shared" si="28"/>
        <v>124</v>
      </c>
      <c r="H352" s="6548">
        <v>124</v>
      </c>
      <c r="I352" s="10959"/>
      <c r="J352" s="10959"/>
      <c r="K352" s="10959">
        <f>+IF(ISNA(VLOOKUP(MATCH(P352,tfn,0),tao,'12(id)'!$K$20,FALSE)),"",IF(J352="NA","",VLOOKUP(MATCH(P352,tfn,0),tao,'12(id)'!$K$20,FALSE)+J352))</f>
        <v>8300</v>
      </c>
      <c r="L352" s="10959">
        <f>+L351</f>
        <v>7</v>
      </c>
      <c r="M352" s="10959" t="str">
        <f t="shared" si="29"/>
        <v>8300-07</v>
      </c>
      <c r="N352" s="10959" t="str">
        <f>+IF(M352="","",VLOOKUP(MATCH(M352,tid,0),tao,'12(id)'!$Q$20,FALSE))</f>
        <v>FD10</v>
      </c>
      <c r="O352" s="10959"/>
      <c r="P352" s="6549" t="s">
        <v>351</v>
      </c>
      <c r="Q352" s="6550"/>
      <c r="R352" s="6548">
        <v>548</v>
      </c>
      <c r="S352" s="6549" t="s">
        <v>1049</v>
      </c>
      <c r="T352" s="6549" t="s">
        <v>1038</v>
      </c>
      <c r="U352" s="6550">
        <v>2009</v>
      </c>
      <c r="V352" s="6550"/>
      <c r="W352" s="6548">
        <v>458</v>
      </c>
      <c r="X352" s="6548">
        <v>12</v>
      </c>
      <c r="Y352" s="6551">
        <v>23327</v>
      </c>
      <c r="Z352" s="6551" t="s">
        <v>939</v>
      </c>
      <c r="AA352" s="6552">
        <v>0.12</v>
      </c>
      <c r="AB352" s="6553">
        <v>22.7</v>
      </c>
      <c r="AC352" s="6551">
        <v>292868</v>
      </c>
      <c r="AD352" s="6549" t="s">
        <v>961</v>
      </c>
      <c r="AE352" s="6549"/>
      <c r="AF352" s="6549">
        <v>4911</v>
      </c>
      <c r="AG352" s="6549" t="s">
        <v>1008</v>
      </c>
      <c r="AH352" s="6555" t="s">
        <v>1039</v>
      </c>
      <c r="AI352" s="6554" t="s">
        <v>1039</v>
      </c>
      <c r="AJ352" s="6555" t="s">
        <v>1040</v>
      </c>
      <c r="AK352" s="6554" t="s">
        <v>1043</v>
      </c>
      <c r="AL352" s="6554"/>
      <c r="AM352" s="6555"/>
      <c r="AN352" s="6555" t="s">
        <v>1013</v>
      </c>
      <c r="AO352" s="6555" t="s">
        <v>1014</v>
      </c>
      <c r="AP352" s="6555" t="s">
        <v>1015</v>
      </c>
      <c r="AQ352" s="6555"/>
      <c r="AR352" s="6555"/>
      <c r="AS352" s="6549" t="s">
        <v>1042</v>
      </c>
      <c r="AT352" s="6549"/>
      <c r="AU352" s="6549"/>
      <c r="AV352" s="6549" t="s">
        <v>122</v>
      </c>
      <c r="AW352" s="6553">
        <v>1776</v>
      </c>
      <c r="AX352" s="5133"/>
      <c r="AY352" s="5132"/>
      <c r="AZ352" s="5132"/>
      <c r="BA352" s="5132"/>
      <c r="BB352" s="5132"/>
    </row>
    <row r="353" spans="1:54" s="6369" customFormat="1" ht="12.75" customHeight="1">
      <c r="A353" s="10960" t="str">
        <f t="shared" si="25"/>
        <v>8300-07</v>
      </c>
      <c r="B353" s="10934" t="str">
        <f>+IF(A353="","",VLOOKUP(MATCH(A353,tid,0),tao,'12(id)'!$J$20,FALSE))</f>
        <v>NRG</v>
      </c>
      <c r="C353" s="10931" t="str">
        <f t="shared" si="26"/>
        <v>FD10</v>
      </c>
      <c r="E353" s="5132"/>
      <c r="G353" s="6548">
        <f t="shared" si="28"/>
        <v>125</v>
      </c>
      <c r="H353" s="6548">
        <v>123</v>
      </c>
      <c r="I353" s="10960"/>
      <c r="J353" s="10960"/>
      <c r="K353" s="10960">
        <f>+IF(ISNA(VLOOKUP(MATCH(P353,tfn,0),tao,'12(id)'!$K$20,FALSE)),"",IF(J353="NA","",VLOOKUP(MATCH(P353,tfn,0),tao,'12(id)'!$K$20,FALSE)+J353))</f>
        <v>8300</v>
      </c>
      <c r="L353" s="10960">
        <f>+L352</f>
        <v>7</v>
      </c>
      <c r="M353" s="10960" t="str">
        <f t="shared" si="29"/>
        <v>8300-07</v>
      </c>
      <c r="N353" s="10960" t="str">
        <f>+IF(M353="","",VLOOKUP(MATCH(M353,tid,0),tao,'12(id)'!$Q$20,FALSE))</f>
        <v>FD10</v>
      </c>
      <c r="O353" s="10960"/>
      <c r="P353" s="6549" t="s">
        <v>351</v>
      </c>
      <c r="Q353" s="6550"/>
      <c r="R353" s="6548">
        <v>548</v>
      </c>
      <c r="S353" s="6549" t="s">
        <v>1049</v>
      </c>
      <c r="T353" s="6549" t="s">
        <v>1038</v>
      </c>
      <c r="U353" s="6550">
        <v>2008</v>
      </c>
      <c r="V353" s="6550"/>
      <c r="W353" s="6548">
        <v>2981</v>
      </c>
      <c r="X353" s="6548">
        <v>12</v>
      </c>
      <c r="Y353" s="6551">
        <v>151100</v>
      </c>
      <c r="Z353" s="6551" t="s">
        <v>939</v>
      </c>
      <c r="AA353" s="6552">
        <v>0.13</v>
      </c>
      <c r="AB353" s="6553">
        <v>160.4</v>
      </c>
      <c r="AC353" s="6551">
        <v>2033661</v>
      </c>
      <c r="AD353" s="6549" t="s">
        <v>961</v>
      </c>
      <c r="AE353" s="6549"/>
      <c r="AF353" s="6549">
        <v>4911</v>
      </c>
      <c r="AG353" s="6549" t="s">
        <v>1008</v>
      </c>
      <c r="AH353" s="6555" t="s">
        <v>1039</v>
      </c>
      <c r="AI353" s="6554" t="s">
        <v>1039</v>
      </c>
      <c r="AJ353" s="6555" t="s">
        <v>1040</v>
      </c>
      <c r="AK353" s="6554" t="s">
        <v>1041</v>
      </c>
      <c r="AL353" s="6554"/>
      <c r="AM353" s="6555"/>
      <c r="AN353" s="6555" t="s">
        <v>1013</v>
      </c>
      <c r="AO353" s="6555" t="s">
        <v>1014</v>
      </c>
      <c r="AP353" s="6555" t="s">
        <v>1015</v>
      </c>
      <c r="AQ353" s="6555"/>
      <c r="AR353" s="6555"/>
      <c r="AS353" s="6549" t="s">
        <v>1042</v>
      </c>
      <c r="AT353" s="6549"/>
      <c r="AU353" s="6549"/>
      <c r="AV353" s="6549" t="s">
        <v>122</v>
      </c>
      <c r="AW353" s="6553">
        <v>1776</v>
      </c>
      <c r="AX353" s="5133"/>
      <c r="AY353" s="5132"/>
      <c r="AZ353" s="5132"/>
      <c r="BA353" s="5132"/>
      <c r="BB353" s="5132"/>
    </row>
    <row r="354" spans="1:54" s="6369" customFormat="1" ht="12.75" customHeight="1">
      <c r="A354" s="10958" t="str">
        <f t="shared" si="25"/>
        <v>8304-01</v>
      </c>
      <c r="B354" s="10932" t="str">
        <f>+IF(A354="","",VLOOKUP(MATCH(A354,tid,0),tao,'12(id)'!$J$20,FALSE))</f>
        <v>NPU</v>
      </c>
      <c r="C354" s="10929" t="str">
        <f t="shared" si="26"/>
        <v>TRBINE</v>
      </c>
      <c r="E354" s="5132"/>
      <c r="G354" s="6548">
        <f t="shared" si="28"/>
        <v>126</v>
      </c>
      <c r="H354" s="6548">
        <v>128</v>
      </c>
      <c r="I354" s="10958">
        <f>1+I351</f>
        <v>46</v>
      </c>
      <c r="J354" s="10968"/>
      <c r="K354" s="10958">
        <f>+IF(ISNA(VLOOKUP(MATCH(P354,tfn,0),tao,'12(id)'!$K$20,FALSE)),"",IF(J354="NA","",VLOOKUP(MATCH(P354,tfn,0),tao,'12(id)'!$K$20,FALSE)+J354))</f>
        <v>8304</v>
      </c>
      <c r="L354" s="10958">
        <v>1</v>
      </c>
      <c r="M354" s="10958" t="str">
        <f t="shared" si="29"/>
        <v>8304-01</v>
      </c>
      <c r="N354" s="10958" t="str">
        <f>+IF(M354="","",VLOOKUP(MATCH(M354,tid,0),tao,'12(id)'!$Q$20,FALSE))</f>
        <v>TRBINE</v>
      </c>
      <c r="O354" s="10958"/>
      <c r="P354" s="6549" t="s">
        <v>496</v>
      </c>
      <c r="Q354" s="6550"/>
      <c r="R354" s="6548">
        <v>581</v>
      </c>
      <c r="S354" s="6549" t="s">
        <v>1050</v>
      </c>
      <c r="T354" s="6549"/>
      <c r="U354" s="6550">
        <v>2010</v>
      </c>
      <c r="V354" s="6550"/>
      <c r="W354" s="6548">
        <v>19</v>
      </c>
      <c r="X354" s="6548">
        <v>6</v>
      </c>
      <c r="Y354" s="6551">
        <v>327</v>
      </c>
      <c r="Z354" s="6551" t="s">
        <v>939</v>
      </c>
      <c r="AA354" s="6552">
        <v>0.62</v>
      </c>
      <c r="AB354" s="6553">
        <v>1.5</v>
      </c>
      <c r="AC354" s="6551">
        <v>4811</v>
      </c>
      <c r="AD354" s="6549" t="s">
        <v>961</v>
      </c>
      <c r="AE354" s="6549"/>
      <c r="AF354" s="6549">
        <v>4911</v>
      </c>
      <c r="AG354" s="6549" t="s">
        <v>1008</v>
      </c>
      <c r="AH354" s="6554" t="s">
        <v>1051</v>
      </c>
      <c r="AI354" s="6554" t="s">
        <v>1051</v>
      </c>
      <c r="AJ354" s="6554" t="s">
        <v>1056</v>
      </c>
      <c r="AK354" s="6554" t="s">
        <v>1057</v>
      </c>
      <c r="AL354" s="6554"/>
      <c r="AM354" s="6555"/>
      <c r="AN354" s="6554" t="s">
        <v>1013</v>
      </c>
      <c r="AO354" s="6554" t="s">
        <v>1054</v>
      </c>
      <c r="AP354" s="6554" t="s">
        <v>962</v>
      </c>
      <c r="AQ354" s="6555"/>
      <c r="AR354" s="6555"/>
      <c r="AS354" s="6549"/>
      <c r="AT354" s="6549"/>
      <c r="AU354" s="6549"/>
      <c r="AV354" s="6549"/>
      <c r="AW354" s="6553">
        <v>249</v>
      </c>
      <c r="AX354" s="5133"/>
      <c r="AY354" s="5132"/>
      <c r="AZ354" s="5132"/>
      <c r="BA354" s="5132"/>
      <c r="BB354" s="5132"/>
    </row>
    <row r="355" spans="1:54" s="6369" customFormat="1" ht="12.75" customHeight="1">
      <c r="A355" s="10959" t="str">
        <f t="shared" si="25"/>
        <v>8304-01</v>
      </c>
      <c r="B355" s="10933" t="str">
        <f>+IF(A355="","",VLOOKUP(MATCH(A355,tid,0),tao,'12(id)'!$J$20,FALSE))</f>
        <v>NPU</v>
      </c>
      <c r="C355" s="10930" t="str">
        <f t="shared" si="26"/>
        <v>TRBINE</v>
      </c>
      <c r="E355" s="5132"/>
      <c r="G355" s="6548">
        <f t="shared" si="28"/>
        <v>127</v>
      </c>
      <c r="H355" s="6548">
        <v>127</v>
      </c>
      <c r="I355" s="10959"/>
      <c r="J355" s="10959"/>
      <c r="K355" s="10959">
        <f>+IF(ISNA(VLOOKUP(MATCH(P355,tfn,0),tao,'12(id)'!$K$20,FALSE)),"",IF(J355="NA","",VLOOKUP(MATCH(P355,tfn,0),tao,'12(id)'!$K$20,FALSE)+J355))</f>
        <v>8304</v>
      </c>
      <c r="L355" s="10959">
        <f>+L354</f>
        <v>1</v>
      </c>
      <c r="M355" s="10959" t="str">
        <f t="shared" si="29"/>
        <v>8304-01</v>
      </c>
      <c r="N355" s="10959" t="str">
        <f>+IF(M355="","",VLOOKUP(MATCH(M355,tid,0),tao,'12(id)'!$Q$20,FALSE))</f>
        <v>TRBINE</v>
      </c>
      <c r="O355" s="10959"/>
      <c r="P355" s="6549" t="s">
        <v>496</v>
      </c>
      <c r="Q355" s="6550"/>
      <c r="R355" s="6548">
        <v>581</v>
      </c>
      <c r="S355" s="6549" t="s">
        <v>1050</v>
      </c>
      <c r="T355" s="6549"/>
      <c r="U355" s="6550">
        <v>2009</v>
      </c>
      <c r="V355" s="6550"/>
      <c r="W355" s="6548">
        <v>15</v>
      </c>
      <c r="X355" s="6548">
        <v>6</v>
      </c>
      <c r="Y355" s="6551">
        <v>225</v>
      </c>
      <c r="Z355" s="6551" t="s">
        <v>939</v>
      </c>
      <c r="AA355" s="6552">
        <v>0.62</v>
      </c>
      <c r="AB355" s="6553">
        <v>1.2</v>
      </c>
      <c r="AC355" s="6551">
        <v>3782</v>
      </c>
      <c r="AD355" s="6549" t="s">
        <v>961</v>
      </c>
      <c r="AE355" s="6549"/>
      <c r="AF355" s="6549">
        <v>4911</v>
      </c>
      <c r="AG355" s="6549" t="s">
        <v>1008</v>
      </c>
      <c r="AH355" s="6554" t="s">
        <v>1051</v>
      </c>
      <c r="AI355" s="6554" t="s">
        <v>1051</v>
      </c>
      <c r="AJ355" s="6554" t="s">
        <v>1056</v>
      </c>
      <c r="AK355" s="6554" t="s">
        <v>1057</v>
      </c>
      <c r="AL355" s="6554"/>
      <c r="AM355" s="6555"/>
      <c r="AN355" s="6554" t="s">
        <v>1013</v>
      </c>
      <c r="AO355" s="6554" t="s">
        <v>1054</v>
      </c>
      <c r="AP355" s="6554" t="s">
        <v>962</v>
      </c>
      <c r="AQ355" s="6555"/>
      <c r="AR355" s="6555"/>
      <c r="AS355" s="6549"/>
      <c r="AT355" s="6549"/>
      <c r="AU355" s="6549"/>
      <c r="AV355" s="6549"/>
      <c r="AW355" s="6553">
        <v>249</v>
      </c>
      <c r="AX355" s="5133"/>
      <c r="AY355" s="5132"/>
      <c r="AZ355" s="5132"/>
      <c r="BA355" s="5132"/>
      <c r="BB355" s="5132"/>
    </row>
    <row r="356" spans="1:54" s="6369" customFormat="1" ht="12.75" customHeight="1">
      <c r="A356" s="10960" t="str">
        <f t="shared" si="25"/>
        <v>8304-01</v>
      </c>
      <c r="B356" s="10934" t="str">
        <f>+IF(A356="","",VLOOKUP(MATCH(A356,tid,0),tao,'12(id)'!$J$20,FALSE))</f>
        <v>NPU</v>
      </c>
      <c r="C356" s="10931" t="str">
        <f t="shared" si="26"/>
        <v>TRBINE</v>
      </c>
      <c r="E356" s="5132"/>
      <c r="G356" s="6548">
        <f t="shared" si="28"/>
        <v>128</v>
      </c>
      <c r="H356" s="6548">
        <v>126</v>
      </c>
      <c r="I356" s="10960"/>
      <c r="J356" s="10960"/>
      <c r="K356" s="10960">
        <f>+IF(ISNA(VLOOKUP(MATCH(P356,tfn,0),tao,'12(id)'!$K$20,FALSE)),"",IF(J356="NA","",VLOOKUP(MATCH(P356,tfn,0),tao,'12(id)'!$K$20,FALSE)+J356))</f>
        <v>8304</v>
      </c>
      <c r="L356" s="10960">
        <f>+L355</f>
        <v>1</v>
      </c>
      <c r="M356" s="10960" t="str">
        <f t="shared" si="29"/>
        <v>8304-01</v>
      </c>
      <c r="N356" s="10960" t="str">
        <f>+IF(M356="","",VLOOKUP(MATCH(M356,tid,0),tao,'12(id)'!$Q$20,FALSE))</f>
        <v>TRBINE</v>
      </c>
      <c r="O356" s="10960"/>
      <c r="P356" s="6549" t="s">
        <v>496</v>
      </c>
      <c r="Q356" s="6550"/>
      <c r="R356" s="6548">
        <v>581</v>
      </c>
      <c r="S356" s="6549" t="s">
        <v>1050</v>
      </c>
      <c r="T356" s="6549"/>
      <c r="U356" s="6550">
        <v>2008</v>
      </c>
      <c r="V356" s="6550"/>
      <c r="W356" s="6548">
        <v>10</v>
      </c>
      <c r="X356" s="6548">
        <v>6</v>
      </c>
      <c r="Y356" s="6551">
        <v>151</v>
      </c>
      <c r="Z356" s="6551" t="s">
        <v>939</v>
      </c>
      <c r="AA356" s="6552">
        <v>0.56999999999999995</v>
      </c>
      <c r="AB356" s="6553">
        <v>0.7</v>
      </c>
      <c r="AC356" s="6551">
        <v>2595</v>
      </c>
      <c r="AD356" s="6549" t="s">
        <v>961</v>
      </c>
      <c r="AE356" s="6549"/>
      <c r="AF356" s="6549">
        <v>4911</v>
      </c>
      <c r="AG356" s="6549" t="s">
        <v>1008</v>
      </c>
      <c r="AH356" s="6554" t="s">
        <v>1051</v>
      </c>
      <c r="AI356" s="6554" t="s">
        <v>1051</v>
      </c>
      <c r="AJ356" s="6554" t="s">
        <v>1052</v>
      </c>
      <c r="AK356" s="6554" t="s">
        <v>1053</v>
      </c>
      <c r="AL356" s="6554"/>
      <c r="AM356" s="6555"/>
      <c r="AN356" s="6554" t="s">
        <v>1013</v>
      </c>
      <c r="AO356" s="6554" t="s">
        <v>1054</v>
      </c>
      <c r="AP356" s="6554" t="s">
        <v>962</v>
      </c>
      <c r="AQ356" s="6555"/>
      <c r="AR356" s="6555"/>
      <c r="AS356" s="6549"/>
      <c r="AT356" s="6549"/>
      <c r="AU356" s="6549"/>
      <c r="AV356" s="6549"/>
      <c r="AW356" s="6553">
        <v>249</v>
      </c>
      <c r="AX356" s="5133"/>
      <c r="AY356" s="5132"/>
      <c r="AZ356" s="5132"/>
      <c r="BA356" s="5132"/>
      <c r="BB356" s="5132"/>
    </row>
    <row r="357" spans="1:54" ht="12.75" customHeight="1">
      <c r="A357" s="10955" t="str">
        <f t="shared" si="25"/>
        <v/>
      </c>
      <c r="B357" s="10938" t="str">
        <f>+IF(A357="","",VLOOKUP(MATCH(A357,tid,0),tao,'12(id)'!$J$20,FALSE))</f>
        <v/>
      </c>
      <c r="C357" s="10935" t="str">
        <f t="shared" si="26"/>
        <v/>
      </c>
      <c r="D357" s="5133"/>
      <c r="F357" s="5133"/>
      <c r="G357" s="6489">
        <f t="shared" si="28"/>
        <v>129</v>
      </c>
      <c r="H357" s="6489">
        <v>131</v>
      </c>
      <c r="I357" s="10955">
        <f>1+I354</f>
        <v>47</v>
      </c>
      <c r="J357" s="10969"/>
      <c r="K357" s="10955" t="str">
        <f>+IF(ISNA(VLOOKUP(MATCH(P357,tfn,0),tao,'12(id)'!$K$20,FALSE)),"",IF(J357="NA","",VLOOKUP(MATCH(P357,tfn,0),tao,'12(id)'!$K$20,FALSE)+J357))</f>
        <v/>
      </c>
      <c r="L357" s="10955"/>
      <c r="M357" s="10955" t="str">
        <f t="shared" si="29"/>
        <v/>
      </c>
      <c r="N357" s="10955" t="str">
        <f>+IF(M357="","",VLOOKUP(MATCH(M357,tid,0),tao,'12(id)'!$Q$20,FALSE))</f>
        <v/>
      </c>
      <c r="O357" s="10955"/>
      <c r="P357" s="6490" t="s">
        <v>352</v>
      </c>
      <c r="Q357" s="6491"/>
      <c r="R357" s="6489">
        <v>54236</v>
      </c>
      <c r="S357" s="6490" t="s">
        <v>1025</v>
      </c>
      <c r="T357" s="6490"/>
      <c r="U357" s="6491">
        <v>2010</v>
      </c>
      <c r="V357" s="6491"/>
      <c r="W357" s="6489">
        <v>2565</v>
      </c>
      <c r="X357" s="6489">
        <v>12</v>
      </c>
      <c r="Y357" s="6492" t="s">
        <v>939</v>
      </c>
      <c r="Z357" s="6492">
        <v>289584</v>
      </c>
      <c r="AA357" s="6493">
        <v>0.12</v>
      </c>
      <c r="AB357" s="6494">
        <v>22</v>
      </c>
      <c r="AC357" s="6492">
        <v>350918</v>
      </c>
      <c r="AD357" s="6490" t="s">
        <v>159</v>
      </c>
      <c r="AE357" s="6490"/>
      <c r="AF357" s="6490">
        <v>2834</v>
      </c>
      <c r="AG357" s="6490" t="s">
        <v>1058</v>
      </c>
      <c r="AH357" s="6495" t="s">
        <v>1059</v>
      </c>
      <c r="AI357" s="6495" t="s">
        <v>1059</v>
      </c>
      <c r="AJ357" s="6495" t="s">
        <v>1060</v>
      </c>
      <c r="AK357" s="6495" t="s">
        <v>1063</v>
      </c>
      <c r="AL357" s="6495"/>
      <c r="AM357" s="6496"/>
      <c r="AN357" s="6495" t="s">
        <v>1013</v>
      </c>
      <c r="AO357" s="6495" t="s">
        <v>1062</v>
      </c>
      <c r="AP357" s="6495" t="s">
        <v>1015</v>
      </c>
      <c r="AQ357" s="6495" t="s">
        <v>1021</v>
      </c>
      <c r="AR357" s="6496"/>
      <c r="AS357" s="6490"/>
      <c r="AT357" s="6490"/>
      <c r="AU357" s="6490"/>
      <c r="AV357" s="6490"/>
      <c r="AW357" s="6494">
        <v>501.6</v>
      </c>
      <c r="AX357" s="5133"/>
    </row>
    <row r="358" spans="1:54" ht="12.75" customHeight="1">
      <c r="A358" s="10956" t="str">
        <f t="shared" si="25"/>
        <v/>
      </c>
      <c r="B358" s="10939" t="str">
        <f>+IF(A358="","",VLOOKUP(MATCH(A358,tid,0),tao,'12(id)'!$J$20,FALSE))</f>
        <v/>
      </c>
      <c r="C358" s="10936" t="str">
        <f t="shared" si="26"/>
        <v/>
      </c>
      <c r="D358" s="5133"/>
      <c r="F358" s="5133"/>
      <c r="G358" s="6489">
        <f t="shared" ref="G358:G389" si="30">1+G357</f>
        <v>130</v>
      </c>
      <c r="H358" s="6489">
        <v>130</v>
      </c>
      <c r="I358" s="10956"/>
      <c r="J358" s="10956"/>
      <c r="K358" s="10956" t="str">
        <f>+IF(ISNA(VLOOKUP(MATCH(P358,tfn,0),tao,'12(id)'!$K$20,FALSE)),"",IF(J358="NA","",VLOOKUP(MATCH(P358,tfn,0),tao,'12(id)'!$K$20,FALSE)+J358))</f>
        <v/>
      </c>
      <c r="L358" s="10956"/>
      <c r="M358" s="10956" t="str">
        <f t="shared" si="29"/>
        <v/>
      </c>
      <c r="N358" s="10956" t="str">
        <f>+IF(M358="","",VLOOKUP(MATCH(M358,tid,0),tao,'12(id)'!$Q$20,FALSE))</f>
        <v/>
      </c>
      <c r="O358" s="10956"/>
      <c r="P358" s="6490" t="s">
        <v>352</v>
      </c>
      <c r="Q358" s="6491"/>
      <c r="R358" s="6489">
        <v>54236</v>
      </c>
      <c r="S358" s="6490" t="s">
        <v>1025</v>
      </c>
      <c r="T358" s="6490"/>
      <c r="U358" s="6491">
        <v>2009</v>
      </c>
      <c r="V358" s="6491"/>
      <c r="W358" s="6489">
        <v>4458</v>
      </c>
      <c r="X358" s="6489">
        <v>12</v>
      </c>
      <c r="Y358" s="6492" t="s">
        <v>939</v>
      </c>
      <c r="Z358" s="6492">
        <v>539830</v>
      </c>
      <c r="AA358" s="6493">
        <v>0.19</v>
      </c>
      <c r="AB358" s="6494">
        <v>59.6</v>
      </c>
      <c r="AC358" s="6492">
        <v>616500</v>
      </c>
      <c r="AD358" s="6490" t="s">
        <v>159</v>
      </c>
      <c r="AE358" s="6490"/>
      <c r="AF358" s="6490">
        <v>2834</v>
      </c>
      <c r="AG358" s="6490" t="s">
        <v>1058</v>
      </c>
      <c r="AH358" s="6495" t="s">
        <v>1059</v>
      </c>
      <c r="AI358" s="6495" t="s">
        <v>1059</v>
      </c>
      <c r="AJ358" s="6495" t="s">
        <v>1060</v>
      </c>
      <c r="AK358" s="6495" t="s">
        <v>1063</v>
      </c>
      <c r="AL358" s="6495"/>
      <c r="AM358" s="6496"/>
      <c r="AN358" s="6495" t="s">
        <v>1013</v>
      </c>
      <c r="AO358" s="6495" t="s">
        <v>1062</v>
      </c>
      <c r="AP358" s="6495" t="s">
        <v>1015</v>
      </c>
      <c r="AQ358" s="6495" t="s">
        <v>1021</v>
      </c>
      <c r="AR358" s="6496"/>
      <c r="AS358" s="6490"/>
      <c r="AT358" s="6490"/>
      <c r="AU358" s="6490"/>
      <c r="AV358" s="6490"/>
      <c r="AW358" s="6494">
        <v>501.6</v>
      </c>
      <c r="AX358" s="5133"/>
    </row>
    <row r="359" spans="1:54" ht="12.75" customHeight="1">
      <c r="A359" s="10957" t="str">
        <f t="shared" si="25"/>
        <v/>
      </c>
      <c r="B359" s="10940" t="str">
        <f>+IF(A359="","",VLOOKUP(MATCH(A359,tid,0),tao,'12(id)'!$J$20,FALSE))</f>
        <v/>
      </c>
      <c r="C359" s="10937" t="str">
        <f t="shared" si="26"/>
        <v/>
      </c>
      <c r="D359" s="5133"/>
      <c r="F359" s="5133"/>
      <c r="G359" s="6489">
        <f t="shared" si="30"/>
        <v>131</v>
      </c>
      <c r="H359" s="6489">
        <v>129</v>
      </c>
      <c r="I359" s="10957"/>
      <c r="J359" s="10957"/>
      <c r="K359" s="10957" t="str">
        <f>+IF(ISNA(VLOOKUP(MATCH(P359,tfn,0),tao,'12(id)'!$K$20,FALSE)),"",IF(J359="NA","",VLOOKUP(MATCH(P359,tfn,0),tao,'12(id)'!$K$20,FALSE)+J359))</f>
        <v/>
      </c>
      <c r="L359" s="10957"/>
      <c r="M359" s="10957" t="str">
        <f t="shared" si="29"/>
        <v/>
      </c>
      <c r="N359" s="10957" t="str">
        <f>+IF(M359="","",VLOOKUP(MATCH(M359,tid,0),tao,'12(id)'!$Q$20,FALSE))</f>
        <v/>
      </c>
      <c r="O359" s="10957"/>
      <c r="P359" s="6490" t="s">
        <v>352</v>
      </c>
      <c r="Q359" s="6491"/>
      <c r="R359" s="6489">
        <v>54236</v>
      </c>
      <c r="S359" s="6490" t="s">
        <v>1025</v>
      </c>
      <c r="T359" s="6490"/>
      <c r="U359" s="6491">
        <v>2008</v>
      </c>
      <c r="V359" s="6491"/>
      <c r="W359" s="6489">
        <v>2230</v>
      </c>
      <c r="X359" s="6489">
        <v>12</v>
      </c>
      <c r="Y359" s="6492" t="s">
        <v>939</v>
      </c>
      <c r="Z359" s="6492">
        <v>297220</v>
      </c>
      <c r="AA359" s="6493">
        <v>0.12</v>
      </c>
      <c r="AB359" s="6494">
        <v>25.2</v>
      </c>
      <c r="AC359" s="6492">
        <v>385960</v>
      </c>
      <c r="AD359" s="6490" t="s">
        <v>159</v>
      </c>
      <c r="AE359" s="6490"/>
      <c r="AF359" s="6490">
        <v>2834</v>
      </c>
      <c r="AG359" s="6490" t="s">
        <v>1058</v>
      </c>
      <c r="AH359" s="6496" t="s">
        <v>1059</v>
      </c>
      <c r="AI359" s="6495" t="s">
        <v>1059</v>
      </c>
      <c r="AJ359" s="6496" t="s">
        <v>1060</v>
      </c>
      <c r="AK359" s="6495" t="s">
        <v>1061</v>
      </c>
      <c r="AL359" s="6495"/>
      <c r="AM359" s="6496"/>
      <c r="AN359" s="6496" t="s">
        <v>1013</v>
      </c>
      <c r="AO359" s="6496" t="s">
        <v>1062</v>
      </c>
      <c r="AP359" s="6496" t="s">
        <v>1015</v>
      </c>
      <c r="AQ359" s="6496" t="s">
        <v>1021</v>
      </c>
      <c r="AR359" s="6496"/>
      <c r="AS359" s="6490"/>
      <c r="AT359" s="6490"/>
      <c r="AU359" s="6490"/>
      <c r="AV359" s="6490"/>
      <c r="AW359" s="6494">
        <v>501.6</v>
      </c>
      <c r="AX359" s="5133"/>
    </row>
    <row r="360" spans="1:54" ht="12.75" customHeight="1">
      <c r="A360" s="6491" t="str">
        <f t="shared" si="25"/>
        <v/>
      </c>
      <c r="B360" s="6490" t="str">
        <f>+IF(A360="","",VLOOKUP(MATCH(A360,tid,0),tao,'12(id)'!$J$20,FALSE))</f>
        <v/>
      </c>
      <c r="C360" s="6517" t="str">
        <f t="shared" si="26"/>
        <v/>
      </c>
      <c r="D360" s="5133"/>
      <c r="F360" s="5133"/>
      <c r="G360" s="6489">
        <f t="shared" si="30"/>
        <v>132</v>
      </c>
      <c r="H360" s="6489">
        <v>132</v>
      </c>
      <c r="I360" s="6491">
        <f>1+I357</f>
        <v>48</v>
      </c>
      <c r="J360" s="6489"/>
      <c r="K360" s="6491" t="str">
        <f>+IF(ISNA(VLOOKUP(MATCH(P360,tfn,0),tao,'12(id)'!$K$20,FALSE)),"",IF(J360="NA","",VLOOKUP(MATCH(P360,tfn,0),tao,'12(id)'!$K$20,FALSE)+J360))</f>
        <v/>
      </c>
      <c r="L360" s="6491"/>
      <c r="M360" s="6491" t="str">
        <f t="shared" si="29"/>
        <v/>
      </c>
      <c r="N360" s="6491" t="str">
        <f>+IF(M360="","",VLOOKUP(MATCH(M360,tid,0),tao,'12(id)'!$Q$20,FALSE))</f>
        <v/>
      </c>
      <c r="O360" s="6491"/>
      <c r="P360" s="6490" t="s">
        <v>352</v>
      </c>
      <c r="Q360" s="6491"/>
      <c r="R360" s="6489">
        <v>54236</v>
      </c>
      <c r="S360" s="6490" t="s">
        <v>1045</v>
      </c>
      <c r="T360" s="6490"/>
      <c r="U360" s="6491">
        <v>2008</v>
      </c>
      <c r="V360" s="6491"/>
      <c r="W360" s="6489">
        <v>1363</v>
      </c>
      <c r="X360" s="6489">
        <v>9</v>
      </c>
      <c r="Y360" s="6492" t="s">
        <v>939</v>
      </c>
      <c r="Z360" s="6492">
        <v>159356</v>
      </c>
      <c r="AA360" s="6493">
        <v>0.11</v>
      </c>
      <c r="AB360" s="6494">
        <v>10.9</v>
      </c>
      <c r="AC360" s="6492">
        <v>191787</v>
      </c>
      <c r="AD360" s="6490" t="s">
        <v>159</v>
      </c>
      <c r="AE360" s="6490"/>
      <c r="AF360" s="6490">
        <v>2834</v>
      </c>
      <c r="AG360" s="6490" t="s">
        <v>1058</v>
      </c>
      <c r="AH360" s="6496" t="s">
        <v>1059</v>
      </c>
      <c r="AI360" s="6495" t="s">
        <v>1059</v>
      </c>
      <c r="AJ360" s="6496" t="s">
        <v>1060</v>
      </c>
      <c r="AK360" s="6495" t="s">
        <v>1061</v>
      </c>
      <c r="AL360" s="6495"/>
      <c r="AM360" s="6496"/>
      <c r="AN360" s="6496" t="s">
        <v>1064</v>
      </c>
      <c r="AO360" s="6496" t="s">
        <v>1062</v>
      </c>
      <c r="AP360" s="6496" t="s">
        <v>1015</v>
      </c>
      <c r="AQ360" s="6496" t="s">
        <v>1021</v>
      </c>
      <c r="AR360" s="6496"/>
      <c r="AS360" s="6490"/>
      <c r="AT360" s="6490"/>
      <c r="AU360" s="6490"/>
      <c r="AV360" s="6490"/>
      <c r="AW360" s="6494">
        <v>266</v>
      </c>
      <c r="AX360" s="5133"/>
    </row>
    <row r="361" spans="1:54" ht="12.75" customHeight="1">
      <c r="A361" s="10955" t="str">
        <f t="shared" si="25"/>
        <v/>
      </c>
      <c r="B361" s="10938" t="str">
        <f>+IF(A361="","",VLOOKUP(MATCH(A361,tid,0),tao,'12(id)'!$J$20,FALSE))</f>
        <v/>
      </c>
      <c r="C361" s="10935" t="str">
        <f t="shared" si="26"/>
        <v/>
      </c>
      <c r="D361" s="5133"/>
      <c r="F361" s="5133"/>
      <c r="G361" s="6489">
        <f t="shared" si="30"/>
        <v>133</v>
      </c>
      <c r="H361" s="6489">
        <v>135</v>
      </c>
      <c r="I361" s="10955">
        <f>1+I360</f>
        <v>49</v>
      </c>
      <c r="J361" s="10969"/>
      <c r="K361" s="10955" t="str">
        <f>+IF(ISNA(VLOOKUP(MATCH(P361,tfn,0),tao,'12(id)'!$K$20,FALSE)),"",IF(J361="NA","",VLOOKUP(MATCH(P361,tfn,0),tao,'12(id)'!$K$20,FALSE)+J361))</f>
        <v/>
      </c>
      <c r="L361" s="10955"/>
      <c r="M361" s="10955" t="str">
        <f t="shared" si="29"/>
        <v/>
      </c>
      <c r="N361" s="10955" t="str">
        <f>+IF(M361="","",VLOOKUP(MATCH(M361,tid,0),tao,'12(id)'!$Q$20,FALSE))</f>
        <v/>
      </c>
      <c r="O361" s="10955"/>
      <c r="P361" s="6490" t="s">
        <v>353</v>
      </c>
      <c r="Q361" s="6491"/>
      <c r="R361" s="6489">
        <v>54605</v>
      </c>
      <c r="S361" s="6490" t="s">
        <v>1065</v>
      </c>
      <c r="T361" s="6490"/>
      <c r="U361" s="6491">
        <v>2010</v>
      </c>
      <c r="V361" s="6491"/>
      <c r="W361" s="6489">
        <v>5844</v>
      </c>
      <c r="X361" s="6489">
        <v>12</v>
      </c>
      <c r="Y361" s="6492">
        <v>145703</v>
      </c>
      <c r="Z361" s="6492" t="s">
        <v>939</v>
      </c>
      <c r="AA361" s="6493">
        <v>0.02</v>
      </c>
      <c r="AB361" s="6494">
        <v>17.600000000000001</v>
      </c>
      <c r="AC361" s="6492">
        <v>1564973</v>
      </c>
      <c r="AD361" s="6490" t="s">
        <v>159</v>
      </c>
      <c r="AE361" s="6490"/>
      <c r="AF361" s="6490">
        <v>3511</v>
      </c>
      <c r="AG361" s="6490" t="s">
        <v>1066</v>
      </c>
      <c r="AH361" s="6496" t="s">
        <v>1067</v>
      </c>
      <c r="AI361" s="6495" t="s">
        <v>1067</v>
      </c>
      <c r="AJ361" s="6496" t="s">
        <v>1068</v>
      </c>
      <c r="AK361" s="6496" t="s">
        <v>1071</v>
      </c>
      <c r="AL361" s="6496"/>
      <c r="AM361" s="6496"/>
      <c r="AN361" s="6496" t="s">
        <v>1013</v>
      </c>
      <c r="AO361" s="6496" t="s">
        <v>1054</v>
      </c>
      <c r="AP361" s="6496" t="s">
        <v>1021</v>
      </c>
      <c r="AQ361" s="6496" t="s">
        <v>962</v>
      </c>
      <c r="AR361" s="6496"/>
      <c r="AS361" s="6490" t="s">
        <v>1022</v>
      </c>
      <c r="AT361" s="6490" t="s">
        <v>1023</v>
      </c>
      <c r="AU361" s="6490"/>
      <c r="AV361" s="6490"/>
      <c r="AW361" s="6494">
        <v>365.7</v>
      </c>
      <c r="AX361" s="5133"/>
    </row>
    <row r="362" spans="1:54" ht="12.75" customHeight="1">
      <c r="A362" s="10956" t="str">
        <f t="shared" si="25"/>
        <v/>
      </c>
      <c r="B362" s="10939" t="str">
        <f>+IF(A362="","",VLOOKUP(MATCH(A362,tid,0),tao,'12(id)'!$J$20,FALSE))</f>
        <v/>
      </c>
      <c r="C362" s="10936" t="str">
        <f t="shared" si="26"/>
        <v/>
      </c>
      <c r="D362" s="5133"/>
      <c r="F362" s="5133"/>
      <c r="G362" s="6489">
        <f t="shared" si="30"/>
        <v>134</v>
      </c>
      <c r="H362" s="6489">
        <v>134</v>
      </c>
      <c r="I362" s="10956"/>
      <c r="J362" s="10956"/>
      <c r="K362" s="10956" t="str">
        <f>+IF(ISNA(VLOOKUP(MATCH(P362,tfn,0),tao,'12(id)'!$K$20,FALSE)),"",IF(J362="NA","",VLOOKUP(MATCH(P362,tfn,0),tao,'12(id)'!$K$20,FALSE)+J362))</f>
        <v/>
      </c>
      <c r="L362" s="10956"/>
      <c r="M362" s="10956" t="str">
        <f t="shared" ref="M362:M393" si="31">+IF(K362="","",K362&amp;IF(L362&lt;10,"-0"&amp;L362,"-"&amp;L362))</f>
        <v/>
      </c>
      <c r="N362" s="10956" t="str">
        <f>+IF(M362="","",VLOOKUP(MATCH(M362,tid,0),tao,'12(id)'!$Q$20,FALSE))</f>
        <v/>
      </c>
      <c r="O362" s="10956"/>
      <c r="P362" s="6490" t="s">
        <v>353</v>
      </c>
      <c r="Q362" s="6491"/>
      <c r="R362" s="6489">
        <v>54605</v>
      </c>
      <c r="S362" s="6490" t="s">
        <v>1065</v>
      </c>
      <c r="T362" s="6490"/>
      <c r="U362" s="6491">
        <v>2009</v>
      </c>
      <c r="V362" s="6491"/>
      <c r="W362" s="6489">
        <v>5531</v>
      </c>
      <c r="X362" s="6489">
        <v>12</v>
      </c>
      <c r="Y362" s="6492">
        <v>135676</v>
      </c>
      <c r="Z362" s="6492" t="s">
        <v>939</v>
      </c>
      <c r="AA362" s="6493">
        <v>0.02</v>
      </c>
      <c r="AB362" s="6494">
        <v>16.3</v>
      </c>
      <c r="AC362" s="6492">
        <v>1462909</v>
      </c>
      <c r="AD362" s="6490" t="s">
        <v>159</v>
      </c>
      <c r="AE362" s="6490"/>
      <c r="AF362" s="6490">
        <v>3511</v>
      </c>
      <c r="AG362" s="6490" t="s">
        <v>1066</v>
      </c>
      <c r="AH362" s="6496" t="s">
        <v>1067</v>
      </c>
      <c r="AI362" s="6495" t="s">
        <v>1067</v>
      </c>
      <c r="AJ362" s="6496" t="s">
        <v>1068</v>
      </c>
      <c r="AK362" s="6495" t="s">
        <v>1070</v>
      </c>
      <c r="AL362" s="6495"/>
      <c r="AM362" s="6496"/>
      <c r="AN362" s="6496" t="s">
        <v>1013</v>
      </c>
      <c r="AO362" s="6496" t="s">
        <v>1054</v>
      </c>
      <c r="AP362" s="6496" t="s">
        <v>1021</v>
      </c>
      <c r="AQ362" s="6496" t="s">
        <v>962</v>
      </c>
      <c r="AR362" s="6496"/>
      <c r="AS362" s="6490" t="s">
        <v>1022</v>
      </c>
      <c r="AT362" s="6490" t="s">
        <v>1023</v>
      </c>
      <c r="AU362" s="6490"/>
      <c r="AV362" s="6490"/>
      <c r="AW362" s="6494">
        <v>365.7</v>
      </c>
      <c r="AX362" s="5133"/>
    </row>
    <row r="363" spans="1:54" ht="12.75" customHeight="1">
      <c r="A363" s="10957" t="str">
        <f t="shared" si="25"/>
        <v/>
      </c>
      <c r="B363" s="10940" t="str">
        <f>+IF(A363="","",VLOOKUP(MATCH(A363,tid,0),tao,'12(id)'!$J$20,FALSE))</f>
        <v/>
      </c>
      <c r="C363" s="10937" t="str">
        <f t="shared" si="26"/>
        <v/>
      </c>
      <c r="D363" s="5133"/>
      <c r="F363" s="5133"/>
      <c r="G363" s="6489">
        <f t="shared" si="30"/>
        <v>135</v>
      </c>
      <c r="H363" s="6489">
        <v>133</v>
      </c>
      <c r="I363" s="10957"/>
      <c r="J363" s="10957"/>
      <c r="K363" s="10957" t="str">
        <f>+IF(ISNA(VLOOKUP(MATCH(P363,tfn,0),tao,'12(id)'!$K$20,FALSE)),"",IF(J363="NA","",VLOOKUP(MATCH(P363,tfn,0),tao,'12(id)'!$K$20,FALSE)+J363))</f>
        <v/>
      </c>
      <c r="L363" s="10957"/>
      <c r="M363" s="10957" t="str">
        <f t="shared" si="31"/>
        <v/>
      </c>
      <c r="N363" s="10957" t="str">
        <f>+IF(M363="","",VLOOKUP(MATCH(M363,tid,0),tao,'12(id)'!$Q$20,FALSE))</f>
        <v/>
      </c>
      <c r="O363" s="10957"/>
      <c r="P363" s="6490" t="s">
        <v>353</v>
      </c>
      <c r="Q363" s="6491"/>
      <c r="R363" s="6489">
        <v>54605</v>
      </c>
      <c r="S363" s="6490" t="s">
        <v>1065</v>
      </c>
      <c r="T363" s="6490"/>
      <c r="U363" s="6491">
        <v>2008</v>
      </c>
      <c r="V363" s="6491"/>
      <c r="W363" s="6489">
        <v>6188</v>
      </c>
      <c r="X363" s="6489">
        <v>12</v>
      </c>
      <c r="Y363" s="6492">
        <v>147147</v>
      </c>
      <c r="Z363" s="6492" t="s">
        <v>939</v>
      </c>
      <c r="AA363" s="6493">
        <v>0.02</v>
      </c>
      <c r="AB363" s="6494">
        <v>18.5</v>
      </c>
      <c r="AC363" s="6492">
        <v>1622357</v>
      </c>
      <c r="AD363" s="6490" t="s">
        <v>159</v>
      </c>
      <c r="AE363" s="6490"/>
      <c r="AF363" s="6490">
        <v>3511</v>
      </c>
      <c r="AG363" s="6490" t="s">
        <v>1066</v>
      </c>
      <c r="AH363" s="6496" t="s">
        <v>1067</v>
      </c>
      <c r="AI363" s="6495" t="s">
        <v>1067</v>
      </c>
      <c r="AJ363" s="6496" t="s">
        <v>1068</v>
      </c>
      <c r="AK363" s="6496" t="s">
        <v>1069</v>
      </c>
      <c r="AL363" s="6496"/>
      <c r="AM363" s="6496"/>
      <c r="AN363" s="6496" t="s">
        <v>1013</v>
      </c>
      <c r="AO363" s="6496" t="s">
        <v>1054</v>
      </c>
      <c r="AP363" s="6496" t="s">
        <v>1021</v>
      </c>
      <c r="AQ363" s="6496" t="s">
        <v>962</v>
      </c>
      <c r="AR363" s="6496"/>
      <c r="AS363" s="6490" t="s">
        <v>1022</v>
      </c>
      <c r="AT363" s="6490" t="s">
        <v>1023</v>
      </c>
      <c r="AU363" s="6490"/>
      <c r="AV363" s="6490"/>
      <c r="AW363" s="6494">
        <v>365.7</v>
      </c>
      <c r="AX363" s="5133"/>
    </row>
    <row r="364" spans="1:54" s="6369" customFormat="1" ht="12.75" customHeight="1">
      <c r="A364" s="10958" t="str">
        <f t="shared" si="25"/>
        <v>8302-01</v>
      </c>
      <c r="B364" s="10932" t="str">
        <f>+IF(A364="","",VLOOKUP(MATCH(A364,tid,0),tao,'12(id)'!$J$20,FALSE))</f>
        <v>CRRA</v>
      </c>
      <c r="C364" s="10929" t="str">
        <f t="shared" si="26"/>
        <v>11A</v>
      </c>
      <c r="E364" s="5132"/>
      <c r="G364" s="6548">
        <f t="shared" si="30"/>
        <v>136</v>
      </c>
      <c r="H364" s="6548">
        <v>138</v>
      </c>
      <c r="I364" s="10958">
        <f>1+I361</f>
        <v>50</v>
      </c>
      <c r="J364" s="10968"/>
      <c r="K364" s="10958">
        <f>+IF(ISNA(VLOOKUP(MATCH(P364,tfn,0),tao,'12(id)'!$K$20,FALSE)),"",IF(J364="NA","",VLOOKUP(MATCH(P364,tfn,0),tao,'12(id)'!$K$20,FALSE)+J364))</f>
        <v>8302</v>
      </c>
      <c r="L364" s="10958">
        <v>1</v>
      </c>
      <c r="M364" s="10958" t="str">
        <f t="shared" si="31"/>
        <v>8302-01</v>
      </c>
      <c r="N364" s="10958" t="str">
        <f>+IF(M364="","",VLOOKUP(MATCH(M364,tid,0),tao,'12(id)'!$Q$20,FALSE))</f>
        <v>11A</v>
      </c>
      <c r="O364" s="10958"/>
      <c r="P364" s="6549" t="s">
        <v>325</v>
      </c>
      <c r="Q364" s="6550" t="s">
        <v>810</v>
      </c>
      <c r="R364" s="6548">
        <v>563</v>
      </c>
      <c r="S364" s="6549" t="s">
        <v>958</v>
      </c>
      <c r="T364" s="6549"/>
      <c r="U364" s="6550">
        <v>2010</v>
      </c>
      <c r="V364" s="6550"/>
      <c r="W364" s="6548">
        <v>23</v>
      </c>
      <c r="X364" s="6548">
        <v>12</v>
      </c>
      <c r="Y364" s="6551">
        <v>298</v>
      </c>
      <c r="Z364" s="6551" t="s">
        <v>939</v>
      </c>
      <c r="AA364" s="6552">
        <v>0.75</v>
      </c>
      <c r="AB364" s="6553">
        <v>1.5</v>
      </c>
      <c r="AC364" s="6551">
        <v>3882</v>
      </c>
      <c r="AD364" s="6549" t="s">
        <v>961</v>
      </c>
      <c r="AE364" s="6549"/>
      <c r="AF364" s="6549">
        <v>4911</v>
      </c>
      <c r="AG364" s="6549" t="s">
        <v>1008</v>
      </c>
      <c r="AH364" s="6554" t="s">
        <v>1072</v>
      </c>
      <c r="AI364" s="6554" t="s">
        <v>1072</v>
      </c>
      <c r="AJ364" s="6554" t="s">
        <v>1073</v>
      </c>
      <c r="AK364" s="6554" t="s">
        <v>1074</v>
      </c>
      <c r="AL364" s="6554"/>
      <c r="AM364" s="6555"/>
      <c r="AN364" s="6554" t="s">
        <v>1013</v>
      </c>
      <c r="AO364" s="6554" t="s">
        <v>1054</v>
      </c>
      <c r="AP364" s="6554" t="s">
        <v>962</v>
      </c>
      <c r="AQ364" s="6555"/>
      <c r="AR364" s="6555"/>
      <c r="AS364" s="6549"/>
      <c r="AT364" s="6549"/>
      <c r="AU364" s="6549"/>
      <c r="AV364" s="6549"/>
      <c r="AW364" s="6553">
        <v>266</v>
      </c>
      <c r="AX364" s="5133"/>
      <c r="AY364" s="5132"/>
      <c r="AZ364" s="5132"/>
      <c r="BA364" s="5132"/>
      <c r="BB364" s="5132"/>
    </row>
    <row r="365" spans="1:54" s="6369" customFormat="1" ht="12.75" customHeight="1">
      <c r="A365" s="10959" t="str">
        <f t="shared" si="25"/>
        <v>8302-01</v>
      </c>
      <c r="B365" s="10933" t="str">
        <f>+IF(A365="","",VLOOKUP(MATCH(A365,tid,0),tao,'12(id)'!$J$20,FALSE))</f>
        <v>CRRA</v>
      </c>
      <c r="C365" s="10930" t="str">
        <f t="shared" si="26"/>
        <v>11A</v>
      </c>
      <c r="E365" s="5132"/>
      <c r="G365" s="6548">
        <f t="shared" si="30"/>
        <v>137</v>
      </c>
      <c r="H365" s="6548">
        <v>137</v>
      </c>
      <c r="I365" s="10959"/>
      <c r="J365" s="10959"/>
      <c r="K365" s="10959">
        <f>+IF(ISNA(VLOOKUP(MATCH(P365,tfn,0),tao,'12(id)'!$K$20,FALSE)),"",IF(J365="NA","",VLOOKUP(MATCH(P365,tfn,0),tao,'12(id)'!$K$20,FALSE)+J365))</f>
        <v>8302</v>
      </c>
      <c r="L365" s="10959">
        <f>+L364</f>
        <v>1</v>
      </c>
      <c r="M365" s="10959" t="str">
        <f t="shared" si="31"/>
        <v>8302-01</v>
      </c>
      <c r="N365" s="10959" t="str">
        <f>+IF(M365="","",VLOOKUP(MATCH(M365,tid,0),tao,'12(id)'!$Q$20,FALSE))</f>
        <v>11A</v>
      </c>
      <c r="O365" s="10959"/>
      <c r="P365" s="6549" t="s">
        <v>325</v>
      </c>
      <c r="Q365" s="6550" t="s">
        <v>810</v>
      </c>
      <c r="R365" s="6548">
        <v>563</v>
      </c>
      <c r="S365" s="6549" t="s">
        <v>958</v>
      </c>
      <c r="T365" s="6549"/>
      <c r="U365" s="6550">
        <v>2009</v>
      </c>
      <c r="V365" s="6550"/>
      <c r="W365" s="6548">
        <v>22</v>
      </c>
      <c r="X365" s="6548">
        <v>12</v>
      </c>
      <c r="Y365" s="6551">
        <v>264</v>
      </c>
      <c r="Z365" s="6551" t="s">
        <v>939</v>
      </c>
      <c r="AA365" s="6552">
        <v>0.8</v>
      </c>
      <c r="AB365" s="6553">
        <v>1.4</v>
      </c>
      <c r="AC365" s="6551">
        <v>3368</v>
      </c>
      <c r="AD365" s="6549" t="s">
        <v>961</v>
      </c>
      <c r="AE365" s="6549"/>
      <c r="AF365" s="6549">
        <v>4911</v>
      </c>
      <c r="AG365" s="6549" t="s">
        <v>1008</v>
      </c>
      <c r="AH365" s="6554" t="s">
        <v>1072</v>
      </c>
      <c r="AI365" s="6554" t="s">
        <v>1072</v>
      </c>
      <c r="AJ365" s="6554" t="s">
        <v>1073</v>
      </c>
      <c r="AK365" s="6554" t="s">
        <v>1074</v>
      </c>
      <c r="AL365" s="6554"/>
      <c r="AM365" s="6555"/>
      <c r="AN365" s="6554" t="s">
        <v>1013</v>
      </c>
      <c r="AO365" s="6554" t="s">
        <v>1054</v>
      </c>
      <c r="AP365" s="6554" t="s">
        <v>962</v>
      </c>
      <c r="AQ365" s="6555"/>
      <c r="AR365" s="6555"/>
      <c r="AS365" s="6549"/>
      <c r="AT365" s="6549"/>
      <c r="AU365" s="6549"/>
      <c r="AV365" s="6549"/>
      <c r="AW365" s="6553">
        <v>266</v>
      </c>
      <c r="AX365" s="5133"/>
      <c r="AY365" s="5132"/>
      <c r="AZ365" s="5132"/>
      <c r="BA365" s="5132"/>
      <c r="BB365" s="5132"/>
    </row>
    <row r="366" spans="1:54" s="6369" customFormat="1" ht="12.75" customHeight="1">
      <c r="A366" s="10960" t="str">
        <f t="shared" si="25"/>
        <v>8302-01</v>
      </c>
      <c r="B366" s="10934" t="str">
        <f>+IF(A366="","",VLOOKUP(MATCH(A366,tid,0),tao,'12(id)'!$J$20,FALSE))</f>
        <v>CRRA</v>
      </c>
      <c r="C366" s="10931" t="str">
        <f t="shared" si="26"/>
        <v>11A</v>
      </c>
      <c r="E366" s="5132"/>
      <c r="G366" s="6548">
        <f t="shared" si="30"/>
        <v>138</v>
      </c>
      <c r="H366" s="6548">
        <v>136</v>
      </c>
      <c r="I366" s="10960"/>
      <c r="J366" s="10960"/>
      <c r="K366" s="10960">
        <f>+IF(ISNA(VLOOKUP(MATCH(P366,tfn,0),tao,'12(id)'!$K$20,FALSE)),"",IF(J366="NA","",VLOOKUP(MATCH(P366,tfn,0),tao,'12(id)'!$K$20,FALSE)+J366))</f>
        <v>8302</v>
      </c>
      <c r="L366" s="10960">
        <f>+L365</f>
        <v>1</v>
      </c>
      <c r="M366" s="10960" t="str">
        <f t="shared" si="31"/>
        <v>8302-01</v>
      </c>
      <c r="N366" s="10960" t="str">
        <f>+IF(M366="","",VLOOKUP(MATCH(M366,tid,0),tao,'12(id)'!$Q$20,FALSE))</f>
        <v>11A</v>
      </c>
      <c r="O366" s="10960"/>
      <c r="P366" s="6549" t="s">
        <v>325</v>
      </c>
      <c r="Q366" s="6550" t="s">
        <v>810</v>
      </c>
      <c r="R366" s="6548">
        <v>563</v>
      </c>
      <c r="S366" s="6549" t="s">
        <v>958</v>
      </c>
      <c r="T366" s="6549"/>
      <c r="U366" s="6550">
        <v>2008</v>
      </c>
      <c r="V366" s="6550"/>
      <c r="W366" s="6548">
        <v>12</v>
      </c>
      <c r="X366" s="6548">
        <v>6</v>
      </c>
      <c r="Y366" s="6551">
        <v>126</v>
      </c>
      <c r="Z366" s="6551" t="s">
        <v>939</v>
      </c>
      <c r="AA366" s="6552">
        <v>0.83</v>
      </c>
      <c r="AB366" s="6553">
        <v>0.7</v>
      </c>
      <c r="AC366" s="6551">
        <v>1575</v>
      </c>
      <c r="AD366" s="6549" t="s">
        <v>961</v>
      </c>
      <c r="AE366" s="6549"/>
      <c r="AF366" s="6549">
        <v>4911</v>
      </c>
      <c r="AG366" s="6549" t="s">
        <v>1008</v>
      </c>
      <c r="AH366" s="6554" t="s">
        <v>1072</v>
      </c>
      <c r="AI366" s="6554" t="s">
        <v>1072</v>
      </c>
      <c r="AJ366" s="6554" t="s">
        <v>1073</v>
      </c>
      <c r="AK366" s="6554" t="s">
        <v>1074</v>
      </c>
      <c r="AL366" s="6554"/>
      <c r="AM366" s="6555"/>
      <c r="AN366" s="6554" t="s">
        <v>1013</v>
      </c>
      <c r="AO366" s="6554" t="s">
        <v>1054</v>
      </c>
      <c r="AP366" s="6554" t="s">
        <v>962</v>
      </c>
      <c r="AQ366" s="6555"/>
      <c r="AR366" s="6555"/>
      <c r="AS366" s="6549"/>
      <c r="AT366" s="6549"/>
      <c r="AU366" s="6549"/>
      <c r="AV366" s="6549"/>
      <c r="AW366" s="6553">
        <v>266</v>
      </c>
      <c r="AX366" s="5133"/>
      <c r="AY366" s="5132"/>
      <c r="AZ366" s="5132"/>
      <c r="BA366" s="5132"/>
      <c r="BB366" s="5132"/>
    </row>
    <row r="367" spans="1:54" s="6369" customFormat="1" ht="12.75" customHeight="1">
      <c r="A367" s="10958" t="str">
        <f t="shared" si="25"/>
        <v>8302-02</v>
      </c>
      <c r="B367" s="10932" t="str">
        <f>+B364</f>
        <v>CRRA</v>
      </c>
      <c r="C367" s="10929" t="str">
        <f t="shared" si="26"/>
        <v>11B</v>
      </c>
      <c r="E367" s="5132"/>
      <c r="G367" s="6548">
        <f t="shared" si="30"/>
        <v>139</v>
      </c>
      <c r="H367" s="6548">
        <v>141</v>
      </c>
      <c r="I367" s="10958">
        <f>1+I364</f>
        <v>51</v>
      </c>
      <c r="J367" s="10968"/>
      <c r="K367" s="10958">
        <f>+IF(ISNA(VLOOKUP(MATCH(P367,tfn,0),tao,'12(id)'!$K$20,FALSE)),"",IF(J367="NA","",VLOOKUP(MATCH(P367,tfn,0),tao,'12(id)'!$K$20,FALSE)+J367))</f>
        <v>8302</v>
      </c>
      <c r="L367" s="10958">
        <f>1+L366</f>
        <v>2</v>
      </c>
      <c r="M367" s="10958" t="str">
        <f t="shared" si="31"/>
        <v>8302-02</v>
      </c>
      <c r="N367" s="10958" t="str">
        <f>+IF(M367="","",VLOOKUP(MATCH(M367,tid,0),tao,'12(id)'!$Q$20,FALSE))</f>
        <v>11B</v>
      </c>
      <c r="O367" s="10958"/>
      <c r="P367" s="6549" t="s">
        <v>325</v>
      </c>
      <c r="Q367" s="6550" t="s">
        <v>810</v>
      </c>
      <c r="R367" s="6548">
        <v>563</v>
      </c>
      <c r="S367" s="6549" t="s">
        <v>963</v>
      </c>
      <c r="T367" s="6549"/>
      <c r="U367" s="6550">
        <v>2010</v>
      </c>
      <c r="V367" s="6550"/>
      <c r="W367" s="6548">
        <v>23</v>
      </c>
      <c r="X367" s="6548">
        <v>12</v>
      </c>
      <c r="Y367" s="6551">
        <v>298</v>
      </c>
      <c r="Z367" s="6551" t="s">
        <v>939</v>
      </c>
      <c r="AA367" s="6552">
        <v>0.76</v>
      </c>
      <c r="AB367" s="6553">
        <v>1.5</v>
      </c>
      <c r="AC367" s="6551">
        <v>3882</v>
      </c>
      <c r="AD367" s="6549" t="s">
        <v>961</v>
      </c>
      <c r="AE367" s="6549"/>
      <c r="AF367" s="6549">
        <v>4911</v>
      </c>
      <c r="AG367" s="6549" t="s">
        <v>1008</v>
      </c>
      <c r="AH367" s="6554" t="s">
        <v>1072</v>
      </c>
      <c r="AI367" s="6554" t="s">
        <v>1072</v>
      </c>
      <c r="AJ367" s="6554" t="s">
        <v>1073</v>
      </c>
      <c r="AK367" s="6554" t="s">
        <v>1074</v>
      </c>
      <c r="AL367" s="6554"/>
      <c r="AM367" s="6555"/>
      <c r="AN367" s="6554" t="s">
        <v>1013</v>
      </c>
      <c r="AO367" s="6554" t="s">
        <v>1054</v>
      </c>
      <c r="AP367" s="6554" t="s">
        <v>962</v>
      </c>
      <c r="AQ367" s="6555"/>
      <c r="AR367" s="6555"/>
      <c r="AS367" s="6549"/>
      <c r="AT367" s="6549"/>
      <c r="AU367" s="6549"/>
      <c r="AV367" s="6549"/>
      <c r="AW367" s="6553">
        <v>266</v>
      </c>
      <c r="AX367" s="5133"/>
      <c r="AY367" s="5132"/>
      <c r="AZ367" s="5132"/>
      <c r="BA367" s="5132"/>
      <c r="BB367" s="5132"/>
    </row>
    <row r="368" spans="1:54" s="6369" customFormat="1" ht="12.75" customHeight="1">
      <c r="A368" s="10959" t="str">
        <f t="shared" si="25"/>
        <v>8302-02</v>
      </c>
      <c r="B368" s="10933">
        <f>+IF(A368="","",VLOOKUP(MATCH(A368,tid,0),tao,'12(id)'!$J$20,FALSE))</f>
        <v>0</v>
      </c>
      <c r="C368" s="10930" t="str">
        <f t="shared" si="26"/>
        <v>11B</v>
      </c>
      <c r="E368" s="5132"/>
      <c r="G368" s="6548">
        <f t="shared" si="30"/>
        <v>140</v>
      </c>
      <c r="H368" s="6548">
        <v>140</v>
      </c>
      <c r="I368" s="10959"/>
      <c r="J368" s="10959"/>
      <c r="K368" s="10959">
        <f>+IF(ISNA(VLOOKUP(MATCH(P368,tfn,0),tao,'12(id)'!$K$20,FALSE)),"",IF(J368="NA","",VLOOKUP(MATCH(P368,tfn,0),tao,'12(id)'!$K$20,FALSE)+J368))</f>
        <v>8302</v>
      </c>
      <c r="L368" s="10959">
        <f>+L367</f>
        <v>2</v>
      </c>
      <c r="M368" s="10959" t="str">
        <f t="shared" si="31"/>
        <v>8302-02</v>
      </c>
      <c r="N368" s="10959" t="str">
        <f>+IF(M368="","",VLOOKUP(MATCH(M368,tid,0),tao,'12(id)'!$Q$20,FALSE))</f>
        <v>11B</v>
      </c>
      <c r="O368" s="10959"/>
      <c r="P368" s="6549" t="s">
        <v>325</v>
      </c>
      <c r="Q368" s="6550" t="s">
        <v>810</v>
      </c>
      <c r="R368" s="6548">
        <v>563</v>
      </c>
      <c r="S368" s="6549" t="s">
        <v>963</v>
      </c>
      <c r="T368" s="6549"/>
      <c r="U368" s="6550">
        <v>2009</v>
      </c>
      <c r="V368" s="6550"/>
      <c r="W368" s="6548">
        <v>22</v>
      </c>
      <c r="X368" s="6548">
        <v>12</v>
      </c>
      <c r="Y368" s="6551">
        <v>264</v>
      </c>
      <c r="Z368" s="6551" t="s">
        <v>939</v>
      </c>
      <c r="AA368" s="6552">
        <v>0.73</v>
      </c>
      <c r="AB368" s="6553">
        <v>1.2</v>
      </c>
      <c r="AC368" s="6551">
        <v>3368</v>
      </c>
      <c r="AD368" s="6549" t="s">
        <v>961</v>
      </c>
      <c r="AE368" s="6549"/>
      <c r="AF368" s="6549">
        <v>4911</v>
      </c>
      <c r="AG368" s="6549" t="s">
        <v>1008</v>
      </c>
      <c r="AH368" s="6554" t="s">
        <v>1072</v>
      </c>
      <c r="AI368" s="6554" t="s">
        <v>1072</v>
      </c>
      <c r="AJ368" s="6554" t="s">
        <v>1073</v>
      </c>
      <c r="AK368" s="6554" t="s">
        <v>1074</v>
      </c>
      <c r="AL368" s="6554"/>
      <c r="AM368" s="6555"/>
      <c r="AN368" s="6554" t="s">
        <v>1013</v>
      </c>
      <c r="AO368" s="6554" t="s">
        <v>1054</v>
      </c>
      <c r="AP368" s="6554" t="s">
        <v>962</v>
      </c>
      <c r="AQ368" s="6555"/>
      <c r="AR368" s="6555"/>
      <c r="AS368" s="6549"/>
      <c r="AT368" s="6549"/>
      <c r="AU368" s="6549"/>
      <c r="AV368" s="6549"/>
      <c r="AW368" s="6553">
        <v>266</v>
      </c>
      <c r="AX368" s="5133"/>
      <c r="AY368" s="5132"/>
      <c r="AZ368" s="5132"/>
      <c r="BA368" s="5132"/>
      <c r="BB368" s="5132"/>
    </row>
    <row r="369" spans="1:54" s="6369" customFormat="1" ht="12.75" customHeight="1">
      <c r="A369" s="10960" t="str">
        <f t="shared" ref="A369:A419" si="32">+IF(M369="","",M369)</f>
        <v>8302-02</v>
      </c>
      <c r="B369" s="10934">
        <f>+IF(A369="","",VLOOKUP(MATCH(A369,tid,0),tao,'12(id)'!$J$20,FALSE))</f>
        <v>0</v>
      </c>
      <c r="C369" s="10931" t="str">
        <f t="shared" si="26"/>
        <v>11B</v>
      </c>
      <c r="E369" s="5132"/>
      <c r="G369" s="6548">
        <f t="shared" si="30"/>
        <v>141</v>
      </c>
      <c r="H369" s="6548">
        <v>139</v>
      </c>
      <c r="I369" s="10960"/>
      <c r="J369" s="10960"/>
      <c r="K369" s="10960">
        <f>+IF(ISNA(VLOOKUP(MATCH(P369,tfn,0),tao,'12(id)'!$K$20,FALSE)),"",IF(J369="NA","",VLOOKUP(MATCH(P369,tfn,0),tao,'12(id)'!$K$20,FALSE)+J369))</f>
        <v>8302</v>
      </c>
      <c r="L369" s="10960">
        <f>+L368</f>
        <v>2</v>
      </c>
      <c r="M369" s="10960" t="str">
        <f t="shared" si="31"/>
        <v>8302-02</v>
      </c>
      <c r="N369" s="10960" t="str">
        <f>+IF(M369="","",VLOOKUP(MATCH(M369,tid,0),tao,'12(id)'!$Q$20,FALSE))</f>
        <v>11B</v>
      </c>
      <c r="O369" s="10960"/>
      <c r="P369" s="6549" t="s">
        <v>325</v>
      </c>
      <c r="Q369" s="6550" t="s">
        <v>810</v>
      </c>
      <c r="R369" s="6548">
        <v>563</v>
      </c>
      <c r="S369" s="6549" t="s">
        <v>963</v>
      </c>
      <c r="T369" s="6549"/>
      <c r="U369" s="6550">
        <v>2008</v>
      </c>
      <c r="V369" s="6550"/>
      <c r="W369" s="6548">
        <v>12</v>
      </c>
      <c r="X369" s="6548">
        <v>6</v>
      </c>
      <c r="Y369" s="6551">
        <v>126</v>
      </c>
      <c r="Z369" s="6551" t="s">
        <v>939</v>
      </c>
      <c r="AA369" s="6552">
        <v>0.73</v>
      </c>
      <c r="AB369" s="6553">
        <v>0.6</v>
      </c>
      <c r="AC369" s="6551">
        <v>1575</v>
      </c>
      <c r="AD369" s="6549" t="s">
        <v>961</v>
      </c>
      <c r="AE369" s="6549"/>
      <c r="AF369" s="6549">
        <v>4911</v>
      </c>
      <c r="AG369" s="6549" t="s">
        <v>1008</v>
      </c>
      <c r="AH369" s="6554" t="s">
        <v>1072</v>
      </c>
      <c r="AI369" s="6554" t="s">
        <v>1072</v>
      </c>
      <c r="AJ369" s="6554" t="s">
        <v>1073</v>
      </c>
      <c r="AK369" s="6554" t="s">
        <v>1074</v>
      </c>
      <c r="AL369" s="6554"/>
      <c r="AM369" s="6555"/>
      <c r="AN369" s="6554" t="s">
        <v>1013</v>
      </c>
      <c r="AO369" s="6554" t="s">
        <v>1054</v>
      </c>
      <c r="AP369" s="6554" t="s">
        <v>962</v>
      </c>
      <c r="AQ369" s="6555"/>
      <c r="AR369" s="6555"/>
      <c r="AS369" s="6549"/>
      <c r="AT369" s="6549"/>
      <c r="AU369" s="6549"/>
      <c r="AV369" s="6549"/>
      <c r="AW369" s="6553">
        <v>266</v>
      </c>
      <c r="AX369" s="5133"/>
      <c r="AY369" s="5132"/>
      <c r="AZ369" s="5132"/>
      <c r="BA369" s="5132"/>
      <c r="BB369" s="5132"/>
    </row>
    <row r="370" spans="1:54" s="6369" customFormat="1" ht="12.75" customHeight="1">
      <c r="A370" s="10958" t="str">
        <f t="shared" si="32"/>
        <v>8302-03</v>
      </c>
      <c r="B370" s="10932" t="str">
        <f>+B367</f>
        <v>CRRA</v>
      </c>
      <c r="C370" s="10929" t="str">
        <f t="shared" si="26"/>
        <v>12A</v>
      </c>
      <c r="E370" s="5132"/>
      <c r="G370" s="6548">
        <f t="shared" si="30"/>
        <v>142</v>
      </c>
      <c r="H370" s="6548">
        <v>144</v>
      </c>
      <c r="I370" s="10958">
        <f>1+I367</f>
        <v>52</v>
      </c>
      <c r="J370" s="10968"/>
      <c r="K370" s="10958">
        <f>+IF(ISNA(VLOOKUP(MATCH(P370,tfn,0),tao,'12(id)'!$K$20,FALSE)),"",IF(J370="NA","",VLOOKUP(MATCH(P370,tfn,0),tao,'12(id)'!$K$20,FALSE)+J370))</f>
        <v>8302</v>
      </c>
      <c r="L370" s="10958">
        <f>1+L369</f>
        <v>3</v>
      </c>
      <c r="M370" s="10958" t="str">
        <f t="shared" si="31"/>
        <v>8302-03</v>
      </c>
      <c r="N370" s="10958" t="str">
        <f>+IF(M370="","",VLOOKUP(MATCH(M370,tid,0),tao,'12(id)'!$Q$20,FALSE))</f>
        <v>12A</v>
      </c>
      <c r="O370" s="10958"/>
      <c r="P370" s="6549" t="s">
        <v>325</v>
      </c>
      <c r="Q370" s="6550" t="s">
        <v>810</v>
      </c>
      <c r="R370" s="6548">
        <v>563</v>
      </c>
      <c r="S370" s="6549" t="s">
        <v>964</v>
      </c>
      <c r="T370" s="6549"/>
      <c r="U370" s="6550">
        <v>2010</v>
      </c>
      <c r="V370" s="6550"/>
      <c r="W370" s="6548">
        <v>26</v>
      </c>
      <c r="X370" s="6548">
        <v>12</v>
      </c>
      <c r="Y370" s="6551">
        <v>361</v>
      </c>
      <c r="Z370" s="6551" t="s">
        <v>939</v>
      </c>
      <c r="AA370" s="6552">
        <v>0.8</v>
      </c>
      <c r="AB370" s="6553">
        <v>1.9</v>
      </c>
      <c r="AC370" s="6551">
        <v>4770</v>
      </c>
      <c r="AD370" s="6549" t="s">
        <v>961</v>
      </c>
      <c r="AE370" s="6549"/>
      <c r="AF370" s="6549">
        <v>4911</v>
      </c>
      <c r="AG370" s="6549" t="s">
        <v>1008</v>
      </c>
      <c r="AH370" s="6554" t="s">
        <v>1072</v>
      </c>
      <c r="AI370" s="6554" t="s">
        <v>1072</v>
      </c>
      <c r="AJ370" s="6554" t="s">
        <v>1073</v>
      </c>
      <c r="AK370" s="6554" t="s">
        <v>1074</v>
      </c>
      <c r="AL370" s="6554"/>
      <c r="AM370" s="6555"/>
      <c r="AN370" s="6554" t="s">
        <v>1013</v>
      </c>
      <c r="AO370" s="6554" t="s">
        <v>1054</v>
      </c>
      <c r="AP370" s="6554" t="s">
        <v>962</v>
      </c>
      <c r="AQ370" s="6555"/>
      <c r="AR370" s="6555"/>
      <c r="AS370" s="6549"/>
      <c r="AT370" s="6549"/>
      <c r="AU370" s="6549"/>
      <c r="AV370" s="6549"/>
      <c r="AW370" s="6553">
        <v>266</v>
      </c>
      <c r="AX370" s="5133"/>
      <c r="AY370" s="5132"/>
      <c r="AZ370" s="5132"/>
      <c r="BA370" s="5132"/>
      <c r="BB370" s="5132"/>
    </row>
    <row r="371" spans="1:54" s="6369" customFormat="1" ht="12.75" customHeight="1">
      <c r="A371" s="10959" t="str">
        <f t="shared" si="32"/>
        <v>8302-03</v>
      </c>
      <c r="B371" s="10933">
        <f>+IF(A371="","",VLOOKUP(MATCH(A371,tid,0),tao,'12(id)'!$J$20,FALSE))</f>
        <v>0</v>
      </c>
      <c r="C371" s="10930" t="str">
        <f t="shared" si="26"/>
        <v>12A</v>
      </c>
      <c r="E371" s="5132"/>
      <c r="G371" s="6548">
        <f t="shared" si="30"/>
        <v>143</v>
      </c>
      <c r="H371" s="6548">
        <v>143</v>
      </c>
      <c r="I371" s="10959"/>
      <c r="J371" s="10959"/>
      <c r="K371" s="10959">
        <f>+IF(ISNA(VLOOKUP(MATCH(P371,tfn,0),tao,'12(id)'!$K$20,FALSE)),"",IF(J371="NA","",VLOOKUP(MATCH(P371,tfn,0),tao,'12(id)'!$K$20,FALSE)+J371))</f>
        <v>8302</v>
      </c>
      <c r="L371" s="10959">
        <f>+L370</f>
        <v>3</v>
      </c>
      <c r="M371" s="10959" t="str">
        <f t="shared" si="31"/>
        <v>8302-03</v>
      </c>
      <c r="N371" s="10959" t="str">
        <f>+IF(M371="","",VLOOKUP(MATCH(M371,tid,0),tao,'12(id)'!$Q$20,FALSE))</f>
        <v>12A</v>
      </c>
      <c r="O371" s="10959"/>
      <c r="P371" s="6549" t="s">
        <v>325</v>
      </c>
      <c r="Q371" s="6550" t="s">
        <v>810</v>
      </c>
      <c r="R371" s="6548">
        <v>563</v>
      </c>
      <c r="S371" s="6549" t="s">
        <v>964</v>
      </c>
      <c r="T371" s="6549"/>
      <c r="U371" s="6550">
        <v>2009</v>
      </c>
      <c r="V371" s="6550"/>
      <c r="W371" s="6548">
        <v>21</v>
      </c>
      <c r="X371" s="6548">
        <v>12</v>
      </c>
      <c r="Y371" s="6551">
        <v>272</v>
      </c>
      <c r="Z371" s="6551" t="s">
        <v>939</v>
      </c>
      <c r="AA371" s="6552">
        <v>0.8</v>
      </c>
      <c r="AB371" s="6553">
        <v>1.4</v>
      </c>
      <c r="AC371" s="6551">
        <v>3507</v>
      </c>
      <c r="AD371" s="6549" t="s">
        <v>961</v>
      </c>
      <c r="AE371" s="6549"/>
      <c r="AF371" s="6549">
        <v>4911</v>
      </c>
      <c r="AG371" s="6549" t="s">
        <v>1008</v>
      </c>
      <c r="AH371" s="6554" t="s">
        <v>1072</v>
      </c>
      <c r="AI371" s="6554" t="s">
        <v>1072</v>
      </c>
      <c r="AJ371" s="6554" t="s">
        <v>1073</v>
      </c>
      <c r="AK371" s="6554" t="s">
        <v>1074</v>
      </c>
      <c r="AL371" s="6554"/>
      <c r="AM371" s="6555"/>
      <c r="AN371" s="6554" t="s">
        <v>1013</v>
      </c>
      <c r="AO371" s="6554" t="s">
        <v>1054</v>
      </c>
      <c r="AP371" s="6554" t="s">
        <v>962</v>
      </c>
      <c r="AQ371" s="6555"/>
      <c r="AR371" s="6555"/>
      <c r="AS371" s="6549"/>
      <c r="AT371" s="6549"/>
      <c r="AU371" s="6549"/>
      <c r="AV371" s="6549"/>
      <c r="AW371" s="6553">
        <v>266</v>
      </c>
      <c r="AX371" s="5133"/>
      <c r="AY371" s="5132"/>
      <c r="AZ371" s="5132"/>
      <c r="BA371" s="5132"/>
      <c r="BB371" s="5132"/>
    </row>
    <row r="372" spans="1:54" s="6369" customFormat="1" ht="12.75" customHeight="1">
      <c r="A372" s="10960" t="str">
        <f t="shared" si="32"/>
        <v>8302-03</v>
      </c>
      <c r="B372" s="10934">
        <f>+IF(A372="","",VLOOKUP(MATCH(A372,tid,0),tao,'12(id)'!$J$20,FALSE))</f>
        <v>0</v>
      </c>
      <c r="C372" s="10931" t="str">
        <f t="shared" ref="C372:C419" si="33">+IF(N372="","",N372)</f>
        <v>12A</v>
      </c>
      <c r="E372" s="5132"/>
      <c r="G372" s="6548">
        <f t="shared" si="30"/>
        <v>144</v>
      </c>
      <c r="H372" s="6548">
        <v>142</v>
      </c>
      <c r="I372" s="10960"/>
      <c r="J372" s="10960"/>
      <c r="K372" s="10960">
        <f>+IF(ISNA(VLOOKUP(MATCH(P372,tfn,0),tao,'12(id)'!$K$20,FALSE)),"",IF(J372="NA","",VLOOKUP(MATCH(P372,tfn,0),tao,'12(id)'!$K$20,FALSE)+J372))</f>
        <v>8302</v>
      </c>
      <c r="L372" s="10960">
        <f>+L371</f>
        <v>3</v>
      </c>
      <c r="M372" s="10960" t="str">
        <f t="shared" si="31"/>
        <v>8302-03</v>
      </c>
      <c r="N372" s="10960" t="str">
        <f>+IF(M372="","",VLOOKUP(MATCH(M372,tid,0),tao,'12(id)'!$Q$20,FALSE))</f>
        <v>12A</v>
      </c>
      <c r="O372" s="10960"/>
      <c r="P372" s="6549" t="s">
        <v>325</v>
      </c>
      <c r="Q372" s="6550" t="s">
        <v>810</v>
      </c>
      <c r="R372" s="6548">
        <v>563</v>
      </c>
      <c r="S372" s="6549" t="s">
        <v>964</v>
      </c>
      <c r="T372" s="6549"/>
      <c r="U372" s="6550">
        <v>2008</v>
      </c>
      <c r="V372" s="6550"/>
      <c r="W372" s="6548">
        <v>11</v>
      </c>
      <c r="X372" s="6548">
        <v>6</v>
      </c>
      <c r="Y372" s="6551">
        <v>123</v>
      </c>
      <c r="Z372" s="6551" t="s">
        <v>939</v>
      </c>
      <c r="AA372" s="6552">
        <v>0.8</v>
      </c>
      <c r="AB372" s="6553">
        <v>0.6</v>
      </c>
      <c r="AC372" s="6551">
        <v>1560</v>
      </c>
      <c r="AD372" s="6549" t="s">
        <v>961</v>
      </c>
      <c r="AE372" s="6549"/>
      <c r="AF372" s="6549">
        <v>4911</v>
      </c>
      <c r="AG372" s="6549" t="s">
        <v>1008</v>
      </c>
      <c r="AH372" s="6554" t="s">
        <v>1072</v>
      </c>
      <c r="AI372" s="6554" t="s">
        <v>1072</v>
      </c>
      <c r="AJ372" s="6554" t="s">
        <v>1073</v>
      </c>
      <c r="AK372" s="6554" t="s">
        <v>1074</v>
      </c>
      <c r="AL372" s="6554"/>
      <c r="AM372" s="6555"/>
      <c r="AN372" s="6554" t="s">
        <v>1013</v>
      </c>
      <c r="AO372" s="6554" t="s">
        <v>1054</v>
      </c>
      <c r="AP372" s="6554" t="s">
        <v>962</v>
      </c>
      <c r="AQ372" s="6555"/>
      <c r="AR372" s="6555"/>
      <c r="AS372" s="6549"/>
      <c r="AT372" s="6549"/>
      <c r="AU372" s="6549"/>
      <c r="AV372" s="6549"/>
      <c r="AW372" s="6553">
        <v>266</v>
      </c>
      <c r="AX372" s="5133"/>
      <c r="AY372" s="5132"/>
      <c r="AZ372" s="5132"/>
      <c r="BA372" s="5132"/>
      <c r="BB372" s="5132"/>
    </row>
    <row r="373" spans="1:54" s="6369" customFormat="1" ht="12.75" customHeight="1">
      <c r="A373" s="10958" t="str">
        <f t="shared" si="32"/>
        <v>8302-04</v>
      </c>
      <c r="B373" s="10932" t="str">
        <f>+B370</f>
        <v>CRRA</v>
      </c>
      <c r="C373" s="10929" t="str">
        <f t="shared" si="33"/>
        <v>12B</v>
      </c>
      <c r="E373" s="5132"/>
      <c r="G373" s="6548">
        <f t="shared" si="30"/>
        <v>145</v>
      </c>
      <c r="H373" s="6548">
        <v>147</v>
      </c>
      <c r="I373" s="10958">
        <f>1+I370</f>
        <v>53</v>
      </c>
      <c r="J373" s="10968"/>
      <c r="K373" s="10958">
        <f>+IF(ISNA(VLOOKUP(MATCH(P373,tfn,0),tao,'12(id)'!$K$20,FALSE)),"",IF(J373="NA","",VLOOKUP(MATCH(P373,tfn,0),tao,'12(id)'!$K$20,FALSE)+J373))</f>
        <v>8302</v>
      </c>
      <c r="L373" s="10958">
        <f>1+L372</f>
        <v>4</v>
      </c>
      <c r="M373" s="10958" t="str">
        <f t="shared" si="31"/>
        <v>8302-04</v>
      </c>
      <c r="N373" s="10958" t="str">
        <f>+IF(M373="","",VLOOKUP(MATCH(M373,tid,0),tao,'12(id)'!$Q$20,FALSE))</f>
        <v>12B</v>
      </c>
      <c r="O373" s="10958"/>
      <c r="P373" s="6549" t="s">
        <v>325</v>
      </c>
      <c r="Q373" s="6550" t="s">
        <v>810</v>
      </c>
      <c r="R373" s="6548">
        <v>563</v>
      </c>
      <c r="S373" s="6549" t="s">
        <v>966</v>
      </c>
      <c r="T373" s="6549"/>
      <c r="U373" s="6550">
        <v>2010</v>
      </c>
      <c r="V373" s="6550"/>
      <c r="W373" s="6548">
        <v>26</v>
      </c>
      <c r="X373" s="6548">
        <v>12</v>
      </c>
      <c r="Y373" s="6551">
        <v>361</v>
      </c>
      <c r="Z373" s="6551" t="s">
        <v>939</v>
      </c>
      <c r="AA373" s="6552">
        <v>0.76</v>
      </c>
      <c r="AB373" s="6553">
        <v>1.8</v>
      </c>
      <c r="AC373" s="6551">
        <v>4770</v>
      </c>
      <c r="AD373" s="6549" t="s">
        <v>961</v>
      </c>
      <c r="AE373" s="6549"/>
      <c r="AF373" s="6549">
        <v>4911</v>
      </c>
      <c r="AG373" s="6549" t="s">
        <v>1008</v>
      </c>
      <c r="AH373" s="6554" t="s">
        <v>1072</v>
      </c>
      <c r="AI373" s="6554" t="s">
        <v>1072</v>
      </c>
      <c r="AJ373" s="6554" t="s">
        <v>1073</v>
      </c>
      <c r="AK373" s="6554" t="s">
        <v>1074</v>
      </c>
      <c r="AL373" s="6554"/>
      <c r="AM373" s="6555"/>
      <c r="AN373" s="6554" t="s">
        <v>1013</v>
      </c>
      <c r="AO373" s="6554" t="s">
        <v>1054</v>
      </c>
      <c r="AP373" s="6554" t="s">
        <v>962</v>
      </c>
      <c r="AQ373" s="6555"/>
      <c r="AR373" s="6555"/>
      <c r="AS373" s="6549"/>
      <c r="AT373" s="6549"/>
      <c r="AU373" s="6549"/>
      <c r="AV373" s="6549"/>
      <c r="AW373" s="6553">
        <v>266</v>
      </c>
      <c r="AX373" s="5133"/>
      <c r="AY373" s="5132"/>
      <c r="AZ373" s="5132"/>
      <c r="BA373" s="5132"/>
      <c r="BB373" s="5132"/>
    </row>
    <row r="374" spans="1:54" s="6369" customFormat="1" ht="12.75" customHeight="1">
      <c r="A374" s="10959" t="str">
        <f t="shared" si="32"/>
        <v>8302-04</v>
      </c>
      <c r="B374" s="10933">
        <f>+IF(A374="","",VLOOKUP(MATCH(A374,tid,0),tao,'12(id)'!$J$20,FALSE))</f>
        <v>0</v>
      </c>
      <c r="C374" s="10930" t="str">
        <f t="shared" si="33"/>
        <v>12B</v>
      </c>
      <c r="E374" s="5132"/>
      <c r="G374" s="6548">
        <f t="shared" si="30"/>
        <v>146</v>
      </c>
      <c r="H374" s="6548">
        <v>146</v>
      </c>
      <c r="I374" s="10959"/>
      <c r="J374" s="10959"/>
      <c r="K374" s="10959">
        <f>+IF(ISNA(VLOOKUP(MATCH(P374,tfn,0),tao,'12(id)'!$K$20,FALSE)),"",IF(J374="NA","",VLOOKUP(MATCH(P374,tfn,0),tao,'12(id)'!$K$20,FALSE)+J374))</f>
        <v>8302</v>
      </c>
      <c r="L374" s="10959">
        <f>+L373</f>
        <v>4</v>
      </c>
      <c r="M374" s="10959" t="str">
        <f t="shared" si="31"/>
        <v>8302-04</v>
      </c>
      <c r="N374" s="10959" t="str">
        <f>+IF(M374="","",VLOOKUP(MATCH(M374,tid,0),tao,'12(id)'!$Q$20,FALSE))</f>
        <v>12B</v>
      </c>
      <c r="O374" s="10959"/>
      <c r="P374" s="6549" t="s">
        <v>325</v>
      </c>
      <c r="Q374" s="6550" t="s">
        <v>810</v>
      </c>
      <c r="R374" s="6548">
        <v>563</v>
      </c>
      <c r="S374" s="6549" t="s">
        <v>966</v>
      </c>
      <c r="T374" s="6549"/>
      <c r="U374" s="6550">
        <v>2009</v>
      </c>
      <c r="V374" s="6550"/>
      <c r="W374" s="6548">
        <v>21</v>
      </c>
      <c r="X374" s="6548">
        <v>12</v>
      </c>
      <c r="Y374" s="6551">
        <v>272</v>
      </c>
      <c r="Z374" s="6551" t="s">
        <v>939</v>
      </c>
      <c r="AA374" s="6552">
        <v>0.73</v>
      </c>
      <c r="AB374" s="6553">
        <v>1.3</v>
      </c>
      <c r="AC374" s="6551">
        <v>3507</v>
      </c>
      <c r="AD374" s="6549" t="s">
        <v>961</v>
      </c>
      <c r="AE374" s="6549"/>
      <c r="AF374" s="6549">
        <v>4911</v>
      </c>
      <c r="AG374" s="6549" t="s">
        <v>1008</v>
      </c>
      <c r="AH374" s="6554" t="s">
        <v>1072</v>
      </c>
      <c r="AI374" s="6554" t="s">
        <v>1072</v>
      </c>
      <c r="AJ374" s="6554" t="s">
        <v>1073</v>
      </c>
      <c r="AK374" s="6554" t="s">
        <v>1074</v>
      </c>
      <c r="AL374" s="6554"/>
      <c r="AM374" s="6555"/>
      <c r="AN374" s="6554" t="s">
        <v>1013</v>
      </c>
      <c r="AO374" s="6554" t="s">
        <v>1054</v>
      </c>
      <c r="AP374" s="6554" t="s">
        <v>962</v>
      </c>
      <c r="AQ374" s="6555"/>
      <c r="AR374" s="6555"/>
      <c r="AS374" s="6549"/>
      <c r="AT374" s="6549"/>
      <c r="AU374" s="6549"/>
      <c r="AV374" s="6549"/>
      <c r="AW374" s="6553">
        <v>266</v>
      </c>
      <c r="AX374" s="5133"/>
      <c r="AY374" s="5132"/>
      <c r="AZ374" s="5132"/>
      <c r="BA374" s="5132"/>
      <c r="BB374" s="5132"/>
    </row>
    <row r="375" spans="1:54" s="6369" customFormat="1" ht="12.75" customHeight="1">
      <c r="A375" s="10960" t="str">
        <f t="shared" si="32"/>
        <v>8302-04</v>
      </c>
      <c r="B375" s="10934">
        <f>+IF(A375="","",VLOOKUP(MATCH(A375,tid,0),tao,'12(id)'!$J$20,FALSE))</f>
        <v>0</v>
      </c>
      <c r="C375" s="10931" t="str">
        <f t="shared" si="33"/>
        <v>12B</v>
      </c>
      <c r="E375" s="5132"/>
      <c r="G375" s="6548">
        <f t="shared" si="30"/>
        <v>147</v>
      </c>
      <c r="H375" s="6548">
        <v>145</v>
      </c>
      <c r="I375" s="10960"/>
      <c r="J375" s="10960"/>
      <c r="K375" s="10960">
        <f>+IF(ISNA(VLOOKUP(MATCH(P375,tfn,0),tao,'12(id)'!$K$20,FALSE)),"",IF(J375="NA","",VLOOKUP(MATCH(P375,tfn,0),tao,'12(id)'!$K$20,FALSE)+J375))</f>
        <v>8302</v>
      </c>
      <c r="L375" s="10960">
        <f>+L374</f>
        <v>4</v>
      </c>
      <c r="M375" s="10960" t="str">
        <f t="shared" si="31"/>
        <v>8302-04</v>
      </c>
      <c r="N375" s="10960" t="str">
        <f>+IF(M375="","",VLOOKUP(MATCH(M375,tid,0),tao,'12(id)'!$Q$20,FALSE))</f>
        <v>12B</v>
      </c>
      <c r="O375" s="10960"/>
      <c r="P375" s="6549" t="s">
        <v>325</v>
      </c>
      <c r="Q375" s="6550" t="s">
        <v>810</v>
      </c>
      <c r="R375" s="6548">
        <v>563</v>
      </c>
      <c r="S375" s="6549" t="s">
        <v>966</v>
      </c>
      <c r="T375" s="6549"/>
      <c r="U375" s="6550">
        <v>2008</v>
      </c>
      <c r="V375" s="6550"/>
      <c r="W375" s="6548">
        <v>11</v>
      </c>
      <c r="X375" s="6548">
        <v>6</v>
      </c>
      <c r="Y375" s="6551">
        <v>123</v>
      </c>
      <c r="Z375" s="6551" t="s">
        <v>939</v>
      </c>
      <c r="AA375" s="6552">
        <v>0.72</v>
      </c>
      <c r="AB375" s="6553">
        <v>0.6</v>
      </c>
      <c r="AC375" s="6551">
        <v>1560</v>
      </c>
      <c r="AD375" s="6549" t="s">
        <v>961</v>
      </c>
      <c r="AE375" s="6549"/>
      <c r="AF375" s="6549">
        <v>4911</v>
      </c>
      <c r="AG375" s="6549" t="s">
        <v>1008</v>
      </c>
      <c r="AH375" s="6554" t="s">
        <v>1072</v>
      </c>
      <c r="AI375" s="6554" t="s">
        <v>1072</v>
      </c>
      <c r="AJ375" s="6554" t="s">
        <v>1073</v>
      </c>
      <c r="AK375" s="6554" t="s">
        <v>1074</v>
      </c>
      <c r="AL375" s="6554"/>
      <c r="AM375" s="6555"/>
      <c r="AN375" s="6554" t="s">
        <v>1013</v>
      </c>
      <c r="AO375" s="6554" t="s">
        <v>1054</v>
      </c>
      <c r="AP375" s="6554" t="s">
        <v>962</v>
      </c>
      <c r="AQ375" s="6555"/>
      <c r="AR375" s="6555"/>
      <c r="AS375" s="6549"/>
      <c r="AT375" s="6549"/>
      <c r="AU375" s="6549"/>
      <c r="AV375" s="6549"/>
      <c r="AW375" s="6553">
        <v>266</v>
      </c>
      <c r="AX375" s="5133"/>
      <c r="AY375" s="5132"/>
      <c r="AZ375" s="5132"/>
      <c r="BA375" s="5132"/>
      <c r="BB375" s="5132"/>
    </row>
    <row r="376" spans="1:54" s="6369" customFormat="1" ht="12.75" customHeight="1">
      <c r="A376" s="10958" t="str">
        <f t="shared" si="32"/>
        <v>8302-05</v>
      </c>
      <c r="B376" s="10932" t="str">
        <f>+B373</f>
        <v>CRRA</v>
      </c>
      <c r="C376" s="10929" t="str">
        <f t="shared" si="33"/>
        <v>13A</v>
      </c>
      <c r="E376" s="5132"/>
      <c r="G376" s="6548">
        <f t="shared" si="30"/>
        <v>148</v>
      </c>
      <c r="H376" s="6548">
        <v>150</v>
      </c>
      <c r="I376" s="10958">
        <f>1+I373</f>
        <v>54</v>
      </c>
      <c r="J376" s="10968"/>
      <c r="K376" s="10958">
        <f>+IF(ISNA(VLOOKUP(MATCH(P376,tfn,0),tao,'12(id)'!$K$20,FALSE)),"",IF(J376="NA","",VLOOKUP(MATCH(P376,tfn,0),tao,'12(id)'!$K$20,FALSE)+J376))</f>
        <v>8302</v>
      </c>
      <c r="L376" s="10958">
        <f>1+L375</f>
        <v>5</v>
      </c>
      <c r="M376" s="10958" t="str">
        <f t="shared" si="31"/>
        <v>8302-05</v>
      </c>
      <c r="N376" s="10958" t="str">
        <f>+IF(M376="","",VLOOKUP(MATCH(M376,tid,0),tao,'12(id)'!$Q$20,FALSE))</f>
        <v>13A</v>
      </c>
      <c r="O376" s="10958"/>
      <c r="P376" s="6549" t="s">
        <v>325</v>
      </c>
      <c r="Q376" s="6550" t="s">
        <v>810</v>
      </c>
      <c r="R376" s="6548">
        <v>563</v>
      </c>
      <c r="S376" s="6549" t="s">
        <v>967</v>
      </c>
      <c r="T376" s="6549"/>
      <c r="U376" s="6550">
        <v>2010</v>
      </c>
      <c r="V376" s="6550"/>
      <c r="W376" s="6548">
        <v>25</v>
      </c>
      <c r="X376" s="6548">
        <v>12</v>
      </c>
      <c r="Y376" s="6551">
        <v>326</v>
      </c>
      <c r="Z376" s="6551" t="s">
        <v>939</v>
      </c>
      <c r="AA376" s="6552">
        <v>0.81</v>
      </c>
      <c r="AB376" s="6553">
        <v>1.8</v>
      </c>
      <c r="AC376" s="6551">
        <v>4308</v>
      </c>
      <c r="AD376" s="6549" t="s">
        <v>961</v>
      </c>
      <c r="AE376" s="6549"/>
      <c r="AF376" s="6549">
        <v>4911</v>
      </c>
      <c r="AG376" s="6549" t="s">
        <v>1008</v>
      </c>
      <c r="AH376" s="6554" t="s">
        <v>1072</v>
      </c>
      <c r="AI376" s="6554" t="s">
        <v>1072</v>
      </c>
      <c r="AJ376" s="6554" t="s">
        <v>1073</v>
      </c>
      <c r="AK376" s="6554" t="s">
        <v>1074</v>
      </c>
      <c r="AL376" s="6554"/>
      <c r="AM376" s="6555"/>
      <c r="AN376" s="6554" t="s">
        <v>1013</v>
      </c>
      <c r="AO376" s="6554" t="s">
        <v>1054</v>
      </c>
      <c r="AP376" s="6554" t="s">
        <v>962</v>
      </c>
      <c r="AQ376" s="6555"/>
      <c r="AR376" s="6555"/>
      <c r="AS376" s="6549"/>
      <c r="AT376" s="6549"/>
      <c r="AU376" s="6549"/>
      <c r="AV376" s="6549"/>
      <c r="AW376" s="6553">
        <v>266</v>
      </c>
      <c r="AX376" s="5133"/>
      <c r="AY376" s="5132"/>
      <c r="AZ376" s="5132"/>
      <c r="BA376" s="5132"/>
      <c r="BB376" s="5132"/>
    </row>
    <row r="377" spans="1:54" s="6369" customFormat="1" ht="12.75" customHeight="1">
      <c r="A377" s="10959" t="str">
        <f t="shared" si="32"/>
        <v>8302-05</v>
      </c>
      <c r="B377" s="10933">
        <f>+IF(A377="","",VLOOKUP(MATCH(A377,tid,0),tao,'12(id)'!$J$20,FALSE))</f>
        <v>0</v>
      </c>
      <c r="C377" s="10930" t="str">
        <f t="shared" si="33"/>
        <v>13A</v>
      </c>
      <c r="E377" s="5132"/>
      <c r="G377" s="6548">
        <f t="shared" si="30"/>
        <v>149</v>
      </c>
      <c r="H377" s="6548">
        <v>149</v>
      </c>
      <c r="I377" s="10959"/>
      <c r="J377" s="10959"/>
      <c r="K377" s="10959">
        <f>+IF(ISNA(VLOOKUP(MATCH(P377,tfn,0),tao,'12(id)'!$K$20,FALSE)),"",IF(J377="NA","",VLOOKUP(MATCH(P377,tfn,0),tao,'12(id)'!$K$20,FALSE)+J377))</f>
        <v>8302</v>
      </c>
      <c r="L377" s="10959">
        <f>+L376</f>
        <v>5</v>
      </c>
      <c r="M377" s="10959" t="str">
        <f t="shared" si="31"/>
        <v>8302-05</v>
      </c>
      <c r="N377" s="10959" t="str">
        <f>+IF(M377="","",VLOOKUP(MATCH(M377,tid,0),tao,'12(id)'!$Q$20,FALSE))</f>
        <v>13A</v>
      </c>
      <c r="O377" s="10959"/>
      <c r="P377" s="6549" t="s">
        <v>325</v>
      </c>
      <c r="Q377" s="6550" t="s">
        <v>810</v>
      </c>
      <c r="R377" s="6548">
        <v>563</v>
      </c>
      <c r="S377" s="6549" t="s">
        <v>967</v>
      </c>
      <c r="T377" s="6549"/>
      <c r="U377" s="6550">
        <v>2009</v>
      </c>
      <c r="V377" s="6550"/>
      <c r="W377" s="6548">
        <v>24</v>
      </c>
      <c r="X377" s="6548">
        <v>12</v>
      </c>
      <c r="Y377" s="6551">
        <v>284</v>
      </c>
      <c r="Z377" s="6551" t="s">
        <v>939</v>
      </c>
      <c r="AA377" s="6552">
        <v>0.82</v>
      </c>
      <c r="AB377" s="6553">
        <v>1.5</v>
      </c>
      <c r="AC377" s="6551">
        <v>3611</v>
      </c>
      <c r="AD377" s="6549" t="s">
        <v>961</v>
      </c>
      <c r="AE377" s="6549"/>
      <c r="AF377" s="6549">
        <v>4911</v>
      </c>
      <c r="AG377" s="6549" t="s">
        <v>1008</v>
      </c>
      <c r="AH377" s="6554" t="s">
        <v>1072</v>
      </c>
      <c r="AI377" s="6554" t="s">
        <v>1072</v>
      </c>
      <c r="AJ377" s="6554" t="s">
        <v>1073</v>
      </c>
      <c r="AK377" s="6554" t="s">
        <v>1074</v>
      </c>
      <c r="AL377" s="6554"/>
      <c r="AM377" s="6555"/>
      <c r="AN377" s="6554" t="s">
        <v>1013</v>
      </c>
      <c r="AO377" s="6554" t="s">
        <v>1054</v>
      </c>
      <c r="AP377" s="6554" t="s">
        <v>962</v>
      </c>
      <c r="AQ377" s="6555"/>
      <c r="AR377" s="6555"/>
      <c r="AS377" s="6549"/>
      <c r="AT377" s="6549"/>
      <c r="AU377" s="6549"/>
      <c r="AV377" s="6549"/>
      <c r="AW377" s="6553">
        <v>266</v>
      </c>
      <c r="AX377" s="5133"/>
      <c r="AY377" s="5132"/>
      <c r="AZ377" s="5132"/>
      <c r="BA377" s="5132"/>
      <c r="BB377" s="5132"/>
    </row>
    <row r="378" spans="1:54" s="6369" customFormat="1" ht="12.75" customHeight="1">
      <c r="A378" s="10960" t="str">
        <f t="shared" si="32"/>
        <v>8302-05</v>
      </c>
      <c r="B378" s="10934">
        <f>+IF(A378="","",VLOOKUP(MATCH(A378,tid,0),tao,'12(id)'!$J$20,FALSE))</f>
        <v>0</v>
      </c>
      <c r="C378" s="10931" t="str">
        <f t="shared" si="33"/>
        <v>13A</v>
      </c>
      <c r="E378" s="5132"/>
      <c r="G378" s="6548">
        <f t="shared" si="30"/>
        <v>150</v>
      </c>
      <c r="H378" s="6548">
        <v>148</v>
      </c>
      <c r="I378" s="10960"/>
      <c r="J378" s="10960"/>
      <c r="K378" s="10960">
        <f>+IF(ISNA(VLOOKUP(MATCH(P378,tfn,0),tao,'12(id)'!$K$20,FALSE)),"",IF(J378="NA","",VLOOKUP(MATCH(P378,tfn,0),tao,'12(id)'!$K$20,FALSE)+J378))</f>
        <v>8302</v>
      </c>
      <c r="L378" s="10960">
        <f>+L377</f>
        <v>5</v>
      </c>
      <c r="M378" s="10960" t="str">
        <f t="shared" si="31"/>
        <v>8302-05</v>
      </c>
      <c r="N378" s="10960" t="str">
        <f>+IF(M378="","",VLOOKUP(MATCH(M378,tid,0),tao,'12(id)'!$Q$20,FALSE))</f>
        <v>13A</v>
      </c>
      <c r="O378" s="10960"/>
      <c r="P378" s="6549" t="s">
        <v>325</v>
      </c>
      <c r="Q378" s="6550" t="s">
        <v>810</v>
      </c>
      <c r="R378" s="6548">
        <v>563</v>
      </c>
      <c r="S378" s="6549" t="s">
        <v>967</v>
      </c>
      <c r="T378" s="6549"/>
      <c r="U378" s="6550">
        <v>2008</v>
      </c>
      <c r="V378" s="6550"/>
      <c r="W378" s="6548">
        <v>12</v>
      </c>
      <c r="X378" s="6548">
        <v>6</v>
      </c>
      <c r="Y378" s="6551">
        <v>111</v>
      </c>
      <c r="Z378" s="6551" t="s">
        <v>939</v>
      </c>
      <c r="AA378" s="6552">
        <v>0.88</v>
      </c>
      <c r="AB378" s="6553">
        <v>0.6</v>
      </c>
      <c r="AC378" s="6551">
        <v>1405</v>
      </c>
      <c r="AD378" s="6549" t="s">
        <v>961</v>
      </c>
      <c r="AE378" s="6549"/>
      <c r="AF378" s="6549">
        <v>4911</v>
      </c>
      <c r="AG378" s="6549" t="s">
        <v>1008</v>
      </c>
      <c r="AH378" s="6554" t="s">
        <v>1072</v>
      </c>
      <c r="AI378" s="6554" t="s">
        <v>1072</v>
      </c>
      <c r="AJ378" s="6554" t="s">
        <v>1073</v>
      </c>
      <c r="AK378" s="6554" t="s">
        <v>1074</v>
      </c>
      <c r="AL378" s="6554"/>
      <c r="AM378" s="6555"/>
      <c r="AN378" s="6554" t="s">
        <v>1013</v>
      </c>
      <c r="AO378" s="6554" t="s">
        <v>1054</v>
      </c>
      <c r="AP378" s="6554" t="s">
        <v>962</v>
      </c>
      <c r="AQ378" s="6555"/>
      <c r="AR378" s="6555"/>
      <c r="AS378" s="6549"/>
      <c r="AT378" s="6549"/>
      <c r="AU378" s="6549"/>
      <c r="AV378" s="6549"/>
      <c r="AW378" s="6553">
        <v>266</v>
      </c>
      <c r="AX378" s="5133"/>
      <c r="AY378" s="5132"/>
      <c r="AZ378" s="5132"/>
      <c r="BA378" s="5132"/>
      <c r="BB378" s="5132"/>
    </row>
    <row r="379" spans="1:54" s="6369" customFormat="1" ht="12.75" customHeight="1">
      <c r="A379" s="10958" t="str">
        <f t="shared" si="32"/>
        <v>8302-06</v>
      </c>
      <c r="B379" s="10932" t="str">
        <f>+B376</f>
        <v>CRRA</v>
      </c>
      <c r="C379" s="10929" t="str">
        <f t="shared" si="33"/>
        <v>13B</v>
      </c>
      <c r="E379" s="5132"/>
      <c r="G379" s="6548">
        <f t="shared" si="30"/>
        <v>151</v>
      </c>
      <c r="H379" s="6548">
        <v>153</v>
      </c>
      <c r="I379" s="10958">
        <f>1+I376</f>
        <v>55</v>
      </c>
      <c r="J379" s="10968"/>
      <c r="K379" s="10958">
        <f>+IF(ISNA(VLOOKUP(MATCH(P379,tfn,0),tao,'12(id)'!$K$20,FALSE)),"",IF(J379="NA","",VLOOKUP(MATCH(P379,tfn,0),tao,'12(id)'!$K$20,FALSE)+J379))</f>
        <v>8302</v>
      </c>
      <c r="L379" s="10958">
        <f>1+L378</f>
        <v>6</v>
      </c>
      <c r="M379" s="10958" t="str">
        <f t="shared" si="31"/>
        <v>8302-06</v>
      </c>
      <c r="N379" s="10958" t="str">
        <f>+IF(M379="","",VLOOKUP(MATCH(M379,tid,0),tao,'12(id)'!$Q$20,FALSE))</f>
        <v>13B</v>
      </c>
      <c r="O379" s="10958"/>
      <c r="P379" s="6549" t="s">
        <v>325</v>
      </c>
      <c r="Q379" s="6550" t="s">
        <v>810</v>
      </c>
      <c r="R379" s="6548">
        <v>563</v>
      </c>
      <c r="S379" s="6549" t="s">
        <v>968</v>
      </c>
      <c r="T379" s="6549"/>
      <c r="U379" s="6550">
        <v>2010</v>
      </c>
      <c r="V379" s="6550"/>
      <c r="W379" s="6548">
        <v>25</v>
      </c>
      <c r="X379" s="6548">
        <v>12</v>
      </c>
      <c r="Y379" s="6551">
        <v>326</v>
      </c>
      <c r="Z379" s="6551" t="s">
        <v>939</v>
      </c>
      <c r="AA379" s="6552">
        <v>0.79</v>
      </c>
      <c r="AB379" s="6553">
        <v>1.7</v>
      </c>
      <c r="AC379" s="6551">
        <v>4308</v>
      </c>
      <c r="AD379" s="6549" t="s">
        <v>961</v>
      </c>
      <c r="AE379" s="6549"/>
      <c r="AF379" s="6549">
        <v>4911</v>
      </c>
      <c r="AG379" s="6549" t="s">
        <v>1008</v>
      </c>
      <c r="AH379" s="6554" t="s">
        <v>1072</v>
      </c>
      <c r="AI379" s="6554" t="s">
        <v>1072</v>
      </c>
      <c r="AJ379" s="6554" t="s">
        <v>1073</v>
      </c>
      <c r="AK379" s="6554" t="s">
        <v>1074</v>
      </c>
      <c r="AL379" s="6554"/>
      <c r="AM379" s="6555"/>
      <c r="AN379" s="6554" t="s">
        <v>1013</v>
      </c>
      <c r="AO379" s="6554" t="s">
        <v>1054</v>
      </c>
      <c r="AP379" s="6554" t="s">
        <v>962</v>
      </c>
      <c r="AQ379" s="6555"/>
      <c r="AR379" s="6555"/>
      <c r="AS379" s="6549"/>
      <c r="AT379" s="6549"/>
      <c r="AU379" s="6549"/>
      <c r="AV379" s="6549"/>
      <c r="AW379" s="6553">
        <v>266</v>
      </c>
      <c r="AX379" s="5133"/>
      <c r="AY379" s="5132"/>
      <c r="AZ379" s="5132"/>
      <c r="BA379" s="5132"/>
      <c r="BB379" s="5132"/>
    </row>
    <row r="380" spans="1:54" s="6369" customFormat="1" ht="12.75" customHeight="1">
      <c r="A380" s="10959" t="str">
        <f t="shared" si="32"/>
        <v>8302-06</v>
      </c>
      <c r="B380" s="10933">
        <f>+IF(A380="","",VLOOKUP(MATCH(A380,tid,0),tao,'12(id)'!$J$20,FALSE))</f>
        <v>0</v>
      </c>
      <c r="C380" s="10930" t="str">
        <f t="shared" si="33"/>
        <v>13B</v>
      </c>
      <c r="E380" s="5132"/>
      <c r="G380" s="6548">
        <f t="shared" si="30"/>
        <v>152</v>
      </c>
      <c r="H380" s="6548">
        <v>152</v>
      </c>
      <c r="I380" s="10959"/>
      <c r="J380" s="10959"/>
      <c r="K380" s="10959">
        <f>+IF(ISNA(VLOOKUP(MATCH(P380,tfn,0),tao,'12(id)'!$K$20,FALSE)),"",IF(J380="NA","",VLOOKUP(MATCH(P380,tfn,0),tao,'12(id)'!$K$20,FALSE)+J380))</f>
        <v>8302</v>
      </c>
      <c r="L380" s="10959">
        <f>+L379</f>
        <v>6</v>
      </c>
      <c r="M380" s="10959" t="str">
        <f t="shared" si="31"/>
        <v>8302-06</v>
      </c>
      <c r="N380" s="10959" t="str">
        <f>+IF(M380="","",VLOOKUP(MATCH(M380,tid,0),tao,'12(id)'!$Q$20,FALSE))</f>
        <v>13B</v>
      </c>
      <c r="O380" s="10959"/>
      <c r="P380" s="6549" t="s">
        <v>325</v>
      </c>
      <c r="Q380" s="6550" t="s">
        <v>810</v>
      </c>
      <c r="R380" s="6548">
        <v>563</v>
      </c>
      <c r="S380" s="6549" t="s">
        <v>968</v>
      </c>
      <c r="T380" s="6549"/>
      <c r="U380" s="6550">
        <v>2009</v>
      </c>
      <c r="V380" s="6550"/>
      <c r="W380" s="6548">
        <v>24</v>
      </c>
      <c r="X380" s="6548">
        <v>12</v>
      </c>
      <c r="Y380" s="6551">
        <v>284</v>
      </c>
      <c r="Z380" s="6551" t="s">
        <v>939</v>
      </c>
      <c r="AA380" s="6552">
        <v>0.79</v>
      </c>
      <c r="AB380" s="6553">
        <v>1.4</v>
      </c>
      <c r="AC380" s="6551">
        <v>3611</v>
      </c>
      <c r="AD380" s="6549" t="s">
        <v>961</v>
      </c>
      <c r="AE380" s="6549"/>
      <c r="AF380" s="6549">
        <v>4911</v>
      </c>
      <c r="AG380" s="6549" t="s">
        <v>1008</v>
      </c>
      <c r="AH380" s="6554" t="s">
        <v>1072</v>
      </c>
      <c r="AI380" s="6554" t="s">
        <v>1072</v>
      </c>
      <c r="AJ380" s="6554" t="s">
        <v>1073</v>
      </c>
      <c r="AK380" s="6554" t="s">
        <v>1074</v>
      </c>
      <c r="AL380" s="6554"/>
      <c r="AM380" s="6555"/>
      <c r="AN380" s="6554" t="s">
        <v>1013</v>
      </c>
      <c r="AO380" s="6554" t="s">
        <v>1054</v>
      </c>
      <c r="AP380" s="6554" t="s">
        <v>962</v>
      </c>
      <c r="AQ380" s="6555"/>
      <c r="AR380" s="6555"/>
      <c r="AS380" s="6549"/>
      <c r="AT380" s="6549"/>
      <c r="AU380" s="6549"/>
      <c r="AV380" s="6549"/>
      <c r="AW380" s="6553">
        <v>266</v>
      </c>
      <c r="AX380" s="5133"/>
      <c r="AY380" s="5132"/>
      <c r="AZ380" s="5132"/>
      <c r="BA380" s="5132"/>
      <c r="BB380" s="5132"/>
    </row>
    <row r="381" spans="1:54" s="6369" customFormat="1" ht="12.75" customHeight="1">
      <c r="A381" s="10960" t="str">
        <f t="shared" si="32"/>
        <v>8302-06</v>
      </c>
      <c r="B381" s="10934">
        <f>+IF(A381="","",VLOOKUP(MATCH(A381,tid,0),tao,'12(id)'!$J$20,FALSE))</f>
        <v>0</v>
      </c>
      <c r="C381" s="10931" t="str">
        <f t="shared" si="33"/>
        <v>13B</v>
      </c>
      <c r="E381" s="5132"/>
      <c r="G381" s="6548">
        <f t="shared" si="30"/>
        <v>153</v>
      </c>
      <c r="H381" s="6548">
        <v>151</v>
      </c>
      <c r="I381" s="10960"/>
      <c r="J381" s="10960"/>
      <c r="K381" s="10960">
        <f>+IF(ISNA(VLOOKUP(MATCH(P381,tfn,0),tao,'12(id)'!$K$20,FALSE)),"",IF(J381="NA","",VLOOKUP(MATCH(P381,tfn,0),tao,'12(id)'!$K$20,FALSE)+J381))</f>
        <v>8302</v>
      </c>
      <c r="L381" s="10960">
        <f>+L380</f>
        <v>6</v>
      </c>
      <c r="M381" s="10960" t="str">
        <f t="shared" si="31"/>
        <v>8302-06</v>
      </c>
      <c r="N381" s="10960" t="str">
        <f>+IF(M381="","",VLOOKUP(MATCH(M381,tid,0),tao,'12(id)'!$Q$20,FALSE))</f>
        <v>13B</v>
      </c>
      <c r="O381" s="10960"/>
      <c r="P381" s="6549" t="s">
        <v>325</v>
      </c>
      <c r="Q381" s="6550" t="s">
        <v>810</v>
      </c>
      <c r="R381" s="6548">
        <v>563</v>
      </c>
      <c r="S381" s="6549" t="s">
        <v>968</v>
      </c>
      <c r="T381" s="6549"/>
      <c r="U381" s="6550">
        <v>2008</v>
      </c>
      <c r="V381" s="6550"/>
      <c r="W381" s="6548">
        <v>12</v>
      </c>
      <c r="X381" s="6548">
        <v>6</v>
      </c>
      <c r="Y381" s="6551">
        <v>111</v>
      </c>
      <c r="Z381" s="6551" t="s">
        <v>939</v>
      </c>
      <c r="AA381" s="6552">
        <v>0.84</v>
      </c>
      <c r="AB381" s="6553">
        <v>0.6</v>
      </c>
      <c r="AC381" s="6551">
        <v>1405</v>
      </c>
      <c r="AD381" s="6549" t="s">
        <v>961</v>
      </c>
      <c r="AE381" s="6549"/>
      <c r="AF381" s="6549">
        <v>4911</v>
      </c>
      <c r="AG381" s="6549" t="s">
        <v>1008</v>
      </c>
      <c r="AH381" s="6554" t="s">
        <v>1072</v>
      </c>
      <c r="AI381" s="6554" t="s">
        <v>1072</v>
      </c>
      <c r="AJ381" s="6554" t="s">
        <v>1073</v>
      </c>
      <c r="AK381" s="6554" t="s">
        <v>1074</v>
      </c>
      <c r="AL381" s="6554"/>
      <c r="AM381" s="6555"/>
      <c r="AN381" s="6554" t="s">
        <v>1013</v>
      </c>
      <c r="AO381" s="6554" t="s">
        <v>1054</v>
      </c>
      <c r="AP381" s="6554" t="s">
        <v>962</v>
      </c>
      <c r="AQ381" s="6555"/>
      <c r="AR381" s="6555"/>
      <c r="AS381" s="6549"/>
      <c r="AT381" s="6549"/>
      <c r="AU381" s="6549"/>
      <c r="AV381" s="6549"/>
      <c r="AW381" s="6553">
        <v>266</v>
      </c>
      <c r="AX381" s="5133"/>
      <c r="AY381" s="5132"/>
      <c r="AZ381" s="5132"/>
      <c r="BA381" s="5132"/>
      <c r="BB381" s="5132"/>
    </row>
    <row r="382" spans="1:54" s="6369" customFormat="1" ht="12.75" customHeight="1">
      <c r="A382" s="10958" t="str">
        <f t="shared" si="32"/>
        <v>8302-07</v>
      </c>
      <c r="B382" s="10932" t="str">
        <f>+B379</f>
        <v>CRRA</v>
      </c>
      <c r="C382" s="10929" t="str">
        <f t="shared" si="33"/>
        <v>14A</v>
      </c>
      <c r="E382" s="5132"/>
      <c r="G382" s="6548">
        <f t="shared" si="30"/>
        <v>154</v>
      </c>
      <c r="H382" s="6548">
        <v>156</v>
      </c>
      <c r="I382" s="10958">
        <f>1+I379</f>
        <v>56</v>
      </c>
      <c r="J382" s="10968"/>
      <c r="K382" s="10958">
        <f>+IF(ISNA(VLOOKUP(MATCH(P382,tfn,0),tao,'12(id)'!$K$20,FALSE)),"",IF(J382="NA","",VLOOKUP(MATCH(P382,tfn,0),tao,'12(id)'!$K$20,FALSE)+J382))</f>
        <v>8302</v>
      </c>
      <c r="L382" s="10958">
        <f>1+L381</f>
        <v>7</v>
      </c>
      <c r="M382" s="10958" t="str">
        <f t="shared" si="31"/>
        <v>8302-07</v>
      </c>
      <c r="N382" s="10958" t="str">
        <f>+IF(M382="","",VLOOKUP(MATCH(M382,tid,0),tao,'12(id)'!$Q$20,FALSE))</f>
        <v>14A</v>
      </c>
      <c r="O382" s="10958"/>
      <c r="P382" s="6549" t="s">
        <v>325</v>
      </c>
      <c r="Q382" s="6550" t="s">
        <v>810</v>
      </c>
      <c r="R382" s="6548">
        <v>563</v>
      </c>
      <c r="S382" s="6549" t="s">
        <v>969</v>
      </c>
      <c r="T382" s="6549"/>
      <c r="U382" s="6550">
        <v>2010</v>
      </c>
      <c r="V382" s="6550"/>
      <c r="W382" s="6548">
        <v>24</v>
      </c>
      <c r="X382" s="6548">
        <v>12</v>
      </c>
      <c r="Y382" s="6551">
        <v>296</v>
      </c>
      <c r="Z382" s="6551" t="s">
        <v>939</v>
      </c>
      <c r="AA382" s="6552">
        <v>0.82</v>
      </c>
      <c r="AB382" s="6553">
        <v>1.6</v>
      </c>
      <c r="AC382" s="6551">
        <v>3909</v>
      </c>
      <c r="AD382" s="6549" t="s">
        <v>961</v>
      </c>
      <c r="AE382" s="6549"/>
      <c r="AF382" s="6549">
        <v>4911</v>
      </c>
      <c r="AG382" s="6549" t="s">
        <v>1008</v>
      </c>
      <c r="AH382" s="6554" t="s">
        <v>1072</v>
      </c>
      <c r="AI382" s="6554" t="s">
        <v>1072</v>
      </c>
      <c r="AJ382" s="6554" t="s">
        <v>1073</v>
      </c>
      <c r="AK382" s="6554" t="s">
        <v>1074</v>
      </c>
      <c r="AL382" s="6554"/>
      <c r="AM382" s="6555"/>
      <c r="AN382" s="6554" t="s">
        <v>1013</v>
      </c>
      <c r="AO382" s="6554" t="s">
        <v>1054</v>
      </c>
      <c r="AP382" s="6554" t="s">
        <v>962</v>
      </c>
      <c r="AQ382" s="6555"/>
      <c r="AR382" s="6555"/>
      <c r="AS382" s="6549"/>
      <c r="AT382" s="6549"/>
      <c r="AU382" s="6549"/>
      <c r="AV382" s="6549"/>
      <c r="AW382" s="6553">
        <v>266</v>
      </c>
      <c r="AX382" s="5133"/>
      <c r="AY382" s="5132"/>
      <c r="AZ382" s="5132"/>
      <c r="BA382" s="5132"/>
      <c r="BB382" s="5132"/>
    </row>
    <row r="383" spans="1:54" s="6369" customFormat="1" ht="12.75" customHeight="1">
      <c r="A383" s="10959" t="str">
        <f t="shared" si="32"/>
        <v>8302-07</v>
      </c>
      <c r="B383" s="10933">
        <f>+IF(A383="","",VLOOKUP(MATCH(A383,tid,0),tao,'12(id)'!$J$20,FALSE))</f>
        <v>0</v>
      </c>
      <c r="C383" s="10930" t="str">
        <f t="shared" si="33"/>
        <v>14A</v>
      </c>
      <c r="E383" s="5132"/>
      <c r="G383" s="6548">
        <f t="shared" si="30"/>
        <v>155</v>
      </c>
      <c r="H383" s="6548">
        <v>155</v>
      </c>
      <c r="I383" s="10959"/>
      <c r="J383" s="10959"/>
      <c r="K383" s="10959">
        <f>+IF(ISNA(VLOOKUP(MATCH(P383,tfn,0),tao,'12(id)'!$K$20,FALSE)),"",IF(J383="NA","",VLOOKUP(MATCH(P383,tfn,0),tao,'12(id)'!$K$20,FALSE)+J383))</f>
        <v>8302</v>
      </c>
      <c r="L383" s="10959">
        <f>+L382</f>
        <v>7</v>
      </c>
      <c r="M383" s="10959" t="str">
        <f t="shared" si="31"/>
        <v>8302-07</v>
      </c>
      <c r="N383" s="10959" t="str">
        <f>+IF(M383="","",VLOOKUP(MATCH(M383,tid,0),tao,'12(id)'!$Q$20,FALSE))</f>
        <v>14A</v>
      </c>
      <c r="O383" s="10959"/>
      <c r="P383" s="6549" t="s">
        <v>325</v>
      </c>
      <c r="Q383" s="6550" t="s">
        <v>810</v>
      </c>
      <c r="R383" s="6548">
        <v>563</v>
      </c>
      <c r="S383" s="6549" t="s">
        <v>969</v>
      </c>
      <c r="T383" s="6549"/>
      <c r="U383" s="6550">
        <v>2009</v>
      </c>
      <c r="V383" s="6550"/>
      <c r="W383" s="6548">
        <v>19</v>
      </c>
      <c r="X383" s="6548">
        <v>12</v>
      </c>
      <c r="Y383" s="6551">
        <v>239</v>
      </c>
      <c r="Z383" s="6551" t="s">
        <v>939</v>
      </c>
      <c r="AA383" s="6552">
        <v>0.82</v>
      </c>
      <c r="AB383" s="6553">
        <v>1.3</v>
      </c>
      <c r="AC383" s="6551">
        <v>3094</v>
      </c>
      <c r="AD383" s="6549" t="s">
        <v>961</v>
      </c>
      <c r="AE383" s="6549"/>
      <c r="AF383" s="6549">
        <v>4911</v>
      </c>
      <c r="AG383" s="6549" t="s">
        <v>1008</v>
      </c>
      <c r="AH383" s="6554" t="s">
        <v>1072</v>
      </c>
      <c r="AI383" s="6554" t="s">
        <v>1072</v>
      </c>
      <c r="AJ383" s="6554" t="s">
        <v>1073</v>
      </c>
      <c r="AK383" s="6554" t="s">
        <v>1074</v>
      </c>
      <c r="AL383" s="6554"/>
      <c r="AM383" s="6555"/>
      <c r="AN383" s="6554" t="s">
        <v>1013</v>
      </c>
      <c r="AO383" s="6554" t="s">
        <v>1054</v>
      </c>
      <c r="AP383" s="6554" t="s">
        <v>962</v>
      </c>
      <c r="AQ383" s="6555"/>
      <c r="AR383" s="6555"/>
      <c r="AS383" s="6549"/>
      <c r="AT383" s="6549"/>
      <c r="AU383" s="6549"/>
      <c r="AV383" s="6549"/>
      <c r="AW383" s="6553">
        <v>266</v>
      </c>
      <c r="AX383" s="5133"/>
      <c r="AY383" s="5132"/>
      <c r="AZ383" s="5132"/>
      <c r="BA383" s="5132"/>
      <c r="BB383" s="5132"/>
    </row>
    <row r="384" spans="1:54" s="6369" customFormat="1" ht="12.75" customHeight="1">
      <c r="A384" s="10960" t="str">
        <f t="shared" si="32"/>
        <v>8302-07</v>
      </c>
      <c r="B384" s="10934">
        <f>+IF(A384="","",VLOOKUP(MATCH(A384,tid,0),tao,'12(id)'!$J$20,FALSE))</f>
        <v>0</v>
      </c>
      <c r="C384" s="10931" t="str">
        <f t="shared" si="33"/>
        <v>14A</v>
      </c>
      <c r="E384" s="5132"/>
      <c r="G384" s="6548">
        <f t="shared" si="30"/>
        <v>156</v>
      </c>
      <c r="H384" s="6548">
        <v>154</v>
      </c>
      <c r="I384" s="10960"/>
      <c r="J384" s="10960"/>
      <c r="K384" s="10960">
        <f>+IF(ISNA(VLOOKUP(MATCH(P384,tfn,0),tao,'12(id)'!$K$20,FALSE)),"",IF(J384="NA","",VLOOKUP(MATCH(P384,tfn,0),tao,'12(id)'!$K$20,FALSE)+J384))</f>
        <v>8302</v>
      </c>
      <c r="L384" s="10960">
        <f>+L383</f>
        <v>7</v>
      </c>
      <c r="M384" s="10960" t="str">
        <f t="shared" si="31"/>
        <v>8302-07</v>
      </c>
      <c r="N384" s="10960" t="str">
        <f>+IF(M384="","",VLOOKUP(MATCH(M384,tid,0),tao,'12(id)'!$Q$20,FALSE))</f>
        <v>14A</v>
      </c>
      <c r="O384" s="10960"/>
      <c r="P384" s="6549" t="s">
        <v>325</v>
      </c>
      <c r="Q384" s="6550" t="s">
        <v>810</v>
      </c>
      <c r="R384" s="6548">
        <v>563</v>
      </c>
      <c r="S384" s="6549" t="s">
        <v>969</v>
      </c>
      <c r="T384" s="6549"/>
      <c r="U384" s="6550">
        <v>2008</v>
      </c>
      <c r="V384" s="6550"/>
      <c r="W384" s="6548">
        <v>9</v>
      </c>
      <c r="X384" s="6548">
        <v>6</v>
      </c>
      <c r="Y384" s="6551">
        <v>89</v>
      </c>
      <c r="Z384" s="6551" t="s">
        <v>939</v>
      </c>
      <c r="AA384" s="6552">
        <v>0.87</v>
      </c>
      <c r="AB384" s="6553">
        <v>0.5</v>
      </c>
      <c r="AC384" s="6551">
        <v>1135</v>
      </c>
      <c r="AD384" s="6549" t="s">
        <v>961</v>
      </c>
      <c r="AE384" s="6549"/>
      <c r="AF384" s="6549">
        <v>4911</v>
      </c>
      <c r="AG384" s="6549" t="s">
        <v>1008</v>
      </c>
      <c r="AH384" s="6554" t="s">
        <v>1072</v>
      </c>
      <c r="AI384" s="6554" t="s">
        <v>1072</v>
      </c>
      <c r="AJ384" s="6554" t="s">
        <v>1073</v>
      </c>
      <c r="AK384" s="6554" t="s">
        <v>1074</v>
      </c>
      <c r="AL384" s="6554"/>
      <c r="AM384" s="6555"/>
      <c r="AN384" s="6554" t="s">
        <v>1013</v>
      </c>
      <c r="AO384" s="6554" t="s">
        <v>1054</v>
      </c>
      <c r="AP384" s="6554" t="s">
        <v>962</v>
      </c>
      <c r="AQ384" s="6555"/>
      <c r="AR384" s="6555"/>
      <c r="AS384" s="6549"/>
      <c r="AT384" s="6549"/>
      <c r="AU384" s="6549"/>
      <c r="AV384" s="6549"/>
      <c r="AW384" s="6553">
        <v>266</v>
      </c>
      <c r="AX384" s="5133"/>
      <c r="AY384" s="5132"/>
      <c r="AZ384" s="5132"/>
      <c r="BA384" s="5132"/>
      <c r="BB384" s="5132"/>
    </row>
    <row r="385" spans="1:54" s="6369" customFormat="1" ht="12.75" customHeight="1">
      <c r="A385" s="10958" t="str">
        <f t="shared" si="32"/>
        <v>8302-08</v>
      </c>
      <c r="B385" s="10932" t="str">
        <f>+B382</f>
        <v>CRRA</v>
      </c>
      <c r="C385" s="10929" t="str">
        <f t="shared" si="33"/>
        <v>14B</v>
      </c>
      <c r="E385" s="5132"/>
      <c r="G385" s="6548">
        <f t="shared" si="30"/>
        <v>157</v>
      </c>
      <c r="H385" s="6548">
        <v>159</v>
      </c>
      <c r="I385" s="10958">
        <f>1+I382</f>
        <v>57</v>
      </c>
      <c r="J385" s="10968"/>
      <c r="K385" s="10958">
        <f>+IF(ISNA(VLOOKUP(MATCH(P385,tfn,0),tao,'12(id)'!$K$20,FALSE)),"",IF(J385="NA","",VLOOKUP(MATCH(P385,tfn,0),tao,'12(id)'!$K$20,FALSE)+J385))</f>
        <v>8302</v>
      </c>
      <c r="L385" s="10958">
        <f>1+L384</f>
        <v>8</v>
      </c>
      <c r="M385" s="10958" t="str">
        <f t="shared" si="31"/>
        <v>8302-08</v>
      </c>
      <c r="N385" s="10958" t="str">
        <f>+IF(M385="","",VLOOKUP(MATCH(M385,tid,0),tao,'12(id)'!$Q$20,FALSE))</f>
        <v>14B</v>
      </c>
      <c r="O385" s="10958"/>
      <c r="P385" s="6549" t="s">
        <v>325</v>
      </c>
      <c r="Q385" s="6550" t="s">
        <v>810</v>
      </c>
      <c r="R385" s="6548">
        <v>563</v>
      </c>
      <c r="S385" s="6549" t="s">
        <v>970</v>
      </c>
      <c r="T385" s="6549"/>
      <c r="U385" s="6550">
        <v>2010</v>
      </c>
      <c r="V385" s="6550"/>
      <c r="W385" s="6548">
        <v>24</v>
      </c>
      <c r="X385" s="6548">
        <v>12</v>
      </c>
      <c r="Y385" s="6551">
        <v>296</v>
      </c>
      <c r="Z385" s="6551" t="s">
        <v>939</v>
      </c>
      <c r="AA385" s="6552">
        <v>0.83</v>
      </c>
      <c r="AB385" s="6553">
        <v>1.7</v>
      </c>
      <c r="AC385" s="6551">
        <v>3909</v>
      </c>
      <c r="AD385" s="6549" t="s">
        <v>961</v>
      </c>
      <c r="AE385" s="6549"/>
      <c r="AF385" s="6549">
        <v>4911</v>
      </c>
      <c r="AG385" s="6549" t="s">
        <v>1008</v>
      </c>
      <c r="AH385" s="6554" t="s">
        <v>1072</v>
      </c>
      <c r="AI385" s="6554" t="s">
        <v>1072</v>
      </c>
      <c r="AJ385" s="6554" t="s">
        <v>1073</v>
      </c>
      <c r="AK385" s="6554" t="s">
        <v>1074</v>
      </c>
      <c r="AL385" s="6554"/>
      <c r="AM385" s="6555"/>
      <c r="AN385" s="6554" t="s">
        <v>1013</v>
      </c>
      <c r="AO385" s="6554" t="s">
        <v>1054</v>
      </c>
      <c r="AP385" s="6554" t="s">
        <v>962</v>
      </c>
      <c r="AQ385" s="6555"/>
      <c r="AR385" s="6555"/>
      <c r="AS385" s="6549"/>
      <c r="AT385" s="6549"/>
      <c r="AU385" s="6549"/>
      <c r="AV385" s="6549"/>
      <c r="AW385" s="6553">
        <v>266</v>
      </c>
      <c r="AX385" s="5133"/>
      <c r="AY385" s="5132"/>
      <c r="AZ385" s="5132"/>
      <c r="BA385" s="5132"/>
      <c r="BB385" s="5132"/>
    </row>
    <row r="386" spans="1:54" s="6369" customFormat="1" ht="12.75" customHeight="1">
      <c r="A386" s="10959" t="str">
        <f t="shared" si="32"/>
        <v>8302-08</v>
      </c>
      <c r="B386" s="10933">
        <f>+IF(A386="","",VLOOKUP(MATCH(A386,tid,0),tao,'12(id)'!$J$20,FALSE))</f>
        <v>0</v>
      </c>
      <c r="C386" s="10930" t="str">
        <f t="shared" si="33"/>
        <v>14B</v>
      </c>
      <c r="E386" s="5132"/>
      <c r="G386" s="6548">
        <f t="shared" si="30"/>
        <v>158</v>
      </c>
      <c r="H386" s="6548">
        <v>158</v>
      </c>
      <c r="I386" s="10959"/>
      <c r="J386" s="10959"/>
      <c r="K386" s="10959">
        <f>+IF(ISNA(VLOOKUP(MATCH(P386,tfn,0),tao,'12(id)'!$K$20,FALSE)),"",IF(J386="NA","",VLOOKUP(MATCH(P386,tfn,0),tao,'12(id)'!$K$20,FALSE)+J386))</f>
        <v>8302</v>
      </c>
      <c r="L386" s="10959">
        <f>+L385</f>
        <v>8</v>
      </c>
      <c r="M386" s="10959" t="str">
        <f t="shared" si="31"/>
        <v>8302-08</v>
      </c>
      <c r="N386" s="10959" t="str">
        <f>+IF(M386="","",VLOOKUP(MATCH(M386,tid,0),tao,'12(id)'!$Q$20,FALSE))</f>
        <v>14B</v>
      </c>
      <c r="O386" s="10959"/>
      <c r="P386" s="6549" t="s">
        <v>325</v>
      </c>
      <c r="Q386" s="6550" t="s">
        <v>810</v>
      </c>
      <c r="R386" s="6548">
        <v>563</v>
      </c>
      <c r="S386" s="6549" t="s">
        <v>970</v>
      </c>
      <c r="T386" s="6549"/>
      <c r="U386" s="6550">
        <v>2009</v>
      </c>
      <c r="V386" s="6550"/>
      <c r="W386" s="6548">
        <v>19</v>
      </c>
      <c r="X386" s="6548">
        <v>12</v>
      </c>
      <c r="Y386" s="6551">
        <v>239</v>
      </c>
      <c r="Z386" s="6551" t="s">
        <v>939</v>
      </c>
      <c r="AA386" s="6552">
        <v>0.75</v>
      </c>
      <c r="AB386" s="6553">
        <v>1.2</v>
      </c>
      <c r="AC386" s="6551">
        <v>3094</v>
      </c>
      <c r="AD386" s="6549" t="s">
        <v>961</v>
      </c>
      <c r="AE386" s="6549"/>
      <c r="AF386" s="6549">
        <v>4911</v>
      </c>
      <c r="AG386" s="6549" t="s">
        <v>1008</v>
      </c>
      <c r="AH386" s="6554" t="s">
        <v>1072</v>
      </c>
      <c r="AI386" s="6554" t="s">
        <v>1072</v>
      </c>
      <c r="AJ386" s="6554" t="s">
        <v>1073</v>
      </c>
      <c r="AK386" s="6554" t="s">
        <v>1074</v>
      </c>
      <c r="AL386" s="6554"/>
      <c r="AM386" s="6555"/>
      <c r="AN386" s="6554" t="s">
        <v>1013</v>
      </c>
      <c r="AO386" s="6554" t="s">
        <v>1054</v>
      </c>
      <c r="AP386" s="6554" t="s">
        <v>962</v>
      </c>
      <c r="AQ386" s="6555"/>
      <c r="AR386" s="6555"/>
      <c r="AS386" s="6549"/>
      <c r="AT386" s="6549"/>
      <c r="AU386" s="6549"/>
      <c r="AV386" s="6549"/>
      <c r="AW386" s="6553">
        <v>266</v>
      </c>
      <c r="AX386" s="5133"/>
      <c r="AY386" s="5132"/>
      <c r="AZ386" s="5132"/>
      <c r="BA386" s="5132"/>
      <c r="BB386" s="5132"/>
    </row>
    <row r="387" spans="1:54" s="6369" customFormat="1" ht="12.75" customHeight="1">
      <c r="A387" s="10960" t="str">
        <f t="shared" si="32"/>
        <v>8302-08</v>
      </c>
      <c r="B387" s="10934">
        <f>+IF(A387="","",VLOOKUP(MATCH(A387,tid,0),tao,'12(id)'!$J$20,FALSE))</f>
        <v>0</v>
      </c>
      <c r="C387" s="10931" t="str">
        <f t="shared" si="33"/>
        <v>14B</v>
      </c>
      <c r="E387" s="5132"/>
      <c r="G387" s="6548">
        <f t="shared" si="30"/>
        <v>159</v>
      </c>
      <c r="H387" s="6548">
        <v>157</v>
      </c>
      <c r="I387" s="10960"/>
      <c r="J387" s="10960"/>
      <c r="K387" s="10960">
        <f>+IF(ISNA(VLOOKUP(MATCH(P387,tfn,0),tao,'12(id)'!$K$20,FALSE)),"",IF(J387="NA","",VLOOKUP(MATCH(P387,tfn,0),tao,'12(id)'!$K$20,FALSE)+J387))</f>
        <v>8302</v>
      </c>
      <c r="L387" s="10960">
        <f>+L386</f>
        <v>8</v>
      </c>
      <c r="M387" s="10960" t="str">
        <f t="shared" si="31"/>
        <v>8302-08</v>
      </c>
      <c r="N387" s="10960" t="str">
        <f>+IF(M387="","",VLOOKUP(MATCH(M387,tid,0),tao,'12(id)'!$Q$20,FALSE))</f>
        <v>14B</v>
      </c>
      <c r="O387" s="10960"/>
      <c r="P387" s="6549" t="s">
        <v>325</v>
      </c>
      <c r="Q387" s="6550" t="s">
        <v>810</v>
      </c>
      <c r="R387" s="6548">
        <v>563</v>
      </c>
      <c r="S387" s="6549" t="s">
        <v>970</v>
      </c>
      <c r="T387" s="6549"/>
      <c r="U387" s="6550">
        <v>2008</v>
      </c>
      <c r="V387" s="6550"/>
      <c r="W387" s="6548">
        <v>9</v>
      </c>
      <c r="X387" s="6548">
        <v>6</v>
      </c>
      <c r="Y387" s="6551">
        <v>89</v>
      </c>
      <c r="Z387" s="6551" t="s">
        <v>939</v>
      </c>
      <c r="AA387" s="6552">
        <v>0.74</v>
      </c>
      <c r="AB387" s="6553">
        <v>0.4</v>
      </c>
      <c r="AC387" s="6551">
        <v>1135</v>
      </c>
      <c r="AD387" s="6549" t="s">
        <v>961</v>
      </c>
      <c r="AE387" s="6549"/>
      <c r="AF387" s="6549">
        <v>4911</v>
      </c>
      <c r="AG387" s="6549" t="s">
        <v>1008</v>
      </c>
      <c r="AH387" s="6554" t="s">
        <v>1072</v>
      </c>
      <c r="AI387" s="6554" t="s">
        <v>1072</v>
      </c>
      <c r="AJ387" s="6554" t="s">
        <v>1073</v>
      </c>
      <c r="AK387" s="6554" t="s">
        <v>1074</v>
      </c>
      <c r="AL387" s="6554"/>
      <c r="AM387" s="6555"/>
      <c r="AN387" s="6554" t="s">
        <v>1013</v>
      </c>
      <c r="AO387" s="6554" t="s">
        <v>1054</v>
      </c>
      <c r="AP387" s="6554" t="s">
        <v>962</v>
      </c>
      <c r="AQ387" s="6555"/>
      <c r="AR387" s="6555"/>
      <c r="AS387" s="6549"/>
      <c r="AT387" s="6549"/>
      <c r="AU387" s="6549"/>
      <c r="AV387" s="6549"/>
      <c r="AW387" s="6553">
        <v>266</v>
      </c>
      <c r="AX387" s="5133"/>
      <c r="AY387" s="5132"/>
      <c r="AZ387" s="5132"/>
      <c r="BA387" s="5132"/>
      <c r="BB387" s="5132"/>
    </row>
    <row r="388" spans="1:54" s="6369" customFormat="1" ht="12.75" customHeight="1">
      <c r="A388" s="10958" t="str">
        <f t="shared" si="32"/>
        <v>8300-08</v>
      </c>
      <c r="B388" s="10932" t="str">
        <f>+IF(A388="","",VLOOKUP(MATCH(A388,tid,0),tao,'12(id)'!$J$20,FALSE))</f>
        <v>NRG</v>
      </c>
      <c r="C388" s="10929" t="str">
        <f t="shared" si="33"/>
        <v>TT10</v>
      </c>
      <c r="E388" s="5132"/>
      <c r="G388" s="6548">
        <f t="shared" si="30"/>
        <v>160</v>
      </c>
      <c r="H388" s="6548">
        <v>162</v>
      </c>
      <c r="I388" s="10958">
        <f>1+I385</f>
        <v>58</v>
      </c>
      <c r="J388" s="10968"/>
      <c r="K388" s="10958">
        <f>+IF(ISNA(VLOOKUP(MATCH(P388,tfn,0),tao,'12(id)'!$K$20,FALSE)),"",IF(J388="NA","",VLOOKUP(MATCH(P388,tfn,0),tao,'12(id)'!$K$20,FALSE)+J388))</f>
        <v>8300</v>
      </c>
      <c r="L388" s="10958">
        <v>8</v>
      </c>
      <c r="M388" s="10958" t="str">
        <f t="shared" si="31"/>
        <v>8300-08</v>
      </c>
      <c r="N388" s="10958" t="str">
        <f>+IF(M388="","",VLOOKUP(MATCH(M388,tid,0),tao,'12(id)'!$Q$20,FALSE))</f>
        <v>TT10</v>
      </c>
      <c r="O388" s="10958"/>
      <c r="P388" s="6549" t="s">
        <v>354</v>
      </c>
      <c r="Q388" s="6550"/>
      <c r="R388" s="6548">
        <v>565</v>
      </c>
      <c r="S388" s="6549" t="s">
        <v>1044</v>
      </c>
      <c r="T388" s="6549"/>
      <c r="U388" s="6550">
        <v>2010</v>
      </c>
      <c r="V388" s="6550"/>
      <c r="W388" s="6548">
        <v>36</v>
      </c>
      <c r="X388" s="6548">
        <v>6</v>
      </c>
      <c r="Y388" s="6551">
        <v>468</v>
      </c>
      <c r="Z388" s="6551" t="s">
        <v>939</v>
      </c>
      <c r="AA388" s="6552">
        <v>1.2</v>
      </c>
      <c r="AB388" s="6553">
        <v>5.4</v>
      </c>
      <c r="AC388" s="6551">
        <v>9070</v>
      </c>
      <c r="AD388" s="6549" t="s">
        <v>961</v>
      </c>
      <c r="AE388" s="6549"/>
      <c r="AF388" s="6549">
        <v>4911</v>
      </c>
      <c r="AG388" s="6549" t="s">
        <v>1008</v>
      </c>
      <c r="AH388" s="6554" t="s">
        <v>1075</v>
      </c>
      <c r="AI388" s="6554" t="s">
        <v>1075</v>
      </c>
      <c r="AJ388" s="6554" t="s">
        <v>1040</v>
      </c>
      <c r="AK388" s="6554" t="s">
        <v>1011</v>
      </c>
      <c r="AL388" s="6554"/>
      <c r="AM388" s="6555"/>
      <c r="AN388" s="6554" t="s">
        <v>1013</v>
      </c>
      <c r="AO388" s="6554" t="s">
        <v>1054</v>
      </c>
      <c r="AP388" s="6554" t="s">
        <v>1047</v>
      </c>
      <c r="AQ388" s="6555"/>
      <c r="AR388" s="6555"/>
      <c r="AS388" s="6549"/>
      <c r="AT388" s="6549"/>
      <c r="AU388" s="6549"/>
      <c r="AV388" s="6549"/>
      <c r="AW388" s="6553">
        <v>250</v>
      </c>
      <c r="AX388" s="5133"/>
      <c r="AY388" s="5132"/>
      <c r="AZ388" s="5132"/>
      <c r="BA388" s="5132"/>
      <c r="BB388" s="5132"/>
    </row>
    <row r="389" spans="1:54" s="6369" customFormat="1" ht="12.75" customHeight="1">
      <c r="A389" s="10959" t="str">
        <f t="shared" si="32"/>
        <v>8300-08</v>
      </c>
      <c r="B389" s="10933" t="str">
        <f>+IF(A389="","",VLOOKUP(MATCH(A389,tid,0),tao,'12(id)'!$J$20,FALSE))</f>
        <v>NRG</v>
      </c>
      <c r="C389" s="10930" t="str">
        <f t="shared" si="33"/>
        <v>TT10</v>
      </c>
      <c r="E389" s="5132"/>
      <c r="G389" s="6548">
        <f t="shared" si="30"/>
        <v>161</v>
      </c>
      <c r="H389" s="6548">
        <v>161</v>
      </c>
      <c r="I389" s="10959"/>
      <c r="J389" s="10959"/>
      <c r="K389" s="10959">
        <f>+IF(ISNA(VLOOKUP(MATCH(P389,tfn,0),tao,'12(id)'!$K$20,FALSE)),"",IF(J389="NA","",VLOOKUP(MATCH(P389,tfn,0),tao,'12(id)'!$K$20,FALSE)+J389))</f>
        <v>8300</v>
      </c>
      <c r="L389" s="10959">
        <f>+L388</f>
        <v>8</v>
      </c>
      <c r="M389" s="10959" t="str">
        <f t="shared" si="31"/>
        <v>8300-08</v>
      </c>
      <c r="N389" s="10959" t="str">
        <f>+IF(M389="","",VLOOKUP(MATCH(M389,tid,0),tao,'12(id)'!$Q$20,FALSE))</f>
        <v>TT10</v>
      </c>
      <c r="O389" s="10959"/>
      <c r="P389" s="6549" t="s">
        <v>354</v>
      </c>
      <c r="Q389" s="6550"/>
      <c r="R389" s="6548">
        <v>565</v>
      </c>
      <c r="S389" s="6549" t="s">
        <v>1044</v>
      </c>
      <c r="T389" s="6549"/>
      <c r="U389" s="6550">
        <v>2009</v>
      </c>
      <c r="V389" s="6550"/>
      <c r="W389" s="6548">
        <v>6</v>
      </c>
      <c r="X389" s="6548">
        <v>6</v>
      </c>
      <c r="Y389" s="6551">
        <v>91</v>
      </c>
      <c r="Z389" s="6551" t="s">
        <v>939</v>
      </c>
      <c r="AA389" s="6552">
        <v>1.2</v>
      </c>
      <c r="AB389" s="6553">
        <v>0.8</v>
      </c>
      <c r="AC389" s="6551">
        <v>1408</v>
      </c>
      <c r="AD389" s="6549" t="s">
        <v>961</v>
      </c>
      <c r="AE389" s="6549"/>
      <c r="AF389" s="6549">
        <v>4911</v>
      </c>
      <c r="AG389" s="6549" t="s">
        <v>1008</v>
      </c>
      <c r="AH389" s="6555" t="s">
        <v>1075</v>
      </c>
      <c r="AI389" s="6554" t="s">
        <v>1075</v>
      </c>
      <c r="AJ389" s="6554" t="s">
        <v>11</v>
      </c>
      <c r="AK389" s="6554" t="s">
        <v>1043</v>
      </c>
      <c r="AL389" s="6554"/>
      <c r="AM389" s="6555"/>
      <c r="AN389" s="6555" t="s">
        <v>1013</v>
      </c>
      <c r="AO389" s="6555" t="s">
        <v>1054</v>
      </c>
      <c r="AP389" s="6555" t="s">
        <v>1047</v>
      </c>
      <c r="AQ389" s="6555"/>
      <c r="AR389" s="6555"/>
      <c r="AS389" s="6549"/>
      <c r="AT389" s="6549"/>
      <c r="AU389" s="6549"/>
      <c r="AV389" s="6549"/>
      <c r="AW389" s="6553">
        <v>250</v>
      </c>
      <c r="AX389" s="5133"/>
      <c r="AY389" s="5132"/>
      <c r="AZ389" s="5132"/>
      <c r="BA389" s="5132"/>
      <c r="BB389" s="5132"/>
    </row>
    <row r="390" spans="1:54" s="6369" customFormat="1" ht="12.75" customHeight="1">
      <c r="A390" s="10960" t="str">
        <f t="shared" si="32"/>
        <v>8300-08</v>
      </c>
      <c r="B390" s="10934" t="str">
        <f>+IF(A390="","",VLOOKUP(MATCH(A390,tid,0),tao,'12(id)'!$J$20,FALSE))</f>
        <v>NRG</v>
      </c>
      <c r="C390" s="10931" t="str">
        <f t="shared" si="33"/>
        <v>TT10</v>
      </c>
      <c r="E390" s="5132"/>
      <c r="G390" s="6548">
        <f t="shared" ref="G390:G419" si="34">1+G389</f>
        <v>162</v>
      </c>
      <c r="H390" s="6548">
        <v>160</v>
      </c>
      <c r="I390" s="10960"/>
      <c r="J390" s="10960"/>
      <c r="K390" s="10960">
        <f>+IF(ISNA(VLOOKUP(MATCH(P390,tfn,0),tao,'12(id)'!$K$20,FALSE)),"",IF(J390="NA","",VLOOKUP(MATCH(P390,tfn,0),tao,'12(id)'!$K$20,FALSE)+J390))</f>
        <v>8300</v>
      </c>
      <c r="L390" s="10960">
        <f>+L389</f>
        <v>8</v>
      </c>
      <c r="M390" s="10960" t="str">
        <f t="shared" si="31"/>
        <v>8300-08</v>
      </c>
      <c r="N390" s="10960" t="str">
        <f>+IF(M390="","",VLOOKUP(MATCH(M390,tid,0),tao,'12(id)'!$Q$20,FALSE))</f>
        <v>TT10</v>
      </c>
      <c r="O390" s="10960"/>
      <c r="P390" s="6549" t="s">
        <v>354</v>
      </c>
      <c r="Q390" s="6550"/>
      <c r="R390" s="6548">
        <v>565</v>
      </c>
      <c r="S390" s="6549" t="s">
        <v>1044</v>
      </c>
      <c r="T390" s="6549"/>
      <c r="U390" s="6550">
        <v>2008</v>
      </c>
      <c r="V390" s="6550"/>
      <c r="W390" s="6548">
        <v>6</v>
      </c>
      <c r="X390" s="6548">
        <v>6</v>
      </c>
      <c r="Y390" s="6551">
        <v>111</v>
      </c>
      <c r="Z390" s="6551" t="s">
        <v>939</v>
      </c>
      <c r="AA390" s="6552">
        <v>1.2</v>
      </c>
      <c r="AB390" s="6553">
        <v>0.9</v>
      </c>
      <c r="AC390" s="6551">
        <v>1450</v>
      </c>
      <c r="AD390" s="6549" t="s">
        <v>961</v>
      </c>
      <c r="AE390" s="6549"/>
      <c r="AF390" s="6549">
        <v>4911</v>
      </c>
      <c r="AG390" s="6549" t="s">
        <v>1008</v>
      </c>
      <c r="AH390" s="6555" t="s">
        <v>1075</v>
      </c>
      <c r="AI390" s="6554" t="s">
        <v>1075</v>
      </c>
      <c r="AJ390" s="6554" t="s">
        <v>9</v>
      </c>
      <c r="AK390" s="6555" t="s">
        <v>10</v>
      </c>
      <c r="AL390" s="6555"/>
      <c r="AM390" s="6555"/>
      <c r="AN390" s="6555" t="s">
        <v>1013</v>
      </c>
      <c r="AO390" s="6555" t="s">
        <v>1054</v>
      </c>
      <c r="AP390" s="6555" t="s">
        <v>1047</v>
      </c>
      <c r="AQ390" s="6555"/>
      <c r="AR390" s="6555"/>
      <c r="AS390" s="6549"/>
      <c r="AT390" s="6549"/>
      <c r="AU390" s="6549"/>
      <c r="AV390" s="6549"/>
      <c r="AW390" s="6553">
        <v>250</v>
      </c>
      <c r="AX390" s="5133"/>
      <c r="AY390" s="5132"/>
      <c r="AZ390" s="5132"/>
      <c r="BA390" s="5132"/>
      <c r="BB390" s="5132"/>
    </row>
    <row r="391" spans="1:54" s="6369" customFormat="1" ht="12.75" customHeight="1">
      <c r="A391" s="10958" t="str">
        <f t="shared" si="32"/>
        <v>8303-01</v>
      </c>
      <c r="B391" s="10932" t="str">
        <f>+IF(A391="","",VLOOKUP(MATCH(A391,tid,0),tao,'12(id)'!$J$20,FALSE))</f>
        <v>FirstLight</v>
      </c>
      <c r="C391" s="10929">
        <f t="shared" si="33"/>
        <v>10</v>
      </c>
      <c r="E391" s="5132"/>
      <c r="G391" s="6548">
        <f t="shared" si="34"/>
        <v>163</v>
      </c>
      <c r="H391" s="6548">
        <v>165</v>
      </c>
      <c r="I391" s="10958">
        <f>1+I388</f>
        <v>59</v>
      </c>
      <c r="J391" s="10968"/>
      <c r="K391" s="10958">
        <f>+IF(ISNA(VLOOKUP(MATCH(P391,tfn,0),tao,'12(id)'!$K$20,FALSE)),"",IF(J391="NA","",VLOOKUP(MATCH(P391,tfn,0),tao,'12(id)'!$K$20,FALSE)+J391))</f>
        <v>8303</v>
      </c>
      <c r="L391" s="10958">
        <v>1</v>
      </c>
      <c r="M391" s="10958" t="str">
        <f t="shared" si="31"/>
        <v>8303-01</v>
      </c>
      <c r="N391" s="10958">
        <f>+IF(M391="","",VLOOKUP(MATCH(M391,tid,0),tao,'12(id)'!$Q$20,FALSE))</f>
        <v>10</v>
      </c>
      <c r="O391" s="10958"/>
      <c r="P391" s="6549" t="s">
        <v>355</v>
      </c>
      <c r="Q391" s="6550"/>
      <c r="R391" s="6548">
        <v>557</v>
      </c>
      <c r="S391" s="6549" t="s">
        <v>1044</v>
      </c>
      <c r="T391" s="6549"/>
      <c r="U391" s="6550">
        <v>2010</v>
      </c>
      <c r="V391" s="6550"/>
      <c r="W391" s="6548">
        <v>20</v>
      </c>
      <c r="X391" s="6548">
        <v>6</v>
      </c>
      <c r="Y391" s="6551">
        <v>301</v>
      </c>
      <c r="Z391" s="6551" t="s">
        <v>939</v>
      </c>
      <c r="AA391" s="6552">
        <v>0.73</v>
      </c>
      <c r="AB391" s="6553">
        <v>1.7</v>
      </c>
      <c r="AC391" s="6551">
        <v>4575</v>
      </c>
      <c r="AD391" s="6549" t="s">
        <v>961</v>
      </c>
      <c r="AE391" s="6549"/>
      <c r="AF391" s="6549">
        <v>4911</v>
      </c>
      <c r="AG391" s="6549" t="s">
        <v>1008</v>
      </c>
      <c r="AH391" s="6554" t="s">
        <v>19</v>
      </c>
      <c r="AI391" s="6554" t="s">
        <v>12</v>
      </c>
      <c r="AJ391" s="6555" t="s">
        <v>15</v>
      </c>
      <c r="AK391" s="6554" t="s">
        <v>20</v>
      </c>
      <c r="AL391" s="6554"/>
      <c r="AM391" s="6555"/>
      <c r="AN391" s="6555" t="s">
        <v>1013</v>
      </c>
      <c r="AO391" s="6555" t="s">
        <v>1054</v>
      </c>
      <c r="AP391" s="6555" t="s">
        <v>962</v>
      </c>
      <c r="AQ391" s="6555"/>
      <c r="AR391" s="6555"/>
      <c r="AS391" s="6549"/>
      <c r="AT391" s="6549"/>
      <c r="AU391" s="6549"/>
      <c r="AV391" s="6549"/>
      <c r="AW391" s="6553">
        <v>243</v>
      </c>
      <c r="AX391" s="5133"/>
      <c r="AY391" s="5132"/>
      <c r="AZ391" s="5132"/>
      <c r="BA391" s="5132"/>
      <c r="BB391" s="5132"/>
    </row>
    <row r="392" spans="1:54" s="6369" customFormat="1" ht="12.75" customHeight="1">
      <c r="A392" s="10959" t="str">
        <f t="shared" si="32"/>
        <v>8303-01</v>
      </c>
      <c r="B392" s="10933" t="str">
        <f>+IF(A392="","",VLOOKUP(MATCH(A392,tid,0),tao,'12(id)'!$J$20,FALSE))</f>
        <v>FirstLight</v>
      </c>
      <c r="C392" s="10930">
        <f t="shared" si="33"/>
        <v>10</v>
      </c>
      <c r="E392" s="5132"/>
      <c r="G392" s="6548">
        <f t="shared" si="34"/>
        <v>164</v>
      </c>
      <c r="H392" s="6548">
        <v>164</v>
      </c>
      <c r="I392" s="10959"/>
      <c r="J392" s="10959"/>
      <c r="K392" s="10959">
        <f>+IF(ISNA(VLOOKUP(MATCH(P392,tfn,0),tao,'12(id)'!$K$20,FALSE)),"",IF(J392="NA","",VLOOKUP(MATCH(P392,tfn,0),tao,'12(id)'!$K$20,FALSE)+J392))</f>
        <v>8303</v>
      </c>
      <c r="L392" s="10959">
        <f>+L391</f>
        <v>1</v>
      </c>
      <c r="M392" s="10959" t="str">
        <f t="shared" si="31"/>
        <v>8303-01</v>
      </c>
      <c r="N392" s="10959">
        <f>+IF(M392="","",VLOOKUP(MATCH(M392,tid,0),tao,'12(id)'!$Q$20,FALSE))</f>
        <v>10</v>
      </c>
      <c r="O392" s="10959"/>
      <c r="P392" s="6549" t="s">
        <v>355</v>
      </c>
      <c r="Q392" s="6550"/>
      <c r="R392" s="6548">
        <v>557</v>
      </c>
      <c r="S392" s="6549" t="s">
        <v>1044</v>
      </c>
      <c r="T392" s="6549"/>
      <c r="U392" s="6550">
        <v>2009</v>
      </c>
      <c r="V392" s="6550"/>
      <c r="W392" s="6548">
        <v>3</v>
      </c>
      <c r="X392" s="6548">
        <v>6</v>
      </c>
      <c r="Y392" s="6551">
        <v>46</v>
      </c>
      <c r="Z392" s="6551" t="s">
        <v>939</v>
      </c>
      <c r="AA392" s="6552">
        <v>0.79</v>
      </c>
      <c r="AB392" s="6553">
        <v>0.3</v>
      </c>
      <c r="AC392" s="6551">
        <v>808</v>
      </c>
      <c r="AD392" s="6549" t="s">
        <v>961</v>
      </c>
      <c r="AE392" s="6549"/>
      <c r="AF392" s="6549">
        <v>4911</v>
      </c>
      <c r="AG392" s="6549" t="s">
        <v>1008</v>
      </c>
      <c r="AH392" s="6554" t="s">
        <v>13</v>
      </c>
      <c r="AI392" s="6554" t="s">
        <v>13</v>
      </c>
      <c r="AJ392" s="6554" t="s">
        <v>17</v>
      </c>
      <c r="AK392" s="6554" t="s">
        <v>18</v>
      </c>
      <c r="AL392" s="6554"/>
      <c r="AM392" s="6555"/>
      <c r="AN392" s="6555" t="s">
        <v>1013</v>
      </c>
      <c r="AO392" s="6555" t="s">
        <v>1054</v>
      </c>
      <c r="AP392" s="6555" t="s">
        <v>962</v>
      </c>
      <c r="AQ392" s="6555"/>
      <c r="AR392" s="6555"/>
      <c r="AS392" s="6549"/>
      <c r="AT392" s="6549"/>
      <c r="AU392" s="6549"/>
      <c r="AV392" s="6549"/>
      <c r="AW392" s="6553">
        <v>243</v>
      </c>
      <c r="AX392" s="5133"/>
      <c r="AY392" s="5132"/>
      <c r="AZ392" s="5132"/>
      <c r="BA392" s="5132"/>
      <c r="BB392" s="5132"/>
    </row>
    <row r="393" spans="1:54" s="6369" customFormat="1" ht="12.75" customHeight="1">
      <c r="A393" s="10960" t="str">
        <f t="shared" si="32"/>
        <v>8303-01</v>
      </c>
      <c r="B393" s="10934" t="str">
        <f>+IF(A393="","",VLOOKUP(MATCH(A393,tid,0),tao,'12(id)'!$J$20,FALSE))</f>
        <v>FirstLight</v>
      </c>
      <c r="C393" s="10931">
        <f t="shared" si="33"/>
        <v>10</v>
      </c>
      <c r="E393" s="5132"/>
      <c r="G393" s="6548">
        <f t="shared" si="34"/>
        <v>165</v>
      </c>
      <c r="H393" s="6548">
        <v>163</v>
      </c>
      <c r="I393" s="10960"/>
      <c r="J393" s="10960"/>
      <c r="K393" s="10960">
        <f>+IF(ISNA(VLOOKUP(MATCH(P393,tfn,0),tao,'12(id)'!$K$20,FALSE)),"",IF(J393="NA","",VLOOKUP(MATCH(P393,tfn,0),tao,'12(id)'!$K$20,FALSE)+J393))</f>
        <v>8303</v>
      </c>
      <c r="L393" s="10960">
        <f>+L392</f>
        <v>1</v>
      </c>
      <c r="M393" s="10960" t="str">
        <f t="shared" si="31"/>
        <v>8303-01</v>
      </c>
      <c r="N393" s="10960">
        <f>+IF(M393="","",VLOOKUP(MATCH(M393,tid,0),tao,'12(id)'!$Q$20,FALSE))</f>
        <v>10</v>
      </c>
      <c r="O393" s="10960"/>
      <c r="P393" s="6549" t="s">
        <v>355</v>
      </c>
      <c r="Q393" s="6550"/>
      <c r="R393" s="6548">
        <v>557</v>
      </c>
      <c r="S393" s="6549" t="s">
        <v>1044</v>
      </c>
      <c r="T393" s="6549"/>
      <c r="U393" s="6550">
        <v>2008</v>
      </c>
      <c r="V393" s="6550"/>
      <c r="W393" s="6548">
        <v>15</v>
      </c>
      <c r="X393" s="6548">
        <v>6</v>
      </c>
      <c r="Y393" s="6551">
        <v>153</v>
      </c>
      <c r="Z393" s="6551" t="s">
        <v>939</v>
      </c>
      <c r="AA393" s="6552">
        <v>0.74</v>
      </c>
      <c r="AB393" s="6553">
        <v>1</v>
      </c>
      <c r="AC393" s="6551">
        <v>2596</v>
      </c>
      <c r="AD393" s="6549" t="s">
        <v>961</v>
      </c>
      <c r="AE393" s="6549"/>
      <c r="AF393" s="6549">
        <v>4911</v>
      </c>
      <c r="AG393" s="6549" t="s">
        <v>1008</v>
      </c>
      <c r="AH393" s="6554" t="s">
        <v>13</v>
      </c>
      <c r="AI393" s="6554" t="s">
        <v>13</v>
      </c>
      <c r="AJ393" s="6555" t="s">
        <v>14</v>
      </c>
      <c r="AK393" s="6555" t="s">
        <v>15</v>
      </c>
      <c r="AL393" s="6555"/>
      <c r="AM393" s="6555"/>
      <c r="AN393" s="6555" t="s">
        <v>1013</v>
      </c>
      <c r="AO393" s="6555" t="s">
        <v>1054</v>
      </c>
      <c r="AP393" s="6555" t="s">
        <v>962</v>
      </c>
      <c r="AQ393" s="6555"/>
      <c r="AR393" s="6555"/>
      <c r="AS393" s="6549"/>
      <c r="AT393" s="6549"/>
      <c r="AU393" s="6549"/>
      <c r="AV393" s="6549"/>
      <c r="AW393" s="6553">
        <v>243</v>
      </c>
      <c r="AX393" s="5133"/>
      <c r="AY393" s="5132"/>
      <c r="AZ393" s="5132"/>
      <c r="BA393" s="5132"/>
      <c r="BB393" s="5132"/>
    </row>
    <row r="394" spans="1:54" ht="12.75" customHeight="1">
      <c r="A394" s="10955" t="str">
        <f t="shared" si="32"/>
        <v/>
      </c>
      <c r="B394" s="10938" t="str">
        <f>+IF(A394="","",VLOOKUP(MATCH(A394,tid,0),tao,'12(id)'!$J$20,FALSE))</f>
        <v/>
      </c>
      <c r="C394" s="10935" t="str">
        <f t="shared" si="33"/>
        <v/>
      </c>
      <c r="D394" s="5133"/>
      <c r="F394" s="5133"/>
      <c r="G394" s="6489">
        <f t="shared" si="34"/>
        <v>166</v>
      </c>
      <c r="H394" s="6489">
        <v>168</v>
      </c>
      <c r="I394" s="10955">
        <f>1+I391</f>
        <v>60</v>
      </c>
      <c r="J394" s="10969"/>
      <c r="K394" s="10955" t="str">
        <f>+IF(ISNA(VLOOKUP(MATCH(P394,tfn,0),tao,'12(id)'!$K$20,FALSE)),"",IF(J394="NA","",VLOOKUP(MATCH(P394,tfn,0),tao,'12(id)'!$K$20,FALSE)+J394))</f>
        <v/>
      </c>
      <c r="L394" s="10955"/>
      <c r="M394" s="10955" t="str">
        <f t="shared" ref="M394:M409" si="35">+IF(K394="","",K394&amp;IF(L394&lt;10,"-0"&amp;L394,"-"&amp;L394))</f>
        <v/>
      </c>
      <c r="N394" s="10955" t="str">
        <f>+IF(M394="","",VLOOKUP(MATCH(M394,tid,0),tao,'12(id)'!$Q$20,FALSE))</f>
        <v/>
      </c>
      <c r="O394" s="10955"/>
      <c r="P394" s="6490" t="s">
        <v>356</v>
      </c>
      <c r="Q394" s="6491"/>
      <c r="R394" s="6489">
        <v>55517</v>
      </c>
      <c r="S394" s="6490" t="s">
        <v>1016</v>
      </c>
      <c r="T394" s="6490"/>
      <c r="U394" s="6491">
        <v>2010</v>
      </c>
      <c r="V394" s="6491"/>
      <c r="W394" s="6489">
        <v>1183</v>
      </c>
      <c r="X394" s="6489">
        <v>12</v>
      </c>
      <c r="Y394" s="6492">
        <v>51592</v>
      </c>
      <c r="Z394" s="6492" t="s">
        <v>939</v>
      </c>
      <c r="AA394" s="6493">
        <v>0.02</v>
      </c>
      <c r="AB394" s="6494">
        <v>2.7</v>
      </c>
      <c r="AC394" s="6492">
        <v>510800</v>
      </c>
      <c r="AD394" s="6490" t="s">
        <v>961</v>
      </c>
      <c r="AE394" s="6490"/>
      <c r="AF394" s="6490">
        <v>4911</v>
      </c>
      <c r="AG394" s="6490" t="s">
        <v>1008</v>
      </c>
      <c r="AH394" s="6496" t="s">
        <v>21</v>
      </c>
      <c r="AI394" s="6495" t="s">
        <v>21</v>
      </c>
      <c r="AJ394" s="6496" t="s">
        <v>23</v>
      </c>
      <c r="AK394" s="6496" t="s">
        <v>25</v>
      </c>
      <c r="AL394" s="6496"/>
      <c r="AM394" s="6496"/>
      <c r="AN394" s="6496" t="s">
        <v>1013</v>
      </c>
      <c r="AO394" s="6496" t="s">
        <v>1054</v>
      </c>
      <c r="AP394" s="6496" t="s">
        <v>1021</v>
      </c>
      <c r="AQ394" s="6496"/>
      <c r="AR394" s="6496"/>
      <c r="AS394" s="6490" t="s">
        <v>1022</v>
      </c>
      <c r="AT394" s="6490" t="s">
        <v>1023</v>
      </c>
      <c r="AU394" s="6490"/>
      <c r="AV394" s="6490"/>
      <c r="AW394" s="6494">
        <v>530</v>
      </c>
      <c r="AX394" s="5133"/>
    </row>
    <row r="395" spans="1:54" ht="12.75" customHeight="1">
      <c r="A395" s="10956" t="str">
        <f t="shared" si="32"/>
        <v/>
      </c>
      <c r="B395" s="10939" t="str">
        <f>+IF(A395="","",VLOOKUP(MATCH(A395,tid,0),tao,'12(id)'!$J$20,FALSE))</f>
        <v/>
      </c>
      <c r="C395" s="10936" t="str">
        <f t="shared" si="33"/>
        <v/>
      </c>
      <c r="D395" s="5133"/>
      <c r="F395" s="5133"/>
      <c r="G395" s="6489">
        <f t="shared" si="34"/>
        <v>167</v>
      </c>
      <c r="H395" s="6489">
        <v>167</v>
      </c>
      <c r="I395" s="10956"/>
      <c r="J395" s="10956"/>
      <c r="K395" s="10956" t="str">
        <f>+IF(ISNA(VLOOKUP(MATCH(P395,tfn,0),tao,'12(id)'!$K$20,FALSE)),"",IF(J395="NA","",VLOOKUP(MATCH(P395,tfn,0),tao,'12(id)'!$K$20,FALSE)+J395))</f>
        <v/>
      </c>
      <c r="L395" s="10956"/>
      <c r="M395" s="10956" t="str">
        <f t="shared" si="35"/>
        <v/>
      </c>
      <c r="N395" s="10956" t="str">
        <f>+IF(M395="","",VLOOKUP(MATCH(M395,tid,0),tao,'12(id)'!$Q$20,FALSE))</f>
        <v/>
      </c>
      <c r="O395" s="10956"/>
      <c r="P395" s="6490" t="s">
        <v>356</v>
      </c>
      <c r="Q395" s="6491"/>
      <c r="R395" s="6489">
        <v>55517</v>
      </c>
      <c r="S395" s="6490" t="s">
        <v>1016</v>
      </c>
      <c r="T395" s="6490"/>
      <c r="U395" s="6491">
        <v>2009</v>
      </c>
      <c r="V395" s="6491"/>
      <c r="W395" s="6489">
        <v>597</v>
      </c>
      <c r="X395" s="6489">
        <v>12</v>
      </c>
      <c r="Y395" s="6492">
        <v>26677</v>
      </c>
      <c r="Z395" s="6492" t="s">
        <v>939</v>
      </c>
      <c r="AA395" s="6493">
        <v>0.02</v>
      </c>
      <c r="AB395" s="6494">
        <v>1.6</v>
      </c>
      <c r="AC395" s="6492">
        <v>260885</v>
      </c>
      <c r="AD395" s="6490" t="s">
        <v>961</v>
      </c>
      <c r="AE395" s="6490"/>
      <c r="AF395" s="6490">
        <v>4911</v>
      </c>
      <c r="AG395" s="6490" t="s">
        <v>1008</v>
      </c>
      <c r="AH395" s="6496" t="s">
        <v>21</v>
      </c>
      <c r="AI395" s="6495" t="s">
        <v>21</v>
      </c>
      <c r="AJ395" s="6496" t="s">
        <v>23</v>
      </c>
      <c r="AK395" s="6496" t="s">
        <v>24</v>
      </c>
      <c r="AL395" s="6496"/>
      <c r="AM395" s="6496"/>
      <c r="AN395" s="6496" t="s">
        <v>1013</v>
      </c>
      <c r="AO395" s="6496" t="s">
        <v>1054</v>
      </c>
      <c r="AP395" s="6496" t="s">
        <v>1021</v>
      </c>
      <c r="AQ395" s="6496"/>
      <c r="AR395" s="6496"/>
      <c r="AS395" s="6490" t="s">
        <v>1022</v>
      </c>
      <c r="AT395" s="6490" t="s">
        <v>1023</v>
      </c>
      <c r="AU395" s="6490"/>
      <c r="AV395" s="6490"/>
      <c r="AW395" s="6494">
        <v>530</v>
      </c>
      <c r="AX395" s="5133"/>
    </row>
    <row r="396" spans="1:54" ht="12.75" customHeight="1">
      <c r="A396" s="10957" t="str">
        <f t="shared" si="32"/>
        <v/>
      </c>
      <c r="B396" s="10940" t="str">
        <f>+IF(A396="","",VLOOKUP(MATCH(A396,tid,0),tao,'12(id)'!$J$20,FALSE))</f>
        <v/>
      </c>
      <c r="C396" s="10937" t="str">
        <f t="shared" si="33"/>
        <v/>
      </c>
      <c r="D396" s="5133"/>
      <c r="F396" s="5133"/>
      <c r="G396" s="6489">
        <f t="shared" si="34"/>
        <v>168</v>
      </c>
      <c r="H396" s="6489">
        <v>166</v>
      </c>
      <c r="I396" s="10957"/>
      <c r="J396" s="10957"/>
      <c r="K396" s="10957" t="str">
        <f>+IF(ISNA(VLOOKUP(MATCH(P396,tfn,0),tao,'12(id)'!$K$20,FALSE)),"",IF(J396="NA","",VLOOKUP(MATCH(P396,tfn,0),tao,'12(id)'!$K$20,FALSE)+J396))</f>
        <v/>
      </c>
      <c r="L396" s="10957"/>
      <c r="M396" s="10957" t="str">
        <f t="shared" si="35"/>
        <v/>
      </c>
      <c r="N396" s="10957" t="str">
        <f>+IF(M396="","",VLOOKUP(MATCH(M396,tid,0),tao,'12(id)'!$Q$20,FALSE))</f>
        <v/>
      </c>
      <c r="O396" s="10957"/>
      <c r="P396" s="6490" t="s">
        <v>356</v>
      </c>
      <c r="Q396" s="6491"/>
      <c r="R396" s="6489">
        <v>55517</v>
      </c>
      <c r="S396" s="6490" t="s">
        <v>1016</v>
      </c>
      <c r="T396" s="6490"/>
      <c r="U396" s="6491">
        <v>2008</v>
      </c>
      <c r="V396" s="6491"/>
      <c r="W396" s="6489">
        <v>779</v>
      </c>
      <c r="X396" s="6489">
        <v>12</v>
      </c>
      <c r="Y396" s="6492">
        <v>34539</v>
      </c>
      <c r="Z396" s="6492" t="s">
        <v>939</v>
      </c>
      <c r="AA396" s="6493">
        <v>0.02</v>
      </c>
      <c r="AB396" s="6494">
        <v>1.9</v>
      </c>
      <c r="AC396" s="6492">
        <v>334474</v>
      </c>
      <c r="AD396" s="6490" t="s">
        <v>961</v>
      </c>
      <c r="AE396" s="6490"/>
      <c r="AF396" s="6490">
        <v>4911</v>
      </c>
      <c r="AG396" s="6490" t="s">
        <v>1008</v>
      </c>
      <c r="AH396" s="6496" t="s">
        <v>21</v>
      </c>
      <c r="AI396" s="6495" t="s">
        <v>21</v>
      </c>
      <c r="AJ396" s="6496" t="s">
        <v>22</v>
      </c>
      <c r="AK396" s="6496"/>
      <c r="AL396" s="6496"/>
      <c r="AM396" s="6496"/>
      <c r="AN396" s="6496" t="s">
        <v>1013</v>
      </c>
      <c r="AO396" s="6496" t="s">
        <v>1054</v>
      </c>
      <c r="AP396" s="6496" t="s">
        <v>1021</v>
      </c>
      <c r="AQ396" s="6496"/>
      <c r="AR396" s="6496"/>
      <c r="AS396" s="6490" t="s">
        <v>1022</v>
      </c>
      <c r="AT396" s="6490" t="s">
        <v>1023</v>
      </c>
      <c r="AU396" s="6490"/>
      <c r="AV396" s="6490"/>
      <c r="AW396" s="6494">
        <v>530</v>
      </c>
      <c r="AX396" s="5133"/>
    </row>
    <row r="397" spans="1:54" ht="12.75" customHeight="1">
      <c r="A397" s="10955" t="str">
        <f t="shared" si="32"/>
        <v/>
      </c>
      <c r="B397" s="10938" t="str">
        <f>+IF(A397="","",VLOOKUP(MATCH(A397,tid,0),tao,'12(id)'!$J$20,FALSE))</f>
        <v/>
      </c>
      <c r="C397" s="10935" t="str">
        <f t="shared" si="33"/>
        <v/>
      </c>
      <c r="D397" s="5133"/>
      <c r="F397" s="5133"/>
      <c r="G397" s="6489">
        <f t="shared" si="34"/>
        <v>169</v>
      </c>
      <c r="H397" s="6489">
        <v>171</v>
      </c>
      <c r="I397" s="10955">
        <f>1+I394</f>
        <v>61</v>
      </c>
      <c r="J397" s="10969"/>
      <c r="K397" s="10955" t="str">
        <f>+IF(ISNA(VLOOKUP(MATCH(P397,tfn,0),tao,'12(id)'!$K$20,FALSE)),"",IF(J397="NA","",VLOOKUP(MATCH(P397,tfn,0),tao,'12(id)'!$K$20,FALSE)+J397))</f>
        <v/>
      </c>
      <c r="L397" s="10955"/>
      <c r="M397" s="10955" t="str">
        <f t="shared" si="35"/>
        <v/>
      </c>
      <c r="N397" s="10955" t="str">
        <f>+IF(M397="","",VLOOKUP(MATCH(M397,tid,0),tao,'12(id)'!$Q$20,FALSE))</f>
        <v/>
      </c>
      <c r="O397" s="10955"/>
      <c r="P397" s="6490" t="s">
        <v>356</v>
      </c>
      <c r="Q397" s="6491"/>
      <c r="R397" s="6489">
        <v>55517</v>
      </c>
      <c r="S397" s="6490" t="s">
        <v>1024</v>
      </c>
      <c r="T397" s="6490"/>
      <c r="U397" s="6491">
        <v>2010</v>
      </c>
      <c r="V397" s="6491"/>
      <c r="W397" s="6489">
        <v>1155</v>
      </c>
      <c r="X397" s="6489">
        <v>12</v>
      </c>
      <c r="Y397" s="6492">
        <v>49283</v>
      </c>
      <c r="Z397" s="6492" t="s">
        <v>939</v>
      </c>
      <c r="AA397" s="6493">
        <v>0.01</v>
      </c>
      <c r="AB397" s="6494">
        <v>2.2999999999999998</v>
      </c>
      <c r="AC397" s="6492">
        <v>461536</v>
      </c>
      <c r="AD397" s="6490" t="s">
        <v>961</v>
      </c>
      <c r="AE397" s="6490"/>
      <c r="AF397" s="6490">
        <v>4911</v>
      </c>
      <c r="AG397" s="6490" t="s">
        <v>1008</v>
      </c>
      <c r="AH397" s="6496" t="s">
        <v>21</v>
      </c>
      <c r="AI397" s="6495" t="s">
        <v>21</v>
      </c>
      <c r="AJ397" s="6496" t="s">
        <v>23</v>
      </c>
      <c r="AK397" s="6496" t="s">
        <v>25</v>
      </c>
      <c r="AL397" s="6496"/>
      <c r="AM397" s="6496"/>
      <c r="AN397" s="6496" t="s">
        <v>1013</v>
      </c>
      <c r="AO397" s="6496" t="s">
        <v>1054</v>
      </c>
      <c r="AP397" s="6496" t="s">
        <v>1021</v>
      </c>
      <c r="AQ397" s="6496"/>
      <c r="AR397" s="6496"/>
      <c r="AS397" s="6490" t="s">
        <v>1022</v>
      </c>
      <c r="AT397" s="6490" t="s">
        <v>1023</v>
      </c>
      <c r="AU397" s="6490"/>
      <c r="AV397" s="6490"/>
      <c r="AW397" s="6494">
        <v>530</v>
      </c>
      <c r="AX397" s="5133"/>
    </row>
    <row r="398" spans="1:54" ht="12.75" customHeight="1">
      <c r="A398" s="10956" t="str">
        <f t="shared" si="32"/>
        <v/>
      </c>
      <c r="B398" s="10939" t="str">
        <f>+IF(A398="","",VLOOKUP(MATCH(A398,tid,0),tao,'12(id)'!$J$20,FALSE))</f>
        <v/>
      </c>
      <c r="C398" s="10936" t="str">
        <f t="shared" si="33"/>
        <v/>
      </c>
      <c r="D398" s="5133"/>
      <c r="F398" s="5133"/>
      <c r="G398" s="6489">
        <f t="shared" si="34"/>
        <v>170</v>
      </c>
      <c r="H398" s="6489">
        <v>170</v>
      </c>
      <c r="I398" s="10956"/>
      <c r="J398" s="10956"/>
      <c r="K398" s="10956" t="str">
        <f>+IF(ISNA(VLOOKUP(MATCH(P398,tfn,0),tao,'12(id)'!$K$20,FALSE)),"",IF(J398="NA","",VLOOKUP(MATCH(P398,tfn,0),tao,'12(id)'!$K$20,FALSE)+J398))</f>
        <v/>
      </c>
      <c r="L398" s="10956"/>
      <c r="M398" s="10956" t="str">
        <f t="shared" si="35"/>
        <v/>
      </c>
      <c r="N398" s="10956" t="str">
        <f>+IF(M398="","",VLOOKUP(MATCH(M398,tid,0),tao,'12(id)'!$Q$20,FALSE))</f>
        <v/>
      </c>
      <c r="O398" s="10956"/>
      <c r="P398" s="6490" t="s">
        <v>356</v>
      </c>
      <c r="Q398" s="6491"/>
      <c r="R398" s="6489">
        <v>55517</v>
      </c>
      <c r="S398" s="6490" t="s">
        <v>1024</v>
      </c>
      <c r="T398" s="6490"/>
      <c r="U398" s="6491">
        <v>2009</v>
      </c>
      <c r="V398" s="6491"/>
      <c r="W398" s="6489">
        <v>516</v>
      </c>
      <c r="X398" s="6489">
        <v>12</v>
      </c>
      <c r="Y398" s="6492">
        <v>16821</v>
      </c>
      <c r="Z398" s="6492" t="s">
        <v>939</v>
      </c>
      <c r="AA398" s="6493">
        <v>0.02</v>
      </c>
      <c r="AB398" s="6494">
        <v>1.3</v>
      </c>
      <c r="AC398" s="6492">
        <v>218469</v>
      </c>
      <c r="AD398" s="6490" t="s">
        <v>961</v>
      </c>
      <c r="AE398" s="6490"/>
      <c r="AF398" s="6490">
        <v>4911</v>
      </c>
      <c r="AG398" s="6490" t="s">
        <v>1008</v>
      </c>
      <c r="AH398" s="6496" t="s">
        <v>21</v>
      </c>
      <c r="AI398" s="6495" t="s">
        <v>21</v>
      </c>
      <c r="AJ398" s="6496" t="s">
        <v>23</v>
      </c>
      <c r="AK398" s="6496" t="s">
        <v>24</v>
      </c>
      <c r="AL398" s="6496"/>
      <c r="AM398" s="6496"/>
      <c r="AN398" s="6496" t="s">
        <v>1013</v>
      </c>
      <c r="AO398" s="6496" t="s">
        <v>1054</v>
      </c>
      <c r="AP398" s="6496" t="s">
        <v>1021</v>
      </c>
      <c r="AQ398" s="6496"/>
      <c r="AR398" s="6496"/>
      <c r="AS398" s="6490" t="s">
        <v>1022</v>
      </c>
      <c r="AT398" s="6490" t="s">
        <v>1023</v>
      </c>
      <c r="AU398" s="6490"/>
      <c r="AV398" s="6490"/>
      <c r="AW398" s="6494">
        <v>530</v>
      </c>
      <c r="AX398" s="5133"/>
    </row>
    <row r="399" spans="1:54" ht="12.75" customHeight="1">
      <c r="A399" s="10957" t="str">
        <f t="shared" si="32"/>
        <v/>
      </c>
      <c r="B399" s="10940" t="str">
        <f>+IF(A399="","",VLOOKUP(MATCH(A399,tid,0),tao,'12(id)'!$J$20,FALSE))</f>
        <v/>
      </c>
      <c r="C399" s="10937" t="str">
        <f t="shared" si="33"/>
        <v/>
      </c>
      <c r="D399" s="5133"/>
      <c r="F399" s="5133"/>
      <c r="G399" s="6489">
        <f t="shared" si="34"/>
        <v>171</v>
      </c>
      <c r="H399" s="6489">
        <v>169</v>
      </c>
      <c r="I399" s="10957"/>
      <c r="J399" s="10957"/>
      <c r="K399" s="10957" t="str">
        <f>+IF(ISNA(VLOOKUP(MATCH(P399,tfn,0),tao,'12(id)'!$K$20,FALSE)),"",IF(J399="NA","",VLOOKUP(MATCH(P399,tfn,0),tao,'12(id)'!$K$20,FALSE)+J399))</f>
        <v/>
      </c>
      <c r="L399" s="10957"/>
      <c r="M399" s="10957" t="str">
        <f t="shared" si="35"/>
        <v/>
      </c>
      <c r="N399" s="10957" t="str">
        <f>+IF(M399="","",VLOOKUP(MATCH(M399,tid,0),tao,'12(id)'!$Q$20,FALSE))</f>
        <v/>
      </c>
      <c r="O399" s="10957"/>
      <c r="P399" s="6490" t="s">
        <v>356</v>
      </c>
      <c r="Q399" s="6491"/>
      <c r="R399" s="6489">
        <v>55517</v>
      </c>
      <c r="S399" s="6490" t="s">
        <v>1024</v>
      </c>
      <c r="T399" s="6490"/>
      <c r="U399" s="6491">
        <v>2008</v>
      </c>
      <c r="V399" s="6491"/>
      <c r="W399" s="6489">
        <v>725</v>
      </c>
      <c r="X399" s="6489">
        <v>12</v>
      </c>
      <c r="Y399" s="6492">
        <v>31778</v>
      </c>
      <c r="Z399" s="6492" t="s">
        <v>939</v>
      </c>
      <c r="AA399" s="6493">
        <v>0.01</v>
      </c>
      <c r="AB399" s="6494">
        <v>1.5</v>
      </c>
      <c r="AC399" s="6492">
        <v>305552</v>
      </c>
      <c r="AD399" s="6490" t="s">
        <v>961</v>
      </c>
      <c r="AE399" s="6490"/>
      <c r="AF399" s="6490">
        <v>4911</v>
      </c>
      <c r="AG399" s="6490" t="s">
        <v>1008</v>
      </c>
      <c r="AH399" s="6496" t="s">
        <v>21</v>
      </c>
      <c r="AI399" s="6495" t="s">
        <v>21</v>
      </c>
      <c r="AJ399" s="6496" t="s">
        <v>22</v>
      </c>
      <c r="AK399" s="6496"/>
      <c r="AL399" s="6496"/>
      <c r="AM399" s="6496"/>
      <c r="AN399" s="6496" t="s">
        <v>1013</v>
      </c>
      <c r="AO399" s="6496" t="s">
        <v>1054</v>
      </c>
      <c r="AP399" s="6496" t="s">
        <v>1021</v>
      </c>
      <c r="AQ399" s="6496"/>
      <c r="AR399" s="6496"/>
      <c r="AS399" s="6490" t="s">
        <v>1022</v>
      </c>
      <c r="AT399" s="6490" t="s">
        <v>1023</v>
      </c>
      <c r="AU399" s="6490"/>
      <c r="AV399" s="6490"/>
      <c r="AW399" s="6494">
        <v>530</v>
      </c>
      <c r="AX399" s="5133"/>
    </row>
    <row r="400" spans="1:54" ht="12.75" customHeight="1">
      <c r="A400" s="10955" t="str">
        <f t="shared" si="32"/>
        <v/>
      </c>
      <c r="B400" s="10938" t="str">
        <f>+IF(A400="","",VLOOKUP(MATCH(A400,tid,0),tao,'12(id)'!$J$20,FALSE))</f>
        <v/>
      </c>
      <c r="C400" s="10935" t="str">
        <f t="shared" si="33"/>
        <v/>
      </c>
      <c r="D400" s="5133"/>
      <c r="F400" s="5133"/>
      <c r="G400" s="6489">
        <f t="shared" si="34"/>
        <v>172</v>
      </c>
      <c r="H400" s="6489">
        <v>174</v>
      </c>
      <c r="I400" s="10955">
        <f>1+I397</f>
        <v>62</v>
      </c>
      <c r="J400" s="10969"/>
      <c r="K400" s="10955" t="str">
        <f>+IF(ISNA(VLOOKUP(MATCH(P400,tfn,0),tao,'12(id)'!$K$20,FALSE)),"",IF(J400="NA","",VLOOKUP(MATCH(P400,tfn,0),tao,'12(id)'!$K$20,FALSE)+J400))</f>
        <v/>
      </c>
      <c r="L400" s="10955"/>
      <c r="M400" s="10955" t="str">
        <f t="shared" si="35"/>
        <v/>
      </c>
      <c r="N400" s="10955" t="str">
        <f>+IF(M400="","",VLOOKUP(MATCH(M400,tid,0),tao,'12(id)'!$Q$20,FALSE))</f>
        <v/>
      </c>
      <c r="O400" s="10955"/>
      <c r="P400" s="6490" t="s">
        <v>356</v>
      </c>
      <c r="Q400" s="6491"/>
      <c r="R400" s="6489">
        <v>55517</v>
      </c>
      <c r="S400" s="6490" t="s">
        <v>26</v>
      </c>
      <c r="T400" s="6490"/>
      <c r="U400" s="6491">
        <v>2010</v>
      </c>
      <c r="V400" s="6491"/>
      <c r="W400" s="6489">
        <v>915</v>
      </c>
      <c r="X400" s="6489">
        <v>12</v>
      </c>
      <c r="Y400" s="6492">
        <v>40261</v>
      </c>
      <c r="Z400" s="6492" t="s">
        <v>939</v>
      </c>
      <c r="AA400" s="6493">
        <v>0.02</v>
      </c>
      <c r="AB400" s="6494">
        <v>2.2999999999999998</v>
      </c>
      <c r="AC400" s="6492">
        <v>388303</v>
      </c>
      <c r="AD400" s="6490" t="s">
        <v>961</v>
      </c>
      <c r="AE400" s="6490"/>
      <c r="AF400" s="6490">
        <v>4911</v>
      </c>
      <c r="AG400" s="6490" t="s">
        <v>1008</v>
      </c>
      <c r="AH400" s="6496" t="s">
        <v>21</v>
      </c>
      <c r="AI400" s="6495" t="s">
        <v>21</v>
      </c>
      <c r="AJ400" s="6496" t="s">
        <v>23</v>
      </c>
      <c r="AK400" s="6496" t="s">
        <v>25</v>
      </c>
      <c r="AL400" s="6496"/>
      <c r="AM400" s="6496"/>
      <c r="AN400" s="6496" t="s">
        <v>1013</v>
      </c>
      <c r="AO400" s="6496" t="s">
        <v>1054</v>
      </c>
      <c r="AP400" s="6496" t="s">
        <v>1021</v>
      </c>
      <c r="AQ400" s="6496"/>
      <c r="AR400" s="6496"/>
      <c r="AS400" s="6490" t="s">
        <v>1022</v>
      </c>
      <c r="AT400" s="6490" t="s">
        <v>1023</v>
      </c>
      <c r="AU400" s="6490"/>
      <c r="AV400" s="6490"/>
      <c r="AW400" s="6494">
        <v>530</v>
      </c>
      <c r="AX400" s="5133"/>
    </row>
    <row r="401" spans="1:50" ht="12.75" customHeight="1">
      <c r="A401" s="10956" t="str">
        <f t="shared" si="32"/>
        <v/>
      </c>
      <c r="B401" s="10939" t="str">
        <f>+IF(A401="","",VLOOKUP(MATCH(A401,tid,0),tao,'12(id)'!$J$20,FALSE))</f>
        <v/>
      </c>
      <c r="C401" s="10936" t="str">
        <f t="shared" si="33"/>
        <v/>
      </c>
      <c r="D401" s="5133"/>
      <c r="F401" s="5133"/>
      <c r="G401" s="6489">
        <f t="shared" si="34"/>
        <v>173</v>
      </c>
      <c r="H401" s="6489">
        <v>173</v>
      </c>
      <c r="I401" s="10956"/>
      <c r="J401" s="10956"/>
      <c r="K401" s="10956" t="str">
        <f>+IF(ISNA(VLOOKUP(MATCH(P401,tfn,0),tao,'12(id)'!$K$20,FALSE)),"",IF(J401="NA","",VLOOKUP(MATCH(P401,tfn,0),tao,'12(id)'!$K$20,FALSE)+J401))</f>
        <v/>
      </c>
      <c r="L401" s="10956"/>
      <c r="M401" s="10956" t="str">
        <f t="shared" si="35"/>
        <v/>
      </c>
      <c r="N401" s="10956" t="str">
        <f>+IF(M401="","",VLOOKUP(MATCH(M401,tid,0),tao,'12(id)'!$Q$20,FALSE))</f>
        <v/>
      </c>
      <c r="O401" s="10956"/>
      <c r="P401" s="6490" t="s">
        <v>356</v>
      </c>
      <c r="Q401" s="6491"/>
      <c r="R401" s="6489">
        <v>55517</v>
      </c>
      <c r="S401" s="6490" t="s">
        <v>26</v>
      </c>
      <c r="T401" s="6490"/>
      <c r="U401" s="6491">
        <v>2009</v>
      </c>
      <c r="V401" s="6491"/>
      <c r="W401" s="6489">
        <v>375</v>
      </c>
      <c r="X401" s="6489">
        <v>12</v>
      </c>
      <c r="Y401" s="6492">
        <v>16753</v>
      </c>
      <c r="Z401" s="6492" t="s">
        <v>939</v>
      </c>
      <c r="AA401" s="6493">
        <v>0.02</v>
      </c>
      <c r="AB401" s="6494">
        <v>1.2</v>
      </c>
      <c r="AC401" s="6492">
        <v>157014</v>
      </c>
      <c r="AD401" s="6490" t="s">
        <v>961</v>
      </c>
      <c r="AE401" s="6490"/>
      <c r="AF401" s="6490">
        <v>4911</v>
      </c>
      <c r="AG401" s="6490" t="s">
        <v>1008</v>
      </c>
      <c r="AH401" s="6496" t="s">
        <v>21</v>
      </c>
      <c r="AI401" s="6495" t="s">
        <v>21</v>
      </c>
      <c r="AJ401" s="6496" t="s">
        <v>23</v>
      </c>
      <c r="AK401" s="6496" t="s">
        <v>24</v>
      </c>
      <c r="AL401" s="6496"/>
      <c r="AM401" s="6496"/>
      <c r="AN401" s="6496" t="s">
        <v>1013</v>
      </c>
      <c r="AO401" s="6496" t="s">
        <v>1054</v>
      </c>
      <c r="AP401" s="6496" t="s">
        <v>1021</v>
      </c>
      <c r="AQ401" s="6496"/>
      <c r="AR401" s="6496"/>
      <c r="AS401" s="6490" t="s">
        <v>1022</v>
      </c>
      <c r="AT401" s="6490" t="s">
        <v>1023</v>
      </c>
      <c r="AU401" s="6490"/>
      <c r="AV401" s="6490"/>
      <c r="AW401" s="6494">
        <v>530</v>
      </c>
      <c r="AX401" s="5133"/>
    </row>
    <row r="402" spans="1:50" ht="12.75" customHeight="1">
      <c r="A402" s="10957" t="str">
        <f t="shared" si="32"/>
        <v/>
      </c>
      <c r="B402" s="10940" t="str">
        <f>+IF(A402="","",VLOOKUP(MATCH(A402,tid,0),tao,'12(id)'!$J$20,FALSE))</f>
        <v/>
      </c>
      <c r="C402" s="10937" t="str">
        <f t="shared" si="33"/>
        <v/>
      </c>
      <c r="D402" s="5133"/>
      <c r="F402" s="5133"/>
      <c r="G402" s="6489">
        <f t="shared" si="34"/>
        <v>174</v>
      </c>
      <c r="H402" s="6489">
        <v>172</v>
      </c>
      <c r="I402" s="10957"/>
      <c r="J402" s="10957"/>
      <c r="K402" s="10957" t="str">
        <f>+IF(ISNA(VLOOKUP(MATCH(P402,tfn,0),tao,'12(id)'!$K$20,FALSE)),"",IF(J402="NA","",VLOOKUP(MATCH(P402,tfn,0),tao,'12(id)'!$K$20,FALSE)+J402))</f>
        <v/>
      </c>
      <c r="L402" s="10957"/>
      <c r="M402" s="10957" t="str">
        <f t="shared" si="35"/>
        <v/>
      </c>
      <c r="N402" s="10957" t="str">
        <f>+IF(M402="","",VLOOKUP(MATCH(M402,tid,0),tao,'12(id)'!$Q$20,FALSE))</f>
        <v/>
      </c>
      <c r="O402" s="10957"/>
      <c r="P402" s="6490" t="s">
        <v>356</v>
      </c>
      <c r="Q402" s="6491"/>
      <c r="R402" s="6489">
        <v>55517</v>
      </c>
      <c r="S402" s="6490" t="s">
        <v>26</v>
      </c>
      <c r="T402" s="6490"/>
      <c r="U402" s="6491">
        <v>2008</v>
      </c>
      <c r="V402" s="6491"/>
      <c r="W402" s="6489">
        <v>417</v>
      </c>
      <c r="X402" s="6489">
        <v>12</v>
      </c>
      <c r="Y402" s="6492">
        <v>18147</v>
      </c>
      <c r="Z402" s="6492" t="s">
        <v>939</v>
      </c>
      <c r="AA402" s="6493">
        <v>0.03</v>
      </c>
      <c r="AB402" s="6494">
        <v>1.2</v>
      </c>
      <c r="AC402" s="6492">
        <v>174401</v>
      </c>
      <c r="AD402" s="6490" t="s">
        <v>961</v>
      </c>
      <c r="AE402" s="6490"/>
      <c r="AF402" s="6490">
        <v>4911</v>
      </c>
      <c r="AG402" s="6490" t="s">
        <v>1008</v>
      </c>
      <c r="AH402" s="6496" t="s">
        <v>21</v>
      </c>
      <c r="AI402" s="6495" t="s">
        <v>21</v>
      </c>
      <c r="AJ402" s="6496" t="s">
        <v>22</v>
      </c>
      <c r="AK402" s="6496"/>
      <c r="AL402" s="6496"/>
      <c r="AM402" s="6496"/>
      <c r="AN402" s="6496" t="s">
        <v>1013</v>
      </c>
      <c r="AO402" s="6496" t="s">
        <v>1054</v>
      </c>
      <c r="AP402" s="6496" t="s">
        <v>1021</v>
      </c>
      <c r="AQ402" s="6496"/>
      <c r="AR402" s="6496"/>
      <c r="AS402" s="6490" t="s">
        <v>1022</v>
      </c>
      <c r="AT402" s="6490" t="s">
        <v>1023</v>
      </c>
      <c r="AU402" s="6490"/>
      <c r="AV402" s="6490"/>
      <c r="AW402" s="6494">
        <v>530</v>
      </c>
      <c r="AX402" s="5133"/>
    </row>
    <row r="403" spans="1:50" ht="12.75" customHeight="1">
      <c r="A403" s="10955" t="str">
        <f t="shared" si="32"/>
        <v/>
      </c>
      <c r="B403" s="10938" t="str">
        <f>+IF(A403="","",VLOOKUP(MATCH(A403,tid,0),tao,'12(id)'!$J$20,FALSE))</f>
        <v/>
      </c>
      <c r="C403" s="10935" t="str">
        <f t="shared" si="33"/>
        <v/>
      </c>
      <c r="D403" s="5133"/>
      <c r="F403" s="5133"/>
      <c r="G403" s="6489">
        <f t="shared" si="34"/>
        <v>175</v>
      </c>
      <c r="H403" s="6489">
        <v>177</v>
      </c>
      <c r="I403" s="10955">
        <f>1+I400</f>
        <v>63</v>
      </c>
      <c r="J403" s="10969"/>
      <c r="K403" s="10955" t="str">
        <f>+IF(ISNA(VLOOKUP(MATCH(P403,tfn,0),tao,'12(id)'!$K$20,FALSE)),"",IF(J403="NA","",VLOOKUP(MATCH(P403,tfn,0),tao,'12(id)'!$K$20,FALSE)+J403))</f>
        <v/>
      </c>
      <c r="L403" s="10955"/>
      <c r="M403" s="10955" t="str">
        <f t="shared" si="35"/>
        <v/>
      </c>
      <c r="N403" s="10955" t="str">
        <f>+IF(M403="","",VLOOKUP(MATCH(M403,tid,0),tao,'12(id)'!$Q$20,FALSE))</f>
        <v/>
      </c>
      <c r="O403" s="10955"/>
      <c r="P403" s="6490" t="s">
        <v>356</v>
      </c>
      <c r="Q403" s="6491"/>
      <c r="R403" s="6489">
        <v>55517</v>
      </c>
      <c r="S403" s="6490" t="s">
        <v>27</v>
      </c>
      <c r="T403" s="6490"/>
      <c r="U403" s="6491">
        <v>2010</v>
      </c>
      <c r="V403" s="6491"/>
      <c r="W403" s="6489">
        <v>982</v>
      </c>
      <c r="X403" s="6489">
        <v>12</v>
      </c>
      <c r="Y403" s="6492">
        <v>43026</v>
      </c>
      <c r="Z403" s="6492" t="s">
        <v>939</v>
      </c>
      <c r="AA403" s="6493">
        <v>0.01</v>
      </c>
      <c r="AB403" s="6494">
        <v>2.2000000000000002</v>
      </c>
      <c r="AC403" s="6492">
        <v>422264</v>
      </c>
      <c r="AD403" s="6490" t="s">
        <v>961</v>
      </c>
      <c r="AE403" s="6490"/>
      <c r="AF403" s="6490">
        <v>4911</v>
      </c>
      <c r="AG403" s="6490" t="s">
        <v>1008</v>
      </c>
      <c r="AH403" s="6496" t="s">
        <v>21</v>
      </c>
      <c r="AI403" s="6495" t="s">
        <v>21</v>
      </c>
      <c r="AJ403" s="6496" t="s">
        <v>23</v>
      </c>
      <c r="AK403" s="6496" t="s">
        <v>25</v>
      </c>
      <c r="AL403" s="6496"/>
      <c r="AM403" s="6496"/>
      <c r="AN403" s="6496" t="s">
        <v>1013</v>
      </c>
      <c r="AO403" s="6496" t="s">
        <v>1054</v>
      </c>
      <c r="AP403" s="6496" t="s">
        <v>1021</v>
      </c>
      <c r="AQ403" s="6496"/>
      <c r="AR403" s="6496"/>
      <c r="AS403" s="6490" t="s">
        <v>1022</v>
      </c>
      <c r="AT403" s="6490" t="s">
        <v>1023</v>
      </c>
      <c r="AU403" s="6490"/>
      <c r="AV403" s="6490"/>
      <c r="AW403" s="6494">
        <v>530</v>
      </c>
      <c r="AX403" s="5133"/>
    </row>
    <row r="404" spans="1:50" ht="12.75" customHeight="1">
      <c r="A404" s="10956" t="str">
        <f t="shared" si="32"/>
        <v/>
      </c>
      <c r="B404" s="10939" t="str">
        <f>+IF(A404="","",VLOOKUP(MATCH(A404,tid,0),tao,'12(id)'!$J$20,FALSE))</f>
        <v/>
      </c>
      <c r="C404" s="10936" t="str">
        <f t="shared" si="33"/>
        <v/>
      </c>
      <c r="D404" s="5133"/>
      <c r="F404" s="5133"/>
      <c r="G404" s="6489">
        <f t="shared" si="34"/>
        <v>176</v>
      </c>
      <c r="H404" s="6489">
        <v>176</v>
      </c>
      <c r="I404" s="10956"/>
      <c r="J404" s="10956"/>
      <c r="K404" s="10956" t="str">
        <f>+IF(ISNA(VLOOKUP(MATCH(P404,tfn,0),tao,'12(id)'!$K$20,FALSE)),"",IF(J404="NA","",VLOOKUP(MATCH(P404,tfn,0),tao,'12(id)'!$K$20,FALSE)+J404))</f>
        <v/>
      </c>
      <c r="L404" s="10956"/>
      <c r="M404" s="10956" t="str">
        <f t="shared" si="35"/>
        <v/>
      </c>
      <c r="N404" s="10956" t="str">
        <f>+IF(M404="","",VLOOKUP(MATCH(M404,tid,0),tao,'12(id)'!$Q$20,FALSE))</f>
        <v/>
      </c>
      <c r="O404" s="10956"/>
      <c r="P404" s="6490" t="s">
        <v>356</v>
      </c>
      <c r="Q404" s="6491"/>
      <c r="R404" s="6489">
        <v>55517</v>
      </c>
      <c r="S404" s="6490" t="s">
        <v>27</v>
      </c>
      <c r="T404" s="6490"/>
      <c r="U404" s="6491">
        <v>2009</v>
      </c>
      <c r="V404" s="6491"/>
      <c r="W404" s="6489">
        <v>630</v>
      </c>
      <c r="X404" s="6489">
        <v>12</v>
      </c>
      <c r="Y404" s="6492">
        <v>27997</v>
      </c>
      <c r="Z404" s="6492" t="s">
        <v>939</v>
      </c>
      <c r="AA404" s="6493">
        <v>0.02</v>
      </c>
      <c r="AB404" s="6494">
        <v>1.4</v>
      </c>
      <c r="AC404" s="6492">
        <v>257370</v>
      </c>
      <c r="AD404" s="6490" t="s">
        <v>961</v>
      </c>
      <c r="AE404" s="6490"/>
      <c r="AF404" s="6490">
        <v>4911</v>
      </c>
      <c r="AG404" s="6490" t="s">
        <v>1008</v>
      </c>
      <c r="AH404" s="6496" t="s">
        <v>21</v>
      </c>
      <c r="AI404" s="6495" t="s">
        <v>21</v>
      </c>
      <c r="AJ404" s="6496" t="s">
        <v>23</v>
      </c>
      <c r="AK404" s="6496" t="s">
        <v>24</v>
      </c>
      <c r="AL404" s="6496"/>
      <c r="AM404" s="6496"/>
      <c r="AN404" s="6496" t="s">
        <v>1013</v>
      </c>
      <c r="AO404" s="6496" t="s">
        <v>1054</v>
      </c>
      <c r="AP404" s="6496" t="s">
        <v>1021</v>
      </c>
      <c r="AQ404" s="6496"/>
      <c r="AR404" s="6496"/>
      <c r="AS404" s="6490" t="s">
        <v>1022</v>
      </c>
      <c r="AT404" s="6490" t="s">
        <v>1023</v>
      </c>
      <c r="AU404" s="6490"/>
      <c r="AV404" s="6490"/>
      <c r="AW404" s="6494">
        <v>530</v>
      </c>
      <c r="AX404" s="5133"/>
    </row>
    <row r="405" spans="1:50" ht="12.75" customHeight="1">
      <c r="A405" s="10957" t="str">
        <f t="shared" si="32"/>
        <v/>
      </c>
      <c r="B405" s="10940" t="str">
        <f>+IF(A405="","",VLOOKUP(MATCH(A405,tid,0),tao,'12(id)'!$J$20,FALSE))</f>
        <v/>
      </c>
      <c r="C405" s="10937" t="str">
        <f t="shared" si="33"/>
        <v/>
      </c>
      <c r="D405" s="5133"/>
      <c r="F405" s="5133"/>
      <c r="G405" s="6489">
        <f t="shared" si="34"/>
        <v>177</v>
      </c>
      <c r="H405" s="6489">
        <v>175</v>
      </c>
      <c r="I405" s="10957"/>
      <c r="J405" s="10957"/>
      <c r="K405" s="10957" t="str">
        <f>+IF(ISNA(VLOOKUP(MATCH(P405,tfn,0),tao,'12(id)'!$K$20,FALSE)),"",IF(J405="NA","",VLOOKUP(MATCH(P405,tfn,0),tao,'12(id)'!$K$20,FALSE)+J405))</f>
        <v/>
      </c>
      <c r="L405" s="10957"/>
      <c r="M405" s="10957" t="str">
        <f t="shared" si="35"/>
        <v/>
      </c>
      <c r="N405" s="10957" t="str">
        <f>+IF(M405="","",VLOOKUP(MATCH(M405,tid,0),tao,'12(id)'!$Q$20,FALSE))</f>
        <v/>
      </c>
      <c r="O405" s="10957"/>
      <c r="P405" s="6490" t="s">
        <v>356</v>
      </c>
      <c r="Q405" s="6491"/>
      <c r="R405" s="6489">
        <v>55517</v>
      </c>
      <c r="S405" s="6490" t="s">
        <v>27</v>
      </c>
      <c r="T405" s="6490"/>
      <c r="U405" s="6491">
        <v>2008</v>
      </c>
      <c r="V405" s="6491"/>
      <c r="W405" s="6489">
        <v>638</v>
      </c>
      <c r="X405" s="6489">
        <v>12</v>
      </c>
      <c r="Y405" s="6492">
        <v>27926</v>
      </c>
      <c r="Z405" s="6492" t="s">
        <v>939</v>
      </c>
      <c r="AA405" s="6493">
        <v>0.02</v>
      </c>
      <c r="AB405" s="6494">
        <v>1.7</v>
      </c>
      <c r="AC405" s="6492">
        <v>273789</v>
      </c>
      <c r="AD405" s="6490" t="s">
        <v>961</v>
      </c>
      <c r="AE405" s="6490"/>
      <c r="AF405" s="6490">
        <v>4911</v>
      </c>
      <c r="AG405" s="6490" t="s">
        <v>1008</v>
      </c>
      <c r="AH405" s="6496" t="s">
        <v>21</v>
      </c>
      <c r="AI405" s="6495" t="s">
        <v>21</v>
      </c>
      <c r="AJ405" s="6496" t="s">
        <v>22</v>
      </c>
      <c r="AK405" s="6496"/>
      <c r="AL405" s="6496"/>
      <c r="AM405" s="6496"/>
      <c r="AN405" s="6496" t="s">
        <v>1013</v>
      </c>
      <c r="AO405" s="6496" t="s">
        <v>1054</v>
      </c>
      <c r="AP405" s="6496" t="s">
        <v>1021</v>
      </c>
      <c r="AQ405" s="6496"/>
      <c r="AR405" s="6496"/>
      <c r="AS405" s="6490" t="s">
        <v>1022</v>
      </c>
      <c r="AT405" s="6490" t="s">
        <v>1023</v>
      </c>
      <c r="AU405" s="6490"/>
      <c r="AV405" s="6490"/>
      <c r="AW405" s="6494">
        <v>530</v>
      </c>
      <c r="AX405" s="5133"/>
    </row>
    <row r="406" spans="1:50" ht="12.75" customHeight="1">
      <c r="A406" s="10955" t="str">
        <f t="shared" si="32"/>
        <v/>
      </c>
      <c r="B406" s="10938" t="str">
        <f>+IF(A406="","",VLOOKUP(MATCH(A406,tid,0),tao,'12(id)'!$J$20,FALSE))</f>
        <v/>
      </c>
      <c r="C406" s="10935" t="str">
        <f t="shared" si="33"/>
        <v/>
      </c>
      <c r="D406" s="5133"/>
      <c r="F406" s="5133"/>
      <c r="G406" s="6489">
        <f t="shared" si="34"/>
        <v>178</v>
      </c>
      <c r="H406" s="6489">
        <v>180</v>
      </c>
      <c r="I406" s="10955">
        <f>1+I403</f>
        <v>64</v>
      </c>
      <c r="J406" s="10969"/>
      <c r="K406" s="10955" t="str">
        <f>+IF(ISNA(VLOOKUP(MATCH(P406,tfn,0),tao,'12(id)'!$K$20,FALSE)),"",IF(J406="NA","",VLOOKUP(MATCH(P406,tfn,0),tao,'12(id)'!$K$20,FALSE)+J406))</f>
        <v/>
      </c>
      <c r="L406" s="10955"/>
      <c r="M406" s="10955" t="str">
        <f t="shared" si="35"/>
        <v/>
      </c>
      <c r="N406" s="10955" t="str">
        <f>+IF(M406="","",VLOOKUP(MATCH(M406,tid,0),tao,'12(id)'!$Q$20,FALSE))</f>
        <v/>
      </c>
      <c r="O406" s="10955"/>
      <c r="P406" s="6490" t="s">
        <v>356</v>
      </c>
      <c r="Q406" s="6491"/>
      <c r="R406" s="6489">
        <v>55517</v>
      </c>
      <c r="S406" s="6490" t="s">
        <v>28</v>
      </c>
      <c r="T406" s="6490"/>
      <c r="U406" s="6491">
        <v>2010</v>
      </c>
      <c r="V406" s="6491"/>
      <c r="W406" s="6489">
        <v>964</v>
      </c>
      <c r="X406" s="6489">
        <v>12</v>
      </c>
      <c r="Y406" s="6492">
        <v>42889</v>
      </c>
      <c r="Z406" s="6492" t="s">
        <v>939</v>
      </c>
      <c r="AA406" s="6493">
        <v>0.01</v>
      </c>
      <c r="AB406" s="6494">
        <v>2</v>
      </c>
      <c r="AC406" s="6492">
        <v>409124</v>
      </c>
      <c r="AD406" s="6490" t="s">
        <v>961</v>
      </c>
      <c r="AE406" s="6490"/>
      <c r="AF406" s="6490">
        <v>4911</v>
      </c>
      <c r="AG406" s="6490" t="s">
        <v>1008</v>
      </c>
      <c r="AH406" s="6496" t="s">
        <v>21</v>
      </c>
      <c r="AI406" s="6495" t="s">
        <v>21</v>
      </c>
      <c r="AJ406" s="6496" t="s">
        <v>23</v>
      </c>
      <c r="AK406" s="6496" t="s">
        <v>25</v>
      </c>
      <c r="AL406" s="6496"/>
      <c r="AM406" s="6496"/>
      <c r="AN406" s="6496" t="s">
        <v>1013</v>
      </c>
      <c r="AO406" s="6496" t="s">
        <v>1054</v>
      </c>
      <c r="AP406" s="6496" t="s">
        <v>1021</v>
      </c>
      <c r="AQ406" s="6496"/>
      <c r="AR406" s="6496"/>
      <c r="AS406" s="6490" t="s">
        <v>1022</v>
      </c>
      <c r="AT406" s="6490" t="s">
        <v>1023</v>
      </c>
      <c r="AU406" s="6490"/>
      <c r="AV406" s="6490"/>
      <c r="AW406" s="6494">
        <v>530</v>
      </c>
      <c r="AX406" s="5133"/>
    </row>
    <row r="407" spans="1:50" ht="12.75" customHeight="1">
      <c r="A407" s="10956" t="str">
        <f t="shared" si="32"/>
        <v/>
      </c>
      <c r="B407" s="10939" t="str">
        <f>+IF(A407="","",VLOOKUP(MATCH(A407,tid,0),tao,'12(id)'!$J$20,FALSE))</f>
        <v/>
      </c>
      <c r="C407" s="10936" t="str">
        <f t="shared" si="33"/>
        <v/>
      </c>
      <c r="D407" s="5133"/>
      <c r="F407" s="5133"/>
      <c r="G407" s="6489">
        <f t="shared" si="34"/>
        <v>179</v>
      </c>
      <c r="H407" s="6489">
        <v>179</v>
      </c>
      <c r="I407" s="10956"/>
      <c r="J407" s="10956"/>
      <c r="K407" s="10956" t="str">
        <f>+IF(ISNA(VLOOKUP(MATCH(P407,tfn,0),tao,'12(id)'!$K$20,FALSE)),"",IF(J407="NA","",VLOOKUP(MATCH(P407,tfn,0),tao,'12(id)'!$K$20,FALSE)+J407))</f>
        <v/>
      </c>
      <c r="L407" s="10956"/>
      <c r="M407" s="10956" t="str">
        <f t="shared" si="35"/>
        <v/>
      </c>
      <c r="N407" s="10956" t="str">
        <f>+IF(M407="","",VLOOKUP(MATCH(M407,tid,0),tao,'12(id)'!$Q$20,FALSE))</f>
        <v/>
      </c>
      <c r="O407" s="10956"/>
      <c r="P407" s="6490" t="s">
        <v>356</v>
      </c>
      <c r="Q407" s="6491"/>
      <c r="R407" s="6489">
        <v>55517</v>
      </c>
      <c r="S407" s="6490" t="s">
        <v>28</v>
      </c>
      <c r="T407" s="6490"/>
      <c r="U407" s="6491">
        <v>2009</v>
      </c>
      <c r="V407" s="6491"/>
      <c r="W407" s="6489">
        <v>401</v>
      </c>
      <c r="X407" s="6489">
        <v>12</v>
      </c>
      <c r="Y407" s="6492">
        <v>17779</v>
      </c>
      <c r="Z407" s="6492" t="s">
        <v>939</v>
      </c>
      <c r="AA407" s="6493">
        <v>0.02</v>
      </c>
      <c r="AB407" s="6494">
        <v>1.1000000000000001</v>
      </c>
      <c r="AC407" s="6492">
        <v>175548</v>
      </c>
      <c r="AD407" s="6490" t="s">
        <v>961</v>
      </c>
      <c r="AE407" s="6490"/>
      <c r="AF407" s="6490">
        <v>4911</v>
      </c>
      <c r="AG407" s="6490" t="s">
        <v>1008</v>
      </c>
      <c r="AH407" s="6496" t="s">
        <v>21</v>
      </c>
      <c r="AI407" s="6495" t="s">
        <v>21</v>
      </c>
      <c r="AJ407" s="6496" t="s">
        <v>23</v>
      </c>
      <c r="AK407" s="6496" t="s">
        <v>24</v>
      </c>
      <c r="AL407" s="6496"/>
      <c r="AM407" s="6496"/>
      <c r="AN407" s="6496" t="s">
        <v>1013</v>
      </c>
      <c r="AO407" s="6496" t="s">
        <v>1054</v>
      </c>
      <c r="AP407" s="6496" t="s">
        <v>1021</v>
      </c>
      <c r="AQ407" s="6496"/>
      <c r="AR407" s="6496"/>
      <c r="AS407" s="6490" t="s">
        <v>1022</v>
      </c>
      <c r="AT407" s="6490" t="s">
        <v>1023</v>
      </c>
      <c r="AU407" s="6490"/>
      <c r="AV407" s="6490"/>
      <c r="AW407" s="6494">
        <v>530</v>
      </c>
      <c r="AX407" s="5133"/>
    </row>
    <row r="408" spans="1:50" ht="12.75" customHeight="1">
      <c r="A408" s="10957" t="str">
        <f t="shared" si="32"/>
        <v/>
      </c>
      <c r="B408" s="10940" t="str">
        <f>+IF(A408="","",VLOOKUP(MATCH(A408,tid,0),tao,'12(id)'!$J$20,FALSE))</f>
        <v/>
      </c>
      <c r="C408" s="10937" t="str">
        <f t="shared" si="33"/>
        <v/>
      </c>
      <c r="D408" s="5133"/>
      <c r="F408" s="5133"/>
      <c r="G408" s="6489">
        <f t="shared" si="34"/>
        <v>180</v>
      </c>
      <c r="H408" s="6489">
        <v>178</v>
      </c>
      <c r="I408" s="10957"/>
      <c r="J408" s="10957"/>
      <c r="K408" s="10957" t="str">
        <f>+IF(ISNA(VLOOKUP(MATCH(P408,tfn,0),tao,'12(id)'!$K$20,FALSE)),"",IF(J408="NA","",VLOOKUP(MATCH(P408,tfn,0),tao,'12(id)'!$K$20,FALSE)+J408))</f>
        <v/>
      </c>
      <c r="L408" s="10957"/>
      <c r="M408" s="10957" t="str">
        <f t="shared" si="35"/>
        <v/>
      </c>
      <c r="N408" s="10957" t="str">
        <f>+IF(M408="","",VLOOKUP(MATCH(M408,tid,0),tao,'12(id)'!$Q$20,FALSE))</f>
        <v/>
      </c>
      <c r="O408" s="10957"/>
      <c r="P408" s="6490" t="s">
        <v>356</v>
      </c>
      <c r="Q408" s="6491"/>
      <c r="R408" s="6489">
        <v>55517</v>
      </c>
      <c r="S408" s="6490" t="s">
        <v>28</v>
      </c>
      <c r="T408" s="6490"/>
      <c r="U408" s="6491">
        <v>2008</v>
      </c>
      <c r="V408" s="6491"/>
      <c r="W408" s="6489">
        <v>549</v>
      </c>
      <c r="X408" s="6489">
        <v>12</v>
      </c>
      <c r="Y408" s="6492">
        <v>24124</v>
      </c>
      <c r="Z408" s="6492" t="s">
        <v>939</v>
      </c>
      <c r="AA408" s="6493">
        <v>0.02</v>
      </c>
      <c r="AB408" s="6494">
        <v>1.6</v>
      </c>
      <c r="AC408" s="6492">
        <v>238892</v>
      </c>
      <c r="AD408" s="6490" t="s">
        <v>961</v>
      </c>
      <c r="AE408" s="6490"/>
      <c r="AF408" s="6490">
        <v>4911</v>
      </c>
      <c r="AG408" s="6490" t="s">
        <v>1008</v>
      </c>
      <c r="AH408" s="6496" t="s">
        <v>21</v>
      </c>
      <c r="AI408" s="6495" t="s">
        <v>21</v>
      </c>
      <c r="AJ408" s="6496" t="s">
        <v>22</v>
      </c>
      <c r="AK408" s="6496"/>
      <c r="AL408" s="6496"/>
      <c r="AM408" s="6496"/>
      <c r="AN408" s="6496" t="s">
        <v>1013</v>
      </c>
      <c r="AO408" s="6496" t="s">
        <v>1054</v>
      </c>
      <c r="AP408" s="6496" t="s">
        <v>1021</v>
      </c>
      <c r="AQ408" s="6496"/>
      <c r="AR408" s="6496"/>
      <c r="AS408" s="6490" t="s">
        <v>1022</v>
      </c>
      <c r="AT408" s="6490" t="s">
        <v>1023</v>
      </c>
      <c r="AU408" s="6490"/>
      <c r="AV408" s="6490"/>
      <c r="AW408" s="6494">
        <v>530</v>
      </c>
      <c r="AX408" s="5133"/>
    </row>
    <row r="409" spans="1:50" ht="12.75" customHeight="1">
      <c r="A409" s="10955" t="str">
        <f t="shared" si="32"/>
        <v/>
      </c>
      <c r="B409" s="10938" t="str">
        <f>+IF(A409="","",VLOOKUP(MATCH(A409,tid,0),tao,'12(id)'!$J$20,FALSE))</f>
        <v/>
      </c>
      <c r="C409" s="10935" t="str">
        <f t="shared" si="33"/>
        <v/>
      </c>
      <c r="D409" s="5133"/>
      <c r="F409" s="5133"/>
      <c r="G409" s="6489">
        <f t="shared" si="34"/>
        <v>181</v>
      </c>
      <c r="H409" s="6489">
        <v>182</v>
      </c>
      <c r="I409" s="10955">
        <f>1+I406</f>
        <v>65</v>
      </c>
      <c r="J409" s="10969"/>
      <c r="K409" s="10955" t="str">
        <f>+IF(ISNA(VLOOKUP(MATCH(P409,tfn,0),tao,'12(id)'!$K$20,FALSE)),"",IF(J409="NA","",VLOOKUP(MATCH(P409,tfn,0),tao,'12(id)'!$K$20,FALSE)+J409))</f>
        <v/>
      </c>
      <c r="L409" s="10955"/>
      <c r="M409" s="10955" t="str">
        <f t="shared" si="35"/>
        <v/>
      </c>
      <c r="N409" s="10955" t="str">
        <f>+IF(M409="","",VLOOKUP(MATCH(M409,tid,0),tao,'12(id)'!$Q$20,FALSE))</f>
        <v/>
      </c>
      <c r="O409" s="10955"/>
      <c r="P409" s="6490" t="s">
        <v>357</v>
      </c>
      <c r="Q409" s="6491"/>
      <c r="R409" s="6489">
        <v>56629</v>
      </c>
      <c r="S409" s="6490" t="s">
        <v>1044</v>
      </c>
      <c r="T409" s="6490"/>
      <c r="U409" s="6491">
        <v>2010</v>
      </c>
      <c r="V409" s="6491"/>
      <c r="W409" s="6489">
        <v>1053</v>
      </c>
      <c r="X409" s="6489">
        <v>12</v>
      </c>
      <c r="Y409" s="6492">
        <v>89942</v>
      </c>
      <c r="Z409" s="6492" t="s">
        <v>939</v>
      </c>
      <c r="AA409" s="6493">
        <v>0.02</v>
      </c>
      <c r="AB409" s="6494">
        <v>4.7</v>
      </c>
      <c r="AC409" s="6492">
        <v>695321</v>
      </c>
      <c r="AD409" s="6490" t="s">
        <v>961</v>
      </c>
      <c r="AE409" s="6490"/>
      <c r="AF409" s="6490" t="s">
        <v>939</v>
      </c>
      <c r="AG409" s="6490"/>
      <c r="AH409" s="6496" t="s">
        <v>29</v>
      </c>
      <c r="AI409" s="6495" t="s">
        <v>29</v>
      </c>
      <c r="AJ409" s="6496" t="s">
        <v>33</v>
      </c>
      <c r="AK409" s="6495" t="s">
        <v>34</v>
      </c>
      <c r="AL409" s="6495"/>
      <c r="AM409" s="6496"/>
      <c r="AN409" s="6496" t="s">
        <v>1013</v>
      </c>
      <c r="AO409" s="6496" t="s">
        <v>1054</v>
      </c>
      <c r="AP409" s="6496" t="s">
        <v>1021</v>
      </c>
      <c r="AQ409" s="6496" t="s">
        <v>962</v>
      </c>
      <c r="AR409" s="6496"/>
      <c r="AS409" s="6490" t="s">
        <v>1022</v>
      </c>
      <c r="AT409" s="6490" t="s">
        <v>1023</v>
      </c>
      <c r="AU409" s="6490"/>
      <c r="AV409" s="6490"/>
      <c r="AW409" s="6494">
        <v>1800</v>
      </c>
      <c r="AX409" s="5133"/>
    </row>
    <row r="410" spans="1:50" ht="12.75" customHeight="1">
      <c r="A410" s="10957" t="str">
        <f t="shared" si="32"/>
        <v/>
      </c>
      <c r="B410" s="10940" t="str">
        <f>+IF(A410="","",VLOOKUP(MATCH(A410,tid,0),tao,'12(id)'!$J$20,FALSE))</f>
        <v/>
      </c>
      <c r="C410" s="10937" t="str">
        <f t="shared" si="33"/>
        <v/>
      </c>
      <c r="D410" s="5133"/>
      <c r="F410" s="5133"/>
      <c r="G410" s="6489">
        <f t="shared" si="34"/>
        <v>182</v>
      </c>
      <c r="H410" s="6489">
        <v>181</v>
      </c>
      <c r="I410" s="10957"/>
      <c r="J410" s="10957"/>
      <c r="K410" s="10957"/>
      <c r="L410" s="10957"/>
      <c r="M410" s="10957"/>
      <c r="N410" s="10957"/>
      <c r="O410" s="10957"/>
      <c r="P410" s="6490" t="s">
        <v>357</v>
      </c>
      <c r="Q410" s="6491"/>
      <c r="R410" s="6489">
        <v>56629</v>
      </c>
      <c r="S410" s="6490" t="s">
        <v>1044</v>
      </c>
      <c r="T410" s="6490"/>
      <c r="U410" s="6491">
        <v>2009</v>
      </c>
      <c r="V410" s="6491"/>
      <c r="W410" s="6489">
        <v>519</v>
      </c>
      <c r="X410" s="6489">
        <v>9</v>
      </c>
      <c r="Y410" s="6492">
        <v>35378</v>
      </c>
      <c r="Z410" s="6492" t="s">
        <v>939</v>
      </c>
      <c r="AA410" s="6493">
        <v>0.05</v>
      </c>
      <c r="AB410" s="6494">
        <v>5.9</v>
      </c>
      <c r="AC410" s="6492">
        <v>324671</v>
      </c>
      <c r="AD410" s="6490" t="s">
        <v>961</v>
      </c>
      <c r="AE410" s="6490"/>
      <c r="AF410" s="6490" t="s">
        <v>939</v>
      </c>
      <c r="AG410" s="6490"/>
      <c r="AH410" s="6496" t="s">
        <v>29</v>
      </c>
      <c r="AI410" s="6495" t="s">
        <v>29</v>
      </c>
      <c r="AJ410" s="6495" t="s">
        <v>30</v>
      </c>
      <c r="AK410" s="6495" t="s">
        <v>18</v>
      </c>
      <c r="AL410" s="6495"/>
      <c r="AM410" s="6496"/>
      <c r="AN410" s="6496" t="s">
        <v>31</v>
      </c>
      <c r="AO410" s="6496" t="s">
        <v>32</v>
      </c>
      <c r="AP410" s="6496" t="s">
        <v>1021</v>
      </c>
      <c r="AQ410" s="6496" t="s">
        <v>962</v>
      </c>
      <c r="AR410" s="6496"/>
      <c r="AS410" s="6490" t="s">
        <v>1022</v>
      </c>
      <c r="AT410" s="6490" t="s">
        <v>1023</v>
      </c>
      <c r="AU410" s="6490"/>
      <c r="AV410" s="6490"/>
      <c r="AW410" s="6494">
        <v>1800</v>
      </c>
      <c r="AX410" s="5133"/>
    </row>
    <row r="411" spans="1:50" ht="12.75" customHeight="1">
      <c r="A411" s="10955" t="str">
        <f t="shared" si="32"/>
        <v/>
      </c>
      <c r="B411" s="10938" t="str">
        <f>+IF(A411="","",VLOOKUP(MATCH(A411,tid,0),tao,'12(id)'!$J$20,FALSE))</f>
        <v/>
      </c>
      <c r="C411" s="10935" t="str">
        <f t="shared" si="33"/>
        <v/>
      </c>
      <c r="D411" s="5133"/>
      <c r="F411" s="5133"/>
      <c r="G411" s="6489">
        <f t="shared" si="34"/>
        <v>183</v>
      </c>
      <c r="H411" s="6489">
        <v>185</v>
      </c>
      <c r="I411" s="10955">
        <f>1+I409</f>
        <v>66</v>
      </c>
      <c r="J411" s="10969"/>
      <c r="K411" s="10955" t="str">
        <f>+IF(ISNA(VLOOKUP(MATCH(P411,tfn,0),tao,'12(id)'!$K$20,FALSE)),"",IF(J411="NA","",VLOOKUP(MATCH(P411,tfn,0),tao,'12(id)'!$K$20,FALSE)+J411))</f>
        <v/>
      </c>
      <c r="L411" s="10955"/>
      <c r="M411" s="10955" t="str">
        <f t="shared" ref="M411:M419" si="36">+IF(K411="","",K411&amp;IF(L411&lt;10,"-0"&amp;L411,"-"&amp;L411))</f>
        <v/>
      </c>
      <c r="N411" s="10955" t="str">
        <f>+IF(M411="","",VLOOKUP(MATCH(M411,tid,0),tao,'12(id)'!$Q$20,FALSE))</f>
        <v/>
      </c>
      <c r="O411" s="10955"/>
      <c r="P411" s="6490" t="s">
        <v>358</v>
      </c>
      <c r="Q411" s="6491"/>
      <c r="R411" s="6489">
        <v>56189</v>
      </c>
      <c r="S411" s="6490" t="s">
        <v>1007</v>
      </c>
      <c r="T411" s="6490"/>
      <c r="U411" s="6491">
        <v>2010</v>
      </c>
      <c r="V411" s="6491"/>
      <c r="W411" s="6489">
        <v>68</v>
      </c>
      <c r="X411" s="6489">
        <v>6</v>
      </c>
      <c r="Y411" s="6492" t="s">
        <v>939</v>
      </c>
      <c r="Z411" s="6492" t="s">
        <v>939</v>
      </c>
      <c r="AA411" s="6493">
        <v>0.33</v>
      </c>
      <c r="AB411" s="6494">
        <v>2.1</v>
      </c>
      <c r="AC411" s="6492">
        <v>16818</v>
      </c>
      <c r="AD411" s="6490" t="s">
        <v>961</v>
      </c>
      <c r="AE411" s="6490"/>
      <c r="AF411" s="6490" t="s">
        <v>939</v>
      </c>
      <c r="AG411" s="6490"/>
      <c r="AH411" s="6496" t="s">
        <v>35</v>
      </c>
      <c r="AI411" s="6495" t="s">
        <v>35</v>
      </c>
      <c r="AJ411" s="6495" t="s">
        <v>40</v>
      </c>
      <c r="AK411" s="6495" t="s">
        <v>41</v>
      </c>
      <c r="AL411" s="6495"/>
      <c r="AM411" s="6496"/>
      <c r="AN411" s="6496" t="s">
        <v>1013</v>
      </c>
      <c r="AO411" s="6496" t="s">
        <v>1054</v>
      </c>
      <c r="AP411" s="6496" t="s">
        <v>962</v>
      </c>
      <c r="AQ411" s="6496"/>
      <c r="AR411" s="6496"/>
      <c r="AS411" s="6490" t="s">
        <v>38</v>
      </c>
      <c r="AT411" s="6490"/>
      <c r="AU411" s="6490"/>
      <c r="AV411" s="6490"/>
      <c r="AW411" s="6494">
        <v>247</v>
      </c>
      <c r="AX411" s="5133"/>
    </row>
    <row r="412" spans="1:50" ht="12.75" customHeight="1">
      <c r="A412" s="10956" t="str">
        <f t="shared" si="32"/>
        <v/>
      </c>
      <c r="B412" s="10939" t="str">
        <f>+IF(A412="","",VLOOKUP(MATCH(A412,tid,0),tao,'12(id)'!$J$20,FALSE))</f>
        <v/>
      </c>
      <c r="C412" s="10936" t="str">
        <f t="shared" si="33"/>
        <v/>
      </c>
      <c r="D412" s="5133"/>
      <c r="F412" s="5133"/>
      <c r="G412" s="6489">
        <f t="shared" si="34"/>
        <v>184</v>
      </c>
      <c r="H412" s="6489">
        <v>184</v>
      </c>
      <c r="I412" s="10956"/>
      <c r="J412" s="10956"/>
      <c r="K412" s="10956" t="str">
        <f>+IF(ISNA(VLOOKUP(MATCH(P412,tfn,0),tao,'12(id)'!$K$20,FALSE)),"",IF(J412="NA","",VLOOKUP(MATCH(P412,tfn,0),tao,'12(id)'!$K$20,FALSE)+J412))</f>
        <v/>
      </c>
      <c r="L412" s="10956"/>
      <c r="M412" s="10956" t="str">
        <f t="shared" si="36"/>
        <v/>
      </c>
      <c r="N412" s="10956" t="str">
        <f>+IF(M412="","",VLOOKUP(MATCH(M412,tid,0),tao,'12(id)'!$Q$20,FALSE))</f>
        <v/>
      </c>
      <c r="O412" s="10956"/>
      <c r="P412" s="6490" t="s">
        <v>358</v>
      </c>
      <c r="Q412" s="6491"/>
      <c r="R412" s="6489">
        <v>56189</v>
      </c>
      <c r="S412" s="6490" t="s">
        <v>1007</v>
      </c>
      <c r="T412" s="6490"/>
      <c r="U412" s="6491">
        <v>2009</v>
      </c>
      <c r="V412" s="6491"/>
      <c r="W412" s="6489">
        <v>15</v>
      </c>
      <c r="X412" s="6489">
        <v>6</v>
      </c>
      <c r="Y412" s="6492" t="s">
        <v>939</v>
      </c>
      <c r="Z412" s="6492" t="s">
        <v>939</v>
      </c>
      <c r="AA412" s="6493">
        <v>0.6</v>
      </c>
      <c r="AB412" s="6494">
        <v>0.5</v>
      </c>
      <c r="AC412" s="6492">
        <v>3636</v>
      </c>
      <c r="AD412" s="6490" t="s">
        <v>961</v>
      </c>
      <c r="AE412" s="6490"/>
      <c r="AF412" s="6490" t="s">
        <v>939</v>
      </c>
      <c r="AG412" s="6490"/>
      <c r="AH412" s="6496" t="s">
        <v>35</v>
      </c>
      <c r="AI412" s="6495" t="s">
        <v>35</v>
      </c>
      <c r="AJ412" s="6496" t="s">
        <v>36</v>
      </c>
      <c r="AK412" s="6495" t="s">
        <v>39</v>
      </c>
      <c r="AL412" s="6495"/>
      <c r="AM412" s="6496"/>
      <c r="AN412" s="6496" t="s">
        <v>1013</v>
      </c>
      <c r="AO412" s="6496" t="s">
        <v>1054</v>
      </c>
      <c r="AP412" s="6496" t="s">
        <v>962</v>
      </c>
      <c r="AQ412" s="6496"/>
      <c r="AR412" s="6496"/>
      <c r="AS412" s="6490" t="s">
        <v>38</v>
      </c>
      <c r="AT412" s="6490"/>
      <c r="AU412" s="6490"/>
      <c r="AV412" s="6490"/>
      <c r="AW412" s="6494">
        <v>247</v>
      </c>
      <c r="AX412" s="5133"/>
    </row>
    <row r="413" spans="1:50" ht="12.75" customHeight="1">
      <c r="A413" s="10957" t="str">
        <f t="shared" si="32"/>
        <v/>
      </c>
      <c r="B413" s="10940" t="str">
        <f>+IF(A413="","",VLOOKUP(MATCH(A413,tid,0),tao,'12(id)'!$J$20,FALSE))</f>
        <v/>
      </c>
      <c r="C413" s="10937" t="str">
        <f t="shared" si="33"/>
        <v/>
      </c>
      <c r="D413" s="5133"/>
      <c r="F413" s="5133"/>
      <c r="G413" s="6489">
        <f t="shared" si="34"/>
        <v>185</v>
      </c>
      <c r="H413" s="6489">
        <v>183</v>
      </c>
      <c r="I413" s="10957"/>
      <c r="J413" s="10957"/>
      <c r="K413" s="10957" t="str">
        <f>+IF(ISNA(VLOOKUP(MATCH(P413,tfn,0),tao,'12(id)'!$K$20,FALSE)),"",IF(J413="NA","",VLOOKUP(MATCH(P413,tfn,0),tao,'12(id)'!$K$20,FALSE)+J413))</f>
        <v/>
      </c>
      <c r="L413" s="10957"/>
      <c r="M413" s="10957" t="str">
        <f t="shared" si="36"/>
        <v/>
      </c>
      <c r="N413" s="10957" t="str">
        <f>+IF(M413="","",VLOOKUP(MATCH(M413,tid,0),tao,'12(id)'!$Q$20,FALSE))</f>
        <v/>
      </c>
      <c r="O413" s="10957"/>
      <c r="P413" s="6490" t="s">
        <v>358</v>
      </c>
      <c r="Q413" s="6491"/>
      <c r="R413" s="6489">
        <v>56189</v>
      </c>
      <c r="S413" s="6490" t="s">
        <v>1007</v>
      </c>
      <c r="T413" s="6490"/>
      <c r="U413" s="6491">
        <v>2008</v>
      </c>
      <c r="V413" s="6491"/>
      <c r="W413" s="6489">
        <v>42</v>
      </c>
      <c r="X413" s="6489">
        <v>6</v>
      </c>
      <c r="Y413" s="6492" t="s">
        <v>939</v>
      </c>
      <c r="Z413" s="6492" t="s">
        <v>939</v>
      </c>
      <c r="AA413" s="6493">
        <v>0.44</v>
      </c>
      <c r="AB413" s="6494">
        <v>1.3</v>
      </c>
      <c r="AC413" s="6492">
        <v>10382</v>
      </c>
      <c r="AD413" s="6490" t="s">
        <v>961</v>
      </c>
      <c r="AE413" s="6490"/>
      <c r="AF413" s="6490" t="s">
        <v>939</v>
      </c>
      <c r="AG413" s="6490"/>
      <c r="AH413" s="6495" t="s">
        <v>35</v>
      </c>
      <c r="AI413" s="6495" t="s">
        <v>35</v>
      </c>
      <c r="AJ413" s="6495" t="s">
        <v>36</v>
      </c>
      <c r="AK413" s="6495" t="s">
        <v>37</v>
      </c>
      <c r="AL413" s="6495"/>
      <c r="AM413" s="6496"/>
      <c r="AN413" s="6495" t="s">
        <v>1013</v>
      </c>
      <c r="AO413" s="6495" t="s">
        <v>1054</v>
      </c>
      <c r="AP413" s="6495" t="s">
        <v>962</v>
      </c>
      <c r="AQ413" s="6496"/>
      <c r="AR413" s="6496"/>
      <c r="AS413" s="6490" t="s">
        <v>38</v>
      </c>
      <c r="AT413" s="6490"/>
      <c r="AU413" s="6490"/>
      <c r="AV413" s="6490"/>
      <c r="AW413" s="6494">
        <v>247</v>
      </c>
      <c r="AX413" s="5133"/>
    </row>
    <row r="414" spans="1:50" ht="12.75" customHeight="1">
      <c r="A414" s="10955" t="str">
        <f t="shared" si="32"/>
        <v/>
      </c>
      <c r="B414" s="10938" t="str">
        <f>+IF(A414="","",VLOOKUP(MATCH(A414,tid,0),tao,'12(id)'!$J$20,FALSE))</f>
        <v/>
      </c>
      <c r="C414" s="10935" t="str">
        <f t="shared" si="33"/>
        <v/>
      </c>
      <c r="D414" s="5133"/>
      <c r="F414" s="5133"/>
      <c r="G414" s="6489">
        <f t="shared" si="34"/>
        <v>186</v>
      </c>
      <c r="H414" s="6489">
        <v>188</v>
      </c>
      <c r="I414" s="10955">
        <f>1+I411</f>
        <v>67</v>
      </c>
      <c r="J414" s="10969"/>
      <c r="K414" s="10955" t="str">
        <f>+IF(ISNA(VLOOKUP(MATCH(P414,tfn,0),tao,'12(id)'!$K$20,FALSE)),"",IF(J414="NA","",VLOOKUP(MATCH(P414,tfn,0),tao,'12(id)'!$K$20,FALSE)+J414))</f>
        <v/>
      </c>
      <c r="L414" s="10955"/>
      <c r="M414" s="10955" t="str">
        <f t="shared" si="36"/>
        <v/>
      </c>
      <c r="N414" s="10955" t="str">
        <f>+IF(M414="","",VLOOKUP(MATCH(M414,tid,0),tao,'12(id)'!$Q$20,FALSE))</f>
        <v/>
      </c>
      <c r="O414" s="10955"/>
      <c r="P414" s="6490" t="s">
        <v>358</v>
      </c>
      <c r="Q414" s="6491"/>
      <c r="R414" s="6489">
        <v>56189</v>
      </c>
      <c r="S414" s="6490" t="s">
        <v>1025</v>
      </c>
      <c r="T414" s="6490"/>
      <c r="U414" s="6491">
        <v>2010</v>
      </c>
      <c r="V414" s="6491"/>
      <c r="W414" s="6489">
        <v>73</v>
      </c>
      <c r="X414" s="6489">
        <v>6</v>
      </c>
      <c r="Y414" s="6492" t="s">
        <v>939</v>
      </c>
      <c r="Z414" s="6492" t="s">
        <v>939</v>
      </c>
      <c r="AA414" s="6493">
        <v>0.52</v>
      </c>
      <c r="AB414" s="6494">
        <v>3.4</v>
      </c>
      <c r="AC414" s="6492">
        <v>17965</v>
      </c>
      <c r="AD414" s="6490" t="s">
        <v>961</v>
      </c>
      <c r="AE414" s="6490"/>
      <c r="AF414" s="6490" t="s">
        <v>939</v>
      </c>
      <c r="AG414" s="6490"/>
      <c r="AH414" s="6496" t="s">
        <v>35</v>
      </c>
      <c r="AI414" s="6495" t="s">
        <v>35</v>
      </c>
      <c r="AJ414" s="6495" t="s">
        <v>40</v>
      </c>
      <c r="AK414" s="6495" t="s">
        <v>41</v>
      </c>
      <c r="AL414" s="6495"/>
      <c r="AM414" s="6496"/>
      <c r="AN414" s="6496" t="s">
        <v>1013</v>
      </c>
      <c r="AO414" s="6496" t="s">
        <v>1054</v>
      </c>
      <c r="AP414" s="6496" t="s">
        <v>962</v>
      </c>
      <c r="AQ414" s="6496"/>
      <c r="AR414" s="6496"/>
      <c r="AS414" s="6490" t="s">
        <v>38</v>
      </c>
      <c r="AT414" s="6490"/>
      <c r="AU414" s="6490"/>
      <c r="AV414" s="6490"/>
      <c r="AW414" s="6494">
        <v>247</v>
      </c>
      <c r="AX414" s="5133"/>
    </row>
    <row r="415" spans="1:50" ht="12.75" customHeight="1">
      <c r="A415" s="10956" t="str">
        <f t="shared" si="32"/>
        <v/>
      </c>
      <c r="B415" s="10939" t="str">
        <f>+IF(A415="","",VLOOKUP(MATCH(A415,tid,0),tao,'12(id)'!$J$20,FALSE))</f>
        <v/>
      </c>
      <c r="C415" s="10936" t="str">
        <f t="shared" si="33"/>
        <v/>
      </c>
      <c r="D415" s="5133"/>
      <c r="F415" s="5133"/>
      <c r="G415" s="6489">
        <f t="shared" si="34"/>
        <v>187</v>
      </c>
      <c r="H415" s="6489">
        <v>187</v>
      </c>
      <c r="I415" s="10956"/>
      <c r="J415" s="10956"/>
      <c r="K415" s="10956" t="str">
        <f>+IF(ISNA(VLOOKUP(MATCH(P415,tfn,0),tao,'12(id)'!$K$20,FALSE)),"",IF(J415="NA","",VLOOKUP(MATCH(P415,tfn,0),tao,'12(id)'!$K$20,FALSE)+J415))</f>
        <v/>
      </c>
      <c r="L415" s="10956"/>
      <c r="M415" s="10956" t="str">
        <f t="shared" si="36"/>
        <v/>
      </c>
      <c r="N415" s="10956" t="str">
        <f>+IF(M415="","",VLOOKUP(MATCH(M415,tid,0),tao,'12(id)'!$Q$20,FALSE))</f>
        <v/>
      </c>
      <c r="O415" s="10956"/>
      <c r="P415" s="6490" t="s">
        <v>358</v>
      </c>
      <c r="Q415" s="6491"/>
      <c r="R415" s="6489">
        <v>56189</v>
      </c>
      <c r="S415" s="6490" t="s">
        <v>1025</v>
      </c>
      <c r="T415" s="6490"/>
      <c r="U415" s="6491">
        <v>2009</v>
      </c>
      <c r="V415" s="6491"/>
      <c r="W415" s="6489">
        <v>16</v>
      </c>
      <c r="X415" s="6489">
        <v>6</v>
      </c>
      <c r="Y415" s="6492" t="s">
        <v>939</v>
      </c>
      <c r="Z415" s="6492" t="s">
        <v>939</v>
      </c>
      <c r="AA415" s="6493">
        <v>0.56000000000000005</v>
      </c>
      <c r="AB415" s="6494">
        <v>0.6</v>
      </c>
      <c r="AC415" s="6492">
        <v>3841</v>
      </c>
      <c r="AD415" s="6490" t="s">
        <v>961</v>
      </c>
      <c r="AE415" s="6490"/>
      <c r="AF415" s="6490" t="s">
        <v>939</v>
      </c>
      <c r="AG415" s="6490"/>
      <c r="AH415" s="6496" t="s">
        <v>35</v>
      </c>
      <c r="AI415" s="6495" t="s">
        <v>35</v>
      </c>
      <c r="AJ415" s="6496" t="s">
        <v>36</v>
      </c>
      <c r="AK415" s="6495" t="s">
        <v>39</v>
      </c>
      <c r="AL415" s="6495"/>
      <c r="AM415" s="6496"/>
      <c r="AN415" s="6496" t="s">
        <v>1013</v>
      </c>
      <c r="AO415" s="6496" t="s">
        <v>1054</v>
      </c>
      <c r="AP415" s="6496" t="s">
        <v>962</v>
      </c>
      <c r="AQ415" s="6496"/>
      <c r="AR415" s="6496"/>
      <c r="AS415" s="6490" t="s">
        <v>38</v>
      </c>
      <c r="AT415" s="6490"/>
      <c r="AU415" s="6490"/>
      <c r="AV415" s="6490"/>
      <c r="AW415" s="6494">
        <v>247</v>
      </c>
      <c r="AX415" s="5133"/>
    </row>
    <row r="416" spans="1:50" ht="12.75" customHeight="1">
      <c r="A416" s="10957" t="str">
        <f t="shared" si="32"/>
        <v/>
      </c>
      <c r="B416" s="10940" t="str">
        <f>+IF(A416="","",VLOOKUP(MATCH(A416,tid,0),tao,'12(id)'!$J$20,FALSE))</f>
        <v/>
      </c>
      <c r="C416" s="10937" t="str">
        <f t="shared" si="33"/>
        <v/>
      </c>
      <c r="D416" s="5133"/>
      <c r="F416" s="5133"/>
      <c r="G416" s="6489">
        <f t="shared" si="34"/>
        <v>188</v>
      </c>
      <c r="H416" s="6489">
        <v>186</v>
      </c>
      <c r="I416" s="10957"/>
      <c r="J416" s="10957"/>
      <c r="K416" s="10957" t="str">
        <f>+IF(ISNA(VLOOKUP(MATCH(P416,tfn,0),tao,'12(id)'!$K$20,FALSE)),"",IF(J416="NA","",VLOOKUP(MATCH(P416,tfn,0),tao,'12(id)'!$K$20,FALSE)+J416))</f>
        <v/>
      </c>
      <c r="L416" s="10957"/>
      <c r="M416" s="10957" t="str">
        <f t="shared" si="36"/>
        <v/>
      </c>
      <c r="N416" s="10957" t="str">
        <f>+IF(M416="","",VLOOKUP(MATCH(M416,tid,0),tao,'12(id)'!$Q$20,FALSE))</f>
        <v/>
      </c>
      <c r="O416" s="10957"/>
      <c r="P416" s="6490" t="s">
        <v>358</v>
      </c>
      <c r="Q416" s="6491"/>
      <c r="R416" s="6489">
        <v>56189</v>
      </c>
      <c r="S416" s="6490" t="s">
        <v>1025</v>
      </c>
      <c r="T416" s="6490"/>
      <c r="U416" s="6491">
        <v>2008</v>
      </c>
      <c r="V416" s="6491"/>
      <c r="W416" s="6489">
        <v>45</v>
      </c>
      <c r="X416" s="6489">
        <v>6</v>
      </c>
      <c r="Y416" s="6492" t="s">
        <v>939</v>
      </c>
      <c r="Z416" s="6492" t="s">
        <v>939</v>
      </c>
      <c r="AA416" s="6493">
        <v>0.6</v>
      </c>
      <c r="AB416" s="6494">
        <v>1.7</v>
      </c>
      <c r="AC416" s="6492">
        <v>11112</v>
      </c>
      <c r="AD416" s="6490" t="s">
        <v>961</v>
      </c>
      <c r="AE416" s="6490"/>
      <c r="AF416" s="6490" t="s">
        <v>939</v>
      </c>
      <c r="AG416" s="6490"/>
      <c r="AH416" s="6495" t="s">
        <v>35</v>
      </c>
      <c r="AI416" s="6495" t="s">
        <v>35</v>
      </c>
      <c r="AJ416" s="6495" t="s">
        <v>36</v>
      </c>
      <c r="AK416" s="6495" t="s">
        <v>37</v>
      </c>
      <c r="AL416" s="6495"/>
      <c r="AM416" s="6496"/>
      <c r="AN416" s="6495" t="s">
        <v>1013</v>
      </c>
      <c r="AO416" s="6495" t="s">
        <v>1054</v>
      </c>
      <c r="AP416" s="6495" t="s">
        <v>962</v>
      </c>
      <c r="AQ416" s="6496"/>
      <c r="AR416" s="6496"/>
      <c r="AS416" s="6490" t="s">
        <v>38</v>
      </c>
      <c r="AT416" s="6490"/>
      <c r="AU416" s="6490"/>
      <c r="AV416" s="6490"/>
      <c r="AW416" s="6494">
        <v>247</v>
      </c>
      <c r="AX416" s="5133"/>
    </row>
    <row r="417" spans="1:50" ht="12.75" customHeight="1">
      <c r="A417" s="10955" t="str">
        <f t="shared" si="32"/>
        <v/>
      </c>
      <c r="B417" s="10938" t="str">
        <f>+IF(A417="","",VLOOKUP(MATCH(A417,tid,0),tao,'12(id)'!$J$20,FALSE))</f>
        <v/>
      </c>
      <c r="C417" s="10935" t="str">
        <f t="shared" si="33"/>
        <v/>
      </c>
      <c r="D417" s="5133"/>
      <c r="F417" s="5133"/>
      <c r="G417" s="6489">
        <f t="shared" si="34"/>
        <v>189</v>
      </c>
      <c r="H417" s="6489">
        <v>191</v>
      </c>
      <c r="I417" s="10955">
        <f>1+I414</f>
        <v>68</v>
      </c>
      <c r="J417" s="10969"/>
      <c r="K417" s="10955" t="str">
        <f>+IF(ISNA(VLOOKUP(MATCH(P417,tfn,0),tao,'12(id)'!$K$20,FALSE)),"",IF(J417="NA","",VLOOKUP(MATCH(P417,tfn,0),tao,'12(id)'!$K$20,FALSE)+J417))</f>
        <v/>
      </c>
      <c r="L417" s="10955"/>
      <c r="M417" s="10955" t="str">
        <f t="shared" si="36"/>
        <v/>
      </c>
      <c r="N417" s="10955" t="str">
        <f>+IF(M417="","",VLOOKUP(MATCH(M417,tid,0),tao,'12(id)'!$Q$20,FALSE))</f>
        <v/>
      </c>
      <c r="O417" s="10955"/>
      <c r="P417" s="6490" t="s">
        <v>358</v>
      </c>
      <c r="Q417" s="6491"/>
      <c r="R417" s="6489">
        <v>56189</v>
      </c>
      <c r="S417" s="6490" t="s">
        <v>119</v>
      </c>
      <c r="T417" s="6490"/>
      <c r="U417" s="6491">
        <v>2010</v>
      </c>
      <c r="V417" s="6491"/>
      <c r="W417" s="6489">
        <v>69</v>
      </c>
      <c r="X417" s="6489">
        <v>6</v>
      </c>
      <c r="Y417" s="6492" t="s">
        <v>939</v>
      </c>
      <c r="Z417" s="6492" t="s">
        <v>939</v>
      </c>
      <c r="AA417" s="6493">
        <v>0.47</v>
      </c>
      <c r="AB417" s="6494">
        <v>2.7</v>
      </c>
      <c r="AC417" s="6492">
        <v>16957</v>
      </c>
      <c r="AD417" s="6490" t="s">
        <v>961</v>
      </c>
      <c r="AE417" s="6490"/>
      <c r="AF417" s="6490" t="s">
        <v>939</v>
      </c>
      <c r="AG417" s="6490"/>
      <c r="AH417" s="6496" t="s">
        <v>35</v>
      </c>
      <c r="AI417" s="6495" t="s">
        <v>35</v>
      </c>
      <c r="AJ417" s="6495" t="s">
        <v>40</v>
      </c>
      <c r="AK417" s="6495" t="s">
        <v>41</v>
      </c>
      <c r="AL417" s="6495"/>
      <c r="AM417" s="6496"/>
      <c r="AN417" s="6496" t="s">
        <v>1013</v>
      </c>
      <c r="AO417" s="6496" t="s">
        <v>1020</v>
      </c>
      <c r="AP417" s="6496" t="s">
        <v>962</v>
      </c>
      <c r="AQ417" s="6496"/>
      <c r="AR417" s="6496"/>
      <c r="AS417" s="6490" t="s">
        <v>38</v>
      </c>
      <c r="AT417" s="6490"/>
      <c r="AU417" s="6490"/>
      <c r="AV417" s="6490"/>
      <c r="AW417" s="6494">
        <v>247</v>
      </c>
      <c r="AX417" s="5133"/>
    </row>
    <row r="418" spans="1:50" ht="12.75" customHeight="1">
      <c r="A418" s="10956" t="str">
        <f t="shared" si="32"/>
        <v/>
      </c>
      <c r="B418" s="10939" t="str">
        <f>+IF(A418="","",VLOOKUP(MATCH(A418,tid,0),tao,'12(id)'!$J$20,FALSE))</f>
        <v/>
      </c>
      <c r="C418" s="10936" t="str">
        <f t="shared" si="33"/>
        <v/>
      </c>
      <c r="D418" s="5133"/>
      <c r="F418" s="5133"/>
      <c r="G418" s="6489">
        <f t="shared" si="34"/>
        <v>190</v>
      </c>
      <c r="H418" s="6489">
        <v>190</v>
      </c>
      <c r="I418" s="10956"/>
      <c r="J418" s="10956"/>
      <c r="K418" s="10956" t="str">
        <f>+IF(ISNA(VLOOKUP(MATCH(P418,tfn,0),tao,'12(id)'!$K$20,FALSE)),"",IF(J418="NA","",VLOOKUP(MATCH(P418,tfn,0),tao,'12(id)'!$K$20,FALSE)+J418))</f>
        <v/>
      </c>
      <c r="L418" s="10956"/>
      <c r="M418" s="10956" t="str">
        <f t="shared" si="36"/>
        <v/>
      </c>
      <c r="N418" s="10956" t="str">
        <f>+IF(M418="","",VLOOKUP(MATCH(M418,tid,0),tao,'12(id)'!$Q$20,FALSE))</f>
        <v/>
      </c>
      <c r="O418" s="10956"/>
      <c r="P418" s="6490" t="s">
        <v>358</v>
      </c>
      <c r="Q418" s="6491"/>
      <c r="R418" s="6489">
        <v>56189</v>
      </c>
      <c r="S418" s="6490" t="s">
        <v>119</v>
      </c>
      <c r="T418" s="6490"/>
      <c r="U418" s="6491">
        <v>2009</v>
      </c>
      <c r="V418" s="6491"/>
      <c r="W418" s="6489">
        <v>16</v>
      </c>
      <c r="X418" s="6489">
        <v>6</v>
      </c>
      <c r="Y418" s="6492" t="s">
        <v>939</v>
      </c>
      <c r="Z418" s="6492" t="s">
        <v>939</v>
      </c>
      <c r="AA418" s="6493">
        <v>0.54</v>
      </c>
      <c r="AB418" s="6494">
        <v>0.6</v>
      </c>
      <c r="AC418" s="6492">
        <v>3866</v>
      </c>
      <c r="AD418" s="6490" t="s">
        <v>961</v>
      </c>
      <c r="AE418" s="6490"/>
      <c r="AF418" s="6490" t="s">
        <v>939</v>
      </c>
      <c r="AG418" s="6490"/>
      <c r="AH418" s="6496" t="s">
        <v>35</v>
      </c>
      <c r="AI418" s="6495" t="s">
        <v>35</v>
      </c>
      <c r="AJ418" s="6496" t="s">
        <v>36</v>
      </c>
      <c r="AK418" s="6495" t="s">
        <v>39</v>
      </c>
      <c r="AL418" s="6495"/>
      <c r="AM418" s="6496"/>
      <c r="AN418" s="6496" t="s">
        <v>1013</v>
      </c>
      <c r="AO418" s="6496" t="s">
        <v>1020</v>
      </c>
      <c r="AP418" s="6496" t="s">
        <v>962</v>
      </c>
      <c r="AQ418" s="6496"/>
      <c r="AR418" s="6496"/>
      <c r="AS418" s="6490" t="s">
        <v>38</v>
      </c>
      <c r="AT418" s="6490"/>
      <c r="AU418" s="6490"/>
      <c r="AV418" s="6490"/>
      <c r="AW418" s="6494">
        <v>247</v>
      </c>
      <c r="AX418" s="5133"/>
    </row>
    <row r="419" spans="1:50" ht="12.75" customHeight="1">
      <c r="A419" s="10957" t="str">
        <f t="shared" si="32"/>
        <v/>
      </c>
      <c r="B419" s="10940" t="str">
        <f>+IF(A419="","",VLOOKUP(MATCH(A419,tid,0),tao,'12(id)'!$J$20,FALSE))</f>
        <v/>
      </c>
      <c r="C419" s="10937" t="str">
        <f t="shared" si="33"/>
        <v/>
      </c>
      <c r="D419" s="5133"/>
      <c r="F419" s="5133"/>
      <c r="G419" s="6489">
        <f t="shared" si="34"/>
        <v>191</v>
      </c>
      <c r="H419" s="6489">
        <v>189</v>
      </c>
      <c r="I419" s="10957"/>
      <c r="J419" s="10957"/>
      <c r="K419" s="10957" t="str">
        <f>+IF(ISNA(VLOOKUP(MATCH(P419,tfn,0),tao,'12(id)'!$K$20,FALSE)),"",IF(J419="NA","",VLOOKUP(MATCH(P419,tfn,0),tao,'12(id)'!$K$20,FALSE)+J419))</f>
        <v/>
      </c>
      <c r="L419" s="10957"/>
      <c r="M419" s="10957" t="str">
        <f t="shared" si="36"/>
        <v/>
      </c>
      <c r="N419" s="10957" t="str">
        <f>+IF(M419="","",VLOOKUP(MATCH(M419,tid,0),tao,'12(id)'!$Q$20,FALSE))</f>
        <v/>
      </c>
      <c r="O419" s="10957"/>
      <c r="P419" s="6490" t="s">
        <v>358</v>
      </c>
      <c r="Q419" s="6491"/>
      <c r="R419" s="6489">
        <v>56189</v>
      </c>
      <c r="S419" s="6490" t="s">
        <v>119</v>
      </c>
      <c r="T419" s="6490"/>
      <c r="U419" s="6491">
        <v>2008</v>
      </c>
      <c r="V419" s="6491"/>
      <c r="W419" s="6489">
        <v>44</v>
      </c>
      <c r="X419" s="6489">
        <v>6</v>
      </c>
      <c r="Y419" s="6492" t="s">
        <v>939</v>
      </c>
      <c r="Z419" s="6492" t="s">
        <v>939</v>
      </c>
      <c r="AA419" s="6493">
        <v>0.47</v>
      </c>
      <c r="AB419" s="6494">
        <v>1.6</v>
      </c>
      <c r="AC419" s="6492">
        <v>10859</v>
      </c>
      <c r="AD419" s="6490" t="s">
        <v>961</v>
      </c>
      <c r="AE419" s="6490"/>
      <c r="AF419" s="6490" t="s">
        <v>939</v>
      </c>
      <c r="AG419" s="6490"/>
      <c r="AH419" s="6495" t="s">
        <v>35</v>
      </c>
      <c r="AI419" s="6495" t="s">
        <v>35</v>
      </c>
      <c r="AJ419" s="6495" t="s">
        <v>36</v>
      </c>
      <c r="AK419" s="6495" t="s">
        <v>37</v>
      </c>
      <c r="AL419" s="6495"/>
      <c r="AM419" s="6496"/>
      <c r="AN419" s="6495" t="s">
        <v>1013</v>
      </c>
      <c r="AO419" s="6495" t="s">
        <v>1020</v>
      </c>
      <c r="AP419" s="6495" t="s">
        <v>962</v>
      </c>
      <c r="AQ419" s="6496"/>
      <c r="AR419" s="6496"/>
      <c r="AS419" s="6490" t="s">
        <v>38</v>
      </c>
      <c r="AT419" s="6490"/>
      <c r="AU419" s="6490"/>
      <c r="AV419" s="6490"/>
      <c r="AW419" s="6494">
        <v>247</v>
      </c>
      <c r="AX419" s="5133"/>
    </row>
    <row r="420" spans="1:50" ht="12.75" customHeight="1">
      <c r="A420" s="5133"/>
      <c r="B420" s="5133"/>
      <c r="C420" s="5133"/>
      <c r="D420" s="5133"/>
      <c r="F420" s="5133"/>
      <c r="G420" s="5949"/>
      <c r="H420" s="5949"/>
      <c r="I420" s="5949"/>
      <c r="J420" s="5949"/>
      <c r="K420" s="5949"/>
      <c r="L420" s="5949"/>
      <c r="M420" s="5949"/>
      <c r="N420" s="5949"/>
      <c r="O420" s="5949"/>
      <c r="P420" s="5949"/>
      <c r="Q420" s="6478"/>
      <c r="R420" s="6501"/>
      <c r="S420" s="6502"/>
      <c r="T420" s="6502"/>
      <c r="U420" s="6478"/>
      <c r="V420" s="6478"/>
      <c r="W420" s="6501"/>
      <c r="X420" s="6501"/>
      <c r="Y420" s="6501"/>
      <c r="Z420" s="6501"/>
      <c r="AA420" s="6501"/>
      <c r="AB420" s="6501"/>
      <c r="AC420" s="6503"/>
      <c r="AD420" s="6502"/>
      <c r="AE420" s="6502"/>
      <c r="AF420" s="6502"/>
      <c r="AG420" s="6502"/>
      <c r="AH420" s="5949"/>
      <c r="AI420" s="5949"/>
      <c r="AJ420" s="5949"/>
      <c r="AK420" s="5949"/>
      <c r="AL420" s="5949"/>
      <c r="AM420" s="5949"/>
      <c r="AN420" s="5949"/>
      <c r="AO420" s="5949"/>
      <c r="AP420" s="5949"/>
      <c r="AQ420" s="5949"/>
      <c r="AR420" s="5949"/>
      <c r="AS420" s="6502"/>
      <c r="AT420" s="6502"/>
      <c r="AU420" s="6502"/>
      <c r="AV420" s="6502"/>
      <c r="AW420" s="6501"/>
      <c r="AX420" s="5133"/>
    </row>
    <row r="421" spans="1:50" ht="12.75" customHeight="1">
      <c r="A421" s="5133"/>
      <c r="B421" s="5133"/>
      <c r="C421" s="5133"/>
      <c r="D421" s="5133"/>
      <c r="F421" s="5133"/>
      <c r="G421" s="5133"/>
      <c r="H421" s="5133"/>
      <c r="I421" s="5133"/>
      <c r="J421" s="5133"/>
      <c r="K421" s="5133"/>
      <c r="L421" s="5133"/>
      <c r="M421" s="5133"/>
      <c r="N421" s="5133"/>
      <c r="O421" s="5133"/>
      <c r="P421" s="5133"/>
      <c r="Q421" s="5353"/>
      <c r="R421" s="6467"/>
      <c r="S421" s="5944"/>
      <c r="T421" s="5944"/>
      <c r="U421" s="5353"/>
      <c r="V421" s="5353"/>
      <c r="W421" s="6467"/>
      <c r="X421" s="6467"/>
      <c r="Y421" s="6467"/>
      <c r="Z421" s="6467"/>
      <c r="AA421" s="6467"/>
      <c r="AB421" s="6467"/>
      <c r="AC421" s="6467"/>
      <c r="AD421" s="5944"/>
      <c r="AE421" s="5944"/>
      <c r="AF421" s="5944"/>
      <c r="AG421" s="5944"/>
      <c r="AH421" s="5133"/>
      <c r="AI421" s="5133"/>
      <c r="AJ421" s="5133"/>
      <c r="AK421" s="5133"/>
      <c r="AL421" s="5133"/>
      <c r="AM421" s="5133"/>
      <c r="AN421" s="5133"/>
      <c r="AO421" s="5133"/>
      <c r="AP421" s="5133"/>
      <c r="AQ421" s="5133"/>
      <c r="AR421" s="5133"/>
      <c r="AS421" s="5944"/>
      <c r="AT421" s="5944"/>
      <c r="AU421" s="5944"/>
      <c r="AV421" s="5944"/>
      <c r="AW421" s="6467"/>
      <c r="AX421" s="5133"/>
    </row>
    <row r="422" spans="1:50" ht="12.75" customHeight="1"/>
    <row r="423" spans="1:50" ht="219.95" customHeight="1"/>
    <row r="424" spans="1:50" ht="219.95" customHeight="1"/>
    <row r="425" spans="1:50" ht="219.95" customHeight="1"/>
    <row r="426" spans="1:50" ht="219.95" customHeight="1"/>
    <row r="427" spans="1:50" ht="12.75" hidden="1" customHeight="1"/>
    <row r="428" spans="1:50" ht="12.75" hidden="1" customHeight="1"/>
    <row r="429" spans="1:50" ht="12.75" hidden="1" customHeight="1"/>
    <row r="430" spans="1:50" ht="12.75" hidden="1" customHeight="1"/>
    <row r="431" spans="1:50" ht="12.75" hidden="1" customHeight="1"/>
    <row r="432" spans="1:50"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row r="469"/>
  </sheetData>
  <sheetProtection password="C665" sheet="1" objects="1" scenarios="1"/>
  <sortState ref="G19:AN296">
    <sortCondition ref="G19:G296"/>
    <sortCondition ref="H19:H296"/>
  </sortState>
  <mergeCells count="1099">
    <mergeCell ref="A159:A161"/>
    <mergeCell ref="B159:B161"/>
    <mergeCell ref="C159:C161"/>
    <mergeCell ref="A162:A164"/>
    <mergeCell ref="B162:B164"/>
    <mergeCell ref="C162:C164"/>
    <mergeCell ref="A165:A167"/>
    <mergeCell ref="B165:B167"/>
    <mergeCell ref="C165:C167"/>
    <mergeCell ref="A168:A170"/>
    <mergeCell ref="B168:B170"/>
    <mergeCell ref="C168:C170"/>
    <mergeCell ref="A180:A182"/>
    <mergeCell ref="B180:B182"/>
    <mergeCell ref="C180:C182"/>
    <mergeCell ref="A171:A173"/>
    <mergeCell ref="B171:B173"/>
    <mergeCell ref="C171:C173"/>
    <mergeCell ref="A174:A176"/>
    <mergeCell ref="B174:B176"/>
    <mergeCell ref="C174:C176"/>
    <mergeCell ref="A177:A179"/>
    <mergeCell ref="B177:B179"/>
    <mergeCell ref="C177:C179"/>
    <mergeCell ref="A134:A136"/>
    <mergeCell ref="B134:B136"/>
    <mergeCell ref="C134:C136"/>
    <mergeCell ref="A137:A139"/>
    <mergeCell ref="B137:B139"/>
    <mergeCell ref="C137:C139"/>
    <mergeCell ref="A140:A142"/>
    <mergeCell ref="B140:B142"/>
    <mergeCell ref="C140:C142"/>
    <mergeCell ref="A143:A145"/>
    <mergeCell ref="B143:B145"/>
    <mergeCell ref="C143:C145"/>
    <mergeCell ref="A153:A155"/>
    <mergeCell ref="B153:B155"/>
    <mergeCell ref="C153:C155"/>
    <mergeCell ref="A156:A158"/>
    <mergeCell ref="B156:B158"/>
    <mergeCell ref="C156:C158"/>
    <mergeCell ref="A110:A112"/>
    <mergeCell ref="B110:B112"/>
    <mergeCell ref="C110:C112"/>
    <mergeCell ref="A113:A115"/>
    <mergeCell ref="B113:B115"/>
    <mergeCell ref="C113:C115"/>
    <mergeCell ref="A116:A118"/>
    <mergeCell ref="B116:B118"/>
    <mergeCell ref="C116:C118"/>
    <mergeCell ref="A125:A127"/>
    <mergeCell ref="B125:B127"/>
    <mergeCell ref="C125:C127"/>
    <mergeCell ref="A128:A130"/>
    <mergeCell ref="B128:B130"/>
    <mergeCell ref="C128:C130"/>
    <mergeCell ref="A131:A133"/>
    <mergeCell ref="B131:B133"/>
    <mergeCell ref="C131:C133"/>
    <mergeCell ref="A70:A72"/>
    <mergeCell ref="B70:B72"/>
    <mergeCell ref="C70:C72"/>
    <mergeCell ref="A73:A75"/>
    <mergeCell ref="B73:B75"/>
    <mergeCell ref="C73:C75"/>
    <mergeCell ref="A76:A78"/>
    <mergeCell ref="B76:B78"/>
    <mergeCell ref="C76:C78"/>
    <mergeCell ref="A79:A81"/>
    <mergeCell ref="B79:B81"/>
    <mergeCell ref="C79:C81"/>
    <mergeCell ref="A92:A94"/>
    <mergeCell ref="B92:B94"/>
    <mergeCell ref="C92:C94"/>
    <mergeCell ref="A107:A109"/>
    <mergeCell ref="B107:B109"/>
    <mergeCell ref="C107:C109"/>
    <mergeCell ref="A52:A54"/>
    <mergeCell ref="B52:B54"/>
    <mergeCell ref="C52:C54"/>
    <mergeCell ref="A55:A57"/>
    <mergeCell ref="B55:B57"/>
    <mergeCell ref="C55:C57"/>
    <mergeCell ref="A58:A60"/>
    <mergeCell ref="B58:B60"/>
    <mergeCell ref="C58:C60"/>
    <mergeCell ref="A61:A63"/>
    <mergeCell ref="B61:B63"/>
    <mergeCell ref="C61:C63"/>
    <mergeCell ref="A64:A66"/>
    <mergeCell ref="B64:B66"/>
    <mergeCell ref="C64:C66"/>
    <mergeCell ref="A67:A69"/>
    <mergeCell ref="B67:B69"/>
    <mergeCell ref="C67:C69"/>
    <mergeCell ref="I58:I60"/>
    <mergeCell ref="J58:J60"/>
    <mergeCell ref="K58:K60"/>
    <mergeCell ref="L58:L60"/>
    <mergeCell ref="I52:I54"/>
    <mergeCell ref="J52:J54"/>
    <mergeCell ref="K52:K54"/>
    <mergeCell ref="L52:L54"/>
    <mergeCell ref="M52:M54"/>
    <mergeCell ref="N52:N54"/>
    <mergeCell ref="I55:I57"/>
    <mergeCell ref="J55:J57"/>
    <mergeCell ref="K55:K57"/>
    <mergeCell ref="L55:L57"/>
    <mergeCell ref="M55:M57"/>
    <mergeCell ref="N55:N57"/>
    <mergeCell ref="A30:A32"/>
    <mergeCell ref="C30:C32"/>
    <mergeCell ref="B30:B32"/>
    <mergeCell ref="C40:C42"/>
    <mergeCell ref="B40:B42"/>
    <mergeCell ref="A40:A42"/>
    <mergeCell ref="A43:A45"/>
    <mergeCell ref="B43:B45"/>
    <mergeCell ref="C43:C45"/>
    <mergeCell ref="A46:A48"/>
    <mergeCell ref="B46:B48"/>
    <mergeCell ref="C46:C48"/>
    <mergeCell ref="A49:A51"/>
    <mergeCell ref="B49:B51"/>
    <mergeCell ref="C49:C51"/>
    <mergeCell ref="I36:I38"/>
    <mergeCell ref="N18:N20"/>
    <mergeCell ref="I21:I23"/>
    <mergeCell ref="J21:J23"/>
    <mergeCell ref="K21:K23"/>
    <mergeCell ref="L21:L23"/>
    <mergeCell ref="M21:M23"/>
    <mergeCell ref="N21:N23"/>
    <mergeCell ref="J30:J32"/>
    <mergeCell ref="I18:I20"/>
    <mergeCell ref="J18:J20"/>
    <mergeCell ref="K18:K20"/>
    <mergeCell ref="L18:L20"/>
    <mergeCell ref="M18:M20"/>
    <mergeCell ref="I24:I26"/>
    <mergeCell ref="J24:J26"/>
    <mergeCell ref="K24:K26"/>
    <mergeCell ref="L24:L26"/>
    <mergeCell ref="M24:M26"/>
    <mergeCell ref="N30:N32"/>
    <mergeCell ref="M30:M32"/>
    <mergeCell ref="L30:L32"/>
    <mergeCell ref="K30:K32"/>
    <mergeCell ref="I30:I32"/>
    <mergeCell ref="J36:J38"/>
    <mergeCell ref="K36:K38"/>
    <mergeCell ref="L36:L38"/>
    <mergeCell ref="M36:M38"/>
    <mergeCell ref="N36:N38"/>
    <mergeCell ref="I33:I35"/>
    <mergeCell ref="J33:J35"/>
    <mergeCell ref="K33:K35"/>
    <mergeCell ref="L33:L35"/>
    <mergeCell ref="M33:M35"/>
    <mergeCell ref="N33:N35"/>
    <mergeCell ref="N24:N26"/>
    <mergeCell ref="I27:I29"/>
    <mergeCell ref="J27:J29"/>
    <mergeCell ref="K27:K29"/>
    <mergeCell ref="L27:L29"/>
    <mergeCell ref="M27:M29"/>
    <mergeCell ref="N27:N29"/>
    <mergeCell ref="M46:M48"/>
    <mergeCell ref="N46:N48"/>
    <mergeCell ref="I49:I51"/>
    <mergeCell ref="J49:J51"/>
    <mergeCell ref="K49:K51"/>
    <mergeCell ref="L49:L51"/>
    <mergeCell ref="M49:M51"/>
    <mergeCell ref="N49:N51"/>
    <mergeCell ref="I46:I48"/>
    <mergeCell ref="J46:J48"/>
    <mergeCell ref="K46:K48"/>
    <mergeCell ref="L46:L48"/>
    <mergeCell ref="L40:L42"/>
    <mergeCell ref="M40:M42"/>
    <mergeCell ref="N40:N42"/>
    <mergeCell ref="I43:I45"/>
    <mergeCell ref="J43:J45"/>
    <mergeCell ref="K43:K45"/>
    <mergeCell ref="L43:L45"/>
    <mergeCell ref="M43:M45"/>
    <mergeCell ref="N43:N45"/>
    <mergeCell ref="I40:I42"/>
    <mergeCell ref="J40:J42"/>
    <mergeCell ref="K40:K42"/>
    <mergeCell ref="I73:I75"/>
    <mergeCell ref="J73:J75"/>
    <mergeCell ref="K73:K75"/>
    <mergeCell ref="L73:L75"/>
    <mergeCell ref="M73:M75"/>
    <mergeCell ref="N73:N75"/>
    <mergeCell ref="M67:M69"/>
    <mergeCell ref="N67:N69"/>
    <mergeCell ref="I70:I72"/>
    <mergeCell ref="J70:J72"/>
    <mergeCell ref="K70:K72"/>
    <mergeCell ref="L70:L72"/>
    <mergeCell ref="M70:M72"/>
    <mergeCell ref="N70:N72"/>
    <mergeCell ref="M58:M60"/>
    <mergeCell ref="N58:N60"/>
    <mergeCell ref="I61:I63"/>
    <mergeCell ref="J61:J63"/>
    <mergeCell ref="K61:K63"/>
    <mergeCell ref="L61:L63"/>
    <mergeCell ref="M61:M63"/>
    <mergeCell ref="N61:N63"/>
    <mergeCell ref="I67:I69"/>
    <mergeCell ref="J67:J69"/>
    <mergeCell ref="K67:K69"/>
    <mergeCell ref="L67:L69"/>
    <mergeCell ref="I64:I66"/>
    <mergeCell ref="J64:J66"/>
    <mergeCell ref="K64:K66"/>
    <mergeCell ref="L64:L66"/>
    <mergeCell ref="M64:M66"/>
    <mergeCell ref="N64:N66"/>
    <mergeCell ref="I86:I88"/>
    <mergeCell ref="J86:J88"/>
    <mergeCell ref="K86:K88"/>
    <mergeCell ref="L86:L88"/>
    <mergeCell ref="M86:M88"/>
    <mergeCell ref="N86:N88"/>
    <mergeCell ref="I79:I81"/>
    <mergeCell ref="J79:J81"/>
    <mergeCell ref="K79:K81"/>
    <mergeCell ref="L79:L81"/>
    <mergeCell ref="M79:M81"/>
    <mergeCell ref="N79:N81"/>
    <mergeCell ref="I76:I78"/>
    <mergeCell ref="J76:J78"/>
    <mergeCell ref="K76:K78"/>
    <mergeCell ref="L76:L78"/>
    <mergeCell ref="M76:M78"/>
    <mergeCell ref="N76:N78"/>
    <mergeCell ref="I95:I97"/>
    <mergeCell ref="J95:J97"/>
    <mergeCell ref="K95:K97"/>
    <mergeCell ref="L95:L97"/>
    <mergeCell ref="M95:M97"/>
    <mergeCell ref="N95:N97"/>
    <mergeCell ref="I92:I94"/>
    <mergeCell ref="J92:J94"/>
    <mergeCell ref="K92:K94"/>
    <mergeCell ref="L92:L94"/>
    <mergeCell ref="M92:M94"/>
    <mergeCell ref="N92:N94"/>
    <mergeCell ref="I89:I91"/>
    <mergeCell ref="J89:J91"/>
    <mergeCell ref="K89:K91"/>
    <mergeCell ref="L89:L91"/>
    <mergeCell ref="M89:M91"/>
    <mergeCell ref="N89:N91"/>
    <mergeCell ref="I104:I106"/>
    <mergeCell ref="J104:J106"/>
    <mergeCell ref="K104:K106"/>
    <mergeCell ref="L104:L106"/>
    <mergeCell ref="M104:M106"/>
    <mergeCell ref="N104:N106"/>
    <mergeCell ref="I101:I103"/>
    <mergeCell ref="J101:J103"/>
    <mergeCell ref="K101:K103"/>
    <mergeCell ref="L101:L103"/>
    <mergeCell ref="M101:M103"/>
    <mergeCell ref="N101:N103"/>
    <mergeCell ref="I98:I100"/>
    <mergeCell ref="J98:J100"/>
    <mergeCell ref="K98:K100"/>
    <mergeCell ref="L98:L100"/>
    <mergeCell ref="M98:M100"/>
    <mergeCell ref="N98:N100"/>
    <mergeCell ref="I113:I115"/>
    <mergeCell ref="J113:J115"/>
    <mergeCell ref="K113:K115"/>
    <mergeCell ref="L113:L115"/>
    <mergeCell ref="M113:M115"/>
    <mergeCell ref="N113:N115"/>
    <mergeCell ref="I110:I112"/>
    <mergeCell ref="J110:J112"/>
    <mergeCell ref="K110:K112"/>
    <mergeCell ref="L110:L112"/>
    <mergeCell ref="M110:M112"/>
    <mergeCell ref="N110:N112"/>
    <mergeCell ref="I107:I109"/>
    <mergeCell ref="J107:J109"/>
    <mergeCell ref="K107:K109"/>
    <mergeCell ref="L107:L109"/>
    <mergeCell ref="M107:M109"/>
    <mergeCell ref="N107:N109"/>
    <mergeCell ref="I119:I121"/>
    <mergeCell ref="J119:J121"/>
    <mergeCell ref="K119:K121"/>
    <mergeCell ref="L119:L121"/>
    <mergeCell ref="N119:N121"/>
    <mergeCell ref="I122:I124"/>
    <mergeCell ref="J122:J124"/>
    <mergeCell ref="K122:K124"/>
    <mergeCell ref="L122:L124"/>
    <mergeCell ref="N122:N124"/>
    <mergeCell ref="M119:M121"/>
    <mergeCell ref="M122:M124"/>
    <mergeCell ref="I116:I118"/>
    <mergeCell ref="J116:J118"/>
    <mergeCell ref="K116:K118"/>
    <mergeCell ref="L116:L118"/>
    <mergeCell ref="M116:M118"/>
    <mergeCell ref="N116:N118"/>
    <mergeCell ref="I131:I133"/>
    <mergeCell ref="J131:J133"/>
    <mergeCell ref="K131:K133"/>
    <mergeCell ref="L131:L133"/>
    <mergeCell ref="N131:N133"/>
    <mergeCell ref="I134:I136"/>
    <mergeCell ref="J134:J136"/>
    <mergeCell ref="K134:K136"/>
    <mergeCell ref="L134:L136"/>
    <mergeCell ref="N134:N136"/>
    <mergeCell ref="I125:I127"/>
    <mergeCell ref="J125:J127"/>
    <mergeCell ref="K125:K127"/>
    <mergeCell ref="L125:L127"/>
    <mergeCell ref="N125:N127"/>
    <mergeCell ref="I128:I130"/>
    <mergeCell ref="J128:J130"/>
    <mergeCell ref="K128:K130"/>
    <mergeCell ref="L128:L130"/>
    <mergeCell ref="N128:N130"/>
    <mergeCell ref="M125:M127"/>
    <mergeCell ref="M128:M130"/>
    <mergeCell ref="M131:M133"/>
    <mergeCell ref="M134:M136"/>
    <mergeCell ref="I143:I145"/>
    <mergeCell ref="J143:J145"/>
    <mergeCell ref="K143:K145"/>
    <mergeCell ref="L143:L145"/>
    <mergeCell ref="N143:N145"/>
    <mergeCell ref="I146:I148"/>
    <mergeCell ref="J146:J148"/>
    <mergeCell ref="K146:K148"/>
    <mergeCell ref="L146:L148"/>
    <mergeCell ref="M146:M148"/>
    <mergeCell ref="I137:I139"/>
    <mergeCell ref="J137:J139"/>
    <mergeCell ref="K137:K139"/>
    <mergeCell ref="L137:L139"/>
    <mergeCell ref="N137:N139"/>
    <mergeCell ref="I140:I142"/>
    <mergeCell ref="J140:J142"/>
    <mergeCell ref="K140:K142"/>
    <mergeCell ref="L140:L142"/>
    <mergeCell ref="N140:N142"/>
    <mergeCell ref="N146:N148"/>
    <mergeCell ref="M143:M145"/>
    <mergeCell ref="M137:M139"/>
    <mergeCell ref="M140:M142"/>
    <mergeCell ref="I162:I164"/>
    <mergeCell ref="J162:J164"/>
    <mergeCell ref="K162:K164"/>
    <mergeCell ref="L162:L164"/>
    <mergeCell ref="M162:M164"/>
    <mergeCell ref="N162:N164"/>
    <mergeCell ref="M156:M158"/>
    <mergeCell ref="N156:N158"/>
    <mergeCell ref="I159:I161"/>
    <mergeCell ref="J159:J161"/>
    <mergeCell ref="K159:K161"/>
    <mergeCell ref="L159:L161"/>
    <mergeCell ref="M159:M161"/>
    <mergeCell ref="N159:N161"/>
    <mergeCell ref="K150:K152"/>
    <mergeCell ref="L150:L152"/>
    <mergeCell ref="M150:M152"/>
    <mergeCell ref="N150:N152"/>
    <mergeCell ref="I153:I155"/>
    <mergeCell ref="J153:J155"/>
    <mergeCell ref="K153:K155"/>
    <mergeCell ref="L153:L155"/>
    <mergeCell ref="M153:M155"/>
    <mergeCell ref="N153:N155"/>
    <mergeCell ref="I156:I158"/>
    <mergeCell ref="J156:J158"/>
    <mergeCell ref="K156:K158"/>
    <mergeCell ref="L156:L158"/>
    <mergeCell ref="I150:I152"/>
    <mergeCell ref="J150:J152"/>
    <mergeCell ref="I177:I179"/>
    <mergeCell ref="J177:J179"/>
    <mergeCell ref="K177:K179"/>
    <mergeCell ref="L177:L179"/>
    <mergeCell ref="M177:M179"/>
    <mergeCell ref="N177:N179"/>
    <mergeCell ref="M171:M173"/>
    <mergeCell ref="N171:N173"/>
    <mergeCell ref="I174:I176"/>
    <mergeCell ref="J174:J176"/>
    <mergeCell ref="K174:K176"/>
    <mergeCell ref="L174:L176"/>
    <mergeCell ref="M174:M176"/>
    <mergeCell ref="N174:N176"/>
    <mergeCell ref="L165:L167"/>
    <mergeCell ref="M165:M167"/>
    <mergeCell ref="N165:N167"/>
    <mergeCell ref="I168:I170"/>
    <mergeCell ref="J168:J170"/>
    <mergeCell ref="K168:K170"/>
    <mergeCell ref="L168:L170"/>
    <mergeCell ref="M168:M170"/>
    <mergeCell ref="N168:N170"/>
    <mergeCell ref="I171:I173"/>
    <mergeCell ref="J171:J173"/>
    <mergeCell ref="K171:K173"/>
    <mergeCell ref="L171:L173"/>
    <mergeCell ref="I165:I167"/>
    <mergeCell ref="J165:J167"/>
    <mergeCell ref="K165:K167"/>
    <mergeCell ref="I186:I188"/>
    <mergeCell ref="J186:J188"/>
    <mergeCell ref="K186:K188"/>
    <mergeCell ref="L186:L188"/>
    <mergeCell ref="M186:M188"/>
    <mergeCell ref="N186:N188"/>
    <mergeCell ref="I183:I185"/>
    <mergeCell ref="J183:J185"/>
    <mergeCell ref="K183:K185"/>
    <mergeCell ref="L183:L185"/>
    <mergeCell ref="M183:M185"/>
    <mergeCell ref="N183:N185"/>
    <mergeCell ref="I180:I182"/>
    <mergeCell ref="J180:J182"/>
    <mergeCell ref="K180:K182"/>
    <mergeCell ref="L180:L182"/>
    <mergeCell ref="M180:M182"/>
    <mergeCell ref="N180:N182"/>
    <mergeCell ref="I195:I197"/>
    <mergeCell ref="J195:J197"/>
    <mergeCell ref="K195:K197"/>
    <mergeCell ref="L195:L197"/>
    <mergeCell ref="M195:M197"/>
    <mergeCell ref="N195:N197"/>
    <mergeCell ref="I192:I194"/>
    <mergeCell ref="J192:J194"/>
    <mergeCell ref="K192:K194"/>
    <mergeCell ref="L192:L194"/>
    <mergeCell ref="M192:M194"/>
    <mergeCell ref="N192:N194"/>
    <mergeCell ref="I189:I191"/>
    <mergeCell ref="J189:J191"/>
    <mergeCell ref="K189:K191"/>
    <mergeCell ref="L189:L191"/>
    <mergeCell ref="M189:M191"/>
    <mergeCell ref="N189:N191"/>
    <mergeCell ref="N198:N199"/>
    <mergeCell ref="M198:M199"/>
    <mergeCell ref="L198:L199"/>
    <mergeCell ref="K198:K199"/>
    <mergeCell ref="J198:J199"/>
    <mergeCell ref="I198:I199"/>
    <mergeCell ref="I206:I208"/>
    <mergeCell ref="J206:J208"/>
    <mergeCell ref="K206:K208"/>
    <mergeCell ref="L206:L208"/>
    <mergeCell ref="M206:M208"/>
    <mergeCell ref="N206:N208"/>
    <mergeCell ref="I203:I205"/>
    <mergeCell ref="J203:J205"/>
    <mergeCell ref="K203:K205"/>
    <mergeCell ref="L203:L205"/>
    <mergeCell ref="M203:M205"/>
    <mergeCell ref="N203:N205"/>
    <mergeCell ref="I200:I202"/>
    <mergeCell ref="J200:J202"/>
    <mergeCell ref="K200:K202"/>
    <mergeCell ref="L200:L202"/>
    <mergeCell ref="M200:M202"/>
    <mergeCell ref="N200:N202"/>
    <mergeCell ref="J278:J280"/>
    <mergeCell ref="J306:J308"/>
    <mergeCell ref="K241:K243"/>
    <mergeCell ref="K244:K246"/>
    <mergeCell ref="I247:I249"/>
    <mergeCell ref="I238:I240"/>
    <mergeCell ref="I241:I243"/>
    <mergeCell ref="J251:J253"/>
    <mergeCell ref="J254:J256"/>
    <mergeCell ref="J257:J259"/>
    <mergeCell ref="J260:J262"/>
    <mergeCell ref="J263:J265"/>
    <mergeCell ref="O241:O243"/>
    <mergeCell ref="L244:L246"/>
    <mergeCell ref="M244:M246"/>
    <mergeCell ref="N244:N246"/>
    <mergeCell ref="O244:O246"/>
    <mergeCell ref="L247:L249"/>
    <mergeCell ref="M247:M249"/>
    <mergeCell ref="I257:I259"/>
    <mergeCell ref="I260:I262"/>
    <mergeCell ref="N247:N249"/>
    <mergeCell ref="O247:O249"/>
    <mergeCell ref="O251:O253"/>
    <mergeCell ref="L254:L256"/>
    <mergeCell ref="M254:M256"/>
    <mergeCell ref="N254:N256"/>
    <mergeCell ref="O254:O256"/>
    <mergeCell ref="L257:L259"/>
    <mergeCell ref="M257:M259"/>
    <mergeCell ref="N257:N259"/>
    <mergeCell ref="O257:O259"/>
    <mergeCell ref="I284:I286"/>
    <mergeCell ref="K345:K347"/>
    <mergeCell ref="I229:I231"/>
    <mergeCell ref="I232:I234"/>
    <mergeCell ref="I235:I237"/>
    <mergeCell ref="K229:K231"/>
    <mergeCell ref="K232:K234"/>
    <mergeCell ref="I244:I246"/>
    <mergeCell ref="I309:I311"/>
    <mergeCell ref="K260:K262"/>
    <mergeCell ref="K263:K265"/>
    <mergeCell ref="K266:K268"/>
    <mergeCell ref="K269:K271"/>
    <mergeCell ref="K247:K249"/>
    <mergeCell ref="K251:K253"/>
    <mergeCell ref="K254:K256"/>
    <mergeCell ref="K257:K259"/>
    <mergeCell ref="K272:K274"/>
    <mergeCell ref="K275:K277"/>
    <mergeCell ref="K284:K286"/>
    <mergeCell ref="K287:K289"/>
    <mergeCell ref="K290:K292"/>
    <mergeCell ref="K293:K295"/>
    <mergeCell ref="K278:K280"/>
    <mergeCell ref="K281:K283"/>
    <mergeCell ref="K306:K308"/>
    <mergeCell ref="K300:K302"/>
    <mergeCell ref="K303:K305"/>
    <mergeCell ref="J266:J268"/>
    <mergeCell ref="J269:J271"/>
    <mergeCell ref="J272:J274"/>
    <mergeCell ref="J275:J277"/>
    <mergeCell ref="I342:I344"/>
    <mergeCell ref="K417:K419"/>
    <mergeCell ref="P223:R223"/>
    <mergeCell ref="P225:S225"/>
    <mergeCell ref="I251:I253"/>
    <mergeCell ref="I254:I256"/>
    <mergeCell ref="I263:I265"/>
    <mergeCell ref="K235:K237"/>
    <mergeCell ref="K238:K240"/>
    <mergeCell ref="I321:I323"/>
    <mergeCell ref="I324:I326"/>
    <mergeCell ref="I327:I329"/>
    <mergeCell ref="I330:I332"/>
    <mergeCell ref="I336:I338"/>
    <mergeCell ref="I339:I341"/>
    <mergeCell ref="I333:I335"/>
    <mergeCell ref="I345:I347"/>
    <mergeCell ref="I318:I320"/>
    <mergeCell ref="I287:I289"/>
    <mergeCell ref="I290:I292"/>
    <mergeCell ref="I293:I295"/>
    <mergeCell ref="I306:I308"/>
    <mergeCell ref="I315:I317"/>
    <mergeCell ref="I303:I305"/>
    <mergeCell ref="I266:I268"/>
    <mergeCell ref="I312:I314"/>
    <mergeCell ref="I300:I302"/>
    <mergeCell ref="I272:I274"/>
    <mergeCell ref="I275:I277"/>
    <mergeCell ref="I269:I271"/>
    <mergeCell ref="I278:I280"/>
    <mergeCell ref="I281:I283"/>
    <mergeCell ref="I382:I384"/>
    <mergeCell ref="I385:I387"/>
    <mergeCell ref="I411:I413"/>
    <mergeCell ref="I414:I416"/>
    <mergeCell ref="I388:I390"/>
    <mergeCell ref="I391:I393"/>
    <mergeCell ref="I417:I419"/>
    <mergeCell ref="I394:I396"/>
    <mergeCell ref="I397:I399"/>
    <mergeCell ref="I400:I402"/>
    <mergeCell ref="I403:I405"/>
    <mergeCell ref="I406:I408"/>
    <mergeCell ref="I409:I410"/>
    <mergeCell ref="I348:I350"/>
    <mergeCell ref="I370:I372"/>
    <mergeCell ref="I373:I375"/>
    <mergeCell ref="I351:I353"/>
    <mergeCell ref="I354:I356"/>
    <mergeCell ref="I379:I381"/>
    <mergeCell ref="I357:I359"/>
    <mergeCell ref="I361:I363"/>
    <mergeCell ref="I364:I366"/>
    <mergeCell ref="I367:I369"/>
    <mergeCell ref="I376:I378"/>
    <mergeCell ref="K388:K390"/>
    <mergeCell ref="K397:K399"/>
    <mergeCell ref="K400:K402"/>
    <mergeCell ref="K391:K393"/>
    <mergeCell ref="K394:K396"/>
    <mergeCell ref="K379:K381"/>
    <mergeCell ref="K382:K384"/>
    <mergeCell ref="K361:K363"/>
    <mergeCell ref="K364:K366"/>
    <mergeCell ref="K367:K369"/>
    <mergeCell ref="K370:K372"/>
    <mergeCell ref="K373:K375"/>
    <mergeCell ref="K376:K378"/>
    <mergeCell ref="K312:K314"/>
    <mergeCell ref="K315:K317"/>
    <mergeCell ref="K318:K320"/>
    <mergeCell ref="K321:K323"/>
    <mergeCell ref="K336:K338"/>
    <mergeCell ref="K339:K341"/>
    <mergeCell ref="K414:K416"/>
    <mergeCell ref="K309:K311"/>
    <mergeCell ref="K354:K356"/>
    <mergeCell ref="K357:K359"/>
    <mergeCell ref="K324:K326"/>
    <mergeCell ref="K327:K329"/>
    <mergeCell ref="K330:K332"/>
    <mergeCell ref="K333:K335"/>
    <mergeCell ref="K348:K350"/>
    <mergeCell ref="K351:K353"/>
    <mergeCell ref="K342:K344"/>
    <mergeCell ref="J324:J326"/>
    <mergeCell ref="J327:J329"/>
    <mergeCell ref="J333:J335"/>
    <mergeCell ref="J330:J332"/>
    <mergeCell ref="J345:J347"/>
    <mergeCell ref="J342:J344"/>
    <mergeCell ref="J339:J341"/>
    <mergeCell ref="J336:J338"/>
    <mergeCell ref="J357:J359"/>
    <mergeCell ref="J354:J356"/>
    <mergeCell ref="J351:J353"/>
    <mergeCell ref="J348:J350"/>
    <mergeCell ref="J321:J323"/>
    <mergeCell ref="J315:J317"/>
    <mergeCell ref="J312:J314"/>
    <mergeCell ref="J309:J311"/>
    <mergeCell ref="K403:K405"/>
    <mergeCell ref="K406:K408"/>
    <mergeCell ref="K409:K410"/>
    <mergeCell ref="K411:K413"/>
    <mergeCell ref="K385:K387"/>
    <mergeCell ref="J300:J302"/>
    <mergeCell ref="J303:J305"/>
    <mergeCell ref="J318:J320"/>
    <mergeCell ref="J403:J405"/>
    <mergeCell ref="J400:J402"/>
    <mergeCell ref="J397:J399"/>
    <mergeCell ref="J394:J396"/>
    <mergeCell ref="J414:J416"/>
    <mergeCell ref="J411:J413"/>
    <mergeCell ref="J409:J410"/>
    <mergeCell ref="J406:J408"/>
    <mergeCell ref="J417:J419"/>
    <mergeCell ref="J367:J369"/>
    <mergeCell ref="J364:J366"/>
    <mergeCell ref="J361:J363"/>
    <mergeCell ref="J379:J381"/>
    <mergeCell ref="J376:J378"/>
    <mergeCell ref="J373:J375"/>
    <mergeCell ref="J370:J372"/>
    <mergeCell ref="J391:J393"/>
    <mergeCell ref="J388:J390"/>
    <mergeCell ref="J385:J387"/>
    <mergeCell ref="J382:J384"/>
    <mergeCell ref="L229:L231"/>
    <mergeCell ref="M229:M231"/>
    <mergeCell ref="N229:N231"/>
    <mergeCell ref="L232:L234"/>
    <mergeCell ref="M232:M234"/>
    <mergeCell ref="N232:N234"/>
    <mergeCell ref="L235:L237"/>
    <mergeCell ref="M235:M237"/>
    <mergeCell ref="N235:N237"/>
    <mergeCell ref="L238:L240"/>
    <mergeCell ref="M238:M240"/>
    <mergeCell ref="N238:N240"/>
    <mergeCell ref="L241:L243"/>
    <mergeCell ref="M241:M243"/>
    <mergeCell ref="N241:N243"/>
    <mergeCell ref="L251:L253"/>
    <mergeCell ref="M251:M253"/>
    <mergeCell ref="N251:N253"/>
    <mergeCell ref="O269:O271"/>
    <mergeCell ref="L272:L274"/>
    <mergeCell ref="M272:M274"/>
    <mergeCell ref="N272:N274"/>
    <mergeCell ref="O272:O274"/>
    <mergeCell ref="L275:L277"/>
    <mergeCell ref="M275:M277"/>
    <mergeCell ref="N275:N277"/>
    <mergeCell ref="O275:O277"/>
    <mergeCell ref="O260:O262"/>
    <mergeCell ref="L263:L265"/>
    <mergeCell ref="M263:M265"/>
    <mergeCell ref="N263:N265"/>
    <mergeCell ref="O263:O265"/>
    <mergeCell ref="L266:L268"/>
    <mergeCell ref="M266:M268"/>
    <mergeCell ref="N266:N268"/>
    <mergeCell ref="O266:O268"/>
    <mergeCell ref="L260:L262"/>
    <mergeCell ref="M260:M262"/>
    <mergeCell ref="N260:N262"/>
    <mergeCell ref="L269:L271"/>
    <mergeCell ref="M269:M271"/>
    <mergeCell ref="N269:N271"/>
    <mergeCell ref="O287:O289"/>
    <mergeCell ref="L290:L292"/>
    <mergeCell ref="M290:M292"/>
    <mergeCell ref="N290:N292"/>
    <mergeCell ref="O290:O292"/>
    <mergeCell ref="L293:L295"/>
    <mergeCell ref="M293:M295"/>
    <mergeCell ref="N293:N295"/>
    <mergeCell ref="O293:O295"/>
    <mergeCell ref="L278:L280"/>
    <mergeCell ref="M278:M280"/>
    <mergeCell ref="N278:N280"/>
    <mergeCell ref="O278:O280"/>
    <mergeCell ref="L281:L283"/>
    <mergeCell ref="M281:M283"/>
    <mergeCell ref="N281:N283"/>
    <mergeCell ref="O281:O283"/>
    <mergeCell ref="L284:L286"/>
    <mergeCell ref="M284:M286"/>
    <mergeCell ref="N284:N286"/>
    <mergeCell ref="O284:O286"/>
    <mergeCell ref="L287:L289"/>
    <mergeCell ref="M287:M289"/>
    <mergeCell ref="N287:N289"/>
    <mergeCell ref="O309:O311"/>
    <mergeCell ref="L312:L314"/>
    <mergeCell ref="M312:M314"/>
    <mergeCell ref="N312:N314"/>
    <mergeCell ref="O312:O314"/>
    <mergeCell ref="L315:L317"/>
    <mergeCell ref="M315:M317"/>
    <mergeCell ref="N315:N317"/>
    <mergeCell ref="O315:O317"/>
    <mergeCell ref="L300:L302"/>
    <mergeCell ref="M300:M302"/>
    <mergeCell ref="N300:N302"/>
    <mergeCell ref="O300:O302"/>
    <mergeCell ref="L303:L305"/>
    <mergeCell ref="M303:M305"/>
    <mergeCell ref="N303:N305"/>
    <mergeCell ref="O303:O305"/>
    <mergeCell ref="L306:L308"/>
    <mergeCell ref="M306:M308"/>
    <mergeCell ref="N306:N308"/>
    <mergeCell ref="O306:O308"/>
    <mergeCell ref="L309:L311"/>
    <mergeCell ref="M309:M311"/>
    <mergeCell ref="N309:N311"/>
    <mergeCell ref="L327:L329"/>
    <mergeCell ref="M327:M329"/>
    <mergeCell ref="N327:N329"/>
    <mergeCell ref="O327:O329"/>
    <mergeCell ref="L330:L332"/>
    <mergeCell ref="M330:M332"/>
    <mergeCell ref="N330:N332"/>
    <mergeCell ref="O330:O332"/>
    <mergeCell ref="L333:L335"/>
    <mergeCell ref="M333:M335"/>
    <mergeCell ref="N333:N335"/>
    <mergeCell ref="O333:O335"/>
    <mergeCell ref="M318:M320"/>
    <mergeCell ref="N318:N320"/>
    <mergeCell ref="O318:O320"/>
    <mergeCell ref="M321:M323"/>
    <mergeCell ref="N321:N323"/>
    <mergeCell ref="O321:O323"/>
    <mergeCell ref="M324:M326"/>
    <mergeCell ref="N324:N326"/>
    <mergeCell ref="O324:O326"/>
    <mergeCell ref="L324:L326"/>
    <mergeCell ref="L321:L323"/>
    <mergeCell ref="L318:L320"/>
    <mergeCell ref="L345:L347"/>
    <mergeCell ref="M345:M347"/>
    <mergeCell ref="N345:N347"/>
    <mergeCell ref="O345:O347"/>
    <mergeCell ref="L348:L350"/>
    <mergeCell ref="M348:M350"/>
    <mergeCell ref="N348:N350"/>
    <mergeCell ref="O348:O350"/>
    <mergeCell ref="L351:L353"/>
    <mergeCell ref="M351:M353"/>
    <mergeCell ref="N351:N353"/>
    <mergeCell ref="O351:O353"/>
    <mergeCell ref="L336:L338"/>
    <mergeCell ref="M336:M338"/>
    <mergeCell ref="N336:N338"/>
    <mergeCell ref="O336:O338"/>
    <mergeCell ref="L339:L341"/>
    <mergeCell ref="M339:M341"/>
    <mergeCell ref="N339:N341"/>
    <mergeCell ref="O339:O341"/>
    <mergeCell ref="L342:L344"/>
    <mergeCell ref="M342:M344"/>
    <mergeCell ref="N342:N344"/>
    <mergeCell ref="O342:O344"/>
    <mergeCell ref="L364:L366"/>
    <mergeCell ref="M364:M366"/>
    <mergeCell ref="N364:N366"/>
    <mergeCell ref="O364:O366"/>
    <mergeCell ref="L367:L369"/>
    <mergeCell ref="M367:M369"/>
    <mergeCell ref="N367:N369"/>
    <mergeCell ref="O367:O369"/>
    <mergeCell ref="L370:L372"/>
    <mergeCell ref="M370:M372"/>
    <mergeCell ref="N370:N372"/>
    <mergeCell ref="O370:O372"/>
    <mergeCell ref="L354:L356"/>
    <mergeCell ref="M354:M356"/>
    <mergeCell ref="N354:N356"/>
    <mergeCell ref="O354:O356"/>
    <mergeCell ref="L357:L359"/>
    <mergeCell ref="M357:M359"/>
    <mergeCell ref="N357:N359"/>
    <mergeCell ref="O357:O359"/>
    <mergeCell ref="L361:L363"/>
    <mergeCell ref="M361:M363"/>
    <mergeCell ref="N361:N363"/>
    <mergeCell ref="O361:O363"/>
    <mergeCell ref="L382:L384"/>
    <mergeCell ref="M382:M384"/>
    <mergeCell ref="N382:N384"/>
    <mergeCell ref="O382:O384"/>
    <mergeCell ref="L385:L387"/>
    <mergeCell ref="M385:M387"/>
    <mergeCell ref="N385:N387"/>
    <mergeCell ref="O385:O387"/>
    <mergeCell ref="L388:L390"/>
    <mergeCell ref="M388:M390"/>
    <mergeCell ref="N388:N390"/>
    <mergeCell ref="O388:O390"/>
    <mergeCell ref="L373:L375"/>
    <mergeCell ref="M373:M375"/>
    <mergeCell ref="N373:N375"/>
    <mergeCell ref="O373:O375"/>
    <mergeCell ref="L376:L378"/>
    <mergeCell ref="M376:M378"/>
    <mergeCell ref="N376:N378"/>
    <mergeCell ref="O376:O378"/>
    <mergeCell ref="L379:L381"/>
    <mergeCell ref="M379:M381"/>
    <mergeCell ref="N379:N381"/>
    <mergeCell ref="O379:O381"/>
    <mergeCell ref="N403:N405"/>
    <mergeCell ref="O403:O405"/>
    <mergeCell ref="L406:L408"/>
    <mergeCell ref="M406:M408"/>
    <mergeCell ref="N406:N408"/>
    <mergeCell ref="O406:O408"/>
    <mergeCell ref="L391:L393"/>
    <mergeCell ref="M391:M393"/>
    <mergeCell ref="N391:N393"/>
    <mergeCell ref="O391:O393"/>
    <mergeCell ref="L394:L396"/>
    <mergeCell ref="M394:M396"/>
    <mergeCell ref="N394:N396"/>
    <mergeCell ref="O394:O396"/>
    <mergeCell ref="L397:L399"/>
    <mergeCell ref="M397:M399"/>
    <mergeCell ref="N397:N399"/>
    <mergeCell ref="O397:O399"/>
    <mergeCell ref="L417:L419"/>
    <mergeCell ref="M417:M419"/>
    <mergeCell ref="N417:N419"/>
    <mergeCell ref="O417:O419"/>
    <mergeCell ref="J229:J231"/>
    <mergeCell ref="J232:J234"/>
    <mergeCell ref="J235:J237"/>
    <mergeCell ref="J238:J240"/>
    <mergeCell ref="J241:J243"/>
    <mergeCell ref="J244:J246"/>
    <mergeCell ref="J247:J249"/>
    <mergeCell ref="J293:J295"/>
    <mergeCell ref="J290:J292"/>
    <mergeCell ref="J284:J286"/>
    <mergeCell ref="L409:L410"/>
    <mergeCell ref="M409:M410"/>
    <mergeCell ref="N409:N410"/>
    <mergeCell ref="O409:O410"/>
    <mergeCell ref="L411:L413"/>
    <mergeCell ref="M411:M413"/>
    <mergeCell ref="N411:N413"/>
    <mergeCell ref="O411:O413"/>
    <mergeCell ref="L414:L416"/>
    <mergeCell ref="M414:M416"/>
    <mergeCell ref="N414:N416"/>
    <mergeCell ref="O414:O416"/>
    <mergeCell ref="L400:L402"/>
    <mergeCell ref="M400:M402"/>
    <mergeCell ref="N400:N402"/>
    <mergeCell ref="O400:O402"/>
    <mergeCell ref="L403:L405"/>
    <mergeCell ref="M403:M405"/>
    <mergeCell ref="A257:A259"/>
    <mergeCell ref="A260:A262"/>
    <mergeCell ref="A263:A265"/>
    <mergeCell ref="A266:A268"/>
    <mergeCell ref="A269:A271"/>
    <mergeCell ref="A272:A274"/>
    <mergeCell ref="A275:A277"/>
    <mergeCell ref="A278:A280"/>
    <mergeCell ref="A281:A283"/>
    <mergeCell ref="A229:A231"/>
    <mergeCell ref="A232:A234"/>
    <mergeCell ref="A235:A237"/>
    <mergeCell ref="A238:A240"/>
    <mergeCell ref="A241:A243"/>
    <mergeCell ref="A244:A246"/>
    <mergeCell ref="A247:A249"/>
    <mergeCell ref="A251:A253"/>
    <mergeCell ref="A254:A256"/>
    <mergeCell ref="A348:A350"/>
    <mergeCell ref="A351:A353"/>
    <mergeCell ref="A354:A356"/>
    <mergeCell ref="A357:A359"/>
    <mergeCell ref="A361:A363"/>
    <mergeCell ref="A364:A366"/>
    <mergeCell ref="A367:A369"/>
    <mergeCell ref="A315:A317"/>
    <mergeCell ref="A318:A320"/>
    <mergeCell ref="A321:A323"/>
    <mergeCell ref="A324:A326"/>
    <mergeCell ref="A327:A329"/>
    <mergeCell ref="A330:A332"/>
    <mergeCell ref="A333:A335"/>
    <mergeCell ref="A336:A338"/>
    <mergeCell ref="A339:A341"/>
    <mergeCell ref="A284:A286"/>
    <mergeCell ref="A287:A289"/>
    <mergeCell ref="A290:A292"/>
    <mergeCell ref="A293:A295"/>
    <mergeCell ref="A300:A302"/>
    <mergeCell ref="A303:A305"/>
    <mergeCell ref="A306:A308"/>
    <mergeCell ref="A309:A311"/>
    <mergeCell ref="A312:A314"/>
    <mergeCell ref="A397:A399"/>
    <mergeCell ref="A400:A402"/>
    <mergeCell ref="A403:A405"/>
    <mergeCell ref="A406:A408"/>
    <mergeCell ref="A409:A410"/>
    <mergeCell ref="A411:A413"/>
    <mergeCell ref="A414:A416"/>
    <mergeCell ref="A417:A419"/>
    <mergeCell ref="B229:B231"/>
    <mergeCell ref="B244:B246"/>
    <mergeCell ref="B260:B262"/>
    <mergeCell ref="B275:B277"/>
    <mergeCell ref="B290:B292"/>
    <mergeCell ref="B309:B311"/>
    <mergeCell ref="B324:B326"/>
    <mergeCell ref="B339:B341"/>
    <mergeCell ref="B354:B356"/>
    <mergeCell ref="B370:B372"/>
    <mergeCell ref="B385:B387"/>
    <mergeCell ref="B400:B402"/>
    <mergeCell ref="B414:B416"/>
    <mergeCell ref="A370:A372"/>
    <mergeCell ref="A373:A375"/>
    <mergeCell ref="A376:A378"/>
    <mergeCell ref="A379:A381"/>
    <mergeCell ref="A382:A384"/>
    <mergeCell ref="A385:A387"/>
    <mergeCell ref="A388:A390"/>
    <mergeCell ref="A391:A393"/>
    <mergeCell ref="A394:A396"/>
    <mergeCell ref="A342:A344"/>
    <mergeCell ref="A345:A347"/>
    <mergeCell ref="C244:C246"/>
    <mergeCell ref="B247:B249"/>
    <mergeCell ref="C247:C249"/>
    <mergeCell ref="B251:B253"/>
    <mergeCell ref="C251:C253"/>
    <mergeCell ref="B254:B256"/>
    <mergeCell ref="C254:C256"/>
    <mergeCell ref="B257:B259"/>
    <mergeCell ref="C257:C259"/>
    <mergeCell ref="C229:C231"/>
    <mergeCell ref="B232:B234"/>
    <mergeCell ref="C232:C234"/>
    <mergeCell ref="B235:B237"/>
    <mergeCell ref="C235:C237"/>
    <mergeCell ref="B238:B240"/>
    <mergeCell ref="C238:C240"/>
    <mergeCell ref="B241:B243"/>
    <mergeCell ref="C241:C243"/>
    <mergeCell ref="C275:C277"/>
    <mergeCell ref="B278:B280"/>
    <mergeCell ref="C278:C280"/>
    <mergeCell ref="B281:B283"/>
    <mergeCell ref="C281:C283"/>
    <mergeCell ref="B284:B286"/>
    <mergeCell ref="C284:C286"/>
    <mergeCell ref="B287:B289"/>
    <mergeCell ref="C287:C289"/>
    <mergeCell ref="C260:C262"/>
    <mergeCell ref="B263:B265"/>
    <mergeCell ref="C263:C265"/>
    <mergeCell ref="B266:B268"/>
    <mergeCell ref="C266:C268"/>
    <mergeCell ref="B269:B271"/>
    <mergeCell ref="C269:C271"/>
    <mergeCell ref="B272:B274"/>
    <mergeCell ref="C272:C274"/>
    <mergeCell ref="C309:C311"/>
    <mergeCell ref="B312:B314"/>
    <mergeCell ref="C312:C314"/>
    <mergeCell ref="B315:B317"/>
    <mergeCell ref="C315:C317"/>
    <mergeCell ref="B318:B320"/>
    <mergeCell ref="C318:C320"/>
    <mergeCell ref="B321:B323"/>
    <mergeCell ref="C321:C323"/>
    <mergeCell ref="C290:C292"/>
    <mergeCell ref="B293:B295"/>
    <mergeCell ref="C293:C295"/>
    <mergeCell ref="B300:B302"/>
    <mergeCell ref="C300:C302"/>
    <mergeCell ref="B303:B305"/>
    <mergeCell ref="C303:C305"/>
    <mergeCell ref="B306:B308"/>
    <mergeCell ref="C306:C308"/>
    <mergeCell ref="C357:C359"/>
    <mergeCell ref="B361:B363"/>
    <mergeCell ref="C361:C363"/>
    <mergeCell ref="B364:B366"/>
    <mergeCell ref="C364:C366"/>
    <mergeCell ref="B367:B369"/>
    <mergeCell ref="C367:C369"/>
    <mergeCell ref="C339:C341"/>
    <mergeCell ref="B342:B344"/>
    <mergeCell ref="C342:C344"/>
    <mergeCell ref="B345:B347"/>
    <mergeCell ref="C345:C347"/>
    <mergeCell ref="B348:B350"/>
    <mergeCell ref="C348:C350"/>
    <mergeCell ref="B351:B353"/>
    <mergeCell ref="C351:C353"/>
    <mergeCell ref="C324:C326"/>
    <mergeCell ref="B327:B329"/>
    <mergeCell ref="C327:C329"/>
    <mergeCell ref="B330:B332"/>
    <mergeCell ref="C330:C332"/>
    <mergeCell ref="B333:B335"/>
    <mergeCell ref="C333:C335"/>
    <mergeCell ref="B336:B338"/>
    <mergeCell ref="C336:C338"/>
    <mergeCell ref="C370:C372"/>
    <mergeCell ref="B373:B375"/>
    <mergeCell ref="C373:C375"/>
    <mergeCell ref="B376:B378"/>
    <mergeCell ref="C376:C378"/>
    <mergeCell ref="B379:B381"/>
    <mergeCell ref="C379:C381"/>
    <mergeCell ref="B382:B384"/>
    <mergeCell ref="C382:C384"/>
    <mergeCell ref="C354:C356"/>
    <mergeCell ref="C414:C416"/>
    <mergeCell ref="B417:B419"/>
    <mergeCell ref="C417:C419"/>
    <mergeCell ref="C400:C402"/>
    <mergeCell ref="B403:B405"/>
    <mergeCell ref="C403:C405"/>
    <mergeCell ref="B406:B408"/>
    <mergeCell ref="C406:C408"/>
    <mergeCell ref="B409:B410"/>
    <mergeCell ref="C409:C410"/>
    <mergeCell ref="B411:B413"/>
    <mergeCell ref="C411:C413"/>
    <mergeCell ref="C385:C387"/>
    <mergeCell ref="B388:B390"/>
    <mergeCell ref="C388:C390"/>
    <mergeCell ref="B391:B393"/>
    <mergeCell ref="C391:C393"/>
    <mergeCell ref="B394:B396"/>
    <mergeCell ref="C394:C396"/>
    <mergeCell ref="B397:B399"/>
    <mergeCell ref="C397:C399"/>
    <mergeCell ref="B357:B359"/>
  </mergeCells>
  <hyperlinks>
    <hyperlink ref="H3" location="'A1(epa)'!A7" display="'A1(epa)'!A7"/>
    <hyperlink ref="H4" location="'A1(epa)'!A251" display="'A1(epa)'!A251"/>
    <hyperlink ref="F6" location="'Table of Contents'!A1" display="x"/>
  </hyperlinks>
  <pageMargins left="0.7" right="0.7" top="0.75" bottom="0.75" header="0.3" footer="0.3"/>
  <ignoredErrors>
    <ignoredError sqref="K41:K42 K44:K45" formula="1"/>
    <ignoredError sqref="S30:S32 P52:S273" numberStoredAsText="1"/>
  </ignoredErrors>
  <drawing r:id="rId1"/>
</worksheet>
</file>

<file path=xl/worksheets/sheet16.xml><?xml version="1.0" encoding="utf-8"?>
<worksheet xmlns="http://schemas.openxmlformats.org/spreadsheetml/2006/main" xmlns:r="http://schemas.openxmlformats.org/officeDocument/2006/relationships">
  <sheetPr>
    <tabColor rgb="FFFFFFC1"/>
    <pageSetUpPr fitToPage="1"/>
  </sheetPr>
  <dimension ref="A1:L42"/>
  <sheetViews>
    <sheetView zoomScale="80" zoomScaleNormal="80" workbookViewId="0">
      <selection activeCell="F11" sqref="F11"/>
    </sheetView>
  </sheetViews>
  <sheetFormatPr defaultColWidth="0" defaultRowHeight="12.75" zeroHeight="1"/>
  <cols>
    <col min="1" max="3" width="9.140625" style="5132" customWidth="1"/>
    <col min="4" max="4" width="3" style="5132" customWidth="1"/>
    <col min="5" max="5" width="6" customWidth="1"/>
    <col min="6" max="6" width="42.42578125" customWidth="1"/>
    <col min="7" max="7" width="67.7109375" customWidth="1"/>
    <col min="8" max="8" width="5.42578125" customWidth="1"/>
    <col min="9" max="12" width="40.7109375" style="5132" customWidth="1"/>
  </cols>
  <sheetData>
    <row r="1" spans="1:12" s="5132" customFormat="1"/>
    <row r="2" spans="1:12" s="5132" customFormat="1"/>
    <row r="3" spans="1:12">
      <c r="D3" s="8728" t="s">
        <v>2430</v>
      </c>
      <c r="E3" s="5133"/>
      <c r="F3" s="5133"/>
      <c r="G3" s="5133"/>
      <c r="H3" s="5133"/>
    </row>
    <row r="4" spans="1:12" s="271" customFormat="1">
      <c r="A4" s="5132"/>
      <c r="B4" s="5132"/>
      <c r="C4" s="5132"/>
      <c r="D4" s="5132"/>
      <c r="E4" s="5133"/>
      <c r="F4" s="5133"/>
      <c r="G4" s="5133"/>
      <c r="H4" s="5133"/>
      <c r="I4" s="5132"/>
      <c r="J4" s="5132"/>
      <c r="K4" s="5132"/>
      <c r="L4" s="5132"/>
    </row>
    <row r="5" spans="1:12" s="271" customFormat="1">
      <c r="A5" s="5132"/>
      <c r="B5" s="5132"/>
      <c r="C5" s="5132"/>
      <c r="D5" s="5132"/>
      <c r="E5" s="5133"/>
      <c r="F5" s="5133"/>
      <c r="G5" s="5133"/>
      <c r="H5" s="5133"/>
      <c r="I5" s="5132"/>
      <c r="J5" s="5132"/>
      <c r="K5" s="5132"/>
      <c r="L5" s="5132"/>
    </row>
    <row r="6" spans="1:12" ht="18">
      <c r="E6" s="5133"/>
      <c r="F6" s="6508" t="s">
        <v>2208</v>
      </c>
      <c r="G6" s="5133"/>
      <c r="H6" s="5133"/>
    </row>
    <row r="7" spans="1:12" ht="13.5" thickBot="1">
      <c r="E7" s="5133"/>
      <c r="F7" s="5133"/>
      <c r="G7" s="5133"/>
      <c r="H7" s="5133"/>
    </row>
    <row r="8" spans="1:12" ht="25.5" customHeight="1" thickBot="1">
      <c r="E8" s="5131"/>
      <c r="F8" s="6570" t="s">
        <v>1381</v>
      </c>
      <c r="G8" s="6570" t="s">
        <v>2171</v>
      </c>
      <c r="H8" s="5133"/>
    </row>
    <row r="9" spans="1:12" ht="60" customHeight="1">
      <c r="E9" s="5131"/>
      <c r="F9" s="6571" t="s">
        <v>2172</v>
      </c>
      <c r="G9" s="6571" t="s">
        <v>2173</v>
      </c>
      <c r="H9" s="5133"/>
    </row>
    <row r="10" spans="1:12" ht="30" customHeight="1">
      <c r="E10" s="5131"/>
      <c r="F10" s="6572" t="s">
        <v>2175</v>
      </c>
      <c r="G10" s="6572" t="s">
        <v>2174</v>
      </c>
      <c r="H10" s="5133"/>
    </row>
    <row r="11" spans="1:12" ht="25.5" customHeight="1">
      <c r="E11" s="5131"/>
      <c r="F11" s="6572" t="s">
        <v>2176</v>
      </c>
      <c r="G11" s="6572" t="s">
        <v>2177</v>
      </c>
      <c r="H11" s="5133"/>
    </row>
    <row r="12" spans="1:12" ht="25.5" customHeight="1">
      <c r="E12" s="5131"/>
      <c r="F12" s="6572" t="s">
        <v>2178</v>
      </c>
      <c r="G12" s="6572" t="s">
        <v>2183</v>
      </c>
      <c r="H12" s="5133"/>
    </row>
    <row r="13" spans="1:12" ht="25.5" customHeight="1">
      <c r="E13" s="5131"/>
      <c r="F13" s="6572" t="s">
        <v>2179</v>
      </c>
      <c r="G13" s="6572" t="s">
        <v>2180</v>
      </c>
      <c r="H13" s="5133"/>
    </row>
    <row r="14" spans="1:12" ht="25.5" customHeight="1">
      <c r="E14" s="5131"/>
      <c r="F14" s="6572" t="s">
        <v>2181</v>
      </c>
      <c r="G14" s="6572" t="s">
        <v>2182</v>
      </c>
      <c r="H14" s="5133"/>
    </row>
    <row r="15" spans="1:12" ht="25.5">
      <c r="E15" s="5131"/>
      <c r="F15" s="6572" t="s">
        <v>2203</v>
      </c>
      <c r="G15" s="6572" t="s">
        <v>2204</v>
      </c>
      <c r="H15" s="5133"/>
    </row>
    <row r="16" spans="1:12" ht="30" customHeight="1">
      <c r="E16" s="5131"/>
      <c r="F16" s="6572" t="s">
        <v>2184</v>
      </c>
      <c r="G16" s="6572" t="s">
        <v>2185</v>
      </c>
      <c r="H16" s="5133"/>
    </row>
    <row r="17" spans="5:8" ht="45" customHeight="1">
      <c r="E17" s="5131"/>
      <c r="F17" s="6572" t="s">
        <v>2186</v>
      </c>
      <c r="G17" s="6572" t="s">
        <v>2187</v>
      </c>
      <c r="H17" s="5133"/>
    </row>
    <row r="18" spans="5:8" ht="30" customHeight="1">
      <c r="E18" s="5131"/>
      <c r="F18" s="6572" t="s">
        <v>2188</v>
      </c>
      <c r="G18" s="6572" t="s">
        <v>2189</v>
      </c>
      <c r="H18" s="5133"/>
    </row>
    <row r="19" spans="5:8" ht="45" customHeight="1">
      <c r="E19" s="5131"/>
      <c r="F19" s="6572" t="s">
        <v>2205</v>
      </c>
      <c r="G19" s="6572" t="s">
        <v>2206</v>
      </c>
      <c r="H19" s="5133"/>
    </row>
    <row r="20" spans="5:8" ht="45" customHeight="1">
      <c r="E20" s="5131"/>
      <c r="F20" s="6572" t="s">
        <v>2190</v>
      </c>
      <c r="G20" s="6572" t="s">
        <v>2191</v>
      </c>
      <c r="H20" s="5133"/>
    </row>
    <row r="21" spans="5:8" ht="25.5" customHeight="1">
      <c r="E21" s="5131"/>
      <c r="F21" s="6572" t="s">
        <v>2192</v>
      </c>
      <c r="G21" s="6572" t="s">
        <v>2193</v>
      </c>
      <c r="H21" s="5133"/>
    </row>
    <row r="22" spans="5:8" ht="69.95" customHeight="1">
      <c r="E22" s="5131"/>
      <c r="F22" s="6572" t="s">
        <v>2194</v>
      </c>
      <c r="G22" s="6572" t="s">
        <v>2195</v>
      </c>
      <c r="H22" s="5133"/>
    </row>
    <row r="23" spans="5:8" ht="30" customHeight="1">
      <c r="E23" s="5131"/>
      <c r="F23" s="6572" t="s">
        <v>2196</v>
      </c>
      <c r="G23" s="6572" t="s">
        <v>2197</v>
      </c>
      <c r="H23" s="5133"/>
    </row>
    <row r="24" spans="5:8" ht="25.5" customHeight="1">
      <c r="E24" s="5131"/>
      <c r="F24" s="6572" t="s">
        <v>2198</v>
      </c>
      <c r="G24" s="6572" t="s">
        <v>2199</v>
      </c>
      <c r="H24" s="5133"/>
    </row>
    <row r="25" spans="5:8" ht="25.5" customHeight="1">
      <c r="E25" s="5131"/>
      <c r="F25" s="6572" t="s">
        <v>2200</v>
      </c>
      <c r="G25" s="6572" t="s">
        <v>2207</v>
      </c>
      <c r="H25" s="5133"/>
    </row>
    <row r="26" spans="5:8" ht="35.1" customHeight="1" thickBot="1">
      <c r="E26" s="5131"/>
      <c r="F26" s="6573" t="s">
        <v>2201</v>
      </c>
      <c r="G26" s="6573" t="s">
        <v>2202</v>
      </c>
      <c r="H26" s="5133"/>
    </row>
    <row r="27" spans="5:8">
      <c r="E27" s="5133"/>
      <c r="F27" s="5133" t="s">
        <v>2210</v>
      </c>
      <c r="G27" s="5133"/>
      <c r="H27" s="5133"/>
    </row>
    <row r="28" spans="5:8">
      <c r="E28" s="5133"/>
      <c r="F28" s="5133" t="s">
        <v>2209</v>
      </c>
      <c r="G28" s="5133"/>
      <c r="H28" s="5133"/>
    </row>
    <row r="29" spans="5:8">
      <c r="E29" s="5133"/>
      <c r="F29" s="5133"/>
      <c r="G29" s="5133"/>
      <c r="H29" s="5133"/>
    </row>
    <row r="30" spans="5:8" s="5132" customFormat="1" ht="219.95" customHeight="1"/>
    <row r="31" spans="5:8" s="5132" customFormat="1" ht="219.95" customHeight="1"/>
    <row r="32" spans="5:8" s="5132" customFormat="1" ht="219.95" customHeight="1"/>
    <row r="33" s="5132" customFormat="1" ht="219.95" customHeight="1"/>
    <row r="34" hidden="1"/>
    <row r="35" hidden="1"/>
    <row r="36" hidden="1"/>
    <row r="37" hidden="1"/>
    <row r="38" hidden="1"/>
    <row r="39" hidden="1"/>
    <row r="40" hidden="1"/>
    <row r="41" hidden="1"/>
    <row r="42" s="5132" customFormat="1" ht="219.95" customHeight="1"/>
  </sheetData>
  <sheetProtection password="C665" sheet="1" objects="1" scenarios="1"/>
  <hyperlinks>
    <hyperlink ref="D3" location="'Table of Contents'!A1" display="x"/>
  </hyperlinks>
  <pageMargins left="0.7" right="0.7" top="0.75" bottom="0.75" header="0.3" footer="0.3"/>
  <pageSetup scale="76" orientation="portrait" r:id="rId1"/>
</worksheet>
</file>

<file path=xl/worksheets/sheet17.xml><?xml version="1.0" encoding="utf-8"?>
<worksheet xmlns="http://schemas.openxmlformats.org/spreadsheetml/2006/main" xmlns:r="http://schemas.openxmlformats.org/officeDocument/2006/relationships">
  <sheetPr>
    <tabColor rgb="FFF1A9A1"/>
  </sheetPr>
  <dimension ref="A1:Q210"/>
  <sheetViews>
    <sheetView workbookViewId="0"/>
  </sheetViews>
  <sheetFormatPr defaultRowHeight="12.75"/>
  <cols>
    <col min="2" max="2" width="6.28515625" customWidth="1"/>
    <col min="3" max="3" width="16.28515625" customWidth="1"/>
    <col min="4" max="4" width="11" customWidth="1"/>
    <col min="5" max="5" width="15.42578125" customWidth="1"/>
    <col min="6" max="6" width="3.85546875" customWidth="1"/>
    <col min="8" max="8" width="6.28515625" customWidth="1"/>
    <col min="9" max="9" width="20.7109375" customWidth="1"/>
    <col min="10" max="10" width="10" style="271" customWidth="1"/>
    <col min="11" max="11" width="30.42578125" style="271" customWidth="1"/>
    <col min="12" max="12" width="12.7109375" style="271" customWidth="1"/>
    <col min="13" max="13" width="14.7109375" style="271" customWidth="1"/>
    <col min="14" max="14" width="15.7109375" style="271" customWidth="1"/>
  </cols>
  <sheetData>
    <row r="1" spans="1:17">
      <c r="A1" s="271"/>
      <c r="B1" s="271"/>
      <c r="C1" s="271"/>
      <c r="D1" s="12"/>
      <c r="E1" s="11"/>
      <c r="F1" s="271"/>
      <c r="G1" s="271"/>
      <c r="H1" s="271"/>
      <c r="I1" s="271"/>
      <c r="O1" s="271"/>
      <c r="P1" s="271"/>
      <c r="Q1" s="271"/>
    </row>
    <row r="2" spans="1:17" s="271" customFormat="1">
      <c r="D2" s="12"/>
      <c r="E2" s="11"/>
    </row>
    <row r="3" spans="1:17" s="271" customFormat="1">
      <c r="D3" s="12"/>
      <c r="E3" s="11"/>
    </row>
    <row r="4" spans="1:17" s="271" customFormat="1">
      <c r="D4" s="12"/>
      <c r="E4" s="11"/>
    </row>
    <row r="5" spans="1:17" s="271" customFormat="1">
      <c r="D5" s="12"/>
      <c r="E5" s="11"/>
    </row>
    <row r="6" spans="1:17" s="271" customFormat="1">
      <c r="D6" s="12"/>
      <c r="E6" s="11"/>
    </row>
    <row r="7" spans="1:17" s="271" customFormat="1">
      <c r="D7" s="12"/>
      <c r="E7" s="11"/>
    </row>
    <row r="8" spans="1:17" s="271" customFormat="1">
      <c r="D8" s="12"/>
      <c r="E8" s="11"/>
    </row>
    <row r="9" spans="1:17" s="271" customFormat="1" ht="13.5" thickBot="1">
      <c r="D9" s="12"/>
      <c r="E9" s="11" t="s">
        <v>1452</v>
      </c>
    </row>
    <row r="10" spans="1:17" ht="16.5" thickTop="1">
      <c r="A10" s="271"/>
      <c r="B10" s="10998" t="s">
        <v>619</v>
      </c>
      <c r="C10" s="10998"/>
      <c r="D10" s="10998"/>
      <c r="E10" s="10998"/>
      <c r="F10" s="271"/>
      <c r="G10" s="271"/>
      <c r="H10" s="10998" t="s">
        <v>1454</v>
      </c>
      <c r="I10" s="10998"/>
      <c r="J10" s="10998"/>
      <c r="K10" s="10998"/>
      <c r="L10" s="10998"/>
      <c r="M10" s="10998"/>
      <c r="N10" s="10998"/>
      <c r="O10" s="271"/>
      <c r="P10" s="271"/>
      <c r="Q10" s="271"/>
    </row>
    <row r="11" spans="1:17" ht="22.5">
      <c r="A11" s="271"/>
      <c r="B11" s="274" t="s">
        <v>382</v>
      </c>
      <c r="C11" s="274" t="s">
        <v>620</v>
      </c>
      <c r="D11" s="274" t="s">
        <v>621</v>
      </c>
      <c r="E11" s="274" t="s">
        <v>396</v>
      </c>
      <c r="F11" s="271"/>
      <c r="G11" s="271"/>
      <c r="H11" s="274" t="s">
        <v>382</v>
      </c>
      <c r="I11" s="274" t="s">
        <v>1467</v>
      </c>
      <c r="J11" s="274" t="s">
        <v>1456</v>
      </c>
      <c r="K11" s="274" t="s">
        <v>1484</v>
      </c>
      <c r="L11" s="274" t="s">
        <v>1460</v>
      </c>
      <c r="M11" s="274" t="s">
        <v>306</v>
      </c>
      <c r="N11" s="274" t="s">
        <v>306</v>
      </c>
      <c r="O11" s="271"/>
      <c r="P11" s="271"/>
      <c r="Q11" s="271"/>
    </row>
    <row r="12" spans="1:17" ht="13.5" thickBot="1">
      <c r="A12" s="271"/>
      <c r="B12" s="275">
        <v>1</v>
      </c>
      <c r="C12" s="275">
        <f>1+B12</f>
        <v>2</v>
      </c>
      <c r="D12" s="275">
        <f>1+C12</f>
        <v>3</v>
      </c>
      <c r="E12" s="275">
        <f>1+D12</f>
        <v>4</v>
      </c>
      <c r="F12" s="271"/>
      <c r="G12" s="271"/>
      <c r="H12" s="275">
        <v>1</v>
      </c>
      <c r="I12" s="275">
        <f>1+H12</f>
        <v>2</v>
      </c>
      <c r="J12" s="275">
        <f>1+I12</f>
        <v>3</v>
      </c>
      <c r="K12" s="275">
        <f>1+J12</f>
        <v>4</v>
      </c>
      <c r="L12" s="275">
        <f>1+K12</f>
        <v>5</v>
      </c>
      <c r="M12" s="275">
        <v>7</v>
      </c>
      <c r="N12" s="275">
        <f>1+M12</f>
        <v>8</v>
      </c>
      <c r="O12" s="271"/>
      <c r="P12" s="271"/>
      <c r="Q12" s="271"/>
    </row>
    <row r="13" spans="1:17" ht="13.5" thickTop="1">
      <c r="A13" s="717"/>
      <c r="B13" s="16">
        <v>1</v>
      </c>
      <c r="C13" s="17" t="s">
        <v>622</v>
      </c>
      <c r="D13" s="16">
        <v>1</v>
      </c>
      <c r="E13" s="18" t="s">
        <v>623</v>
      </c>
      <c r="F13" s="717"/>
      <c r="G13" s="271"/>
      <c r="H13" s="271"/>
      <c r="I13" s="279" t="s">
        <v>1455</v>
      </c>
      <c r="O13" s="271"/>
      <c r="P13" s="271"/>
      <c r="Q13" s="271"/>
    </row>
    <row r="14" spans="1:17">
      <c r="A14" s="271"/>
      <c r="B14" s="12">
        <v>2</v>
      </c>
      <c r="C14" s="271" t="s">
        <v>624</v>
      </c>
      <c r="D14" s="12">
        <v>2</v>
      </c>
      <c r="E14" s="11" t="s">
        <v>423</v>
      </c>
      <c r="F14" s="271"/>
      <c r="G14" s="271"/>
      <c r="H14" s="86">
        <v>1</v>
      </c>
      <c r="I14" s="216" t="str">
        <f t="shared" ref="I14:I19" si="0">+"Distillate fuel oil No. "&amp;H14</f>
        <v>Distillate fuel oil No. 1</v>
      </c>
      <c r="J14" s="276" t="str">
        <f t="shared" ref="J14:J19" si="1">+"DF-"&amp;H14</f>
        <v>DF-1</v>
      </c>
      <c r="K14" s="216" t="s">
        <v>1457</v>
      </c>
      <c r="L14" s="216"/>
      <c r="M14" s="216"/>
      <c r="N14" s="216"/>
      <c r="O14" s="271"/>
      <c r="P14" s="271"/>
      <c r="Q14" s="271"/>
    </row>
    <row r="15" spans="1:17">
      <c r="A15" s="271"/>
      <c r="B15" s="12">
        <v>3</v>
      </c>
      <c r="C15" s="271" t="s">
        <v>625</v>
      </c>
      <c r="D15" s="12">
        <v>3</v>
      </c>
      <c r="E15" s="11" t="s">
        <v>626</v>
      </c>
      <c r="F15" s="271"/>
      <c r="G15" s="271"/>
      <c r="H15" s="86">
        <f>1+H14</f>
        <v>2</v>
      </c>
      <c r="I15" s="216" t="str">
        <f t="shared" si="0"/>
        <v>Distillate fuel oil No. 2</v>
      </c>
      <c r="J15" s="276" t="str">
        <f t="shared" si="1"/>
        <v>DF-2</v>
      </c>
      <c r="K15" s="216" t="s">
        <v>1459</v>
      </c>
      <c r="L15" s="216"/>
      <c r="M15" s="216"/>
      <c r="N15" s="216"/>
      <c r="O15" s="271"/>
      <c r="P15" s="271"/>
      <c r="Q15" s="271"/>
    </row>
    <row r="16" spans="1:17">
      <c r="A16" s="271"/>
      <c r="B16" s="12">
        <v>4</v>
      </c>
      <c r="C16" s="271" t="s">
        <v>627</v>
      </c>
      <c r="D16" s="12">
        <v>4</v>
      </c>
      <c r="E16" s="11" t="s">
        <v>438</v>
      </c>
      <c r="F16" s="271"/>
      <c r="G16" s="271"/>
      <c r="H16" s="86">
        <f>1+H15</f>
        <v>3</v>
      </c>
      <c r="I16" s="216" t="str">
        <f t="shared" si="0"/>
        <v>Distillate fuel oil No. 3</v>
      </c>
      <c r="J16" s="276" t="str">
        <f t="shared" si="1"/>
        <v>DF-3</v>
      </c>
      <c r="K16" s="716" t="s">
        <v>1485</v>
      </c>
      <c r="L16" s="216"/>
      <c r="M16" s="216"/>
      <c r="N16" s="216"/>
      <c r="O16" s="271"/>
      <c r="P16" s="271"/>
      <c r="Q16" s="271"/>
    </row>
    <row r="17" spans="1:17">
      <c r="A17" s="271"/>
      <c r="B17" s="12">
        <v>5</v>
      </c>
      <c r="C17" s="271" t="s">
        <v>628</v>
      </c>
      <c r="D17" s="12">
        <v>5</v>
      </c>
      <c r="E17" s="11" t="s">
        <v>502</v>
      </c>
      <c r="F17" s="271"/>
      <c r="G17" s="271"/>
      <c r="H17" s="86">
        <f>1+H16</f>
        <v>4</v>
      </c>
      <c r="I17" s="216" t="str">
        <f t="shared" si="0"/>
        <v>Distillate fuel oil No. 4</v>
      </c>
      <c r="J17" s="276" t="str">
        <f t="shared" si="1"/>
        <v>DF-4</v>
      </c>
      <c r="K17" s="216" t="s">
        <v>1458</v>
      </c>
      <c r="L17" s="216"/>
      <c r="M17" s="216"/>
      <c r="N17" s="216"/>
      <c r="O17" s="271"/>
      <c r="P17" s="271"/>
      <c r="Q17" s="271"/>
    </row>
    <row r="18" spans="1:17">
      <c r="A18" s="271"/>
      <c r="B18" s="12">
        <v>6</v>
      </c>
      <c r="C18" s="271" t="s">
        <v>629</v>
      </c>
      <c r="D18" s="12">
        <v>6</v>
      </c>
      <c r="E18" s="11" t="s">
        <v>423</v>
      </c>
      <c r="F18" s="271"/>
      <c r="G18" s="271"/>
      <c r="H18" s="86">
        <f>1+H17</f>
        <v>5</v>
      </c>
      <c r="I18" s="216" t="str">
        <f t="shared" si="0"/>
        <v>Distillate fuel oil No. 5</v>
      </c>
      <c r="J18" s="276" t="str">
        <f t="shared" si="1"/>
        <v>DF-5</v>
      </c>
      <c r="K18" s="216" t="s">
        <v>1464</v>
      </c>
      <c r="L18" s="216" t="s">
        <v>1461</v>
      </c>
      <c r="M18" s="216"/>
      <c r="N18" s="216"/>
      <c r="O18" s="271"/>
      <c r="P18" s="271"/>
      <c r="Q18" s="271"/>
    </row>
    <row r="19" spans="1:17">
      <c r="A19" s="271"/>
      <c r="B19" s="12">
        <v>7</v>
      </c>
      <c r="C19" s="271" t="s">
        <v>630</v>
      </c>
      <c r="D19" s="12">
        <v>7</v>
      </c>
      <c r="E19" s="11" t="s">
        <v>438</v>
      </c>
      <c r="F19" s="271"/>
      <c r="G19" s="271"/>
      <c r="H19" s="277">
        <f>1+H18</f>
        <v>6</v>
      </c>
      <c r="I19" s="9" t="str">
        <f t="shared" si="0"/>
        <v>Distillate fuel oil No. 6</v>
      </c>
      <c r="J19" s="278" t="str">
        <f t="shared" si="1"/>
        <v>DF-6</v>
      </c>
      <c r="K19" s="9" t="s">
        <v>1463</v>
      </c>
      <c r="L19" s="9" t="s">
        <v>1462</v>
      </c>
      <c r="M19" s="9"/>
      <c r="N19" s="9"/>
      <c r="O19" s="271"/>
      <c r="P19" s="271"/>
      <c r="Q19" s="271"/>
    </row>
    <row r="20" spans="1:17">
      <c r="A20" s="271"/>
      <c r="B20" s="12">
        <v>8</v>
      </c>
      <c r="C20" s="271" t="s">
        <v>631</v>
      </c>
      <c r="D20" s="12">
        <v>8</v>
      </c>
      <c r="E20" s="11" t="s">
        <v>423</v>
      </c>
      <c r="F20" s="271"/>
      <c r="G20" s="271"/>
      <c r="H20" s="12"/>
      <c r="I20" s="271"/>
      <c r="J20" s="271" t="s">
        <v>991</v>
      </c>
      <c r="K20" s="271" t="s">
        <v>1466</v>
      </c>
      <c r="O20" s="271"/>
      <c r="P20" s="271"/>
      <c r="Q20" s="271"/>
    </row>
    <row r="21" spans="1:17">
      <c r="A21" s="271"/>
      <c r="B21" s="12">
        <v>9</v>
      </c>
      <c r="C21" s="271" t="s">
        <v>632</v>
      </c>
      <c r="D21" s="12">
        <v>9</v>
      </c>
      <c r="E21" s="11" t="s">
        <v>501</v>
      </c>
      <c r="F21" s="271"/>
      <c r="G21" s="271"/>
      <c r="H21" s="12"/>
      <c r="I21" s="271"/>
      <c r="K21" s="271" t="s">
        <v>1465</v>
      </c>
      <c r="O21" s="271"/>
      <c r="P21" s="271"/>
      <c r="Q21" s="271"/>
    </row>
    <row r="22" spans="1:17">
      <c r="A22" s="271"/>
      <c r="B22" s="12">
        <v>10</v>
      </c>
      <c r="C22" s="271" t="s">
        <v>633</v>
      </c>
      <c r="D22" s="12">
        <v>10</v>
      </c>
      <c r="E22" s="11" t="s">
        <v>502</v>
      </c>
      <c r="F22" s="271"/>
      <c r="G22" s="271"/>
      <c r="H22" s="12"/>
      <c r="I22" s="271"/>
      <c r="O22" s="271"/>
      <c r="P22" s="271"/>
      <c r="Q22" s="271"/>
    </row>
    <row r="23" spans="1:17">
      <c r="A23" s="271"/>
      <c r="B23" s="12">
        <v>11</v>
      </c>
      <c r="C23" s="271" t="s">
        <v>634</v>
      </c>
      <c r="D23" s="12">
        <v>11</v>
      </c>
      <c r="E23" s="11" t="s">
        <v>438</v>
      </c>
      <c r="F23" s="271"/>
      <c r="G23" s="271"/>
      <c r="H23" s="12"/>
      <c r="I23" s="279" t="s">
        <v>1468</v>
      </c>
      <c r="O23" s="271"/>
      <c r="P23" s="271"/>
      <c r="Q23" s="271"/>
    </row>
    <row r="24" spans="1:17">
      <c r="A24" s="271"/>
      <c r="B24" s="12">
        <v>12</v>
      </c>
      <c r="C24" s="271" t="s">
        <v>635</v>
      </c>
      <c r="D24" s="12">
        <v>12</v>
      </c>
      <c r="E24" s="18" t="s">
        <v>623</v>
      </c>
      <c r="F24" s="271"/>
      <c r="G24" s="271"/>
      <c r="H24" s="271"/>
      <c r="I24" s="271" t="s">
        <v>1469</v>
      </c>
      <c r="J24" s="271" t="s">
        <v>1470</v>
      </c>
      <c r="K24" s="271" t="s">
        <v>1471</v>
      </c>
      <c r="O24" s="271"/>
      <c r="P24" s="271"/>
      <c r="Q24" s="271"/>
    </row>
    <row r="25" spans="1:17">
      <c r="A25" s="271"/>
      <c r="B25" s="12">
        <v>13</v>
      </c>
      <c r="C25" s="271" t="s">
        <v>636</v>
      </c>
      <c r="D25" s="12">
        <v>13</v>
      </c>
      <c r="E25" s="11" t="s">
        <v>505</v>
      </c>
      <c r="F25" s="271"/>
      <c r="G25" s="271"/>
      <c r="H25" s="271"/>
      <c r="I25" s="271" t="s">
        <v>1472</v>
      </c>
      <c r="J25" s="271" t="s">
        <v>1473</v>
      </c>
      <c r="K25" s="271" t="s">
        <v>1475</v>
      </c>
      <c r="O25" s="271"/>
      <c r="P25" s="271"/>
      <c r="Q25" s="271"/>
    </row>
    <row r="26" spans="1:17">
      <c r="A26" s="271"/>
      <c r="B26" s="12">
        <v>14</v>
      </c>
      <c r="C26" s="271" t="s">
        <v>475</v>
      </c>
      <c r="D26" s="12">
        <v>14</v>
      </c>
      <c r="E26" s="11" t="s">
        <v>423</v>
      </c>
      <c r="F26" s="271"/>
      <c r="G26" s="271"/>
      <c r="H26" s="271"/>
      <c r="I26" s="271" t="s">
        <v>1477</v>
      </c>
      <c r="J26" s="271" t="s">
        <v>1474</v>
      </c>
      <c r="K26" s="271" t="s">
        <v>1476</v>
      </c>
      <c r="O26" s="271"/>
      <c r="P26" s="271"/>
      <c r="Q26" s="271"/>
    </row>
    <row r="27" spans="1:17">
      <c r="A27" s="271"/>
      <c r="B27" s="12">
        <v>15</v>
      </c>
      <c r="C27" s="271" t="s">
        <v>424</v>
      </c>
      <c r="D27" s="12">
        <v>15</v>
      </c>
      <c r="E27" s="11" t="s">
        <v>501</v>
      </c>
      <c r="F27" s="271"/>
      <c r="G27" s="271"/>
      <c r="H27" s="271"/>
      <c r="I27" s="271" t="s">
        <v>1478</v>
      </c>
      <c r="J27" s="271" t="s">
        <v>1480</v>
      </c>
      <c r="K27" s="271" t="s">
        <v>1481</v>
      </c>
      <c r="O27" s="271"/>
      <c r="P27" s="271"/>
      <c r="Q27" s="271"/>
    </row>
    <row r="28" spans="1:17">
      <c r="A28" s="271"/>
      <c r="B28" s="12">
        <v>16</v>
      </c>
      <c r="C28" s="271" t="s">
        <v>637</v>
      </c>
      <c r="D28" s="12">
        <v>25</v>
      </c>
      <c r="E28" s="11" t="s">
        <v>502</v>
      </c>
      <c r="F28" s="271"/>
      <c r="G28" s="271"/>
      <c r="H28" s="271"/>
      <c r="I28" s="271" t="s">
        <v>1479</v>
      </c>
      <c r="J28" s="271" t="s">
        <v>1482</v>
      </c>
      <c r="K28" s="271" t="s">
        <v>1483</v>
      </c>
      <c r="O28" s="271"/>
      <c r="P28" s="271"/>
      <c r="Q28" s="271"/>
    </row>
    <row r="29" spans="1:17">
      <c r="A29" s="271"/>
      <c r="B29" s="12">
        <v>17</v>
      </c>
      <c r="C29" s="271" t="s">
        <v>638</v>
      </c>
      <c r="D29" s="12">
        <v>26</v>
      </c>
      <c r="E29" s="11" t="s">
        <v>438</v>
      </c>
      <c r="F29" s="271"/>
      <c r="G29" s="271"/>
      <c r="H29" s="271"/>
      <c r="I29" s="271"/>
      <c r="O29" s="271"/>
      <c r="P29" s="271"/>
      <c r="Q29" s="271"/>
    </row>
    <row r="30" spans="1:17">
      <c r="A30" s="271"/>
      <c r="B30" s="12">
        <v>18</v>
      </c>
      <c r="C30" s="271" t="s">
        <v>639</v>
      </c>
      <c r="D30" s="12">
        <v>28</v>
      </c>
      <c r="E30" s="11" t="s">
        <v>501</v>
      </c>
      <c r="F30" s="271"/>
      <c r="G30" s="271"/>
      <c r="H30" s="271"/>
      <c r="I30" s="271"/>
      <c r="O30" s="271"/>
      <c r="P30" s="271"/>
      <c r="Q30" s="271"/>
    </row>
    <row r="31" spans="1:17">
      <c r="A31" s="271"/>
      <c r="B31" s="12">
        <v>19</v>
      </c>
      <c r="C31" s="271" t="s">
        <v>640</v>
      </c>
      <c r="D31" s="12">
        <v>29</v>
      </c>
      <c r="E31" s="11" t="s">
        <v>626</v>
      </c>
      <c r="F31" s="271"/>
      <c r="G31" s="271"/>
      <c r="H31" s="271"/>
      <c r="I31" s="271"/>
      <c r="O31" s="271"/>
      <c r="P31" s="271"/>
      <c r="Q31" s="271"/>
    </row>
    <row r="32" spans="1:17">
      <c r="A32" s="271"/>
      <c r="B32" s="12">
        <v>20</v>
      </c>
      <c r="C32" s="271" t="s">
        <v>641</v>
      </c>
      <c r="D32" s="12">
        <v>30</v>
      </c>
      <c r="E32" s="11" t="s">
        <v>438</v>
      </c>
      <c r="F32" s="271"/>
      <c r="G32" s="271"/>
      <c r="H32" s="271"/>
      <c r="I32" s="271"/>
      <c r="O32" s="271"/>
      <c r="P32" s="271"/>
      <c r="Q32" s="271"/>
    </row>
    <row r="33" spans="1:17">
      <c r="A33" s="271"/>
      <c r="B33" s="12">
        <v>21</v>
      </c>
      <c r="C33" s="271" t="s">
        <v>642</v>
      </c>
      <c r="D33" s="12">
        <v>31</v>
      </c>
      <c r="E33" s="11" t="s">
        <v>502</v>
      </c>
      <c r="F33" s="271"/>
      <c r="G33" s="271"/>
      <c r="H33" s="271"/>
      <c r="I33" s="271"/>
      <c r="O33" s="271"/>
      <c r="P33" s="271"/>
      <c r="Q33" s="271"/>
    </row>
    <row r="34" spans="1:17">
      <c r="A34" s="271"/>
      <c r="B34" s="12">
        <v>22</v>
      </c>
      <c r="C34" s="271" t="s">
        <v>643</v>
      </c>
      <c r="D34" s="12">
        <v>32</v>
      </c>
      <c r="E34" s="11" t="s">
        <v>626</v>
      </c>
      <c r="F34" s="271"/>
      <c r="G34" s="271"/>
      <c r="H34" s="271"/>
      <c r="I34" s="271"/>
      <c r="O34" s="271"/>
      <c r="P34" s="271"/>
      <c r="Q34" s="271"/>
    </row>
    <row r="35" spans="1:17">
      <c r="A35" s="271"/>
      <c r="B35" s="12">
        <v>23</v>
      </c>
      <c r="C35" s="271" t="s">
        <v>644</v>
      </c>
      <c r="D35" s="12">
        <v>33</v>
      </c>
      <c r="E35" s="11" t="s">
        <v>438</v>
      </c>
      <c r="F35" s="271"/>
      <c r="G35" s="271"/>
      <c r="H35" s="271"/>
      <c r="I35" s="271"/>
      <c r="O35" s="271"/>
      <c r="P35" s="271"/>
      <c r="Q35" s="271"/>
    </row>
    <row r="36" spans="1:17">
      <c r="A36" s="271"/>
      <c r="B36" s="12">
        <v>24</v>
      </c>
      <c r="C36" s="271" t="s">
        <v>645</v>
      </c>
      <c r="D36" s="12">
        <v>34</v>
      </c>
      <c r="E36" s="11" t="s">
        <v>626</v>
      </c>
      <c r="F36" s="271"/>
      <c r="G36" s="271"/>
      <c r="H36" s="271"/>
      <c r="I36" s="271"/>
      <c r="O36" s="271"/>
      <c r="P36" s="271"/>
      <c r="Q36" s="271"/>
    </row>
    <row r="37" spans="1:17">
      <c r="A37" s="271"/>
      <c r="B37" s="12">
        <v>25</v>
      </c>
      <c r="C37" s="271" t="s">
        <v>646</v>
      </c>
      <c r="D37" s="12">
        <v>35</v>
      </c>
      <c r="E37" s="11" t="s">
        <v>423</v>
      </c>
      <c r="F37" s="271"/>
      <c r="G37" s="271"/>
      <c r="H37" s="271"/>
      <c r="I37" s="271"/>
      <c r="O37" s="271"/>
      <c r="P37" s="271"/>
      <c r="Q37" s="271"/>
    </row>
    <row r="38" spans="1:17">
      <c r="A38" s="271"/>
      <c r="B38" s="12">
        <v>26</v>
      </c>
      <c r="C38" s="271" t="s">
        <v>647</v>
      </c>
      <c r="D38" s="12">
        <v>36</v>
      </c>
      <c r="E38" s="11" t="s">
        <v>503</v>
      </c>
      <c r="F38" s="271"/>
      <c r="G38" s="271"/>
      <c r="H38" s="271"/>
      <c r="I38" s="271"/>
      <c r="O38" s="271"/>
      <c r="P38" s="271"/>
      <c r="Q38" s="271"/>
    </row>
    <row r="39" spans="1:17">
      <c r="A39" s="271"/>
      <c r="B39" s="12">
        <v>27</v>
      </c>
      <c r="C39" s="271" t="s">
        <v>648</v>
      </c>
      <c r="D39" s="12">
        <v>37</v>
      </c>
      <c r="E39" s="11" t="s">
        <v>503</v>
      </c>
      <c r="F39" s="271"/>
      <c r="G39" s="271"/>
      <c r="H39" s="271"/>
      <c r="I39" s="271"/>
      <c r="O39" s="271"/>
      <c r="P39" s="271"/>
      <c r="Q39" s="271"/>
    </row>
    <row r="40" spans="1:17">
      <c r="A40" s="271"/>
      <c r="B40" s="12">
        <v>28</v>
      </c>
      <c r="C40" s="271" t="s">
        <v>649</v>
      </c>
      <c r="D40" s="12">
        <v>38</v>
      </c>
      <c r="E40" s="11" t="s">
        <v>505</v>
      </c>
      <c r="F40" s="271"/>
      <c r="G40" s="271"/>
      <c r="H40" s="271"/>
      <c r="I40" s="271"/>
      <c r="O40" s="271"/>
      <c r="P40" s="271"/>
      <c r="Q40" s="271"/>
    </row>
    <row r="41" spans="1:17">
      <c r="A41" s="271"/>
      <c r="B41" s="12">
        <v>29</v>
      </c>
      <c r="C41" s="271" t="s">
        <v>650</v>
      </c>
      <c r="D41" s="12">
        <v>39</v>
      </c>
      <c r="E41" s="11" t="s">
        <v>502</v>
      </c>
      <c r="F41" s="271"/>
      <c r="G41" s="271"/>
      <c r="H41" s="271"/>
      <c r="I41" s="271"/>
      <c r="O41" s="271"/>
      <c r="P41" s="271"/>
      <c r="Q41" s="271"/>
    </row>
    <row r="42" spans="1:17">
      <c r="A42" s="271"/>
      <c r="B42" s="12">
        <v>30</v>
      </c>
      <c r="C42" s="271" t="s">
        <v>651</v>
      </c>
      <c r="D42" s="12">
        <v>40</v>
      </c>
      <c r="E42" s="18" t="s">
        <v>623</v>
      </c>
      <c r="F42" s="271"/>
      <c r="G42" s="271"/>
      <c r="H42" s="271"/>
      <c r="I42" s="271"/>
      <c r="O42" s="271"/>
      <c r="P42" s="271"/>
      <c r="Q42" s="271"/>
    </row>
    <row r="43" spans="1:17">
      <c r="A43" s="271"/>
      <c r="B43" s="12">
        <v>31</v>
      </c>
      <c r="C43" s="271" t="s">
        <v>652</v>
      </c>
      <c r="D43" s="12">
        <v>41</v>
      </c>
      <c r="E43" s="11" t="s">
        <v>502</v>
      </c>
      <c r="F43" s="271"/>
      <c r="G43" s="271"/>
      <c r="H43" s="271"/>
      <c r="I43" s="271"/>
      <c r="O43" s="271"/>
      <c r="P43" s="271"/>
      <c r="Q43" s="271"/>
    </row>
    <row r="44" spans="1:17">
      <c r="A44" s="271"/>
      <c r="B44" s="12">
        <v>32</v>
      </c>
      <c r="C44" s="271" t="s">
        <v>653</v>
      </c>
      <c r="D44" s="12">
        <v>42</v>
      </c>
      <c r="E44" s="18" t="s">
        <v>623</v>
      </c>
      <c r="F44" s="271"/>
      <c r="G44" s="271"/>
      <c r="H44" s="271"/>
      <c r="I44" s="271"/>
      <c r="O44" s="271"/>
      <c r="P44" s="271"/>
      <c r="Q44" s="271"/>
    </row>
    <row r="45" spans="1:17">
      <c r="A45" s="271"/>
      <c r="B45" s="12">
        <v>33</v>
      </c>
      <c r="C45" s="271" t="s">
        <v>654</v>
      </c>
      <c r="D45" s="12">
        <v>43</v>
      </c>
      <c r="E45" s="11" t="s">
        <v>503</v>
      </c>
      <c r="F45" s="271"/>
      <c r="G45" s="271"/>
      <c r="H45" s="271"/>
      <c r="I45" s="271"/>
      <c r="O45" s="271"/>
      <c r="P45" s="271"/>
      <c r="Q45" s="271"/>
    </row>
    <row r="46" spans="1:17">
      <c r="A46" s="271"/>
      <c r="B46" s="12">
        <v>34</v>
      </c>
      <c r="C46" s="271" t="s">
        <v>655</v>
      </c>
      <c r="D46" s="12">
        <v>44</v>
      </c>
      <c r="E46" s="11" t="s">
        <v>501</v>
      </c>
      <c r="F46" s="271"/>
      <c r="G46" s="271"/>
      <c r="H46" s="271"/>
      <c r="I46" s="271"/>
      <c r="O46" s="271"/>
      <c r="P46" s="271"/>
      <c r="Q46" s="271"/>
    </row>
    <row r="47" spans="1:17">
      <c r="A47" s="271"/>
      <c r="B47" s="12">
        <v>35</v>
      </c>
      <c r="C47" s="271" t="s">
        <v>656</v>
      </c>
      <c r="D47" s="12">
        <v>46</v>
      </c>
      <c r="E47" s="11" t="s">
        <v>501</v>
      </c>
      <c r="F47" s="271"/>
      <c r="G47" s="271"/>
      <c r="H47" s="271"/>
      <c r="I47" s="271"/>
      <c r="O47" s="271"/>
      <c r="P47" s="271"/>
      <c r="Q47" s="271"/>
    </row>
    <row r="48" spans="1:17">
      <c r="A48" s="271"/>
      <c r="B48" s="12">
        <v>36</v>
      </c>
      <c r="C48" s="271" t="s">
        <v>657</v>
      </c>
      <c r="D48" s="12">
        <v>218</v>
      </c>
      <c r="E48" s="11" t="s">
        <v>503</v>
      </c>
      <c r="F48" s="271"/>
      <c r="G48" s="271"/>
      <c r="H48" s="271"/>
      <c r="I48" s="271"/>
      <c r="O48" s="271"/>
      <c r="P48" s="271"/>
      <c r="Q48" s="271"/>
    </row>
    <row r="49" spans="1:17">
      <c r="A49" s="271"/>
      <c r="B49" s="12">
        <v>37</v>
      </c>
      <c r="C49" s="271" t="s">
        <v>658</v>
      </c>
      <c r="D49" s="12">
        <v>47</v>
      </c>
      <c r="E49" s="11" t="s">
        <v>423</v>
      </c>
      <c r="F49" s="271"/>
      <c r="G49" s="271"/>
      <c r="H49" s="271"/>
      <c r="I49" s="271"/>
      <c r="O49" s="271"/>
      <c r="P49" s="271"/>
      <c r="Q49" s="271"/>
    </row>
    <row r="50" spans="1:17">
      <c r="A50" s="271"/>
      <c r="B50" s="12">
        <v>38</v>
      </c>
      <c r="C50" s="271" t="s">
        <v>659</v>
      </c>
      <c r="D50" s="12">
        <v>48</v>
      </c>
      <c r="E50" s="11" t="s">
        <v>503</v>
      </c>
      <c r="F50" s="271"/>
      <c r="G50" s="271"/>
      <c r="H50" s="271"/>
      <c r="I50" s="271"/>
      <c r="O50" s="271"/>
      <c r="P50" s="271"/>
      <c r="Q50" s="271"/>
    </row>
    <row r="51" spans="1:17">
      <c r="A51" s="271"/>
      <c r="B51" s="12">
        <v>39</v>
      </c>
      <c r="C51" s="271" t="s">
        <v>660</v>
      </c>
      <c r="D51" s="12">
        <v>49</v>
      </c>
      <c r="E51" s="11" t="s">
        <v>626</v>
      </c>
      <c r="F51" s="271"/>
      <c r="G51" s="271"/>
      <c r="H51" s="271"/>
      <c r="I51" s="271"/>
      <c r="O51" s="271"/>
      <c r="P51" s="271"/>
      <c r="Q51" s="271"/>
    </row>
    <row r="52" spans="1:17">
      <c r="A52" s="271"/>
      <c r="B52" s="12">
        <v>40</v>
      </c>
      <c r="C52" s="271" t="s">
        <v>661</v>
      </c>
      <c r="D52" s="12">
        <v>50</v>
      </c>
      <c r="E52" s="11" t="s">
        <v>438</v>
      </c>
      <c r="F52" s="271"/>
      <c r="G52" s="271"/>
      <c r="H52" s="271"/>
      <c r="I52" s="271"/>
      <c r="O52" s="271"/>
      <c r="P52" s="271"/>
      <c r="Q52" s="271"/>
    </row>
    <row r="53" spans="1:17">
      <c r="A53" s="271"/>
      <c r="B53" s="12">
        <v>41</v>
      </c>
      <c r="C53" s="271" t="s">
        <v>662</v>
      </c>
      <c r="D53" s="12">
        <v>51</v>
      </c>
      <c r="E53" s="11" t="s">
        <v>503</v>
      </c>
      <c r="F53" s="271"/>
      <c r="G53" s="271"/>
      <c r="H53" s="271"/>
      <c r="I53" s="271"/>
      <c r="O53" s="271"/>
      <c r="P53" s="271"/>
      <c r="Q53" s="271"/>
    </row>
    <row r="54" spans="1:17">
      <c r="A54" s="271"/>
      <c r="B54" s="12">
        <v>42</v>
      </c>
      <c r="C54" s="271" t="s">
        <v>663</v>
      </c>
      <c r="D54" s="12">
        <v>52</v>
      </c>
      <c r="E54" s="11" t="s">
        <v>503</v>
      </c>
      <c r="F54" s="271"/>
      <c r="G54" s="271"/>
      <c r="H54" s="271"/>
      <c r="I54" s="271"/>
      <c r="O54" s="271"/>
      <c r="P54" s="271"/>
      <c r="Q54" s="271"/>
    </row>
    <row r="55" spans="1:17">
      <c r="A55" s="271"/>
      <c r="B55" s="12">
        <v>43</v>
      </c>
      <c r="C55" s="271" t="s">
        <v>664</v>
      </c>
      <c r="D55" s="12">
        <v>53</v>
      </c>
      <c r="E55" s="11" t="s">
        <v>438</v>
      </c>
      <c r="F55" s="271"/>
      <c r="G55" s="271"/>
      <c r="H55" s="271"/>
      <c r="I55" s="271"/>
      <c r="O55" s="271"/>
      <c r="P55" s="271"/>
      <c r="Q55" s="271"/>
    </row>
    <row r="56" spans="1:17">
      <c r="A56" s="271"/>
      <c r="B56" s="12">
        <v>44</v>
      </c>
      <c r="C56" s="271" t="s">
        <v>665</v>
      </c>
      <c r="D56" s="12">
        <v>54</v>
      </c>
      <c r="E56" s="11" t="s">
        <v>423</v>
      </c>
      <c r="F56" s="271"/>
      <c r="G56" s="271"/>
      <c r="H56" s="271"/>
      <c r="I56" s="271"/>
      <c r="O56" s="271"/>
      <c r="P56" s="271"/>
      <c r="Q56" s="271"/>
    </row>
    <row r="57" spans="1:17">
      <c r="A57" s="271"/>
      <c r="B57" s="12">
        <v>45</v>
      </c>
      <c r="C57" s="271" t="s">
        <v>666</v>
      </c>
      <c r="D57" s="12">
        <v>55</v>
      </c>
      <c r="E57" s="11" t="s">
        <v>505</v>
      </c>
      <c r="F57" s="271"/>
      <c r="G57" s="271"/>
      <c r="H57" s="271"/>
      <c r="I57" s="271"/>
      <c r="O57" s="271"/>
      <c r="P57" s="271"/>
      <c r="Q57" s="271"/>
    </row>
    <row r="58" spans="1:17">
      <c r="A58" s="271"/>
      <c r="B58" s="12">
        <v>46</v>
      </c>
      <c r="C58" s="271" t="s">
        <v>667</v>
      </c>
      <c r="D58" s="12">
        <v>56</v>
      </c>
      <c r="E58" s="11" t="s">
        <v>501</v>
      </c>
      <c r="F58" s="271"/>
      <c r="G58" s="271"/>
      <c r="H58" s="271"/>
      <c r="I58" s="271"/>
      <c r="O58" s="271"/>
      <c r="P58" s="271"/>
      <c r="Q58" s="271"/>
    </row>
    <row r="59" spans="1:17">
      <c r="A59" s="271"/>
      <c r="B59" s="12">
        <v>47</v>
      </c>
      <c r="C59" s="271" t="s">
        <v>668</v>
      </c>
      <c r="D59" s="12">
        <v>57</v>
      </c>
      <c r="E59" s="11" t="s">
        <v>438</v>
      </c>
      <c r="F59" s="271"/>
      <c r="G59" s="271"/>
      <c r="H59" s="271"/>
      <c r="I59" s="271"/>
      <c r="O59" s="271"/>
      <c r="P59" s="271"/>
      <c r="Q59" s="271"/>
    </row>
    <row r="60" spans="1:17">
      <c r="A60" s="271"/>
      <c r="B60" s="12">
        <v>48</v>
      </c>
      <c r="C60" s="271" t="s">
        <v>669</v>
      </c>
      <c r="D60" s="12">
        <v>58</v>
      </c>
      <c r="E60" s="18" t="s">
        <v>623</v>
      </c>
      <c r="F60" s="271"/>
      <c r="G60" s="271"/>
      <c r="H60" s="271"/>
      <c r="I60" s="271"/>
      <c r="O60" s="271"/>
      <c r="P60" s="271"/>
      <c r="Q60" s="271"/>
    </row>
    <row r="61" spans="1:17">
      <c r="A61" s="271"/>
      <c r="B61" s="12">
        <v>49</v>
      </c>
      <c r="C61" s="271" t="s">
        <v>670</v>
      </c>
      <c r="D61" s="12">
        <v>59</v>
      </c>
      <c r="E61" s="11" t="s">
        <v>438</v>
      </c>
      <c r="F61" s="271"/>
      <c r="G61" s="271"/>
      <c r="H61" s="271"/>
      <c r="I61" s="271"/>
      <c r="O61" s="271"/>
      <c r="P61" s="271"/>
      <c r="Q61" s="271"/>
    </row>
    <row r="62" spans="1:17">
      <c r="A62" s="271"/>
      <c r="B62" s="12">
        <v>50</v>
      </c>
      <c r="C62" s="271" t="s">
        <v>671</v>
      </c>
      <c r="D62" s="12">
        <v>60</v>
      </c>
      <c r="E62" s="11" t="s">
        <v>503</v>
      </c>
      <c r="F62" s="271"/>
      <c r="G62" s="271"/>
      <c r="H62" s="271"/>
      <c r="I62" s="271"/>
      <c r="O62" s="271"/>
      <c r="P62" s="271"/>
      <c r="Q62" s="271"/>
    </row>
    <row r="63" spans="1:17">
      <c r="A63" s="271"/>
      <c r="B63" s="12">
        <v>51</v>
      </c>
      <c r="C63" s="271" t="s">
        <v>501</v>
      </c>
      <c r="D63" s="12">
        <v>61</v>
      </c>
      <c r="E63" s="11" t="s">
        <v>501</v>
      </c>
      <c r="F63" s="271"/>
      <c r="G63" s="271"/>
      <c r="H63" s="271"/>
      <c r="I63" s="271"/>
      <c r="O63" s="271"/>
      <c r="P63" s="271"/>
      <c r="Q63" s="271"/>
    </row>
    <row r="64" spans="1:17">
      <c r="A64" s="271"/>
      <c r="B64" s="12">
        <v>52</v>
      </c>
      <c r="C64" s="271" t="s">
        <v>672</v>
      </c>
      <c r="D64" s="12">
        <v>62</v>
      </c>
      <c r="E64" s="11" t="s">
        <v>438</v>
      </c>
      <c r="F64" s="271"/>
      <c r="G64" s="271"/>
      <c r="H64" s="271"/>
      <c r="I64" s="271"/>
      <c r="O64" s="271"/>
      <c r="P64" s="271"/>
      <c r="Q64" s="271"/>
    </row>
    <row r="65" spans="1:17">
      <c r="A65" s="271"/>
      <c r="B65" s="12">
        <v>53</v>
      </c>
      <c r="C65" s="271" t="s">
        <v>673</v>
      </c>
      <c r="D65" s="12">
        <v>63</v>
      </c>
      <c r="E65" s="11" t="s">
        <v>505</v>
      </c>
      <c r="F65" s="271"/>
      <c r="G65" s="271"/>
      <c r="H65" s="271"/>
      <c r="I65" s="271"/>
      <c r="O65" s="271"/>
      <c r="P65" s="271"/>
      <c r="Q65" s="271"/>
    </row>
    <row r="66" spans="1:17">
      <c r="A66" s="271"/>
      <c r="B66" s="12">
        <v>54</v>
      </c>
      <c r="C66" s="271" t="s">
        <v>674</v>
      </c>
      <c r="D66" s="12">
        <v>64</v>
      </c>
      <c r="E66" s="11" t="s">
        <v>438</v>
      </c>
      <c r="F66" s="271"/>
      <c r="G66" s="271"/>
      <c r="H66" s="271"/>
      <c r="I66" s="271"/>
      <c r="O66" s="271"/>
      <c r="P66" s="271"/>
      <c r="Q66" s="271"/>
    </row>
    <row r="67" spans="1:17">
      <c r="A67" s="271"/>
      <c r="B67" s="12">
        <v>55</v>
      </c>
      <c r="C67" s="271" t="s">
        <v>675</v>
      </c>
      <c r="D67" s="12">
        <v>65</v>
      </c>
      <c r="E67" s="11" t="s">
        <v>502</v>
      </c>
      <c r="F67" s="271"/>
      <c r="G67" s="271"/>
      <c r="H67" s="271"/>
      <c r="I67" s="271"/>
      <c r="O67" s="271"/>
      <c r="P67" s="271"/>
      <c r="Q67" s="271"/>
    </row>
    <row r="68" spans="1:17">
      <c r="A68" s="271"/>
      <c r="B68" s="12">
        <v>56</v>
      </c>
      <c r="C68" s="271" t="s">
        <v>676</v>
      </c>
      <c r="D68" s="12">
        <v>66</v>
      </c>
      <c r="E68" s="11" t="s">
        <v>438</v>
      </c>
      <c r="F68" s="271"/>
      <c r="G68" s="271"/>
      <c r="H68" s="271"/>
      <c r="I68" s="271"/>
      <c r="O68" s="271"/>
      <c r="P68" s="271"/>
      <c r="Q68" s="271"/>
    </row>
    <row r="69" spans="1:17">
      <c r="A69" s="271"/>
      <c r="B69" s="12">
        <v>57</v>
      </c>
      <c r="C69" s="271" t="s">
        <v>476</v>
      </c>
      <c r="D69" s="12">
        <v>67</v>
      </c>
      <c r="E69" s="11" t="s">
        <v>501</v>
      </c>
      <c r="F69" s="271"/>
      <c r="G69" s="271"/>
      <c r="H69" s="271"/>
      <c r="I69" s="271"/>
      <c r="O69" s="271"/>
      <c r="P69" s="271"/>
      <c r="Q69" s="271"/>
    </row>
    <row r="70" spans="1:17">
      <c r="A70" s="271"/>
      <c r="B70" s="12">
        <v>58</v>
      </c>
      <c r="C70" s="271" t="s">
        <v>677</v>
      </c>
      <c r="D70" s="12">
        <v>69</v>
      </c>
      <c r="E70" s="11" t="s">
        <v>505</v>
      </c>
      <c r="F70" s="271"/>
      <c r="G70" s="271"/>
      <c r="H70" s="271"/>
      <c r="I70" s="271"/>
      <c r="O70" s="271"/>
      <c r="P70" s="271"/>
      <c r="Q70" s="271"/>
    </row>
    <row r="71" spans="1:17">
      <c r="A71" s="271"/>
      <c r="B71" s="12">
        <v>59</v>
      </c>
      <c r="C71" s="271" t="s">
        <v>678</v>
      </c>
      <c r="D71" s="12">
        <v>70</v>
      </c>
      <c r="E71" s="11" t="s">
        <v>505</v>
      </c>
      <c r="F71" s="271"/>
      <c r="G71" s="271"/>
      <c r="H71" s="271"/>
      <c r="I71" s="271"/>
      <c r="O71" s="271"/>
      <c r="P71" s="271"/>
      <c r="Q71" s="271"/>
    </row>
    <row r="72" spans="1:17">
      <c r="A72" s="271"/>
      <c r="B72" s="12">
        <v>60</v>
      </c>
      <c r="C72" s="271" t="s">
        <v>679</v>
      </c>
      <c r="D72" s="12">
        <v>71</v>
      </c>
      <c r="E72" s="11" t="s">
        <v>423</v>
      </c>
      <c r="F72" s="271"/>
      <c r="G72" s="271"/>
      <c r="H72" s="271"/>
      <c r="I72" s="271"/>
      <c r="O72" s="271"/>
      <c r="P72" s="271"/>
      <c r="Q72" s="271"/>
    </row>
    <row r="73" spans="1:17">
      <c r="A73" s="271"/>
      <c r="B73" s="12">
        <v>61</v>
      </c>
      <c r="C73" s="271" t="s">
        <v>680</v>
      </c>
      <c r="D73" s="12">
        <v>72</v>
      </c>
      <c r="E73" s="11" t="s">
        <v>503</v>
      </c>
      <c r="F73" s="271"/>
      <c r="G73" s="271"/>
      <c r="H73" s="271"/>
      <c r="I73" s="271"/>
      <c r="O73" s="271"/>
      <c r="P73" s="271"/>
      <c r="Q73" s="271"/>
    </row>
    <row r="74" spans="1:17">
      <c r="A74" s="271"/>
      <c r="B74" s="12">
        <v>62</v>
      </c>
      <c r="C74" s="271" t="s">
        <v>681</v>
      </c>
      <c r="D74" s="12">
        <v>73</v>
      </c>
      <c r="E74" s="11" t="s">
        <v>423</v>
      </c>
      <c r="F74" s="271"/>
      <c r="G74" s="271"/>
      <c r="H74" s="271"/>
      <c r="I74" s="271"/>
      <c r="O74" s="271"/>
      <c r="P74" s="271"/>
      <c r="Q74" s="271"/>
    </row>
    <row r="75" spans="1:17">
      <c r="A75" s="271"/>
      <c r="B75" s="12">
        <v>63</v>
      </c>
      <c r="C75" s="271" t="s">
        <v>682</v>
      </c>
      <c r="D75" s="12">
        <v>74</v>
      </c>
      <c r="E75" s="11" t="s">
        <v>626</v>
      </c>
      <c r="F75" s="271"/>
      <c r="G75" s="271"/>
      <c r="H75" s="271"/>
      <c r="I75" s="271"/>
      <c r="O75" s="271"/>
      <c r="P75" s="271"/>
      <c r="Q75" s="271"/>
    </row>
    <row r="76" spans="1:17">
      <c r="A76" s="271"/>
      <c r="B76" s="12">
        <v>64</v>
      </c>
      <c r="C76" s="271" t="s">
        <v>438</v>
      </c>
      <c r="D76" s="12">
        <v>75</v>
      </c>
      <c r="E76" s="11" t="s">
        <v>438</v>
      </c>
      <c r="F76" s="271"/>
      <c r="G76" s="271"/>
      <c r="H76" s="271"/>
      <c r="I76" s="271"/>
      <c r="O76" s="271"/>
      <c r="P76" s="271"/>
      <c r="Q76" s="271"/>
    </row>
    <row r="77" spans="1:17">
      <c r="A77" s="271"/>
      <c r="B77" s="12">
        <v>65</v>
      </c>
      <c r="C77" s="271" t="s">
        <v>683</v>
      </c>
      <c r="D77" s="12">
        <v>85</v>
      </c>
      <c r="E77" s="11" t="s">
        <v>438</v>
      </c>
      <c r="F77" s="271"/>
      <c r="G77" s="271"/>
      <c r="H77" s="271"/>
      <c r="I77" s="271"/>
      <c r="O77" s="271"/>
      <c r="P77" s="271"/>
      <c r="Q77" s="271"/>
    </row>
    <row r="78" spans="1:17">
      <c r="A78" s="271"/>
      <c r="B78" s="12">
        <v>66</v>
      </c>
      <c r="C78" s="271" t="s">
        <v>684</v>
      </c>
      <c r="D78" s="12">
        <v>86</v>
      </c>
      <c r="E78" s="11" t="s">
        <v>502</v>
      </c>
      <c r="F78" s="271"/>
      <c r="G78" s="271"/>
      <c r="H78" s="271"/>
      <c r="I78" s="271"/>
      <c r="O78" s="271"/>
      <c r="P78" s="271"/>
      <c r="Q78" s="271"/>
    </row>
    <row r="79" spans="1:17">
      <c r="A79" s="271"/>
      <c r="B79" s="12">
        <v>67</v>
      </c>
      <c r="C79" s="271" t="s">
        <v>685</v>
      </c>
      <c r="D79" s="12">
        <v>87</v>
      </c>
      <c r="E79" s="18" t="s">
        <v>623</v>
      </c>
      <c r="F79" s="271"/>
      <c r="G79" s="271"/>
      <c r="H79" s="271"/>
      <c r="I79" s="271"/>
      <c r="O79" s="271"/>
      <c r="P79" s="271"/>
      <c r="Q79" s="271"/>
    </row>
    <row r="80" spans="1:17">
      <c r="A80" s="271"/>
      <c r="B80" s="12">
        <v>68</v>
      </c>
      <c r="C80" s="271" t="s">
        <v>686</v>
      </c>
      <c r="D80" s="12">
        <v>88</v>
      </c>
      <c r="E80" s="11" t="s">
        <v>502</v>
      </c>
      <c r="F80" s="271"/>
      <c r="G80" s="271"/>
      <c r="H80" s="271"/>
      <c r="I80" s="271"/>
      <c r="O80" s="271"/>
      <c r="P80" s="271"/>
      <c r="Q80" s="271"/>
    </row>
    <row r="81" spans="1:17">
      <c r="A81" s="271"/>
      <c r="B81" s="12">
        <v>69</v>
      </c>
      <c r="C81" s="271" t="s">
        <v>687</v>
      </c>
      <c r="D81" s="12">
        <v>89</v>
      </c>
      <c r="E81" s="11" t="s">
        <v>626</v>
      </c>
      <c r="F81" s="271"/>
      <c r="G81" s="271"/>
      <c r="H81" s="271"/>
      <c r="I81" s="271"/>
      <c r="O81" s="271"/>
      <c r="P81" s="271"/>
      <c r="Q81" s="271"/>
    </row>
    <row r="82" spans="1:17">
      <c r="A82" s="271"/>
      <c r="B82" s="12">
        <v>70</v>
      </c>
      <c r="C82" s="271" t="s">
        <v>688</v>
      </c>
      <c r="D82" s="12">
        <v>90</v>
      </c>
      <c r="E82" s="11" t="s">
        <v>503</v>
      </c>
      <c r="F82" s="271"/>
      <c r="G82" s="271"/>
      <c r="H82" s="271"/>
      <c r="I82" s="271"/>
      <c r="O82" s="271"/>
      <c r="P82" s="271"/>
      <c r="Q82" s="271"/>
    </row>
    <row r="83" spans="1:17">
      <c r="A83" s="271"/>
      <c r="B83" s="12">
        <v>71</v>
      </c>
      <c r="C83" s="271" t="s">
        <v>689</v>
      </c>
      <c r="D83" s="12">
        <v>91</v>
      </c>
      <c r="E83" s="11" t="s">
        <v>505</v>
      </c>
      <c r="F83" s="271"/>
      <c r="G83" s="271"/>
      <c r="H83" s="271"/>
      <c r="I83" s="271"/>
      <c r="O83" s="271"/>
      <c r="P83" s="271"/>
      <c r="Q83" s="271"/>
    </row>
    <row r="84" spans="1:17">
      <c r="A84" s="271"/>
      <c r="B84" s="12">
        <v>72</v>
      </c>
      <c r="C84" s="271" t="s">
        <v>690</v>
      </c>
      <c r="D84" s="12">
        <v>92</v>
      </c>
      <c r="E84" s="11" t="s">
        <v>505</v>
      </c>
      <c r="F84" s="271"/>
      <c r="G84" s="271"/>
      <c r="H84" s="271"/>
      <c r="I84" s="271"/>
      <c r="O84" s="271"/>
      <c r="P84" s="271"/>
      <c r="Q84" s="271"/>
    </row>
    <row r="85" spans="1:17">
      <c r="A85" s="271"/>
      <c r="B85" s="12">
        <v>73</v>
      </c>
      <c r="C85" s="271" t="s">
        <v>691</v>
      </c>
      <c r="D85" s="12">
        <v>93</v>
      </c>
      <c r="E85" s="11" t="s">
        <v>505</v>
      </c>
      <c r="F85" s="271"/>
      <c r="G85" s="271"/>
      <c r="H85" s="271"/>
      <c r="I85" s="271"/>
      <c r="O85" s="271"/>
      <c r="P85" s="271"/>
      <c r="Q85" s="271"/>
    </row>
    <row r="86" spans="1:17">
      <c r="A86" s="271"/>
      <c r="B86" s="12">
        <v>74</v>
      </c>
      <c r="C86" s="271" t="s">
        <v>502</v>
      </c>
      <c r="D86" s="12">
        <v>94</v>
      </c>
      <c r="E86" s="11" t="s">
        <v>502</v>
      </c>
      <c r="F86" s="271"/>
      <c r="G86" s="271"/>
      <c r="H86" s="271"/>
      <c r="I86" s="271"/>
      <c r="O86" s="271"/>
      <c r="P86" s="271"/>
      <c r="Q86" s="271"/>
    </row>
    <row r="87" spans="1:17">
      <c r="A87" s="271"/>
      <c r="B87" s="12">
        <v>75</v>
      </c>
      <c r="C87" s="271" t="s">
        <v>692</v>
      </c>
      <c r="D87" s="12">
        <v>95</v>
      </c>
      <c r="E87" s="11" t="s">
        <v>505</v>
      </c>
      <c r="F87" s="271"/>
      <c r="G87" s="271"/>
      <c r="H87" s="271"/>
      <c r="I87" s="271"/>
      <c r="O87" s="271"/>
      <c r="P87" s="271"/>
      <c r="Q87" s="271"/>
    </row>
    <row r="88" spans="1:17">
      <c r="A88" s="271"/>
      <c r="B88" s="12">
        <v>76</v>
      </c>
      <c r="C88" s="271" t="s">
        <v>693</v>
      </c>
      <c r="D88" s="12">
        <v>96</v>
      </c>
      <c r="E88" s="11" t="s">
        <v>423</v>
      </c>
      <c r="F88" s="271"/>
      <c r="G88" s="271"/>
      <c r="H88" s="271"/>
      <c r="I88" s="271"/>
      <c r="O88" s="271"/>
      <c r="P88" s="271"/>
      <c r="Q88" s="271"/>
    </row>
    <row r="89" spans="1:17">
      <c r="A89" s="271"/>
      <c r="B89" s="12">
        <v>77</v>
      </c>
      <c r="C89" s="271" t="s">
        <v>694</v>
      </c>
      <c r="D89" s="12">
        <v>97</v>
      </c>
      <c r="E89" s="11" t="s">
        <v>438</v>
      </c>
      <c r="F89" s="271"/>
      <c r="G89" s="271"/>
      <c r="H89" s="271"/>
      <c r="I89" s="271"/>
      <c r="O89" s="271"/>
      <c r="P89" s="271"/>
      <c r="Q89" s="271"/>
    </row>
    <row r="90" spans="1:17">
      <c r="A90" s="271"/>
      <c r="B90" s="12">
        <v>78</v>
      </c>
      <c r="C90" s="271" t="s">
        <v>695</v>
      </c>
      <c r="D90" s="12">
        <v>98</v>
      </c>
      <c r="E90" s="18" t="s">
        <v>623</v>
      </c>
      <c r="F90" s="271"/>
      <c r="G90" s="271"/>
      <c r="H90" s="271"/>
      <c r="I90" s="271"/>
      <c r="O90" s="271"/>
      <c r="P90" s="271"/>
      <c r="Q90" s="271"/>
    </row>
    <row r="91" spans="1:17">
      <c r="A91" s="271"/>
      <c r="B91" s="12">
        <v>79</v>
      </c>
      <c r="C91" s="271" t="s">
        <v>696</v>
      </c>
      <c r="D91" s="12">
        <v>99</v>
      </c>
      <c r="E91" s="11" t="s">
        <v>438</v>
      </c>
      <c r="F91" s="271"/>
      <c r="G91" s="271"/>
      <c r="H91" s="271"/>
      <c r="I91" s="271"/>
      <c r="O91" s="271"/>
      <c r="P91" s="271"/>
      <c r="Q91" s="271"/>
    </row>
    <row r="92" spans="1:17">
      <c r="A92" s="271"/>
      <c r="B92" s="12">
        <v>80</v>
      </c>
      <c r="C92" s="271" t="s">
        <v>697</v>
      </c>
      <c r="D92" s="12">
        <v>100</v>
      </c>
      <c r="E92" s="11" t="s">
        <v>423</v>
      </c>
      <c r="F92" s="271"/>
      <c r="G92" s="271"/>
      <c r="H92" s="271"/>
      <c r="I92" s="271"/>
      <c r="O92" s="271"/>
      <c r="P92" s="271"/>
      <c r="Q92" s="271"/>
    </row>
    <row r="93" spans="1:17">
      <c r="A93" s="271"/>
      <c r="B93" s="12">
        <v>81</v>
      </c>
      <c r="C93" s="271" t="s">
        <v>698</v>
      </c>
      <c r="D93" s="12">
        <v>102</v>
      </c>
      <c r="E93" s="11" t="s">
        <v>423</v>
      </c>
      <c r="F93" s="271"/>
      <c r="G93" s="271"/>
      <c r="H93" s="271"/>
      <c r="I93" s="271"/>
      <c r="O93" s="271"/>
      <c r="P93" s="271"/>
      <c r="Q93" s="271"/>
    </row>
    <row r="94" spans="1:17">
      <c r="A94" s="271"/>
      <c r="B94" s="12">
        <v>82</v>
      </c>
      <c r="C94" s="271" t="s">
        <v>699</v>
      </c>
      <c r="D94" s="12">
        <v>103</v>
      </c>
      <c r="E94" s="11" t="s">
        <v>503</v>
      </c>
      <c r="F94" s="271"/>
      <c r="G94" s="271"/>
      <c r="H94" s="271"/>
      <c r="I94" s="271"/>
      <c r="O94" s="271"/>
      <c r="P94" s="271"/>
      <c r="Q94" s="271"/>
    </row>
    <row r="95" spans="1:17">
      <c r="A95" s="271"/>
      <c r="B95" s="12">
        <v>83</v>
      </c>
      <c r="C95" s="271" t="s">
        <v>500</v>
      </c>
      <c r="D95" s="12">
        <v>104</v>
      </c>
      <c r="E95" s="11" t="s">
        <v>503</v>
      </c>
      <c r="F95" s="271"/>
      <c r="G95" s="271"/>
      <c r="H95" s="271"/>
      <c r="I95" s="271"/>
      <c r="O95" s="271"/>
      <c r="P95" s="271"/>
      <c r="Q95" s="271"/>
    </row>
    <row r="96" spans="1:17">
      <c r="A96" s="271"/>
      <c r="B96" s="12">
        <v>84</v>
      </c>
      <c r="C96" s="271" t="s">
        <v>504</v>
      </c>
      <c r="D96" s="12">
        <v>105</v>
      </c>
      <c r="E96" s="11" t="s">
        <v>423</v>
      </c>
      <c r="F96" s="271"/>
      <c r="G96" s="271"/>
      <c r="H96" s="271"/>
      <c r="I96" s="271"/>
      <c r="O96" s="271"/>
      <c r="P96" s="271"/>
      <c r="Q96" s="271"/>
    </row>
    <row r="97" spans="1:17">
      <c r="A97" s="271"/>
      <c r="B97" s="12">
        <v>85</v>
      </c>
      <c r="C97" s="271" t="s">
        <v>700</v>
      </c>
      <c r="D97" s="12">
        <v>106</v>
      </c>
      <c r="E97" s="11" t="s">
        <v>501</v>
      </c>
      <c r="F97" s="271"/>
      <c r="G97" s="271"/>
      <c r="H97" s="271"/>
      <c r="I97" s="271"/>
      <c r="O97" s="271"/>
      <c r="P97" s="271"/>
      <c r="Q97" s="271"/>
    </row>
    <row r="98" spans="1:17">
      <c r="A98" s="271"/>
      <c r="B98" s="12">
        <v>86</v>
      </c>
      <c r="C98" s="271" t="s">
        <v>478</v>
      </c>
      <c r="D98" s="12">
        <v>107</v>
      </c>
      <c r="E98" s="11" t="s">
        <v>505</v>
      </c>
      <c r="F98" s="271"/>
      <c r="G98" s="271"/>
      <c r="H98" s="271"/>
      <c r="I98" s="271"/>
      <c r="O98" s="271"/>
      <c r="P98" s="271"/>
      <c r="Q98" s="271"/>
    </row>
    <row r="99" spans="1:17">
      <c r="A99" s="271"/>
      <c r="B99" s="12">
        <v>87</v>
      </c>
      <c r="C99" s="271" t="s">
        <v>701</v>
      </c>
      <c r="D99" s="12">
        <v>108</v>
      </c>
      <c r="E99" s="11" t="s">
        <v>502</v>
      </c>
      <c r="F99" s="271"/>
      <c r="G99" s="271"/>
      <c r="H99" s="271"/>
      <c r="I99" s="271"/>
      <c r="O99" s="271"/>
      <c r="P99" s="271"/>
      <c r="Q99" s="271"/>
    </row>
    <row r="100" spans="1:17">
      <c r="A100" s="271"/>
      <c r="B100" s="12">
        <v>88</v>
      </c>
      <c r="C100" s="271" t="s">
        <v>702</v>
      </c>
      <c r="D100" s="12">
        <v>109</v>
      </c>
      <c r="E100" s="11" t="s">
        <v>423</v>
      </c>
      <c r="F100" s="271"/>
      <c r="G100" s="271"/>
      <c r="H100" s="271"/>
      <c r="I100" s="271"/>
      <c r="O100" s="271"/>
      <c r="P100" s="271"/>
      <c r="Q100" s="271"/>
    </row>
    <row r="101" spans="1:17">
      <c r="A101" s="271"/>
      <c r="B101" s="12">
        <v>89</v>
      </c>
      <c r="C101" s="271" t="s">
        <v>703</v>
      </c>
      <c r="D101" s="12">
        <v>110</v>
      </c>
      <c r="E101" s="11" t="s">
        <v>438</v>
      </c>
      <c r="F101" s="271"/>
      <c r="G101" s="271"/>
      <c r="H101" s="271"/>
      <c r="I101" s="271"/>
      <c r="O101" s="271"/>
      <c r="P101" s="271"/>
      <c r="Q101" s="271"/>
    </row>
    <row r="102" spans="1:17">
      <c r="A102" s="271"/>
      <c r="B102" s="12">
        <v>90</v>
      </c>
      <c r="C102" s="271" t="s">
        <v>704</v>
      </c>
      <c r="D102" s="12">
        <v>114</v>
      </c>
      <c r="E102" s="11" t="s">
        <v>501</v>
      </c>
      <c r="F102" s="271"/>
      <c r="G102" s="271"/>
      <c r="H102" s="271"/>
      <c r="I102" s="271"/>
      <c r="O102" s="271"/>
      <c r="P102" s="271"/>
      <c r="Q102" s="271"/>
    </row>
    <row r="103" spans="1:17">
      <c r="A103" s="271"/>
      <c r="B103" s="12">
        <v>91</v>
      </c>
      <c r="C103" s="271" t="s">
        <v>705</v>
      </c>
      <c r="D103" s="12">
        <v>115</v>
      </c>
      <c r="E103" s="11" t="s">
        <v>501</v>
      </c>
      <c r="F103" s="271"/>
      <c r="G103" s="271"/>
      <c r="H103" s="271"/>
      <c r="I103" s="271"/>
      <c r="O103" s="271"/>
      <c r="P103" s="271"/>
      <c r="Q103" s="271"/>
    </row>
    <row r="104" spans="1:17">
      <c r="A104" s="271"/>
      <c r="B104" s="12">
        <v>92</v>
      </c>
      <c r="C104" s="271" t="s">
        <v>706</v>
      </c>
      <c r="D104" s="12">
        <v>116</v>
      </c>
      <c r="E104" s="11" t="s">
        <v>502</v>
      </c>
      <c r="F104" s="271"/>
      <c r="G104" s="271"/>
      <c r="H104" s="271"/>
      <c r="I104" s="271"/>
      <c r="O104" s="271"/>
      <c r="P104" s="271"/>
      <c r="Q104" s="271"/>
    </row>
    <row r="105" spans="1:17">
      <c r="A105" s="271"/>
      <c r="B105" s="12">
        <v>93</v>
      </c>
      <c r="C105" s="271" t="s">
        <v>423</v>
      </c>
      <c r="D105" s="12">
        <v>117</v>
      </c>
      <c r="E105" s="11" t="s">
        <v>423</v>
      </c>
      <c r="F105" s="271"/>
      <c r="G105" s="271"/>
      <c r="H105" s="271"/>
      <c r="I105" s="271"/>
      <c r="O105" s="271"/>
      <c r="P105" s="271"/>
      <c r="Q105" s="271"/>
    </row>
    <row r="106" spans="1:17">
      <c r="A106" s="271"/>
      <c r="B106" s="12">
        <v>94</v>
      </c>
      <c r="C106" s="271" t="s">
        <v>707</v>
      </c>
      <c r="D106" s="12">
        <v>127</v>
      </c>
      <c r="E106" s="11" t="s">
        <v>438</v>
      </c>
      <c r="F106" s="271"/>
      <c r="G106" s="271"/>
      <c r="H106" s="271"/>
      <c r="I106" s="271"/>
      <c r="O106" s="271"/>
      <c r="P106" s="271"/>
      <c r="Q106" s="271"/>
    </row>
    <row r="107" spans="1:17">
      <c r="A107" s="271"/>
      <c r="B107" s="12">
        <v>95</v>
      </c>
      <c r="C107" s="271" t="s">
        <v>505</v>
      </c>
      <c r="D107" s="12">
        <v>128</v>
      </c>
      <c r="E107" s="11" t="s">
        <v>505</v>
      </c>
      <c r="F107" s="271"/>
      <c r="G107" s="271"/>
      <c r="H107" s="271"/>
      <c r="I107" s="271"/>
      <c r="O107" s="271"/>
      <c r="P107" s="271"/>
      <c r="Q107" s="271"/>
    </row>
    <row r="108" spans="1:17">
      <c r="A108" s="271"/>
      <c r="B108" s="12">
        <v>96</v>
      </c>
      <c r="C108" s="271" t="s">
        <v>708</v>
      </c>
      <c r="D108" s="12">
        <v>130</v>
      </c>
      <c r="E108" s="11" t="s">
        <v>502</v>
      </c>
      <c r="F108" s="271"/>
      <c r="G108" s="271"/>
      <c r="H108" s="271"/>
      <c r="I108" s="271"/>
      <c r="O108" s="271"/>
      <c r="P108" s="271"/>
      <c r="Q108" s="271"/>
    </row>
    <row r="109" spans="1:17">
      <c r="A109" s="271"/>
      <c r="B109" s="12">
        <v>97</v>
      </c>
      <c r="C109" s="271" t="s">
        <v>709</v>
      </c>
      <c r="D109" s="12">
        <v>131</v>
      </c>
      <c r="E109" s="11" t="s">
        <v>501</v>
      </c>
      <c r="F109" s="271"/>
      <c r="G109" s="271"/>
      <c r="H109" s="271"/>
      <c r="I109" s="271"/>
      <c r="O109" s="271"/>
      <c r="P109" s="271"/>
      <c r="Q109" s="271"/>
    </row>
    <row r="110" spans="1:17">
      <c r="A110" s="271"/>
      <c r="B110" s="12">
        <v>98</v>
      </c>
      <c r="C110" s="271" t="s">
        <v>710</v>
      </c>
      <c r="D110" s="12">
        <v>132</v>
      </c>
      <c r="E110" s="11" t="s">
        <v>502</v>
      </c>
      <c r="F110" s="271"/>
      <c r="G110" s="271"/>
      <c r="H110" s="271"/>
      <c r="I110" s="271"/>
      <c r="O110" s="271"/>
      <c r="P110" s="271"/>
      <c r="Q110" s="271"/>
    </row>
    <row r="111" spans="1:17">
      <c r="A111" s="271"/>
      <c r="B111" s="12">
        <v>99</v>
      </c>
      <c r="C111" s="271" t="s">
        <v>711</v>
      </c>
      <c r="D111" s="12">
        <v>133</v>
      </c>
      <c r="E111" s="11" t="s">
        <v>423</v>
      </c>
      <c r="F111" s="271"/>
      <c r="G111" s="271"/>
      <c r="H111" s="271"/>
      <c r="I111" s="271"/>
      <c r="O111" s="271"/>
      <c r="P111" s="271"/>
      <c r="Q111" s="271"/>
    </row>
    <row r="112" spans="1:17">
      <c r="A112" s="271"/>
      <c r="B112" s="12">
        <v>100</v>
      </c>
      <c r="C112" s="271" t="s">
        <v>712</v>
      </c>
      <c r="D112" s="12">
        <v>134</v>
      </c>
      <c r="E112" s="11" t="s">
        <v>502</v>
      </c>
      <c r="F112" s="271"/>
      <c r="G112" s="271"/>
      <c r="H112" s="271"/>
      <c r="I112" s="271"/>
      <c r="O112" s="271"/>
      <c r="P112" s="271"/>
      <c r="Q112" s="271"/>
    </row>
    <row r="113" spans="1:17">
      <c r="A113" s="271"/>
      <c r="B113" s="16">
        <v>101</v>
      </c>
      <c r="C113" s="271" t="s">
        <v>713</v>
      </c>
      <c r="D113" s="12">
        <v>135</v>
      </c>
      <c r="E113" s="11" t="s">
        <v>423</v>
      </c>
      <c r="F113" s="271"/>
      <c r="G113" s="271"/>
      <c r="H113" s="271"/>
      <c r="I113" s="271"/>
      <c r="O113" s="271"/>
      <c r="P113" s="271"/>
      <c r="Q113" s="271"/>
    </row>
    <row r="114" spans="1:17">
      <c r="A114" s="271"/>
      <c r="B114" s="12">
        <v>102</v>
      </c>
      <c r="C114" s="271" t="s">
        <v>714</v>
      </c>
      <c r="D114" s="12">
        <v>136</v>
      </c>
      <c r="E114" s="11" t="s">
        <v>505</v>
      </c>
      <c r="F114" s="271"/>
      <c r="G114" s="271"/>
      <c r="H114" s="271"/>
      <c r="I114" s="271"/>
      <c r="O114" s="271"/>
      <c r="P114" s="271"/>
      <c r="Q114" s="271"/>
    </row>
    <row r="115" spans="1:17">
      <c r="A115" s="271"/>
      <c r="B115" s="12">
        <v>103</v>
      </c>
      <c r="C115" s="271" t="s">
        <v>715</v>
      </c>
      <c r="D115" s="12">
        <v>137</v>
      </c>
      <c r="E115" s="11" t="s">
        <v>501</v>
      </c>
      <c r="F115" s="271"/>
      <c r="G115" s="271"/>
      <c r="H115" s="271"/>
      <c r="I115" s="271"/>
      <c r="O115" s="271"/>
      <c r="P115" s="271"/>
      <c r="Q115" s="271"/>
    </row>
    <row r="116" spans="1:17">
      <c r="A116" s="271"/>
      <c r="B116" s="12">
        <v>104</v>
      </c>
      <c r="C116" s="271" t="s">
        <v>496</v>
      </c>
      <c r="D116" s="12">
        <v>139</v>
      </c>
      <c r="E116" s="11" t="s">
        <v>505</v>
      </c>
      <c r="F116" s="271"/>
      <c r="G116" s="271"/>
      <c r="H116" s="271"/>
      <c r="I116" s="271"/>
      <c r="O116" s="271"/>
      <c r="P116" s="271"/>
      <c r="Q116" s="271"/>
    </row>
    <row r="117" spans="1:17">
      <c r="A117" s="271"/>
      <c r="B117" s="12">
        <v>105</v>
      </c>
      <c r="C117" s="271" t="s">
        <v>716</v>
      </c>
      <c r="D117" s="12">
        <v>141</v>
      </c>
      <c r="E117" s="11" t="s">
        <v>505</v>
      </c>
      <c r="F117" s="271"/>
      <c r="G117" s="271"/>
      <c r="H117" s="271"/>
      <c r="I117" s="271"/>
      <c r="O117" s="271"/>
      <c r="P117" s="271"/>
      <c r="Q117" s="271"/>
    </row>
    <row r="118" spans="1:17">
      <c r="A118" s="271"/>
      <c r="B118" s="12">
        <v>106</v>
      </c>
      <c r="C118" s="271" t="s">
        <v>717</v>
      </c>
      <c r="D118" s="12">
        <v>142</v>
      </c>
      <c r="E118" s="11" t="s">
        <v>503</v>
      </c>
      <c r="F118" s="271"/>
      <c r="G118" s="271"/>
      <c r="H118" s="271"/>
      <c r="I118" s="271"/>
      <c r="O118" s="271"/>
      <c r="P118" s="271"/>
      <c r="Q118" s="271"/>
    </row>
    <row r="119" spans="1:17">
      <c r="A119" s="271"/>
      <c r="B119" s="12">
        <v>107</v>
      </c>
      <c r="C119" s="271" t="s">
        <v>718</v>
      </c>
      <c r="D119" s="12">
        <v>143</v>
      </c>
      <c r="E119" s="11" t="s">
        <v>423</v>
      </c>
      <c r="F119" s="271"/>
      <c r="G119" s="271"/>
      <c r="H119" s="271"/>
      <c r="I119" s="271"/>
      <c r="O119" s="271"/>
      <c r="P119" s="271"/>
      <c r="Q119" s="271"/>
    </row>
    <row r="120" spans="1:17">
      <c r="A120" s="271"/>
      <c r="B120" s="12">
        <v>108</v>
      </c>
      <c r="C120" s="271" t="s">
        <v>719</v>
      </c>
      <c r="D120" s="12">
        <v>144</v>
      </c>
      <c r="E120" s="11" t="s">
        <v>423</v>
      </c>
      <c r="F120" s="271"/>
      <c r="G120" s="271"/>
      <c r="H120" s="271"/>
      <c r="I120" s="271"/>
      <c r="O120" s="271"/>
      <c r="P120" s="271"/>
      <c r="Q120" s="271"/>
    </row>
    <row r="121" spans="1:17">
      <c r="A121" s="271"/>
      <c r="B121" s="12">
        <v>109</v>
      </c>
      <c r="C121" s="271" t="s">
        <v>720</v>
      </c>
      <c r="D121" s="12">
        <v>145</v>
      </c>
      <c r="E121" s="11" t="s">
        <v>626</v>
      </c>
      <c r="F121" s="271"/>
      <c r="G121" s="271"/>
      <c r="H121" s="271"/>
      <c r="I121" s="271"/>
      <c r="O121" s="271"/>
      <c r="P121" s="271"/>
      <c r="Q121" s="271"/>
    </row>
    <row r="122" spans="1:17">
      <c r="A122" s="271"/>
      <c r="B122" s="12">
        <v>110</v>
      </c>
      <c r="C122" s="271" t="s">
        <v>721</v>
      </c>
      <c r="D122" s="12">
        <v>146</v>
      </c>
      <c r="E122" s="11" t="s">
        <v>438</v>
      </c>
      <c r="F122" s="271"/>
      <c r="G122" s="271"/>
      <c r="H122" s="271"/>
      <c r="I122" s="271"/>
      <c r="O122" s="271"/>
      <c r="P122" s="271"/>
      <c r="Q122" s="271"/>
    </row>
    <row r="123" spans="1:17">
      <c r="A123" s="271"/>
      <c r="B123" s="12">
        <v>111</v>
      </c>
      <c r="C123" s="271" t="s">
        <v>722</v>
      </c>
      <c r="D123" s="12">
        <v>147</v>
      </c>
      <c r="E123" s="11" t="s">
        <v>502</v>
      </c>
      <c r="F123" s="271"/>
      <c r="G123" s="271"/>
      <c r="H123" s="271"/>
      <c r="I123" s="271"/>
      <c r="O123" s="271"/>
      <c r="P123" s="271"/>
      <c r="Q123" s="271"/>
    </row>
    <row r="124" spans="1:17">
      <c r="A124" s="271"/>
      <c r="B124" s="12">
        <v>112</v>
      </c>
      <c r="C124" s="271" t="s">
        <v>723</v>
      </c>
      <c r="D124" s="12">
        <v>148</v>
      </c>
      <c r="E124" s="11" t="s">
        <v>626</v>
      </c>
      <c r="F124" s="271"/>
      <c r="G124" s="271"/>
      <c r="H124" s="271"/>
      <c r="I124" s="271"/>
      <c r="O124" s="271"/>
      <c r="P124" s="271"/>
      <c r="Q124" s="271"/>
    </row>
    <row r="125" spans="1:17">
      <c r="A125" s="271"/>
      <c r="B125" s="12">
        <v>113</v>
      </c>
      <c r="C125" s="271" t="s">
        <v>724</v>
      </c>
      <c r="D125" s="12">
        <v>149</v>
      </c>
      <c r="E125" s="11" t="s">
        <v>503</v>
      </c>
      <c r="F125" s="271"/>
      <c r="G125" s="271"/>
      <c r="H125" s="271"/>
      <c r="I125" s="271"/>
      <c r="O125" s="271"/>
      <c r="P125" s="271"/>
      <c r="Q125" s="271"/>
    </row>
    <row r="126" spans="1:17">
      <c r="A126" s="271"/>
      <c r="B126" s="12">
        <v>114</v>
      </c>
      <c r="C126" s="271" t="s">
        <v>528</v>
      </c>
      <c r="D126" s="12">
        <v>150</v>
      </c>
      <c r="E126" s="11" t="s">
        <v>505</v>
      </c>
      <c r="F126" s="271"/>
      <c r="G126" s="271"/>
      <c r="H126" s="271"/>
      <c r="I126" s="271"/>
      <c r="O126" s="271"/>
      <c r="P126" s="271"/>
      <c r="Q126" s="271"/>
    </row>
    <row r="127" spans="1:17">
      <c r="A127" s="271"/>
      <c r="B127" s="12">
        <v>115</v>
      </c>
      <c r="C127" s="271" t="s">
        <v>725</v>
      </c>
      <c r="D127" s="12">
        <v>151</v>
      </c>
      <c r="E127" s="11" t="s">
        <v>423</v>
      </c>
      <c r="F127" s="271"/>
      <c r="G127" s="271"/>
      <c r="H127" s="271"/>
      <c r="I127" s="271"/>
      <c r="O127" s="271"/>
      <c r="P127" s="271"/>
      <c r="Q127" s="271"/>
    </row>
    <row r="128" spans="1:17">
      <c r="A128" s="271"/>
      <c r="B128" s="12">
        <v>116</v>
      </c>
      <c r="C128" s="271" t="s">
        <v>726</v>
      </c>
      <c r="D128" s="12">
        <v>152</v>
      </c>
      <c r="E128" s="11" t="s">
        <v>626</v>
      </c>
      <c r="F128" s="271"/>
      <c r="G128" s="271"/>
      <c r="H128" s="271"/>
      <c r="I128" s="271"/>
      <c r="O128" s="271"/>
      <c r="P128" s="271"/>
      <c r="Q128" s="271"/>
    </row>
    <row r="129" spans="1:17">
      <c r="A129" s="271"/>
      <c r="B129" s="12">
        <v>117</v>
      </c>
      <c r="C129" s="271" t="s">
        <v>727</v>
      </c>
      <c r="D129" s="12">
        <v>153</v>
      </c>
      <c r="E129" s="11" t="s">
        <v>501</v>
      </c>
      <c r="F129" s="271"/>
      <c r="G129" s="271"/>
      <c r="H129" s="271"/>
      <c r="I129" s="271"/>
      <c r="O129" s="271"/>
      <c r="P129" s="271"/>
      <c r="Q129" s="271"/>
    </row>
    <row r="130" spans="1:17">
      <c r="A130" s="271"/>
      <c r="B130" s="12">
        <v>118</v>
      </c>
      <c r="C130" s="271" t="s">
        <v>728</v>
      </c>
      <c r="D130" s="12">
        <v>154</v>
      </c>
      <c r="E130" s="11" t="s">
        <v>501</v>
      </c>
      <c r="F130" s="271"/>
      <c r="G130" s="271"/>
      <c r="H130" s="271"/>
      <c r="I130" s="271"/>
      <c r="O130" s="271"/>
      <c r="P130" s="271"/>
      <c r="Q130" s="271"/>
    </row>
    <row r="131" spans="1:17">
      <c r="A131" s="271"/>
      <c r="B131" s="12">
        <v>119</v>
      </c>
      <c r="C131" s="271" t="s">
        <v>729</v>
      </c>
      <c r="D131" s="12">
        <v>155</v>
      </c>
      <c r="E131" s="11" t="s">
        <v>438</v>
      </c>
      <c r="F131" s="271"/>
      <c r="G131" s="271"/>
      <c r="H131" s="271"/>
      <c r="I131" s="271"/>
      <c r="O131" s="271"/>
      <c r="P131" s="271"/>
      <c r="Q131" s="271"/>
    </row>
    <row r="132" spans="1:17">
      <c r="A132" s="271"/>
      <c r="B132" s="12">
        <v>120</v>
      </c>
      <c r="C132" s="271" t="s">
        <v>730</v>
      </c>
      <c r="D132" s="12">
        <v>156</v>
      </c>
      <c r="E132" s="11" t="s">
        <v>502</v>
      </c>
      <c r="F132" s="271"/>
      <c r="G132" s="271"/>
      <c r="H132" s="271"/>
      <c r="I132" s="271"/>
      <c r="O132" s="271"/>
      <c r="P132" s="271"/>
      <c r="Q132" s="271"/>
    </row>
    <row r="133" spans="1:17">
      <c r="A133" s="271"/>
      <c r="B133" s="12">
        <v>121</v>
      </c>
      <c r="C133" s="271" t="s">
        <v>731</v>
      </c>
      <c r="D133" s="12">
        <v>157</v>
      </c>
      <c r="E133" s="11" t="s">
        <v>505</v>
      </c>
      <c r="F133" s="271"/>
      <c r="G133" s="271"/>
      <c r="H133" s="271"/>
      <c r="I133" s="271"/>
      <c r="O133" s="271"/>
      <c r="P133" s="271"/>
      <c r="Q133" s="271"/>
    </row>
    <row r="134" spans="1:17">
      <c r="A134" s="271"/>
      <c r="B134" s="12">
        <v>122</v>
      </c>
      <c r="C134" s="271" t="s">
        <v>732</v>
      </c>
      <c r="D134" s="12">
        <v>158</v>
      </c>
      <c r="E134" s="11" t="s">
        <v>502</v>
      </c>
      <c r="F134" s="271"/>
      <c r="G134" s="271"/>
      <c r="H134" s="271"/>
      <c r="I134" s="271"/>
      <c r="O134" s="271"/>
      <c r="P134" s="271"/>
      <c r="Q134" s="271"/>
    </row>
    <row r="135" spans="1:17">
      <c r="A135" s="271"/>
      <c r="B135" s="12">
        <v>123</v>
      </c>
      <c r="C135" s="271" t="s">
        <v>733</v>
      </c>
      <c r="D135" s="12">
        <v>160</v>
      </c>
      <c r="E135" s="11" t="s">
        <v>626</v>
      </c>
      <c r="F135" s="271"/>
      <c r="G135" s="271"/>
      <c r="H135" s="271"/>
      <c r="I135" s="271"/>
      <c r="O135" s="271"/>
      <c r="P135" s="271"/>
      <c r="Q135" s="271"/>
    </row>
    <row r="136" spans="1:17">
      <c r="A136" s="271"/>
      <c r="B136" s="12">
        <v>124</v>
      </c>
      <c r="C136" s="271" t="s">
        <v>734</v>
      </c>
      <c r="D136" s="12">
        <v>161</v>
      </c>
      <c r="E136" s="11" t="s">
        <v>423</v>
      </c>
      <c r="F136" s="271"/>
      <c r="G136" s="271"/>
      <c r="H136" s="271"/>
      <c r="I136" s="271"/>
      <c r="O136" s="271"/>
      <c r="P136" s="271"/>
      <c r="Q136" s="271"/>
    </row>
    <row r="137" spans="1:17">
      <c r="A137" s="271"/>
      <c r="B137" s="12">
        <v>125</v>
      </c>
      <c r="C137" s="271" t="s">
        <v>735</v>
      </c>
      <c r="D137" s="12">
        <v>162</v>
      </c>
      <c r="E137" s="11" t="s">
        <v>502</v>
      </c>
      <c r="F137" s="271"/>
      <c r="G137" s="271"/>
      <c r="H137" s="271"/>
      <c r="I137" s="271"/>
      <c r="O137" s="271"/>
      <c r="P137" s="271"/>
      <c r="Q137" s="271"/>
    </row>
    <row r="138" spans="1:17">
      <c r="A138" s="271"/>
      <c r="B138" s="12">
        <v>126</v>
      </c>
      <c r="C138" s="271" t="s">
        <v>736</v>
      </c>
      <c r="D138" s="12">
        <v>163</v>
      </c>
      <c r="E138" s="11" t="s">
        <v>501</v>
      </c>
      <c r="F138" s="271"/>
      <c r="G138" s="271"/>
      <c r="H138" s="271"/>
      <c r="I138" s="271"/>
      <c r="O138" s="271"/>
      <c r="P138" s="271"/>
      <c r="Q138" s="271"/>
    </row>
    <row r="139" spans="1:17">
      <c r="A139" s="271"/>
      <c r="B139" s="12">
        <v>127</v>
      </c>
      <c r="C139" s="271" t="s">
        <v>737</v>
      </c>
      <c r="D139" s="12">
        <v>164</v>
      </c>
      <c r="E139" s="11" t="s">
        <v>501</v>
      </c>
      <c r="F139" s="271"/>
      <c r="G139" s="271"/>
      <c r="H139" s="271"/>
      <c r="I139" s="271"/>
      <c r="O139" s="271"/>
      <c r="P139" s="271"/>
      <c r="Q139" s="271"/>
    </row>
    <row r="140" spans="1:17">
      <c r="A140" s="271"/>
      <c r="B140" s="12">
        <v>128</v>
      </c>
      <c r="C140" s="271" t="s">
        <v>738</v>
      </c>
      <c r="D140" s="12">
        <v>165</v>
      </c>
      <c r="E140" s="11" t="s">
        <v>438</v>
      </c>
      <c r="F140" s="271"/>
      <c r="G140" s="271"/>
      <c r="H140" s="271"/>
      <c r="I140" s="271"/>
      <c r="O140" s="271"/>
      <c r="P140" s="271"/>
      <c r="Q140" s="271"/>
    </row>
    <row r="141" spans="1:17">
      <c r="A141" s="271"/>
      <c r="B141" s="12">
        <v>129</v>
      </c>
      <c r="C141" s="271" t="s">
        <v>739</v>
      </c>
      <c r="D141" s="12">
        <v>166</v>
      </c>
      <c r="E141" s="18" t="s">
        <v>623</v>
      </c>
      <c r="F141" s="271"/>
      <c r="G141" s="271"/>
      <c r="H141" s="271"/>
      <c r="I141" s="271"/>
      <c r="O141" s="271"/>
      <c r="P141" s="271"/>
      <c r="Q141" s="271"/>
    </row>
    <row r="142" spans="1:17">
      <c r="A142" s="271"/>
      <c r="B142" s="12">
        <v>130</v>
      </c>
      <c r="C142" s="271" t="s">
        <v>740</v>
      </c>
      <c r="D142" s="12">
        <v>167</v>
      </c>
      <c r="E142" s="11" t="s">
        <v>423</v>
      </c>
      <c r="F142" s="271"/>
      <c r="G142" s="271"/>
      <c r="H142" s="271"/>
      <c r="I142" s="271"/>
      <c r="O142" s="271"/>
      <c r="P142" s="271"/>
      <c r="Q142" s="271"/>
    </row>
    <row r="143" spans="1:17">
      <c r="A143" s="271"/>
      <c r="B143" s="12">
        <v>131</v>
      </c>
      <c r="C143" s="271" t="s">
        <v>741</v>
      </c>
      <c r="D143" s="12">
        <v>168</v>
      </c>
      <c r="E143" s="11" t="s">
        <v>438</v>
      </c>
      <c r="F143" s="271"/>
      <c r="G143" s="271"/>
      <c r="H143" s="271"/>
      <c r="I143" s="271"/>
      <c r="O143" s="271"/>
      <c r="P143" s="271"/>
      <c r="Q143" s="271"/>
    </row>
    <row r="144" spans="1:17">
      <c r="A144" s="271"/>
      <c r="B144" s="12">
        <v>132</v>
      </c>
      <c r="C144" s="271" t="s">
        <v>742</v>
      </c>
      <c r="D144" s="12">
        <v>169</v>
      </c>
      <c r="E144" s="11" t="s">
        <v>438</v>
      </c>
      <c r="F144" s="271"/>
      <c r="G144" s="271"/>
      <c r="H144" s="271"/>
      <c r="I144" s="271"/>
      <c r="O144" s="271"/>
      <c r="P144" s="271"/>
      <c r="Q144" s="271"/>
    </row>
    <row r="145" spans="1:17">
      <c r="A145" s="271"/>
      <c r="B145" s="12">
        <v>133</v>
      </c>
      <c r="C145" s="271" t="s">
        <v>743</v>
      </c>
      <c r="D145" s="12">
        <v>170</v>
      </c>
      <c r="E145" s="11" t="s">
        <v>505</v>
      </c>
      <c r="F145" s="271"/>
      <c r="G145" s="271"/>
      <c r="H145" s="271"/>
      <c r="I145" s="271"/>
      <c r="O145" s="271"/>
      <c r="P145" s="271"/>
      <c r="Q145" s="271"/>
    </row>
    <row r="146" spans="1:17">
      <c r="A146" s="271"/>
      <c r="B146" s="12">
        <v>134</v>
      </c>
      <c r="C146" s="271" t="s">
        <v>744</v>
      </c>
      <c r="D146" s="12">
        <v>171</v>
      </c>
      <c r="E146" s="18" t="s">
        <v>623</v>
      </c>
      <c r="F146" s="271"/>
      <c r="G146" s="271"/>
      <c r="H146" s="271"/>
      <c r="I146" s="271"/>
      <c r="O146" s="271"/>
      <c r="P146" s="271"/>
      <c r="Q146" s="271"/>
    </row>
    <row r="147" spans="1:17">
      <c r="A147" s="271"/>
      <c r="B147" s="12">
        <v>135</v>
      </c>
      <c r="C147" s="271" t="s">
        <v>745</v>
      </c>
      <c r="D147" s="12">
        <v>172</v>
      </c>
      <c r="E147" s="11" t="s">
        <v>501</v>
      </c>
      <c r="F147" s="271"/>
      <c r="G147" s="271"/>
      <c r="H147" s="271"/>
      <c r="I147" s="271"/>
      <c r="O147" s="271"/>
      <c r="P147" s="271"/>
      <c r="Q147" s="271"/>
    </row>
    <row r="148" spans="1:17">
      <c r="A148" s="271"/>
      <c r="B148" s="12">
        <v>136</v>
      </c>
      <c r="C148" s="271" t="s">
        <v>746</v>
      </c>
      <c r="D148" s="12">
        <v>176</v>
      </c>
      <c r="E148" s="11" t="s">
        <v>626</v>
      </c>
      <c r="F148" s="271"/>
      <c r="G148" s="271"/>
      <c r="H148" s="271"/>
      <c r="I148" s="271"/>
      <c r="O148" s="271"/>
      <c r="P148" s="271"/>
      <c r="Q148" s="271"/>
    </row>
    <row r="149" spans="1:17">
      <c r="A149" s="271"/>
      <c r="B149" s="12">
        <v>137</v>
      </c>
      <c r="C149" s="271" t="s">
        <v>747</v>
      </c>
      <c r="D149" s="12">
        <v>177</v>
      </c>
      <c r="E149" s="11" t="s">
        <v>505</v>
      </c>
      <c r="F149" s="271"/>
      <c r="G149" s="271"/>
      <c r="H149" s="271"/>
      <c r="I149" s="271"/>
      <c r="O149" s="271"/>
      <c r="P149" s="271"/>
      <c r="Q149" s="271"/>
    </row>
    <row r="150" spans="1:17">
      <c r="A150" s="271"/>
      <c r="B150" s="12">
        <v>138</v>
      </c>
      <c r="C150" s="271" t="s">
        <v>748</v>
      </c>
      <c r="D150" s="12">
        <v>178</v>
      </c>
      <c r="E150" s="11" t="s">
        <v>501</v>
      </c>
      <c r="F150" s="271"/>
      <c r="G150" s="271"/>
      <c r="H150" s="271"/>
      <c r="I150" s="271"/>
      <c r="O150" s="271"/>
      <c r="P150" s="271"/>
      <c r="Q150" s="271"/>
    </row>
    <row r="151" spans="1:17">
      <c r="A151" s="271"/>
      <c r="B151" s="12">
        <v>139</v>
      </c>
      <c r="C151" s="271" t="s">
        <v>749</v>
      </c>
      <c r="D151" s="12">
        <v>179</v>
      </c>
      <c r="E151" s="11" t="s">
        <v>438</v>
      </c>
      <c r="F151" s="271"/>
      <c r="G151" s="271"/>
      <c r="H151" s="271"/>
      <c r="I151" s="271"/>
      <c r="O151" s="271"/>
      <c r="P151" s="271"/>
      <c r="Q151" s="271"/>
    </row>
    <row r="152" spans="1:17">
      <c r="A152" s="271"/>
      <c r="B152" s="12">
        <v>140</v>
      </c>
      <c r="C152" s="271" t="s">
        <v>750</v>
      </c>
      <c r="D152" s="12">
        <v>180</v>
      </c>
      <c r="E152" s="11" t="s">
        <v>502</v>
      </c>
      <c r="F152" s="271"/>
      <c r="G152" s="271"/>
      <c r="H152" s="271"/>
      <c r="I152" s="271"/>
      <c r="O152" s="271"/>
      <c r="P152" s="271"/>
      <c r="Q152" s="271"/>
    </row>
    <row r="153" spans="1:17">
      <c r="A153" s="271"/>
      <c r="B153" s="12">
        <v>141</v>
      </c>
      <c r="C153" s="271" t="s">
        <v>751</v>
      </c>
      <c r="D153" s="12">
        <v>181</v>
      </c>
      <c r="E153" s="11" t="s">
        <v>626</v>
      </c>
      <c r="F153" s="271"/>
      <c r="G153" s="271"/>
      <c r="H153" s="271"/>
      <c r="I153" s="271"/>
      <c r="O153" s="271"/>
      <c r="P153" s="271"/>
      <c r="Q153" s="271"/>
    </row>
    <row r="154" spans="1:17">
      <c r="A154" s="271"/>
      <c r="B154" s="12">
        <v>142</v>
      </c>
      <c r="C154" s="271" t="s">
        <v>623</v>
      </c>
      <c r="D154" s="12">
        <v>182</v>
      </c>
      <c r="E154" s="18" t="s">
        <v>623</v>
      </c>
      <c r="F154" s="271"/>
      <c r="G154" s="271"/>
      <c r="H154" s="271"/>
      <c r="I154" s="271"/>
      <c r="O154" s="271"/>
      <c r="P154" s="271"/>
      <c r="Q154" s="271"/>
    </row>
    <row r="155" spans="1:17">
      <c r="A155" s="271"/>
      <c r="B155" s="12">
        <v>143</v>
      </c>
      <c r="C155" s="271" t="s">
        <v>477</v>
      </c>
      <c r="D155" s="12">
        <v>183</v>
      </c>
      <c r="E155" s="11" t="s">
        <v>502</v>
      </c>
      <c r="F155" s="271"/>
      <c r="G155" s="271"/>
      <c r="H155" s="271"/>
      <c r="I155" s="271"/>
      <c r="O155" s="271"/>
      <c r="P155" s="271"/>
      <c r="Q155" s="271"/>
    </row>
    <row r="156" spans="1:17">
      <c r="A156" s="271"/>
      <c r="B156" s="12">
        <v>144</v>
      </c>
      <c r="C156" s="271" t="s">
        <v>752</v>
      </c>
      <c r="D156" s="12">
        <v>185</v>
      </c>
      <c r="E156" s="11" t="s">
        <v>501</v>
      </c>
      <c r="F156" s="271"/>
      <c r="G156" s="271"/>
      <c r="H156" s="271"/>
      <c r="I156" s="271"/>
      <c r="O156" s="271"/>
      <c r="P156" s="271"/>
      <c r="Q156" s="271"/>
    </row>
    <row r="157" spans="1:17">
      <c r="A157" s="271"/>
      <c r="B157" s="12">
        <v>145</v>
      </c>
      <c r="C157" s="271" t="s">
        <v>753</v>
      </c>
      <c r="D157" s="12">
        <v>186</v>
      </c>
      <c r="E157" s="18" t="s">
        <v>623</v>
      </c>
      <c r="F157" s="271"/>
      <c r="G157" s="271"/>
      <c r="H157" s="271"/>
      <c r="I157" s="271"/>
      <c r="O157" s="271"/>
      <c r="P157" s="271"/>
      <c r="Q157" s="271"/>
    </row>
    <row r="158" spans="1:17">
      <c r="A158" s="271"/>
      <c r="B158" s="12">
        <v>146</v>
      </c>
      <c r="C158" s="271" t="s">
        <v>754</v>
      </c>
      <c r="D158" s="12">
        <v>187</v>
      </c>
      <c r="E158" s="18" t="s">
        <v>623</v>
      </c>
      <c r="F158" s="271"/>
      <c r="G158" s="271"/>
      <c r="H158" s="271"/>
      <c r="I158" s="271"/>
      <c r="O158" s="271"/>
      <c r="P158" s="271"/>
      <c r="Q158" s="271"/>
    </row>
    <row r="159" spans="1:17">
      <c r="A159" s="271"/>
      <c r="B159" s="12">
        <v>147</v>
      </c>
      <c r="C159" s="271" t="s">
        <v>755</v>
      </c>
      <c r="D159" s="12">
        <v>188</v>
      </c>
      <c r="E159" s="11" t="s">
        <v>505</v>
      </c>
      <c r="F159" s="271"/>
      <c r="G159" s="271"/>
      <c r="H159" s="271"/>
      <c r="I159" s="271"/>
      <c r="O159" s="271"/>
      <c r="P159" s="271"/>
      <c r="Q159" s="271"/>
    </row>
    <row r="160" spans="1:17">
      <c r="A160" s="271"/>
      <c r="B160" s="12">
        <v>148</v>
      </c>
      <c r="C160" s="271" t="s">
        <v>756</v>
      </c>
      <c r="D160" s="12">
        <v>189</v>
      </c>
      <c r="E160" s="11" t="s">
        <v>423</v>
      </c>
      <c r="F160" s="271"/>
      <c r="G160" s="271"/>
      <c r="H160" s="271"/>
      <c r="I160" s="271"/>
      <c r="O160" s="271"/>
      <c r="P160" s="271"/>
      <c r="Q160" s="271"/>
    </row>
    <row r="161" spans="1:17">
      <c r="A161" s="271"/>
      <c r="B161" s="12">
        <v>149</v>
      </c>
      <c r="C161" s="271" t="s">
        <v>757</v>
      </c>
      <c r="D161" s="12">
        <v>190</v>
      </c>
      <c r="E161" s="11" t="s">
        <v>502</v>
      </c>
      <c r="F161" s="271"/>
      <c r="G161" s="271"/>
      <c r="H161" s="271"/>
      <c r="I161" s="271"/>
      <c r="O161" s="271"/>
      <c r="P161" s="271"/>
      <c r="Q161" s="271"/>
    </row>
    <row r="162" spans="1:17">
      <c r="A162" s="271"/>
      <c r="B162" s="12">
        <v>150</v>
      </c>
      <c r="C162" s="271" t="s">
        <v>758</v>
      </c>
      <c r="D162" s="12">
        <v>191</v>
      </c>
      <c r="E162" s="11" t="s">
        <v>502</v>
      </c>
      <c r="F162" s="271"/>
      <c r="G162" s="271"/>
      <c r="H162" s="271"/>
      <c r="I162" s="271"/>
      <c r="O162" s="271"/>
      <c r="P162" s="271"/>
      <c r="Q162" s="271"/>
    </row>
    <row r="163" spans="1:17">
      <c r="A163" s="271"/>
      <c r="B163" s="12">
        <v>151</v>
      </c>
      <c r="C163" s="271" t="s">
        <v>759</v>
      </c>
      <c r="D163" s="12">
        <v>192</v>
      </c>
      <c r="E163" s="11" t="s">
        <v>423</v>
      </c>
      <c r="F163" s="271"/>
      <c r="G163" s="271"/>
      <c r="H163" s="271"/>
      <c r="I163" s="271"/>
      <c r="O163" s="271"/>
      <c r="P163" s="271"/>
      <c r="Q163" s="271"/>
    </row>
    <row r="164" spans="1:17">
      <c r="A164" s="271"/>
      <c r="B164" s="12">
        <v>152</v>
      </c>
      <c r="C164" s="271" t="s">
        <v>760</v>
      </c>
      <c r="D164" s="12">
        <v>199</v>
      </c>
      <c r="E164" s="11" t="s">
        <v>505</v>
      </c>
      <c r="F164" s="271"/>
      <c r="G164" s="271"/>
      <c r="H164" s="271"/>
      <c r="I164" s="271"/>
      <c r="O164" s="271"/>
      <c r="P164" s="271"/>
      <c r="Q164" s="271"/>
    </row>
    <row r="165" spans="1:17">
      <c r="A165" s="271"/>
      <c r="B165" s="12">
        <v>153</v>
      </c>
      <c r="C165" s="271" t="s">
        <v>761</v>
      </c>
      <c r="D165" s="12">
        <v>200</v>
      </c>
      <c r="E165" s="11" t="s">
        <v>502</v>
      </c>
      <c r="F165" s="271"/>
      <c r="G165" s="271"/>
      <c r="H165" s="271"/>
      <c r="I165" s="271"/>
      <c r="O165" s="271"/>
      <c r="P165" s="271"/>
      <c r="Q165" s="271"/>
    </row>
    <row r="166" spans="1:17">
      <c r="A166" s="271"/>
      <c r="B166" s="12">
        <v>154</v>
      </c>
      <c r="C166" s="271" t="s">
        <v>762</v>
      </c>
      <c r="D166" s="12">
        <v>201</v>
      </c>
      <c r="E166" s="11" t="s">
        <v>503</v>
      </c>
      <c r="F166" s="271"/>
      <c r="G166" s="271"/>
      <c r="H166" s="271"/>
      <c r="I166" s="271"/>
      <c r="O166" s="271"/>
      <c r="P166" s="271"/>
      <c r="Q166" s="271"/>
    </row>
    <row r="167" spans="1:17">
      <c r="A167" s="271"/>
      <c r="B167" s="12">
        <v>155</v>
      </c>
      <c r="C167" s="271" t="s">
        <v>763</v>
      </c>
      <c r="D167" s="12">
        <v>202</v>
      </c>
      <c r="E167" s="11" t="s">
        <v>438</v>
      </c>
      <c r="F167" s="271"/>
      <c r="G167" s="271"/>
      <c r="H167" s="271"/>
      <c r="I167" s="271"/>
      <c r="O167" s="271"/>
      <c r="P167" s="271"/>
      <c r="Q167" s="271"/>
    </row>
    <row r="168" spans="1:17">
      <c r="A168" s="271"/>
      <c r="B168" s="12">
        <v>156</v>
      </c>
      <c r="C168" s="271" t="s">
        <v>764</v>
      </c>
      <c r="D168" s="12">
        <v>203</v>
      </c>
      <c r="E168" s="11" t="s">
        <v>423</v>
      </c>
      <c r="F168" s="271"/>
      <c r="G168" s="271"/>
      <c r="H168" s="271"/>
      <c r="I168" s="271"/>
      <c r="O168" s="271"/>
      <c r="P168" s="271"/>
      <c r="Q168" s="271"/>
    </row>
    <row r="169" spans="1:17">
      <c r="A169" s="271"/>
      <c r="B169" s="12">
        <v>157</v>
      </c>
      <c r="C169" s="271" t="s">
        <v>765</v>
      </c>
      <c r="D169" s="12">
        <v>205</v>
      </c>
      <c r="E169" s="11" t="s">
        <v>501</v>
      </c>
      <c r="F169" s="271"/>
      <c r="G169" s="271"/>
      <c r="H169" s="271"/>
      <c r="I169" s="271"/>
      <c r="O169" s="271"/>
      <c r="P169" s="271"/>
      <c r="Q169" s="271"/>
    </row>
    <row r="170" spans="1:17">
      <c r="A170" s="271"/>
      <c r="B170" s="12">
        <v>158</v>
      </c>
      <c r="C170" s="271" t="s">
        <v>766</v>
      </c>
      <c r="D170" s="12">
        <v>206</v>
      </c>
      <c r="E170" s="11" t="s">
        <v>501</v>
      </c>
      <c r="F170" s="271"/>
      <c r="G170" s="271"/>
      <c r="H170" s="271"/>
      <c r="I170" s="271"/>
      <c r="O170" s="271"/>
      <c r="P170" s="271"/>
      <c r="Q170" s="271"/>
    </row>
    <row r="171" spans="1:17">
      <c r="A171" s="271"/>
      <c r="B171" s="12">
        <v>159</v>
      </c>
      <c r="C171" s="271" t="s">
        <v>767</v>
      </c>
      <c r="D171" s="12">
        <v>207</v>
      </c>
      <c r="E171" s="11" t="s">
        <v>438</v>
      </c>
      <c r="F171" s="271"/>
      <c r="G171" s="271"/>
      <c r="H171" s="271"/>
      <c r="I171" s="271"/>
      <c r="O171" s="271"/>
      <c r="P171" s="271"/>
      <c r="Q171" s="271"/>
    </row>
    <row r="172" spans="1:17">
      <c r="A172" s="271"/>
      <c r="B172" s="12">
        <v>160</v>
      </c>
      <c r="C172" s="271" t="s">
        <v>768</v>
      </c>
      <c r="D172" s="12">
        <v>208</v>
      </c>
      <c r="E172" s="18" t="s">
        <v>623</v>
      </c>
      <c r="F172" s="271"/>
      <c r="G172" s="271"/>
      <c r="H172" s="271"/>
      <c r="I172" s="271"/>
      <c r="O172" s="271"/>
      <c r="P172" s="271"/>
      <c r="Q172" s="271"/>
    </row>
    <row r="173" spans="1:17">
      <c r="A173" s="271"/>
      <c r="B173" s="12">
        <v>161</v>
      </c>
      <c r="C173" s="271" t="s">
        <v>769</v>
      </c>
      <c r="D173" s="12">
        <v>209</v>
      </c>
      <c r="E173" s="11" t="s">
        <v>501</v>
      </c>
      <c r="F173" s="271"/>
      <c r="G173" s="271"/>
      <c r="H173" s="271"/>
      <c r="I173" s="271"/>
      <c r="O173" s="271"/>
      <c r="P173" s="271"/>
      <c r="Q173" s="271"/>
    </row>
    <row r="174" spans="1:17">
      <c r="A174" s="271"/>
      <c r="B174" s="12">
        <v>162</v>
      </c>
      <c r="C174" s="271" t="s">
        <v>770</v>
      </c>
      <c r="D174" s="12">
        <v>210</v>
      </c>
      <c r="E174" s="11" t="s">
        <v>502</v>
      </c>
      <c r="F174" s="271"/>
      <c r="G174" s="271"/>
      <c r="H174" s="271"/>
      <c r="I174" s="271"/>
      <c r="O174" s="271"/>
      <c r="P174" s="271"/>
      <c r="Q174" s="271"/>
    </row>
    <row r="175" spans="1:17">
      <c r="A175" s="271"/>
      <c r="B175" s="12">
        <v>163</v>
      </c>
      <c r="C175" s="271" t="s">
        <v>626</v>
      </c>
      <c r="D175" s="12">
        <v>211</v>
      </c>
      <c r="E175" s="11" t="s">
        <v>626</v>
      </c>
      <c r="F175" s="271"/>
      <c r="G175" s="271"/>
      <c r="H175" s="271"/>
      <c r="I175" s="271"/>
      <c r="O175" s="271"/>
      <c r="P175" s="271"/>
      <c r="Q175" s="271"/>
    </row>
    <row r="176" spans="1:17">
      <c r="A176" s="271"/>
      <c r="B176" s="12">
        <v>164</v>
      </c>
      <c r="C176" s="271" t="s">
        <v>771</v>
      </c>
      <c r="D176" s="12">
        <v>212</v>
      </c>
      <c r="E176" s="11" t="s">
        <v>438</v>
      </c>
      <c r="F176" s="271"/>
      <c r="G176" s="271"/>
      <c r="H176" s="271"/>
      <c r="I176" s="271"/>
      <c r="O176" s="271"/>
      <c r="P176" s="271"/>
      <c r="Q176" s="271"/>
    </row>
    <row r="177" spans="1:17">
      <c r="A177" s="271"/>
      <c r="B177" s="12">
        <v>165</v>
      </c>
      <c r="C177" s="271" t="s">
        <v>772</v>
      </c>
      <c r="D177" s="12">
        <v>213</v>
      </c>
      <c r="E177" s="11" t="s">
        <v>438</v>
      </c>
      <c r="F177" s="271"/>
      <c r="G177" s="271"/>
      <c r="H177" s="271"/>
      <c r="I177" s="271"/>
      <c r="O177" s="271"/>
      <c r="P177" s="271"/>
      <c r="Q177" s="271"/>
    </row>
    <row r="178" spans="1:17">
      <c r="A178" s="271"/>
      <c r="B178" s="12">
        <v>166</v>
      </c>
      <c r="C178" s="271" t="s">
        <v>773</v>
      </c>
      <c r="D178" s="12">
        <v>214</v>
      </c>
      <c r="E178" s="11" t="s">
        <v>423</v>
      </c>
      <c r="F178" s="271"/>
      <c r="G178" s="271"/>
      <c r="H178" s="271"/>
      <c r="I178" s="271"/>
      <c r="O178" s="271"/>
      <c r="P178" s="271"/>
      <c r="Q178" s="271"/>
    </row>
    <row r="179" spans="1:17">
      <c r="A179" s="271"/>
      <c r="B179" s="12">
        <v>167</v>
      </c>
      <c r="C179" s="271" t="s">
        <v>774</v>
      </c>
      <c r="D179" s="12">
        <v>215</v>
      </c>
      <c r="E179" s="11" t="s">
        <v>423</v>
      </c>
      <c r="F179" s="271"/>
      <c r="G179" s="271"/>
      <c r="H179" s="271"/>
      <c r="I179" s="271"/>
      <c r="O179" s="271"/>
      <c r="P179" s="271"/>
      <c r="Q179" s="271"/>
    </row>
    <row r="180" spans="1:17">
      <c r="A180" s="271"/>
      <c r="B180" s="12">
        <v>168</v>
      </c>
      <c r="C180" s="271" t="s">
        <v>775</v>
      </c>
      <c r="D180" s="12">
        <v>216</v>
      </c>
      <c r="E180" s="11" t="s">
        <v>502</v>
      </c>
      <c r="F180" s="271"/>
      <c r="G180" s="271"/>
      <c r="H180" s="271"/>
      <c r="I180" s="271"/>
      <c r="O180" s="271"/>
      <c r="P180" s="271"/>
      <c r="Q180" s="271"/>
    </row>
    <row r="181" spans="1:17">
      <c r="A181" s="271"/>
      <c r="B181" s="12">
        <v>169</v>
      </c>
      <c r="C181" s="271" t="s">
        <v>776</v>
      </c>
      <c r="D181" s="12">
        <v>217</v>
      </c>
      <c r="E181" s="11" t="s">
        <v>626</v>
      </c>
      <c r="F181" s="271"/>
      <c r="G181" s="271"/>
      <c r="H181" s="271"/>
      <c r="I181" s="271"/>
      <c r="O181" s="271"/>
      <c r="P181" s="271"/>
      <c r="Q181" s="271"/>
    </row>
    <row r="182" spans="1:17">
      <c r="A182" s="271"/>
      <c r="B182" s="12"/>
      <c r="C182" s="271"/>
      <c r="D182" s="12"/>
      <c r="E182" s="11"/>
      <c r="F182" s="271"/>
      <c r="G182" s="271"/>
      <c r="H182" s="271"/>
      <c r="I182" s="271"/>
      <c r="O182" s="271"/>
      <c r="P182" s="271"/>
      <c r="Q182" s="271"/>
    </row>
    <row r="183" spans="1:17">
      <c r="A183" s="271"/>
      <c r="B183" s="8486"/>
      <c r="C183" s="271"/>
      <c r="D183" s="12"/>
      <c r="E183" s="11"/>
      <c r="F183" s="271"/>
      <c r="G183" s="271"/>
      <c r="H183" s="271"/>
      <c r="I183" s="271"/>
      <c r="O183" s="271"/>
      <c r="P183" s="271"/>
      <c r="Q183" s="271"/>
    </row>
    <row r="184" spans="1:17">
      <c r="A184" s="271"/>
      <c r="B184" s="8486"/>
      <c r="C184" s="271"/>
      <c r="D184" s="12"/>
      <c r="E184" s="11"/>
      <c r="F184" s="271"/>
      <c r="G184" s="271"/>
      <c r="H184" s="271"/>
      <c r="I184" s="271"/>
      <c r="O184" s="271"/>
      <c r="P184" s="271"/>
      <c r="Q184" s="271"/>
    </row>
    <row r="185" spans="1:17">
      <c r="A185" s="271"/>
      <c r="B185" s="8486"/>
      <c r="C185" s="271"/>
      <c r="D185" s="12"/>
      <c r="E185" s="11"/>
      <c r="F185" s="271"/>
      <c r="G185" s="271"/>
      <c r="H185" s="271"/>
      <c r="I185" s="271"/>
      <c r="O185" s="271"/>
      <c r="P185" s="271"/>
      <c r="Q185" s="271"/>
    </row>
    <row r="186" spans="1:17">
      <c r="A186" s="271"/>
      <c r="B186" s="8486"/>
      <c r="C186" s="271"/>
      <c r="D186" s="12"/>
      <c r="E186" s="11"/>
      <c r="F186" s="271"/>
      <c r="G186" s="271"/>
      <c r="H186" s="271"/>
      <c r="I186" s="271"/>
      <c r="O186" s="271"/>
      <c r="P186" s="271"/>
      <c r="Q186" s="271"/>
    </row>
    <row r="187" spans="1:17">
      <c r="A187" s="271"/>
      <c r="B187" s="8486"/>
      <c r="C187" s="271"/>
      <c r="D187" s="12"/>
      <c r="E187" s="11"/>
      <c r="F187" s="271"/>
      <c r="G187" s="271"/>
      <c r="H187" s="271"/>
      <c r="I187" s="271"/>
      <c r="O187" s="271"/>
      <c r="P187" s="271"/>
      <c r="Q187" s="271"/>
    </row>
    <row r="188" spans="1:17">
      <c r="A188" s="271"/>
      <c r="B188" s="8486"/>
      <c r="C188" s="271"/>
      <c r="D188" s="12"/>
      <c r="E188" s="11"/>
      <c r="F188" s="271"/>
      <c r="G188" s="271"/>
      <c r="H188" s="271"/>
      <c r="I188" s="271"/>
      <c r="O188" s="271"/>
      <c r="P188" s="271"/>
      <c r="Q188" s="271"/>
    </row>
    <row r="189" spans="1:17">
      <c r="A189" s="271"/>
      <c r="B189" s="8486"/>
      <c r="C189" s="271"/>
      <c r="D189" s="12"/>
      <c r="E189" s="11"/>
      <c r="F189" s="271"/>
      <c r="G189" s="271"/>
      <c r="H189" s="271"/>
      <c r="I189" s="271"/>
      <c r="O189" s="271"/>
      <c r="P189" s="271"/>
      <c r="Q189" s="271"/>
    </row>
    <row r="190" spans="1:17">
      <c r="B190" s="19"/>
      <c r="D190" s="12"/>
      <c r="E190" s="11"/>
    </row>
    <row r="191" spans="1:17">
      <c r="B191" s="19"/>
      <c r="D191" s="12"/>
      <c r="E191" s="11"/>
    </row>
    <row r="192" spans="1:17">
      <c r="B192" s="19"/>
      <c r="D192" s="12"/>
      <c r="E192" s="11"/>
    </row>
    <row r="193" spans="2:5">
      <c r="B193" s="19"/>
      <c r="D193" s="12"/>
      <c r="E193" s="11"/>
    </row>
    <row r="194" spans="2:5">
      <c r="B194" s="19"/>
      <c r="D194" s="12"/>
      <c r="E194" s="11"/>
    </row>
    <row r="195" spans="2:5">
      <c r="B195" s="19"/>
      <c r="D195" s="12"/>
      <c r="E195" s="11"/>
    </row>
    <row r="196" spans="2:5">
      <c r="B196" s="19"/>
      <c r="D196" s="12"/>
      <c r="E196" s="11"/>
    </row>
    <row r="197" spans="2:5">
      <c r="B197" s="19"/>
      <c r="D197" s="12"/>
      <c r="E197" s="11"/>
    </row>
    <row r="198" spans="2:5">
      <c r="B198" s="19"/>
      <c r="D198" s="12"/>
      <c r="E198" s="11"/>
    </row>
    <row r="199" spans="2:5">
      <c r="B199" s="19"/>
      <c r="D199" s="12"/>
      <c r="E199" s="11"/>
    </row>
    <row r="200" spans="2:5">
      <c r="B200" s="19"/>
      <c r="D200" s="12"/>
      <c r="E200" s="11"/>
    </row>
    <row r="201" spans="2:5">
      <c r="B201" s="19"/>
      <c r="D201" s="12"/>
      <c r="E201" s="11"/>
    </row>
    <row r="202" spans="2:5">
      <c r="B202" s="19"/>
      <c r="D202" s="12"/>
      <c r="E202" s="11"/>
    </row>
    <row r="203" spans="2:5">
      <c r="B203" s="19"/>
      <c r="D203" s="12"/>
      <c r="E203" s="11"/>
    </row>
    <row r="204" spans="2:5">
      <c r="B204" s="19"/>
      <c r="D204" s="12"/>
      <c r="E204" s="11"/>
    </row>
    <row r="205" spans="2:5">
      <c r="B205" s="19"/>
      <c r="D205" s="12"/>
      <c r="E205" s="11"/>
    </row>
    <row r="206" spans="2:5">
      <c r="B206" s="19"/>
      <c r="D206" s="12"/>
      <c r="E206" s="11"/>
    </row>
    <row r="207" spans="2:5">
      <c r="B207" s="19"/>
      <c r="D207" s="12"/>
      <c r="E207" s="11"/>
    </row>
    <row r="208" spans="2:5">
      <c r="B208" s="19"/>
      <c r="D208" s="12"/>
      <c r="E208" s="11"/>
    </row>
    <row r="209" spans="2:5">
      <c r="B209" s="19"/>
      <c r="D209" s="12"/>
      <c r="E209" s="11"/>
    </row>
    <row r="210" spans="2:5">
      <c r="B210" s="19"/>
      <c r="D210" s="12"/>
      <c r="E210" s="11"/>
    </row>
  </sheetData>
  <sheetProtection password="C665" sheet="1" objects="1" scenarios="1" selectLockedCells="1" selectUnlockedCells="1"/>
  <mergeCells count="2">
    <mergeCell ref="H10:N10"/>
    <mergeCell ref="B10:E10"/>
  </mergeCells>
  <phoneticPr fontId="8"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tabColor rgb="FFF1A9A1"/>
  </sheetPr>
  <dimension ref="A1:AX124"/>
  <sheetViews>
    <sheetView workbookViewId="0"/>
  </sheetViews>
  <sheetFormatPr defaultRowHeight="12.75"/>
  <cols>
    <col min="2" max="2" width="8.85546875" style="271" customWidth="1"/>
    <col min="3" max="3" width="4.7109375" style="271" customWidth="1"/>
    <col min="4" max="4" width="18" customWidth="1"/>
    <col min="5" max="7" width="10.7109375" customWidth="1"/>
    <col min="8" max="8" width="14.7109375" customWidth="1"/>
    <col min="9" max="9" width="13.5703125" customWidth="1"/>
    <col min="10" max="10" width="9.42578125" customWidth="1"/>
    <col min="11" max="11" width="13.140625" style="271" customWidth="1"/>
    <col min="12" max="12" width="4.28515625" customWidth="1"/>
    <col min="13" max="14" width="10.7109375" customWidth="1"/>
    <col min="15" max="15" width="14.7109375" customWidth="1"/>
    <col min="16" max="16" width="12.7109375" customWidth="1"/>
    <col min="17" max="17" width="7" style="212" customWidth="1"/>
    <col min="18" max="18" width="6.28515625" style="212" customWidth="1"/>
    <col min="19" max="19" width="3.85546875" style="212" customWidth="1"/>
    <col min="20" max="22" width="14.7109375" style="212" customWidth="1"/>
    <col min="23" max="23" width="15.85546875" style="212" customWidth="1"/>
    <col min="24" max="24" width="4" style="212" customWidth="1"/>
    <col min="25" max="25" width="5.5703125" style="212" customWidth="1"/>
    <col min="26" max="26" width="9.140625" style="212" customWidth="1"/>
    <col min="27" max="27" width="12.7109375" style="212" customWidth="1"/>
    <col min="28" max="28" width="12.28515625" style="212" customWidth="1"/>
    <col min="29" max="29" width="13.85546875" style="212" customWidth="1"/>
    <col min="30" max="30" width="10.85546875" style="212" customWidth="1"/>
    <col min="31" max="32" width="13.140625" style="212" customWidth="1"/>
    <col min="33" max="33" width="7" style="212" customWidth="1"/>
    <col min="34" max="34" width="6.28515625" style="212" customWidth="1"/>
    <col min="35" max="35" width="3.85546875" style="212" customWidth="1"/>
    <col min="36" max="37" width="14.7109375" style="212" customWidth="1"/>
    <col min="38" max="38" width="18" style="212" customWidth="1"/>
    <col min="39" max="39" width="15.85546875" style="212" customWidth="1"/>
    <col min="40" max="40" width="4" style="212" customWidth="1"/>
    <col min="41" max="41" width="5.5703125" style="212" customWidth="1"/>
    <col min="42" max="42" width="9.140625" style="212" customWidth="1"/>
    <col min="43" max="43" width="12.7109375" style="212" customWidth="1"/>
    <col min="44" max="44" width="12.28515625" style="212" customWidth="1"/>
    <col min="45" max="45" width="13.85546875" style="212" customWidth="1"/>
    <col min="46" max="46" width="10.85546875" style="212" customWidth="1"/>
    <col min="47" max="49" width="13.140625" style="212" customWidth="1"/>
  </cols>
  <sheetData>
    <row r="1" spans="1:50">
      <c r="A1" s="216"/>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71"/>
      <c r="AW1" s="271"/>
      <c r="AX1" s="271"/>
    </row>
    <row r="2" spans="1:50">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71"/>
      <c r="AW2" s="271"/>
      <c r="AX2" s="271"/>
    </row>
    <row r="3" spans="1:50" ht="13.5" thickBot="1">
      <c r="A3" s="216"/>
      <c r="B3" s="216"/>
      <c r="C3" s="216"/>
      <c r="D3" s="112" t="s">
        <v>563</v>
      </c>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71"/>
      <c r="AW3" s="271"/>
      <c r="AX3" s="271"/>
    </row>
    <row r="4" spans="1:50" s="212" customFormat="1" ht="13.5" thickBot="1">
      <c r="A4" s="216"/>
      <c r="B4" s="216"/>
      <c r="C4" s="216"/>
      <c r="D4" s="11017" t="s">
        <v>1093</v>
      </c>
      <c r="E4" s="11017"/>
      <c r="F4" s="11004" t="s">
        <v>1399</v>
      </c>
      <c r="G4" s="11004"/>
      <c r="H4" s="11004"/>
      <c r="I4" s="11004"/>
      <c r="J4" s="11004"/>
      <c r="K4" s="8492"/>
      <c r="L4" s="216"/>
      <c r="M4" s="11015" t="s">
        <v>1398</v>
      </c>
      <c r="N4" s="11015"/>
      <c r="O4" s="11015"/>
      <c r="P4" s="11015"/>
      <c r="Q4" s="216"/>
      <c r="R4" s="264"/>
      <c r="S4" s="216"/>
      <c r="T4" s="216"/>
      <c r="U4" s="216"/>
      <c r="V4" s="216"/>
      <c r="W4" s="216"/>
      <c r="X4" s="216"/>
      <c r="Y4" s="216"/>
      <c r="Z4" s="264" t="s">
        <v>1425</v>
      </c>
      <c r="AA4" s="216"/>
      <c r="AB4" s="216"/>
      <c r="AC4" s="216"/>
      <c r="AD4" s="216"/>
      <c r="AE4" s="216"/>
      <c r="AF4" s="216"/>
      <c r="AG4" s="216"/>
      <c r="AH4" s="264"/>
      <c r="AI4" s="216"/>
      <c r="AJ4" s="216"/>
      <c r="AK4" s="216"/>
      <c r="AL4" s="216"/>
      <c r="AM4" s="216"/>
      <c r="AN4" s="216"/>
      <c r="AO4" s="216"/>
      <c r="AP4" s="264" t="s">
        <v>1425</v>
      </c>
      <c r="AQ4" s="216"/>
      <c r="AR4" s="216"/>
      <c r="AS4" s="216"/>
      <c r="AT4" s="216"/>
      <c r="AU4" s="216"/>
      <c r="AV4" s="271"/>
      <c r="AW4" s="271"/>
      <c r="AX4" s="271"/>
    </row>
    <row r="5" spans="1:50" ht="38.25">
      <c r="A5" s="216"/>
      <c r="B5" s="2429" t="s">
        <v>1760</v>
      </c>
      <c r="C5" s="216"/>
      <c r="D5" s="11018"/>
      <c r="E5" s="11018"/>
      <c r="F5" s="217" t="s">
        <v>1393</v>
      </c>
      <c r="G5" s="217" t="s">
        <v>1394</v>
      </c>
      <c r="H5" s="123" t="s">
        <v>1400</v>
      </c>
      <c r="I5" s="217" t="s">
        <v>1396</v>
      </c>
      <c r="J5" s="218" t="s">
        <v>2130</v>
      </c>
      <c r="K5" s="1541"/>
      <c r="L5" s="216"/>
      <c r="M5" s="217" t="s">
        <v>1393</v>
      </c>
      <c r="N5" s="217" t="s">
        <v>1394</v>
      </c>
      <c r="O5" s="123" t="s">
        <v>1395</v>
      </c>
      <c r="P5" s="217" t="s">
        <v>1396</v>
      </c>
      <c r="Q5" s="216"/>
      <c r="R5" s="11014" t="s">
        <v>1428</v>
      </c>
      <c r="S5" s="11014"/>
      <c r="T5" s="11014"/>
      <c r="U5" s="11014"/>
      <c r="V5" s="11014"/>
      <c r="W5" s="11014"/>
      <c r="X5" s="216"/>
      <c r="Y5" s="216"/>
      <c r="Z5" s="67" t="s">
        <v>413</v>
      </c>
      <c r="AA5" s="66" t="s">
        <v>1406</v>
      </c>
      <c r="AB5" s="65" t="s">
        <v>1421</v>
      </c>
      <c r="AC5" s="66" t="s">
        <v>1410</v>
      </c>
      <c r="AD5" s="66" t="s">
        <v>1424</v>
      </c>
      <c r="AE5" s="214" t="str">
        <f>+"Cost Effectiveness"&amp;" $/ton NOx(R)"</f>
        <v>Cost Effectiveness $/ton NOx(R)</v>
      </c>
      <c r="AF5" s="216"/>
      <c r="AG5" s="216"/>
      <c r="AH5" s="11014" t="s">
        <v>1432</v>
      </c>
      <c r="AI5" s="11014"/>
      <c r="AJ5" s="11014"/>
      <c r="AK5" s="11014"/>
      <c r="AL5" s="11014"/>
      <c r="AM5" s="11014"/>
      <c r="AN5" s="216"/>
      <c r="AO5" s="216"/>
      <c r="AP5" s="67" t="s">
        <v>413</v>
      </c>
      <c r="AQ5" s="66" t="s">
        <v>1406</v>
      </c>
      <c r="AR5" s="65" t="s">
        <v>1421</v>
      </c>
      <c r="AS5" s="66" t="s">
        <v>1410</v>
      </c>
      <c r="AT5" s="66" t="s">
        <v>1435</v>
      </c>
      <c r="AU5" s="214" t="str">
        <f>+"Cost Effectiveness"&amp;" $/ton NOx(R)"</f>
        <v>Cost Effectiveness $/ton NOx(R)</v>
      </c>
      <c r="AV5" s="8495"/>
      <c r="AW5" s="8495"/>
      <c r="AX5" s="271"/>
    </row>
    <row r="6" spans="1:50" ht="13.5" customHeight="1" thickBot="1">
      <c r="A6" s="216"/>
      <c r="B6" s="2430" t="s">
        <v>1761</v>
      </c>
      <c r="C6" s="216"/>
      <c r="D6" s="11013">
        <v>1</v>
      </c>
      <c r="E6" s="11013"/>
      <c r="F6" s="229">
        <f>1+D6</f>
        <v>2</v>
      </c>
      <c r="G6" s="229">
        <f>1+F6</f>
        <v>3</v>
      </c>
      <c r="H6" s="229">
        <f>1+G6</f>
        <v>4</v>
      </c>
      <c r="I6" s="229">
        <f>1+H6</f>
        <v>5</v>
      </c>
      <c r="J6" s="229">
        <f>1+I6</f>
        <v>6</v>
      </c>
      <c r="K6" s="8492"/>
      <c r="L6" s="216"/>
      <c r="M6" s="229">
        <f>1+J6</f>
        <v>7</v>
      </c>
      <c r="N6" s="229">
        <f>1+M6</f>
        <v>8</v>
      </c>
      <c r="O6" s="229">
        <f>1+N6</f>
        <v>9</v>
      </c>
      <c r="P6" s="229">
        <f>1+O6</f>
        <v>10</v>
      </c>
      <c r="Q6" s="216"/>
      <c r="R6" s="216"/>
      <c r="S6" s="216"/>
      <c r="T6" s="216"/>
      <c r="U6" s="216"/>
      <c r="V6" s="216"/>
      <c r="W6" s="216"/>
      <c r="X6" s="216"/>
      <c r="Y6" s="216"/>
      <c r="Z6" s="259">
        <v>1</v>
      </c>
      <c r="AA6" s="229">
        <v>2</v>
      </c>
      <c r="AB6" s="229">
        <v>3</v>
      </c>
      <c r="AC6" s="229">
        <v>4</v>
      </c>
      <c r="AD6" s="229">
        <v>5</v>
      </c>
      <c r="AE6" s="260">
        <v>6</v>
      </c>
      <c r="AF6" s="216"/>
      <c r="AG6" s="216"/>
      <c r="AH6" s="216"/>
      <c r="AI6" s="216"/>
      <c r="AJ6" s="216"/>
      <c r="AK6" s="216"/>
      <c r="AL6" s="216"/>
      <c r="AM6" s="216"/>
      <c r="AN6" s="216"/>
      <c r="AO6" s="216"/>
      <c r="AP6" s="259">
        <v>1</v>
      </c>
      <c r="AQ6" s="229">
        <v>2</v>
      </c>
      <c r="AR6" s="229">
        <v>3</v>
      </c>
      <c r="AS6" s="229">
        <v>4</v>
      </c>
      <c r="AT6" s="229">
        <v>5</v>
      </c>
      <c r="AU6" s="260">
        <v>6</v>
      </c>
      <c r="AV6" s="8492"/>
      <c r="AW6" s="8492"/>
      <c r="AX6" s="271"/>
    </row>
    <row r="7" spans="1:50">
      <c r="A7" s="216"/>
      <c r="B7" s="1363">
        <v>1</v>
      </c>
      <c r="C7" s="216"/>
      <c r="D7" s="99" t="s">
        <v>864</v>
      </c>
      <c r="E7" s="11015"/>
      <c r="F7" s="91">
        <v>149000</v>
      </c>
      <c r="G7" s="219">
        <f>2*F7</f>
        <v>298000</v>
      </c>
      <c r="H7" s="96">
        <v>387400</v>
      </c>
      <c r="I7" s="11005">
        <f>+SUM(H7:H23)</f>
        <v>1838294</v>
      </c>
      <c r="J7" s="265">
        <f t="shared" ref="J7:J21" si="0">+H7/G7</f>
        <v>1.3</v>
      </c>
      <c r="K7" s="265"/>
      <c r="L7" s="216"/>
      <c r="M7" s="91">
        <v>149000</v>
      </c>
      <c r="N7" s="219">
        <f>2*M7</f>
        <v>298000</v>
      </c>
      <c r="O7" s="96">
        <f>+N7</f>
        <v>298000</v>
      </c>
      <c r="P7" s="11008">
        <f>+SUM(O7:O23)</f>
        <v>1596480</v>
      </c>
      <c r="Q7" s="216"/>
      <c r="R7" s="245" t="s">
        <v>1096</v>
      </c>
      <c r="S7" s="232"/>
      <c r="T7" s="232"/>
      <c r="U7" s="232"/>
      <c r="V7" s="232"/>
      <c r="W7" s="240">
        <f>+H28</f>
        <v>18266776</v>
      </c>
      <c r="X7" s="8493"/>
      <c r="Y7" s="8493"/>
      <c r="Z7" s="250">
        <v>2011</v>
      </c>
      <c r="AA7" s="3460">
        <f>+W15</f>
        <v>4299999.0703999996</v>
      </c>
      <c r="AB7" s="8493">
        <f>+AC24</f>
        <v>167167</v>
      </c>
      <c r="AC7" s="95">
        <f t="shared" ref="AC7:AC12" si="1">+AB7+AA7</f>
        <v>4467166.0703999996</v>
      </c>
      <c r="AD7" s="249">
        <v>9.2070000000000007</v>
      </c>
      <c r="AE7" s="255">
        <f>+AC7/AD7</f>
        <v>485192.3612903225</v>
      </c>
      <c r="AF7" s="216"/>
      <c r="AG7" s="216"/>
      <c r="AH7" s="245" t="s">
        <v>1096</v>
      </c>
      <c r="AI7" s="232"/>
      <c r="AJ7" s="232"/>
      <c r="AK7" s="232"/>
      <c r="AL7" s="232"/>
      <c r="AM7" s="240">
        <f>+O28</f>
        <v>16024512</v>
      </c>
      <c r="AN7" s="8493"/>
      <c r="AO7" s="8493"/>
      <c r="AP7" s="250">
        <v>2011</v>
      </c>
      <c r="AQ7" s="8493">
        <f>+AM15</f>
        <v>2087382.2064233094</v>
      </c>
      <c r="AR7" s="8493">
        <f>+AS24</f>
        <v>167167</v>
      </c>
      <c r="AS7" s="95">
        <f t="shared" ref="AS7:AS12" si="2">+AR7+AQ7</f>
        <v>2254549.2064233096</v>
      </c>
      <c r="AT7" s="249">
        <v>10.8</v>
      </c>
      <c r="AU7" s="255">
        <f>+AS7/AT7</f>
        <v>208754.55615030642</v>
      </c>
      <c r="AV7" s="262"/>
      <c r="AW7" s="262"/>
      <c r="AX7" s="271"/>
    </row>
    <row r="8" spans="1:50">
      <c r="A8" s="216"/>
      <c r="B8" s="1363">
        <v>1</v>
      </c>
      <c r="C8" s="216"/>
      <c r="D8" s="216" t="s">
        <v>865</v>
      </c>
      <c r="E8" s="11016"/>
      <c r="F8" s="91">
        <v>92610</v>
      </c>
      <c r="G8" s="219">
        <f t="shared" ref="G8:G21" si="3">2*F8</f>
        <v>185220</v>
      </c>
      <c r="H8" s="96">
        <v>240786</v>
      </c>
      <c r="I8" s="11006"/>
      <c r="J8" s="265">
        <f t="shared" si="0"/>
        <v>1.3</v>
      </c>
      <c r="K8" s="265"/>
      <c r="L8" s="216"/>
      <c r="M8" s="91">
        <v>92610</v>
      </c>
      <c r="N8" s="219">
        <f t="shared" ref="N8:N21" si="4">2*M8</f>
        <v>185220</v>
      </c>
      <c r="O8" s="96">
        <f t="shared" ref="O8:O21" si="5">+N8</f>
        <v>185220</v>
      </c>
      <c r="P8" s="11009"/>
      <c r="Q8" s="216"/>
      <c r="R8" s="246" t="s">
        <v>1405</v>
      </c>
      <c r="S8" s="233"/>
      <c r="T8" s="233"/>
      <c r="U8" s="233"/>
      <c r="V8" s="233"/>
      <c r="W8" s="240">
        <f>5/100*W7+W7</f>
        <v>19180114.800000001</v>
      </c>
      <c r="X8" s="8492"/>
      <c r="Y8" s="8492"/>
      <c r="Z8" s="250">
        <f>1+Z7</f>
        <v>2012</v>
      </c>
      <c r="AA8" s="8493">
        <f>+AA7</f>
        <v>4299999.0703999996</v>
      </c>
      <c r="AB8" s="8493">
        <f>1.03*AB7</f>
        <v>172182.01</v>
      </c>
      <c r="AC8" s="95">
        <f t="shared" si="1"/>
        <v>4472181.0803999994</v>
      </c>
      <c r="AD8" s="8492"/>
      <c r="AE8" s="251"/>
      <c r="AF8" s="263"/>
      <c r="AG8" s="216"/>
      <c r="AH8" s="246" t="s">
        <v>1405</v>
      </c>
      <c r="AI8" s="233"/>
      <c r="AJ8" s="233"/>
      <c r="AK8" s="233"/>
      <c r="AL8" s="233"/>
      <c r="AM8" s="240">
        <f>5/100*AM7+AM7</f>
        <v>16825737.600000001</v>
      </c>
      <c r="AN8" s="8492"/>
      <c r="AO8" s="8492"/>
      <c r="AP8" s="250">
        <f>1+AP7</f>
        <v>2012</v>
      </c>
      <c r="AQ8" s="8493">
        <f>+AQ7</f>
        <v>2087382.2064233094</v>
      </c>
      <c r="AR8" s="8493">
        <f>1.03*AR7</f>
        <v>172182.01</v>
      </c>
      <c r="AS8" s="95">
        <f t="shared" si="2"/>
        <v>2259564.2164233094</v>
      </c>
      <c r="AT8" s="8492"/>
      <c r="AU8" s="251"/>
      <c r="AV8" s="263"/>
      <c r="AW8" s="263"/>
      <c r="AX8" s="271"/>
    </row>
    <row r="9" spans="1:50">
      <c r="A9" s="216"/>
      <c r="B9" s="1363">
        <v>1</v>
      </c>
      <c r="C9" s="216"/>
      <c r="D9" s="216" t="s">
        <v>866</v>
      </c>
      <c r="E9" s="11016"/>
      <c r="F9" s="91">
        <v>42500</v>
      </c>
      <c r="G9" s="219">
        <f t="shared" si="3"/>
        <v>85000</v>
      </c>
      <c r="H9" s="96">
        <v>110500</v>
      </c>
      <c r="I9" s="11006"/>
      <c r="J9" s="265">
        <f t="shared" si="0"/>
        <v>1.3</v>
      </c>
      <c r="K9" s="265"/>
      <c r="L9" s="216"/>
      <c r="M9" s="91">
        <v>42500</v>
      </c>
      <c r="N9" s="219">
        <f t="shared" si="4"/>
        <v>85000</v>
      </c>
      <c r="O9" s="96">
        <f t="shared" si="5"/>
        <v>85000</v>
      </c>
      <c r="P9" s="11009"/>
      <c r="Q9" s="216"/>
      <c r="R9" s="81"/>
      <c r="S9" s="216"/>
      <c r="T9" s="216"/>
      <c r="U9" s="216"/>
      <c r="V9" s="216"/>
      <c r="W9" s="5"/>
      <c r="X9" s="8492"/>
      <c r="Y9" s="8492"/>
      <c r="Z9" s="250">
        <f>1+Z8</f>
        <v>2013</v>
      </c>
      <c r="AA9" s="8493">
        <f>+AA8</f>
        <v>4299999.0703999996</v>
      </c>
      <c r="AB9" s="8493">
        <f>1.03*AB8</f>
        <v>177347.47030000002</v>
      </c>
      <c r="AC9" s="95">
        <f t="shared" si="1"/>
        <v>4477346.5406999998</v>
      </c>
      <c r="AD9" s="8492"/>
      <c r="AE9" s="251"/>
      <c r="AF9" s="263"/>
      <c r="AG9" s="216"/>
      <c r="AH9" s="81"/>
      <c r="AI9" s="216"/>
      <c r="AJ9" s="216"/>
      <c r="AK9" s="216"/>
      <c r="AL9" s="216"/>
      <c r="AM9" s="5"/>
      <c r="AN9" s="8492"/>
      <c r="AO9" s="8492"/>
      <c r="AP9" s="250">
        <f>1+AP8</f>
        <v>2013</v>
      </c>
      <c r="AQ9" s="8493">
        <f>+AQ8</f>
        <v>2087382.2064233094</v>
      </c>
      <c r="AR9" s="8493">
        <f>1.03*AR8</f>
        <v>177347.47030000002</v>
      </c>
      <c r="AS9" s="95">
        <f t="shared" si="2"/>
        <v>2264729.6767233093</v>
      </c>
      <c r="AT9" s="8492"/>
      <c r="AU9" s="251"/>
      <c r="AV9" s="263"/>
      <c r="AW9" s="263"/>
      <c r="AX9" s="271"/>
    </row>
    <row r="10" spans="1:50">
      <c r="A10" s="216"/>
      <c r="B10" s="310">
        <v>6</v>
      </c>
      <c r="C10" s="216"/>
      <c r="D10" s="216" t="s">
        <v>867</v>
      </c>
      <c r="E10" s="216"/>
      <c r="F10" s="91">
        <v>4030</v>
      </c>
      <c r="G10" s="219">
        <f t="shared" si="3"/>
        <v>8060</v>
      </c>
      <c r="H10" s="96">
        <v>10478</v>
      </c>
      <c r="I10" s="11006"/>
      <c r="J10" s="265">
        <f t="shared" si="0"/>
        <v>1.3</v>
      </c>
      <c r="K10" s="265"/>
      <c r="L10" s="216"/>
      <c r="M10" s="91">
        <v>4030</v>
      </c>
      <c r="N10" s="219">
        <f t="shared" si="4"/>
        <v>8060</v>
      </c>
      <c r="O10" s="96">
        <f t="shared" si="5"/>
        <v>8060</v>
      </c>
      <c r="P10" s="11009"/>
      <c r="Q10" s="8492"/>
      <c r="R10" s="81" t="s">
        <v>1401</v>
      </c>
      <c r="S10" s="8492"/>
      <c r="T10" s="8492"/>
      <c r="U10" s="8492"/>
      <c r="V10" s="8492"/>
      <c r="W10" s="241">
        <v>5</v>
      </c>
      <c r="X10" s="8492"/>
      <c r="Y10" s="8492"/>
      <c r="Z10" s="250">
        <f>1+Z9</f>
        <v>2014</v>
      </c>
      <c r="AA10" s="8493">
        <f>+AA9</f>
        <v>4299999.0703999996</v>
      </c>
      <c r="AB10" s="8493">
        <f>1.03*AB9</f>
        <v>182667.89440900003</v>
      </c>
      <c r="AC10" s="95">
        <f t="shared" si="1"/>
        <v>4482666.9648089996</v>
      </c>
      <c r="AD10" s="8492"/>
      <c r="AE10" s="251"/>
      <c r="AF10" s="263"/>
      <c r="AG10" s="8492"/>
      <c r="AH10" s="81" t="s">
        <v>1401</v>
      </c>
      <c r="AI10" s="8492"/>
      <c r="AJ10" s="8492"/>
      <c r="AK10" s="8492"/>
      <c r="AL10" s="8492"/>
      <c r="AM10" s="241">
        <v>15</v>
      </c>
      <c r="AN10" s="8492"/>
      <c r="AO10" s="8492"/>
      <c r="AP10" s="250">
        <f>1+AP9</f>
        <v>2014</v>
      </c>
      <c r="AQ10" s="8493">
        <f>+AQ9</f>
        <v>2087382.2064233094</v>
      </c>
      <c r="AR10" s="8493">
        <f>1.03*AR9</f>
        <v>182667.89440900003</v>
      </c>
      <c r="AS10" s="95">
        <f t="shared" si="2"/>
        <v>2270050.1008323096</v>
      </c>
      <c r="AT10" s="8492"/>
      <c r="AU10" s="251"/>
      <c r="AV10" s="263"/>
      <c r="AW10" s="263"/>
      <c r="AX10" s="271"/>
    </row>
    <row r="11" spans="1:50">
      <c r="A11" s="216"/>
      <c r="B11" s="310">
        <v>6</v>
      </c>
      <c r="C11" s="216"/>
      <c r="D11" s="216" t="s">
        <v>868</v>
      </c>
      <c r="E11" s="11016"/>
      <c r="F11" s="91">
        <v>22600</v>
      </c>
      <c r="G11" s="219">
        <f t="shared" si="3"/>
        <v>45200</v>
      </c>
      <c r="H11" s="96">
        <v>58760</v>
      </c>
      <c r="I11" s="11006"/>
      <c r="J11" s="265">
        <f t="shared" si="0"/>
        <v>1.3</v>
      </c>
      <c r="K11" s="265"/>
      <c r="L11" s="216"/>
      <c r="M11" s="91">
        <v>22600</v>
      </c>
      <c r="N11" s="219">
        <f t="shared" si="4"/>
        <v>45200</v>
      </c>
      <c r="O11" s="96">
        <f t="shared" si="5"/>
        <v>45200</v>
      </c>
      <c r="P11" s="11009"/>
      <c r="Q11" s="8492"/>
      <c r="R11" s="81" t="s">
        <v>1402</v>
      </c>
      <c r="S11" s="8492"/>
      <c r="T11" s="8492"/>
      <c r="U11" s="8492"/>
      <c r="V11" s="8492"/>
      <c r="W11" s="242">
        <v>0.06</v>
      </c>
      <c r="X11" s="8492"/>
      <c r="Y11" s="8492"/>
      <c r="Z11" s="250">
        <f>1+Z10</f>
        <v>2015</v>
      </c>
      <c r="AA11" s="8493">
        <f>+AA10</f>
        <v>4299999.0703999996</v>
      </c>
      <c r="AB11" s="8493">
        <f>1.03*AB10</f>
        <v>188147.93124127004</v>
      </c>
      <c r="AC11" s="95">
        <f t="shared" si="1"/>
        <v>4488147.0016412698</v>
      </c>
      <c r="AD11" s="8492"/>
      <c r="AE11" s="251"/>
      <c r="AF11" s="263"/>
      <c r="AG11" s="8492"/>
      <c r="AH11" s="81" t="s">
        <v>1402</v>
      </c>
      <c r="AI11" s="8492"/>
      <c r="AJ11" s="8492"/>
      <c r="AK11" s="8492"/>
      <c r="AL11" s="8492"/>
      <c r="AM11" s="242">
        <v>0.09</v>
      </c>
      <c r="AN11" s="8492"/>
      <c r="AO11" s="8492"/>
      <c r="AP11" s="250">
        <f>1+AP10</f>
        <v>2015</v>
      </c>
      <c r="AQ11" s="8493">
        <f>+AQ10</f>
        <v>2087382.2064233094</v>
      </c>
      <c r="AR11" s="8493">
        <f>1.03*AR10</f>
        <v>188147.93124127004</v>
      </c>
      <c r="AS11" s="95">
        <f t="shared" si="2"/>
        <v>2275530.1376645793</v>
      </c>
      <c r="AT11" s="8492"/>
      <c r="AU11" s="251"/>
      <c r="AV11" s="263"/>
      <c r="AW11" s="263"/>
      <c r="AX11" s="271"/>
    </row>
    <row r="12" spans="1:50">
      <c r="A12" s="216"/>
      <c r="B12" s="310">
        <v>7</v>
      </c>
      <c r="C12" s="216"/>
      <c r="D12" s="216" t="s">
        <v>869</v>
      </c>
      <c r="E12" s="11016"/>
      <c r="F12" s="91">
        <v>90000</v>
      </c>
      <c r="G12" s="219">
        <f t="shared" si="3"/>
        <v>180000</v>
      </c>
      <c r="H12" s="96">
        <v>234000</v>
      </c>
      <c r="I12" s="11006"/>
      <c r="J12" s="265">
        <f t="shared" si="0"/>
        <v>1.3</v>
      </c>
      <c r="K12" s="265"/>
      <c r="L12" s="216"/>
      <c r="M12" s="91">
        <v>90000</v>
      </c>
      <c r="N12" s="219">
        <f t="shared" si="4"/>
        <v>180000</v>
      </c>
      <c r="O12" s="96">
        <f t="shared" si="5"/>
        <v>180000</v>
      </c>
      <c r="P12" s="11009"/>
      <c r="Q12" s="8492"/>
      <c r="R12" s="82" t="s">
        <v>1404</v>
      </c>
      <c r="S12" s="213"/>
      <c r="T12" s="213"/>
      <c r="U12" s="213"/>
      <c r="V12" s="213"/>
      <c r="W12" s="269">
        <f>+(W11*(1+W11)^W10)/((1+W11)^W10-1)</f>
        <v>0.23739640043118937</v>
      </c>
      <c r="X12" s="8492" t="s">
        <v>894</v>
      </c>
      <c r="Y12" s="8492"/>
      <c r="Z12" s="252">
        <f>1+Z11</f>
        <v>2016</v>
      </c>
      <c r="AA12" s="213"/>
      <c r="AB12" s="8494">
        <f>1.03*AB11</f>
        <v>193792.36917850815</v>
      </c>
      <c r="AC12" s="253">
        <f t="shared" si="1"/>
        <v>193792.36917850815</v>
      </c>
      <c r="AD12" s="213"/>
      <c r="AE12" s="254"/>
      <c r="AF12" s="263"/>
      <c r="AG12" s="8492"/>
      <c r="AH12" s="82" t="s">
        <v>1404</v>
      </c>
      <c r="AI12" s="213"/>
      <c r="AJ12" s="213"/>
      <c r="AK12" s="213"/>
      <c r="AL12" s="213"/>
      <c r="AM12" s="269">
        <f>+(AM11*(1+AM11)^AM10)/((1+AM11)^AM10-1)</f>
        <v>0.12405888265031004</v>
      </c>
      <c r="AN12" s="8492" t="s">
        <v>894</v>
      </c>
      <c r="AO12" s="8492"/>
      <c r="AP12" s="252">
        <f>1+AP11</f>
        <v>2016</v>
      </c>
      <c r="AQ12" s="213"/>
      <c r="AR12" s="8494">
        <f>1.03*AR11</f>
        <v>193792.36917850815</v>
      </c>
      <c r="AS12" s="253">
        <f t="shared" si="2"/>
        <v>193792.36917850815</v>
      </c>
      <c r="AT12" s="213"/>
      <c r="AU12" s="254"/>
      <c r="AV12" s="263"/>
      <c r="AW12" s="263"/>
      <c r="AX12" s="271"/>
    </row>
    <row r="13" spans="1:50">
      <c r="A13" s="216"/>
      <c r="B13" s="310">
        <v>7</v>
      </c>
      <c r="C13" s="216"/>
      <c r="D13" s="216" t="s">
        <v>870</v>
      </c>
      <c r="E13" s="11016"/>
      <c r="F13" s="91">
        <v>36000</v>
      </c>
      <c r="G13" s="219">
        <f t="shared" si="3"/>
        <v>72000</v>
      </c>
      <c r="H13" s="96">
        <v>93600</v>
      </c>
      <c r="I13" s="11006"/>
      <c r="J13" s="265">
        <f t="shared" si="0"/>
        <v>1.3</v>
      </c>
      <c r="K13" s="265"/>
      <c r="L13" s="216"/>
      <c r="M13" s="91">
        <v>36000</v>
      </c>
      <c r="N13" s="219">
        <f t="shared" si="4"/>
        <v>72000</v>
      </c>
      <c r="O13" s="96">
        <f t="shared" si="5"/>
        <v>72000</v>
      </c>
      <c r="P13" s="11009"/>
      <c r="Q13" s="8492"/>
      <c r="R13" s="81" t="s">
        <v>1403</v>
      </c>
      <c r="S13" s="8492"/>
      <c r="T13" s="8492"/>
      <c r="U13" s="8492"/>
      <c r="V13" s="8492"/>
      <c r="W13" s="243">
        <v>0.2354</v>
      </c>
      <c r="X13" s="8492" t="s">
        <v>895</v>
      </c>
      <c r="Y13" s="8492"/>
      <c r="Z13" s="235"/>
      <c r="AA13" s="8492"/>
      <c r="AB13" s="8492"/>
      <c r="AC13" s="8492"/>
      <c r="AD13" s="8492"/>
      <c r="AE13" s="263"/>
      <c r="AF13" s="263"/>
      <c r="AG13" s="8492"/>
      <c r="AH13" s="81" t="s">
        <v>1403</v>
      </c>
      <c r="AI13" s="8492"/>
      <c r="AJ13" s="8492"/>
      <c r="AK13" s="8492"/>
      <c r="AL13" s="8492"/>
      <c r="AM13" s="270">
        <f>+AM12</f>
        <v>0.12405888265031004</v>
      </c>
      <c r="AN13" s="8492" t="s">
        <v>895</v>
      </c>
      <c r="AO13" s="8492"/>
      <c r="AP13" s="235"/>
      <c r="AQ13" s="8492"/>
      <c r="AR13" s="8492"/>
      <c r="AS13" s="8492"/>
      <c r="AT13" s="8492"/>
      <c r="AU13" s="263"/>
      <c r="AV13" s="93"/>
      <c r="AW13" s="93"/>
      <c r="AX13" s="271"/>
    </row>
    <row r="14" spans="1:50">
      <c r="A14" s="216"/>
      <c r="B14" s="310">
        <v>2</v>
      </c>
      <c r="C14" s="216"/>
      <c r="D14" s="216" t="s">
        <v>871</v>
      </c>
      <c r="E14" s="216"/>
      <c r="F14" s="91">
        <v>10000</v>
      </c>
      <c r="G14" s="219">
        <f t="shared" si="3"/>
        <v>20000</v>
      </c>
      <c r="H14" s="96">
        <v>26000</v>
      </c>
      <c r="I14" s="11006"/>
      <c r="J14" s="265">
        <f t="shared" si="0"/>
        <v>1.3</v>
      </c>
      <c r="K14" s="265"/>
      <c r="L14" s="216"/>
      <c r="M14" s="91">
        <v>10000</v>
      </c>
      <c r="N14" s="219">
        <f t="shared" si="4"/>
        <v>20000</v>
      </c>
      <c r="O14" s="96">
        <f t="shared" si="5"/>
        <v>20000</v>
      </c>
      <c r="P14" s="11009"/>
      <c r="Q14" s="8492"/>
      <c r="R14" s="81"/>
      <c r="S14" s="216"/>
      <c r="T14" s="216"/>
      <c r="U14" s="216"/>
      <c r="V14" s="216"/>
      <c r="W14" s="5"/>
      <c r="X14" s="216"/>
      <c r="Y14" s="216"/>
      <c r="Z14" s="216"/>
      <c r="AA14" s="216"/>
      <c r="AB14" s="216"/>
      <c r="AC14" s="216"/>
      <c r="AD14" s="216"/>
      <c r="AE14" s="216"/>
      <c r="AF14" s="216"/>
      <c r="AG14" s="8492"/>
      <c r="AH14" s="81"/>
      <c r="AI14" s="216"/>
      <c r="AJ14" s="216"/>
      <c r="AK14" s="216"/>
      <c r="AL14" s="216"/>
      <c r="AM14" s="5"/>
      <c r="AN14" s="216"/>
      <c r="AO14" s="216"/>
      <c r="AP14" s="216"/>
      <c r="AQ14" s="216"/>
      <c r="AR14" s="216"/>
      <c r="AS14" s="216"/>
      <c r="AT14" s="216"/>
      <c r="AU14" s="216"/>
      <c r="AV14" s="271"/>
      <c r="AW14" s="271"/>
      <c r="AX14" s="271"/>
    </row>
    <row r="15" spans="1:50">
      <c r="A15" s="216"/>
      <c r="B15" s="310">
        <v>2</v>
      </c>
      <c r="C15" s="216"/>
      <c r="D15" s="216" t="s">
        <v>872</v>
      </c>
      <c r="E15" s="216"/>
      <c r="F15" s="91">
        <v>30100</v>
      </c>
      <c r="G15" s="272">
        <f>+F15</f>
        <v>30100</v>
      </c>
      <c r="H15" s="96">
        <v>39130</v>
      </c>
      <c r="I15" s="11006"/>
      <c r="J15" s="265">
        <f t="shared" si="0"/>
        <v>1.3</v>
      </c>
      <c r="K15" s="265"/>
      <c r="L15" s="216"/>
      <c r="M15" s="91">
        <v>30100</v>
      </c>
      <c r="N15" s="219">
        <f t="shared" si="4"/>
        <v>60200</v>
      </c>
      <c r="O15" s="96">
        <f t="shared" si="5"/>
        <v>60200</v>
      </c>
      <c r="P15" s="11009"/>
      <c r="Q15" s="8492"/>
      <c r="R15" s="237" t="s">
        <v>1422</v>
      </c>
      <c r="S15" s="238"/>
      <c r="T15" s="238"/>
      <c r="U15" s="238"/>
      <c r="V15" s="238"/>
      <c r="W15" s="244">
        <f>+W13*W7</f>
        <v>4299999.0703999996</v>
      </c>
      <c r="X15" s="8492" t="s">
        <v>896</v>
      </c>
      <c r="Y15" s="8492"/>
      <c r="Z15" s="264" t="s">
        <v>1426</v>
      </c>
      <c r="AA15" s="216"/>
      <c r="AB15" s="216"/>
      <c r="AC15" s="216"/>
      <c r="AD15" s="216"/>
      <c r="AE15" s="216"/>
      <c r="AF15" s="216"/>
      <c r="AG15" s="8492"/>
      <c r="AH15" s="237" t="s">
        <v>1434</v>
      </c>
      <c r="AI15" s="238"/>
      <c r="AJ15" s="238"/>
      <c r="AK15" s="238"/>
      <c r="AL15" s="238"/>
      <c r="AM15" s="244">
        <f>+AM13*AM8</f>
        <v>2087382.2064233094</v>
      </c>
      <c r="AN15" s="8492" t="s">
        <v>896</v>
      </c>
      <c r="AO15" s="8492"/>
      <c r="AP15" s="264" t="s">
        <v>1426</v>
      </c>
      <c r="AQ15" s="216"/>
      <c r="AR15" s="216"/>
      <c r="AS15" s="216"/>
      <c r="AT15" s="216"/>
      <c r="AU15" s="216"/>
      <c r="AV15" s="271"/>
      <c r="AW15" s="271"/>
      <c r="AX15" s="271"/>
    </row>
    <row r="16" spans="1:50">
      <c r="A16" s="216"/>
      <c r="B16" s="310">
        <v>3</v>
      </c>
      <c r="C16" s="216"/>
      <c r="D16" s="216" t="s">
        <v>873</v>
      </c>
      <c r="E16" s="216"/>
      <c r="F16" s="91">
        <v>23400</v>
      </c>
      <c r="G16" s="219">
        <f t="shared" si="3"/>
        <v>46800</v>
      </c>
      <c r="H16" s="96">
        <v>60840</v>
      </c>
      <c r="I16" s="11006"/>
      <c r="J16" s="265">
        <f t="shared" si="0"/>
        <v>1.3</v>
      </c>
      <c r="K16" s="265"/>
      <c r="L16" s="216"/>
      <c r="M16" s="91">
        <v>23400</v>
      </c>
      <c r="N16" s="219">
        <f t="shared" si="4"/>
        <v>46800</v>
      </c>
      <c r="O16" s="96">
        <f t="shared" si="5"/>
        <v>46800</v>
      </c>
      <c r="P16" s="11009"/>
      <c r="Q16" s="8492"/>
      <c r="R16" s="81" t="s">
        <v>1423</v>
      </c>
      <c r="S16" s="216"/>
      <c r="T16" s="216"/>
      <c r="U16" s="216"/>
      <c r="V16" s="216"/>
      <c r="W16" s="248">
        <f>+W15/8</f>
        <v>537499.88379999995</v>
      </c>
      <c r="X16" s="8492"/>
      <c r="Y16" s="8492"/>
      <c r="Z16" s="261">
        <v>2011</v>
      </c>
      <c r="AA16" s="256">
        <f>+AA7/8</f>
        <v>537499.88379999995</v>
      </c>
      <c r="AB16" s="256">
        <f>+AB7/8</f>
        <v>20895.875</v>
      </c>
      <c r="AC16" s="257">
        <f>+AC7/8</f>
        <v>558395.75879999995</v>
      </c>
      <c r="AD16" s="258">
        <f>+AD7/8</f>
        <v>1.1508750000000001</v>
      </c>
      <c r="AE16" s="234">
        <f>+AC16/AD16</f>
        <v>485192.3612903225</v>
      </c>
      <c r="AF16" s="262"/>
      <c r="AG16" s="8492"/>
      <c r="AH16" s="81" t="s">
        <v>1436</v>
      </c>
      <c r="AI16" s="216"/>
      <c r="AJ16" s="216"/>
      <c r="AK16" s="216"/>
      <c r="AL16" s="216"/>
      <c r="AM16" s="248">
        <f>+AM15/8</f>
        <v>260922.77580291367</v>
      </c>
      <c r="AN16" s="8492"/>
      <c r="AO16" s="8492"/>
      <c r="AP16" s="261">
        <v>2011</v>
      </c>
      <c r="AQ16" s="256">
        <f>+AQ7/8</f>
        <v>260922.77580291367</v>
      </c>
      <c r="AR16" s="256">
        <f>+AR7/8</f>
        <v>20895.875</v>
      </c>
      <c r="AS16" s="257">
        <f>+AS7/8</f>
        <v>281818.6508029137</v>
      </c>
      <c r="AT16" s="258">
        <f>+AT7/8</f>
        <v>1.35</v>
      </c>
      <c r="AU16" s="234">
        <f>+AS16/AT16</f>
        <v>208754.55615030642</v>
      </c>
      <c r="AV16" s="262"/>
      <c r="AW16" s="262"/>
      <c r="AX16" s="271"/>
    </row>
    <row r="17" spans="1:50">
      <c r="A17" s="216"/>
      <c r="B17" s="310">
        <v>3</v>
      </c>
      <c r="C17" s="216"/>
      <c r="D17" s="216" t="s">
        <v>874</v>
      </c>
      <c r="E17" s="216"/>
      <c r="F17" s="91">
        <v>90000</v>
      </c>
      <c r="G17" s="273">
        <f>+F17</f>
        <v>90000</v>
      </c>
      <c r="H17" s="96">
        <v>117000</v>
      </c>
      <c r="I17" s="11006"/>
      <c r="J17" s="265">
        <f t="shared" si="0"/>
        <v>1.3</v>
      </c>
      <c r="K17" s="265"/>
      <c r="L17" s="216"/>
      <c r="M17" s="91">
        <v>90000</v>
      </c>
      <c r="N17" s="219">
        <f t="shared" si="4"/>
        <v>180000</v>
      </c>
      <c r="O17" s="96">
        <f t="shared" si="5"/>
        <v>180000</v>
      </c>
      <c r="P17" s="11009"/>
      <c r="Q17" s="8492"/>
      <c r="R17" s="216"/>
      <c r="S17" s="216"/>
      <c r="T17" s="216"/>
      <c r="U17" s="216"/>
      <c r="V17" s="216"/>
      <c r="W17" s="216"/>
      <c r="X17" s="8492"/>
      <c r="Y17" s="8492"/>
      <c r="Z17" s="216"/>
      <c r="AA17" s="216"/>
      <c r="AB17" s="216"/>
      <c r="AC17" s="216"/>
      <c r="AD17" s="216"/>
      <c r="AE17" s="216"/>
      <c r="AF17" s="216"/>
      <c r="AG17" s="8492"/>
      <c r="AH17" s="216"/>
      <c r="AI17" s="216"/>
      <c r="AJ17" s="216"/>
      <c r="AK17" s="216"/>
      <c r="AL17" s="216"/>
      <c r="AM17" s="216"/>
      <c r="AN17" s="8492"/>
      <c r="AO17" s="8492"/>
      <c r="AP17" s="216"/>
      <c r="AQ17" s="216"/>
      <c r="AR17" s="216"/>
      <c r="AS17" s="216"/>
      <c r="AT17" s="216"/>
      <c r="AU17" s="216"/>
      <c r="AV17" s="271"/>
      <c r="AW17" s="271"/>
      <c r="AX17" s="271"/>
    </row>
    <row r="18" spans="1:50" ht="12.75" customHeight="1">
      <c r="A18" s="216"/>
      <c r="B18" s="310">
        <v>2</v>
      </c>
      <c r="C18" s="216"/>
      <c r="D18" s="216" t="s">
        <v>875</v>
      </c>
      <c r="E18" s="216"/>
      <c r="F18" s="91">
        <v>18900</v>
      </c>
      <c r="G18" s="219">
        <f t="shared" si="3"/>
        <v>37800</v>
      </c>
      <c r="H18" s="96">
        <v>49140</v>
      </c>
      <c r="I18" s="11006"/>
      <c r="J18" s="265">
        <f t="shared" si="0"/>
        <v>1.3</v>
      </c>
      <c r="K18" s="265"/>
      <c r="L18" s="216"/>
      <c r="M18" s="91">
        <v>18900</v>
      </c>
      <c r="N18" s="219">
        <f t="shared" si="4"/>
        <v>37800</v>
      </c>
      <c r="O18" s="96">
        <f t="shared" si="5"/>
        <v>37800</v>
      </c>
      <c r="P18" s="11009"/>
      <c r="Q18" s="8492"/>
      <c r="R18" s="181" t="s">
        <v>912</v>
      </c>
      <c r="S18" s="216"/>
      <c r="T18" s="216"/>
      <c r="U18" s="216"/>
      <c r="V18" s="216"/>
      <c r="W18" s="8492"/>
      <c r="X18" s="8492"/>
      <c r="Y18" s="8492"/>
      <c r="Z18" s="264" t="s">
        <v>1411</v>
      </c>
      <c r="AA18" s="216"/>
      <c r="AB18" s="216"/>
      <c r="AC18" s="216"/>
      <c r="AD18" s="216"/>
      <c r="AE18" s="216"/>
      <c r="AF18" s="216"/>
      <c r="AG18" s="8492"/>
      <c r="AH18" s="181" t="s">
        <v>912</v>
      </c>
      <c r="AI18" s="216"/>
      <c r="AJ18" s="216"/>
      <c r="AK18" s="216"/>
      <c r="AL18" s="216"/>
      <c r="AM18" s="8492"/>
      <c r="AN18" s="8492"/>
      <c r="AO18" s="8492"/>
      <c r="AP18" s="264" t="s">
        <v>1411</v>
      </c>
      <c r="AQ18" s="216"/>
      <c r="AR18" s="216"/>
      <c r="AS18" s="216"/>
      <c r="AT18" s="216"/>
      <c r="AU18" s="216"/>
      <c r="AV18" s="271"/>
      <c r="AW18" s="271"/>
      <c r="AX18" s="271"/>
    </row>
    <row r="19" spans="1:50">
      <c r="A19" s="216"/>
      <c r="B19" s="310">
        <v>2</v>
      </c>
      <c r="C19" s="216"/>
      <c r="D19" s="216" t="s">
        <v>876</v>
      </c>
      <c r="E19" s="216"/>
      <c r="F19" s="91">
        <v>34300</v>
      </c>
      <c r="G19" s="219">
        <f t="shared" si="3"/>
        <v>68600</v>
      </c>
      <c r="H19" s="96">
        <v>89180</v>
      </c>
      <c r="I19" s="11006"/>
      <c r="J19" s="265">
        <f t="shared" si="0"/>
        <v>1.3</v>
      </c>
      <c r="K19" s="265"/>
      <c r="L19" s="216"/>
      <c r="M19" s="91">
        <v>34300</v>
      </c>
      <c r="N19" s="219">
        <f t="shared" si="4"/>
        <v>68600</v>
      </c>
      <c r="O19" s="96">
        <f t="shared" si="5"/>
        <v>68600</v>
      </c>
      <c r="P19" s="11009"/>
      <c r="Q19" s="8492"/>
      <c r="R19" s="111" t="s">
        <v>894</v>
      </c>
      <c r="S19" s="11003" t="s">
        <v>1407</v>
      </c>
      <c r="T19" s="11003"/>
      <c r="U19" s="11003"/>
      <c r="V19" s="11003"/>
      <c r="W19" s="11003"/>
      <c r="X19" s="8492"/>
      <c r="Y19" s="8492"/>
      <c r="Z19" s="216" t="s">
        <v>1416</v>
      </c>
      <c r="AA19" s="8492"/>
      <c r="AB19" s="236"/>
      <c r="AC19" s="247">
        <v>55343</v>
      </c>
      <c r="AD19" s="8492"/>
      <c r="AE19" s="263"/>
      <c r="AF19" s="263"/>
      <c r="AG19" s="8492"/>
      <c r="AH19" s="111" t="s">
        <v>894</v>
      </c>
      <c r="AI19" s="11003" t="s">
        <v>1407</v>
      </c>
      <c r="AJ19" s="11003"/>
      <c r="AK19" s="11003"/>
      <c r="AL19" s="11003"/>
      <c r="AM19" s="11003"/>
      <c r="AN19" s="8492"/>
      <c r="AO19" s="8492"/>
      <c r="AP19" s="216" t="s">
        <v>1416</v>
      </c>
      <c r="AQ19" s="8492"/>
      <c r="AR19" s="236"/>
      <c r="AS19" s="247">
        <v>55343</v>
      </c>
      <c r="AT19" s="8492"/>
      <c r="AU19" s="263"/>
      <c r="AV19" s="93"/>
      <c r="AW19" s="93"/>
      <c r="AX19" s="271"/>
    </row>
    <row r="20" spans="1:50">
      <c r="A20" s="216"/>
      <c r="B20" s="310">
        <v>4</v>
      </c>
      <c r="C20" s="216"/>
      <c r="D20" s="216" t="s">
        <v>880</v>
      </c>
      <c r="E20" s="216"/>
      <c r="F20" s="91">
        <v>14400</v>
      </c>
      <c r="G20" s="219">
        <f t="shared" si="3"/>
        <v>28800</v>
      </c>
      <c r="H20" s="96">
        <v>37440</v>
      </c>
      <c r="I20" s="11006"/>
      <c r="J20" s="265">
        <f t="shared" si="0"/>
        <v>1.3</v>
      </c>
      <c r="K20" s="265"/>
      <c r="L20" s="216"/>
      <c r="M20" s="91">
        <v>14400</v>
      </c>
      <c r="N20" s="219">
        <f t="shared" si="4"/>
        <v>28800</v>
      </c>
      <c r="O20" s="96">
        <f t="shared" si="5"/>
        <v>28800</v>
      </c>
      <c r="P20" s="11009"/>
      <c r="Q20" s="8492"/>
      <c r="R20" s="239"/>
      <c r="S20" s="11003"/>
      <c r="T20" s="11003"/>
      <c r="U20" s="11003"/>
      <c r="V20" s="11003"/>
      <c r="W20" s="11003"/>
      <c r="X20" s="216"/>
      <c r="Y20" s="216"/>
      <c r="Z20" s="216" t="s">
        <v>1412</v>
      </c>
      <c r="AA20" s="8492"/>
      <c r="AB20" s="236"/>
      <c r="AC20" s="247">
        <v>97</v>
      </c>
      <c r="AD20" s="8492"/>
      <c r="AE20" s="263"/>
      <c r="AF20" s="263"/>
      <c r="AG20" s="8492"/>
      <c r="AH20" s="239"/>
      <c r="AI20" s="11003"/>
      <c r="AJ20" s="11003"/>
      <c r="AK20" s="11003"/>
      <c r="AL20" s="11003"/>
      <c r="AM20" s="11003"/>
      <c r="AN20" s="216"/>
      <c r="AO20" s="216"/>
      <c r="AP20" s="216" t="s">
        <v>1412</v>
      </c>
      <c r="AQ20" s="8492"/>
      <c r="AR20" s="236"/>
      <c r="AS20" s="247">
        <v>97</v>
      </c>
      <c r="AT20" s="8492"/>
      <c r="AU20" s="263"/>
      <c r="AV20" s="93"/>
      <c r="AW20" s="93"/>
      <c r="AX20" s="271"/>
    </row>
    <row r="21" spans="1:50">
      <c r="A21" s="216"/>
      <c r="B21" s="310">
        <v>4</v>
      </c>
      <c r="C21" s="216"/>
      <c r="D21" s="216" t="s">
        <v>877</v>
      </c>
      <c r="E21" s="216"/>
      <c r="F21" s="91">
        <v>5400</v>
      </c>
      <c r="G21" s="219">
        <f t="shared" si="3"/>
        <v>10800</v>
      </c>
      <c r="H21" s="96">
        <v>14040</v>
      </c>
      <c r="I21" s="11006"/>
      <c r="J21" s="265">
        <f t="shared" si="0"/>
        <v>1.3</v>
      </c>
      <c r="K21" s="265"/>
      <c r="L21" s="216"/>
      <c r="M21" s="91">
        <v>5400</v>
      </c>
      <c r="N21" s="219">
        <f t="shared" si="4"/>
        <v>10800</v>
      </c>
      <c r="O21" s="96">
        <f t="shared" si="5"/>
        <v>10800</v>
      </c>
      <c r="P21" s="11009"/>
      <c r="Q21" s="8492"/>
      <c r="R21" s="86" t="s">
        <v>895</v>
      </c>
      <c r="S21" s="216" t="s">
        <v>1408</v>
      </c>
      <c r="T21" s="216"/>
      <c r="U21" s="216"/>
      <c r="V21" s="216"/>
      <c r="W21" s="216"/>
      <c r="X21" s="8492"/>
      <c r="Y21" s="8492"/>
      <c r="Z21" s="216" t="s">
        <v>1413</v>
      </c>
      <c r="AA21" s="8492"/>
      <c r="AB21" s="236"/>
      <c r="AC21" s="247">
        <v>4830</v>
      </c>
      <c r="AD21" s="8492"/>
      <c r="AE21" s="216"/>
      <c r="AF21" s="216"/>
      <c r="AG21" s="8492"/>
      <c r="AH21" s="86"/>
      <c r="AI21" s="216"/>
      <c r="AJ21" s="216"/>
      <c r="AK21" s="216"/>
      <c r="AL21" s="216"/>
      <c r="AM21" s="216"/>
      <c r="AN21" s="8492"/>
      <c r="AO21" s="8492"/>
      <c r="AP21" s="216" t="s">
        <v>1413</v>
      </c>
      <c r="AQ21" s="8492"/>
      <c r="AR21" s="236"/>
      <c r="AS21" s="247">
        <v>4830</v>
      </c>
      <c r="AT21" s="8492"/>
      <c r="AU21" s="216"/>
      <c r="AV21" s="271"/>
      <c r="AW21" s="271"/>
      <c r="AX21" s="271"/>
    </row>
    <row r="22" spans="1:50">
      <c r="A22" s="216"/>
      <c r="B22" s="216"/>
      <c r="C22" s="216"/>
      <c r="D22" s="216" t="s">
        <v>878</v>
      </c>
      <c r="E22" s="91"/>
      <c r="F22" s="219">
        <v>40000</v>
      </c>
      <c r="G22" s="91"/>
      <c r="H22" s="96">
        <v>40000</v>
      </c>
      <c r="I22" s="11006"/>
      <c r="J22" s="265"/>
      <c r="K22" s="265"/>
      <c r="L22" s="216"/>
      <c r="M22" s="219">
        <v>40000</v>
      </c>
      <c r="N22" s="91"/>
      <c r="O22" s="96">
        <v>40000</v>
      </c>
      <c r="P22" s="11009"/>
      <c r="Q22" s="8492"/>
      <c r="R22" s="111" t="s">
        <v>896</v>
      </c>
      <c r="S22" s="11001" t="s">
        <v>1409</v>
      </c>
      <c r="T22" s="11001"/>
      <c r="U22" s="11001"/>
      <c r="V22" s="11001"/>
      <c r="W22" s="11001"/>
      <c r="X22" s="8492"/>
      <c r="Y22" s="8492"/>
      <c r="Z22" s="216" t="s">
        <v>1414</v>
      </c>
      <c r="AA22" s="8492"/>
      <c r="AB22" s="236"/>
      <c r="AC22" s="247">
        <v>100000</v>
      </c>
      <c r="AD22" s="8492"/>
      <c r="AE22" s="216"/>
      <c r="AF22" s="216"/>
      <c r="AG22" s="8492"/>
      <c r="AH22" s="111" t="s">
        <v>896</v>
      </c>
      <c r="AI22" s="11001" t="s">
        <v>1409</v>
      </c>
      <c r="AJ22" s="11001"/>
      <c r="AK22" s="11001"/>
      <c r="AL22" s="11001"/>
      <c r="AM22" s="11001"/>
      <c r="AN22" s="8492"/>
      <c r="AO22" s="8492"/>
      <c r="AP22" s="216" t="s">
        <v>1414</v>
      </c>
      <c r="AQ22" s="8492"/>
      <c r="AR22" s="236"/>
      <c r="AS22" s="247">
        <v>100000</v>
      </c>
      <c r="AT22" s="8492"/>
      <c r="AU22" s="216"/>
      <c r="AV22" s="271"/>
      <c r="AW22" s="271"/>
      <c r="AX22" s="271"/>
    </row>
    <row r="23" spans="1:50" ht="12.75" customHeight="1">
      <c r="A23" s="216"/>
      <c r="B23" s="216"/>
      <c r="C23" s="216"/>
      <c r="D23" s="9" t="s">
        <v>879</v>
      </c>
      <c r="E23" s="9"/>
      <c r="F23" s="9"/>
      <c r="G23" s="9"/>
      <c r="H23" s="97">
        <v>230000</v>
      </c>
      <c r="I23" s="11007"/>
      <c r="J23" s="265"/>
      <c r="K23" s="265"/>
      <c r="L23" s="216"/>
      <c r="M23" s="92"/>
      <c r="N23" s="9"/>
      <c r="O23" s="97">
        <v>230000</v>
      </c>
      <c r="P23" s="11010"/>
      <c r="Q23" s="8492"/>
      <c r="R23" s="216"/>
      <c r="S23" s="11001"/>
      <c r="T23" s="11001"/>
      <c r="U23" s="11001"/>
      <c r="V23" s="11001"/>
      <c r="W23" s="11001"/>
      <c r="X23" s="8492"/>
      <c r="Y23" s="8492"/>
      <c r="Z23" s="9" t="s">
        <v>1419</v>
      </c>
      <c r="AA23" s="213"/>
      <c r="AB23" s="213"/>
      <c r="AC23" s="224">
        <v>6897</v>
      </c>
      <c r="AD23" s="8492"/>
      <c r="AE23" s="216"/>
      <c r="AF23" s="216"/>
      <c r="AG23" s="8492"/>
      <c r="AH23" s="216"/>
      <c r="AI23" s="11001"/>
      <c r="AJ23" s="11001"/>
      <c r="AK23" s="11001"/>
      <c r="AL23" s="11001"/>
      <c r="AM23" s="11001"/>
      <c r="AN23" s="8492"/>
      <c r="AO23" s="8492"/>
      <c r="AP23" s="9" t="s">
        <v>1419</v>
      </c>
      <c r="AQ23" s="213"/>
      <c r="AR23" s="213"/>
      <c r="AS23" s="224">
        <v>6897</v>
      </c>
      <c r="AT23" s="8492"/>
      <c r="AU23" s="216"/>
      <c r="AV23" s="271"/>
      <c r="AW23" s="271"/>
      <c r="AX23" s="271"/>
    </row>
    <row r="24" spans="1:50">
      <c r="A24" s="216"/>
      <c r="B24" s="216"/>
      <c r="C24" s="216"/>
      <c r="D24" s="211" t="s">
        <v>1397</v>
      </c>
      <c r="E24" s="211"/>
      <c r="F24" s="225">
        <v>184000</v>
      </c>
      <c r="G24" s="226">
        <f>2*F24</f>
        <v>368000</v>
      </c>
      <c r="H24" s="227">
        <v>478400</v>
      </c>
      <c r="I24" s="86"/>
      <c r="J24" s="265">
        <f>+H24/G24</f>
        <v>1.3</v>
      </c>
      <c r="K24" s="265"/>
      <c r="L24" s="216"/>
      <c r="M24" s="211"/>
      <c r="N24" s="225">
        <f>10%*P7</f>
        <v>159648</v>
      </c>
      <c r="O24" s="227">
        <f>+N24</f>
        <v>159648</v>
      </c>
      <c r="P24" s="216"/>
      <c r="Q24" s="216"/>
      <c r="R24" s="111" t="s">
        <v>1163</v>
      </c>
      <c r="S24" s="81" t="s">
        <v>1420</v>
      </c>
      <c r="T24" s="216"/>
      <c r="U24" s="216"/>
      <c r="V24" s="216"/>
      <c r="W24" s="216"/>
      <c r="X24" s="216"/>
      <c r="Y24" s="216"/>
      <c r="Z24" s="216" t="s">
        <v>1415</v>
      </c>
      <c r="AA24" s="216"/>
      <c r="AB24" s="216"/>
      <c r="AC24" s="247">
        <f>+SUM(AC19:AC23)</f>
        <v>167167</v>
      </c>
      <c r="AD24" s="216"/>
      <c r="AE24" s="216"/>
      <c r="AF24" s="216"/>
      <c r="AG24" s="216"/>
      <c r="AH24" s="111" t="s">
        <v>1163</v>
      </c>
      <c r="AI24" s="81" t="s">
        <v>1420</v>
      </c>
      <c r="AJ24" s="216"/>
      <c r="AK24" s="216"/>
      <c r="AL24" s="216"/>
      <c r="AM24" s="216"/>
      <c r="AN24" s="216"/>
      <c r="AO24" s="216"/>
      <c r="AP24" s="216" t="s">
        <v>1415</v>
      </c>
      <c r="AQ24" s="216"/>
      <c r="AR24" s="216"/>
      <c r="AS24" s="247">
        <f>+SUM(AS19:AS23)</f>
        <v>167167</v>
      </c>
      <c r="AT24" s="216"/>
      <c r="AU24" s="216"/>
      <c r="AV24" s="271"/>
      <c r="AW24" s="271"/>
      <c r="AX24" s="271"/>
    </row>
    <row r="25" spans="1:50">
      <c r="A25" s="216"/>
      <c r="B25" s="216"/>
      <c r="C25" s="216"/>
      <c r="D25" s="216" t="s">
        <v>891</v>
      </c>
      <c r="E25" s="216"/>
      <c r="F25" s="216"/>
      <c r="G25" s="216"/>
      <c r="H25" s="91">
        <f>+SUM(H7:H24)</f>
        <v>2316694</v>
      </c>
      <c r="I25" s="86"/>
      <c r="J25" s="266"/>
      <c r="K25" s="266"/>
      <c r="L25" s="216"/>
      <c r="M25" s="216"/>
      <c r="N25" s="216"/>
      <c r="O25" s="91">
        <f>+SUM(O7:O24)</f>
        <v>1756128</v>
      </c>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71"/>
      <c r="AW25" s="271"/>
      <c r="AX25" s="271"/>
    </row>
    <row r="26" spans="1:50">
      <c r="A26" s="216"/>
      <c r="B26" s="216"/>
      <c r="C26" s="216"/>
      <c r="D26" s="216" t="s">
        <v>892</v>
      </c>
      <c r="E26" s="216">
        <v>4</v>
      </c>
      <c r="F26" s="216"/>
      <c r="G26" s="216"/>
      <c r="H26" s="91">
        <f>+H25*$E$26</f>
        <v>9266776</v>
      </c>
      <c r="I26" s="86"/>
      <c r="J26" s="266"/>
      <c r="K26" s="266"/>
      <c r="L26" s="216"/>
      <c r="M26" s="216"/>
      <c r="N26" s="216"/>
      <c r="O26" s="91">
        <f>+O25*$E$26</f>
        <v>7024512</v>
      </c>
      <c r="P26" s="216"/>
      <c r="Q26" s="216"/>
      <c r="R26" s="216"/>
      <c r="S26" s="216"/>
      <c r="T26" s="8492"/>
      <c r="U26" s="8492"/>
      <c r="V26" s="8492"/>
      <c r="W26" s="8492"/>
      <c r="X26" s="216"/>
      <c r="Y26" s="216"/>
      <c r="Z26" s="216" t="s">
        <v>1427</v>
      </c>
      <c r="AA26" s="216"/>
      <c r="AB26" s="216"/>
      <c r="AC26" s="91">
        <f>5/100*W7</f>
        <v>913338.8</v>
      </c>
      <c r="AD26" s="216"/>
      <c r="AE26" s="216"/>
      <c r="AF26" s="216"/>
      <c r="AG26" s="216"/>
      <c r="AH26" s="216"/>
      <c r="AI26" s="216"/>
      <c r="AJ26" s="8492"/>
      <c r="AK26" s="8492"/>
      <c r="AL26" s="8492"/>
      <c r="AM26" s="8492"/>
      <c r="AN26" s="216"/>
      <c r="AO26" s="216"/>
      <c r="AP26" s="216" t="s">
        <v>1427</v>
      </c>
      <c r="AQ26" s="216"/>
      <c r="AR26" s="216"/>
      <c r="AS26" s="91">
        <f>5/100*AM7</f>
        <v>801225.60000000009</v>
      </c>
      <c r="AT26" s="216"/>
      <c r="AU26" s="216"/>
      <c r="AV26" s="271"/>
      <c r="AW26" s="271"/>
      <c r="AX26" s="271"/>
    </row>
    <row r="27" spans="1:50">
      <c r="A27" s="216"/>
      <c r="B27" s="216"/>
      <c r="C27" s="216"/>
      <c r="D27" s="9" t="s">
        <v>889</v>
      </c>
      <c r="E27" s="9">
        <v>4</v>
      </c>
      <c r="F27" s="9"/>
      <c r="G27" s="228">
        <f>+H27/$E$27</f>
        <v>2250000</v>
      </c>
      <c r="H27" s="92">
        <v>9000000</v>
      </c>
      <c r="I27" s="86"/>
      <c r="J27" s="266"/>
      <c r="K27" s="266"/>
      <c r="L27" s="216"/>
      <c r="M27" s="9"/>
      <c r="N27" s="228">
        <f>+O27/$E$27</f>
        <v>2250000</v>
      </c>
      <c r="O27" s="92">
        <v>9000000</v>
      </c>
      <c r="P27" s="216"/>
      <c r="Q27" s="216"/>
      <c r="R27" s="216"/>
      <c r="S27" s="216"/>
      <c r="T27" s="216"/>
      <c r="U27" s="216"/>
      <c r="V27" s="216"/>
      <c r="W27" s="216"/>
      <c r="X27" s="216"/>
      <c r="Y27" s="216"/>
      <c r="Z27" s="9" t="s">
        <v>1417</v>
      </c>
      <c r="AA27" s="9"/>
      <c r="AB27" s="9"/>
      <c r="AC27" s="9"/>
      <c r="AD27" s="216"/>
      <c r="AE27" s="216"/>
      <c r="AF27" s="216"/>
      <c r="AG27" s="216"/>
      <c r="AH27" s="216"/>
      <c r="AI27" s="216"/>
      <c r="AJ27" s="216"/>
      <c r="AK27" s="216"/>
      <c r="AL27" s="216"/>
      <c r="AM27" s="216"/>
      <c r="AN27" s="216"/>
      <c r="AO27" s="216"/>
      <c r="AP27" s="9" t="s">
        <v>1417</v>
      </c>
      <c r="AQ27" s="9"/>
      <c r="AR27" s="9"/>
      <c r="AS27" s="9"/>
      <c r="AT27" s="216"/>
      <c r="AU27" s="216"/>
      <c r="AV27" s="271"/>
      <c r="AW27" s="271"/>
      <c r="AX27" s="271"/>
    </row>
    <row r="28" spans="1:50">
      <c r="A28" s="216"/>
      <c r="B28" s="216"/>
      <c r="C28" s="216"/>
      <c r="D28" s="216" t="s">
        <v>890</v>
      </c>
      <c r="E28" s="216"/>
      <c r="F28" s="216"/>
      <c r="G28" s="216"/>
      <c r="H28" s="262">
        <f>+H27+H26</f>
        <v>18266776</v>
      </c>
      <c r="I28" s="86"/>
      <c r="J28" s="216"/>
      <c r="K28" s="216"/>
      <c r="L28" s="216"/>
      <c r="M28" s="216"/>
      <c r="N28" s="216"/>
      <c r="O28" s="262">
        <f>+O27+O26</f>
        <v>16024512</v>
      </c>
      <c r="P28" s="216"/>
      <c r="Q28" s="216"/>
      <c r="R28" s="216"/>
      <c r="S28" s="216"/>
      <c r="T28" s="216"/>
      <c r="U28" s="216"/>
      <c r="V28" s="216"/>
      <c r="W28" s="216"/>
      <c r="X28" s="216"/>
      <c r="Y28" s="216"/>
      <c r="Z28" s="216"/>
      <c r="AA28" s="216"/>
      <c r="AB28" s="181" t="s">
        <v>1418</v>
      </c>
      <c r="AC28" s="262">
        <f>+AC26+AC24</f>
        <v>1080505.8</v>
      </c>
      <c r="AD28" s="216"/>
      <c r="AE28" s="216"/>
      <c r="AF28" s="216"/>
      <c r="AG28" s="216"/>
      <c r="AH28" s="216"/>
      <c r="AI28" s="216"/>
      <c r="AJ28" s="216"/>
      <c r="AK28" s="216"/>
      <c r="AL28" s="216"/>
      <c r="AM28" s="216"/>
      <c r="AN28" s="216"/>
      <c r="AO28" s="216"/>
      <c r="AP28" s="216"/>
      <c r="AQ28" s="216"/>
      <c r="AR28" s="181" t="s">
        <v>1418</v>
      </c>
      <c r="AS28" s="262">
        <f>+AS26+AS24</f>
        <v>968392.60000000009</v>
      </c>
      <c r="AT28" s="216"/>
      <c r="AU28" s="216"/>
      <c r="AV28" s="271"/>
      <c r="AW28" s="271"/>
      <c r="AX28" s="271"/>
    </row>
    <row r="29" spans="1:50">
      <c r="A29" s="216"/>
      <c r="B29" s="216"/>
      <c r="C29" s="216"/>
      <c r="D29" s="216"/>
      <c r="E29" s="216"/>
      <c r="F29" s="216"/>
      <c r="G29" s="216"/>
      <c r="H29" s="91"/>
      <c r="I29" s="8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71"/>
      <c r="AW29" s="271"/>
      <c r="AX29" s="271"/>
    </row>
    <row r="30" spans="1:50" s="271" customFormat="1">
      <c r="A30" s="216"/>
      <c r="B30" s="216"/>
      <c r="C30" s="216"/>
      <c r="D30" s="216"/>
      <c r="E30" s="216"/>
      <c r="F30" s="91"/>
      <c r="G30" s="216"/>
      <c r="H30" s="91"/>
      <c r="I30" s="8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row>
    <row r="31" spans="1:50" s="271" customFormat="1">
      <c r="A31" s="216"/>
      <c r="B31" s="216"/>
      <c r="C31" s="216"/>
      <c r="D31" s="216"/>
      <c r="E31" s="216"/>
      <c r="F31" s="216"/>
      <c r="G31" s="216"/>
      <c r="H31" s="91"/>
      <c r="I31" s="8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row>
    <row r="32" spans="1:50" s="271" customFormat="1">
      <c r="A32" s="216"/>
      <c r="B32" s="216"/>
      <c r="C32" s="216"/>
      <c r="D32" s="216"/>
      <c r="E32" s="216"/>
      <c r="F32" s="91"/>
      <c r="G32" s="216"/>
      <c r="H32" s="91"/>
      <c r="I32" s="8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row>
    <row r="33" spans="1:47" s="271" customFormat="1">
      <c r="A33" s="216"/>
      <c r="B33" s="216"/>
      <c r="C33" s="216"/>
      <c r="D33" s="216"/>
      <c r="E33" s="216"/>
      <c r="F33" s="216"/>
      <c r="G33" s="216"/>
      <c r="H33" s="91"/>
      <c r="I33" s="8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row>
    <row r="34" spans="1:47" s="271" customFormat="1">
      <c r="A34" s="216"/>
      <c r="B34" s="216"/>
      <c r="C34" s="216"/>
      <c r="D34" s="216"/>
      <c r="E34" s="216"/>
      <c r="F34" s="216"/>
      <c r="G34" s="216"/>
      <c r="H34" s="91"/>
      <c r="I34" s="8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row>
    <row r="35" spans="1:47" s="271" customFormat="1">
      <c r="A35" s="216"/>
      <c r="B35" s="216"/>
      <c r="C35" s="216"/>
      <c r="D35" s="216"/>
      <c r="E35" s="216"/>
      <c r="F35" s="216"/>
      <c r="G35" s="216"/>
      <c r="H35" s="91"/>
      <c r="I35" s="8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row>
    <row r="36" spans="1:47" s="271" customFormat="1">
      <c r="A36" s="216"/>
      <c r="B36" s="216"/>
      <c r="C36" s="216"/>
      <c r="D36" s="216"/>
      <c r="E36" s="216"/>
      <c r="F36" s="216"/>
      <c r="G36" s="216"/>
      <c r="H36" s="91"/>
      <c r="I36" s="86"/>
      <c r="J36" s="216"/>
      <c r="K36" s="216"/>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row>
    <row r="37" spans="1:47" s="271" customFormat="1">
      <c r="A37" s="216"/>
      <c r="B37" s="216"/>
      <c r="C37" s="216"/>
      <c r="D37" s="216"/>
      <c r="E37" s="216"/>
      <c r="F37" s="216"/>
      <c r="G37" s="216"/>
      <c r="H37" s="91"/>
      <c r="I37" s="8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row>
    <row r="38" spans="1:47" s="271" customFormat="1">
      <c r="A38" s="216"/>
      <c r="B38" s="216"/>
      <c r="C38" s="216"/>
      <c r="D38" s="1544" t="s">
        <v>1666</v>
      </c>
      <c r="E38" s="1545"/>
      <c r="F38" s="1545"/>
      <c r="G38" s="1545"/>
      <c r="H38" s="1546"/>
      <c r="I38" s="1547"/>
      <c r="J38" s="1545"/>
      <c r="K38" s="1545"/>
      <c r="L38" s="1545"/>
      <c r="M38" s="1545"/>
      <c r="N38" s="1548"/>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row>
    <row r="39" spans="1:47" s="271" customFormat="1">
      <c r="A39" s="216"/>
      <c r="B39" s="216"/>
      <c r="C39" s="216"/>
      <c r="D39" s="1549"/>
      <c r="E39" s="216"/>
      <c r="F39" s="216"/>
      <c r="G39" s="216"/>
      <c r="H39" s="1538" t="s">
        <v>1669</v>
      </c>
      <c r="I39" s="84" t="s">
        <v>1670</v>
      </c>
      <c r="J39" s="216"/>
      <c r="K39" s="216"/>
      <c r="L39" s="216"/>
      <c r="M39" s="216"/>
      <c r="N39" s="1550"/>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row>
    <row r="40" spans="1:47" s="271" customFormat="1">
      <c r="A40" s="216"/>
      <c r="B40" s="216"/>
      <c r="C40" s="216"/>
      <c r="D40" s="1551" t="s">
        <v>1667</v>
      </c>
      <c r="E40" s="216"/>
      <c r="F40" s="216"/>
      <c r="G40" s="216"/>
      <c r="H40" s="1539">
        <f>+SUM(H7:H21)</f>
        <v>1568294</v>
      </c>
      <c r="I40" s="1539">
        <f>4*H40</f>
        <v>6273176</v>
      </c>
      <c r="J40" s="6"/>
      <c r="K40" s="6"/>
      <c r="L40" s="216"/>
      <c r="M40" s="216" t="s">
        <v>1674</v>
      </c>
      <c r="N40" s="1550"/>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row>
    <row r="41" spans="1:47" s="271" customFormat="1">
      <c r="A41" s="216"/>
      <c r="B41" s="216"/>
      <c r="C41" s="216"/>
      <c r="D41" s="1552" t="s">
        <v>1668</v>
      </c>
      <c r="E41" s="9"/>
      <c r="F41" s="9"/>
      <c r="G41" s="9"/>
      <c r="H41" s="1540">
        <f>+H22</f>
        <v>40000</v>
      </c>
      <c r="I41" s="1540">
        <f>4*H41</f>
        <v>160000</v>
      </c>
      <c r="J41" s="6"/>
      <c r="K41" s="6"/>
      <c r="L41" s="216"/>
      <c r="M41" s="216"/>
      <c r="N41" s="1550"/>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row>
    <row r="42" spans="1:47" s="271" customFormat="1">
      <c r="A42" s="216"/>
      <c r="B42" s="216"/>
      <c r="C42" s="216"/>
      <c r="D42" s="1553"/>
      <c r="E42" s="216"/>
      <c r="F42" s="216"/>
      <c r="G42" s="216"/>
      <c r="H42" s="1539"/>
      <c r="I42" s="1542">
        <f>+SUM(I40:I41)</f>
        <v>6433176</v>
      </c>
      <c r="J42" s="6"/>
      <c r="K42" s="1539">
        <f>+I42</f>
        <v>6433176</v>
      </c>
      <c r="L42" s="216"/>
      <c r="M42" s="222">
        <f>+I49/K42</f>
        <v>0.29745805182385809</v>
      </c>
      <c r="N42" s="1550"/>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row>
    <row r="43" spans="1:47" s="271" customFormat="1">
      <c r="A43" s="216"/>
      <c r="B43" s="216"/>
      <c r="C43" s="216"/>
      <c r="D43" s="1553"/>
      <c r="E43" s="216"/>
      <c r="F43" s="216"/>
      <c r="G43" s="216"/>
      <c r="H43" s="1539"/>
      <c r="I43" s="6"/>
      <c r="J43" s="6"/>
      <c r="K43" s="6"/>
      <c r="L43" s="216"/>
      <c r="M43" s="216"/>
      <c r="N43" s="1550"/>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row>
    <row r="44" spans="1:47" s="271" customFormat="1">
      <c r="A44" s="216"/>
      <c r="B44" s="216"/>
      <c r="C44" s="216"/>
      <c r="D44" s="1551" t="s">
        <v>879</v>
      </c>
      <c r="E44" s="216"/>
      <c r="F44" s="216"/>
      <c r="G44" s="216"/>
      <c r="H44" s="1539">
        <f>+H23</f>
        <v>230000</v>
      </c>
      <c r="I44" s="1539">
        <f>4*H44</f>
        <v>920000</v>
      </c>
      <c r="J44" s="6"/>
      <c r="K44" s="6"/>
      <c r="L44" s="216"/>
      <c r="M44" s="216"/>
      <c r="N44" s="1550"/>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row>
    <row r="45" spans="1:47" s="271" customFormat="1">
      <c r="A45" s="216"/>
      <c r="B45" s="216"/>
      <c r="C45" s="216"/>
      <c r="D45" s="1552" t="s">
        <v>1671</v>
      </c>
      <c r="E45" s="9"/>
      <c r="F45" s="9"/>
      <c r="G45" s="9"/>
      <c r="H45" s="1540"/>
      <c r="I45" s="1540">
        <f>+H27</f>
        <v>9000000</v>
      </c>
      <c r="J45" s="6"/>
      <c r="K45" s="6"/>
      <c r="L45" s="216"/>
      <c r="M45" s="216"/>
      <c r="N45" s="1550"/>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row>
    <row r="46" spans="1:47" s="271" customFormat="1">
      <c r="A46" s="216"/>
      <c r="B46" s="216"/>
      <c r="C46" s="216"/>
      <c r="D46" s="1551" t="s">
        <v>1672</v>
      </c>
      <c r="E46" s="216"/>
      <c r="F46" s="216"/>
      <c r="G46" s="216"/>
      <c r="H46" s="1539"/>
      <c r="I46" s="1542">
        <f>+I45+I44</f>
        <v>9920000</v>
      </c>
      <c r="J46" s="6"/>
      <c r="K46" s="1539">
        <f>+I46</f>
        <v>9920000</v>
      </c>
      <c r="L46" s="216"/>
      <c r="M46" s="216"/>
      <c r="N46" s="1550"/>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row>
    <row r="47" spans="1:47" s="271" customFormat="1">
      <c r="A47" s="216"/>
      <c r="B47" s="216"/>
      <c r="C47" s="216"/>
      <c r="D47" s="1553"/>
      <c r="E47" s="216"/>
      <c r="F47" s="216"/>
      <c r="G47" s="216"/>
      <c r="H47" s="1539"/>
      <c r="I47" s="6"/>
      <c r="J47" s="6"/>
      <c r="K47" s="6"/>
      <c r="L47" s="216"/>
      <c r="M47" s="216"/>
      <c r="N47" s="1550"/>
      <c r="O47" s="216"/>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216"/>
      <c r="AT47" s="216"/>
      <c r="AU47" s="216"/>
    </row>
    <row r="48" spans="1:47" s="271" customFormat="1">
      <c r="A48" s="216"/>
      <c r="B48" s="216"/>
      <c r="C48" s="216"/>
      <c r="D48" s="1552" t="s">
        <v>1084</v>
      </c>
      <c r="E48" s="9"/>
      <c r="F48" s="9"/>
      <c r="G48" s="9"/>
      <c r="H48" s="1540">
        <f>+H24</f>
        <v>478400</v>
      </c>
      <c r="I48" s="1540">
        <f>4*H48</f>
        <v>1913600</v>
      </c>
      <c r="J48" s="6"/>
      <c r="K48" s="43"/>
      <c r="L48" s="216"/>
      <c r="M48" s="216"/>
      <c r="N48" s="1550"/>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row>
    <row r="49" spans="1:50" s="271" customFormat="1">
      <c r="A49" s="216"/>
      <c r="B49" s="216"/>
      <c r="C49" s="216"/>
      <c r="D49" s="1551" t="s">
        <v>1673</v>
      </c>
      <c r="E49" s="216"/>
      <c r="F49" s="216"/>
      <c r="G49" s="216"/>
      <c r="H49" s="91"/>
      <c r="I49" s="1543">
        <f>+I48</f>
        <v>1913600</v>
      </c>
      <c r="J49" s="6"/>
      <c r="K49" s="1543">
        <f>+SUM(K41:K48)</f>
        <v>16353176</v>
      </c>
      <c r="L49" s="216"/>
      <c r="M49" s="222">
        <f>+I49/K49</f>
        <v>0.11701702470517042</v>
      </c>
      <c r="N49" s="1550"/>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row>
    <row r="50" spans="1:50" s="271" customFormat="1">
      <c r="A50" s="216"/>
      <c r="B50" s="216"/>
      <c r="C50" s="216"/>
      <c r="D50" s="1553"/>
      <c r="E50" s="216"/>
      <c r="F50" s="216"/>
      <c r="G50" s="216"/>
      <c r="H50" s="91"/>
      <c r="I50" s="86"/>
      <c r="J50" s="6"/>
      <c r="K50" s="216"/>
      <c r="L50" s="216"/>
      <c r="M50" s="216"/>
      <c r="N50" s="1550"/>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row>
    <row r="51" spans="1:50" s="271" customFormat="1">
      <c r="A51" s="216"/>
      <c r="B51" s="216"/>
      <c r="C51" s="216"/>
      <c r="D51" s="1553"/>
      <c r="E51" s="216"/>
      <c r="F51" s="216"/>
      <c r="G51" s="216"/>
      <c r="H51" s="91"/>
      <c r="I51" s="1543">
        <f>+I49+I46+I42</f>
        <v>18266776</v>
      </c>
      <c r="J51" s="216"/>
      <c r="K51" s="216"/>
      <c r="L51" s="216"/>
      <c r="M51" s="216"/>
      <c r="N51" s="1550"/>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row>
    <row r="52" spans="1:50" s="271" customFormat="1">
      <c r="A52" s="216"/>
      <c r="B52" s="216"/>
      <c r="C52" s="216"/>
      <c r="D52" s="1554"/>
      <c r="E52" s="1555"/>
      <c r="F52" s="1555"/>
      <c r="G52" s="1555"/>
      <c r="H52" s="1556"/>
      <c r="I52" s="1557"/>
      <c r="J52" s="1555"/>
      <c r="K52" s="1555"/>
      <c r="L52" s="1555"/>
      <c r="M52" s="1555"/>
      <c r="N52" s="1558"/>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row>
    <row r="53" spans="1:50" s="271" customFormat="1">
      <c r="A53" s="216"/>
      <c r="B53" s="216"/>
      <c r="C53" s="216"/>
      <c r="D53" s="216"/>
      <c r="E53" s="216"/>
      <c r="F53" s="216"/>
      <c r="G53" s="216"/>
      <c r="H53" s="91"/>
      <c r="I53" s="8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row>
    <row r="54" spans="1:50" s="271" customFormat="1">
      <c r="A54" s="216"/>
      <c r="B54" s="216"/>
      <c r="C54" s="216"/>
      <c r="D54" s="216"/>
      <c r="E54" s="216"/>
      <c r="F54" s="216"/>
      <c r="G54" s="216"/>
      <c r="H54" s="91"/>
      <c r="I54" s="8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row>
    <row r="55" spans="1:50" ht="13.5" thickBot="1">
      <c r="A55" s="220"/>
      <c r="B55" s="220"/>
      <c r="C55" s="220"/>
      <c r="D55" s="220"/>
      <c r="E55" s="220"/>
      <c r="F55" s="220"/>
      <c r="G55" s="220"/>
      <c r="H55" s="220"/>
      <c r="I55" s="267"/>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71"/>
      <c r="AW55" s="271"/>
      <c r="AX55" s="271"/>
    </row>
    <row r="56" spans="1:50">
      <c r="A56" s="271"/>
      <c r="D56" s="271"/>
      <c r="E56" s="271"/>
      <c r="F56" s="271"/>
      <c r="G56" s="271"/>
      <c r="H56" s="271"/>
      <c r="I56" s="12"/>
      <c r="J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row>
    <row r="57" spans="1:50" s="212" customFormat="1" ht="13.5" thickBot="1">
      <c r="A57" s="271"/>
      <c r="B57" s="271"/>
      <c r="C57" s="271"/>
      <c r="D57" s="271"/>
      <c r="E57" s="271"/>
      <c r="F57" s="271"/>
      <c r="G57" s="271"/>
      <c r="H57" s="271"/>
      <c r="I57" s="12"/>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row>
    <row r="58" spans="1:50" ht="13.5" thickBot="1">
      <c r="A58" s="271"/>
      <c r="D58" s="11011" t="s">
        <v>93</v>
      </c>
      <c r="E58" s="11011"/>
      <c r="F58" s="11004" t="s">
        <v>1399</v>
      </c>
      <c r="G58" s="11004"/>
      <c r="H58" s="11004"/>
      <c r="I58" s="11004"/>
      <c r="J58" s="11004"/>
      <c r="K58" s="8492"/>
      <c r="L58" s="271"/>
      <c r="M58" s="271"/>
      <c r="N58" s="271"/>
      <c r="O58" s="271"/>
      <c r="P58" s="271"/>
      <c r="Q58" s="271"/>
      <c r="R58" s="191"/>
      <c r="S58" s="271"/>
      <c r="T58" s="271"/>
      <c r="U58" s="271"/>
      <c r="V58" s="271"/>
      <c r="W58" s="271"/>
      <c r="X58" s="271"/>
      <c r="Y58" s="271"/>
      <c r="Z58" s="191" t="s">
        <v>1425</v>
      </c>
      <c r="AA58" s="271"/>
      <c r="AB58" s="271"/>
      <c r="AC58" s="271"/>
      <c r="AD58" s="271"/>
      <c r="AE58" s="271"/>
      <c r="AF58" s="271"/>
      <c r="AG58" s="271"/>
      <c r="AH58" s="191"/>
      <c r="AI58" s="271"/>
      <c r="AJ58" s="271"/>
      <c r="AK58" s="271"/>
      <c r="AL58" s="271"/>
      <c r="AM58" s="271"/>
      <c r="AN58" s="271"/>
      <c r="AO58" s="271"/>
      <c r="AP58" s="191" t="s">
        <v>1425</v>
      </c>
      <c r="AQ58" s="271"/>
      <c r="AR58" s="271"/>
      <c r="AS58" s="271"/>
      <c r="AT58" s="271"/>
      <c r="AU58" s="271"/>
      <c r="AV58" s="271"/>
      <c r="AW58" s="271"/>
      <c r="AX58" s="271"/>
    </row>
    <row r="59" spans="1:50" ht="26.25" customHeight="1">
      <c r="A59" s="271"/>
      <c r="D59" s="11012"/>
      <c r="E59" s="11012"/>
      <c r="F59" s="217" t="s">
        <v>1393</v>
      </c>
      <c r="G59" s="217" t="s">
        <v>1394</v>
      </c>
      <c r="H59" s="123" t="s">
        <v>1400</v>
      </c>
      <c r="I59" s="217" t="s">
        <v>1396</v>
      </c>
      <c r="J59" s="8495" t="s">
        <v>1440</v>
      </c>
      <c r="K59" s="215"/>
      <c r="L59" s="271"/>
      <c r="M59" s="271"/>
      <c r="N59" s="271"/>
      <c r="O59" s="271"/>
      <c r="P59" s="271"/>
      <c r="Q59" s="271"/>
      <c r="R59" s="11002" t="s">
        <v>1429</v>
      </c>
      <c r="S59" s="11002"/>
      <c r="T59" s="11002"/>
      <c r="U59" s="11002"/>
      <c r="V59" s="11002"/>
      <c r="W59" s="11002"/>
      <c r="X59" s="271"/>
      <c r="Y59" s="271"/>
      <c r="Z59" s="67" t="s">
        <v>413</v>
      </c>
      <c r="AA59" s="66" t="s">
        <v>1406</v>
      </c>
      <c r="AB59" s="65" t="s">
        <v>1421</v>
      </c>
      <c r="AC59" s="66" t="s">
        <v>1410</v>
      </c>
      <c r="AD59" s="66" t="s">
        <v>1424</v>
      </c>
      <c r="AE59" s="214" t="str">
        <f>+"Cost Effectiveness"&amp;" $/ton NOx(R)"</f>
        <v>Cost Effectiveness $/ton NOx(R)</v>
      </c>
      <c r="AF59" s="215"/>
      <c r="AG59" s="271"/>
      <c r="AH59" s="11002" t="s">
        <v>1433</v>
      </c>
      <c r="AI59" s="11002"/>
      <c r="AJ59" s="11002"/>
      <c r="AK59" s="11002"/>
      <c r="AL59" s="11002"/>
      <c r="AM59" s="11002"/>
      <c r="AN59" s="271"/>
      <c r="AO59" s="271"/>
      <c r="AP59" s="67" t="s">
        <v>413</v>
      </c>
      <c r="AQ59" s="66" t="s">
        <v>1406</v>
      </c>
      <c r="AR59" s="65" t="s">
        <v>1421</v>
      </c>
      <c r="AS59" s="66" t="s">
        <v>1410</v>
      </c>
      <c r="AT59" s="66" t="s">
        <v>1424</v>
      </c>
      <c r="AU59" s="214" t="str">
        <f>+"Cost Effectiveness"&amp;" $/ton NOx(R)"</f>
        <v>Cost Effectiveness $/ton NOx(R)</v>
      </c>
      <c r="AV59" s="215"/>
      <c r="AW59" s="215"/>
      <c r="AX59" s="271"/>
    </row>
    <row r="60" spans="1:50" ht="13.5" thickBot="1">
      <c r="A60" s="271"/>
      <c r="D60" s="11013">
        <v>1</v>
      </c>
      <c r="E60" s="11013"/>
      <c r="F60" s="229">
        <f>1+D60</f>
        <v>2</v>
      </c>
      <c r="G60" s="229">
        <f>1+F60</f>
        <v>3</v>
      </c>
      <c r="H60" s="229">
        <f>1+G60</f>
        <v>4</v>
      </c>
      <c r="I60" s="229">
        <f>1+H60</f>
        <v>5</v>
      </c>
      <c r="J60" s="229">
        <f>1+I60</f>
        <v>6</v>
      </c>
      <c r="K60" s="8492"/>
      <c r="L60" s="271"/>
      <c r="M60" s="271"/>
      <c r="N60" s="271"/>
      <c r="O60" s="271"/>
      <c r="P60" s="271"/>
      <c r="Q60" s="271"/>
      <c r="R60" s="271"/>
      <c r="S60" s="271"/>
      <c r="T60" s="271"/>
      <c r="U60" s="271"/>
      <c r="V60" s="271"/>
      <c r="W60" s="271"/>
      <c r="X60" s="271"/>
      <c r="Y60" s="271"/>
      <c r="Z60" s="259">
        <v>1</v>
      </c>
      <c r="AA60" s="229">
        <v>2</v>
      </c>
      <c r="AB60" s="229">
        <v>3</v>
      </c>
      <c r="AC60" s="229">
        <v>4</v>
      </c>
      <c r="AD60" s="229">
        <v>5</v>
      </c>
      <c r="AE60" s="260">
        <v>6</v>
      </c>
      <c r="AF60" s="8492"/>
      <c r="AG60" s="271"/>
      <c r="AH60" s="271"/>
      <c r="AI60" s="271"/>
      <c r="AJ60" s="271"/>
      <c r="AK60" s="271"/>
      <c r="AL60" s="271"/>
      <c r="AM60" s="271"/>
      <c r="AN60" s="271"/>
      <c r="AO60" s="271"/>
      <c r="AP60" s="259">
        <v>1</v>
      </c>
      <c r="AQ60" s="229">
        <v>2</v>
      </c>
      <c r="AR60" s="229">
        <v>3</v>
      </c>
      <c r="AS60" s="229">
        <v>4</v>
      </c>
      <c r="AT60" s="229">
        <v>5</v>
      </c>
      <c r="AU60" s="260">
        <v>6</v>
      </c>
      <c r="AV60" s="8492"/>
      <c r="AW60" s="8492"/>
      <c r="AX60" s="271"/>
    </row>
    <row r="61" spans="1:50">
      <c r="A61" s="271"/>
      <c r="B61" s="23">
        <v>1</v>
      </c>
      <c r="D61" s="216" t="s">
        <v>881</v>
      </c>
      <c r="E61" s="216"/>
      <c r="F61" s="216"/>
      <c r="G61" s="216"/>
      <c r="H61" s="96">
        <v>1154000</v>
      </c>
      <c r="I61" s="10999">
        <f>+SUM(H61:H67)</f>
        <v>4549000</v>
      </c>
      <c r="J61" s="271"/>
      <c r="L61" s="271"/>
      <c r="M61" s="271"/>
      <c r="N61" s="271"/>
      <c r="O61" s="271"/>
      <c r="P61" s="271"/>
      <c r="Q61" s="271"/>
      <c r="R61" s="245" t="s">
        <v>1096</v>
      </c>
      <c r="S61" s="232"/>
      <c r="T61" s="232"/>
      <c r="U61" s="232"/>
      <c r="V61" s="232"/>
      <c r="W61" s="240">
        <f>+H71</f>
        <v>11853900</v>
      </c>
      <c r="X61" s="8493"/>
      <c r="Y61" s="8493"/>
      <c r="Z61" s="250">
        <v>2011</v>
      </c>
      <c r="AA61" s="8493">
        <f>+W69</f>
        <v>2790408.06</v>
      </c>
      <c r="AB61" s="8493">
        <f>+AC78</f>
        <v>124573</v>
      </c>
      <c r="AC61" s="95">
        <f t="shared" ref="AC61:AC66" si="6">+AB61+AA61</f>
        <v>2914981.06</v>
      </c>
      <c r="AD61" s="249">
        <v>6.1379999999999999</v>
      </c>
      <c r="AE61" s="255">
        <f>+AC61/AD61</f>
        <v>474907.30856956664</v>
      </c>
      <c r="AF61" s="262"/>
      <c r="AG61" s="271"/>
      <c r="AH61" s="245" t="s">
        <v>1096</v>
      </c>
      <c r="AI61" s="232"/>
      <c r="AJ61" s="232"/>
      <c r="AK61" s="232"/>
      <c r="AL61" s="232"/>
      <c r="AM61" s="240">
        <f>+H71</f>
        <v>11853900</v>
      </c>
      <c r="AN61" s="8493"/>
      <c r="AO61" s="8493"/>
      <c r="AP61" s="250">
        <v>2011</v>
      </c>
      <c r="AQ61" s="8493">
        <f>+AM69</f>
        <v>1470581.5890485102</v>
      </c>
      <c r="AR61" s="8493">
        <f>+AS78</f>
        <v>124573</v>
      </c>
      <c r="AS61" s="95">
        <f t="shared" ref="AS61:AS66" si="7">+AR61+AQ61</f>
        <v>1595154.5890485102</v>
      </c>
      <c r="AT61" s="249">
        <v>7.1999999999999993</v>
      </c>
      <c r="AU61" s="255">
        <f>+AS61/AT61</f>
        <v>221549.24847895978</v>
      </c>
      <c r="AV61" s="262"/>
      <c r="AW61" s="262"/>
      <c r="AX61" s="271"/>
    </row>
    <row r="62" spans="1:50">
      <c r="A62" s="271"/>
      <c r="B62" s="23"/>
      <c r="D62" s="216" t="s">
        <v>882</v>
      </c>
      <c r="E62" s="216"/>
      <c r="F62" s="216"/>
      <c r="G62" s="216"/>
      <c r="H62" s="96">
        <v>1600000</v>
      </c>
      <c r="I62" s="10999"/>
      <c r="J62" s="271"/>
      <c r="L62" s="271"/>
      <c r="M62" s="271"/>
      <c r="N62" s="271"/>
      <c r="O62" s="271"/>
      <c r="P62" s="271"/>
      <c r="Q62" s="271"/>
      <c r="R62" s="246" t="s">
        <v>1405</v>
      </c>
      <c r="S62" s="233"/>
      <c r="T62" s="233"/>
      <c r="U62" s="233"/>
      <c r="V62" s="233"/>
      <c r="W62" s="240">
        <f>5/100*W61+W61</f>
        <v>12446595</v>
      </c>
      <c r="X62" s="8492"/>
      <c r="Y62" s="8492"/>
      <c r="Z62" s="250">
        <f>1+Z61</f>
        <v>2012</v>
      </c>
      <c r="AA62" s="8493">
        <f>+AA61</f>
        <v>2790408.06</v>
      </c>
      <c r="AB62" s="8493">
        <f>1.03*AB61</f>
        <v>128310.19</v>
      </c>
      <c r="AC62" s="95">
        <f t="shared" si="6"/>
        <v>2918718.25</v>
      </c>
      <c r="AD62" s="8492"/>
      <c r="AE62" s="251"/>
      <c r="AF62" s="263"/>
      <c r="AG62" s="271"/>
      <c r="AH62" s="246" t="s">
        <v>1405</v>
      </c>
      <c r="AI62" s="233"/>
      <c r="AJ62" s="233"/>
      <c r="AK62" s="233"/>
      <c r="AL62" s="233"/>
      <c r="AM62" s="240">
        <f>5/100*AM61+AM61</f>
        <v>12446595</v>
      </c>
      <c r="AN62" s="8492"/>
      <c r="AO62" s="8492"/>
      <c r="AP62" s="250">
        <f>1+AP61</f>
        <v>2012</v>
      </c>
      <c r="AQ62" s="8493">
        <f>+AQ61</f>
        <v>1470581.5890485102</v>
      </c>
      <c r="AR62" s="8493">
        <f>1.03*AR61</f>
        <v>128310.19</v>
      </c>
      <c r="AS62" s="95">
        <f t="shared" si="7"/>
        <v>1598891.7790485101</v>
      </c>
      <c r="AT62" s="8492"/>
      <c r="AU62" s="251"/>
      <c r="AV62" s="263"/>
      <c r="AW62" s="263"/>
      <c r="AX62" s="271"/>
    </row>
    <row r="63" spans="1:50">
      <c r="A63" s="271"/>
      <c r="B63" s="23"/>
      <c r="D63" s="216" t="s">
        <v>883</v>
      </c>
      <c r="E63" s="216"/>
      <c r="F63" s="216"/>
      <c r="G63" s="216"/>
      <c r="H63" s="96">
        <v>115000</v>
      </c>
      <c r="I63" s="10999"/>
      <c r="J63" s="216"/>
      <c r="K63" s="216"/>
      <c r="L63" s="271"/>
      <c r="M63" s="271"/>
      <c r="N63" s="271"/>
      <c r="O63" s="271"/>
      <c r="P63" s="271"/>
      <c r="Q63" s="271"/>
      <c r="R63" s="81"/>
      <c r="S63" s="271"/>
      <c r="T63" s="271"/>
      <c r="U63" s="271"/>
      <c r="V63" s="271"/>
      <c r="W63" s="5"/>
      <c r="X63" s="8492"/>
      <c r="Y63" s="8492"/>
      <c r="Z63" s="250">
        <f>1+Z62</f>
        <v>2013</v>
      </c>
      <c r="AA63" s="8493">
        <f>+AA62</f>
        <v>2790408.06</v>
      </c>
      <c r="AB63" s="8493">
        <f>1.03*AB62</f>
        <v>132159.4957</v>
      </c>
      <c r="AC63" s="95">
        <f t="shared" si="6"/>
        <v>2922567.5556999999</v>
      </c>
      <c r="AD63" s="8492"/>
      <c r="AE63" s="251"/>
      <c r="AF63" s="263"/>
      <c r="AG63" s="271"/>
      <c r="AH63" s="81"/>
      <c r="AI63" s="271"/>
      <c r="AJ63" s="271"/>
      <c r="AK63" s="271"/>
      <c r="AL63" s="271"/>
      <c r="AM63" s="5"/>
      <c r="AN63" s="8492"/>
      <c r="AO63" s="8492"/>
      <c r="AP63" s="250">
        <f>1+AP62</f>
        <v>2013</v>
      </c>
      <c r="AQ63" s="8493">
        <f>+AQ62</f>
        <v>1470581.5890485102</v>
      </c>
      <c r="AR63" s="8493">
        <f>1.03*AR62</f>
        <v>132159.4957</v>
      </c>
      <c r="AS63" s="95">
        <f t="shared" si="7"/>
        <v>1602741.0847485103</v>
      </c>
      <c r="AT63" s="8492"/>
      <c r="AU63" s="251"/>
      <c r="AV63" s="263"/>
      <c r="AW63" s="263"/>
      <c r="AX63" s="271"/>
    </row>
    <row r="64" spans="1:50">
      <c r="A64" s="271"/>
      <c r="B64" s="23"/>
      <c r="D64" s="216" t="s">
        <v>872</v>
      </c>
      <c r="E64" s="216"/>
      <c r="F64" s="216"/>
      <c r="G64" s="216"/>
      <c r="H64" s="96">
        <v>30000</v>
      </c>
      <c r="I64" s="10999"/>
      <c r="J64" s="216"/>
      <c r="K64" s="216"/>
      <c r="L64" s="271"/>
      <c r="M64" s="271"/>
      <c r="N64" s="271"/>
      <c r="O64" s="271"/>
      <c r="P64" s="271"/>
      <c r="Q64" s="271"/>
      <c r="R64" s="81" t="s">
        <v>1401</v>
      </c>
      <c r="S64" s="8492"/>
      <c r="T64" s="8492"/>
      <c r="U64" s="8492"/>
      <c r="V64" s="8492"/>
      <c r="W64" s="241">
        <v>5</v>
      </c>
      <c r="X64" s="8492"/>
      <c r="Y64" s="8492"/>
      <c r="Z64" s="250">
        <f>1+Z63</f>
        <v>2014</v>
      </c>
      <c r="AA64" s="8493">
        <f>+AA63</f>
        <v>2790408.06</v>
      </c>
      <c r="AB64" s="8493">
        <f>1.03*AB63</f>
        <v>136124.28057100001</v>
      </c>
      <c r="AC64" s="95">
        <f t="shared" si="6"/>
        <v>2926532.3405710002</v>
      </c>
      <c r="AD64" s="8492"/>
      <c r="AE64" s="251"/>
      <c r="AF64" s="263"/>
      <c r="AG64" s="271"/>
      <c r="AH64" s="81" t="s">
        <v>1401</v>
      </c>
      <c r="AI64" s="8492"/>
      <c r="AJ64" s="8492"/>
      <c r="AK64" s="8492"/>
      <c r="AL64" s="8492"/>
      <c r="AM64" s="241">
        <f>+AM10</f>
        <v>15</v>
      </c>
      <c r="AN64" s="8492"/>
      <c r="AO64" s="8492"/>
      <c r="AP64" s="250">
        <f>1+AP63</f>
        <v>2014</v>
      </c>
      <c r="AQ64" s="8493">
        <f>+AQ63</f>
        <v>1470581.5890485102</v>
      </c>
      <c r="AR64" s="8493">
        <f>1.03*AR63</f>
        <v>136124.28057100001</v>
      </c>
      <c r="AS64" s="95">
        <f t="shared" si="7"/>
        <v>1606705.8696195101</v>
      </c>
      <c r="AT64" s="8492"/>
      <c r="AU64" s="251"/>
      <c r="AV64" s="263"/>
      <c r="AW64" s="263"/>
      <c r="AX64" s="271"/>
    </row>
    <row r="65" spans="1:50">
      <c r="A65" s="271"/>
      <c r="B65" s="23"/>
      <c r="D65" s="216" t="s">
        <v>884</v>
      </c>
      <c r="E65" s="216"/>
      <c r="F65" s="216"/>
      <c r="G65" s="216"/>
      <c r="H65" s="96">
        <v>160000</v>
      </c>
      <c r="I65" s="10999"/>
      <c r="J65" s="216"/>
      <c r="K65" s="216"/>
      <c r="L65" s="271"/>
      <c r="M65" s="271"/>
      <c r="N65" s="271"/>
      <c r="O65" s="271"/>
      <c r="P65" s="271"/>
      <c r="Q65" s="271"/>
      <c r="R65" s="81" t="s">
        <v>1402</v>
      </c>
      <c r="S65" s="8492"/>
      <c r="T65" s="8492"/>
      <c r="U65" s="8492"/>
      <c r="V65" s="8492"/>
      <c r="W65" s="242">
        <v>0.06</v>
      </c>
      <c r="X65" s="8492"/>
      <c r="Y65" s="8492"/>
      <c r="Z65" s="250">
        <f>1+Z64</f>
        <v>2015</v>
      </c>
      <c r="AA65" s="8493">
        <f>+AA64</f>
        <v>2790408.06</v>
      </c>
      <c r="AB65" s="8493">
        <f>1.03*AB64</f>
        <v>140208.00898813002</v>
      </c>
      <c r="AC65" s="95">
        <f t="shared" si="6"/>
        <v>2930616.06898813</v>
      </c>
      <c r="AD65" s="8492"/>
      <c r="AE65" s="251"/>
      <c r="AF65" s="263"/>
      <c r="AG65" s="271"/>
      <c r="AH65" s="81" t="s">
        <v>1402</v>
      </c>
      <c r="AI65" s="8492"/>
      <c r="AJ65" s="8492"/>
      <c r="AK65" s="8492"/>
      <c r="AL65" s="8492"/>
      <c r="AM65" s="242">
        <v>0.09</v>
      </c>
      <c r="AN65" s="8492"/>
      <c r="AO65" s="8492"/>
      <c r="AP65" s="250">
        <f>1+AP64</f>
        <v>2015</v>
      </c>
      <c r="AQ65" s="8493">
        <f>+AQ64</f>
        <v>1470581.5890485102</v>
      </c>
      <c r="AR65" s="8493">
        <f>1.03*AR64</f>
        <v>140208.00898813002</v>
      </c>
      <c r="AS65" s="95">
        <f t="shared" si="7"/>
        <v>1610789.5980366403</v>
      </c>
      <c r="AT65" s="8492"/>
      <c r="AU65" s="251"/>
      <c r="AV65" s="263"/>
      <c r="AW65" s="263"/>
      <c r="AX65" s="271"/>
    </row>
    <row r="66" spans="1:50">
      <c r="A66" s="271"/>
      <c r="B66" s="23"/>
      <c r="D66" s="216" t="s">
        <v>885</v>
      </c>
      <c r="E66" s="216"/>
      <c r="F66" s="216"/>
      <c r="G66" s="216"/>
      <c r="H66" s="96">
        <v>1250000</v>
      </c>
      <c r="I66" s="10999"/>
      <c r="J66" s="216"/>
      <c r="K66" s="216"/>
      <c r="L66" s="271"/>
      <c r="M66" s="271"/>
      <c r="N66" s="271"/>
      <c r="O66" s="271"/>
      <c r="P66" s="271"/>
      <c r="Q66" s="271"/>
      <c r="R66" s="82" t="s">
        <v>1404</v>
      </c>
      <c r="S66" s="213"/>
      <c r="T66" s="213"/>
      <c r="U66" s="213"/>
      <c r="V66" s="213"/>
      <c r="W66" s="269">
        <f>+(W65*(1+W65)^W64)/((1+W65)^W64-1)</f>
        <v>0.23739640043118937</v>
      </c>
      <c r="X66" s="8492" t="s">
        <v>894</v>
      </c>
      <c r="Y66" s="8492"/>
      <c r="Z66" s="252">
        <f>1+Z65</f>
        <v>2016</v>
      </c>
      <c r="AA66" s="213"/>
      <c r="AB66" s="8494">
        <f>1.03*AB65</f>
        <v>144414.24925777392</v>
      </c>
      <c r="AC66" s="253">
        <f t="shared" si="6"/>
        <v>144414.24925777392</v>
      </c>
      <c r="AD66" s="213"/>
      <c r="AE66" s="254"/>
      <c r="AF66" s="263"/>
      <c r="AG66" s="271"/>
      <c r="AH66" s="82" t="s">
        <v>1404</v>
      </c>
      <c r="AI66" s="213"/>
      <c r="AJ66" s="213"/>
      <c r="AK66" s="213"/>
      <c r="AL66" s="213"/>
      <c r="AM66" s="269">
        <f>+(AM65*(1+AM65)^AM64)/((1+AM65)^AM64-1)</f>
        <v>0.12405888265031004</v>
      </c>
      <c r="AN66" s="8492" t="s">
        <v>894</v>
      </c>
      <c r="AO66" s="8492"/>
      <c r="AP66" s="252">
        <f>1+AP65</f>
        <v>2016</v>
      </c>
      <c r="AQ66" s="213"/>
      <c r="AR66" s="8494">
        <f>1.03*AR65</f>
        <v>144414.24925777392</v>
      </c>
      <c r="AS66" s="253">
        <f t="shared" si="7"/>
        <v>144414.24925777392</v>
      </c>
      <c r="AT66" s="213"/>
      <c r="AU66" s="254"/>
      <c r="AV66" s="263"/>
      <c r="AW66" s="263"/>
      <c r="AX66" s="271"/>
    </row>
    <row r="67" spans="1:50">
      <c r="A67" s="271"/>
      <c r="B67" s="23"/>
      <c r="D67" s="9" t="s">
        <v>886</v>
      </c>
      <c r="E67" s="92"/>
      <c r="F67" s="9"/>
      <c r="G67" s="9"/>
      <c r="H67" s="97">
        <v>240000</v>
      </c>
      <c r="I67" s="11000"/>
      <c r="J67" s="222">
        <f>+H67/SUM(H61:H66)</f>
        <v>5.5697377581805527E-2</v>
      </c>
      <c r="K67" s="222"/>
      <c r="L67" s="271"/>
      <c r="M67" s="271"/>
      <c r="N67" s="271"/>
      <c r="O67" s="271"/>
      <c r="P67" s="271"/>
      <c r="Q67" s="271"/>
      <c r="R67" s="81" t="s">
        <v>1403</v>
      </c>
      <c r="S67" s="8492"/>
      <c r="T67" s="8492"/>
      <c r="U67" s="8492"/>
      <c r="V67" s="8492"/>
      <c r="W67" s="243">
        <v>0.2354</v>
      </c>
      <c r="X67" s="8492" t="s">
        <v>895</v>
      </c>
      <c r="Y67" s="8492"/>
      <c r="Z67" s="235"/>
      <c r="AA67" s="8492"/>
      <c r="AB67" s="8492"/>
      <c r="AC67" s="8492"/>
      <c r="AD67" s="8492"/>
      <c r="AE67" s="93"/>
      <c r="AF67" s="93"/>
      <c r="AG67" s="271"/>
      <c r="AH67" s="81" t="s">
        <v>1403</v>
      </c>
      <c r="AI67" s="8492"/>
      <c r="AJ67" s="8492"/>
      <c r="AK67" s="8492"/>
      <c r="AL67" s="8492"/>
      <c r="AM67" s="270">
        <f>+AM66</f>
        <v>0.12405888265031004</v>
      </c>
      <c r="AN67" s="8492" t="s">
        <v>895</v>
      </c>
      <c r="AO67" s="8492"/>
      <c r="AP67" s="235"/>
      <c r="AQ67" s="8492"/>
      <c r="AR67" s="8492"/>
      <c r="AS67" s="8492"/>
      <c r="AT67" s="8492"/>
      <c r="AU67" s="93"/>
      <c r="AV67" s="93"/>
      <c r="AW67" s="93"/>
      <c r="AX67" s="271"/>
    </row>
    <row r="68" spans="1:50">
      <c r="A68" s="271"/>
      <c r="B68" s="23"/>
      <c r="D68" s="211" t="s">
        <v>863</v>
      </c>
      <c r="E68" s="230"/>
      <c r="F68" s="211"/>
      <c r="G68" s="211"/>
      <c r="H68" s="231">
        <f>10/100*I61</f>
        <v>454900</v>
      </c>
      <c r="I68" s="271"/>
      <c r="J68" s="223">
        <f>+H68/I61</f>
        <v>0.1</v>
      </c>
      <c r="K68" s="223"/>
      <c r="L68" s="271"/>
      <c r="M68" s="271"/>
      <c r="N68" s="271"/>
      <c r="O68" s="271"/>
      <c r="P68" s="271"/>
      <c r="Q68" s="271"/>
      <c r="R68" s="8486"/>
      <c r="S68" s="271"/>
      <c r="T68" s="271"/>
      <c r="U68" s="271"/>
      <c r="V68" s="271"/>
      <c r="W68" s="20"/>
      <c r="X68" s="271"/>
      <c r="Y68" s="271"/>
      <c r="Z68" s="271"/>
      <c r="AA68" s="271"/>
      <c r="AB68" s="271"/>
      <c r="AC68" s="271"/>
      <c r="AD68" s="271"/>
      <c r="AE68" s="271"/>
      <c r="AF68" s="271"/>
      <c r="AG68" s="271"/>
      <c r="AH68" s="8486"/>
      <c r="AI68" s="271"/>
      <c r="AJ68" s="271"/>
      <c r="AK68" s="271"/>
      <c r="AL68" s="271"/>
      <c r="AM68" s="20"/>
      <c r="AN68" s="271"/>
      <c r="AO68" s="271"/>
      <c r="AP68" s="271"/>
      <c r="AQ68" s="271"/>
      <c r="AR68" s="271"/>
      <c r="AS68" s="271"/>
      <c r="AT68" s="271"/>
      <c r="AU68" s="271"/>
      <c r="AV68" s="271"/>
      <c r="AW68" s="271"/>
      <c r="AX68" s="271"/>
    </row>
    <row r="69" spans="1:50">
      <c r="A69" s="271"/>
      <c r="B69" s="23"/>
      <c r="D69" s="216" t="s">
        <v>892</v>
      </c>
      <c r="E69" s="216"/>
      <c r="F69" s="216"/>
      <c r="G69" s="216"/>
      <c r="H69" s="91">
        <f>+SUM(H61:H68)</f>
        <v>5003900</v>
      </c>
      <c r="I69" s="12"/>
      <c r="J69" s="216"/>
      <c r="K69" s="216"/>
      <c r="L69" s="271"/>
      <c r="M69" s="271"/>
      <c r="N69" s="271"/>
      <c r="O69" s="271"/>
      <c r="P69" s="271"/>
      <c r="Q69" s="271"/>
      <c r="R69" s="237" t="s">
        <v>1422</v>
      </c>
      <c r="S69" s="238"/>
      <c r="T69" s="238"/>
      <c r="U69" s="238"/>
      <c r="V69" s="238"/>
      <c r="W69" s="244">
        <f>+W67*W61</f>
        <v>2790408.06</v>
      </c>
      <c r="X69" s="8492" t="s">
        <v>896</v>
      </c>
      <c r="Y69" s="8492"/>
      <c r="Z69" s="191" t="s">
        <v>1426</v>
      </c>
      <c r="AA69" s="271"/>
      <c r="AB69" s="271"/>
      <c r="AC69" s="271"/>
      <c r="AD69" s="271"/>
      <c r="AE69" s="271"/>
      <c r="AF69" s="271"/>
      <c r="AG69" s="271"/>
      <c r="AH69" s="237" t="s">
        <v>1434</v>
      </c>
      <c r="AI69" s="238"/>
      <c r="AJ69" s="238"/>
      <c r="AK69" s="238"/>
      <c r="AL69" s="238"/>
      <c r="AM69" s="244">
        <f>+AM67*AM61</f>
        <v>1470581.5890485102</v>
      </c>
      <c r="AN69" s="8492" t="s">
        <v>896</v>
      </c>
      <c r="AO69" s="8492"/>
      <c r="AP69" s="191" t="s">
        <v>1426</v>
      </c>
      <c r="AQ69" s="271"/>
      <c r="AR69" s="271"/>
      <c r="AS69" s="271"/>
      <c r="AT69" s="271"/>
      <c r="AU69" s="271"/>
      <c r="AV69" s="271"/>
      <c r="AW69" s="271"/>
      <c r="AX69" s="271"/>
    </row>
    <row r="70" spans="1:50">
      <c r="A70" s="271"/>
      <c r="B70" s="23"/>
      <c r="D70" s="9" t="s">
        <v>888</v>
      </c>
      <c r="E70" s="9"/>
      <c r="F70" s="9"/>
      <c r="G70" s="9"/>
      <c r="H70" s="98">
        <v>6850000</v>
      </c>
      <c r="I70" s="86"/>
      <c r="J70" s="268">
        <f>+H70/H69</f>
        <v>1.3689322328583704</v>
      </c>
      <c r="K70" s="268"/>
      <c r="L70" s="271"/>
      <c r="M70" s="271"/>
      <c r="N70" s="271"/>
      <c r="O70" s="271"/>
      <c r="P70" s="271"/>
      <c r="Q70" s="271"/>
      <c r="R70" s="8486" t="s">
        <v>1423</v>
      </c>
      <c r="S70" s="271"/>
      <c r="T70" s="271"/>
      <c r="U70" s="271"/>
      <c r="V70" s="271"/>
      <c r="W70" s="248">
        <f>+W69/8</f>
        <v>348801.00750000001</v>
      </c>
      <c r="X70" s="8492"/>
      <c r="Y70" s="8492"/>
      <c r="Z70" s="261">
        <v>2011</v>
      </c>
      <c r="AA70" s="256">
        <f>+AA61/8</f>
        <v>348801.00750000001</v>
      </c>
      <c r="AB70" s="256">
        <f>+AB61/8</f>
        <v>15571.625</v>
      </c>
      <c r="AC70" s="257">
        <f>+AC61/8</f>
        <v>364372.63250000001</v>
      </c>
      <c r="AD70" s="258">
        <f>+AD61/8</f>
        <v>0.76724999999999999</v>
      </c>
      <c r="AE70" s="234">
        <f>+AC70/AD70</f>
        <v>474907.30856956664</v>
      </c>
      <c r="AF70" s="262"/>
      <c r="AG70" s="271"/>
      <c r="AH70" s="8486" t="s">
        <v>1423</v>
      </c>
      <c r="AI70" s="271"/>
      <c r="AJ70" s="271"/>
      <c r="AK70" s="271"/>
      <c r="AL70" s="271"/>
      <c r="AM70" s="248">
        <f>+AM69/8</f>
        <v>183822.69863106377</v>
      </c>
      <c r="AN70" s="8492"/>
      <c r="AO70" s="8492"/>
      <c r="AP70" s="261">
        <v>2011</v>
      </c>
      <c r="AQ70" s="256">
        <f>+AQ61/8</f>
        <v>183822.69863106377</v>
      </c>
      <c r="AR70" s="256">
        <f>+AR61/8</f>
        <v>15571.625</v>
      </c>
      <c r="AS70" s="257">
        <f>+AS61/8</f>
        <v>199394.32363106377</v>
      </c>
      <c r="AT70" s="258">
        <f>+AT61/8</f>
        <v>0.89999999999999991</v>
      </c>
      <c r="AU70" s="234">
        <f>+AS70/AT70</f>
        <v>221549.24847895978</v>
      </c>
      <c r="AV70" s="262"/>
      <c r="AW70" s="262"/>
      <c r="AX70" s="271"/>
    </row>
    <row r="71" spans="1:50">
      <c r="A71" s="271"/>
      <c r="B71" s="23"/>
      <c r="D71" s="271" t="s">
        <v>887</v>
      </c>
      <c r="E71" s="271"/>
      <c r="F71" s="271"/>
      <c r="G71" s="271"/>
      <c r="H71" s="221">
        <f>+SUM(H69:H70)</f>
        <v>11853900</v>
      </c>
      <c r="I71" s="86"/>
      <c r="J71" s="216"/>
      <c r="K71" s="216"/>
      <c r="L71" s="271"/>
      <c r="M71" s="271"/>
      <c r="N71" s="271"/>
      <c r="O71" s="271"/>
      <c r="P71" s="271"/>
      <c r="Q71" s="271"/>
      <c r="R71" s="271"/>
      <c r="S71" s="271"/>
      <c r="T71" s="271"/>
      <c r="U71" s="271"/>
      <c r="V71" s="271"/>
      <c r="W71" s="271"/>
      <c r="X71" s="8492"/>
      <c r="Y71" s="8492"/>
      <c r="Z71" s="271"/>
      <c r="AA71" s="271"/>
      <c r="AB71" s="271"/>
      <c r="AC71" s="271"/>
      <c r="AD71" s="271"/>
      <c r="AE71" s="271"/>
      <c r="AF71" s="271"/>
      <c r="AG71" s="271"/>
      <c r="AH71" s="271"/>
      <c r="AI71" s="271"/>
      <c r="AJ71" s="271"/>
      <c r="AK71" s="271"/>
      <c r="AL71" s="271"/>
      <c r="AM71" s="271"/>
      <c r="AN71" s="8492"/>
      <c r="AO71" s="8492"/>
      <c r="AP71" s="271"/>
      <c r="AQ71" s="271"/>
      <c r="AR71" s="271"/>
      <c r="AS71" s="271"/>
      <c r="AT71" s="271"/>
      <c r="AU71" s="271"/>
      <c r="AV71" s="271"/>
      <c r="AW71" s="271"/>
      <c r="AX71" s="271"/>
    </row>
    <row r="72" spans="1:50">
      <c r="A72" s="271"/>
      <c r="D72" s="271"/>
      <c r="E72" s="271"/>
      <c r="F72" s="271"/>
      <c r="G72" s="271"/>
      <c r="H72" s="271"/>
      <c r="I72" s="216"/>
      <c r="J72" s="216"/>
      <c r="K72" s="216"/>
      <c r="L72" s="271"/>
      <c r="M72" s="271"/>
      <c r="N72" s="271"/>
      <c r="O72" s="271"/>
      <c r="P72" s="271"/>
      <c r="Q72" s="271"/>
      <c r="R72" s="181" t="s">
        <v>912</v>
      </c>
      <c r="S72" s="271"/>
      <c r="T72" s="271"/>
      <c r="U72" s="271"/>
      <c r="V72" s="271"/>
      <c r="W72" s="8492"/>
      <c r="X72" s="8492"/>
      <c r="Y72" s="8492"/>
      <c r="Z72" s="264" t="s">
        <v>1411</v>
      </c>
      <c r="AA72" s="216"/>
      <c r="AB72" s="216"/>
      <c r="AC72" s="216"/>
      <c r="AD72" s="271"/>
      <c r="AE72" s="271"/>
      <c r="AF72" s="271"/>
      <c r="AG72" s="271"/>
      <c r="AH72" s="181" t="s">
        <v>912</v>
      </c>
      <c r="AI72" s="271"/>
      <c r="AJ72" s="271"/>
      <c r="AK72" s="271"/>
      <c r="AL72" s="271"/>
      <c r="AM72" s="8492"/>
      <c r="AN72" s="8492"/>
      <c r="AO72" s="8492"/>
      <c r="AP72" s="264" t="s">
        <v>1411</v>
      </c>
      <c r="AQ72" s="216"/>
      <c r="AR72" s="216"/>
      <c r="AS72" s="216"/>
      <c r="AT72" s="271"/>
      <c r="AU72" s="271"/>
      <c r="AV72" s="271"/>
      <c r="AW72" s="271"/>
      <c r="AX72" s="271"/>
    </row>
    <row r="73" spans="1:50">
      <c r="A73" s="271"/>
      <c r="D73" s="271"/>
      <c r="E73" s="271"/>
      <c r="F73" s="271"/>
      <c r="G73" s="271"/>
      <c r="H73" s="80">
        <f>+SUM(H61:H64)+H66</f>
        <v>4149000</v>
      </c>
      <c r="I73" s="216"/>
      <c r="J73" s="216"/>
      <c r="K73" s="216"/>
      <c r="L73" s="271"/>
      <c r="M73" s="271"/>
      <c r="N73" s="271"/>
      <c r="O73" s="271"/>
      <c r="P73" s="271"/>
      <c r="Q73" s="271"/>
      <c r="R73" s="111" t="s">
        <v>894</v>
      </c>
      <c r="S73" s="11003" t="s">
        <v>1407</v>
      </c>
      <c r="T73" s="11003"/>
      <c r="U73" s="11003"/>
      <c r="V73" s="11003"/>
      <c r="W73" s="11003"/>
      <c r="X73" s="8492"/>
      <c r="Y73" s="8492"/>
      <c r="Z73" s="216" t="s">
        <v>1430</v>
      </c>
      <c r="AA73" s="8492"/>
      <c r="AB73" s="236"/>
      <c r="AC73" s="247">
        <v>16800</v>
      </c>
      <c r="AD73" s="8492"/>
      <c r="AE73" s="93"/>
      <c r="AF73" s="93"/>
      <c r="AG73" s="271"/>
      <c r="AH73" s="111" t="s">
        <v>894</v>
      </c>
      <c r="AI73" s="11003" t="s">
        <v>1407</v>
      </c>
      <c r="AJ73" s="11003"/>
      <c r="AK73" s="11003"/>
      <c r="AL73" s="11003"/>
      <c r="AM73" s="11003"/>
      <c r="AN73" s="8492"/>
      <c r="AO73" s="8492"/>
      <c r="AP73" s="216" t="s">
        <v>1430</v>
      </c>
      <c r="AQ73" s="8492"/>
      <c r="AR73" s="236"/>
      <c r="AS73" s="247">
        <v>16800</v>
      </c>
      <c r="AT73" s="8492"/>
      <c r="AU73" s="93"/>
      <c r="AV73" s="93"/>
      <c r="AW73" s="93"/>
      <c r="AX73" s="271"/>
    </row>
    <row r="74" spans="1:50">
      <c r="A74" s="271"/>
      <c r="D74" s="271"/>
      <c r="E74" s="271"/>
      <c r="F74" s="271"/>
      <c r="G74" s="271"/>
      <c r="H74" s="271"/>
      <c r="I74" s="271"/>
      <c r="J74" s="216"/>
      <c r="K74" s="216"/>
      <c r="L74" s="271"/>
      <c r="M74" s="271"/>
      <c r="N74" s="271"/>
      <c r="O74" s="271"/>
      <c r="P74" s="271"/>
      <c r="Q74" s="271"/>
      <c r="R74" s="239"/>
      <c r="S74" s="11003"/>
      <c r="T74" s="11003"/>
      <c r="U74" s="11003"/>
      <c r="V74" s="11003"/>
      <c r="W74" s="11003"/>
      <c r="X74" s="271"/>
      <c r="Y74" s="271"/>
      <c r="Z74" s="216" t="s">
        <v>1412</v>
      </c>
      <c r="AA74" s="8492"/>
      <c r="AB74" s="236"/>
      <c r="AC74" s="247">
        <v>841</v>
      </c>
      <c r="AD74" s="8492"/>
      <c r="AE74" s="93"/>
      <c r="AF74" s="93"/>
      <c r="AG74" s="271"/>
      <c r="AH74" s="239"/>
      <c r="AI74" s="11003"/>
      <c r="AJ74" s="11003"/>
      <c r="AK74" s="11003"/>
      <c r="AL74" s="11003"/>
      <c r="AM74" s="11003"/>
      <c r="AN74" s="271"/>
      <c r="AO74" s="271"/>
      <c r="AP74" s="216" t="s">
        <v>1412</v>
      </c>
      <c r="AQ74" s="8492"/>
      <c r="AR74" s="236"/>
      <c r="AS74" s="247">
        <v>841</v>
      </c>
      <c r="AT74" s="8492"/>
      <c r="AU74" s="93"/>
      <c r="AV74" s="93"/>
      <c r="AW74" s="93"/>
      <c r="AX74" s="271"/>
    </row>
    <row r="75" spans="1:50">
      <c r="A75" s="271"/>
      <c r="D75" s="271"/>
      <c r="E75" s="271"/>
      <c r="F75" s="271"/>
      <c r="G75" s="271"/>
      <c r="H75" s="271"/>
      <c r="I75" s="271"/>
      <c r="J75" s="271"/>
      <c r="L75" s="271"/>
      <c r="M75" s="271"/>
      <c r="N75" s="271"/>
      <c r="O75" s="271"/>
      <c r="P75" s="271"/>
      <c r="Q75" s="271"/>
      <c r="R75" s="12" t="s">
        <v>895</v>
      </c>
      <c r="S75" s="271" t="s">
        <v>1408</v>
      </c>
      <c r="T75" s="271"/>
      <c r="U75" s="271"/>
      <c r="V75" s="271"/>
      <c r="W75" s="271"/>
      <c r="X75" s="8492"/>
      <c r="Y75" s="8492"/>
      <c r="Z75" s="216" t="s">
        <v>1431</v>
      </c>
      <c r="AA75" s="8492"/>
      <c r="AB75" s="236"/>
      <c r="AC75" s="247">
        <v>35</v>
      </c>
      <c r="AD75" s="8492"/>
      <c r="AE75" s="271"/>
      <c r="AF75" s="271"/>
      <c r="AG75" s="271"/>
      <c r="AH75" s="12" t="s">
        <v>895</v>
      </c>
      <c r="AI75" s="271" t="s">
        <v>1408</v>
      </c>
      <c r="AJ75" s="271"/>
      <c r="AK75" s="271"/>
      <c r="AL75" s="271"/>
      <c r="AM75" s="271"/>
      <c r="AN75" s="8492"/>
      <c r="AO75" s="8492"/>
      <c r="AP75" s="216" t="s">
        <v>1431</v>
      </c>
      <c r="AQ75" s="8492"/>
      <c r="AR75" s="236"/>
      <c r="AS75" s="247">
        <v>35</v>
      </c>
      <c r="AT75" s="8492"/>
      <c r="AU75" s="271"/>
      <c r="AV75" s="271"/>
      <c r="AW75" s="271"/>
      <c r="AX75" s="271"/>
    </row>
    <row r="76" spans="1:50" ht="12.75" customHeight="1">
      <c r="A76" s="271"/>
      <c r="D76" s="271"/>
      <c r="E76" s="271"/>
      <c r="F76" s="271"/>
      <c r="G76" s="271"/>
      <c r="H76" s="271">
        <f>+H71/8</f>
        <v>1481737.5</v>
      </c>
      <c r="I76" s="271"/>
      <c r="J76" s="271"/>
      <c r="L76" s="271"/>
      <c r="M76" s="271"/>
      <c r="N76" s="271"/>
      <c r="O76" s="271"/>
      <c r="P76" s="271"/>
      <c r="Q76" s="271"/>
      <c r="R76" s="111" t="s">
        <v>896</v>
      </c>
      <c r="S76" s="8814" t="s">
        <v>1409</v>
      </c>
      <c r="T76" s="8814"/>
      <c r="U76" s="8814"/>
      <c r="V76" s="8814"/>
      <c r="W76" s="8814"/>
      <c r="X76" s="8492"/>
      <c r="Y76" s="8492"/>
      <c r="Z76" s="216" t="s">
        <v>1414</v>
      </c>
      <c r="AA76" s="8492"/>
      <c r="AB76" s="236"/>
      <c r="AC76" s="247">
        <v>100000</v>
      </c>
      <c r="AD76" s="8492"/>
      <c r="AE76" s="271"/>
      <c r="AF76" s="271"/>
      <c r="AG76" s="271"/>
      <c r="AH76" s="111" t="s">
        <v>896</v>
      </c>
      <c r="AI76" s="8814" t="s">
        <v>1409</v>
      </c>
      <c r="AJ76" s="8814"/>
      <c r="AK76" s="8814"/>
      <c r="AL76" s="8814"/>
      <c r="AM76" s="8814"/>
      <c r="AN76" s="8492"/>
      <c r="AO76" s="8492"/>
      <c r="AP76" s="216" t="s">
        <v>1414</v>
      </c>
      <c r="AQ76" s="8492"/>
      <c r="AR76" s="236"/>
      <c r="AS76" s="247">
        <v>100000</v>
      </c>
      <c r="AT76" s="8492"/>
      <c r="AU76" s="271"/>
      <c r="AV76" s="271"/>
      <c r="AW76" s="271"/>
      <c r="AX76" s="271"/>
    </row>
    <row r="77" spans="1:50">
      <c r="A77" s="271"/>
      <c r="D77" s="271"/>
      <c r="E77" s="271"/>
      <c r="F77" s="271"/>
      <c r="G77" s="271"/>
      <c r="H77" s="271"/>
      <c r="I77" s="271"/>
      <c r="J77" s="271"/>
      <c r="L77" s="271"/>
      <c r="M77" s="271"/>
      <c r="N77" s="271"/>
      <c r="O77" s="271"/>
      <c r="P77" s="271"/>
      <c r="Q77" s="271"/>
      <c r="R77" s="271"/>
      <c r="S77" s="8814"/>
      <c r="T77" s="8814"/>
      <c r="U77" s="8814"/>
      <c r="V77" s="8814"/>
      <c r="W77" s="8814"/>
      <c r="X77" s="8492"/>
      <c r="Y77" s="8492"/>
      <c r="Z77" s="9" t="s">
        <v>1419</v>
      </c>
      <c r="AA77" s="213"/>
      <c r="AB77" s="213"/>
      <c r="AC77" s="224">
        <v>6897</v>
      </c>
      <c r="AD77" s="8492"/>
      <c r="AE77" s="271"/>
      <c r="AF77" s="271"/>
      <c r="AG77" s="271"/>
      <c r="AH77" s="271"/>
      <c r="AI77" s="8814"/>
      <c r="AJ77" s="8814"/>
      <c r="AK77" s="8814"/>
      <c r="AL77" s="8814"/>
      <c r="AM77" s="8814"/>
      <c r="AN77" s="8492"/>
      <c r="AO77" s="8492"/>
      <c r="AP77" s="9" t="s">
        <v>1419</v>
      </c>
      <c r="AQ77" s="213"/>
      <c r="AR77" s="213"/>
      <c r="AS77" s="224">
        <v>6897</v>
      </c>
      <c r="AT77" s="8492"/>
      <c r="AU77" s="271"/>
      <c r="AV77" s="271"/>
      <c r="AW77" s="271"/>
      <c r="AX77" s="271"/>
    </row>
    <row r="78" spans="1:50">
      <c r="A78" s="271"/>
      <c r="D78" s="271"/>
      <c r="E78" s="271"/>
      <c r="F78" s="271"/>
      <c r="G78" s="271"/>
      <c r="H78" s="271"/>
      <c r="I78" s="271"/>
      <c r="J78" s="271"/>
      <c r="L78" s="271"/>
      <c r="M78" s="271"/>
      <c r="N78" s="271"/>
      <c r="O78" s="271"/>
      <c r="P78" s="271"/>
      <c r="Q78" s="271"/>
      <c r="R78" s="111" t="s">
        <v>1163</v>
      </c>
      <c r="S78" s="81" t="s">
        <v>1420</v>
      </c>
      <c r="T78" s="271"/>
      <c r="U78" s="271"/>
      <c r="V78" s="271"/>
      <c r="W78" s="271"/>
      <c r="X78" s="271"/>
      <c r="Y78" s="271"/>
      <c r="Z78" s="216" t="s">
        <v>1415</v>
      </c>
      <c r="AA78" s="271"/>
      <c r="AB78" s="271"/>
      <c r="AC78" s="247">
        <f>+SUM(AC73:AC77)</f>
        <v>124573</v>
      </c>
      <c r="AD78" s="271"/>
      <c r="AE78" s="271"/>
      <c r="AF78" s="271"/>
      <c r="AG78" s="271"/>
      <c r="AH78" s="111" t="s">
        <v>1163</v>
      </c>
      <c r="AI78" s="81" t="s">
        <v>1420</v>
      </c>
      <c r="AJ78" s="271"/>
      <c r="AK78" s="271"/>
      <c r="AL78" s="271"/>
      <c r="AM78" s="271"/>
      <c r="AN78" s="271"/>
      <c r="AO78" s="271"/>
      <c r="AP78" s="216" t="s">
        <v>1415</v>
      </c>
      <c r="AQ78" s="271"/>
      <c r="AR78" s="271"/>
      <c r="AS78" s="247">
        <f>+SUM(AS73:AS77)</f>
        <v>124573</v>
      </c>
      <c r="AT78" s="271"/>
      <c r="AU78" s="271"/>
      <c r="AV78" s="271"/>
      <c r="AW78" s="271"/>
      <c r="AX78" s="271"/>
    </row>
    <row r="79" spans="1:50">
      <c r="A79" s="271"/>
      <c r="D79" s="271"/>
      <c r="E79" s="271"/>
      <c r="F79" s="271"/>
      <c r="G79" s="271"/>
      <c r="H79" s="271"/>
      <c r="I79" s="216"/>
      <c r="J79" s="271"/>
      <c r="L79" s="271"/>
      <c r="M79" s="271"/>
      <c r="N79" s="271"/>
      <c r="O79" s="271"/>
      <c r="P79" s="271"/>
      <c r="Q79" s="271"/>
      <c r="R79" s="271"/>
      <c r="S79" s="271"/>
      <c r="T79" s="271"/>
      <c r="U79" s="271"/>
      <c r="V79" s="271"/>
      <c r="W79" s="271"/>
      <c r="X79" s="271"/>
      <c r="Y79" s="271"/>
      <c r="Z79" s="216"/>
      <c r="AA79" s="271"/>
      <c r="AB79" s="271"/>
      <c r="AC79" s="216"/>
      <c r="AD79" s="271"/>
      <c r="AE79" s="271"/>
      <c r="AF79" s="271"/>
      <c r="AG79" s="271"/>
      <c r="AH79" s="271"/>
      <c r="AI79" s="271"/>
      <c r="AJ79" s="271"/>
      <c r="AK79" s="271"/>
      <c r="AL79" s="271"/>
      <c r="AM79" s="271"/>
      <c r="AN79" s="271"/>
      <c r="AO79" s="271"/>
      <c r="AP79" s="216"/>
      <c r="AQ79" s="271"/>
      <c r="AR79" s="271"/>
      <c r="AS79" s="216"/>
      <c r="AT79" s="271"/>
      <c r="AU79" s="271"/>
      <c r="AV79" s="271"/>
      <c r="AW79" s="271"/>
      <c r="AX79" s="271"/>
    </row>
    <row r="80" spans="1:50">
      <c r="A80" s="271"/>
      <c r="D80" s="271"/>
      <c r="E80" s="271"/>
      <c r="F80" s="271"/>
      <c r="G80" s="271"/>
      <c r="H80" s="271"/>
      <c r="I80" s="216"/>
      <c r="J80" s="271"/>
      <c r="L80" s="271"/>
      <c r="M80" s="271"/>
      <c r="N80" s="271"/>
      <c r="O80" s="271"/>
      <c r="P80" s="271"/>
      <c r="Q80" s="271"/>
      <c r="R80" s="271"/>
      <c r="S80" s="271"/>
      <c r="T80" s="8492"/>
      <c r="U80" s="8492"/>
      <c r="V80" s="8492"/>
      <c r="W80" s="8492"/>
      <c r="X80" s="271"/>
      <c r="Y80" s="271"/>
      <c r="Z80" s="216" t="s">
        <v>1427</v>
      </c>
      <c r="AA80" s="216"/>
      <c r="AB80" s="216"/>
      <c r="AC80" s="91">
        <f>5/100*W61</f>
        <v>592695</v>
      </c>
      <c r="AD80" s="271"/>
      <c r="AE80" s="271"/>
      <c r="AF80" s="271"/>
      <c r="AG80" s="271"/>
      <c r="AH80" s="271"/>
      <c r="AI80" s="271"/>
      <c r="AJ80" s="8492"/>
      <c r="AK80" s="8492"/>
      <c r="AL80" s="8492"/>
      <c r="AM80" s="8492"/>
      <c r="AN80" s="271"/>
      <c r="AO80" s="271"/>
      <c r="AP80" s="216" t="s">
        <v>1427</v>
      </c>
      <c r="AQ80" s="216"/>
      <c r="AR80" s="216"/>
      <c r="AS80" s="91">
        <f>5/100*AM61</f>
        <v>592695</v>
      </c>
      <c r="AT80" s="271"/>
      <c r="AU80" s="271"/>
      <c r="AV80" s="271"/>
      <c r="AW80" s="271"/>
      <c r="AX80" s="271"/>
    </row>
    <row r="81" spans="1:50">
      <c r="A81" s="271"/>
      <c r="D81" s="271"/>
      <c r="E81" s="271"/>
      <c r="F81" s="271"/>
      <c r="G81" s="271"/>
      <c r="H81" s="271"/>
      <c r="I81" s="86"/>
      <c r="J81" s="271"/>
      <c r="L81" s="271"/>
      <c r="M81" s="271"/>
      <c r="N81" s="271"/>
      <c r="O81" s="271"/>
      <c r="P81" s="271"/>
      <c r="Q81" s="271"/>
      <c r="R81" s="271"/>
      <c r="S81" s="271"/>
      <c r="T81" s="271"/>
      <c r="U81" s="216"/>
      <c r="V81" s="216"/>
      <c r="W81" s="271"/>
      <c r="X81" s="271"/>
      <c r="Y81" s="271"/>
      <c r="Z81" s="9" t="s">
        <v>1417</v>
      </c>
      <c r="AA81" s="9"/>
      <c r="AB81" s="9"/>
      <c r="AC81" s="9"/>
      <c r="AD81" s="271"/>
      <c r="AE81" s="271"/>
      <c r="AF81" s="271"/>
      <c r="AG81" s="271"/>
      <c r="AH81" s="271"/>
      <c r="AI81" s="271"/>
      <c r="AJ81" s="271"/>
      <c r="AK81" s="216"/>
      <c r="AL81" s="216"/>
      <c r="AM81" s="271"/>
      <c r="AN81" s="271"/>
      <c r="AO81" s="271"/>
      <c r="AP81" s="9" t="s">
        <v>1417</v>
      </c>
      <c r="AQ81" s="9"/>
      <c r="AR81" s="9"/>
      <c r="AS81" s="9"/>
      <c r="AT81" s="271"/>
      <c r="AU81" s="271"/>
      <c r="AV81" s="271"/>
      <c r="AW81" s="271"/>
      <c r="AX81" s="271"/>
    </row>
    <row r="82" spans="1:50">
      <c r="A82" s="271"/>
      <c r="D82" s="271"/>
      <c r="E82" s="271"/>
      <c r="F82" s="271"/>
      <c r="G82" s="271"/>
      <c r="H82" s="271"/>
      <c r="I82" s="216"/>
      <c r="J82" s="271"/>
      <c r="L82" s="271"/>
      <c r="M82" s="271"/>
      <c r="N82" s="271"/>
      <c r="O82" s="271"/>
      <c r="P82" s="271"/>
      <c r="Q82" s="271"/>
      <c r="R82" s="271"/>
      <c r="S82" s="271"/>
      <c r="T82" s="271"/>
      <c r="U82" s="216"/>
      <c r="V82" s="12"/>
      <c r="W82" s="271"/>
      <c r="X82" s="271"/>
      <c r="Y82" s="271"/>
      <c r="Z82" s="271"/>
      <c r="AA82" s="271"/>
      <c r="AB82" s="4" t="s">
        <v>1418</v>
      </c>
      <c r="AC82" s="221">
        <f>+AC80+AC78</f>
        <v>717268</v>
      </c>
      <c r="AD82" s="271"/>
      <c r="AE82" s="271"/>
      <c r="AF82" s="271"/>
      <c r="AG82" s="271"/>
      <c r="AH82" s="271"/>
      <c r="AI82" s="271"/>
      <c r="AJ82" s="271"/>
      <c r="AK82" s="216"/>
      <c r="AL82" s="216"/>
      <c r="AM82" s="271"/>
      <c r="AN82" s="271"/>
      <c r="AO82" s="271"/>
      <c r="AP82" s="271"/>
      <c r="AQ82" s="271"/>
      <c r="AR82" s="4" t="s">
        <v>1418</v>
      </c>
      <c r="AS82" s="221">
        <f>+AS80+AS78</f>
        <v>717268</v>
      </c>
      <c r="AT82" s="271"/>
      <c r="AU82" s="271"/>
      <c r="AV82" s="271"/>
      <c r="AW82" s="271"/>
      <c r="AX82" s="271"/>
    </row>
    <row r="83" spans="1:50">
      <c r="A83" s="271"/>
      <c r="D83" s="271"/>
      <c r="E83" s="271"/>
      <c r="F83" s="271"/>
      <c r="G83" s="271"/>
      <c r="H83" s="271"/>
      <c r="I83" s="271"/>
      <c r="J83" s="271"/>
      <c r="L83" s="271"/>
      <c r="M83" s="271"/>
      <c r="N83" s="271"/>
      <c r="O83" s="271"/>
      <c r="P83" s="271"/>
      <c r="Q83" s="271"/>
      <c r="R83" s="271"/>
      <c r="S83" s="271"/>
      <c r="T83" s="271"/>
      <c r="U83" s="271"/>
      <c r="V83" s="12"/>
      <c r="W83" s="94"/>
      <c r="X83" s="271"/>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row>
    <row r="84" spans="1:50">
      <c r="A84" s="271"/>
      <c r="D84" s="271"/>
      <c r="E84" s="271"/>
      <c r="F84" s="271"/>
      <c r="G84" s="271"/>
      <c r="H84" s="271"/>
      <c r="I84" s="271"/>
      <c r="J84" s="271"/>
      <c r="L84" s="271"/>
      <c r="M84" s="271"/>
      <c r="N84" s="271"/>
      <c r="O84" s="271"/>
      <c r="P84" s="271"/>
      <c r="Q84" s="271"/>
      <c r="R84" s="271"/>
      <c r="S84" s="271"/>
      <c r="T84" s="271"/>
      <c r="U84" s="271"/>
      <c r="V84" s="12"/>
      <c r="W84" s="141"/>
      <c r="X84" s="271"/>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row>
    <row r="85" spans="1:50">
      <c r="A85" s="271"/>
      <c r="D85" s="271"/>
      <c r="E85" s="271"/>
      <c r="F85" s="271"/>
      <c r="G85" s="271"/>
      <c r="H85" s="271"/>
      <c r="I85" s="271"/>
      <c r="J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1"/>
      <c r="AI85" s="271"/>
      <c r="AJ85" s="271"/>
      <c r="AK85" s="271"/>
      <c r="AL85" s="271"/>
      <c r="AM85" s="271"/>
      <c r="AN85" s="271"/>
      <c r="AO85" s="271"/>
      <c r="AP85" s="271"/>
      <c r="AQ85" s="271"/>
      <c r="AR85" s="271"/>
      <c r="AS85" s="271"/>
      <c r="AT85" s="271"/>
      <c r="AU85" s="271"/>
      <c r="AV85" s="271"/>
      <c r="AW85" s="271"/>
      <c r="AX85" s="271"/>
    </row>
    <row r="86" spans="1:50">
      <c r="A86" s="271"/>
      <c r="D86" s="271"/>
      <c r="E86" s="271"/>
      <c r="F86" s="271"/>
      <c r="G86" s="271"/>
      <c r="H86" s="271"/>
      <c r="I86" s="271"/>
      <c r="J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1"/>
      <c r="AI86" s="271"/>
      <c r="AJ86" s="271"/>
      <c r="AK86" s="271"/>
      <c r="AL86" s="271"/>
      <c r="AM86" s="271"/>
      <c r="AN86" s="271"/>
      <c r="AO86" s="271"/>
      <c r="AP86" s="271"/>
      <c r="AQ86" s="271"/>
      <c r="AR86" s="271"/>
      <c r="AS86" s="271"/>
      <c r="AT86" s="271"/>
      <c r="AU86" s="271"/>
      <c r="AV86" s="271"/>
      <c r="AW86" s="271"/>
      <c r="AX86" s="271"/>
    </row>
    <row r="87" spans="1:50">
      <c r="A87" s="271"/>
      <c r="D87" s="271"/>
      <c r="E87" s="271"/>
      <c r="F87" s="271"/>
      <c r="G87" s="271"/>
      <c r="H87" s="271"/>
      <c r="I87" s="271"/>
      <c r="J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1"/>
      <c r="AI87" s="271"/>
      <c r="AJ87" s="271"/>
      <c r="AK87" s="271"/>
      <c r="AL87" s="271"/>
      <c r="AM87" s="271"/>
      <c r="AN87" s="271"/>
      <c r="AO87" s="271"/>
      <c r="AP87" s="271"/>
      <c r="AQ87" s="271"/>
      <c r="AR87" s="271"/>
      <c r="AS87" s="271"/>
      <c r="AT87" s="271"/>
      <c r="AU87" s="271"/>
      <c r="AV87" s="271"/>
      <c r="AW87" s="271"/>
      <c r="AX87" s="271"/>
    </row>
    <row r="88" spans="1:50">
      <c r="A88" s="271"/>
      <c r="D88" s="271"/>
      <c r="E88" s="271"/>
      <c r="F88" s="271"/>
      <c r="G88" s="271"/>
      <c r="H88" s="271"/>
      <c r="I88" s="271"/>
      <c r="J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1"/>
      <c r="AI88" s="271"/>
      <c r="AJ88" s="271"/>
      <c r="AK88" s="271"/>
      <c r="AL88" s="271"/>
      <c r="AM88" s="271"/>
      <c r="AN88" s="271"/>
      <c r="AO88" s="271"/>
      <c r="AP88" s="271"/>
      <c r="AQ88" s="271"/>
      <c r="AR88" s="271"/>
      <c r="AS88" s="271"/>
      <c r="AT88" s="271"/>
      <c r="AU88" s="271"/>
      <c r="AV88" s="271"/>
      <c r="AW88" s="271"/>
      <c r="AX88" s="271"/>
    </row>
    <row r="89" spans="1:50">
      <c r="A89" s="271"/>
      <c r="D89" s="271"/>
      <c r="E89" s="271"/>
      <c r="F89" s="271"/>
      <c r="G89" s="271"/>
      <c r="H89" s="271"/>
      <c r="I89" s="271"/>
      <c r="J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1"/>
      <c r="AI89" s="271"/>
      <c r="AJ89" s="271"/>
      <c r="AK89" s="271"/>
      <c r="AL89" s="271"/>
      <c r="AM89" s="271"/>
      <c r="AN89" s="271"/>
      <c r="AO89" s="271"/>
      <c r="AP89" s="271"/>
      <c r="AQ89" s="271"/>
      <c r="AR89" s="271"/>
      <c r="AS89" s="271"/>
      <c r="AT89" s="271"/>
      <c r="AU89" s="271"/>
      <c r="AV89" s="271"/>
      <c r="AW89" s="271"/>
      <c r="AX89" s="271"/>
    </row>
    <row r="90" spans="1:50">
      <c r="A90" s="271"/>
      <c r="D90" s="271"/>
      <c r="E90" s="271"/>
      <c r="F90" s="271"/>
      <c r="G90" s="271"/>
      <c r="H90" s="271"/>
      <c r="I90" s="271"/>
      <c r="J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row>
    <row r="91" spans="1:50">
      <c r="A91" s="271"/>
      <c r="D91" s="271"/>
      <c r="E91" s="271"/>
      <c r="F91" s="271"/>
      <c r="G91" s="271"/>
      <c r="H91" s="271"/>
      <c r="I91" s="271"/>
      <c r="J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row>
    <row r="92" spans="1:50">
      <c r="A92" s="271"/>
      <c r="D92" s="271"/>
      <c r="E92" s="271"/>
      <c r="F92" s="271"/>
      <c r="G92" s="271"/>
      <c r="H92" s="271"/>
      <c r="I92" s="271"/>
      <c r="J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1"/>
      <c r="AI92" s="271"/>
      <c r="AJ92" s="271"/>
      <c r="AK92" s="271"/>
      <c r="AL92" s="271"/>
      <c r="AM92" s="271"/>
      <c r="AN92" s="271"/>
      <c r="AO92" s="271"/>
      <c r="AP92" s="271"/>
      <c r="AQ92" s="271"/>
      <c r="AR92" s="271"/>
      <c r="AS92" s="271"/>
      <c r="AT92" s="271"/>
      <c r="AU92" s="271"/>
      <c r="AV92" s="271"/>
      <c r="AW92" s="271"/>
      <c r="AX92" s="271"/>
    </row>
    <row r="93" spans="1:50">
      <c r="A93" s="271"/>
      <c r="D93" s="271"/>
      <c r="E93" s="271"/>
      <c r="F93" s="271"/>
      <c r="G93" s="271"/>
      <c r="H93" s="271"/>
      <c r="I93" s="271"/>
      <c r="J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1"/>
      <c r="AI93" s="271"/>
      <c r="AJ93" s="271"/>
      <c r="AK93" s="271"/>
      <c r="AL93" s="271"/>
      <c r="AM93" s="271"/>
      <c r="AN93" s="271"/>
      <c r="AO93" s="271"/>
      <c r="AP93" s="271"/>
      <c r="AQ93" s="271"/>
      <c r="AR93" s="271"/>
      <c r="AS93" s="271"/>
      <c r="AT93" s="271"/>
      <c r="AU93" s="271"/>
      <c r="AV93" s="271"/>
      <c r="AW93" s="271"/>
      <c r="AX93" s="271"/>
    </row>
    <row r="94" spans="1:50">
      <c r="A94" s="271"/>
      <c r="D94" s="271"/>
      <c r="E94" s="271"/>
      <c r="F94" s="271"/>
      <c r="G94" s="271"/>
      <c r="H94" s="271"/>
      <c r="I94" s="271"/>
      <c r="J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1"/>
      <c r="AI94" s="271"/>
      <c r="AJ94" s="271"/>
      <c r="AK94" s="271"/>
      <c r="AL94" s="271"/>
      <c r="AM94" s="271"/>
      <c r="AN94" s="271"/>
      <c r="AO94" s="271"/>
      <c r="AP94" s="271"/>
      <c r="AQ94" s="271"/>
      <c r="AR94" s="271"/>
      <c r="AS94" s="271"/>
      <c r="AT94" s="271"/>
      <c r="AU94" s="271"/>
      <c r="AV94" s="271"/>
      <c r="AW94" s="271"/>
      <c r="AX94" s="271"/>
    </row>
    <row r="95" spans="1:50">
      <c r="A95" s="271"/>
      <c r="D95" s="271"/>
      <c r="E95" s="271"/>
      <c r="F95" s="271"/>
      <c r="G95" s="271"/>
      <c r="H95" s="271"/>
      <c r="I95" s="271"/>
      <c r="J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1"/>
      <c r="AI95" s="271"/>
      <c r="AJ95" s="271"/>
      <c r="AK95" s="271"/>
      <c r="AL95" s="271"/>
      <c r="AM95" s="271"/>
      <c r="AN95" s="271"/>
      <c r="AO95" s="271"/>
      <c r="AP95" s="271"/>
      <c r="AQ95" s="271"/>
      <c r="AR95" s="271"/>
      <c r="AS95" s="271"/>
      <c r="AT95" s="271"/>
      <c r="AU95" s="271"/>
      <c r="AV95" s="271"/>
      <c r="AW95" s="271"/>
      <c r="AX95" s="271"/>
    </row>
    <row r="96" spans="1:50">
      <c r="A96" s="271"/>
      <c r="D96" s="271"/>
      <c r="E96" s="271"/>
      <c r="F96" s="271"/>
      <c r="G96" s="271"/>
      <c r="H96" s="271"/>
      <c r="I96" s="271"/>
      <c r="J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row>
    <row r="97" spans="1:50">
      <c r="A97" s="271"/>
      <c r="D97" s="271"/>
      <c r="E97" s="271"/>
      <c r="F97" s="271"/>
      <c r="G97" s="271"/>
      <c r="H97" s="271"/>
      <c r="I97" s="271"/>
      <c r="J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1"/>
      <c r="AI97" s="271"/>
      <c r="AJ97" s="271"/>
      <c r="AK97" s="271"/>
      <c r="AL97" s="271"/>
      <c r="AM97" s="271"/>
      <c r="AN97" s="271"/>
      <c r="AO97" s="271"/>
      <c r="AP97" s="271"/>
      <c r="AQ97" s="271"/>
      <c r="AR97" s="271"/>
      <c r="AS97" s="271"/>
      <c r="AT97" s="271"/>
      <c r="AU97" s="271"/>
      <c r="AV97" s="271"/>
      <c r="AW97" s="271"/>
      <c r="AX97" s="271"/>
    </row>
    <row r="98" spans="1:50">
      <c r="A98" s="271"/>
      <c r="D98" s="271"/>
      <c r="E98" s="271"/>
      <c r="F98" s="271"/>
      <c r="G98" s="271"/>
      <c r="H98" s="271"/>
      <c r="I98" s="271"/>
      <c r="J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1"/>
      <c r="AI98" s="271"/>
      <c r="AJ98" s="271"/>
      <c r="AK98" s="271"/>
      <c r="AL98" s="271"/>
      <c r="AM98" s="271"/>
      <c r="AN98" s="271"/>
      <c r="AO98" s="271"/>
      <c r="AP98" s="271"/>
      <c r="AQ98" s="271"/>
      <c r="AR98" s="271"/>
      <c r="AS98" s="271"/>
      <c r="AT98" s="271"/>
      <c r="AU98" s="271"/>
      <c r="AV98" s="271"/>
      <c r="AW98" s="271"/>
      <c r="AX98" s="271"/>
    </row>
    <row r="99" spans="1:50">
      <c r="A99" s="271"/>
      <c r="D99" s="271"/>
      <c r="E99" s="271"/>
      <c r="F99" s="271"/>
      <c r="G99" s="271"/>
      <c r="H99" s="271"/>
      <c r="I99" s="271"/>
      <c r="J99" s="271"/>
      <c r="L99" s="271"/>
      <c r="M99" s="271"/>
      <c r="N99" s="271"/>
      <c r="O99" s="271"/>
      <c r="P99" s="271"/>
      <c r="Q99" s="271"/>
      <c r="R99" s="271"/>
      <c r="S99" s="271"/>
      <c r="T99" s="271"/>
      <c r="U99" s="271"/>
      <c r="V99" s="271"/>
      <c r="W99" s="271"/>
      <c r="X99" s="271"/>
      <c r="Y99" s="271"/>
      <c r="Z99" s="271"/>
      <c r="AA99" s="271"/>
      <c r="AB99" s="271"/>
      <c r="AC99" s="271"/>
      <c r="AD99" s="271"/>
      <c r="AE99" s="271"/>
      <c r="AF99" s="271"/>
      <c r="AG99" s="271"/>
      <c r="AH99" s="271"/>
      <c r="AI99" s="271"/>
      <c r="AJ99" s="271"/>
      <c r="AK99" s="271"/>
      <c r="AL99" s="271"/>
      <c r="AM99" s="271"/>
      <c r="AN99" s="271"/>
      <c r="AO99" s="271"/>
      <c r="AP99" s="271"/>
      <c r="AQ99" s="271"/>
      <c r="AR99" s="271"/>
      <c r="AS99" s="271"/>
      <c r="AT99" s="271"/>
      <c r="AU99" s="271"/>
      <c r="AV99" s="271"/>
      <c r="AW99" s="271"/>
      <c r="AX99" s="271"/>
    </row>
    <row r="100" spans="1:50">
      <c r="A100" s="271"/>
      <c r="D100" s="271"/>
      <c r="E100" s="271"/>
      <c r="F100" s="271"/>
      <c r="G100" s="271"/>
      <c r="H100" s="271"/>
      <c r="I100" s="271"/>
      <c r="J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1"/>
      <c r="AI100" s="271"/>
      <c r="AJ100" s="271"/>
      <c r="AK100" s="271"/>
      <c r="AL100" s="271"/>
      <c r="AM100" s="271"/>
      <c r="AN100" s="271"/>
      <c r="AO100" s="271"/>
      <c r="AP100" s="271"/>
      <c r="AQ100" s="271"/>
      <c r="AR100" s="271"/>
      <c r="AS100" s="271"/>
      <c r="AT100" s="271"/>
      <c r="AU100" s="271"/>
      <c r="AV100" s="271"/>
      <c r="AW100" s="271"/>
      <c r="AX100" s="271"/>
    </row>
    <row r="101" spans="1:50">
      <c r="A101" s="271"/>
      <c r="D101" s="271"/>
      <c r="E101" s="271"/>
      <c r="F101" s="271"/>
      <c r="G101" s="271"/>
      <c r="H101" s="271"/>
      <c r="I101" s="271"/>
      <c r="J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1"/>
      <c r="AI101" s="271"/>
      <c r="AJ101" s="271"/>
      <c r="AK101" s="271"/>
      <c r="AL101" s="271"/>
      <c r="AM101" s="271"/>
      <c r="AN101" s="271"/>
      <c r="AO101" s="271"/>
      <c r="AP101" s="271"/>
      <c r="AQ101" s="271"/>
      <c r="AR101" s="271"/>
      <c r="AS101" s="271"/>
      <c r="AT101" s="271"/>
      <c r="AU101" s="271"/>
      <c r="AV101" s="271"/>
      <c r="AW101" s="271"/>
      <c r="AX101" s="271"/>
    </row>
    <row r="107" spans="1:50" ht="26.25" customHeight="1"/>
    <row r="124" ht="12.75" customHeight="1"/>
  </sheetData>
  <sheetProtection password="C665" sheet="1" objects="1" scenarios="1" selectLockedCells="1" selectUnlockedCells="1"/>
  <mergeCells count="24">
    <mergeCell ref="M4:P4"/>
    <mergeCell ref="D4:E5"/>
    <mergeCell ref="F4:J4"/>
    <mergeCell ref="AH5:AM5"/>
    <mergeCell ref="AI19:AM20"/>
    <mergeCell ref="D6:E6"/>
    <mergeCell ref="D58:E59"/>
    <mergeCell ref="D60:E60"/>
    <mergeCell ref="R5:W5"/>
    <mergeCell ref="S19:W20"/>
    <mergeCell ref="S22:W23"/>
    <mergeCell ref="E7:E9"/>
    <mergeCell ref="E11:E13"/>
    <mergeCell ref="AI76:AM77"/>
    <mergeCell ref="I61:I67"/>
    <mergeCell ref="AI22:AM23"/>
    <mergeCell ref="AH59:AM59"/>
    <mergeCell ref="AI73:AM74"/>
    <mergeCell ref="F58:J58"/>
    <mergeCell ref="I7:I23"/>
    <mergeCell ref="P7:P23"/>
    <mergeCell ref="R59:W59"/>
    <mergeCell ref="S73:W74"/>
    <mergeCell ref="S76:W77"/>
  </mergeCells>
  <phoneticPr fontId="8" type="noConversion"/>
  <pageMargins left="0.2" right="0.2" top="0.5" bottom="0.25" header="0" footer="0"/>
  <pageSetup scale="60" fitToWidth="2" orientation="landscape" r:id="rId1"/>
</worksheet>
</file>

<file path=xl/worksheets/sheet19.xml><?xml version="1.0" encoding="utf-8"?>
<worksheet xmlns="http://schemas.openxmlformats.org/spreadsheetml/2006/main" xmlns:r="http://schemas.openxmlformats.org/officeDocument/2006/relationships">
  <sheetPr>
    <tabColor rgb="FFF1A9A1"/>
  </sheetPr>
  <dimension ref="A2:BA159"/>
  <sheetViews>
    <sheetView workbookViewId="0"/>
  </sheetViews>
  <sheetFormatPr defaultRowHeight="12.75"/>
  <cols>
    <col min="2" max="2" width="6.140625" customWidth="1"/>
    <col min="3" max="3" width="4.28515625" style="271" customWidth="1"/>
    <col min="4" max="4" width="7" style="271" customWidth="1"/>
    <col min="5" max="5" width="35.140625" style="271" customWidth="1"/>
    <col min="6" max="6" width="13.28515625" style="271" customWidth="1"/>
    <col min="7" max="7" width="10.28515625" style="271" customWidth="1"/>
    <col min="8" max="8" width="10.42578125" style="271" customWidth="1"/>
    <col min="9" max="9" width="11.7109375" style="271" customWidth="1"/>
    <col min="10" max="10" width="12.42578125" style="271" customWidth="1"/>
    <col min="11" max="11" width="4.28515625" style="271" customWidth="1"/>
    <col min="12" max="12" width="9.140625" style="271"/>
    <col min="13" max="13" width="11.42578125" style="271" customWidth="1"/>
    <col min="14" max="14" width="12.28515625" style="271" bestFit="1" customWidth="1"/>
    <col min="15" max="15" width="12.85546875" style="145" customWidth="1"/>
    <col min="16" max="16" width="9.140625" style="145"/>
    <col min="17" max="17" width="10.7109375" style="156" customWidth="1"/>
    <col min="18" max="18" width="15.7109375" customWidth="1"/>
    <col min="19" max="19" width="15.28515625" customWidth="1"/>
    <col min="20" max="20" width="24" customWidth="1"/>
    <col min="21" max="21" width="2.7109375" customWidth="1"/>
    <col min="28" max="28" width="18.140625" customWidth="1"/>
    <col min="29" max="31" width="9.140625" customWidth="1"/>
    <col min="33" max="33" width="17.5703125" customWidth="1"/>
    <col min="38" max="38" width="16" customWidth="1"/>
  </cols>
  <sheetData>
    <row r="2" spans="1:53" s="145" customFormat="1">
      <c r="A2" s="271"/>
      <c r="B2" s="271"/>
      <c r="C2" s="271"/>
      <c r="D2" s="271"/>
      <c r="E2" s="271"/>
      <c r="F2" s="271"/>
      <c r="G2" s="271"/>
      <c r="H2" s="271"/>
      <c r="I2" s="271"/>
      <c r="J2" s="271"/>
      <c r="K2" s="271"/>
      <c r="L2" s="271"/>
      <c r="M2" s="271"/>
      <c r="N2" s="271"/>
      <c r="O2" s="271"/>
      <c r="P2" s="271"/>
      <c r="Q2" s="271"/>
      <c r="R2" s="216" t="s">
        <v>408</v>
      </c>
      <c r="S2" s="216" t="s">
        <v>331</v>
      </c>
      <c r="T2" s="216"/>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row>
    <row r="3" spans="1:53" s="145" customFormat="1">
      <c r="A3" s="271"/>
      <c r="B3" s="271"/>
      <c r="C3" s="271"/>
      <c r="D3" s="271"/>
      <c r="E3" s="271"/>
      <c r="F3" s="271"/>
      <c r="G3" s="271"/>
      <c r="H3" s="271"/>
      <c r="I3" s="271"/>
      <c r="J3" s="271"/>
      <c r="K3" s="271"/>
      <c r="L3" s="271"/>
      <c r="M3" s="271"/>
      <c r="N3" s="271"/>
      <c r="O3" s="271"/>
      <c r="P3" s="271"/>
      <c r="Q3" s="271"/>
      <c r="R3" s="216"/>
      <c r="S3" s="216" t="s">
        <v>496</v>
      </c>
      <c r="T3" s="216"/>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row>
    <row r="4" spans="1:53">
      <c r="A4" s="271"/>
      <c r="B4" s="271"/>
      <c r="O4" s="271"/>
      <c r="P4" s="271"/>
      <c r="Q4" s="271"/>
      <c r="R4" s="9" t="s">
        <v>610</v>
      </c>
      <c r="S4" s="9"/>
      <c r="T4" s="9"/>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row>
    <row r="5" spans="1:53">
      <c r="A5" s="271"/>
      <c r="B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150"/>
      <c r="BA5" s="150"/>
    </row>
    <row r="6" spans="1:53">
      <c r="A6" s="271"/>
      <c r="B6" s="271"/>
      <c r="O6" s="271"/>
      <c r="P6" s="271"/>
      <c r="Q6" s="271"/>
      <c r="R6" s="271"/>
      <c r="S6" s="146" t="s">
        <v>1181</v>
      </c>
      <c r="T6" s="147">
        <v>20</v>
      </c>
      <c r="U6" s="106"/>
      <c r="V6" s="271"/>
      <c r="W6" s="271"/>
      <c r="X6" s="271"/>
      <c r="Y6" s="271"/>
      <c r="Z6" s="271"/>
      <c r="AA6" s="271"/>
      <c r="AB6" s="216" t="s">
        <v>68</v>
      </c>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150"/>
      <c r="BA6" s="150"/>
    </row>
    <row r="7" spans="1:53">
      <c r="A7" s="271"/>
      <c r="B7" s="271"/>
      <c r="O7" s="271"/>
      <c r="P7" s="271"/>
      <c r="Q7" s="271"/>
      <c r="R7" s="271"/>
      <c r="S7" s="148" t="s">
        <v>1188</v>
      </c>
      <c r="T7" s="144">
        <v>7.0000000000000007E-2</v>
      </c>
      <c r="U7" s="106"/>
      <c r="V7" s="271"/>
      <c r="W7" s="271"/>
      <c r="X7" s="271"/>
      <c r="Y7" s="271"/>
      <c r="Z7" s="271"/>
      <c r="AA7" s="271"/>
      <c r="AB7" s="216"/>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row>
    <row r="8" spans="1:53">
      <c r="A8" s="271"/>
      <c r="B8" s="271"/>
      <c r="O8" s="271"/>
      <c r="P8" s="271"/>
      <c r="Q8" s="271"/>
      <c r="R8" s="271"/>
      <c r="S8" s="149" t="s">
        <v>1094</v>
      </c>
      <c r="T8" s="137">
        <f>+(T7*(1+T7)^T6)/((1+T7)^T6-1)</f>
        <v>9.4392925743255696E-2</v>
      </c>
      <c r="U8" s="106"/>
      <c r="V8" s="271"/>
      <c r="W8" s="271"/>
      <c r="X8" s="271"/>
      <c r="Y8" s="271"/>
      <c r="Z8" s="271"/>
      <c r="AA8" s="271"/>
      <c r="AB8" s="159"/>
      <c r="AC8" s="11019" t="s">
        <v>611</v>
      </c>
      <c r="AD8" s="11019"/>
      <c r="AE8" s="11020"/>
      <c r="AF8" s="271"/>
      <c r="AG8" s="159"/>
      <c r="AH8" s="11019" t="s">
        <v>1361</v>
      </c>
      <c r="AI8" s="11019"/>
      <c r="AJ8" s="11020"/>
      <c r="AK8" s="271"/>
      <c r="AL8" s="159"/>
      <c r="AM8" s="11021" t="s">
        <v>1362</v>
      </c>
      <c r="AN8" s="11021"/>
      <c r="AO8" s="11022"/>
      <c r="AP8" s="271"/>
      <c r="AQ8" s="271"/>
      <c r="AR8" s="271"/>
      <c r="AS8" s="271"/>
      <c r="AT8" s="271"/>
      <c r="AU8" s="271"/>
      <c r="AV8" s="271"/>
      <c r="AW8" s="271"/>
      <c r="AX8" s="271"/>
      <c r="AY8" s="271"/>
      <c r="AZ8" s="150"/>
      <c r="BA8" s="150"/>
    </row>
    <row r="9" spans="1:53">
      <c r="A9" s="271"/>
      <c r="B9" s="271"/>
      <c r="O9" s="271"/>
      <c r="P9" s="271"/>
      <c r="Q9" s="271"/>
      <c r="R9" s="271"/>
      <c r="S9" s="271"/>
      <c r="T9" s="271"/>
      <c r="U9" s="106"/>
      <c r="V9" s="271"/>
      <c r="W9" s="271"/>
      <c r="X9" s="271"/>
      <c r="Y9" s="271"/>
      <c r="Z9" s="271"/>
      <c r="AA9" s="271"/>
      <c r="AB9" s="8489"/>
      <c r="AC9" s="9">
        <v>2009</v>
      </c>
      <c r="AD9" s="9">
        <v>2010</v>
      </c>
      <c r="AE9" s="157">
        <v>2008</v>
      </c>
      <c r="AF9" s="271"/>
      <c r="AG9" s="8489"/>
      <c r="AH9" s="216">
        <v>2008</v>
      </c>
      <c r="AI9" s="216">
        <v>2009</v>
      </c>
      <c r="AJ9" s="157">
        <v>2010</v>
      </c>
      <c r="AK9" s="271"/>
      <c r="AL9" s="8489"/>
      <c r="AM9" s="216">
        <v>2008</v>
      </c>
      <c r="AN9" s="216">
        <v>2009</v>
      </c>
      <c r="AO9" s="157">
        <v>2010</v>
      </c>
      <c r="AP9" s="271"/>
      <c r="AQ9" s="271"/>
      <c r="AR9" s="271"/>
      <c r="AS9" s="271"/>
      <c r="AT9" s="271"/>
      <c r="AU9" s="271"/>
      <c r="AV9" s="271"/>
      <c r="AW9" s="271"/>
      <c r="AX9" s="271"/>
      <c r="AY9" s="271"/>
      <c r="AZ9" s="150"/>
      <c r="BA9" s="150"/>
    </row>
    <row r="10" spans="1:53">
      <c r="A10" s="271"/>
      <c r="B10" s="271"/>
      <c r="O10" s="271"/>
      <c r="P10" s="271"/>
      <c r="Q10" s="271"/>
      <c r="R10" s="271"/>
      <c r="S10" s="12"/>
      <c r="T10" s="271"/>
      <c r="U10" s="106"/>
      <c r="V10" s="271"/>
      <c r="W10" s="271"/>
      <c r="X10" s="271"/>
      <c r="Y10" s="271"/>
      <c r="Z10" s="271"/>
      <c r="AA10" s="271"/>
      <c r="AB10" s="148" t="s">
        <v>1363</v>
      </c>
      <c r="AC10" s="216">
        <v>5.9</v>
      </c>
      <c r="AD10" s="216">
        <v>23.1</v>
      </c>
      <c r="AE10" s="157"/>
      <c r="AF10" s="271"/>
      <c r="AG10" s="148" t="s">
        <v>1363</v>
      </c>
      <c r="AH10" s="216"/>
      <c r="AI10" s="216"/>
      <c r="AJ10" s="157"/>
      <c r="AK10" s="271"/>
      <c r="AL10" s="148" t="s">
        <v>1363</v>
      </c>
      <c r="AM10" s="216"/>
      <c r="AN10" s="216"/>
      <c r="AO10" s="157"/>
      <c r="AP10" s="271"/>
      <c r="AQ10" s="271"/>
      <c r="AR10" s="271"/>
      <c r="AS10" s="271"/>
      <c r="AT10" s="271"/>
      <c r="AU10" s="271"/>
      <c r="AV10" s="271"/>
      <c r="AW10" s="271"/>
      <c r="AX10" s="271"/>
      <c r="AY10" s="271"/>
      <c r="AZ10" s="150"/>
      <c r="BA10" s="150"/>
    </row>
    <row r="11" spans="1:53" ht="13.5" thickBot="1">
      <c r="A11" s="271"/>
      <c r="B11" s="271"/>
      <c r="O11" s="271"/>
      <c r="P11" s="6745"/>
      <c r="Q11" s="6745"/>
      <c r="R11" s="155"/>
      <c r="S11" s="197">
        <f>+'5(em)'!AB28</f>
        <v>119.6</v>
      </c>
      <c r="T11" s="155"/>
      <c r="U11" s="271"/>
      <c r="V11" s="271"/>
      <c r="W11" s="271"/>
      <c r="X11" s="271"/>
      <c r="Y11" s="271"/>
      <c r="Z11" s="271"/>
      <c r="AA11" s="271"/>
      <c r="AB11" s="148" t="s">
        <v>1364</v>
      </c>
      <c r="AC11" s="216">
        <v>4.0999999999999996</v>
      </c>
      <c r="AD11" s="216">
        <v>17.5</v>
      </c>
      <c r="AE11" s="157"/>
      <c r="AF11" s="271"/>
      <c r="AG11" s="148" t="s">
        <v>1364</v>
      </c>
      <c r="AH11" s="216">
        <v>8</v>
      </c>
      <c r="AI11" s="216">
        <v>6</v>
      </c>
      <c r="AJ11" s="160">
        <v>21</v>
      </c>
      <c r="AK11" s="271"/>
      <c r="AL11" s="148" t="s">
        <v>1364</v>
      </c>
      <c r="AM11" s="216">
        <v>8</v>
      </c>
      <c r="AN11" s="216">
        <v>6</v>
      </c>
      <c r="AO11" s="160">
        <v>21</v>
      </c>
      <c r="AP11" s="271"/>
      <c r="AQ11" s="271"/>
      <c r="AR11" s="271"/>
      <c r="AS11" s="271"/>
      <c r="AT11" s="271"/>
      <c r="AU11" s="271"/>
      <c r="AV11" s="271"/>
      <c r="AW11" s="271"/>
      <c r="AX11" s="271"/>
      <c r="AY11" s="271"/>
      <c r="AZ11" s="150"/>
      <c r="BA11" s="150"/>
    </row>
    <row r="12" spans="1:53">
      <c r="A12" s="271"/>
      <c r="B12" s="191" t="str">
        <f>+'13(an)'!M44</f>
        <v>FirstLight Hydro Generating Company</v>
      </c>
      <c r="O12" s="11043" t="s">
        <v>331</v>
      </c>
      <c r="P12" s="11043" t="s">
        <v>287</v>
      </c>
      <c r="Q12" s="11025">
        <v>1</v>
      </c>
      <c r="R12" s="11029" t="s">
        <v>1130</v>
      </c>
      <c r="S12" s="11029"/>
      <c r="T12" s="11029"/>
      <c r="U12" s="11030"/>
      <c r="V12" s="271"/>
      <c r="W12" s="271"/>
      <c r="X12" s="271"/>
      <c r="Y12" s="271"/>
      <c r="Z12" s="271"/>
      <c r="AA12" s="271"/>
      <c r="AB12" s="149" t="s">
        <v>1365</v>
      </c>
      <c r="AC12" s="9">
        <v>1.8</v>
      </c>
      <c r="AD12" s="9">
        <v>5.5</v>
      </c>
      <c r="AE12" s="137"/>
      <c r="AF12" s="271"/>
      <c r="AG12" s="8489"/>
      <c r="AH12" s="216"/>
      <c r="AI12" s="216"/>
      <c r="AJ12" s="157"/>
      <c r="AK12" s="271"/>
      <c r="AL12" s="8489"/>
      <c r="AM12" s="216"/>
      <c r="AN12" s="216"/>
      <c r="AO12" s="157"/>
      <c r="AP12" s="271"/>
      <c r="AQ12" s="271"/>
      <c r="AR12" s="271"/>
      <c r="AS12" s="271"/>
      <c r="AT12" s="271"/>
      <c r="AU12" s="271"/>
      <c r="AV12" s="271"/>
      <c r="AW12" s="271"/>
      <c r="AX12" s="271"/>
      <c r="AY12" s="271"/>
      <c r="AZ12" s="150"/>
      <c r="BA12" s="150"/>
    </row>
    <row r="13" spans="1:53" s="271" customFormat="1">
      <c r="O13" s="9653"/>
      <c r="P13" s="9653"/>
      <c r="Q13" s="11024"/>
      <c r="R13" s="8496"/>
      <c r="S13" s="8496"/>
      <c r="T13" s="8496"/>
      <c r="U13" s="8497"/>
      <c r="AB13" s="161" t="s">
        <v>1366</v>
      </c>
      <c r="AC13" s="216">
        <f>++AC12+AC11</f>
        <v>5.8999999999999995</v>
      </c>
      <c r="AD13" s="216">
        <f>+AD12+AD11</f>
        <v>23</v>
      </c>
      <c r="AE13" s="157"/>
      <c r="AG13" s="8489"/>
      <c r="AH13" s="216"/>
      <c r="AI13" s="216"/>
      <c r="AJ13" s="157"/>
      <c r="AL13" s="8489"/>
      <c r="AM13" s="216"/>
      <c r="AN13" s="216"/>
      <c r="AO13" s="157"/>
      <c r="AZ13" s="150"/>
      <c r="BA13" s="150"/>
    </row>
    <row r="14" spans="1:53">
      <c r="A14" s="271"/>
      <c r="B14" s="271"/>
      <c r="E14" s="216" t="s">
        <v>1900</v>
      </c>
      <c r="F14" s="3502">
        <v>249</v>
      </c>
      <c r="G14" s="216" t="s">
        <v>545</v>
      </c>
      <c r="O14" s="11044"/>
      <c r="P14" s="11044"/>
      <c r="Q14" s="11024"/>
      <c r="R14" s="11001" t="s">
        <v>1132</v>
      </c>
      <c r="S14" s="11001"/>
      <c r="T14" s="11001"/>
      <c r="U14" s="11028"/>
      <c r="V14" s="271"/>
      <c r="W14" s="271"/>
      <c r="X14" s="271"/>
      <c r="Y14" s="271"/>
      <c r="Z14" s="271"/>
      <c r="AA14" s="271"/>
      <c r="AB14" s="8489"/>
      <c r="AC14" s="216"/>
      <c r="AD14" s="216"/>
      <c r="AE14" s="157"/>
      <c r="AF14" s="271"/>
      <c r="AG14" s="8489"/>
      <c r="AH14" s="216"/>
      <c r="AI14" s="216"/>
      <c r="AJ14" s="157"/>
      <c r="AK14" s="271"/>
      <c r="AL14" s="8489"/>
      <c r="AM14" s="216"/>
      <c r="AN14" s="216"/>
      <c r="AO14" s="157"/>
      <c r="AP14" s="271"/>
      <c r="AQ14" s="271"/>
      <c r="AR14" s="271"/>
      <c r="AS14" s="271"/>
      <c r="AT14" s="271"/>
      <c r="AU14" s="271"/>
      <c r="AV14" s="271"/>
      <c r="AW14" s="271"/>
      <c r="AX14" s="271"/>
      <c r="AY14" s="271"/>
      <c r="AZ14" s="150"/>
      <c r="BA14" s="150"/>
    </row>
    <row r="15" spans="1:53">
      <c r="A15" s="271"/>
      <c r="B15" s="271"/>
      <c r="C15" s="216"/>
      <c r="E15" s="216" t="s">
        <v>1901</v>
      </c>
      <c r="F15" s="3502">
        <v>50</v>
      </c>
      <c r="G15" s="216" t="s">
        <v>117</v>
      </c>
      <c r="O15" s="11044"/>
      <c r="P15" s="11044"/>
      <c r="Q15" s="11024"/>
      <c r="R15" s="11001" t="s">
        <v>1131</v>
      </c>
      <c r="S15" s="11001"/>
      <c r="T15" s="11001"/>
      <c r="U15" s="11028"/>
      <c r="V15" s="271"/>
      <c r="W15" s="271"/>
      <c r="X15" s="271"/>
      <c r="Y15" s="271"/>
      <c r="Z15" s="271"/>
      <c r="AA15" s="271"/>
      <c r="AB15" s="8489"/>
      <c r="AC15" s="9">
        <v>2009</v>
      </c>
      <c r="AD15" s="9">
        <v>2010</v>
      </c>
      <c r="AE15" s="157"/>
      <c r="AF15" s="271"/>
      <c r="AG15" s="8489"/>
      <c r="AH15" s="216"/>
      <c r="AI15" s="216"/>
      <c r="AJ15" s="157"/>
      <c r="AK15" s="271"/>
      <c r="AL15" s="8489"/>
      <c r="AM15" s="216"/>
      <c r="AN15" s="216"/>
      <c r="AO15" s="157"/>
      <c r="AP15" s="271"/>
      <c r="AQ15" s="271"/>
      <c r="AR15" s="271"/>
      <c r="AS15" s="271"/>
      <c r="AT15" s="271"/>
      <c r="AU15" s="271"/>
      <c r="AV15" s="271"/>
      <c r="AW15" s="271"/>
      <c r="AX15" s="271"/>
      <c r="AY15" s="271"/>
      <c r="AZ15" s="150"/>
      <c r="BA15" s="150"/>
    </row>
    <row r="16" spans="1:53">
      <c r="A16" s="271"/>
      <c r="B16" s="271"/>
      <c r="E16" s="9" t="s">
        <v>419</v>
      </c>
      <c r="F16" s="3503">
        <f>+F15*F14</f>
        <v>12450</v>
      </c>
      <c r="G16" s="9" t="s">
        <v>1535</v>
      </c>
      <c r="O16" s="11044"/>
      <c r="P16" s="11044"/>
      <c r="Q16" s="11024"/>
      <c r="R16" s="155">
        <v>6310000</v>
      </c>
      <c r="S16" s="192">
        <v>5</v>
      </c>
      <c r="T16" s="193">
        <v>4.46</v>
      </c>
      <c r="U16" s="8498"/>
      <c r="V16" s="271"/>
      <c r="W16" s="271"/>
      <c r="X16" s="271"/>
      <c r="Y16" s="271"/>
      <c r="Z16" s="271"/>
      <c r="AA16" s="271"/>
      <c r="AB16" s="161" t="s">
        <v>1367</v>
      </c>
      <c r="AC16" s="216">
        <f>1.65*1000</f>
        <v>1650</v>
      </c>
      <c r="AD16" s="216">
        <f>5.31*1000</f>
        <v>5310</v>
      </c>
      <c r="AE16" s="157"/>
      <c r="AF16" s="4"/>
      <c r="AG16" s="148" t="s">
        <v>1367</v>
      </c>
      <c r="AH16" s="216"/>
      <c r="AI16" s="216"/>
      <c r="AJ16" s="157"/>
      <c r="AK16" s="271"/>
      <c r="AL16" s="148" t="s">
        <v>1367</v>
      </c>
      <c r="AM16" s="216"/>
      <c r="AN16" s="216"/>
      <c r="AO16" s="157"/>
      <c r="AP16" s="271"/>
      <c r="AQ16" s="271"/>
      <c r="AR16" s="271"/>
      <c r="AS16" s="271"/>
      <c r="AT16" s="271"/>
      <c r="AU16" s="271"/>
      <c r="AV16" s="271"/>
      <c r="AW16" s="271"/>
      <c r="AX16" s="271"/>
      <c r="AY16" s="271"/>
      <c r="AZ16" s="150"/>
      <c r="BA16" s="150"/>
    </row>
    <row r="17" spans="1:53" ht="12.75" customHeight="1">
      <c r="A17" s="271"/>
      <c r="B17" s="271"/>
      <c r="E17" s="3500" t="s">
        <v>1902</v>
      </c>
      <c r="F17" s="3504">
        <f>+'11(eff)'!U33</f>
        <v>0.73599999999999999</v>
      </c>
      <c r="G17" s="3500" t="s">
        <v>486</v>
      </c>
      <c r="I17" s="271">
        <f>+F18*F62/F63</f>
        <v>0.7306564774879365</v>
      </c>
      <c r="O17" s="11044"/>
      <c r="P17" s="11044"/>
      <c r="Q17" s="11024"/>
      <c r="R17" s="155">
        <v>315500</v>
      </c>
      <c r="S17" s="198">
        <f>+($S$11-S16)/$S$11</f>
        <v>0.9581939799331104</v>
      </c>
      <c r="T17" s="199">
        <f>+T16/S17</f>
        <v>4.6545898778359511</v>
      </c>
      <c r="U17" s="138"/>
      <c r="V17" s="271"/>
      <c r="W17" s="271"/>
      <c r="X17" s="271"/>
      <c r="Y17" s="271"/>
      <c r="Z17" s="271"/>
      <c r="AA17" s="271"/>
      <c r="AB17" s="8489"/>
      <c r="AC17" s="216"/>
      <c r="AD17" s="216"/>
      <c r="AE17" s="157"/>
      <c r="AF17" s="4"/>
      <c r="AG17" s="148" t="s">
        <v>1368</v>
      </c>
      <c r="AH17" s="216"/>
      <c r="AI17" s="216">
        <v>4</v>
      </c>
      <c r="AJ17" s="157">
        <v>13</v>
      </c>
      <c r="AK17" s="271"/>
      <c r="AL17" s="148" t="s">
        <v>1368</v>
      </c>
      <c r="AM17" s="162">
        <f>+AM11*AE19</f>
        <v>2042.1223286661755</v>
      </c>
      <c r="AN17" s="162">
        <f>+AC19*AN11</f>
        <v>1677.9661016949153</v>
      </c>
      <c r="AO17" s="163">
        <f>+AO11*AD19</f>
        <v>4848.2608695652179</v>
      </c>
      <c r="AP17" s="271"/>
      <c r="AQ17" s="271"/>
      <c r="AR17" s="271"/>
      <c r="AS17" s="271"/>
      <c r="AT17" s="271"/>
      <c r="AU17" s="271"/>
      <c r="AV17" s="271"/>
      <c r="AW17" s="271"/>
      <c r="AX17" s="271"/>
      <c r="AY17" s="271"/>
      <c r="AZ17" s="150"/>
      <c r="BA17" s="150"/>
    </row>
    <row r="18" spans="1:53">
      <c r="A18" s="271"/>
      <c r="B18" s="271"/>
      <c r="E18" s="9"/>
      <c r="F18" s="3514">
        <f>+'11(eff)'!V33</f>
        <v>186.70717329804756</v>
      </c>
      <c r="G18" s="3501" t="s">
        <v>1885</v>
      </c>
      <c r="O18" s="11044"/>
      <c r="P18" s="11044"/>
      <c r="Q18" s="11026"/>
      <c r="R18" s="105">
        <v>190292</v>
      </c>
      <c r="S18" s="105">
        <f>63100*2+126200</f>
        <v>252400</v>
      </c>
      <c r="T18" s="105"/>
      <c r="U18" s="139"/>
      <c r="V18" s="271"/>
      <c r="W18" s="271"/>
      <c r="X18" s="271"/>
      <c r="Y18" s="271"/>
      <c r="Z18" s="271"/>
      <c r="AA18" s="271"/>
      <c r="AB18" s="8489"/>
      <c r="AC18" s="216"/>
      <c r="AD18" s="216"/>
      <c r="AE18" s="157"/>
      <c r="AF18" s="4"/>
      <c r="AG18" s="148" t="s">
        <v>1369</v>
      </c>
      <c r="AH18" s="216"/>
      <c r="AI18" s="216"/>
      <c r="AJ18" s="157"/>
      <c r="AK18" s="271"/>
      <c r="AL18" s="148" t="s">
        <v>1369</v>
      </c>
      <c r="AM18" s="216">
        <v>0.51400000000000001</v>
      </c>
      <c r="AN18" s="216">
        <f>+AM18</f>
        <v>0.51400000000000001</v>
      </c>
      <c r="AO18" s="157">
        <f>+AM18</f>
        <v>0.51400000000000001</v>
      </c>
      <c r="AP18" s="271"/>
      <c r="AQ18" s="271"/>
      <c r="AR18" s="271"/>
      <c r="AS18" s="271"/>
      <c r="AT18" s="271"/>
      <c r="AU18" s="271"/>
      <c r="AV18" s="271"/>
      <c r="AW18" s="271"/>
      <c r="AX18" s="271"/>
      <c r="AY18" s="271"/>
      <c r="AZ18" s="150"/>
      <c r="BA18" s="150"/>
    </row>
    <row r="19" spans="1:53">
      <c r="A19" s="271"/>
      <c r="B19" s="271"/>
      <c r="E19" s="271" t="s">
        <v>1903</v>
      </c>
      <c r="F19" s="3505">
        <f>+F17*F16/2000</f>
        <v>4.5816000000000008</v>
      </c>
      <c r="G19" s="716" t="s">
        <v>118</v>
      </c>
      <c r="O19" s="11044"/>
      <c r="P19" s="11044"/>
      <c r="Q19" s="11023">
        <f>1+Q12</f>
        <v>2</v>
      </c>
      <c r="R19" s="11031" t="s">
        <v>1133</v>
      </c>
      <c r="S19" s="11031"/>
      <c r="T19" s="11031"/>
      <c r="U19" s="11032"/>
      <c r="V19" s="271"/>
      <c r="W19" s="271"/>
      <c r="X19" s="271"/>
      <c r="Y19" s="271"/>
      <c r="Z19" s="271"/>
      <c r="AA19" s="271"/>
      <c r="AB19" s="148" t="s">
        <v>1370</v>
      </c>
      <c r="AC19" s="164">
        <f>+AC16/AC13</f>
        <v>279.66101694915255</v>
      </c>
      <c r="AD19" s="164">
        <f>+AD16/AD13</f>
        <v>230.86956521739131</v>
      </c>
      <c r="AE19" s="165">
        <f>+AVERAGE(AC19:AD19)</f>
        <v>255.26529108327193</v>
      </c>
      <c r="AF19" s="271"/>
      <c r="AG19" s="148" t="s">
        <v>1371</v>
      </c>
      <c r="AH19" s="216">
        <v>67</v>
      </c>
      <c r="AI19" s="216">
        <v>55</v>
      </c>
      <c r="AJ19" s="160">
        <v>204</v>
      </c>
      <c r="AK19" s="271"/>
      <c r="AL19" s="148" t="s">
        <v>1371</v>
      </c>
      <c r="AM19" s="216">
        <f>+AH19</f>
        <v>67</v>
      </c>
      <c r="AN19" s="216">
        <f>+AI19</f>
        <v>55</v>
      </c>
      <c r="AO19" s="160">
        <f>+AJ19</f>
        <v>204</v>
      </c>
      <c r="AP19" s="271"/>
      <c r="AQ19" s="271"/>
      <c r="AR19" s="271"/>
      <c r="AS19" s="271"/>
      <c r="AT19" s="271"/>
      <c r="AU19" s="271"/>
      <c r="AV19" s="271"/>
      <c r="AW19" s="271"/>
      <c r="AX19" s="271"/>
      <c r="AY19" s="271"/>
      <c r="AZ19" s="150"/>
      <c r="BA19" s="150"/>
    </row>
    <row r="20" spans="1:53">
      <c r="A20" s="271"/>
      <c r="B20" s="271"/>
      <c r="O20" s="11044"/>
      <c r="P20" s="11044"/>
      <c r="Q20" s="11024"/>
      <c r="R20" s="11001" t="s">
        <v>1134</v>
      </c>
      <c r="S20" s="11001"/>
      <c r="T20" s="11001"/>
      <c r="U20" s="11028"/>
      <c r="V20" s="271"/>
      <c r="W20" s="271"/>
      <c r="X20" s="271"/>
      <c r="Y20" s="271"/>
      <c r="Z20" s="271"/>
      <c r="AA20" s="271"/>
      <c r="AB20" s="8489"/>
      <c r="AC20" s="216"/>
      <c r="AD20" s="216"/>
      <c r="AE20" s="157"/>
      <c r="AF20" s="271"/>
      <c r="AG20" s="8489" t="s">
        <v>946</v>
      </c>
      <c r="AH20" s="216">
        <v>0.12</v>
      </c>
      <c r="AI20" s="216">
        <v>0</v>
      </c>
      <c r="AJ20" s="157">
        <v>0</v>
      </c>
      <c r="AK20" s="271"/>
      <c r="AL20" s="8489" t="s">
        <v>946</v>
      </c>
      <c r="AM20" s="166">
        <f>+AM18*AM17/2000</f>
        <v>0.52482543846720708</v>
      </c>
      <c r="AN20" s="166">
        <f>+AN18*AN17/2000</f>
        <v>0.43123728813559326</v>
      </c>
      <c r="AO20" s="167">
        <f>+AO18*AO17/2000</f>
        <v>1.2460030434782612</v>
      </c>
      <c r="AP20" s="271"/>
      <c r="AQ20" s="271"/>
      <c r="AR20" s="271"/>
      <c r="AS20" s="271"/>
      <c r="AT20" s="271"/>
      <c r="AU20" s="271"/>
      <c r="AV20" s="271"/>
      <c r="AW20" s="271"/>
      <c r="AX20" s="271"/>
      <c r="AY20" s="271"/>
      <c r="AZ20" s="150"/>
      <c r="BA20" s="150"/>
    </row>
    <row r="21" spans="1:53">
      <c r="A21" s="271"/>
      <c r="B21" s="271"/>
      <c r="C21" s="216"/>
      <c r="O21" s="11044"/>
      <c r="P21" s="11044"/>
      <c r="Q21" s="11024"/>
      <c r="R21" s="11001" t="s">
        <v>1135</v>
      </c>
      <c r="S21" s="11001"/>
      <c r="T21" s="11001"/>
      <c r="U21" s="11028"/>
      <c r="V21" s="271"/>
      <c r="W21" s="271"/>
      <c r="X21" s="271"/>
      <c r="Y21" s="271"/>
      <c r="Z21" s="271"/>
      <c r="AA21" s="271"/>
      <c r="AB21" s="148" t="s">
        <v>1368</v>
      </c>
      <c r="AC21" s="216">
        <f>+AC19*AC11</f>
        <v>1146.6101694915253</v>
      </c>
      <c r="AD21" s="216">
        <f>+AD19*AD11</f>
        <v>4040.217391304348</v>
      </c>
      <c r="AE21" s="157"/>
      <c r="AF21" s="271"/>
      <c r="AG21" s="8489"/>
      <c r="AH21" s="216"/>
      <c r="AI21" s="216"/>
      <c r="AJ21" s="157"/>
      <c r="AK21" s="271"/>
      <c r="AL21" s="8489"/>
      <c r="AM21" s="216"/>
      <c r="AN21" s="216"/>
      <c r="AO21" s="157"/>
      <c r="AP21" s="271"/>
      <c r="AQ21" s="271"/>
      <c r="AR21" s="271"/>
      <c r="AS21" s="271"/>
      <c r="AT21" s="271"/>
      <c r="AU21" s="271"/>
      <c r="AV21" s="271"/>
      <c r="AW21" s="271"/>
      <c r="AX21" s="271"/>
      <c r="AY21" s="271"/>
      <c r="AZ21" s="150"/>
      <c r="BA21" s="150"/>
    </row>
    <row r="22" spans="1:53">
      <c r="A22" s="271"/>
      <c r="B22" s="271"/>
      <c r="C22" s="216"/>
      <c r="F22" s="11050" t="s">
        <v>1081</v>
      </c>
      <c r="G22" s="11048" t="s">
        <v>1906</v>
      </c>
      <c r="H22" s="11050" t="s">
        <v>1081</v>
      </c>
      <c r="I22" s="11048" t="s">
        <v>1907</v>
      </c>
      <c r="J22" s="11048" t="s">
        <v>1908</v>
      </c>
      <c r="O22" s="11044"/>
      <c r="P22" s="11044"/>
      <c r="Q22" s="11024"/>
      <c r="R22" s="155">
        <v>3630000</v>
      </c>
      <c r="S22" s="192">
        <v>10</v>
      </c>
      <c r="T22" s="193">
        <v>4.33</v>
      </c>
      <c r="U22" s="8498"/>
      <c r="V22" s="271"/>
      <c r="W22" s="271"/>
      <c r="X22" s="271"/>
      <c r="Y22" s="271"/>
      <c r="Z22" s="271"/>
      <c r="AA22" s="271"/>
      <c r="AB22" s="8489"/>
      <c r="AC22" s="216"/>
      <c r="AD22" s="216"/>
      <c r="AE22" s="157"/>
      <c r="AF22" s="271"/>
      <c r="AG22" s="148" t="s">
        <v>861</v>
      </c>
      <c r="AH22" s="168">
        <f>+AH20*10^6/AH19</f>
        <v>1791.044776119403</v>
      </c>
      <c r="AI22" s="216">
        <f>+AI20*10^6/AI19</f>
        <v>0</v>
      </c>
      <c r="AJ22" s="157">
        <f>+AJ20*10^6/AJ19</f>
        <v>0</v>
      </c>
      <c r="AK22" s="271"/>
      <c r="AL22" s="148" t="s">
        <v>861</v>
      </c>
      <c r="AM22" s="162">
        <f>+AM20*10^6/AM19</f>
        <v>7833.2154995105539</v>
      </c>
      <c r="AN22" s="162">
        <f>+AN20*10^6/AN19</f>
        <v>7840.6779661016953</v>
      </c>
      <c r="AO22" s="163">
        <f>+AO20*10^6/AO19</f>
        <v>6107.8580562659863</v>
      </c>
      <c r="AP22" s="271"/>
      <c r="AQ22" s="271"/>
      <c r="AR22" s="271"/>
      <c r="AS22" s="271"/>
      <c r="AT22" s="271"/>
      <c r="AU22" s="271"/>
      <c r="AV22" s="271"/>
      <c r="AW22" s="271"/>
      <c r="AX22" s="271"/>
      <c r="AY22" s="271"/>
      <c r="AZ22" s="150"/>
      <c r="BA22" s="150"/>
    </row>
    <row r="23" spans="1:53">
      <c r="A23" s="271"/>
      <c r="B23" s="271"/>
      <c r="C23" s="216"/>
      <c r="F23" s="11051"/>
      <c r="G23" s="11049"/>
      <c r="H23" s="11051"/>
      <c r="I23" s="11049"/>
      <c r="J23" s="11049"/>
      <c r="O23" s="11044"/>
      <c r="P23" s="11044"/>
      <c r="Q23" s="11024"/>
      <c r="R23" s="155">
        <v>181500</v>
      </c>
      <c r="S23" s="198">
        <f>+($S$11-S22)/$S$11</f>
        <v>0.91638795986622068</v>
      </c>
      <c r="T23" s="199">
        <f>+T22/S23</f>
        <v>4.7250729927007304</v>
      </c>
      <c r="U23" s="138"/>
      <c r="V23" s="271"/>
      <c r="W23" s="271"/>
      <c r="X23" s="271"/>
      <c r="Y23" s="271"/>
      <c r="Z23" s="271"/>
      <c r="AA23" s="271"/>
      <c r="AB23" s="8489"/>
      <c r="AC23" s="216"/>
      <c r="AD23" s="216"/>
      <c r="AE23" s="157"/>
      <c r="AF23" s="271"/>
      <c r="AG23" s="8489"/>
      <c r="AH23" s="216"/>
      <c r="AI23" s="216"/>
      <c r="AJ23" s="157"/>
      <c r="AK23" s="271"/>
      <c r="AL23" s="8489"/>
      <c r="AM23" s="216"/>
      <c r="AN23" s="216"/>
      <c r="AO23" s="157"/>
      <c r="AP23" s="271"/>
      <c r="AQ23" s="271"/>
      <c r="AR23" s="271"/>
      <c r="AS23" s="271"/>
      <c r="AT23" s="271"/>
      <c r="AU23" s="271"/>
      <c r="AV23" s="271"/>
      <c r="AW23" s="271"/>
      <c r="AX23" s="271"/>
      <c r="AY23" s="271"/>
      <c r="AZ23" s="150"/>
      <c r="BA23" s="150"/>
    </row>
    <row r="24" spans="1:53">
      <c r="A24" s="271"/>
      <c r="B24" s="271"/>
      <c r="C24" s="216"/>
      <c r="D24" s="3498">
        <v>1</v>
      </c>
      <c r="E24" s="3499" t="s">
        <v>1904</v>
      </c>
      <c r="F24" s="3506">
        <v>5</v>
      </c>
      <c r="G24" s="3508">
        <f t="shared" ref="G24:G31" si="0">+($F$18-F24)/$F$18</f>
        <v>0.97322009694818568</v>
      </c>
      <c r="H24" s="3510">
        <f t="shared" ref="H24:H31" si="1">+(1-G24)*$F$17</f>
        <v>1.9710008646135341E-2</v>
      </c>
      <c r="I24" s="3512">
        <f t="shared" ref="I24:I31" si="2">+(1-G24)*$F$19</f>
        <v>0.12269480382219253</v>
      </c>
      <c r="J24" s="142">
        <f t="shared" ref="J24:J31" si="3">+$F$19-I24</f>
        <v>4.4589051961778079</v>
      </c>
      <c r="O24" s="11044"/>
      <c r="P24" s="11044"/>
      <c r="Q24" s="11026"/>
      <c r="R24" s="105">
        <v>112635</v>
      </c>
      <c r="S24" s="105">
        <f>36300*2+72600</f>
        <v>145200</v>
      </c>
      <c r="T24" s="105"/>
      <c r="U24" s="139"/>
      <c r="V24" s="271"/>
      <c r="W24" s="271"/>
      <c r="X24" s="271"/>
      <c r="Y24" s="271"/>
      <c r="Z24" s="271"/>
      <c r="AA24" s="271"/>
      <c r="AB24" s="8490"/>
      <c r="AC24" s="9"/>
      <c r="AD24" s="9"/>
      <c r="AE24" s="137"/>
      <c r="AF24" s="271"/>
      <c r="AG24" s="8490"/>
      <c r="AH24" s="9"/>
      <c r="AI24" s="9"/>
      <c r="AJ24" s="137"/>
      <c r="AK24" s="271"/>
      <c r="AL24" s="8490"/>
      <c r="AM24" s="9"/>
      <c r="AN24" s="9"/>
      <c r="AO24" s="137"/>
      <c r="AP24" s="271"/>
      <c r="AQ24" s="271"/>
      <c r="AR24" s="271"/>
      <c r="AS24" s="271"/>
      <c r="AT24" s="271"/>
      <c r="AU24" s="271"/>
      <c r="AV24" s="271"/>
      <c r="AW24" s="271"/>
      <c r="AX24" s="271"/>
      <c r="AY24" s="271"/>
      <c r="AZ24" s="150"/>
      <c r="BA24" s="150"/>
    </row>
    <row r="25" spans="1:53">
      <c r="A25" s="271"/>
      <c r="B25" s="271"/>
      <c r="C25" s="216"/>
      <c r="D25" s="1363">
        <v>2</v>
      </c>
      <c r="E25" s="276" t="s">
        <v>1804</v>
      </c>
      <c r="F25" s="3507">
        <v>10</v>
      </c>
      <c r="G25" s="3509">
        <f t="shared" si="0"/>
        <v>0.94644019389637146</v>
      </c>
      <c r="H25" s="3511">
        <f t="shared" si="1"/>
        <v>3.9420017292270605E-2</v>
      </c>
      <c r="I25" s="3513">
        <f t="shared" si="2"/>
        <v>0.24538960764438456</v>
      </c>
      <c r="J25" s="142">
        <f t="shared" si="3"/>
        <v>4.3362103923556159</v>
      </c>
      <c r="O25" s="11044"/>
      <c r="P25" s="11044"/>
      <c r="Q25" s="11023">
        <f>1+Q19</f>
        <v>3</v>
      </c>
      <c r="R25" s="11031" t="s">
        <v>1126</v>
      </c>
      <c r="S25" s="11031"/>
      <c r="T25" s="11031"/>
      <c r="U25" s="11032"/>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150"/>
      <c r="BA25" s="150"/>
    </row>
    <row r="26" spans="1:53">
      <c r="A26" s="271"/>
      <c r="B26" s="271"/>
      <c r="C26" s="216"/>
      <c r="D26" s="1363">
        <v>3</v>
      </c>
      <c r="E26" s="276" t="s">
        <v>1093</v>
      </c>
      <c r="F26" s="3507">
        <v>25</v>
      </c>
      <c r="G26" s="3509">
        <f t="shared" si="0"/>
        <v>0.8661004847409286</v>
      </c>
      <c r="H26" s="3511">
        <f t="shared" si="1"/>
        <v>9.8550043230676551E-2</v>
      </c>
      <c r="I26" s="3513">
        <f t="shared" si="2"/>
        <v>0.61347401911096167</v>
      </c>
      <c r="J26" s="142">
        <f t="shared" si="3"/>
        <v>3.968125980889039</v>
      </c>
      <c r="O26" s="11044"/>
      <c r="P26" s="11044"/>
      <c r="Q26" s="11024"/>
      <c r="R26" s="11001" t="s">
        <v>1134</v>
      </c>
      <c r="S26" s="11001"/>
      <c r="T26" s="11001"/>
      <c r="U26" s="11028"/>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150"/>
      <c r="BA26" s="150"/>
    </row>
    <row r="27" spans="1:53">
      <c r="A27" s="271"/>
      <c r="B27" s="271"/>
      <c r="C27" s="216"/>
      <c r="D27" s="1363">
        <v>4</v>
      </c>
      <c r="E27" s="276" t="s">
        <v>1809</v>
      </c>
      <c r="F27" s="3507">
        <v>50</v>
      </c>
      <c r="G27" s="3509">
        <f t="shared" si="0"/>
        <v>0.73220096948185731</v>
      </c>
      <c r="H27" s="3511">
        <f t="shared" si="1"/>
        <v>0.19710008646135302</v>
      </c>
      <c r="I27" s="3513">
        <f t="shared" si="2"/>
        <v>1.2269480382219227</v>
      </c>
      <c r="J27" s="142">
        <f t="shared" si="3"/>
        <v>3.3546519617780781</v>
      </c>
      <c r="O27" s="11044"/>
      <c r="P27" s="11044"/>
      <c r="Q27" s="11024"/>
      <c r="R27" s="11001" t="s">
        <v>1136</v>
      </c>
      <c r="S27" s="11001"/>
      <c r="T27" s="11001"/>
      <c r="U27" s="11028"/>
      <c r="V27" s="271"/>
      <c r="W27" s="271"/>
      <c r="X27" s="271"/>
      <c r="Y27" s="271"/>
      <c r="Z27" s="271"/>
      <c r="AA27" s="271"/>
      <c r="AB27" s="271" t="s">
        <v>97</v>
      </c>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row>
    <row r="28" spans="1:53">
      <c r="A28" s="271"/>
      <c r="B28" s="271"/>
      <c r="D28" s="1363">
        <v>5</v>
      </c>
      <c r="E28" s="276" t="s">
        <v>93</v>
      </c>
      <c r="F28" s="3507">
        <v>75</v>
      </c>
      <c r="G28" s="3509">
        <f t="shared" si="0"/>
        <v>0.59830145422278591</v>
      </c>
      <c r="H28" s="3511">
        <f t="shared" si="1"/>
        <v>0.29565012969202958</v>
      </c>
      <c r="I28" s="3513">
        <f t="shared" si="2"/>
        <v>1.8404220573328844</v>
      </c>
      <c r="J28" s="142">
        <f t="shared" si="3"/>
        <v>2.7411779426671163</v>
      </c>
      <c r="O28" s="11044"/>
      <c r="P28" s="11044"/>
      <c r="Q28" s="11024"/>
      <c r="R28" s="155">
        <v>2730000</v>
      </c>
      <c r="S28" s="192">
        <v>25</v>
      </c>
      <c r="T28" s="193">
        <v>3.96</v>
      </c>
      <c r="U28" s="8498"/>
      <c r="V28" s="271"/>
      <c r="W28" s="271"/>
      <c r="X28" s="271"/>
      <c r="Y28" s="271"/>
      <c r="Z28" s="271"/>
      <c r="AA28" s="271"/>
      <c r="AB28" s="159"/>
      <c r="AC28" s="11019" t="s">
        <v>611</v>
      </c>
      <c r="AD28" s="11019"/>
      <c r="AE28" s="11020"/>
      <c r="AF28" s="271"/>
      <c r="AG28" s="159"/>
      <c r="AH28" s="11021" t="s">
        <v>1362</v>
      </c>
      <c r="AI28" s="11021"/>
      <c r="AJ28" s="11022"/>
      <c r="AK28" s="271"/>
      <c r="AL28" s="271"/>
      <c r="AM28" s="271"/>
      <c r="AN28" s="271"/>
      <c r="AO28" s="271"/>
      <c r="AP28" s="271"/>
      <c r="AQ28" s="271"/>
      <c r="AR28" s="271"/>
      <c r="AS28" s="271"/>
      <c r="AT28" s="271"/>
      <c r="AU28" s="271"/>
      <c r="AV28" s="271"/>
      <c r="AW28" s="271"/>
      <c r="AX28" s="271"/>
      <c r="AY28" s="271"/>
      <c r="AZ28" s="156"/>
      <c r="BA28" s="156"/>
    </row>
    <row r="29" spans="1:53">
      <c r="A29" s="271"/>
      <c r="B29" s="271"/>
      <c r="D29" s="1363">
        <v>6</v>
      </c>
      <c r="E29" s="276" t="s">
        <v>1905</v>
      </c>
      <c r="F29" s="3507">
        <v>120</v>
      </c>
      <c r="G29" s="3509">
        <f t="shared" si="0"/>
        <v>0.35728232675645749</v>
      </c>
      <c r="H29" s="3511">
        <f t="shared" si="1"/>
        <v>0.47304020750724723</v>
      </c>
      <c r="I29" s="3513">
        <f t="shared" si="2"/>
        <v>2.9446752917326147</v>
      </c>
      <c r="J29" s="142">
        <f t="shared" si="3"/>
        <v>1.6369247082673861</v>
      </c>
      <c r="O29" s="11044"/>
      <c r="P29" s="11044"/>
      <c r="Q29" s="11024"/>
      <c r="R29" s="155">
        <v>136500</v>
      </c>
      <c r="S29" s="198">
        <f>+($S$11-S28)/$S$11</f>
        <v>0.79096989966555187</v>
      </c>
      <c r="T29" s="199">
        <f>+T28/S29</f>
        <v>5.0065116279069768</v>
      </c>
      <c r="U29" s="138"/>
      <c r="V29" s="271"/>
      <c r="W29" s="271"/>
      <c r="X29" s="271"/>
      <c r="Y29" s="271"/>
      <c r="Z29" s="271"/>
      <c r="AA29" s="271"/>
      <c r="AB29" s="8489"/>
      <c r="AC29" s="9">
        <v>2009</v>
      </c>
      <c r="AD29" s="40">
        <v>2010</v>
      </c>
      <c r="AE29" s="169" t="s">
        <v>1372</v>
      </c>
      <c r="AF29" s="271"/>
      <c r="AG29" s="8489"/>
      <c r="AH29" s="9">
        <v>2009</v>
      </c>
      <c r="AI29" s="40">
        <v>2010</v>
      </c>
      <c r="AJ29" s="169" t="s">
        <v>1372</v>
      </c>
      <c r="AK29" s="271"/>
      <c r="AL29" s="271"/>
      <c r="AM29" s="271"/>
      <c r="AN29" s="271"/>
      <c r="AO29" s="271"/>
      <c r="AP29" s="271"/>
      <c r="AQ29" s="271"/>
      <c r="AR29" s="271"/>
      <c r="AS29" s="271"/>
      <c r="AT29" s="271"/>
      <c r="AU29" s="271"/>
      <c r="AV29" s="271"/>
      <c r="AW29" s="271"/>
      <c r="AX29" s="271"/>
      <c r="AY29" s="271"/>
      <c r="AZ29" s="156"/>
      <c r="BA29" s="156"/>
    </row>
    <row r="30" spans="1:53">
      <c r="A30" s="271"/>
      <c r="B30" s="271"/>
      <c r="D30" s="1363">
        <v>7</v>
      </c>
      <c r="E30" s="276" t="s">
        <v>1808</v>
      </c>
      <c r="F30" s="3507">
        <v>25</v>
      </c>
      <c r="G30" s="3509">
        <f t="shared" si="0"/>
        <v>0.8661004847409286</v>
      </c>
      <c r="H30" s="3511">
        <f t="shared" si="1"/>
        <v>9.8550043230676551E-2</v>
      </c>
      <c r="I30" s="3513">
        <f t="shared" si="2"/>
        <v>0.61347401911096167</v>
      </c>
      <c r="J30" s="142">
        <f t="shared" si="3"/>
        <v>3.968125980889039</v>
      </c>
      <c r="O30" s="11044"/>
      <c r="P30" s="11044"/>
      <c r="Q30" s="11026"/>
      <c r="R30" s="105">
        <v>92753</v>
      </c>
      <c r="S30" s="105">
        <f>27300*2+54600</f>
        <v>109200</v>
      </c>
      <c r="T30" s="105"/>
      <c r="U30" s="139"/>
      <c r="V30" s="271"/>
      <c r="W30" s="271"/>
      <c r="X30" s="271"/>
      <c r="Y30" s="271"/>
      <c r="Z30" s="271"/>
      <c r="AA30" s="271"/>
      <c r="AB30" s="148" t="s">
        <v>1363</v>
      </c>
      <c r="AC30" s="216">
        <v>133.4</v>
      </c>
      <c r="AD30" s="216">
        <v>338.5</v>
      </c>
      <c r="AE30" s="8487">
        <f>0.5*(AC30+AD30)</f>
        <v>235.95</v>
      </c>
      <c r="AF30" s="271"/>
      <c r="AG30" s="148" t="s">
        <v>1363</v>
      </c>
      <c r="AH30" s="173">
        <f>+AC30</f>
        <v>133.4</v>
      </c>
      <c r="AI30" s="173">
        <f>+AD30</f>
        <v>338.5</v>
      </c>
      <c r="AJ30" s="8487">
        <f>0.5*(AH30+AI30)</f>
        <v>235.95</v>
      </c>
      <c r="AK30" s="271"/>
      <c r="AL30" s="271"/>
      <c r="AM30" s="271"/>
      <c r="AN30" s="271"/>
      <c r="AO30" s="271"/>
      <c r="AP30" s="271"/>
      <c r="AQ30" s="271"/>
      <c r="AR30" s="271"/>
      <c r="AS30" s="271"/>
      <c r="AT30" s="271"/>
      <c r="AU30" s="271"/>
      <c r="AV30" s="271"/>
      <c r="AW30" s="271"/>
      <c r="AX30" s="271"/>
      <c r="AY30" s="271"/>
      <c r="AZ30" s="156"/>
      <c r="BA30" s="156"/>
    </row>
    <row r="31" spans="1:53">
      <c r="A31" s="271"/>
      <c r="B31" s="271"/>
      <c r="D31" s="1363">
        <v>8</v>
      </c>
      <c r="E31" s="276" t="str">
        <f>+E41</f>
        <v xml:space="preserve">New Eqp - GE </v>
      </c>
      <c r="F31" s="3507">
        <v>42</v>
      </c>
      <c r="G31" s="3509">
        <f t="shared" si="0"/>
        <v>0.77504881436476014</v>
      </c>
      <c r="H31" s="3511">
        <f t="shared" si="1"/>
        <v>0.16556407262753653</v>
      </c>
      <c r="I31" s="3513">
        <f t="shared" si="2"/>
        <v>1.030636352106415</v>
      </c>
      <c r="J31" s="142">
        <f t="shared" si="3"/>
        <v>3.5509636478935858</v>
      </c>
      <c r="O31" s="11044"/>
      <c r="P31" s="11044"/>
      <c r="Q31" s="11023">
        <f>1+Q25</f>
        <v>4</v>
      </c>
      <c r="R31" s="11031" t="s">
        <v>1141</v>
      </c>
      <c r="S31" s="11031"/>
      <c r="T31" s="11031"/>
      <c r="U31" s="11032"/>
      <c r="V31" s="271"/>
      <c r="W31" s="271"/>
      <c r="X31" s="271"/>
      <c r="Y31" s="271"/>
      <c r="Z31" s="271"/>
      <c r="AA31" s="271"/>
      <c r="AB31" s="148" t="s">
        <v>1364</v>
      </c>
      <c r="AC31" s="216">
        <v>19.600000000000001</v>
      </c>
      <c r="AD31" s="216">
        <v>98</v>
      </c>
      <c r="AE31" s="8487"/>
      <c r="AF31" s="271"/>
      <c r="AG31" s="148" t="s">
        <v>1364</v>
      </c>
      <c r="AH31" s="216">
        <f>+AH30-AH32</f>
        <v>111.5</v>
      </c>
      <c r="AI31" s="216">
        <f>+AI30-AI32</f>
        <v>316.2</v>
      </c>
      <c r="AJ31" s="8487">
        <f>0.5*(AH31+AI31)</f>
        <v>213.85</v>
      </c>
      <c r="AK31" s="271"/>
      <c r="AL31" s="271"/>
      <c r="AM31" s="271"/>
      <c r="AN31" s="271"/>
      <c r="AO31" s="271"/>
      <c r="AP31" s="271"/>
      <c r="AQ31" s="271"/>
      <c r="AR31" s="271"/>
      <c r="AS31" s="271"/>
      <c r="AT31" s="271"/>
      <c r="AU31" s="271"/>
      <c r="AV31" s="271"/>
      <c r="AW31" s="271"/>
      <c r="AX31" s="271"/>
      <c r="AY31" s="271"/>
      <c r="AZ31" s="156"/>
      <c r="BA31" s="156"/>
    </row>
    <row r="32" spans="1:53">
      <c r="A32" s="271"/>
      <c r="B32" s="271"/>
      <c r="O32" s="11044"/>
      <c r="P32" s="11044"/>
      <c r="Q32" s="11024"/>
      <c r="R32" s="11001" t="s">
        <v>1134</v>
      </c>
      <c r="S32" s="11001"/>
      <c r="T32" s="11001"/>
      <c r="U32" s="11033"/>
      <c r="V32" s="271"/>
      <c r="W32" s="271"/>
      <c r="X32" s="271"/>
      <c r="Y32" s="271"/>
      <c r="Z32" s="271"/>
      <c r="AA32" s="271"/>
      <c r="AB32" s="149" t="s">
        <v>1365</v>
      </c>
      <c r="AC32" s="9">
        <v>21.9</v>
      </c>
      <c r="AD32" s="9">
        <v>22.3</v>
      </c>
      <c r="AE32" s="8488"/>
      <c r="AF32" s="271"/>
      <c r="AG32" s="149" t="s">
        <v>1365</v>
      </c>
      <c r="AH32" s="9">
        <v>21.9</v>
      </c>
      <c r="AI32" s="9">
        <v>22.3</v>
      </c>
      <c r="AJ32" s="8488"/>
      <c r="AK32" s="271"/>
      <c r="AL32" s="271"/>
      <c r="AM32" s="271"/>
      <c r="AN32" s="271"/>
      <c r="AO32" s="271"/>
      <c r="AP32" s="271"/>
      <c r="AQ32" s="271"/>
      <c r="AR32" s="271"/>
      <c r="AS32" s="271"/>
      <c r="AT32" s="271"/>
      <c r="AU32" s="271"/>
      <c r="AV32" s="271"/>
      <c r="AW32" s="271"/>
      <c r="AX32" s="271"/>
      <c r="AY32" s="271"/>
      <c r="AZ32" s="156"/>
      <c r="BA32" s="156"/>
    </row>
    <row r="33" spans="1:53" ht="13.5" thickBot="1">
      <c r="A33" s="271"/>
      <c r="B33" s="271"/>
      <c r="O33" s="11044"/>
      <c r="P33" s="11044"/>
      <c r="Q33" s="11024"/>
      <c r="R33" s="11001" t="s">
        <v>1382</v>
      </c>
      <c r="S33" s="11001"/>
      <c r="T33" s="11001"/>
      <c r="U33" s="11028"/>
      <c r="V33" s="271"/>
      <c r="W33" s="271"/>
      <c r="X33" s="271"/>
      <c r="Y33" s="271"/>
      <c r="Z33" s="271"/>
      <c r="AA33" s="271"/>
      <c r="AB33" s="161" t="s">
        <v>1366</v>
      </c>
      <c r="AC33" s="172">
        <f>++AC32+AC31</f>
        <v>41.5</v>
      </c>
      <c r="AD33" s="172">
        <f>+AD32+AD31</f>
        <v>120.3</v>
      </c>
      <c r="AE33" s="175">
        <f>+AE30</f>
        <v>235.95</v>
      </c>
      <c r="AF33" s="271"/>
      <c r="AG33" s="161" t="s">
        <v>1366</v>
      </c>
      <c r="AH33" s="174">
        <f>++AH32+AH31</f>
        <v>133.4</v>
      </c>
      <c r="AI33" s="174">
        <f>+AI32+AI31</f>
        <v>338.5</v>
      </c>
      <c r="AJ33" s="175">
        <f>+AJ30</f>
        <v>235.95</v>
      </c>
      <c r="AK33" s="271"/>
      <c r="AL33" s="271"/>
      <c r="AM33" s="271"/>
      <c r="AN33" s="271"/>
      <c r="AO33" s="271"/>
      <c r="AP33" s="271"/>
      <c r="AQ33" s="271"/>
      <c r="AR33" s="271"/>
      <c r="AS33" s="271"/>
      <c r="AT33" s="271"/>
      <c r="AU33" s="271"/>
      <c r="AV33" s="271"/>
      <c r="AW33" s="271"/>
      <c r="AX33" s="271"/>
      <c r="AY33" s="271"/>
      <c r="AZ33" s="156"/>
      <c r="BA33" s="156"/>
    </row>
    <row r="34" spans="1:53">
      <c r="A34" s="271"/>
      <c r="B34" s="3492"/>
      <c r="C34" s="1353"/>
      <c r="D34" s="3494" t="s">
        <v>382</v>
      </c>
      <c r="E34" s="3494" t="s">
        <v>1776</v>
      </c>
      <c r="F34" s="3495" t="s">
        <v>1777</v>
      </c>
      <c r="G34" s="3496"/>
      <c r="H34" s="3497"/>
      <c r="I34" s="3497"/>
      <c r="J34" s="3495" t="s">
        <v>1099</v>
      </c>
      <c r="K34" s="1354"/>
      <c r="O34" s="11044"/>
      <c r="P34" s="11044"/>
      <c r="Q34" s="11024"/>
      <c r="R34" s="155">
        <v>1005000</v>
      </c>
      <c r="S34" s="192">
        <v>50</v>
      </c>
      <c r="T34" s="193">
        <v>3.33</v>
      </c>
      <c r="U34" s="8498"/>
      <c r="V34" s="271"/>
      <c r="W34" s="271"/>
      <c r="X34" s="271"/>
      <c r="Y34" s="271"/>
      <c r="Z34" s="271"/>
      <c r="AA34" s="271"/>
      <c r="AB34" s="8489"/>
      <c r="AC34" s="216"/>
      <c r="AD34" s="216"/>
      <c r="AE34" s="157"/>
      <c r="AF34" s="271"/>
      <c r="AG34" s="8489"/>
      <c r="AH34" s="216"/>
      <c r="AI34" s="216"/>
      <c r="AJ34" s="157"/>
      <c r="AK34" s="271"/>
      <c r="AL34" s="271"/>
      <c r="AM34" s="271"/>
      <c r="AN34" s="271"/>
      <c r="AO34" s="271"/>
      <c r="AP34" s="271"/>
      <c r="AQ34" s="271"/>
      <c r="AR34" s="271"/>
      <c r="AS34" s="271"/>
      <c r="AT34" s="271"/>
      <c r="AU34" s="271"/>
      <c r="AV34" s="271"/>
      <c r="AW34" s="271"/>
      <c r="AX34" s="271"/>
      <c r="AY34" s="271"/>
      <c r="AZ34" s="156"/>
      <c r="BA34" s="156"/>
    </row>
    <row r="35" spans="1:53">
      <c r="A35" s="271"/>
      <c r="B35" s="3485"/>
      <c r="C35" s="216"/>
      <c r="D35" s="216"/>
      <c r="E35" s="216"/>
      <c r="F35" s="216"/>
      <c r="G35" s="216"/>
      <c r="H35" s="216"/>
      <c r="I35" s="216"/>
      <c r="J35" s="216"/>
      <c r="K35" s="1356"/>
      <c r="O35" s="11044"/>
      <c r="P35" s="11044"/>
      <c r="Q35" s="11024"/>
      <c r="R35" s="155">
        <v>50250</v>
      </c>
      <c r="S35" s="198">
        <f>+($S$11-S34)/$S$11</f>
        <v>0.58193979933110362</v>
      </c>
      <c r="T35" s="199">
        <f>+T34/S35</f>
        <v>5.7222413793103453</v>
      </c>
      <c r="U35" s="138"/>
      <c r="V35" s="271"/>
      <c r="W35" s="271"/>
      <c r="X35" s="271"/>
      <c r="Y35" s="271"/>
      <c r="Z35" s="271"/>
      <c r="AA35" s="271"/>
      <c r="AB35" s="8489"/>
      <c r="AC35" s="9">
        <v>2009</v>
      </c>
      <c r="AD35" s="9">
        <v>2010</v>
      </c>
      <c r="AE35" s="171" t="s">
        <v>1372</v>
      </c>
      <c r="AF35" s="271"/>
      <c r="AG35" s="148"/>
      <c r="AH35" s="216"/>
      <c r="AI35" s="181" t="s">
        <v>1377</v>
      </c>
      <c r="AJ35" s="163">
        <f>+'5(em)'!Z46</f>
        <v>29</v>
      </c>
      <c r="AK35" s="271"/>
      <c r="AL35" s="271"/>
      <c r="AM35" s="271"/>
      <c r="AN35" s="271"/>
      <c r="AO35" s="271"/>
      <c r="AP35" s="271"/>
      <c r="AQ35" s="271"/>
      <c r="AR35" s="271"/>
      <c r="AS35" s="271"/>
      <c r="AT35" s="271"/>
      <c r="AU35" s="271"/>
      <c r="AV35" s="271"/>
      <c r="AW35" s="271"/>
      <c r="AX35" s="271"/>
      <c r="AY35" s="271"/>
      <c r="AZ35" s="156"/>
      <c r="BA35" s="156"/>
    </row>
    <row r="36" spans="1:53">
      <c r="A36" s="271"/>
      <c r="B36" s="3485"/>
      <c r="C36" s="216"/>
      <c r="D36" s="1363">
        <v>1</v>
      </c>
      <c r="E36" s="276" t="s">
        <v>1794</v>
      </c>
      <c r="F36" s="276" t="s">
        <v>555</v>
      </c>
      <c r="G36" s="1363"/>
      <c r="H36" s="91"/>
      <c r="I36" s="91"/>
      <c r="J36" s="91">
        <f>1000000+500000</f>
        <v>1500000</v>
      </c>
      <c r="K36" s="1356"/>
      <c r="O36" s="11044"/>
      <c r="P36" s="11044"/>
      <c r="Q36" s="11026"/>
      <c r="R36" s="105">
        <v>40565</v>
      </c>
      <c r="S36" s="105">
        <f>2*10050+20100</f>
        <v>40200</v>
      </c>
      <c r="T36" s="105"/>
      <c r="U36" s="139"/>
      <c r="V36" s="271"/>
      <c r="W36" s="271"/>
      <c r="X36" s="271"/>
      <c r="Y36" s="271"/>
      <c r="Z36" s="271"/>
      <c r="AA36" s="271"/>
      <c r="AB36" s="161" t="s">
        <v>1373</v>
      </c>
      <c r="AC36" s="8492" t="s">
        <v>494</v>
      </c>
      <c r="AD36" s="8492" t="s">
        <v>494</v>
      </c>
      <c r="AE36" s="176">
        <v>6</v>
      </c>
      <c r="AF36" s="4"/>
      <c r="AG36" s="149"/>
      <c r="AH36" s="188"/>
      <c r="AI36" s="189" t="s">
        <v>1378</v>
      </c>
      <c r="AJ36" s="190">
        <f>+'5(em)'!AA46</f>
        <v>3.09</v>
      </c>
      <c r="AK36" s="271"/>
      <c r="AL36" s="271"/>
      <c r="AM36" s="271"/>
      <c r="AN36" s="271"/>
      <c r="AO36" s="271"/>
      <c r="AP36" s="271"/>
      <c r="AQ36" s="271"/>
      <c r="AR36" s="271"/>
      <c r="AS36" s="271"/>
      <c r="AT36" s="271"/>
      <c r="AU36" s="271"/>
      <c r="AV36" s="271"/>
      <c r="AW36" s="271"/>
      <c r="AX36" s="271"/>
      <c r="AY36" s="271"/>
      <c r="AZ36" s="156"/>
      <c r="BA36" s="156"/>
    </row>
    <row r="37" spans="1:53">
      <c r="A37" s="271"/>
      <c r="B37" s="3485"/>
      <c r="C37" s="216"/>
      <c r="D37" s="1363">
        <f t="shared" ref="D37:D42" si="4">1+D36</f>
        <v>2</v>
      </c>
      <c r="E37" s="276" t="s">
        <v>1798</v>
      </c>
      <c r="F37" s="276" t="s">
        <v>1799</v>
      </c>
      <c r="G37" s="216"/>
      <c r="H37" s="216"/>
      <c r="I37" s="216"/>
      <c r="J37" s="91">
        <f>1000000</f>
        <v>1000000</v>
      </c>
      <c r="K37" s="1356"/>
      <c r="O37" s="11044"/>
      <c r="P37" s="11044"/>
      <c r="Q37" s="11023">
        <f>1+Q31</f>
        <v>5</v>
      </c>
      <c r="R37" s="11031" t="s">
        <v>1127</v>
      </c>
      <c r="S37" s="11031"/>
      <c r="T37" s="11031"/>
      <c r="U37" s="11032"/>
      <c r="V37" s="271"/>
      <c r="W37" s="271"/>
      <c r="X37" s="271"/>
      <c r="Y37" s="271"/>
      <c r="Z37" s="271"/>
      <c r="AA37" s="271"/>
      <c r="AB37" s="8489"/>
      <c r="AC37" s="216"/>
      <c r="AD37" s="216"/>
      <c r="AE37" s="170" t="s">
        <v>939</v>
      </c>
      <c r="AF37" s="4"/>
      <c r="AG37" s="148"/>
      <c r="AH37" s="162"/>
      <c r="AI37" s="168" t="s">
        <v>1379</v>
      </c>
      <c r="AJ37" s="178">
        <f>+AJ36*AJ35*AJ33/2000</f>
        <v>10.571739749999999</v>
      </c>
      <c r="AK37" s="271"/>
      <c r="AL37" s="271"/>
      <c r="AM37" s="271"/>
      <c r="AN37" s="271"/>
      <c r="AO37" s="271"/>
      <c r="AP37" s="271"/>
      <c r="AQ37" s="8" t="s">
        <v>1384</v>
      </c>
      <c r="AR37" s="271"/>
      <c r="AS37" s="271"/>
      <c r="AT37" s="271"/>
      <c r="AU37" s="271"/>
      <c r="AV37" s="271"/>
      <c r="AW37" s="271"/>
      <c r="AX37" s="271"/>
      <c r="AY37" s="271"/>
      <c r="AZ37" s="156"/>
      <c r="BA37" s="156"/>
    </row>
    <row r="38" spans="1:53" s="156" customFormat="1">
      <c r="A38" s="271"/>
      <c r="B38" s="1355"/>
      <c r="C38" s="216"/>
      <c r="D38" s="1363">
        <f t="shared" si="4"/>
        <v>3</v>
      </c>
      <c r="E38" s="276" t="s">
        <v>1338</v>
      </c>
      <c r="F38" s="276" t="s">
        <v>1093</v>
      </c>
      <c r="G38" s="1363"/>
      <c r="H38" s="91"/>
      <c r="I38" s="91"/>
      <c r="J38" s="91">
        <v>2550000</v>
      </c>
      <c r="K38" s="1356"/>
      <c r="L38" s="271"/>
      <c r="M38" s="271"/>
      <c r="N38" s="271"/>
      <c r="O38" s="11044"/>
      <c r="P38" s="11044"/>
      <c r="Q38" s="11024"/>
      <c r="R38" s="11001" t="s">
        <v>1134</v>
      </c>
      <c r="S38" s="11001"/>
      <c r="T38" s="11001"/>
      <c r="U38" s="11028"/>
      <c r="V38" s="271"/>
      <c r="W38" s="271"/>
      <c r="X38" s="271"/>
      <c r="Y38" s="271"/>
      <c r="Z38" s="271"/>
      <c r="AA38" s="271"/>
      <c r="AB38" s="8489"/>
      <c r="AC38" s="216"/>
      <c r="AD38" s="181" t="s">
        <v>1374</v>
      </c>
      <c r="AE38" s="157">
        <f>+AE36/AE30</f>
        <v>2.5429116338207249E-2</v>
      </c>
      <c r="AF38" s="4"/>
      <c r="AG38" s="148"/>
      <c r="AH38" s="216"/>
      <c r="AI38" s="216"/>
      <c r="AJ38" s="157"/>
      <c r="AK38" s="271"/>
      <c r="AL38" s="271"/>
      <c r="AM38" s="271"/>
      <c r="AN38" s="271"/>
      <c r="AO38" s="271"/>
      <c r="AP38" s="271"/>
      <c r="AQ38" s="271"/>
      <c r="AR38" s="271"/>
      <c r="AS38" s="271"/>
      <c r="AT38" s="271"/>
      <c r="AU38" s="271"/>
      <c r="AV38" s="271"/>
      <c r="AW38" s="271"/>
      <c r="AX38" s="271"/>
      <c r="AY38" s="271"/>
    </row>
    <row r="39" spans="1:53">
      <c r="A39" s="271"/>
      <c r="B39" s="1355"/>
      <c r="C39" s="216"/>
      <c r="D39" s="1363">
        <f t="shared" si="4"/>
        <v>4</v>
      </c>
      <c r="E39" s="276" t="s">
        <v>1795</v>
      </c>
      <c r="F39" s="276" t="s">
        <v>394</v>
      </c>
      <c r="G39" s="1363"/>
      <c r="H39" s="91"/>
      <c r="I39" s="91"/>
      <c r="J39" s="91">
        <v>200000</v>
      </c>
      <c r="K39" s="1356"/>
      <c r="O39" s="11044"/>
      <c r="P39" s="11044"/>
      <c r="Q39" s="11024"/>
      <c r="R39" s="11001" t="s">
        <v>1383</v>
      </c>
      <c r="S39" s="11001"/>
      <c r="T39" s="11001"/>
      <c r="U39" s="11028"/>
      <c r="V39" s="271"/>
      <c r="W39" s="271"/>
      <c r="X39" s="271"/>
      <c r="Y39" s="271"/>
      <c r="Z39" s="271"/>
      <c r="AA39" s="271"/>
      <c r="AB39" s="148"/>
      <c r="AC39" s="164"/>
      <c r="AD39" s="164"/>
      <c r="AE39" s="165"/>
      <c r="AF39" s="271"/>
      <c r="AG39" s="148"/>
      <c r="AH39" s="216"/>
      <c r="AI39" s="216"/>
      <c r="AJ39" s="165"/>
      <c r="AK39" s="271"/>
      <c r="AL39" s="271"/>
      <c r="AM39" s="271"/>
      <c r="AN39" s="271"/>
      <c r="AO39" s="271"/>
      <c r="AP39" s="271"/>
      <c r="AQ39" s="271"/>
      <c r="AR39" s="271"/>
      <c r="AS39" s="271"/>
      <c r="AT39" s="271"/>
      <c r="AU39" s="271"/>
      <c r="AV39" s="271"/>
      <c r="AW39" s="271"/>
      <c r="AX39" s="271"/>
      <c r="AY39" s="271"/>
      <c r="AZ39" s="156"/>
      <c r="BA39" s="156"/>
    </row>
    <row r="40" spans="1:53">
      <c r="A40" s="271"/>
      <c r="B40" s="1355"/>
      <c r="C40" s="216"/>
      <c r="D40" s="1363">
        <f t="shared" si="4"/>
        <v>5</v>
      </c>
      <c r="E40" s="276" t="s">
        <v>1796</v>
      </c>
      <c r="F40" s="276" t="s">
        <v>93</v>
      </c>
      <c r="G40" s="1363"/>
      <c r="H40" s="91"/>
      <c r="I40" s="91"/>
      <c r="J40" s="91">
        <f>600000+100000</f>
        <v>700000</v>
      </c>
      <c r="K40" s="1356"/>
      <c r="O40" s="11044"/>
      <c r="P40" s="11044"/>
      <c r="Q40" s="11024"/>
      <c r="R40" s="155">
        <v>880000</v>
      </c>
      <c r="S40" s="192">
        <v>75</v>
      </c>
      <c r="T40" s="193">
        <v>2.7</v>
      </c>
      <c r="U40" s="8498"/>
      <c r="V40" s="271"/>
      <c r="W40" s="271"/>
      <c r="X40" s="271"/>
      <c r="Y40" s="271"/>
      <c r="Z40" s="271"/>
      <c r="AA40" s="271"/>
      <c r="AB40" s="8489"/>
      <c r="AC40" s="216"/>
      <c r="AD40" s="216"/>
      <c r="AE40" s="157"/>
      <c r="AF40" s="271"/>
      <c r="AG40" s="182"/>
      <c r="AH40" s="183">
        <v>2009</v>
      </c>
      <c r="AI40" s="183">
        <v>2010</v>
      </c>
      <c r="AJ40" s="177" t="s">
        <v>1372</v>
      </c>
      <c r="AK40" s="271"/>
      <c r="AL40" s="271"/>
      <c r="AM40" s="271"/>
      <c r="AN40" s="271"/>
      <c r="AO40" s="271"/>
      <c r="AP40" s="271"/>
      <c r="AQ40" s="271">
        <v>5000</v>
      </c>
      <c r="AR40" s="271">
        <v>450</v>
      </c>
      <c r="AS40" s="271">
        <v>1600</v>
      </c>
      <c r="AT40" s="271">
        <f>+AS40*AR40</f>
        <v>720000</v>
      </c>
      <c r="AU40" s="271">
        <f>+AT40/AQ40</f>
        <v>144</v>
      </c>
      <c r="AV40" s="271"/>
      <c r="AW40" s="271"/>
      <c r="AX40" s="271"/>
      <c r="AY40" s="271"/>
      <c r="AZ40" s="156"/>
      <c r="BA40" s="156"/>
    </row>
    <row r="41" spans="1:53">
      <c r="A41" s="271"/>
      <c r="B41" s="1355"/>
      <c r="C41" s="216"/>
      <c r="D41" s="1363">
        <f t="shared" si="4"/>
        <v>6</v>
      </c>
      <c r="E41" s="276" t="s">
        <v>1807</v>
      </c>
      <c r="F41" s="276" t="s">
        <v>1797</v>
      </c>
      <c r="G41" s="1363"/>
      <c r="H41" s="91"/>
      <c r="I41" s="91"/>
      <c r="J41" s="91">
        <v>12000000</v>
      </c>
      <c r="K41" s="1356"/>
      <c r="O41" s="11044"/>
      <c r="P41" s="11044"/>
      <c r="Q41" s="11024"/>
      <c r="R41" s="155">
        <v>44000</v>
      </c>
      <c r="S41" s="198">
        <f>+($S$11-S40)/$S$11</f>
        <v>0.37290969899665549</v>
      </c>
      <c r="T41" s="199">
        <f>+T40/S41</f>
        <v>7.2403587443946202</v>
      </c>
      <c r="U41" s="138"/>
      <c r="V41" s="271"/>
      <c r="W41" s="271"/>
      <c r="X41" s="271"/>
      <c r="Y41" s="271"/>
      <c r="Z41" s="271"/>
      <c r="AA41" s="271"/>
      <c r="AB41" s="148"/>
      <c r="AC41" s="216"/>
      <c r="AD41" s="216"/>
      <c r="AE41" s="157"/>
      <c r="AF41" s="271"/>
      <c r="AG41" s="184" t="s">
        <v>1375</v>
      </c>
      <c r="AH41" s="185">
        <f>+AH31</f>
        <v>111.5</v>
      </c>
      <c r="AI41" s="185">
        <f>+AI31</f>
        <v>316.2</v>
      </c>
      <c r="AJ41" s="179">
        <f>0.5*(AH41+AI41)</f>
        <v>213.85</v>
      </c>
      <c r="AK41" s="271"/>
      <c r="AL41" s="271"/>
      <c r="AM41" s="271"/>
      <c r="AN41" s="271"/>
      <c r="AO41" s="271"/>
      <c r="AP41" s="271"/>
      <c r="AQ41" s="271"/>
      <c r="AR41" s="271"/>
      <c r="AS41" s="271"/>
      <c r="AT41" s="271"/>
      <c r="AU41" s="271">
        <f>+AU40/60</f>
        <v>2.4</v>
      </c>
      <c r="AV41" s="271"/>
      <c r="AW41" s="271"/>
      <c r="AX41" s="271"/>
      <c r="AY41" s="271"/>
      <c r="AZ41" s="156"/>
      <c r="BA41" s="156"/>
    </row>
    <row r="42" spans="1:53" ht="13.5" thickBot="1">
      <c r="A42" s="271"/>
      <c r="B42" s="1355"/>
      <c r="C42" s="216"/>
      <c r="D42" s="2500">
        <f t="shared" si="4"/>
        <v>7</v>
      </c>
      <c r="E42" s="2501" t="s">
        <v>1800</v>
      </c>
      <c r="F42" s="2501" t="s">
        <v>1801</v>
      </c>
      <c r="G42" s="220"/>
      <c r="H42" s="2502"/>
      <c r="I42" s="2502"/>
      <c r="J42" s="2502">
        <f>100000+25000</f>
        <v>125000</v>
      </c>
      <c r="K42" s="3484"/>
      <c r="O42" s="11044"/>
      <c r="P42" s="11044"/>
      <c r="Q42" s="11024"/>
      <c r="R42" s="143">
        <v>43744</v>
      </c>
      <c r="S42" s="143">
        <f>8800*2+17600</f>
        <v>35200</v>
      </c>
      <c r="T42" s="143"/>
      <c r="U42" s="140"/>
      <c r="V42" s="271"/>
      <c r="W42" s="271"/>
      <c r="X42" s="271"/>
      <c r="Y42" s="271"/>
      <c r="Z42" s="271"/>
      <c r="AA42" s="271"/>
      <c r="AB42" s="8489"/>
      <c r="AC42" s="216"/>
      <c r="AD42" s="216"/>
      <c r="AE42" s="157"/>
      <c r="AF42" s="271"/>
      <c r="AG42" s="186" t="s">
        <v>1376</v>
      </c>
      <c r="AH42" s="187">
        <f>+$AJ35*$AJ36*AH41/2000</f>
        <v>4.9957574999999999</v>
      </c>
      <c r="AI42" s="187">
        <f>+$AJ35*$AJ36*AI41/2000</f>
        <v>14.167340999999999</v>
      </c>
      <c r="AJ42" s="180">
        <f>+$AJ$35*$AJ$36*AJ41/2000</f>
        <v>9.5815492500000001</v>
      </c>
      <c r="AK42" s="271"/>
      <c r="AL42" s="271"/>
      <c r="AM42" s="271"/>
      <c r="AN42" s="271"/>
      <c r="AO42" s="271"/>
      <c r="AP42" s="271"/>
      <c r="AQ42" s="271">
        <v>5000</v>
      </c>
      <c r="AR42" s="271">
        <v>3.1</v>
      </c>
      <c r="AS42" s="271">
        <f>+AQ42/AR42</f>
        <v>1612.9032258064515</v>
      </c>
      <c r="AT42" s="271"/>
      <c r="AU42" s="271"/>
      <c r="AV42" s="271"/>
      <c r="AW42" s="271"/>
      <c r="AX42" s="271"/>
      <c r="AY42" s="271"/>
      <c r="AZ42" s="156"/>
      <c r="BA42" s="156"/>
    </row>
    <row r="43" spans="1:53">
      <c r="A43" s="271"/>
      <c r="B43" s="1355"/>
      <c r="C43" s="216"/>
      <c r="D43" s="216"/>
      <c r="E43" s="216"/>
      <c r="F43" s="216"/>
      <c r="G43" s="216"/>
      <c r="H43" s="91"/>
      <c r="I43" s="91"/>
      <c r="J43" s="91"/>
      <c r="K43" s="1356"/>
      <c r="O43" s="11044"/>
      <c r="P43" s="11044"/>
      <c r="Q43" s="11025">
        <f>1+Q37</f>
        <v>6</v>
      </c>
      <c r="R43" s="11031" t="s">
        <v>1138</v>
      </c>
      <c r="S43" s="11031"/>
      <c r="T43" s="11031"/>
      <c r="U43" s="11034"/>
      <c r="V43" s="271"/>
      <c r="W43" s="271"/>
      <c r="X43" s="271"/>
      <c r="Y43" s="271"/>
      <c r="Z43" s="271"/>
      <c r="AA43" s="271"/>
      <c r="AB43" s="8490"/>
      <c r="AC43" s="9"/>
      <c r="AD43" s="9"/>
      <c r="AE43" s="137"/>
      <c r="AF43" s="271"/>
      <c r="AG43" s="8490"/>
      <c r="AH43" s="9"/>
      <c r="AI43" s="9"/>
      <c r="AJ43" s="137"/>
      <c r="AK43" s="271"/>
      <c r="AL43" s="271"/>
      <c r="AM43" s="271"/>
      <c r="AN43" s="271"/>
      <c r="AO43" s="271"/>
      <c r="AP43" s="271"/>
      <c r="AQ43" s="271"/>
      <c r="AR43" s="271"/>
      <c r="AS43" s="271"/>
      <c r="AT43" s="271"/>
      <c r="AU43" s="271"/>
      <c r="AV43" s="271"/>
      <c r="AW43" s="271"/>
      <c r="AX43" s="271"/>
      <c r="AY43" s="271"/>
      <c r="AZ43" s="156"/>
      <c r="BA43" s="156"/>
    </row>
    <row r="44" spans="1:53" s="156" customFormat="1">
      <c r="A44" s="271"/>
      <c r="B44" s="1355" t="s">
        <v>1791</v>
      </c>
      <c r="C44" s="216"/>
      <c r="D44" s="216" t="s">
        <v>1782</v>
      </c>
      <c r="E44" s="216" t="s">
        <v>1776</v>
      </c>
      <c r="F44" s="216"/>
      <c r="G44" s="216"/>
      <c r="H44" s="1363" t="s">
        <v>1787</v>
      </c>
      <c r="I44" s="1363" t="s">
        <v>1793</v>
      </c>
      <c r="J44" s="8493" t="s">
        <v>1099</v>
      </c>
      <c r="K44" s="1356"/>
      <c r="L44" s="271"/>
      <c r="M44" s="271"/>
      <c r="N44" s="271"/>
      <c r="O44" s="11044"/>
      <c r="P44" s="11044"/>
      <c r="Q44" s="11024"/>
      <c r="R44" s="11001" t="s">
        <v>1132</v>
      </c>
      <c r="S44" s="11001"/>
      <c r="T44" s="11001"/>
      <c r="U44" s="11028"/>
      <c r="V44" s="271"/>
      <c r="W44" s="271"/>
      <c r="X44" s="271"/>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c r="BA44"/>
    </row>
    <row r="45" spans="1:53">
      <c r="A45" s="271"/>
      <c r="B45" s="1355" t="s">
        <v>1792</v>
      </c>
      <c r="C45" s="216"/>
      <c r="D45" s="216" t="s">
        <v>1790</v>
      </c>
      <c r="E45" s="216"/>
      <c r="F45" s="216"/>
      <c r="G45" s="216"/>
      <c r="H45" s="1363"/>
      <c r="I45" s="1363"/>
      <c r="J45" s="91"/>
      <c r="K45" s="1356"/>
      <c r="O45" s="11044"/>
      <c r="P45" s="11044"/>
      <c r="Q45" s="11024"/>
      <c r="R45" s="11001" t="s">
        <v>1139</v>
      </c>
      <c r="S45" s="11001"/>
      <c r="T45" s="11001"/>
      <c r="U45" s="11028"/>
      <c r="V45" s="271"/>
      <c r="W45" s="271"/>
      <c r="X45" s="271"/>
      <c r="Y45" s="271"/>
      <c r="Z45" s="271"/>
      <c r="AA45" s="271"/>
      <c r="AB45" s="271" t="s">
        <v>98</v>
      </c>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row>
    <row r="46" spans="1:53">
      <c r="A46" s="271"/>
      <c r="B46" s="3485">
        <v>1</v>
      </c>
      <c r="C46" s="216"/>
      <c r="D46" s="1363">
        <v>1</v>
      </c>
      <c r="E46" s="276" t="s">
        <v>1802</v>
      </c>
      <c r="F46" s="276" t="s">
        <v>1803</v>
      </c>
      <c r="G46" s="1363"/>
      <c r="H46" s="91">
        <v>360000</v>
      </c>
      <c r="I46" s="91"/>
      <c r="J46" s="91">
        <f>+J36+J37+J38+J39+J40+H46</f>
        <v>6310000</v>
      </c>
      <c r="K46" s="1356"/>
      <c r="O46" s="11044"/>
      <c r="P46" s="11044"/>
      <c r="Q46" s="11024"/>
      <c r="R46" s="155">
        <v>12360000</v>
      </c>
      <c r="S46" s="192">
        <v>25</v>
      </c>
      <c r="T46" s="193">
        <v>3.97</v>
      </c>
      <c r="U46" s="8498"/>
      <c r="V46" s="271"/>
      <c r="W46" s="271"/>
      <c r="X46" s="271"/>
      <c r="Y46" s="271"/>
      <c r="Z46" s="271"/>
      <c r="AA46" s="271"/>
      <c r="AB46" s="159"/>
      <c r="AC46" s="11019" t="s">
        <v>611</v>
      </c>
      <c r="AD46" s="11019"/>
      <c r="AE46" s="11020"/>
      <c r="AF46" s="271"/>
      <c r="AG46" s="159"/>
      <c r="AH46" s="11021" t="s">
        <v>1362</v>
      </c>
      <c r="AI46" s="11021"/>
      <c r="AJ46" s="11022"/>
      <c r="AK46" s="271"/>
      <c r="AL46" s="271"/>
      <c r="AM46" s="271"/>
      <c r="AN46" s="271"/>
      <c r="AO46" s="271"/>
      <c r="AP46" s="271"/>
      <c r="AQ46" s="271">
        <v>2000</v>
      </c>
      <c r="AR46" s="271">
        <v>450</v>
      </c>
      <c r="AS46" s="271">
        <v>1612</v>
      </c>
      <c r="AT46" s="271">
        <f>+AS46*AR46</f>
        <v>725400</v>
      </c>
      <c r="AU46" s="271">
        <f>+AT46/AQ46</f>
        <v>362.7</v>
      </c>
      <c r="AV46" s="271"/>
      <c r="AW46" s="271"/>
      <c r="AX46" s="271"/>
      <c r="AY46" s="271"/>
      <c r="AZ46" s="156"/>
      <c r="BA46" s="156"/>
    </row>
    <row r="47" spans="1:53">
      <c r="A47" s="271"/>
      <c r="B47" s="3485">
        <v>2</v>
      </c>
      <c r="C47" s="216"/>
      <c r="D47" s="1363">
        <v>2</v>
      </c>
      <c r="E47" s="276" t="s">
        <v>1804</v>
      </c>
      <c r="F47" s="276" t="s">
        <v>1805</v>
      </c>
      <c r="G47" s="1363"/>
      <c r="H47" s="91">
        <v>180000</v>
      </c>
      <c r="I47" s="91"/>
      <c r="J47" s="91">
        <f>+J38+J39+J40+H47</f>
        <v>3630000</v>
      </c>
      <c r="K47" s="1356"/>
      <c r="O47" s="11044"/>
      <c r="P47" s="11044"/>
      <c r="Q47" s="11024"/>
      <c r="R47" s="155">
        <v>618000</v>
      </c>
      <c r="S47" s="198">
        <f>+($S$11-S46)/$S$11</f>
        <v>0.79096989966555187</v>
      </c>
      <c r="T47" s="199">
        <f>+T46/S47</f>
        <v>5.0191543340380553</v>
      </c>
      <c r="U47" s="138"/>
      <c r="V47" s="271"/>
      <c r="W47" s="271"/>
      <c r="X47" s="271"/>
      <c r="Y47" s="271"/>
      <c r="Z47" s="271"/>
      <c r="AA47" s="271"/>
      <c r="AB47" s="8489"/>
      <c r="AC47" s="9">
        <v>2009</v>
      </c>
      <c r="AD47" s="9">
        <v>2010</v>
      </c>
      <c r="AE47" s="169" t="s">
        <v>1372</v>
      </c>
      <c r="AF47" s="271"/>
      <c r="AG47" s="8489"/>
      <c r="AH47" s="9">
        <v>2009</v>
      </c>
      <c r="AI47" s="40">
        <v>2010</v>
      </c>
      <c r="AJ47" s="169" t="s">
        <v>1372</v>
      </c>
      <c r="AK47" s="271"/>
      <c r="AL47" s="271"/>
      <c r="AM47" s="271"/>
      <c r="AN47" s="271"/>
      <c r="AO47" s="271"/>
      <c r="AP47" s="271"/>
      <c r="AQ47" s="271"/>
      <c r="AR47" s="271"/>
      <c r="AS47" s="271"/>
      <c r="AT47" s="271"/>
      <c r="AU47" s="271">
        <f>+AU46/60</f>
        <v>6.0449999999999999</v>
      </c>
      <c r="AV47" s="271"/>
      <c r="AW47" s="271"/>
      <c r="AX47" s="271"/>
      <c r="AY47" s="271"/>
      <c r="AZ47" s="156"/>
      <c r="BA47" s="156"/>
    </row>
    <row r="48" spans="1:53">
      <c r="A48" s="271"/>
      <c r="B48" s="3485">
        <v>3</v>
      </c>
      <c r="C48" s="216"/>
      <c r="D48" s="1363">
        <v>3</v>
      </c>
      <c r="E48" s="276" t="s">
        <v>1093</v>
      </c>
      <c r="F48" s="276">
        <v>3</v>
      </c>
      <c r="G48" s="1363"/>
      <c r="H48" s="91">
        <f>+H47</f>
        <v>180000</v>
      </c>
      <c r="I48" s="91"/>
      <c r="J48" s="91">
        <f>+J38+H48</f>
        <v>2730000</v>
      </c>
      <c r="K48" s="1356"/>
      <c r="O48" s="11044"/>
      <c r="P48" s="11044"/>
      <c r="Q48" s="11026"/>
      <c r="R48" s="105">
        <v>418610</v>
      </c>
      <c r="S48" s="105">
        <f>123600*2+247200</f>
        <v>494400</v>
      </c>
      <c r="T48" s="105"/>
      <c r="U48" s="139"/>
      <c r="V48" s="271"/>
      <c r="W48" s="271"/>
      <c r="X48" s="271"/>
      <c r="Y48" s="271"/>
      <c r="Z48" s="271"/>
      <c r="AA48" s="271"/>
      <c r="AB48" s="148" t="s">
        <v>1363</v>
      </c>
      <c r="AC48" s="216">
        <v>133.4</v>
      </c>
      <c r="AD48" s="216">
        <v>163.6</v>
      </c>
      <c r="AE48" s="8487">
        <f>0.5*(AC48+AD48)</f>
        <v>148.5</v>
      </c>
      <c r="AF48" s="271"/>
      <c r="AG48" s="148" t="s">
        <v>1363</v>
      </c>
      <c r="AH48" s="173">
        <f>+AC48</f>
        <v>133.4</v>
      </c>
      <c r="AI48" s="173">
        <f>+AD48</f>
        <v>163.6</v>
      </c>
      <c r="AJ48" s="8487">
        <f>0.5*(AH48+AI48)</f>
        <v>148.5</v>
      </c>
      <c r="AK48" s="271"/>
      <c r="AL48" s="271"/>
      <c r="AM48" s="271"/>
      <c r="AN48" s="271"/>
      <c r="AO48" s="271"/>
      <c r="AP48" s="271"/>
      <c r="AQ48" s="271">
        <v>2000</v>
      </c>
      <c r="AR48" s="271">
        <v>1612</v>
      </c>
      <c r="AS48" s="271">
        <f>+AQ48/AR48</f>
        <v>1.2406947890818858</v>
      </c>
      <c r="AT48" s="271"/>
      <c r="AU48" s="271"/>
      <c r="AV48" s="271"/>
      <c r="AW48" s="271"/>
      <c r="AX48" s="271"/>
      <c r="AY48" s="271"/>
      <c r="AZ48" s="156"/>
      <c r="BA48" s="156"/>
    </row>
    <row r="49" spans="1:53">
      <c r="A49" s="271"/>
      <c r="B49" s="3485">
        <v>4</v>
      </c>
      <c r="C49" s="216"/>
      <c r="D49" s="1363">
        <v>6</v>
      </c>
      <c r="E49" s="276" t="s">
        <v>1809</v>
      </c>
      <c r="F49" s="276" t="s">
        <v>1810</v>
      </c>
      <c r="G49" s="1363"/>
      <c r="H49" s="91">
        <v>180000</v>
      </c>
      <c r="I49" s="91"/>
      <c r="J49" s="91">
        <f>+J40+J42+H49</f>
        <v>1005000</v>
      </c>
      <c r="K49" s="1356"/>
      <c r="O49" s="11044"/>
      <c r="P49" s="11044"/>
      <c r="Q49" s="11023">
        <f>1+Q43</f>
        <v>7</v>
      </c>
      <c r="R49" s="11031" t="s">
        <v>1137</v>
      </c>
      <c r="S49" s="11031"/>
      <c r="T49" s="11031"/>
      <c r="U49" s="11034"/>
      <c r="V49" s="271"/>
      <c r="W49" s="271"/>
      <c r="X49" s="271"/>
      <c r="Y49" s="271"/>
      <c r="Z49" s="271"/>
      <c r="AA49" s="271"/>
      <c r="AB49" s="148" t="s">
        <v>1364</v>
      </c>
      <c r="AC49" s="216">
        <v>20.399999999999999</v>
      </c>
      <c r="AD49" s="216">
        <v>113.5</v>
      </c>
      <c r="AE49" s="8487"/>
      <c r="AF49" s="271"/>
      <c r="AG49" s="148" t="s">
        <v>1364</v>
      </c>
      <c r="AH49" s="216">
        <f>+AH48-AH50</f>
        <v>43.800000000000011</v>
      </c>
      <c r="AI49" s="216">
        <f>+AI48-AI50</f>
        <v>113.5</v>
      </c>
      <c r="AJ49" s="8487">
        <f>0.5*(AH49+AI49)</f>
        <v>78.650000000000006</v>
      </c>
      <c r="AK49" s="271"/>
      <c r="AL49" s="271"/>
      <c r="AM49" s="271"/>
      <c r="AN49" s="271"/>
      <c r="AO49" s="271"/>
      <c r="AP49" s="271"/>
      <c r="AQ49" s="271">
        <v>5000</v>
      </c>
      <c r="AR49" s="271">
        <f>+AR48</f>
        <v>1612</v>
      </c>
      <c r="AS49" s="271">
        <f>+AQ49/AR49</f>
        <v>3.1017369727047148</v>
      </c>
      <c r="AT49" s="271"/>
      <c r="AU49" s="271"/>
      <c r="AV49" s="271"/>
      <c r="AW49" s="271"/>
      <c r="AX49" s="271"/>
      <c r="AY49" s="271"/>
      <c r="AZ49" s="156"/>
      <c r="BA49" s="156"/>
    </row>
    <row r="50" spans="1:53" s="156" customFormat="1">
      <c r="A50" s="271"/>
      <c r="B50" s="3485">
        <v>5</v>
      </c>
      <c r="C50" s="216"/>
      <c r="D50" s="1363">
        <v>7</v>
      </c>
      <c r="E50" s="276" t="s">
        <v>93</v>
      </c>
      <c r="F50" s="276">
        <v>5</v>
      </c>
      <c r="G50" s="1363"/>
      <c r="H50" s="91">
        <v>180000</v>
      </c>
      <c r="I50" s="91"/>
      <c r="J50" s="91">
        <f>+J40+H50</f>
        <v>880000</v>
      </c>
      <c r="K50" s="1356"/>
      <c r="L50" s="271"/>
      <c r="M50" s="271"/>
      <c r="N50" s="271"/>
      <c r="O50" s="11044"/>
      <c r="P50" s="11044"/>
      <c r="Q50" s="11024"/>
      <c r="R50" s="11001" t="s">
        <v>1134</v>
      </c>
      <c r="S50" s="11001"/>
      <c r="T50" s="11001"/>
      <c r="U50" s="11028"/>
      <c r="V50" s="271"/>
      <c r="W50" s="271"/>
      <c r="X50" s="271"/>
      <c r="Y50" s="271"/>
      <c r="Z50" s="271"/>
      <c r="AA50" s="271"/>
      <c r="AB50" s="149" t="s">
        <v>1365</v>
      </c>
      <c r="AC50" s="9">
        <v>89.6</v>
      </c>
      <c r="AD50" s="9">
        <v>50.1</v>
      </c>
      <c r="AE50" s="8488"/>
      <c r="AF50" s="271"/>
      <c r="AG50" s="149" t="s">
        <v>1365</v>
      </c>
      <c r="AH50" s="9">
        <f>+AC50</f>
        <v>89.6</v>
      </c>
      <c r="AI50" s="9">
        <f>+AD50</f>
        <v>50.1</v>
      </c>
      <c r="AJ50" s="8488"/>
      <c r="AK50" s="271"/>
      <c r="AL50" s="271"/>
      <c r="AM50" s="271"/>
      <c r="AN50" s="271"/>
      <c r="AO50" s="271"/>
      <c r="AP50" s="271"/>
      <c r="AQ50" s="271">
        <v>8000</v>
      </c>
      <c r="AR50" s="271">
        <f>+AR49</f>
        <v>1612</v>
      </c>
      <c r="AS50" s="271">
        <f>+AQ50/AR50</f>
        <v>4.9627791563275432</v>
      </c>
      <c r="AT50" s="271"/>
      <c r="AU50" s="271"/>
      <c r="AV50" s="271"/>
      <c r="AW50" s="271"/>
      <c r="AX50" s="271"/>
      <c r="AY50" s="271"/>
    </row>
    <row r="51" spans="1:53">
      <c r="A51" s="271"/>
      <c r="B51" s="3485">
        <v>6</v>
      </c>
      <c r="C51" s="216"/>
      <c r="D51" s="1363">
        <v>8</v>
      </c>
      <c r="E51" s="276" t="s">
        <v>1811</v>
      </c>
      <c r="F51" s="276">
        <v>1</v>
      </c>
      <c r="G51" s="216"/>
      <c r="H51" s="2503">
        <v>360000</v>
      </c>
      <c r="I51" s="216"/>
      <c r="J51" s="91">
        <f>+J36+J37+H51</f>
        <v>2860000</v>
      </c>
      <c r="K51" s="1356"/>
      <c r="O51" s="11044"/>
      <c r="P51" s="11044"/>
      <c r="Q51" s="11024"/>
      <c r="R51" s="11001" t="s">
        <v>1140</v>
      </c>
      <c r="S51" s="11001"/>
      <c r="T51" s="11001"/>
      <c r="U51" s="11028"/>
      <c r="V51" s="271"/>
      <c r="W51" s="271"/>
      <c r="X51" s="271"/>
      <c r="Y51" s="271"/>
      <c r="Z51" s="271"/>
      <c r="AA51" s="271"/>
      <c r="AB51" s="161" t="s">
        <v>1366</v>
      </c>
      <c r="AC51" s="216">
        <f>++AC50+AC49</f>
        <v>110</v>
      </c>
      <c r="AD51" s="216">
        <f>+AD50+AD49</f>
        <v>163.6</v>
      </c>
      <c r="AE51" s="8487">
        <f>+AE48</f>
        <v>148.5</v>
      </c>
      <c r="AF51" s="271"/>
      <c r="AG51" s="161" t="s">
        <v>1366</v>
      </c>
      <c r="AH51" s="174">
        <f>++AH50+AH49</f>
        <v>133.4</v>
      </c>
      <c r="AI51" s="174">
        <f>+AI50+AI49</f>
        <v>163.6</v>
      </c>
      <c r="AJ51" s="175">
        <f>+AJ48</f>
        <v>148.5</v>
      </c>
      <c r="AK51" s="271"/>
      <c r="AL51" s="271"/>
      <c r="AM51" s="271"/>
      <c r="AN51" s="271"/>
      <c r="AO51" s="271"/>
      <c r="AP51" s="271"/>
      <c r="AQ51" s="271"/>
      <c r="AR51" s="271"/>
      <c r="AS51" s="271"/>
      <c r="AT51" s="271"/>
      <c r="AU51" s="271"/>
      <c r="AV51" s="271"/>
      <c r="AW51" s="271"/>
      <c r="AX51" s="271"/>
      <c r="AY51" s="271"/>
      <c r="AZ51" s="156"/>
      <c r="BA51" s="156"/>
    </row>
    <row r="52" spans="1:53">
      <c r="A52" s="271"/>
      <c r="B52" s="3485">
        <v>7</v>
      </c>
      <c r="C52" s="216"/>
      <c r="D52" s="1363">
        <v>4</v>
      </c>
      <c r="E52" s="276" t="s">
        <v>1808</v>
      </c>
      <c r="F52" s="276" t="s">
        <v>1806</v>
      </c>
      <c r="G52" s="1363"/>
      <c r="H52" s="91">
        <v>360000</v>
      </c>
      <c r="I52" s="91">
        <f>+I95</f>
        <v>1500000</v>
      </c>
      <c r="J52" s="91">
        <f>+J36+J41+H52-I52</f>
        <v>12360000</v>
      </c>
      <c r="K52" s="1356"/>
      <c r="O52" s="11044"/>
      <c r="P52" s="11044"/>
      <c r="Q52" s="11024"/>
      <c r="R52" s="155">
        <v>10860000</v>
      </c>
      <c r="S52" s="192">
        <v>42</v>
      </c>
      <c r="T52" s="193">
        <v>3.55</v>
      </c>
      <c r="U52" s="8498"/>
      <c r="V52" s="271"/>
      <c r="W52" s="271"/>
      <c r="X52" s="271"/>
      <c r="Y52" s="271"/>
      <c r="Z52" s="271"/>
      <c r="AA52" s="271"/>
      <c r="AB52" s="8489"/>
      <c r="AC52" s="216"/>
      <c r="AD52" s="216"/>
      <c r="AE52" s="157"/>
      <c r="AF52" s="271"/>
      <c r="AG52" s="8489"/>
      <c r="AH52" s="216"/>
      <c r="AI52" s="216"/>
      <c r="AJ52" s="157"/>
      <c r="AK52" s="271"/>
      <c r="AL52" s="271"/>
      <c r="AM52" s="271"/>
      <c r="AN52" s="271"/>
      <c r="AO52" s="271"/>
      <c r="AP52" s="271"/>
      <c r="AQ52" s="271"/>
      <c r="AR52" s="271"/>
      <c r="AS52" s="271"/>
      <c r="AT52" s="271"/>
      <c r="AU52" s="271"/>
      <c r="AV52" s="271"/>
      <c r="AW52" s="271"/>
      <c r="AX52" s="271"/>
      <c r="AY52" s="271"/>
      <c r="AZ52" s="156"/>
      <c r="BA52" s="156"/>
    </row>
    <row r="53" spans="1:53">
      <c r="A53" s="271"/>
      <c r="B53" s="3485">
        <v>8</v>
      </c>
      <c r="C53" s="216"/>
      <c r="D53" s="1363">
        <v>5</v>
      </c>
      <c r="E53" s="276" t="str">
        <f>+E41</f>
        <v xml:space="preserve">New Eqp - GE </v>
      </c>
      <c r="F53" s="276">
        <v>6</v>
      </c>
      <c r="G53" s="1363"/>
      <c r="H53" s="91">
        <v>360000</v>
      </c>
      <c r="I53" s="91">
        <f>+I52</f>
        <v>1500000</v>
      </c>
      <c r="J53" s="91">
        <f>+J41+H53-I53</f>
        <v>10860000</v>
      </c>
      <c r="K53" s="1356"/>
      <c r="O53" s="11044"/>
      <c r="P53" s="11044"/>
      <c r="Q53" s="11024"/>
      <c r="R53" s="155">
        <v>543000</v>
      </c>
      <c r="S53" s="198">
        <f>+($S$11-S52)/$S$11</f>
        <v>0.6488294314381271</v>
      </c>
      <c r="T53" s="199">
        <f>+T52/S53</f>
        <v>5.4713917525773192</v>
      </c>
      <c r="U53" s="138"/>
      <c r="V53" s="271"/>
      <c r="W53" s="271"/>
      <c r="X53" s="271"/>
      <c r="Y53" s="271"/>
      <c r="Z53" s="271"/>
      <c r="AA53" s="271"/>
      <c r="AB53" s="8489"/>
      <c r="AC53" s="9">
        <v>2009</v>
      </c>
      <c r="AD53" s="9">
        <v>2010</v>
      </c>
      <c r="AE53" s="171" t="s">
        <v>1372</v>
      </c>
      <c r="AF53" s="271"/>
      <c r="AG53" s="148"/>
      <c r="AH53" s="216"/>
      <c r="AI53" s="181" t="s">
        <v>1377</v>
      </c>
      <c r="AJ53" s="163">
        <f>+'5(em)'!Z47</f>
        <v>29</v>
      </c>
      <c r="AK53" s="271"/>
      <c r="AL53" s="271"/>
      <c r="AM53" s="271"/>
      <c r="AN53" s="271"/>
      <c r="AO53" s="271"/>
      <c r="AP53" s="271"/>
      <c r="AQ53" s="271"/>
      <c r="AR53" s="271"/>
      <c r="AS53" s="271"/>
      <c r="AT53" s="271"/>
      <c r="AU53" s="271"/>
      <c r="AV53" s="271"/>
      <c r="AW53" s="271"/>
      <c r="AX53" s="271"/>
      <c r="AY53" s="271"/>
      <c r="AZ53" s="156"/>
      <c r="BA53" s="156"/>
    </row>
    <row r="54" spans="1:53" ht="13.5" thickBot="1">
      <c r="A54" s="271"/>
      <c r="B54" s="3493"/>
      <c r="C54" s="3487"/>
      <c r="D54" s="3487"/>
      <c r="E54" s="3487"/>
      <c r="F54" s="3487"/>
      <c r="G54" s="3487"/>
      <c r="H54" s="3487"/>
      <c r="I54" s="3487"/>
      <c r="J54" s="3487"/>
      <c r="K54" s="3491"/>
      <c r="O54" s="11045"/>
      <c r="P54" s="11045"/>
      <c r="Q54" s="11027"/>
      <c r="R54" s="143">
        <v>411017</v>
      </c>
      <c r="S54" s="105">
        <f>108600*2+217200</f>
        <v>434400</v>
      </c>
      <c r="T54" s="105"/>
      <c r="U54" s="140"/>
      <c r="V54" s="271"/>
      <c r="W54" s="271"/>
      <c r="X54" s="271"/>
      <c r="Y54" s="271"/>
      <c r="Z54" s="271"/>
      <c r="AA54" s="271"/>
      <c r="AB54" s="161" t="s">
        <v>1373</v>
      </c>
      <c r="AC54" s="8492" t="s">
        <v>494</v>
      </c>
      <c r="AD54" s="8492" t="s">
        <v>494</v>
      </c>
      <c r="AE54" s="176">
        <v>6</v>
      </c>
      <c r="AF54" s="4"/>
      <c r="AG54" s="149"/>
      <c r="AH54" s="188"/>
      <c r="AI54" s="189" t="s">
        <v>1378</v>
      </c>
      <c r="AJ54" s="190">
        <f>+'5(em)'!AA47</f>
        <v>1.93</v>
      </c>
      <c r="AK54" s="271"/>
      <c r="AL54" s="271"/>
      <c r="AM54" s="271"/>
      <c r="AN54" s="271"/>
      <c r="AO54" s="271"/>
      <c r="AP54" s="271"/>
      <c r="AQ54" s="271"/>
      <c r="AR54" s="271"/>
      <c r="AS54" s="271"/>
      <c r="AT54" s="271"/>
      <c r="AU54" s="271"/>
      <c r="AV54" s="271"/>
      <c r="AW54" s="271"/>
      <c r="AX54" s="271"/>
      <c r="AY54" s="271"/>
      <c r="AZ54" s="156"/>
      <c r="BA54" s="156"/>
    </row>
    <row r="55" spans="1:53">
      <c r="A55" s="271"/>
      <c r="B55" s="271"/>
      <c r="O55" s="271"/>
      <c r="P55" s="3477"/>
      <c r="Q55" s="3477"/>
      <c r="R55" s="110"/>
      <c r="S55" s="110"/>
      <c r="T55" s="110"/>
      <c r="U55" s="109"/>
      <c r="V55" s="271"/>
      <c r="W55" s="271"/>
      <c r="X55" s="271"/>
      <c r="Y55" s="271"/>
      <c r="Z55" s="271"/>
      <c r="AA55" s="271"/>
      <c r="AB55" s="8489"/>
      <c r="AC55" s="216"/>
      <c r="AD55" s="216"/>
      <c r="AE55" s="170" t="s">
        <v>939</v>
      </c>
      <c r="AF55" s="4"/>
      <c r="AG55" s="148"/>
      <c r="AH55" s="162"/>
      <c r="AI55" s="168" t="s">
        <v>1379</v>
      </c>
      <c r="AJ55" s="178">
        <f>+AJ54*AJ53*AJ51/2000</f>
        <v>4.1557725000000003</v>
      </c>
      <c r="AK55" s="271"/>
      <c r="AL55" s="271"/>
      <c r="AM55" s="271"/>
      <c r="AN55" s="271"/>
      <c r="AO55" s="271"/>
      <c r="AP55" s="271"/>
      <c r="AQ55" s="271"/>
      <c r="AR55" s="271"/>
      <c r="AS55" s="271"/>
      <c r="AT55" s="271"/>
      <c r="AU55" s="271"/>
      <c r="AV55" s="271"/>
      <c r="AW55" s="271"/>
      <c r="AX55" s="271"/>
      <c r="AY55" s="271"/>
      <c r="AZ55" s="156"/>
      <c r="BA55" s="156"/>
    </row>
    <row r="56" spans="1:53" ht="13.5" thickBot="1">
      <c r="A56" s="271"/>
      <c r="B56" s="271"/>
      <c r="O56" s="271"/>
      <c r="P56" s="6745"/>
      <c r="Q56" s="6745"/>
      <c r="R56" s="155"/>
      <c r="S56" s="197">
        <f>+'5(em)'!AB29</f>
        <v>141.31</v>
      </c>
      <c r="T56" s="155"/>
      <c r="U56" s="107"/>
      <c r="V56" s="271"/>
      <c r="W56" s="271"/>
      <c r="X56" s="271"/>
      <c r="Y56" s="271"/>
      <c r="Z56" s="271"/>
      <c r="AA56" s="271"/>
      <c r="AB56" s="8489"/>
      <c r="AC56" s="216"/>
      <c r="AD56" s="181" t="s">
        <v>1374</v>
      </c>
      <c r="AE56" s="157">
        <f>+AE54/AE48</f>
        <v>4.0404040404040407E-2</v>
      </c>
      <c r="AF56" s="4"/>
      <c r="AG56" s="148"/>
      <c r="AH56" s="216"/>
      <c r="AI56" s="216"/>
      <c r="AJ56" s="157"/>
      <c r="AK56" s="271"/>
      <c r="AL56" s="271"/>
      <c r="AM56" s="271"/>
      <c r="AN56" s="271"/>
      <c r="AO56" s="271"/>
      <c r="AP56" s="271"/>
      <c r="AQ56" s="271"/>
      <c r="AR56" s="271"/>
      <c r="AS56" s="271"/>
      <c r="AT56" s="271"/>
      <c r="AU56" s="271"/>
      <c r="AV56" s="271"/>
      <c r="AW56" s="271"/>
      <c r="AX56" s="271"/>
      <c r="AY56" s="271"/>
      <c r="AZ56" s="156"/>
      <c r="BA56" s="156"/>
    </row>
    <row r="57" spans="1:53">
      <c r="A57" s="271"/>
      <c r="B57" s="191" t="str">
        <f>+O57</f>
        <v>Norwich Public Untilities</v>
      </c>
      <c r="O57" s="9646" t="s">
        <v>539</v>
      </c>
      <c r="P57" s="9644" t="s">
        <v>289</v>
      </c>
      <c r="Q57" s="3477"/>
      <c r="R57" s="11029" t="s">
        <v>1142</v>
      </c>
      <c r="S57" s="11029"/>
      <c r="T57" s="11029"/>
      <c r="U57" s="11030"/>
      <c r="V57" s="271"/>
      <c r="W57" s="271"/>
      <c r="X57" s="271"/>
      <c r="Y57" s="271"/>
      <c r="Z57" s="271"/>
      <c r="AA57" s="271"/>
      <c r="AB57" s="148"/>
      <c r="AC57" s="164"/>
      <c r="AD57" s="164"/>
      <c r="AE57" s="165"/>
      <c r="AF57" s="271"/>
      <c r="AG57" s="148"/>
      <c r="AH57" s="216"/>
      <c r="AI57" s="216"/>
      <c r="AJ57" s="165"/>
      <c r="AK57" s="271"/>
      <c r="AL57" s="271"/>
      <c r="AM57" s="271"/>
      <c r="AN57" s="271"/>
      <c r="AO57" s="271"/>
      <c r="AP57" s="271"/>
      <c r="AQ57" s="271"/>
      <c r="AR57" s="271"/>
      <c r="AS57" s="271"/>
      <c r="AT57" s="271"/>
      <c r="AU57" s="271"/>
      <c r="AV57" s="271"/>
      <c r="AW57" s="271"/>
      <c r="AX57" s="271"/>
      <c r="AY57" s="271"/>
      <c r="AZ57" s="156"/>
      <c r="BA57" s="156"/>
    </row>
    <row r="58" spans="1:53">
      <c r="A58" s="271"/>
      <c r="B58" s="271"/>
      <c r="O58" s="9650"/>
      <c r="P58" s="9648"/>
      <c r="Q58" s="6745"/>
      <c r="R58" s="11001" t="s">
        <v>1145</v>
      </c>
      <c r="S58" s="11001"/>
      <c r="T58" s="11001"/>
      <c r="U58" s="11028"/>
      <c r="V58" s="271"/>
      <c r="W58" s="271"/>
      <c r="X58" s="271"/>
      <c r="Y58" s="271"/>
      <c r="Z58" s="271"/>
      <c r="AA58" s="271"/>
      <c r="AB58" s="8489"/>
      <c r="AC58" s="216"/>
      <c r="AD58" s="216"/>
      <c r="AE58" s="157"/>
      <c r="AF58" s="271"/>
      <c r="AG58" s="182"/>
      <c r="AH58" s="183">
        <v>2009</v>
      </c>
      <c r="AI58" s="183">
        <v>2010</v>
      </c>
      <c r="AJ58" s="177" t="s">
        <v>1372</v>
      </c>
      <c r="AK58" s="271"/>
      <c r="AL58" s="271"/>
      <c r="AM58" s="271"/>
      <c r="AN58" s="271"/>
      <c r="AO58" s="271"/>
      <c r="AP58" s="271"/>
      <c r="AQ58" s="271"/>
      <c r="AR58" s="271"/>
      <c r="AS58" s="271"/>
      <c r="AT58" s="271"/>
      <c r="AU58" s="271"/>
      <c r="AV58" s="271"/>
      <c r="AW58" s="271"/>
      <c r="AX58" s="271"/>
      <c r="AY58" s="271"/>
      <c r="AZ58" s="156"/>
      <c r="BA58" s="156"/>
    </row>
    <row r="59" spans="1:53">
      <c r="A59" s="271"/>
      <c r="B59" s="271"/>
      <c r="E59" s="216" t="s">
        <v>1900</v>
      </c>
      <c r="F59" s="3502">
        <v>198</v>
      </c>
      <c r="G59" s="216" t="s">
        <v>545</v>
      </c>
      <c r="O59" s="9650"/>
      <c r="P59" s="9648"/>
      <c r="Q59" s="6745"/>
      <c r="R59" s="155">
        <v>7319263</v>
      </c>
      <c r="S59" s="195">
        <v>6</v>
      </c>
      <c r="T59" s="193">
        <v>2.62</v>
      </c>
      <c r="U59" s="8498"/>
      <c r="V59" s="271"/>
      <c r="W59" s="271"/>
      <c r="X59" s="271"/>
      <c r="Y59" s="271"/>
      <c r="Z59" s="271"/>
      <c r="AA59" s="271"/>
      <c r="AB59" s="148"/>
      <c r="AC59" s="216"/>
      <c r="AD59" s="216"/>
      <c r="AE59" s="157"/>
      <c r="AF59" s="271"/>
      <c r="AG59" s="184" t="s">
        <v>1375</v>
      </c>
      <c r="AH59" s="185">
        <f>+AH49</f>
        <v>43.800000000000011</v>
      </c>
      <c r="AI59" s="185">
        <f>+AI49</f>
        <v>113.5</v>
      </c>
      <c r="AJ59" s="179">
        <f>0.5*(AH59+AI59)</f>
        <v>78.650000000000006</v>
      </c>
      <c r="AK59" s="271"/>
      <c r="AL59" s="271"/>
      <c r="AM59" s="271"/>
      <c r="AN59" s="271"/>
      <c r="AO59" s="271"/>
      <c r="AP59" s="271"/>
      <c r="AQ59" s="271"/>
      <c r="AR59" s="271"/>
      <c r="AS59" s="271"/>
      <c r="AT59" s="271"/>
      <c r="AU59" s="271"/>
      <c r="AV59" s="271"/>
      <c r="AW59" s="271"/>
      <c r="AX59" s="271"/>
      <c r="AY59" s="271"/>
      <c r="AZ59" s="156"/>
      <c r="BA59" s="156"/>
    </row>
    <row r="60" spans="1:53">
      <c r="A60" s="271"/>
      <c r="B60" s="271"/>
      <c r="C60" s="216"/>
      <c r="E60" s="216" t="s">
        <v>1901</v>
      </c>
      <c r="F60" s="3502">
        <v>50</v>
      </c>
      <c r="G60" s="216" t="s">
        <v>117</v>
      </c>
      <c r="O60" s="9650"/>
      <c r="P60" s="9648"/>
      <c r="Q60" s="6745"/>
      <c r="R60" s="155">
        <v>389322.5</v>
      </c>
      <c r="S60" s="198">
        <f>+($S$56-S59)/$S$56</f>
        <v>0.95754015993206421</v>
      </c>
      <c r="T60" s="199">
        <f>+T59/S60</f>
        <v>2.7361776661000667</v>
      </c>
      <c r="U60" s="138"/>
      <c r="V60" s="271"/>
      <c r="W60" s="271"/>
      <c r="X60" s="271"/>
      <c r="Y60" s="271"/>
      <c r="Z60" s="271"/>
      <c r="AA60" s="271"/>
      <c r="AB60" s="8489"/>
      <c r="AC60" s="216"/>
      <c r="AD60" s="216"/>
      <c r="AE60" s="157"/>
      <c r="AF60" s="271"/>
      <c r="AG60" s="186" t="s">
        <v>1376</v>
      </c>
      <c r="AH60" s="187">
        <f>+$AJ53*$AJ54*AH59/2000</f>
        <v>1.2257430000000005</v>
      </c>
      <c r="AI60" s="187">
        <f>+$AJ53*$AJ54*AI59/2000</f>
        <v>3.1762975</v>
      </c>
      <c r="AJ60" s="180">
        <f>+$AJ53*$AJ54*AJ59/2000</f>
        <v>2.20102025</v>
      </c>
      <c r="AK60" s="271"/>
      <c r="AL60" s="271"/>
      <c r="AM60" s="271"/>
      <c r="AN60" s="271"/>
      <c r="AO60" s="271"/>
      <c r="AP60" s="271"/>
      <c r="AQ60" s="271"/>
      <c r="AR60" s="271"/>
      <c r="AS60" s="271"/>
      <c r="AT60" s="271"/>
      <c r="AU60" s="271"/>
      <c r="AV60" s="271"/>
      <c r="AW60" s="271"/>
      <c r="AX60" s="271"/>
      <c r="AY60" s="271"/>
      <c r="AZ60" s="156"/>
      <c r="BA60" s="156"/>
    </row>
    <row r="61" spans="1:53">
      <c r="A61" s="271"/>
      <c r="B61" s="271"/>
      <c r="E61" s="9" t="s">
        <v>419</v>
      </c>
      <c r="F61" s="3503">
        <f>+F60*F59</f>
        <v>9900</v>
      </c>
      <c r="G61" s="9" t="s">
        <v>1535</v>
      </c>
      <c r="I61" s="271">
        <f>+F63*F17/F18</f>
        <v>0.55704426435707599</v>
      </c>
      <c r="O61" s="9650"/>
      <c r="P61" s="9648"/>
      <c r="Q61" s="6745"/>
      <c r="R61" s="105">
        <v>347672</v>
      </c>
      <c r="S61" s="105">
        <f>73193+146385</f>
        <v>219578</v>
      </c>
      <c r="T61" s="105"/>
      <c r="U61" s="139"/>
      <c r="V61" s="271"/>
      <c r="W61" s="271"/>
      <c r="X61" s="271"/>
      <c r="Y61" s="271"/>
      <c r="Z61" s="271"/>
      <c r="AA61" s="271"/>
      <c r="AB61" s="8490"/>
      <c r="AC61" s="9"/>
      <c r="AD61" s="9"/>
      <c r="AE61" s="137"/>
      <c r="AF61" s="271"/>
      <c r="AG61" s="8490"/>
      <c r="AH61" s="9"/>
      <c r="AI61" s="9"/>
      <c r="AJ61" s="137"/>
      <c r="AK61" s="271"/>
      <c r="AL61" s="271"/>
      <c r="AM61" s="271"/>
      <c r="AN61" s="271"/>
      <c r="AO61" s="271"/>
      <c r="AP61" s="271"/>
      <c r="AQ61" s="271"/>
      <c r="AR61" s="271"/>
      <c r="AS61" s="271"/>
      <c r="AT61" s="271"/>
      <c r="AU61" s="271"/>
      <c r="AV61" s="271"/>
      <c r="AW61" s="271"/>
      <c r="AX61" s="271"/>
      <c r="AY61" s="271"/>
      <c r="AZ61" s="156"/>
      <c r="BA61" s="156"/>
    </row>
    <row r="62" spans="1:53">
      <c r="A62" s="271"/>
      <c r="B62" s="271"/>
      <c r="E62" s="3500" t="s">
        <v>1902</v>
      </c>
      <c r="F62" s="3504">
        <f>+'11(eff)'!U42</f>
        <v>0.55300000000000005</v>
      </c>
      <c r="G62" s="3500" t="s">
        <v>486</v>
      </c>
      <c r="O62" s="9650"/>
      <c r="P62" s="9648"/>
      <c r="Q62" s="6745"/>
      <c r="R62" s="11035" t="s">
        <v>1144</v>
      </c>
      <c r="S62" s="11035"/>
      <c r="T62" s="11035"/>
      <c r="U62" s="11036"/>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row>
    <row r="63" spans="1:53">
      <c r="A63" s="271"/>
      <c r="B63" s="271"/>
      <c r="E63" s="9"/>
      <c r="F63" s="3514">
        <v>141.31</v>
      </c>
      <c r="G63" s="3501" t="s">
        <v>1885</v>
      </c>
      <c r="O63" s="9650"/>
      <c r="P63" s="9648"/>
      <c r="Q63" s="6745"/>
      <c r="R63" s="11001" t="s">
        <v>1146</v>
      </c>
      <c r="S63" s="11001"/>
      <c r="T63" s="11001"/>
      <c r="U63" s="11028"/>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row>
    <row r="64" spans="1:53">
      <c r="A64" s="271"/>
      <c r="B64" s="271"/>
      <c r="E64" s="271" t="s">
        <v>1903</v>
      </c>
      <c r="F64" s="3505">
        <f>+F62*F61/2000</f>
        <v>2.7373500000000002</v>
      </c>
      <c r="G64" s="716" t="s">
        <v>118</v>
      </c>
      <c r="O64" s="9650"/>
      <c r="P64" s="9648"/>
      <c r="Q64" s="6745"/>
      <c r="R64" s="155">
        <v>4554325</v>
      </c>
      <c r="S64" s="195">
        <v>9</v>
      </c>
      <c r="T64" s="193">
        <v>2.56</v>
      </c>
      <c r="U64" s="8498"/>
      <c r="V64" s="271"/>
      <c r="W64" s="271"/>
      <c r="X64" s="271"/>
      <c r="Y64" s="271"/>
      <c r="Z64" s="271"/>
      <c r="AA64" s="271"/>
      <c r="AB64" s="271" t="s">
        <v>303</v>
      </c>
      <c r="AC64" s="271"/>
      <c r="AD64" s="271"/>
      <c r="AE64" s="271"/>
      <c r="AF64" s="271"/>
      <c r="AG64" s="271"/>
      <c r="AH64" s="271"/>
      <c r="AI64" s="271"/>
      <c r="AJ64" s="271"/>
      <c r="AK64" s="271"/>
      <c r="AL64" s="271"/>
      <c r="AM64" s="271"/>
      <c r="AN64" s="271"/>
      <c r="AO64" s="271"/>
      <c r="AP64" s="271"/>
      <c r="AQ64" s="271"/>
      <c r="AR64" s="271"/>
      <c r="AS64" s="271"/>
      <c r="AT64" s="271"/>
      <c r="AU64" s="271"/>
      <c r="AV64" s="271"/>
      <c r="AW64" s="271"/>
      <c r="AX64" s="271"/>
      <c r="AY64" s="271"/>
    </row>
    <row r="65" spans="1:51">
      <c r="A65" s="271"/>
      <c r="B65" s="271"/>
      <c r="O65" s="9650"/>
      <c r="P65" s="9648"/>
      <c r="Q65" s="6745"/>
      <c r="R65" s="155">
        <v>242251.32978723402</v>
      </c>
      <c r="S65" s="198">
        <f>+($S$56-S64)/$S$56</f>
        <v>0.93631023989809636</v>
      </c>
      <c r="T65" s="199">
        <f>+T64/S65</f>
        <v>2.7341364976192275</v>
      </c>
      <c r="U65" s="138"/>
      <c r="V65" s="271"/>
      <c r="W65" s="271"/>
      <c r="X65" s="271"/>
      <c r="Y65" s="271"/>
      <c r="Z65" s="271"/>
      <c r="AA65" s="271"/>
      <c r="AB65" s="271"/>
      <c r="AC65" s="124">
        <v>360000</v>
      </c>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row>
    <row r="66" spans="1:51">
      <c r="A66" s="271"/>
      <c r="B66" s="271"/>
      <c r="C66" s="216"/>
      <c r="O66" s="9650"/>
      <c r="P66" s="9648"/>
      <c r="Q66" s="6745"/>
      <c r="R66" s="105">
        <v>221348</v>
      </c>
      <c r="S66" s="105">
        <f>45543+91086</f>
        <v>136629</v>
      </c>
      <c r="T66" s="105"/>
      <c r="U66" s="139"/>
      <c r="V66" s="271"/>
      <c r="W66" s="271"/>
      <c r="X66" s="271"/>
      <c r="Y66" s="271"/>
      <c r="Z66" s="271"/>
      <c r="AA66" s="271"/>
      <c r="AB66" s="271"/>
      <c r="AC66" s="124">
        <v>250000</v>
      </c>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row>
    <row r="67" spans="1:51">
      <c r="A67" s="271"/>
      <c r="B67" s="271"/>
      <c r="C67" s="216"/>
      <c r="F67" s="11050" t="s">
        <v>1081</v>
      </c>
      <c r="G67" s="11048" t="s">
        <v>1906</v>
      </c>
      <c r="H67" s="11050" t="s">
        <v>1081</v>
      </c>
      <c r="I67" s="11048" t="s">
        <v>1907</v>
      </c>
      <c r="J67" s="11048" t="s">
        <v>1908</v>
      </c>
      <c r="O67" s="9650"/>
      <c r="P67" s="9648"/>
      <c r="Q67" s="6745"/>
      <c r="R67" s="11035" t="s">
        <v>1126</v>
      </c>
      <c r="S67" s="11035"/>
      <c r="T67" s="11035"/>
      <c r="U67" s="11036"/>
      <c r="V67" s="271"/>
      <c r="W67" s="271"/>
      <c r="X67" s="271"/>
      <c r="Y67" s="271"/>
      <c r="Z67" s="271"/>
      <c r="AA67" s="271"/>
      <c r="AB67" s="271"/>
      <c r="AC67" s="124">
        <v>134000</v>
      </c>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row>
    <row r="68" spans="1:51">
      <c r="A68" s="271"/>
      <c r="B68" s="271"/>
      <c r="C68" s="216"/>
      <c r="F68" s="11051"/>
      <c r="G68" s="11049"/>
      <c r="H68" s="11051"/>
      <c r="I68" s="11049"/>
      <c r="J68" s="11049"/>
      <c r="O68" s="9650"/>
      <c r="P68" s="9648"/>
      <c r="Q68" s="6745"/>
      <c r="R68" s="11001" t="s">
        <v>1143</v>
      </c>
      <c r="S68" s="11001"/>
      <c r="T68" s="11001"/>
      <c r="U68" s="11028"/>
      <c r="V68" s="271"/>
      <c r="W68" s="271"/>
      <c r="X68" s="271"/>
      <c r="Y68" s="271"/>
      <c r="Z68" s="271"/>
      <c r="AA68" s="271"/>
      <c r="AB68" s="271"/>
      <c r="AC68" s="124">
        <v>25000</v>
      </c>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row>
    <row r="69" spans="1:51">
      <c r="A69" s="271"/>
      <c r="B69" s="271"/>
      <c r="C69" s="216"/>
      <c r="D69" s="3498">
        <v>1</v>
      </c>
      <c r="E69" s="3499" t="str">
        <f>+E89</f>
        <v>NG + SCR + HPWI</v>
      </c>
      <c r="F69" s="3506">
        <v>6</v>
      </c>
      <c r="G69" s="3508">
        <f>+($F$63-F69)/$F$63</f>
        <v>0.95754015993206421</v>
      </c>
      <c r="H69" s="3510">
        <f>+(1-G69)*$F$62</f>
        <v>2.3480291557568495E-2</v>
      </c>
      <c r="I69" s="3512">
        <f>+(1-G69)*$F$64</f>
        <v>0.11622744320996406</v>
      </c>
      <c r="J69" s="142">
        <f>+$F$64-I69</f>
        <v>2.621122556790036</v>
      </c>
      <c r="O69" s="9650"/>
      <c r="P69" s="9648"/>
      <c r="Q69" s="6745"/>
      <c r="R69" s="11001" t="s">
        <v>1148</v>
      </c>
      <c r="S69" s="11001"/>
      <c r="T69" s="11001"/>
      <c r="U69" s="11028"/>
      <c r="V69" s="271"/>
      <c r="W69" s="271"/>
      <c r="X69" s="271"/>
      <c r="Y69" s="271"/>
      <c r="Z69" s="271"/>
      <c r="AA69" s="271"/>
      <c r="AB69" s="271"/>
      <c r="AC69" s="124">
        <v>42000</v>
      </c>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row>
    <row r="70" spans="1:51">
      <c r="A70" s="271"/>
      <c r="B70" s="271"/>
      <c r="C70" s="216"/>
      <c r="D70" s="1363">
        <v>2</v>
      </c>
      <c r="E70" s="276" t="str">
        <f t="shared" ref="E70:E75" si="5">+E90</f>
        <v>SCR + HPWI</v>
      </c>
      <c r="F70" s="3507">
        <v>9</v>
      </c>
      <c r="G70" s="3509">
        <f t="shared" ref="G70:G75" si="6">+($F$63-F70)/$F$63</f>
        <v>0.93631023989809636</v>
      </c>
      <c r="H70" s="3511">
        <f t="shared" ref="H70:H75" si="7">+(1-G70)*$F$62</f>
        <v>3.5220437336352717E-2</v>
      </c>
      <c r="I70" s="3513">
        <f t="shared" ref="I70:I75" si="8">+(1-G70)*$F$64</f>
        <v>0.17434116481494594</v>
      </c>
      <c r="J70" s="142">
        <f t="shared" ref="J70:J75" si="9">+$F$64-I70</f>
        <v>2.5630088351850544</v>
      </c>
      <c r="O70" s="9650"/>
      <c r="P70" s="9648"/>
      <c r="Q70" s="6745"/>
      <c r="R70" s="155">
        <v>3386773</v>
      </c>
      <c r="S70" s="195">
        <v>25</v>
      </c>
      <c r="T70" s="193">
        <v>2.2400000000000002</v>
      </c>
      <c r="U70" s="8498"/>
      <c r="V70" s="271"/>
      <c r="W70" s="271"/>
      <c r="X70" s="271"/>
      <c r="Y70" s="271"/>
      <c r="Z70" s="271"/>
      <c r="AA70" s="271"/>
      <c r="AB70" s="271"/>
      <c r="AC70" s="124">
        <v>2900</v>
      </c>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row>
    <row r="71" spans="1:51">
      <c r="A71" s="271"/>
      <c r="B71" s="271"/>
      <c r="C71" s="216"/>
      <c r="D71" s="1363">
        <v>3</v>
      </c>
      <c r="E71" s="276" t="str">
        <f t="shared" si="5"/>
        <v>SCR</v>
      </c>
      <c r="F71" s="3507">
        <v>25</v>
      </c>
      <c r="G71" s="3509">
        <f t="shared" si="6"/>
        <v>0.82308399971693436</v>
      </c>
      <c r="H71" s="3511">
        <f t="shared" si="7"/>
        <v>9.7834548156535306E-2</v>
      </c>
      <c r="I71" s="3513">
        <f t="shared" si="8"/>
        <v>0.48428101337484974</v>
      </c>
      <c r="J71" s="142">
        <f t="shared" si="9"/>
        <v>2.2530689866251503</v>
      </c>
      <c r="O71" s="9650"/>
      <c r="P71" s="9648"/>
      <c r="Q71" s="6745"/>
      <c r="R71" s="155">
        <v>180147.5</v>
      </c>
      <c r="S71" s="198">
        <f>+($S$56-S70)/$S$56</f>
        <v>0.82308399971693436</v>
      </c>
      <c r="T71" s="199">
        <f>+T70/S71</f>
        <v>2.7214719284670283</v>
      </c>
      <c r="U71" s="138"/>
      <c r="V71" s="271"/>
      <c r="W71" s="271"/>
      <c r="X71" s="271"/>
      <c r="Y71" s="271"/>
      <c r="Z71" s="271"/>
      <c r="AA71" s="271"/>
      <c r="AB71" s="271"/>
      <c r="AC71" s="124">
        <v>40000</v>
      </c>
      <c r="AD71" s="271"/>
      <c r="AE71" s="271"/>
      <c r="AF71" s="271"/>
      <c r="AG71" s="271"/>
      <c r="AH71" s="271"/>
      <c r="AI71" s="271"/>
      <c r="AJ71" s="271"/>
      <c r="AK71" s="271"/>
      <c r="AL71" s="271"/>
      <c r="AM71" s="271"/>
      <c r="AN71" s="271"/>
      <c r="AO71" s="271"/>
      <c r="AP71" s="271"/>
      <c r="AQ71" s="271"/>
      <c r="AR71" s="271"/>
      <c r="AS71" s="271"/>
      <c r="AT71" s="271"/>
      <c r="AU71" s="271"/>
      <c r="AV71" s="271"/>
      <c r="AW71" s="271"/>
      <c r="AX71" s="271"/>
      <c r="AY71" s="271"/>
    </row>
    <row r="72" spans="1:51">
      <c r="A72" s="271"/>
      <c r="B72" s="271"/>
      <c r="C72" s="216"/>
      <c r="D72" s="1363">
        <v>4</v>
      </c>
      <c r="E72" s="276" t="str">
        <f t="shared" si="5"/>
        <v>HPWI</v>
      </c>
      <c r="F72" s="3507">
        <v>47</v>
      </c>
      <c r="G72" s="3509">
        <f t="shared" si="6"/>
        <v>0.66739791946783666</v>
      </c>
      <c r="H72" s="3511">
        <f t="shared" si="7"/>
        <v>0.18392895053428635</v>
      </c>
      <c r="I72" s="3513">
        <f t="shared" si="8"/>
        <v>0.91044830514471742</v>
      </c>
      <c r="J72" s="142">
        <f t="shared" si="9"/>
        <v>1.8269016948552828</v>
      </c>
      <c r="O72" s="9650"/>
      <c r="P72" s="9648"/>
      <c r="Q72" s="6745"/>
      <c r="R72" s="105">
        <v>187812</v>
      </c>
      <c r="S72" s="105">
        <f>33868+67735</f>
        <v>101603</v>
      </c>
      <c r="T72" s="105"/>
      <c r="U72" s="139"/>
      <c r="V72" s="271"/>
      <c r="W72" s="271"/>
      <c r="X72" s="271"/>
      <c r="Y72" s="271"/>
      <c r="Z72" s="271"/>
      <c r="AA72" s="271"/>
      <c r="AB72" s="271"/>
      <c r="AC72" s="124">
        <v>16000</v>
      </c>
      <c r="AD72" s="271"/>
      <c r="AE72" s="271"/>
      <c r="AF72" s="271"/>
      <c r="AG72" s="271"/>
      <c r="AH72" s="271"/>
      <c r="AI72" s="271"/>
      <c r="AJ72" s="271"/>
      <c r="AK72" s="271"/>
      <c r="AL72" s="271"/>
      <c r="AM72" s="271"/>
      <c r="AN72" s="271"/>
      <c r="AO72" s="271"/>
      <c r="AP72" s="271"/>
      <c r="AQ72" s="271"/>
      <c r="AR72" s="271"/>
      <c r="AS72" s="271"/>
      <c r="AT72" s="271"/>
      <c r="AU72" s="271"/>
      <c r="AV72" s="271"/>
      <c r="AW72" s="271"/>
      <c r="AX72" s="271"/>
      <c r="AY72" s="271"/>
    </row>
    <row r="73" spans="1:51">
      <c r="A73" s="271"/>
      <c r="B73" s="271"/>
      <c r="D73" s="1363">
        <v>5</v>
      </c>
      <c r="E73" s="276" t="str">
        <f t="shared" si="5"/>
        <v>Convert To Dual Fuel (Natural Gas + Oil backup)</v>
      </c>
      <c r="F73" s="3507">
        <v>90</v>
      </c>
      <c r="G73" s="3509">
        <f t="shared" si="6"/>
        <v>0.36310239898096386</v>
      </c>
      <c r="H73" s="3511">
        <f t="shared" si="7"/>
        <v>0.352204373363527</v>
      </c>
      <c r="I73" s="3513">
        <f t="shared" si="8"/>
        <v>1.7434116481494586</v>
      </c>
      <c r="J73" s="5945">
        <f t="shared" si="9"/>
        <v>0.99393835185054158</v>
      </c>
      <c r="O73" s="9650"/>
      <c r="P73" s="9648"/>
      <c r="Q73" s="8491"/>
      <c r="R73" s="11041" t="s">
        <v>1127</v>
      </c>
      <c r="S73" s="11035"/>
      <c r="T73" s="11035"/>
      <c r="U73" s="11036"/>
      <c r="V73" s="271"/>
      <c r="W73" s="271"/>
      <c r="X73" s="271"/>
      <c r="Y73" s="271"/>
      <c r="Z73" s="271"/>
      <c r="AA73" s="271"/>
      <c r="AB73" s="271"/>
      <c r="AC73" s="124">
        <v>10000</v>
      </c>
      <c r="AD73" s="271"/>
      <c r="AE73" s="271"/>
      <c r="AF73" s="271"/>
      <c r="AG73" s="271"/>
      <c r="AH73" s="271"/>
      <c r="AI73" s="271"/>
      <c r="AJ73" s="271"/>
      <c r="AK73" s="271"/>
      <c r="AL73" s="271"/>
      <c r="AM73" s="271"/>
      <c r="AN73" s="271"/>
      <c r="AO73" s="271"/>
      <c r="AP73" s="271"/>
      <c r="AQ73" s="271"/>
      <c r="AR73" s="271"/>
      <c r="AS73" s="271"/>
      <c r="AT73" s="271"/>
      <c r="AU73" s="271"/>
      <c r="AV73" s="271"/>
      <c r="AW73" s="271"/>
      <c r="AX73" s="271"/>
      <c r="AY73" s="271"/>
    </row>
    <row r="74" spans="1:51">
      <c r="A74" s="271"/>
      <c r="B74" s="271"/>
      <c r="D74" s="1363">
        <v>6</v>
      </c>
      <c r="E74" s="276" t="str">
        <f t="shared" si="5"/>
        <v xml:space="preserve">NEqp (Dual fuel) </v>
      </c>
      <c r="F74" s="3507">
        <v>15</v>
      </c>
      <c r="G74" s="3509">
        <f t="shared" si="6"/>
        <v>0.89385039983016068</v>
      </c>
      <c r="H74" s="3511">
        <f t="shared" si="7"/>
        <v>5.8700728893921146E-2</v>
      </c>
      <c r="I74" s="3513">
        <f t="shared" si="8"/>
        <v>0.29056860802490969</v>
      </c>
      <c r="J74" s="142">
        <f t="shared" si="9"/>
        <v>2.4467813919750903</v>
      </c>
      <c r="O74" s="9650"/>
      <c r="P74" s="9648"/>
      <c r="Q74" s="8491"/>
      <c r="R74" s="11042" t="s">
        <v>1143</v>
      </c>
      <c r="S74" s="11001"/>
      <c r="T74" s="11001"/>
      <c r="U74" s="11028"/>
      <c r="V74" s="271"/>
      <c r="W74" s="271"/>
      <c r="X74" s="271"/>
      <c r="Y74" s="271"/>
      <c r="Z74" s="271"/>
      <c r="AA74" s="271"/>
      <c r="AB74" s="271"/>
      <c r="AC74" s="124">
        <v>40000</v>
      </c>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row>
    <row r="75" spans="1:51">
      <c r="A75" s="271"/>
      <c r="B75" s="271"/>
      <c r="D75" s="1363">
        <v>7</v>
      </c>
      <c r="E75" s="276" t="str">
        <f t="shared" si="5"/>
        <v>(New turbine) Solar Titan 130 - liquid fuel only</v>
      </c>
      <c r="F75" s="3507">
        <v>65</v>
      </c>
      <c r="G75" s="3509">
        <f t="shared" si="6"/>
        <v>0.54001839926402939</v>
      </c>
      <c r="H75" s="3511">
        <f t="shared" si="7"/>
        <v>0.25436982520699175</v>
      </c>
      <c r="I75" s="3513">
        <f t="shared" si="8"/>
        <v>1.2591306347746092</v>
      </c>
      <c r="J75" s="142">
        <f t="shared" si="9"/>
        <v>1.478219365225391</v>
      </c>
      <c r="O75" s="9650"/>
      <c r="P75" s="9648"/>
      <c r="Q75" s="8491"/>
      <c r="R75" s="11042" t="s">
        <v>1149</v>
      </c>
      <c r="S75" s="11001"/>
      <c r="T75" s="11001"/>
      <c r="U75" s="11028"/>
      <c r="V75" s="271"/>
      <c r="W75" s="271"/>
      <c r="X75" s="271"/>
      <c r="Y75" s="271"/>
      <c r="Z75" s="271"/>
      <c r="AA75" s="271"/>
      <c r="AB75" s="271"/>
      <c r="AC75" s="124">
        <v>15000</v>
      </c>
      <c r="AD75" s="124">
        <f>+SUM(AC65:AC75)</f>
        <v>934900</v>
      </c>
      <c r="AE75" s="271"/>
      <c r="AF75" s="271"/>
      <c r="AG75" s="271"/>
      <c r="AH75" s="271"/>
      <c r="AI75" s="271"/>
      <c r="AJ75" s="271"/>
      <c r="AK75" s="271"/>
      <c r="AL75" s="271"/>
      <c r="AM75" s="271"/>
      <c r="AN75" s="271"/>
      <c r="AO75" s="271"/>
      <c r="AP75" s="271"/>
      <c r="AQ75" s="271"/>
      <c r="AR75" s="271"/>
      <c r="AS75" s="271"/>
      <c r="AT75" s="271"/>
      <c r="AU75" s="271"/>
      <c r="AV75" s="271"/>
      <c r="AW75" s="271"/>
      <c r="AX75" s="271"/>
      <c r="AY75" s="271"/>
    </row>
    <row r="76" spans="1:51">
      <c r="A76" s="271"/>
      <c r="B76" s="271"/>
      <c r="O76" s="9650"/>
      <c r="P76" s="9648"/>
      <c r="Q76" s="8491"/>
      <c r="R76" s="194">
        <v>1191552</v>
      </c>
      <c r="S76" s="195">
        <v>47</v>
      </c>
      <c r="T76" s="193">
        <v>1.81</v>
      </c>
      <c r="U76" s="8498"/>
      <c r="V76" s="271"/>
      <c r="W76" s="271"/>
      <c r="X76" s="271"/>
      <c r="Y76" s="271"/>
      <c r="Z76" s="271"/>
      <c r="AA76" s="271"/>
      <c r="AB76" s="271"/>
      <c r="AC76" s="124">
        <v>100000</v>
      </c>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row>
    <row r="77" spans="1:51">
      <c r="A77" s="271"/>
      <c r="B77" s="271"/>
      <c r="O77" s="9650"/>
      <c r="P77" s="9648"/>
      <c r="Q77" s="8491"/>
      <c r="R77" s="194">
        <v>63380.425531914894</v>
      </c>
      <c r="S77" s="198">
        <f>+($S$56-S76)/$S$56</f>
        <v>0.66739791946783666</v>
      </c>
      <c r="T77" s="199">
        <f>+T76/S77</f>
        <v>2.7120252359240804</v>
      </c>
      <c r="U77" s="138"/>
      <c r="V77" s="271"/>
      <c r="W77" s="271"/>
      <c r="X77" s="271"/>
      <c r="Y77" s="271"/>
      <c r="Z77" s="271"/>
      <c r="AA77" s="271"/>
      <c r="AB77" s="271"/>
      <c r="AC77" s="124">
        <v>50000</v>
      </c>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row>
    <row r="78" spans="1:51" ht="13.5" thickBot="1">
      <c r="A78" s="271"/>
      <c r="B78" s="271"/>
      <c r="O78" s="9650"/>
      <c r="P78" s="9648"/>
      <c r="Q78" s="8491"/>
      <c r="R78" s="196">
        <v>81969</v>
      </c>
      <c r="S78" s="105">
        <f>11916+23831</f>
        <v>35747</v>
      </c>
      <c r="T78" s="105"/>
      <c r="U78" s="139"/>
      <c r="V78" s="271"/>
      <c r="W78" s="271"/>
      <c r="X78" s="271"/>
      <c r="Y78" s="271"/>
      <c r="Z78" s="271"/>
      <c r="AA78" s="271"/>
      <c r="AB78" s="271"/>
      <c r="AC78" s="124">
        <v>56094</v>
      </c>
      <c r="AD78" s="271">
        <f>6/100</f>
        <v>0.06</v>
      </c>
      <c r="AE78" s="271">
        <f>+AC78/AD78</f>
        <v>934900</v>
      </c>
      <c r="AF78" s="271"/>
      <c r="AG78" s="271"/>
      <c r="AH78" s="271"/>
      <c r="AI78" s="271"/>
      <c r="AJ78" s="271"/>
      <c r="AK78" s="271"/>
      <c r="AL78" s="271"/>
      <c r="AM78" s="271"/>
      <c r="AN78" s="271"/>
      <c r="AO78" s="271"/>
      <c r="AP78" s="271"/>
      <c r="AQ78" s="271"/>
      <c r="AR78" s="271"/>
      <c r="AS78" s="271"/>
      <c r="AT78" s="271"/>
      <c r="AU78" s="271"/>
      <c r="AV78" s="271"/>
      <c r="AW78" s="271"/>
      <c r="AX78" s="271"/>
      <c r="AY78" s="271"/>
    </row>
    <row r="79" spans="1:51">
      <c r="A79" s="271"/>
      <c r="B79" s="1352"/>
      <c r="C79" s="1353"/>
      <c r="D79" s="3494" t="s">
        <v>382</v>
      </c>
      <c r="E79" s="3494" t="s">
        <v>1776</v>
      </c>
      <c r="F79" s="3495" t="s">
        <v>1777</v>
      </c>
      <c r="G79" s="3494" t="s">
        <v>1453</v>
      </c>
      <c r="H79" s="3494"/>
      <c r="I79" s="3494"/>
      <c r="J79" s="3495" t="s">
        <v>1099</v>
      </c>
      <c r="K79" s="1354"/>
      <c r="O79" s="9650"/>
      <c r="P79" s="9648"/>
      <c r="Q79" s="6745"/>
      <c r="R79" s="11039" t="s">
        <v>1150</v>
      </c>
      <c r="S79" s="11039"/>
      <c r="T79" s="11039"/>
      <c r="U79" s="11040"/>
      <c r="V79" s="271"/>
      <c r="W79" s="271"/>
      <c r="X79" s="271"/>
      <c r="Y79" s="271"/>
      <c r="Z79" s="271"/>
      <c r="AA79" s="271"/>
      <c r="AB79" s="271"/>
      <c r="AC79" s="124">
        <f>+SUM(AC65:AC78)</f>
        <v>1140994</v>
      </c>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row>
    <row r="80" spans="1:51">
      <c r="A80" s="271"/>
      <c r="B80" s="1355"/>
      <c r="C80" s="216"/>
      <c r="D80" s="216"/>
      <c r="E80" s="216"/>
      <c r="F80" s="216"/>
      <c r="G80" s="216"/>
      <c r="H80" s="216"/>
      <c r="I80" s="216"/>
      <c r="J80" s="216"/>
      <c r="K80" s="1356"/>
      <c r="O80" s="9650"/>
      <c r="P80" s="9648"/>
      <c r="Q80" s="6745"/>
      <c r="R80" s="11001" t="s">
        <v>1132</v>
      </c>
      <c r="S80" s="11001"/>
      <c r="T80" s="11001"/>
      <c r="U80" s="11028"/>
      <c r="V80" s="271"/>
      <c r="W80" s="271"/>
      <c r="X80" s="271"/>
      <c r="Y80" s="271"/>
      <c r="Z80" s="271"/>
      <c r="AA80" s="271"/>
      <c r="AB80" s="271"/>
      <c r="AC80" s="271"/>
      <c r="AD80" s="271"/>
      <c r="AE80" s="271"/>
      <c r="AF80" s="271"/>
      <c r="AG80" s="271"/>
      <c r="AH80" s="271"/>
      <c r="AI80" s="271"/>
      <c r="AJ80" s="271"/>
      <c r="AK80" s="271"/>
      <c r="AL80" s="271"/>
      <c r="AM80" s="271"/>
      <c r="AN80" s="271"/>
      <c r="AO80" s="271"/>
      <c r="AP80" s="271"/>
      <c r="AQ80" s="271"/>
      <c r="AR80" s="271"/>
      <c r="AS80" s="271"/>
      <c r="AT80" s="271"/>
      <c r="AU80" s="271"/>
      <c r="AV80" s="271"/>
      <c r="AW80" s="271"/>
      <c r="AX80" s="271"/>
      <c r="AY80" s="271"/>
    </row>
    <row r="81" spans="1:51">
      <c r="A81" s="271"/>
      <c r="B81" s="1355"/>
      <c r="C81" s="216"/>
      <c r="D81" s="1363">
        <v>1</v>
      </c>
      <c r="E81" s="276" t="s">
        <v>1789</v>
      </c>
      <c r="F81" s="276" t="s">
        <v>555</v>
      </c>
      <c r="G81" s="1363">
        <v>2</v>
      </c>
      <c r="H81" s="1363"/>
      <c r="I81" s="1363"/>
      <c r="J81" s="91">
        <v>2764939</v>
      </c>
      <c r="K81" s="1356"/>
      <c r="O81" s="9650"/>
      <c r="P81" s="9648"/>
      <c r="Q81" s="6745"/>
      <c r="R81" s="11001" t="s">
        <v>1147</v>
      </c>
      <c r="S81" s="11001"/>
      <c r="T81" s="11001"/>
      <c r="U81" s="11028"/>
      <c r="V81" s="271"/>
      <c r="W81" s="271"/>
      <c r="X81" s="271"/>
      <c r="Y81" s="271"/>
      <c r="Z81" s="271"/>
      <c r="AA81" s="271"/>
      <c r="AB81" s="271"/>
      <c r="AC81" s="271"/>
      <c r="AD81" s="271"/>
      <c r="AE81" s="271"/>
      <c r="AF81" s="271"/>
      <c r="AG81" s="271"/>
      <c r="AH81" s="271"/>
      <c r="AI81" s="271"/>
      <c r="AJ81" s="271"/>
      <c r="AK81" s="271"/>
      <c r="AL81" s="271"/>
      <c r="AM81" s="271"/>
      <c r="AN81" s="271"/>
      <c r="AO81" s="271"/>
      <c r="AP81" s="271"/>
      <c r="AQ81" s="271"/>
      <c r="AR81" s="271"/>
      <c r="AS81" s="271"/>
      <c r="AT81" s="271"/>
      <c r="AU81" s="271"/>
      <c r="AV81" s="271"/>
      <c r="AW81" s="271"/>
      <c r="AX81" s="271"/>
      <c r="AY81" s="271"/>
    </row>
    <row r="82" spans="1:51">
      <c r="A82" s="271"/>
      <c r="B82" s="1355"/>
      <c r="C82" s="216"/>
      <c r="D82" s="1363">
        <f>1+D81</f>
        <v>2</v>
      </c>
      <c r="E82" s="276" t="s">
        <v>1338</v>
      </c>
      <c r="F82" s="276" t="s">
        <v>1093</v>
      </c>
      <c r="G82" s="1363">
        <f>1+G81</f>
        <v>3</v>
      </c>
      <c r="H82" s="1363"/>
      <c r="I82" s="1363"/>
      <c r="J82" s="91">
        <v>3362773</v>
      </c>
      <c r="K82" s="1356"/>
      <c r="O82" s="9650"/>
      <c r="P82" s="9648"/>
      <c r="Q82" s="6745"/>
      <c r="R82" s="155">
        <v>13622600</v>
      </c>
      <c r="S82" s="195">
        <v>15</v>
      </c>
      <c r="T82" s="193">
        <v>2.4500000000000002</v>
      </c>
      <c r="U82" s="8498"/>
      <c r="V82" s="271"/>
      <c r="W82" s="271"/>
      <c r="X82" s="271"/>
      <c r="Y82" s="271"/>
      <c r="Z82" s="271"/>
      <c r="AA82" s="271"/>
      <c r="AB82" s="271"/>
      <c r="AC82" s="271"/>
      <c r="AD82" s="271"/>
      <c r="AE82" s="271"/>
      <c r="AF82" s="271"/>
      <c r="AG82" s="271"/>
      <c r="AH82" s="271"/>
      <c r="AI82" s="271"/>
      <c r="AJ82" s="271"/>
      <c r="AK82" s="271"/>
      <c r="AL82" s="271"/>
      <c r="AM82" s="271"/>
      <c r="AN82" s="271"/>
      <c r="AO82" s="271"/>
      <c r="AP82" s="271"/>
      <c r="AQ82" s="271"/>
      <c r="AR82" s="271"/>
      <c r="AS82" s="271"/>
      <c r="AT82" s="271"/>
      <c r="AU82" s="271"/>
      <c r="AV82" s="271"/>
      <c r="AW82" s="271"/>
      <c r="AX82" s="271"/>
      <c r="AY82" s="271"/>
    </row>
    <row r="83" spans="1:51">
      <c r="A83" s="271"/>
      <c r="B83" s="1355"/>
      <c r="C83" s="216"/>
      <c r="D83" s="1363">
        <f>1+D82</f>
        <v>3</v>
      </c>
      <c r="E83" s="276" t="s">
        <v>1778</v>
      </c>
      <c r="F83" s="276" t="s">
        <v>93</v>
      </c>
      <c r="G83" s="1363">
        <f>1+G82</f>
        <v>4</v>
      </c>
      <c r="H83" s="1363"/>
      <c r="I83" s="1363"/>
      <c r="J83" s="91">
        <v>1047552</v>
      </c>
      <c r="K83" s="1356"/>
      <c r="O83" s="9650"/>
      <c r="P83" s="9648"/>
      <c r="Q83" s="6745"/>
      <c r="R83" s="155">
        <v>724606.38297872338</v>
      </c>
      <c r="S83" s="198">
        <f>+($S$56-S82)/$S$56</f>
        <v>0.89385039983016068</v>
      </c>
      <c r="T83" s="199">
        <f>+T82/S83</f>
        <v>2.7409508352466156</v>
      </c>
      <c r="U83" s="138"/>
      <c r="V83" s="271"/>
      <c r="W83" s="271"/>
      <c r="X83" s="271"/>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c r="AY83" s="271"/>
    </row>
    <row r="84" spans="1:51">
      <c r="A84" s="271"/>
      <c r="B84" s="1355"/>
      <c r="C84" s="216"/>
      <c r="D84" s="1363">
        <f>1+D83</f>
        <v>4</v>
      </c>
      <c r="E84" s="276" t="s">
        <v>1779</v>
      </c>
      <c r="F84" s="276" t="s">
        <v>1780</v>
      </c>
      <c r="G84" s="1363">
        <f>1+G83</f>
        <v>5</v>
      </c>
      <c r="H84" s="1363"/>
      <c r="I84" s="1363"/>
      <c r="J84" s="91">
        <v>11209875</v>
      </c>
      <c r="K84" s="1356"/>
      <c r="O84" s="9651"/>
      <c r="P84" s="9653"/>
      <c r="Q84" s="3476"/>
      <c r="R84" s="105">
        <v>692571</v>
      </c>
      <c r="S84" s="105">
        <f>136226+272452</f>
        <v>408678</v>
      </c>
      <c r="T84" s="105"/>
      <c r="U84" s="139"/>
      <c r="V84" s="271"/>
      <c r="W84" s="271"/>
      <c r="X84" s="271"/>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row>
    <row r="85" spans="1:51" ht="13.5" thickBot="1">
      <c r="A85" s="271"/>
      <c r="B85" s="1355"/>
      <c r="C85" s="216"/>
      <c r="D85" s="2500">
        <f>1+D84</f>
        <v>5</v>
      </c>
      <c r="E85" s="2501" t="s">
        <v>1781</v>
      </c>
      <c r="F85" s="2501" t="s">
        <v>1899</v>
      </c>
      <c r="G85" s="2500">
        <f>1+G84</f>
        <v>6</v>
      </c>
      <c r="H85" s="2500"/>
      <c r="I85" s="2500"/>
      <c r="J85" s="2502">
        <v>14834600</v>
      </c>
      <c r="K85" s="3484"/>
      <c r="O85" s="271"/>
      <c r="P85" s="271"/>
      <c r="Q85" s="271"/>
      <c r="R85" s="271"/>
      <c r="S85" s="271"/>
      <c r="T85" s="271"/>
      <c r="U85" s="271"/>
      <c r="V85" s="271"/>
      <c r="W85" s="271"/>
      <c r="X85" s="271"/>
      <c r="Y85" s="271"/>
      <c r="Z85" s="271"/>
      <c r="AA85" s="271"/>
      <c r="AB85" s="271"/>
      <c r="AC85" s="271"/>
      <c r="AD85" s="271"/>
      <c r="AE85" s="271"/>
      <c r="AF85" s="271"/>
      <c r="AG85" s="271"/>
      <c r="AH85" s="271"/>
      <c r="AI85" s="271"/>
      <c r="AJ85" s="271"/>
      <c r="AK85" s="271"/>
      <c r="AL85" s="271"/>
      <c r="AM85" s="271"/>
      <c r="AN85" s="271"/>
      <c r="AO85" s="271"/>
      <c r="AP85" s="271"/>
      <c r="AQ85" s="271"/>
      <c r="AR85" s="271"/>
      <c r="AS85" s="271"/>
      <c r="AT85" s="271"/>
      <c r="AU85" s="271"/>
      <c r="AV85" s="271"/>
      <c r="AW85" s="271"/>
      <c r="AX85" s="271"/>
      <c r="AY85" s="271"/>
    </row>
    <row r="86" spans="1:51">
      <c r="A86" s="271"/>
      <c r="B86" s="1355"/>
      <c r="C86" s="1363"/>
      <c r="D86" s="1363"/>
      <c r="E86" s="276"/>
      <c r="F86" s="276"/>
      <c r="G86" s="1363"/>
      <c r="H86" s="1363"/>
      <c r="I86" s="1363"/>
      <c r="J86" s="91"/>
      <c r="K86" s="1356"/>
      <c r="O86" s="271"/>
      <c r="P86" s="271"/>
      <c r="Q86" s="271"/>
      <c r="R86" s="271"/>
      <c r="S86" s="271"/>
      <c r="T86" s="271"/>
      <c r="U86" s="271"/>
      <c r="V86" s="271"/>
      <c r="W86" s="271"/>
      <c r="X86" s="271"/>
      <c r="Y86" s="271"/>
      <c r="Z86" s="271"/>
      <c r="AA86" s="271"/>
      <c r="AB86" s="271"/>
      <c r="AC86" s="271"/>
      <c r="AD86" s="271"/>
      <c r="AE86" s="271"/>
      <c r="AF86" s="271"/>
      <c r="AG86" s="271"/>
      <c r="AH86" s="271"/>
      <c r="AI86" s="271"/>
      <c r="AJ86" s="271"/>
      <c r="AK86" s="271"/>
      <c r="AL86" s="271"/>
      <c r="AM86" s="271"/>
      <c r="AN86" s="271"/>
      <c r="AO86" s="271"/>
      <c r="AP86" s="271"/>
      <c r="AQ86" s="271"/>
      <c r="AR86" s="271"/>
      <c r="AS86" s="271"/>
      <c r="AT86" s="271"/>
      <c r="AU86" s="271"/>
      <c r="AV86" s="271"/>
      <c r="AW86" s="271"/>
      <c r="AX86" s="271"/>
      <c r="AY86" s="271"/>
    </row>
    <row r="87" spans="1:51">
      <c r="A87" s="271"/>
      <c r="B87" s="1355" t="s">
        <v>1791</v>
      </c>
      <c r="C87" s="216"/>
      <c r="D87" s="216" t="s">
        <v>1782</v>
      </c>
      <c r="E87" s="216" t="s">
        <v>1776</v>
      </c>
      <c r="F87" s="216"/>
      <c r="G87" s="216"/>
      <c r="H87" s="1363" t="s">
        <v>1787</v>
      </c>
      <c r="I87" s="1363" t="s">
        <v>1793</v>
      </c>
      <c r="J87" s="8493" t="s">
        <v>1099</v>
      </c>
      <c r="K87" s="1356"/>
      <c r="O87" s="271"/>
      <c r="P87" s="271"/>
      <c r="Q87" s="271"/>
      <c r="R87" s="271"/>
      <c r="S87" s="271"/>
      <c r="T87" s="271"/>
      <c r="U87" s="271"/>
      <c r="V87" s="271"/>
      <c r="W87" s="271"/>
      <c r="X87" s="271"/>
      <c r="Y87" s="271"/>
      <c r="Z87" s="271"/>
      <c r="AA87" s="271"/>
      <c r="AB87" s="271"/>
      <c r="AC87" s="271"/>
      <c r="AD87" s="271"/>
      <c r="AE87" s="271"/>
      <c r="AF87" s="271"/>
      <c r="AG87" s="271"/>
      <c r="AH87" s="271"/>
      <c r="AI87" s="271"/>
      <c r="AJ87" s="271"/>
      <c r="AK87" s="271"/>
      <c r="AL87" s="271"/>
      <c r="AM87" s="271"/>
      <c r="AN87" s="271"/>
      <c r="AO87" s="271"/>
      <c r="AP87" s="271"/>
      <c r="AQ87" s="271"/>
      <c r="AR87" s="271"/>
      <c r="AS87" s="271"/>
      <c r="AT87" s="271"/>
      <c r="AU87" s="271"/>
      <c r="AV87" s="271"/>
      <c r="AW87" s="271"/>
      <c r="AX87" s="271"/>
      <c r="AY87" s="271"/>
    </row>
    <row r="88" spans="1:51">
      <c r="A88" s="271"/>
      <c r="B88" s="1355" t="s">
        <v>1792</v>
      </c>
      <c r="C88" s="216"/>
      <c r="D88" s="216" t="s">
        <v>1790</v>
      </c>
      <c r="E88" s="216"/>
      <c r="F88" s="216"/>
      <c r="G88" s="216"/>
      <c r="H88" s="1363"/>
      <c r="I88" s="1363"/>
      <c r="J88" s="91"/>
      <c r="K88" s="1356"/>
      <c r="O88" s="271"/>
      <c r="P88" s="271"/>
      <c r="Q88" s="271"/>
      <c r="R88" s="271"/>
      <c r="S88" s="271"/>
      <c r="T88" s="271"/>
      <c r="U88" s="271"/>
      <c r="V88" s="271"/>
      <c r="W88" s="271"/>
      <c r="X88" s="271"/>
      <c r="Y88" s="271"/>
      <c r="Z88" s="271"/>
      <c r="AA88" s="271"/>
      <c r="AB88" s="271"/>
      <c r="AC88" s="271"/>
      <c r="AD88" s="271"/>
      <c r="AE88" s="271"/>
      <c r="AF88" s="271"/>
      <c r="AG88" s="271"/>
      <c r="AH88" s="271"/>
      <c r="AI88" s="271"/>
      <c r="AJ88" s="271"/>
      <c r="AK88" s="271"/>
      <c r="AL88" s="271"/>
      <c r="AM88" s="271"/>
      <c r="AN88" s="271"/>
      <c r="AO88" s="271"/>
      <c r="AP88" s="271"/>
      <c r="AQ88" s="271"/>
      <c r="AR88" s="271"/>
      <c r="AS88" s="271"/>
      <c r="AT88" s="271"/>
      <c r="AU88" s="271"/>
      <c r="AV88" s="271"/>
      <c r="AW88" s="271"/>
      <c r="AX88" s="271"/>
      <c r="AY88" s="271"/>
    </row>
    <row r="89" spans="1:51">
      <c r="A89" s="271"/>
      <c r="B89" s="3485">
        <v>1</v>
      </c>
      <c r="C89" s="216"/>
      <c r="D89" s="1363">
        <v>1</v>
      </c>
      <c r="E89" s="276" t="s">
        <v>1784</v>
      </c>
      <c r="F89" s="276" t="s">
        <v>1783</v>
      </c>
      <c r="G89" s="1363">
        <v>7</v>
      </c>
      <c r="H89" s="91">
        <v>144000</v>
      </c>
      <c r="I89" s="91"/>
      <c r="J89" s="91">
        <f>+J81+J82+J83+H89</f>
        <v>7319264</v>
      </c>
      <c r="K89" s="1356"/>
      <c r="O89" s="271"/>
      <c r="P89" s="271"/>
      <c r="Q89" s="271"/>
      <c r="R89" s="271"/>
      <c r="S89" s="271"/>
      <c r="T89" s="271"/>
      <c r="U89" s="271"/>
      <c r="V89" s="271"/>
      <c r="W89" s="271"/>
      <c r="X89" s="271"/>
      <c r="Y89" s="271"/>
      <c r="Z89" s="271"/>
      <c r="AA89" s="271"/>
      <c r="AB89" s="271"/>
      <c r="AC89" s="271"/>
      <c r="AD89" s="271"/>
      <c r="AE89" s="271"/>
      <c r="AF89" s="271"/>
      <c r="AG89" s="271"/>
      <c r="AH89" s="271"/>
      <c r="AI89" s="271"/>
      <c r="AJ89" s="271"/>
      <c r="AK89" s="271"/>
      <c r="AL89" s="271"/>
      <c r="AM89" s="271"/>
      <c r="AN89" s="271"/>
      <c r="AO89" s="271"/>
      <c r="AP89" s="271"/>
      <c r="AQ89" s="271"/>
      <c r="AR89" s="271"/>
      <c r="AS89" s="271"/>
      <c r="AT89" s="271"/>
      <c r="AU89" s="271"/>
      <c r="AV89" s="271"/>
      <c r="AW89" s="271"/>
      <c r="AX89" s="271"/>
      <c r="AY89" s="271"/>
    </row>
    <row r="90" spans="1:51">
      <c r="A90" s="271"/>
      <c r="B90" s="3485">
        <v>2</v>
      </c>
      <c r="C90" s="216"/>
      <c r="D90" s="1363">
        <v>2</v>
      </c>
      <c r="E90" s="276" t="s">
        <v>1785</v>
      </c>
      <c r="F90" s="276" t="s">
        <v>1788</v>
      </c>
      <c r="G90" s="1363">
        <f t="shared" ref="G90:G95" si="10">1+G89</f>
        <v>8</v>
      </c>
      <c r="H90" s="91">
        <v>144000</v>
      </c>
      <c r="I90" s="91"/>
      <c r="J90" s="91">
        <f>+J82+J83+H90</f>
        <v>4554325</v>
      </c>
      <c r="K90" s="1356"/>
      <c r="O90" s="271"/>
      <c r="P90" s="271"/>
      <c r="Q90" s="271"/>
      <c r="R90" s="271"/>
      <c r="S90" s="271"/>
      <c r="T90" s="271"/>
      <c r="U90" s="271"/>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c r="AY90" s="271"/>
    </row>
    <row r="91" spans="1:51">
      <c r="A91" s="271"/>
      <c r="B91" s="3485">
        <v>3</v>
      </c>
      <c r="C91" s="216"/>
      <c r="D91" s="1363">
        <v>4</v>
      </c>
      <c r="E91" s="276" t="s">
        <v>1093</v>
      </c>
      <c r="F91" s="276">
        <v>3</v>
      </c>
      <c r="G91" s="1363">
        <f t="shared" si="10"/>
        <v>9</v>
      </c>
      <c r="H91" s="91">
        <v>24000</v>
      </c>
      <c r="I91" s="91"/>
      <c r="J91" s="91">
        <f>+J82+H91</f>
        <v>3386773</v>
      </c>
      <c r="K91" s="1356"/>
      <c r="O91" s="271"/>
      <c r="P91" s="271"/>
      <c r="Q91" s="271"/>
      <c r="R91" s="271"/>
      <c r="S91" s="271"/>
      <c r="T91" s="271"/>
      <c r="U91" s="271"/>
      <c r="V91" s="271"/>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row>
    <row r="92" spans="1:51">
      <c r="A92" s="271"/>
      <c r="B92" s="3485">
        <v>4</v>
      </c>
      <c r="C92" s="216"/>
      <c r="D92" s="1363">
        <v>5</v>
      </c>
      <c r="E92" s="276" t="s">
        <v>93</v>
      </c>
      <c r="F92" s="276">
        <v>4</v>
      </c>
      <c r="G92" s="1363">
        <f t="shared" si="10"/>
        <v>10</v>
      </c>
      <c r="H92" s="91">
        <v>144000</v>
      </c>
      <c r="I92" s="91"/>
      <c r="J92" s="91">
        <f>+J83+H92</f>
        <v>1191552</v>
      </c>
      <c r="K92" s="1356"/>
      <c r="O92" s="271"/>
      <c r="P92" s="271"/>
      <c r="Q92" s="271"/>
      <c r="R92" s="271"/>
      <c r="S92" s="271"/>
      <c r="T92" s="271"/>
      <c r="U92" s="271"/>
      <c r="V92" s="271"/>
      <c r="W92" s="271"/>
      <c r="X92" s="271"/>
      <c r="Y92" s="271"/>
      <c r="Z92" s="271"/>
      <c r="AA92" s="271"/>
      <c r="AB92" s="271"/>
      <c r="AC92" s="271"/>
      <c r="AD92" s="271"/>
      <c r="AE92" s="271"/>
      <c r="AF92" s="271"/>
      <c r="AG92" s="271"/>
      <c r="AH92" s="271"/>
      <c r="AI92" s="271"/>
      <c r="AJ92" s="271"/>
      <c r="AK92" s="271"/>
      <c r="AL92" s="271"/>
      <c r="AM92" s="271"/>
      <c r="AN92" s="271"/>
      <c r="AO92" s="271"/>
      <c r="AP92" s="271"/>
      <c r="AQ92" s="271"/>
      <c r="AR92" s="271"/>
      <c r="AS92" s="271"/>
      <c r="AT92" s="271"/>
      <c r="AU92" s="271"/>
      <c r="AV92" s="271"/>
      <c r="AW92" s="271"/>
      <c r="AX92" s="271"/>
      <c r="AY92" s="271"/>
    </row>
    <row r="93" spans="1:51">
      <c r="A93" s="271"/>
      <c r="B93" s="3485">
        <v>5</v>
      </c>
      <c r="C93" s="216"/>
      <c r="D93" s="1363">
        <v>7</v>
      </c>
      <c r="E93" s="276" t="s">
        <v>1789</v>
      </c>
      <c r="F93" s="276">
        <v>2</v>
      </c>
      <c r="G93" s="1363">
        <f t="shared" si="10"/>
        <v>11</v>
      </c>
      <c r="H93" s="91">
        <v>144000</v>
      </c>
      <c r="I93" s="91"/>
      <c r="J93" s="91">
        <f>+J81+H93</f>
        <v>2908939</v>
      </c>
      <c r="K93" s="1356"/>
      <c r="O93" s="271"/>
      <c r="P93" s="271"/>
      <c r="Q93" s="271"/>
      <c r="R93" s="271"/>
      <c r="S93" s="271"/>
      <c r="T93" s="271"/>
      <c r="U93" s="271"/>
      <c r="V93" s="271"/>
      <c r="W93" s="271"/>
      <c r="X93" s="271"/>
      <c r="Y93" s="271"/>
      <c r="Z93" s="271"/>
      <c r="AA93" s="271"/>
      <c r="AB93" s="271"/>
      <c r="AC93" s="271"/>
      <c r="AD93" s="271"/>
      <c r="AE93" s="271"/>
      <c r="AF93" s="271"/>
      <c r="AG93" s="271"/>
      <c r="AH93" s="271"/>
      <c r="AI93" s="271"/>
      <c r="AJ93" s="271"/>
      <c r="AK93" s="271"/>
      <c r="AL93" s="271"/>
      <c r="AM93" s="271"/>
      <c r="AN93" s="271"/>
      <c r="AO93" s="271"/>
      <c r="AP93" s="271"/>
      <c r="AQ93" s="271"/>
      <c r="AR93" s="271"/>
      <c r="AS93" s="271"/>
      <c r="AT93" s="271"/>
      <c r="AU93" s="271"/>
      <c r="AV93" s="271"/>
      <c r="AW93" s="271"/>
      <c r="AX93" s="271"/>
      <c r="AY93" s="271"/>
    </row>
    <row r="94" spans="1:51">
      <c r="A94" s="271"/>
      <c r="B94" s="3485">
        <v>6</v>
      </c>
      <c r="C94" s="216"/>
      <c r="D94" s="1363">
        <v>3</v>
      </c>
      <c r="E94" s="276" t="s">
        <v>1786</v>
      </c>
      <c r="F94" s="276">
        <v>6</v>
      </c>
      <c r="G94" s="1363">
        <f t="shared" si="10"/>
        <v>12</v>
      </c>
      <c r="H94" s="91">
        <v>288000</v>
      </c>
      <c r="I94" s="91">
        <v>1500000</v>
      </c>
      <c r="J94" s="91">
        <f>+J85+H94-I94</f>
        <v>13622600</v>
      </c>
      <c r="K94" s="1356"/>
      <c r="O94" s="271"/>
      <c r="P94" s="271"/>
      <c r="Q94" s="271"/>
      <c r="R94" s="271"/>
      <c r="S94" s="271"/>
      <c r="T94" s="271"/>
      <c r="U94" s="271"/>
      <c r="V94" s="271"/>
      <c r="W94" s="271"/>
      <c r="X94" s="271"/>
      <c r="Y94" s="271"/>
      <c r="Z94" s="271"/>
      <c r="AA94" s="271"/>
      <c r="AB94" s="271"/>
      <c r="AC94" s="271"/>
      <c r="AD94" s="271"/>
      <c r="AE94" s="271"/>
      <c r="AF94" s="271"/>
      <c r="AG94" s="271"/>
      <c r="AH94" s="271"/>
      <c r="AI94" s="271"/>
      <c r="AJ94" s="271"/>
      <c r="AK94" s="271"/>
      <c r="AL94" s="271"/>
      <c r="AM94" s="271"/>
      <c r="AN94" s="271"/>
      <c r="AO94" s="271"/>
      <c r="AP94" s="271"/>
      <c r="AQ94" s="271"/>
      <c r="AR94" s="271"/>
      <c r="AS94" s="271"/>
      <c r="AT94" s="271"/>
      <c r="AU94" s="271"/>
      <c r="AV94" s="271"/>
      <c r="AW94" s="271"/>
      <c r="AX94" s="271"/>
      <c r="AY94" s="271"/>
    </row>
    <row r="95" spans="1:51" ht="13.5" thickBot="1">
      <c r="A95" s="271"/>
      <c r="B95" s="3486">
        <v>7</v>
      </c>
      <c r="C95" s="3487"/>
      <c r="D95" s="3488">
        <v>6</v>
      </c>
      <c r="E95" s="3489" t="s">
        <v>1779</v>
      </c>
      <c r="F95" s="3489">
        <v>5</v>
      </c>
      <c r="G95" s="3488">
        <f t="shared" si="10"/>
        <v>13</v>
      </c>
      <c r="H95" s="3490">
        <v>288000</v>
      </c>
      <c r="I95" s="3490">
        <v>1500000</v>
      </c>
      <c r="J95" s="3490">
        <f>+J84+H95-I95</f>
        <v>9997875</v>
      </c>
      <c r="K95" s="3491"/>
      <c r="O95" s="271"/>
      <c r="P95" s="271"/>
      <c r="Q95" s="271"/>
      <c r="R95" s="271"/>
      <c r="S95" s="271"/>
      <c r="T95" s="271"/>
      <c r="U95" s="271"/>
      <c r="V95" s="271"/>
      <c r="W95" s="271"/>
      <c r="X95" s="271"/>
      <c r="Y95" s="271"/>
      <c r="Z95" s="271"/>
      <c r="AA95" s="271"/>
      <c r="AB95" s="271"/>
      <c r="AC95" s="271"/>
      <c r="AD95" s="271"/>
      <c r="AE95" s="271"/>
      <c r="AF95" s="271"/>
      <c r="AG95" s="271"/>
      <c r="AH95" s="271"/>
      <c r="AI95" s="271"/>
      <c r="AJ95" s="271"/>
      <c r="AK95" s="271"/>
      <c r="AL95" s="271"/>
      <c r="AM95" s="271"/>
      <c r="AN95" s="271"/>
      <c r="AO95" s="271"/>
      <c r="AP95" s="271"/>
      <c r="AQ95" s="271"/>
      <c r="AR95" s="271"/>
      <c r="AS95" s="271"/>
      <c r="AT95" s="271"/>
      <c r="AU95" s="271"/>
      <c r="AV95" s="271"/>
      <c r="AW95" s="271"/>
      <c r="AX95" s="271"/>
      <c r="AY95" s="271"/>
    </row>
    <row r="96" spans="1:51">
      <c r="A96" s="271"/>
      <c r="B96" s="271"/>
      <c r="O96" s="271"/>
      <c r="P96" s="271"/>
      <c r="Q96" s="271"/>
      <c r="R96" s="271"/>
      <c r="S96" s="271"/>
      <c r="T96" s="271"/>
      <c r="U96" s="271"/>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c r="AY96" s="271"/>
    </row>
    <row r="97" spans="1:51">
      <c r="A97" s="271"/>
      <c r="B97" s="271"/>
      <c r="O97" s="271"/>
      <c r="P97" s="6745"/>
      <c r="Q97" s="6745"/>
      <c r="R97" s="271"/>
      <c r="S97" s="271"/>
      <c r="T97" s="271"/>
      <c r="U97" s="716"/>
      <c r="V97" s="271"/>
      <c r="W97" s="271"/>
      <c r="X97" s="271"/>
      <c r="Y97" s="271"/>
      <c r="Z97" s="271"/>
      <c r="AA97" s="271"/>
      <c r="AB97" s="271"/>
      <c r="AC97" s="271"/>
      <c r="AD97" s="271"/>
      <c r="AE97" s="271"/>
      <c r="AF97" s="271"/>
      <c r="AG97" s="271"/>
      <c r="AH97" s="271"/>
      <c r="AI97" s="271"/>
      <c r="AJ97" s="271"/>
      <c r="AK97" s="271"/>
      <c r="AL97" s="271"/>
      <c r="AM97" s="271"/>
      <c r="AN97" s="271"/>
      <c r="AO97" s="271"/>
      <c r="AP97" s="271"/>
      <c r="AQ97" s="271"/>
      <c r="AR97" s="271"/>
      <c r="AS97" s="271"/>
      <c r="AT97" s="271"/>
      <c r="AU97" s="271"/>
      <c r="AV97" s="271"/>
      <c r="AW97" s="271"/>
      <c r="AX97" s="271"/>
      <c r="AY97" s="271"/>
    </row>
    <row r="98" spans="1:51">
      <c r="A98" s="271"/>
      <c r="B98" s="271"/>
      <c r="O98" s="11047" t="s">
        <v>610</v>
      </c>
      <c r="P98" s="11046" t="s">
        <v>276</v>
      </c>
      <c r="Q98" s="200"/>
      <c r="R98" s="11037" t="s">
        <v>1126</v>
      </c>
      <c r="S98" s="11037"/>
      <c r="T98" s="11037"/>
      <c r="U98" s="11038"/>
      <c r="V98" s="271"/>
      <c r="W98" s="271"/>
      <c r="X98" s="271"/>
      <c r="Y98" s="271"/>
      <c r="Z98" s="271"/>
      <c r="AA98" s="271"/>
      <c r="AB98" s="271"/>
      <c r="AC98" s="271"/>
      <c r="AD98" s="271"/>
      <c r="AE98" s="271"/>
      <c r="AF98" s="271"/>
      <c r="AG98" s="271"/>
      <c r="AH98" s="271"/>
      <c r="AI98" s="271"/>
      <c r="AJ98" s="271"/>
      <c r="AK98" s="271"/>
      <c r="AL98" s="271"/>
      <c r="AM98" s="271"/>
      <c r="AN98" s="271"/>
      <c r="AO98" s="271"/>
      <c r="AP98" s="271"/>
      <c r="AQ98" s="271"/>
      <c r="AR98" s="271"/>
      <c r="AS98" s="271"/>
      <c r="AT98" s="271"/>
      <c r="AU98" s="271"/>
      <c r="AV98" s="271"/>
      <c r="AW98" s="271"/>
      <c r="AX98" s="271"/>
      <c r="AY98" s="271"/>
    </row>
    <row r="99" spans="1:51">
      <c r="A99" s="271"/>
      <c r="B99" s="271"/>
      <c r="G99" s="1">
        <v>0.70399999999999996</v>
      </c>
      <c r="H99" s="1">
        <v>9319</v>
      </c>
      <c r="I99" s="3150">
        <f>+G99/$H$99/46.01*385.3*(20.9-15)/20.9*10^6</f>
        <v>178.5894701111759</v>
      </c>
      <c r="O99" s="9650"/>
      <c r="P99" s="9648"/>
      <c r="Q99" s="6745"/>
      <c r="R99" s="11039"/>
      <c r="S99" s="11039"/>
      <c r="T99" s="11039"/>
      <c r="U99" s="11040"/>
      <c r="V99" s="271"/>
      <c r="W99" s="271"/>
      <c r="X99" s="271"/>
      <c r="Y99" s="271"/>
      <c r="Z99" s="271"/>
      <c r="AA99" s="271"/>
      <c r="AB99" s="271"/>
      <c r="AC99" s="271"/>
      <c r="AD99" s="271"/>
      <c r="AE99" s="271"/>
      <c r="AF99" s="271"/>
      <c r="AG99" s="271"/>
      <c r="AH99" s="271"/>
      <c r="AI99" s="271"/>
      <c r="AJ99" s="271"/>
      <c r="AK99" s="271"/>
      <c r="AL99" s="271"/>
      <c r="AM99" s="271"/>
      <c r="AN99" s="271"/>
      <c r="AO99" s="271"/>
      <c r="AP99" s="271"/>
      <c r="AQ99" s="271"/>
      <c r="AR99" s="271"/>
      <c r="AS99" s="271"/>
      <c r="AT99" s="271"/>
      <c r="AU99" s="271"/>
      <c r="AV99" s="271"/>
      <c r="AW99" s="271"/>
      <c r="AX99" s="271"/>
      <c r="AY99" s="271"/>
    </row>
    <row r="100" spans="1:51">
      <c r="A100" s="271"/>
      <c r="B100" s="271"/>
      <c r="G100" s="1">
        <v>0.55300000000000005</v>
      </c>
      <c r="H100" s="1">
        <v>9319</v>
      </c>
      <c r="I100" s="3150">
        <f>+G100/$H$99/46.01*385.3*(20.9-15)/20.9*10^6</f>
        <v>140.28405819812542</v>
      </c>
      <c r="O100" s="9650"/>
      <c r="P100" s="9648"/>
      <c r="Q100" s="6745"/>
      <c r="R100" s="11001" t="s">
        <v>1153</v>
      </c>
      <c r="S100" s="11001"/>
      <c r="T100" s="11001"/>
      <c r="U100" s="11028"/>
      <c r="V100" s="271"/>
      <c r="W100" s="271"/>
      <c r="X100" s="271"/>
      <c r="Y100" s="271"/>
      <c r="Z100" s="271"/>
      <c r="AA100" s="271"/>
      <c r="AB100" s="271"/>
      <c r="AC100" s="271"/>
      <c r="AD100" s="271"/>
      <c r="AE100" s="271"/>
      <c r="AF100" s="271"/>
      <c r="AG100" s="271"/>
      <c r="AH100" s="271"/>
      <c r="AI100" s="271"/>
      <c r="AJ100" s="271"/>
      <c r="AK100" s="271"/>
      <c r="AL100" s="271"/>
      <c r="AM100" s="271"/>
      <c r="AN100" s="271"/>
      <c r="AO100" s="271"/>
      <c r="AP100" s="271"/>
      <c r="AQ100" s="271"/>
      <c r="AR100" s="271"/>
      <c r="AS100" s="271"/>
      <c r="AT100" s="271"/>
      <c r="AU100" s="271"/>
      <c r="AV100" s="271"/>
      <c r="AW100" s="271"/>
      <c r="AX100" s="271"/>
      <c r="AY100" s="271"/>
    </row>
    <row r="101" spans="1:51">
      <c r="A101" s="271"/>
      <c r="B101" s="271"/>
      <c r="G101" s="1">
        <v>0.69799999999999995</v>
      </c>
      <c r="H101" s="1">
        <v>9319</v>
      </c>
      <c r="I101" s="3150">
        <f>+G101/$H$99/46.01*385.3*(20.9-15)/20.9*10^6</f>
        <v>177.06740076363744</v>
      </c>
      <c r="O101" s="9650"/>
      <c r="P101" s="9648"/>
      <c r="Q101" s="6745"/>
      <c r="R101" s="155">
        <v>8895118</v>
      </c>
      <c r="S101" s="192">
        <v>25</v>
      </c>
      <c r="T101" s="193"/>
      <c r="U101" s="8498"/>
      <c r="V101" s="271"/>
      <c r="W101" s="271"/>
      <c r="X101" s="271"/>
      <c r="Y101" s="271"/>
      <c r="Z101" s="271"/>
      <c r="AA101" s="271"/>
      <c r="AB101" s="271"/>
      <c r="AC101" s="271"/>
      <c r="AD101" s="271"/>
      <c r="AE101" s="271"/>
      <c r="AF101" s="271"/>
      <c r="AG101" s="271"/>
      <c r="AH101" s="271"/>
      <c r="AI101" s="271"/>
      <c r="AJ101" s="271"/>
      <c r="AK101" s="271"/>
      <c r="AL101" s="271"/>
      <c r="AM101" s="271"/>
      <c r="AN101" s="271"/>
      <c r="AO101" s="271"/>
      <c r="AP101" s="271"/>
      <c r="AQ101" s="271"/>
      <c r="AR101" s="271"/>
      <c r="AS101" s="271"/>
      <c r="AT101" s="271"/>
      <c r="AU101" s="271"/>
      <c r="AV101" s="271"/>
      <c r="AW101" s="271"/>
      <c r="AX101" s="271"/>
      <c r="AY101" s="271"/>
    </row>
    <row r="102" spans="1:51">
      <c r="A102" s="271"/>
      <c r="B102" s="271"/>
      <c r="G102" s="1">
        <v>0.73599999999999999</v>
      </c>
      <c r="H102" s="1">
        <v>9319</v>
      </c>
      <c r="I102" s="3150">
        <f>+G102/$H$99/46.01*385.3*(20.9-15)/20.9*10^6</f>
        <v>186.70717329804754</v>
      </c>
      <c r="O102" s="9650"/>
      <c r="P102" s="9648"/>
      <c r="Q102" s="6745"/>
      <c r="R102" s="155">
        <v>404323.54545454547</v>
      </c>
      <c r="S102" s="155"/>
      <c r="T102" s="155"/>
      <c r="U102" s="138"/>
      <c r="V102" s="271"/>
      <c r="W102" s="271"/>
      <c r="X102" s="271"/>
      <c r="Y102" s="271"/>
      <c r="Z102" s="271"/>
      <c r="AA102" s="271"/>
      <c r="AB102" s="271"/>
      <c r="AC102" s="271"/>
      <c r="AD102" s="271"/>
      <c r="AE102" s="271"/>
      <c r="AF102" s="271"/>
      <c r="AG102" s="271"/>
      <c r="AH102" s="271"/>
      <c r="AI102" s="271"/>
      <c r="AJ102" s="271"/>
      <c r="AK102" s="271"/>
      <c r="AL102" s="271"/>
      <c r="AM102" s="271"/>
      <c r="AN102" s="271"/>
      <c r="AO102" s="271"/>
      <c r="AP102" s="271"/>
      <c r="AQ102" s="271"/>
      <c r="AR102" s="271"/>
      <c r="AS102" s="271"/>
      <c r="AT102" s="271"/>
      <c r="AU102" s="271"/>
      <c r="AV102" s="271"/>
      <c r="AW102" s="271"/>
      <c r="AX102" s="271"/>
      <c r="AY102" s="271"/>
    </row>
    <row r="103" spans="1:51">
      <c r="A103" s="271"/>
      <c r="B103" s="271"/>
      <c r="G103" s="1"/>
      <c r="H103" s="1"/>
      <c r="O103" s="9650"/>
      <c r="P103" s="9648"/>
      <c r="Q103" s="6745"/>
      <c r="R103" s="105">
        <v>839358</v>
      </c>
      <c r="S103" s="105"/>
      <c r="T103" s="105"/>
      <c r="U103" s="139"/>
      <c r="V103" s="271"/>
      <c r="W103" s="271"/>
      <c r="X103" s="271"/>
      <c r="Y103" s="271"/>
      <c r="Z103" s="271"/>
      <c r="AA103" s="271"/>
      <c r="AB103" s="271"/>
      <c r="AC103" s="271"/>
      <c r="AD103" s="271"/>
      <c r="AE103" s="271"/>
      <c r="AF103" s="271"/>
      <c r="AG103" s="271"/>
      <c r="AH103" s="271"/>
      <c r="AI103" s="271"/>
      <c r="AJ103" s="271"/>
      <c r="AK103" s="271"/>
      <c r="AL103" s="271"/>
      <c r="AM103" s="271"/>
      <c r="AN103" s="271"/>
      <c r="AO103" s="271"/>
      <c r="AP103" s="271"/>
      <c r="AQ103" s="271"/>
      <c r="AR103" s="271"/>
      <c r="AS103" s="271"/>
      <c r="AT103" s="271"/>
      <c r="AU103" s="271"/>
      <c r="AV103" s="271"/>
      <c r="AW103" s="271"/>
      <c r="AX103" s="271"/>
      <c r="AY103" s="271"/>
    </row>
    <row r="104" spans="1:51">
      <c r="A104" s="271"/>
      <c r="B104" s="271"/>
      <c r="G104" s="1"/>
      <c r="H104" s="1"/>
      <c r="I104" s="1">
        <f>1/$H$99/46.01*385.3*(20.9-15)/20.9*10^6</f>
        <v>253.67822458973853</v>
      </c>
      <c r="O104" s="9650"/>
      <c r="P104" s="9648"/>
      <c r="Q104" s="6745"/>
      <c r="R104" s="11037" t="s">
        <v>1127</v>
      </c>
      <c r="S104" s="11037"/>
      <c r="T104" s="11037"/>
      <c r="U104" s="11038"/>
      <c r="V104" s="271"/>
      <c r="W104" s="271"/>
      <c r="X104" s="271"/>
      <c r="Y104" s="271"/>
      <c r="Z104" s="271"/>
      <c r="AA104" s="271"/>
      <c r="AB104" s="271"/>
      <c r="AC104" s="271"/>
      <c r="AD104" s="271"/>
      <c r="AE104" s="271"/>
      <c r="AF104" s="271"/>
      <c r="AG104" s="271"/>
      <c r="AH104" s="271"/>
      <c r="AI104" s="271"/>
      <c r="AJ104" s="271"/>
      <c r="AK104" s="271"/>
      <c r="AL104" s="271"/>
      <c r="AM104" s="271"/>
      <c r="AN104" s="271"/>
      <c r="AO104" s="271"/>
      <c r="AP104" s="271"/>
      <c r="AQ104" s="271"/>
      <c r="AR104" s="271"/>
      <c r="AS104" s="271"/>
      <c r="AT104" s="271"/>
      <c r="AU104" s="271"/>
      <c r="AV104" s="271"/>
      <c r="AW104" s="271"/>
      <c r="AX104" s="271"/>
      <c r="AY104" s="271"/>
    </row>
    <row r="105" spans="1:51">
      <c r="A105" s="271"/>
      <c r="B105" s="271"/>
      <c r="O105" s="9650"/>
      <c r="P105" s="9648"/>
      <c r="Q105" s="6745"/>
      <c r="R105" s="11039"/>
      <c r="S105" s="11039"/>
      <c r="T105" s="11039"/>
      <c r="U105" s="11040"/>
      <c r="V105" s="271"/>
      <c r="W105" s="271"/>
      <c r="X105" s="271"/>
      <c r="Y105" s="271"/>
      <c r="Z105" s="271"/>
      <c r="AA105" s="271"/>
      <c r="AB105" s="271"/>
      <c r="AC105" s="271"/>
      <c r="AD105" s="271"/>
      <c r="AE105" s="271"/>
      <c r="AF105" s="271"/>
      <c r="AG105" s="271"/>
      <c r="AH105" s="271"/>
      <c r="AI105" s="271"/>
      <c r="AJ105" s="271"/>
      <c r="AK105" s="271"/>
      <c r="AL105" s="271"/>
      <c r="AM105" s="271"/>
      <c r="AN105" s="271"/>
      <c r="AO105" s="271"/>
      <c r="AP105" s="271"/>
      <c r="AQ105" s="271"/>
      <c r="AR105" s="271"/>
      <c r="AS105" s="271"/>
      <c r="AT105" s="271"/>
      <c r="AU105" s="271"/>
      <c r="AV105" s="271"/>
      <c r="AW105" s="271"/>
      <c r="AX105" s="271"/>
      <c r="AY105" s="271"/>
    </row>
    <row r="106" spans="1:51">
      <c r="A106" s="271"/>
      <c r="B106" s="271"/>
      <c r="O106" s="9650"/>
      <c r="P106" s="9648"/>
      <c r="Q106" s="6745"/>
      <c r="R106" s="11001" t="s">
        <v>1152</v>
      </c>
      <c r="S106" s="11001"/>
      <c r="T106" s="11001"/>
      <c r="U106" s="11028"/>
      <c r="V106" s="271"/>
      <c r="W106" s="271"/>
      <c r="X106" s="271"/>
      <c r="Y106" s="271"/>
      <c r="Z106" s="271"/>
      <c r="AA106" s="271"/>
      <c r="AB106" s="271"/>
      <c r="AC106" s="271"/>
      <c r="AD106" s="271"/>
      <c r="AE106" s="271"/>
      <c r="AF106" s="271"/>
      <c r="AG106" s="271"/>
      <c r="AH106" s="271"/>
      <c r="AI106" s="271"/>
      <c r="AJ106" s="271"/>
      <c r="AK106" s="271"/>
      <c r="AL106" s="271"/>
      <c r="AM106" s="271"/>
      <c r="AN106" s="271"/>
      <c r="AO106" s="271"/>
      <c r="AP106" s="271"/>
      <c r="AQ106" s="271"/>
      <c r="AR106" s="271"/>
      <c r="AS106" s="271"/>
      <c r="AT106" s="271"/>
      <c r="AU106" s="271"/>
      <c r="AV106" s="271"/>
      <c r="AW106" s="271"/>
      <c r="AX106" s="271"/>
      <c r="AY106" s="271"/>
    </row>
    <row r="107" spans="1:51">
      <c r="A107" s="271"/>
      <c r="B107" s="271" t="s">
        <v>2247</v>
      </c>
      <c r="O107" s="9650"/>
      <c r="P107" s="9648"/>
      <c r="Q107" s="6745"/>
      <c r="R107" s="155">
        <v>843728</v>
      </c>
      <c r="S107" s="192">
        <v>50</v>
      </c>
      <c r="T107" s="193"/>
      <c r="U107" s="8498"/>
      <c r="V107" s="271"/>
      <c r="W107" s="271"/>
      <c r="X107" s="271"/>
      <c r="Y107" s="271"/>
      <c r="Z107" s="271"/>
      <c r="AA107" s="271"/>
      <c r="AB107" s="271"/>
      <c r="AC107" s="271"/>
      <c r="AD107" s="271"/>
      <c r="AE107" s="271"/>
      <c r="AF107" s="271"/>
      <c r="AG107" s="271"/>
      <c r="AH107" s="271"/>
      <c r="AI107" s="271"/>
      <c r="AJ107" s="271"/>
      <c r="AK107" s="271"/>
      <c r="AL107" s="271"/>
      <c r="AM107" s="271"/>
      <c r="AN107" s="271"/>
      <c r="AO107" s="271"/>
      <c r="AP107" s="271"/>
      <c r="AQ107" s="271"/>
      <c r="AR107" s="271"/>
      <c r="AS107" s="271"/>
      <c r="AT107" s="271"/>
      <c r="AU107" s="271"/>
      <c r="AV107" s="271"/>
      <c r="AW107" s="271"/>
      <c r="AX107" s="271"/>
      <c r="AY107" s="271"/>
    </row>
    <row r="108" spans="1:51">
      <c r="A108" s="271"/>
      <c r="B108" s="271" t="s">
        <v>2248</v>
      </c>
      <c r="O108" s="9650"/>
      <c r="P108" s="9648"/>
      <c r="Q108" s="6745"/>
      <c r="R108" s="155">
        <v>38351.272727272728</v>
      </c>
      <c r="S108" s="155"/>
      <c r="T108" s="155"/>
      <c r="U108" s="138"/>
      <c r="V108" s="271"/>
      <c r="W108" s="271"/>
      <c r="X108" s="271"/>
      <c r="Y108" s="271"/>
      <c r="Z108" s="271"/>
      <c r="AA108" s="271"/>
      <c r="AB108" s="271"/>
      <c r="AC108" s="271"/>
      <c r="AD108" s="271"/>
      <c r="AE108" s="271"/>
      <c r="AF108" s="271"/>
      <c r="AG108" s="271"/>
      <c r="AH108" s="271"/>
      <c r="AI108" s="271"/>
      <c r="AJ108" s="271"/>
      <c r="AK108" s="271"/>
      <c r="AL108" s="271"/>
      <c r="AM108" s="271"/>
      <c r="AN108" s="271"/>
      <c r="AO108" s="271"/>
      <c r="AP108" s="271"/>
      <c r="AQ108" s="271"/>
      <c r="AR108" s="271"/>
      <c r="AS108" s="271"/>
      <c r="AT108" s="271"/>
      <c r="AU108" s="271"/>
      <c r="AV108" s="271"/>
      <c r="AW108" s="271"/>
      <c r="AX108" s="271"/>
      <c r="AY108" s="271"/>
    </row>
    <row r="109" spans="1:51">
      <c r="A109" s="271"/>
      <c r="B109" s="271"/>
      <c r="O109" s="9651"/>
      <c r="P109" s="9653"/>
      <c r="Q109" s="3476"/>
      <c r="R109" s="105">
        <v>118997</v>
      </c>
      <c r="S109" s="105">
        <v>5000</v>
      </c>
      <c r="T109" s="105"/>
      <c r="U109" s="139"/>
      <c r="V109" s="271"/>
      <c r="W109" s="271"/>
      <c r="X109" s="271"/>
      <c r="Y109" s="271"/>
      <c r="Z109" s="271"/>
      <c r="AA109" s="271"/>
      <c r="AB109" s="271"/>
      <c r="AC109" s="271"/>
      <c r="AD109" s="271"/>
      <c r="AE109" s="271"/>
      <c r="AF109" s="271"/>
      <c r="AG109" s="271"/>
      <c r="AH109" s="271"/>
      <c r="AI109" s="271"/>
      <c r="AJ109" s="271"/>
      <c r="AK109" s="271"/>
      <c r="AL109" s="271"/>
      <c r="AM109" s="271"/>
      <c r="AN109" s="271"/>
      <c r="AO109" s="271"/>
      <c r="AP109" s="271"/>
      <c r="AQ109" s="271"/>
      <c r="AR109" s="271"/>
      <c r="AS109" s="271"/>
      <c r="AT109" s="271"/>
      <c r="AU109" s="271"/>
      <c r="AV109" s="271"/>
      <c r="AW109" s="271"/>
      <c r="AX109" s="271"/>
      <c r="AY109" s="271"/>
    </row>
    <row r="110" spans="1:51">
      <c r="A110" s="271"/>
      <c r="B110" s="181" t="s">
        <v>2249</v>
      </c>
      <c r="C110" s="216" t="s">
        <v>2250</v>
      </c>
      <c r="D110" s="216"/>
      <c r="E110" s="216"/>
      <c r="G110" s="91"/>
      <c r="H110" s="91"/>
      <c r="O110" s="271"/>
      <c r="P110" s="271"/>
      <c r="Q110" s="271"/>
      <c r="R110" s="271"/>
      <c r="S110" s="271"/>
      <c r="T110" s="271"/>
      <c r="U110" s="271"/>
      <c r="V110" s="271"/>
      <c r="W110" s="271"/>
      <c r="X110" s="271"/>
      <c r="Y110" s="271"/>
      <c r="Z110" s="271"/>
      <c r="AA110" s="271"/>
      <c r="AB110" s="271"/>
      <c r="AC110" s="271"/>
      <c r="AD110" s="271"/>
      <c r="AE110" s="271"/>
      <c r="AF110" s="271"/>
      <c r="AG110" s="271"/>
      <c r="AH110" s="271"/>
      <c r="AI110" s="271"/>
      <c r="AJ110" s="271"/>
      <c r="AK110" s="271"/>
      <c r="AL110" s="271"/>
      <c r="AM110" s="271"/>
      <c r="AN110" s="271"/>
      <c r="AO110" s="271"/>
      <c r="AP110" s="271"/>
      <c r="AQ110" s="271"/>
      <c r="AR110" s="271"/>
      <c r="AS110" s="271"/>
      <c r="AT110" s="271"/>
      <c r="AU110" s="271"/>
      <c r="AV110" s="271"/>
      <c r="AW110" s="271"/>
      <c r="AX110" s="271"/>
      <c r="AY110" s="271"/>
    </row>
    <row r="111" spans="1:51">
      <c r="A111" s="271"/>
      <c r="B111" s="6578">
        <v>1</v>
      </c>
      <c r="C111" s="216" t="s">
        <v>879</v>
      </c>
      <c r="D111" s="216"/>
      <c r="E111" s="216"/>
      <c r="F111" s="91">
        <v>189075</v>
      </c>
      <c r="G111" s="91"/>
      <c r="H111" s="223">
        <f>+F111/F112</f>
        <v>0.10496288618931013</v>
      </c>
      <c r="I111" s="80"/>
      <c r="J111" s="80"/>
      <c r="L111" s="80">
        <v>40452</v>
      </c>
      <c r="M111" s="80"/>
      <c r="O111" s="6585"/>
      <c r="P111" s="271"/>
      <c r="Q111" s="271"/>
      <c r="R111" s="271"/>
      <c r="S111" s="271"/>
      <c r="T111" s="271"/>
      <c r="U111" s="271"/>
      <c r="V111" s="271"/>
      <c r="W111" s="271"/>
      <c r="X111" s="271"/>
      <c r="Y111" s="271"/>
      <c r="Z111" s="271"/>
      <c r="AA111" s="271"/>
      <c r="AB111" s="271"/>
      <c r="AC111" s="271"/>
      <c r="AD111" s="271"/>
      <c r="AE111" s="271"/>
      <c r="AF111" s="271"/>
      <c r="AG111" s="271"/>
      <c r="AH111" s="271"/>
      <c r="AI111" s="271"/>
      <c r="AJ111" s="271"/>
      <c r="AK111" s="271"/>
      <c r="AL111" s="271"/>
      <c r="AM111" s="271"/>
      <c r="AN111" s="271"/>
      <c r="AO111" s="271"/>
      <c r="AP111" s="271"/>
      <c r="AQ111" s="271"/>
      <c r="AR111" s="271"/>
      <c r="AS111" s="271"/>
      <c r="AT111" s="271"/>
      <c r="AU111" s="271"/>
      <c r="AV111" s="271"/>
      <c r="AW111" s="271"/>
      <c r="AX111" s="271"/>
      <c r="AY111" s="271"/>
    </row>
    <row r="112" spans="1:51">
      <c r="A112" s="271"/>
      <c r="B112" s="6578">
        <f>1+B111</f>
        <v>2</v>
      </c>
      <c r="C112" s="216" t="s">
        <v>2251</v>
      </c>
      <c r="D112" s="216"/>
      <c r="E112" s="216"/>
      <c r="F112" s="6581">
        <v>1801351</v>
      </c>
      <c r="G112" s="91">
        <f>+F112+F116</f>
        <v>1954399</v>
      </c>
      <c r="H112" s="223"/>
      <c r="I112" s="80"/>
      <c r="J112" s="80"/>
      <c r="L112" s="6584">
        <v>287415</v>
      </c>
      <c r="M112" s="6584"/>
      <c r="O112" s="6585">
        <f>+L111/L112</f>
        <v>0.14074422003026982</v>
      </c>
      <c r="P112" s="80">
        <f>+L112+L115+L116</f>
        <v>401087</v>
      </c>
      <c r="Q112" s="271"/>
      <c r="R112" s="271"/>
      <c r="S112" s="271"/>
      <c r="T112" s="271"/>
      <c r="U112" s="271"/>
      <c r="V112" s="271"/>
      <c r="W112" s="271"/>
      <c r="X112" s="271"/>
      <c r="Y112" s="271"/>
      <c r="Z112" s="271"/>
      <c r="AA112" s="271"/>
      <c r="AB112" s="271"/>
      <c r="AC112" s="271"/>
      <c r="AD112" s="271"/>
      <c r="AE112" s="271"/>
      <c r="AF112" s="271"/>
      <c r="AG112" s="271"/>
      <c r="AH112" s="271"/>
      <c r="AI112" s="271"/>
      <c r="AJ112" s="271"/>
      <c r="AK112" s="271"/>
      <c r="AL112" s="271"/>
      <c r="AM112" s="271"/>
      <c r="AN112" s="271"/>
      <c r="AO112" s="271"/>
      <c r="AP112" s="271"/>
      <c r="AQ112" s="271"/>
      <c r="AR112" s="271"/>
      <c r="AS112" s="271"/>
      <c r="AT112" s="271"/>
      <c r="AU112" s="271"/>
      <c r="AV112" s="271"/>
      <c r="AW112" s="271"/>
      <c r="AX112" s="271"/>
      <c r="AY112" s="271"/>
    </row>
    <row r="113" spans="1:51">
      <c r="A113" s="271"/>
      <c r="B113" s="6578">
        <f>1+B112</f>
        <v>3</v>
      </c>
      <c r="C113" s="216" t="s">
        <v>2252</v>
      </c>
      <c r="D113" s="216"/>
      <c r="E113" s="216"/>
      <c r="F113" s="91">
        <v>562086</v>
      </c>
      <c r="G113" s="91"/>
      <c r="H113" s="223">
        <f>+F113/F112</f>
        <v>0.31203579979693019</v>
      </c>
      <c r="I113" s="101"/>
      <c r="J113" s="80"/>
      <c r="L113" s="80">
        <v>386785</v>
      </c>
      <c r="M113" s="80"/>
      <c r="O113" s="6585">
        <f>+L113/L112</f>
        <v>1.3457370005044971</v>
      </c>
      <c r="P113" s="271"/>
      <c r="Q113" s="271"/>
      <c r="R113" s="271"/>
      <c r="S113" s="271"/>
      <c r="T113" s="271"/>
      <c r="U113" s="271"/>
      <c r="V113" s="271"/>
      <c r="W113" s="271"/>
      <c r="X113" s="271"/>
      <c r="Y113" s="271"/>
      <c r="Z113" s="271"/>
      <c r="AA113" s="271"/>
      <c r="AB113" s="271"/>
      <c r="AC113" s="271"/>
      <c r="AD113" s="271"/>
      <c r="AE113" s="271"/>
      <c r="AF113" s="271"/>
      <c r="AG113" s="271"/>
      <c r="AH113" s="271"/>
      <c r="AI113" s="271"/>
      <c r="AJ113" s="271"/>
      <c r="AK113" s="271"/>
      <c r="AL113" s="271"/>
      <c r="AM113" s="271"/>
      <c r="AN113" s="271"/>
      <c r="AO113" s="271"/>
      <c r="AP113" s="271"/>
      <c r="AQ113" s="271"/>
      <c r="AR113" s="271"/>
      <c r="AS113" s="271"/>
      <c r="AT113" s="271"/>
      <c r="AU113" s="271"/>
      <c r="AV113" s="271"/>
      <c r="AW113" s="271"/>
      <c r="AX113" s="271"/>
      <c r="AY113" s="271"/>
    </row>
    <row r="114" spans="1:51">
      <c r="A114" s="271"/>
      <c r="B114" s="6578">
        <f>1+B113</f>
        <v>4</v>
      </c>
      <c r="C114" s="216" t="s">
        <v>2253</v>
      </c>
      <c r="D114" s="216"/>
      <c r="E114" s="216"/>
      <c r="F114" s="91">
        <v>0</v>
      </c>
      <c r="G114" s="91"/>
      <c r="H114" s="223"/>
      <c r="I114" s="80"/>
      <c r="J114" s="80"/>
      <c r="L114" s="80"/>
      <c r="M114" s="80"/>
      <c r="O114" s="6585"/>
      <c r="P114" s="271"/>
      <c r="Q114" s="271"/>
      <c r="R114" s="271"/>
      <c r="S114" s="271"/>
      <c r="T114" s="271"/>
      <c r="U114" s="271"/>
      <c r="V114" s="271"/>
      <c r="W114" s="271"/>
      <c r="X114" s="271"/>
      <c r="Y114" s="271"/>
      <c r="Z114" s="271"/>
      <c r="AA114" s="271"/>
      <c r="AB114" s="271"/>
      <c r="AC114" s="271"/>
      <c r="AD114" s="271"/>
      <c r="AE114" s="271"/>
      <c r="AF114" s="271"/>
      <c r="AG114" s="271"/>
      <c r="AH114" s="271"/>
      <c r="AI114" s="271"/>
      <c r="AJ114" s="271"/>
      <c r="AK114" s="271"/>
      <c r="AL114" s="271"/>
      <c r="AM114" s="271"/>
      <c r="AN114" s="271"/>
      <c r="AO114" s="271"/>
      <c r="AP114" s="271"/>
      <c r="AQ114" s="271"/>
      <c r="AR114" s="271"/>
      <c r="AS114" s="271"/>
      <c r="AT114" s="271"/>
      <c r="AU114" s="271"/>
      <c r="AV114" s="271"/>
      <c r="AW114" s="271"/>
      <c r="AX114" s="271"/>
      <c r="AY114" s="271"/>
    </row>
    <row r="115" spans="1:51">
      <c r="A115" s="271"/>
      <c r="B115" s="6578">
        <f>1+B114</f>
        <v>5</v>
      </c>
      <c r="C115" s="216" t="s">
        <v>2254</v>
      </c>
      <c r="D115" s="216"/>
      <c r="E115" s="216"/>
      <c r="F115" s="91">
        <v>73012</v>
      </c>
      <c r="G115" s="91"/>
      <c r="H115" s="223">
        <f>+F115/F112</f>
        <v>4.0531800853914647E-2</v>
      </c>
      <c r="I115" s="80">
        <f>+F111+F115+F116</f>
        <v>415135</v>
      </c>
      <c r="J115" s="80"/>
      <c r="L115" s="80">
        <v>65484</v>
      </c>
      <c r="M115" s="80">
        <f>+L111+L115+L116</f>
        <v>154124</v>
      </c>
      <c r="O115" s="6585">
        <f>+L115/L112</f>
        <v>0.22783779552215438</v>
      </c>
      <c r="P115" s="271"/>
      <c r="Q115" s="271"/>
      <c r="R115" s="271"/>
      <c r="S115" s="271"/>
      <c r="T115" s="271"/>
      <c r="U115" s="271"/>
      <c r="V115" s="271"/>
      <c r="W115" s="271"/>
      <c r="X115" s="271"/>
      <c r="Y115" s="271"/>
      <c r="Z115" s="271"/>
      <c r="AA115" s="271"/>
      <c r="AB115" s="271"/>
      <c r="AC115" s="271"/>
      <c r="AD115" s="271"/>
      <c r="AE115" s="271"/>
      <c r="AF115" s="271"/>
      <c r="AG115" s="271"/>
      <c r="AH115" s="271"/>
      <c r="AI115" s="271"/>
      <c r="AJ115" s="271"/>
      <c r="AK115" s="271"/>
      <c r="AL115" s="271"/>
      <c r="AM115" s="271"/>
      <c r="AN115" s="271"/>
      <c r="AO115" s="271"/>
      <c r="AP115" s="271"/>
      <c r="AQ115" s="271"/>
      <c r="AR115" s="271"/>
      <c r="AS115" s="271"/>
      <c r="AT115" s="271"/>
      <c r="AU115" s="271"/>
      <c r="AV115" s="271"/>
      <c r="AW115" s="271"/>
      <c r="AX115" s="271"/>
      <c r="AY115" s="271"/>
    </row>
    <row r="116" spans="1:51">
      <c r="A116" s="271"/>
      <c r="B116" s="6579">
        <f>1+B115</f>
        <v>6</v>
      </c>
      <c r="C116" s="9" t="s">
        <v>2255</v>
      </c>
      <c r="D116" s="9"/>
      <c r="E116" s="9"/>
      <c r="F116" s="92">
        <v>153048</v>
      </c>
      <c r="G116" s="92"/>
      <c r="H116" s="6582">
        <f>+F116/F112</f>
        <v>8.4962897292087988E-2</v>
      </c>
      <c r="I116" s="80"/>
      <c r="J116" s="80"/>
      <c r="L116" s="80">
        <v>48188</v>
      </c>
      <c r="O116" s="6585">
        <f>+L116/L112</f>
        <v>0.16766000382721849</v>
      </c>
      <c r="P116" s="271"/>
      <c r="Q116" s="271"/>
      <c r="R116" s="271"/>
      <c r="S116" s="271"/>
      <c r="T116" s="271"/>
      <c r="U116" s="271"/>
      <c r="V116" s="271"/>
      <c r="W116" s="271"/>
      <c r="X116" s="271"/>
      <c r="Y116" s="271"/>
      <c r="Z116" s="271"/>
      <c r="AA116" s="271"/>
      <c r="AB116" s="271"/>
      <c r="AC116" s="271"/>
      <c r="AD116" s="271"/>
      <c r="AE116" s="271"/>
      <c r="AF116" s="271"/>
      <c r="AG116" s="271"/>
      <c r="AH116" s="271"/>
      <c r="AI116" s="271"/>
      <c r="AJ116" s="271"/>
      <c r="AK116" s="271"/>
      <c r="AL116" s="271"/>
      <c r="AM116" s="271"/>
      <c r="AN116" s="271"/>
      <c r="AO116" s="271"/>
      <c r="AP116" s="271"/>
      <c r="AQ116" s="271"/>
      <c r="AR116" s="271"/>
      <c r="AS116" s="271"/>
      <c r="AT116" s="271"/>
      <c r="AU116" s="271"/>
      <c r="AV116" s="271"/>
      <c r="AW116" s="271"/>
      <c r="AX116" s="271"/>
      <c r="AY116" s="271"/>
    </row>
    <row r="117" spans="1:51">
      <c r="A117" s="271"/>
      <c r="B117" s="6580"/>
      <c r="C117" s="716" t="s">
        <v>2256</v>
      </c>
      <c r="F117" s="80">
        <f>+SUM(F111:F116)</f>
        <v>2778572</v>
      </c>
      <c r="G117" s="80">
        <f>+F117</f>
        <v>2778572</v>
      </c>
      <c r="H117" s="6583"/>
      <c r="I117" s="80"/>
      <c r="J117" s="80"/>
      <c r="L117" s="80">
        <f>+SUM(L111:L116)</f>
        <v>828324</v>
      </c>
      <c r="M117" s="80">
        <f>+L117</f>
        <v>828324</v>
      </c>
      <c r="O117" s="271"/>
      <c r="P117" s="216"/>
      <c r="Q117" s="216"/>
      <c r="R117" s="216"/>
      <c r="S117" s="216"/>
      <c r="T117" s="216"/>
      <c r="U117" s="271"/>
      <c r="V117" s="271"/>
      <c r="W117" s="271"/>
      <c r="X117" s="271"/>
      <c r="Y117" s="271"/>
      <c r="Z117" s="271"/>
      <c r="AA117" s="271"/>
      <c r="AB117" s="271"/>
      <c r="AC117" s="271"/>
      <c r="AD117" s="271"/>
      <c r="AE117" s="271"/>
      <c r="AF117" s="271"/>
      <c r="AG117" s="271"/>
      <c r="AH117" s="271"/>
      <c r="AI117" s="271"/>
      <c r="AJ117" s="271"/>
      <c r="AK117" s="271"/>
      <c r="AL117" s="271"/>
      <c r="AM117" s="271"/>
      <c r="AN117" s="271"/>
      <c r="AO117" s="271"/>
      <c r="AP117" s="271"/>
      <c r="AQ117" s="271"/>
      <c r="AR117" s="271"/>
      <c r="AS117" s="271"/>
      <c r="AT117" s="271"/>
      <c r="AU117" s="271"/>
      <c r="AV117" s="271"/>
      <c r="AW117" s="271"/>
      <c r="AX117" s="271"/>
      <c r="AY117" s="271"/>
    </row>
    <row r="118" spans="1:51">
      <c r="A118" s="271"/>
      <c r="B118" s="6580"/>
      <c r="F118" s="80"/>
      <c r="G118" s="80"/>
      <c r="H118" s="6583"/>
      <c r="I118" s="80"/>
      <c r="J118" s="80"/>
      <c r="L118" s="80"/>
      <c r="M118" s="80"/>
      <c r="N118" s="6585"/>
      <c r="O118" s="271"/>
      <c r="P118" s="216" t="s">
        <v>2121</v>
      </c>
      <c r="Q118" s="216"/>
      <c r="R118" s="91">
        <f>+F112</f>
        <v>1801351</v>
      </c>
      <c r="S118" s="91">
        <f>+L112</f>
        <v>287415</v>
      </c>
      <c r="T118" s="91"/>
      <c r="U118" s="271"/>
      <c r="V118" s="271"/>
      <c r="W118" s="271"/>
      <c r="X118" s="271"/>
      <c r="Y118" s="271"/>
      <c r="Z118" s="271"/>
      <c r="AA118" s="271"/>
      <c r="AB118" s="271"/>
      <c r="AC118" s="271"/>
      <c r="AD118" s="271"/>
      <c r="AE118" s="271"/>
      <c r="AF118" s="271"/>
      <c r="AG118" s="271"/>
      <c r="AH118" s="271"/>
      <c r="AI118" s="271"/>
      <c r="AJ118" s="271"/>
      <c r="AK118" s="271"/>
      <c r="AL118" s="271"/>
      <c r="AM118" s="271"/>
      <c r="AN118" s="271"/>
      <c r="AO118" s="271"/>
      <c r="AP118" s="271"/>
      <c r="AQ118" s="271"/>
      <c r="AR118" s="271"/>
      <c r="AS118" s="271"/>
      <c r="AT118" s="271"/>
      <c r="AU118" s="271"/>
      <c r="AV118" s="271"/>
      <c r="AW118" s="271"/>
      <c r="AX118" s="271"/>
      <c r="AY118" s="271"/>
    </row>
    <row r="119" spans="1:51">
      <c r="A119" s="271"/>
      <c r="B119" s="181" t="s">
        <v>2257</v>
      </c>
      <c r="C119" s="216" t="s">
        <v>2264</v>
      </c>
      <c r="D119" s="216"/>
      <c r="E119" s="216"/>
      <c r="F119" s="80"/>
      <c r="G119" s="91"/>
      <c r="H119" s="223"/>
      <c r="I119" s="80"/>
      <c r="J119" s="80"/>
      <c r="L119" s="80"/>
      <c r="M119" s="80"/>
      <c r="N119" s="6585"/>
      <c r="O119" s="271"/>
      <c r="P119" s="9" t="s">
        <v>2122</v>
      </c>
      <c r="Q119" s="9"/>
      <c r="R119" s="92">
        <f>+F113</f>
        <v>562086</v>
      </c>
      <c r="S119" s="92">
        <f>+L113</f>
        <v>386785</v>
      </c>
      <c r="T119" s="91"/>
      <c r="U119" s="271"/>
      <c r="V119" s="271"/>
      <c r="W119" s="271"/>
      <c r="X119" s="271"/>
      <c r="Y119" s="271"/>
      <c r="Z119" s="271"/>
      <c r="AA119" s="271"/>
      <c r="AB119" s="271"/>
      <c r="AC119" s="271"/>
      <c r="AD119" s="271"/>
      <c r="AE119" s="271"/>
      <c r="AF119" s="271"/>
      <c r="AG119" s="271"/>
      <c r="AH119" s="271"/>
      <c r="AI119" s="271"/>
      <c r="AJ119" s="271"/>
      <c r="AK119" s="271"/>
      <c r="AL119" s="271"/>
      <c r="AM119" s="271"/>
      <c r="AN119" s="271"/>
      <c r="AO119" s="271"/>
      <c r="AP119" s="271"/>
      <c r="AQ119" s="271"/>
      <c r="AR119" s="271"/>
      <c r="AS119" s="271"/>
      <c r="AT119" s="271"/>
      <c r="AU119" s="271"/>
      <c r="AV119" s="271"/>
      <c r="AW119" s="271"/>
      <c r="AX119" s="271"/>
      <c r="AY119" s="271"/>
    </row>
    <row r="120" spans="1:51" s="271" customFormat="1">
      <c r="B120" s="6578">
        <v>1</v>
      </c>
      <c r="C120" s="716" t="s">
        <v>1986</v>
      </c>
      <c r="D120" s="216"/>
      <c r="E120" s="216"/>
      <c r="F120" s="80"/>
      <c r="G120" s="91"/>
      <c r="H120" s="223"/>
      <c r="I120" s="80"/>
      <c r="J120" s="80"/>
      <c r="L120" s="80"/>
      <c r="M120" s="80"/>
      <c r="N120" s="6585"/>
      <c r="P120" s="216" t="s">
        <v>2271</v>
      </c>
      <c r="Q120" s="216"/>
      <c r="R120" s="91">
        <f>+R119+R118</f>
        <v>2363437</v>
      </c>
      <c r="S120" s="91">
        <f>+S119+S118</f>
        <v>674200</v>
      </c>
      <c r="T120" s="91"/>
    </row>
    <row r="121" spans="1:51">
      <c r="A121" s="271"/>
      <c r="B121" s="6578">
        <f t="shared" ref="B121:B126" si="11">1+B120</f>
        <v>2</v>
      </c>
      <c r="C121" s="216" t="s">
        <v>2266</v>
      </c>
      <c r="D121" s="216"/>
      <c r="E121" s="216"/>
      <c r="F121" s="91">
        <v>222286</v>
      </c>
      <c r="G121" s="91"/>
      <c r="H121" s="223">
        <f>+F121/F117</f>
        <v>8.0000086375303578E-2</v>
      </c>
      <c r="I121" s="80"/>
      <c r="J121" s="80"/>
      <c r="L121" s="80">
        <v>66266</v>
      </c>
      <c r="M121" s="80"/>
      <c r="N121" s="6585">
        <f>+L121/L117</f>
        <v>8.0000096580565089E-2</v>
      </c>
      <c r="O121" s="271"/>
      <c r="P121" s="216"/>
      <c r="Q121" s="216"/>
      <c r="R121" s="91"/>
      <c r="S121" s="91"/>
      <c r="T121" s="91"/>
      <c r="U121" s="271"/>
      <c r="V121" s="271"/>
      <c r="W121" s="271"/>
      <c r="X121" s="271"/>
      <c r="Y121" s="271"/>
      <c r="Z121" s="271"/>
      <c r="AA121" s="271"/>
      <c r="AB121" s="271"/>
      <c r="AC121" s="271"/>
      <c r="AD121" s="271"/>
      <c r="AE121" s="271"/>
      <c r="AF121" s="271"/>
      <c r="AG121" s="271"/>
      <c r="AH121" s="271"/>
      <c r="AI121" s="271"/>
      <c r="AJ121" s="271"/>
      <c r="AK121" s="271"/>
      <c r="AL121" s="271"/>
      <c r="AM121" s="271"/>
      <c r="AN121" s="271"/>
      <c r="AO121" s="271"/>
      <c r="AP121" s="271"/>
      <c r="AQ121" s="271"/>
      <c r="AR121" s="271"/>
      <c r="AS121" s="271"/>
      <c r="AT121" s="271"/>
      <c r="AU121" s="271"/>
      <c r="AV121" s="271"/>
      <c r="AW121" s="271"/>
      <c r="AX121" s="271"/>
      <c r="AY121" s="271"/>
    </row>
    <row r="122" spans="1:51">
      <c r="A122" s="271"/>
      <c r="B122" s="6578">
        <f t="shared" si="11"/>
        <v>3</v>
      </c>
      <c r="C122" s="216" t="s">
        <v>2258</v>
      </c>
      <c r="D122" s="216"/>
      <c r="E122" s="216"/>
      <c r="F122" s="91"/>
      <c r="G122" s="91"/>
      <c r="H122" s="223"/>
      <c r="I122" s="80"/>
      <c r="J122" s="80"/>
      <c r="L122" s="80"/>
      <c r="M122" s="80"/>
      <c r="N122" s="6585"/>
      <c r="O122" s="271"/>
      <c r="P122" s="216" t="s">
        <v>2006</v>
      </c>
      <c r="Q122" s="223">
        <v>0.05</v>
      </c>
      <c r="R122" s="91">
        <f>+Q122*R120</f>
        <v>118171.85</v>
      </c>
      <c r="S122" s="91">
        <f>+Q122*S120</f>
        <v>33710</v>
      </c>
      <c r="T122" s="91"/>
      <c r="U122" s="271"/>
      <c r="V122" s="271"/>
      <c r="W122" s="271"/>
      <c r="X122" s="271"/>
      <c r="Y122" s="271"/>
      <c r="Z122" s="271"/>
      <c r="AA122" s="271"/>
      <c r="AB122" s="271"/>
      <c r="AC122" s="271"/>
      <c r="AD122" s="271"/>
      <c r="AE122" s="271"/>
      <c r="AF122" s="271"/>
      <c r="AG122" s="271"/>
      <c r="AH122" s="271"/>
      <c r="AI122" s="271"/>
      <c r="AJ122" s="271"/>
      <c r="AK122" s="271"/>
      <c r="AL122" s="271"/>
      <c r="AM122" s="271"/>
      <c r="AN122" s="271"/>
      <c r="AO122" s="271"/>
      <c r="AP122" s="271"/>
      <c r="AQ122" s="271"/>
      <c r="AR122" s="271"/>
      <c r="AS122" s="271"/>
      <c r="AT122" s="271"/>
      <c r="AU122" s="271"/>
      <c r="AV122" s="271"/>
      <c r="AW122" s="271"/>
      <c r="AX122" s="271"/>
      <c r="AY122" s="271"/>
    </row>
    <row r="123" spans="1:51">
      <c r="A123" s="271"/>
      <c r="B123" s="6578">
        <f t="shared" si="11"/>
        <v>4</v>
      </c>
      <c r="C123" s="216" t="s">
        <v>2259</v>
      </c>
      <c r="D123" s="216"/>
      <c r="E123" s="216"/>
      <c r="F123" s="91"/>
      <c r="G123" s="91"/>
      <c r="H123" s="223"/>
      <c r="I123" s="80"/>
      <c r="J123" s="80"/>
      <c r="L123" s="80"/>
      <c r="M123" s="80"/>
      <c r="N123" s="6585"/>
      <c r="O123" s="271"/>
      <c r="P123" s="216"/>
      <c r="Q123" s="223">
        <f>10/100</f>
        <v>0.1</v>
      </c>
      <c r="R123" s="91">
        <f>+Q123*R120</f>
        <v>236343.7</v>
      </c>
      <c r="S123" s="91">
        <f>+Q123*S120</f>
        <v>67420</v>
      </c>
      <c r="T123" s="91"/>
      <c r="U123" s="271"/>
      <c r="V123" s="271"/>
      <c r="W123" s="271"/>
      <c r="X123" s="271"/>
      <c r="Y123" s="271"/>
      <c r="Z123" s="271"/>
      <c r="AA123" s="271"/>
      <c r="AB123" s="271"/>
      <c r="AC123" s="271"/>
      <c r="AD123" s="271"/>
      <c r="AE123" s="271"/>
      <c r="AF123" s="271"/>
      <c r="AG123" s="271"/>
      <c r="AH123" s="271"/>
      <c r="AI123" s="271"/>
      <c r="AJ123" s="271"/>
      <c r="AK123" s="271"/>
      <c r="AL123" s="271"/>
      <c r="AM123" s="271"/>
      <c r="AN123" s="271"/>
      <c r="AO123" s="271"/>
      <c r="AP123" s="271"/>
      <c r="AQ123" s="271"/>
      <c r="AR123" s="271"/>
      <c r="AS123" s="271"/>
      <c r="AT123" s="271"/>
      <c r="AU123" s="271"/>
      <c r="AV123" s="271"/>
      <c r="AW123" s="271"/>
      <c r="AX123" s="271"/>
      <c r="AY123" s="271"/>
    </row>
    <row r="124" spans="1:51">
      <c r="A124" s="271"/>
      <c r="B124" s="6578">
        <f t="shared" si="11"/>
        <v>5</v>
      </c>
      <c r="C124" s="216" t="s">
        <v>2260</v>
      </c>
      <c r="D124" s="216"/>
      <c r="E124" s="216"/>
      <c r="F124" s="91"/>
      <c r="G124" s="91"/>
      <c r="H124" s="223"/>
      <c r="I124" s="80"/>
      <c r="J124" s="80"/>
      <c r="L124" s="80"/>
      <c r="M124" s="80"/>
      <c r="N124" s="6585"/>
      <c r="O124" s="271"/>
      <c r="P124" s="9"/>
      <c r="Q124" s="6582">
        <f>5/100</f>
        <v>0.05</v>
      </c>
      <c r="R124" s="92">
        <f>+Q124*R120</f>
        <v>118171.85</v>
      </c>
      <c r="S124" s="92">
        <f>+Q124*S120</f>
        <v>33710</v>
      </c>
      <c r="T124" s="91"/>
      <c r="U124" s="271"/>
      <c r="V124" s="271"/>
      <c r="W124" s="271"/>
      <c r="X124" s="271"/>
      <c r="Y124" s="271"/>
      <c r="Z124" s="271"/>
      <c r="AA124" s="271"/>
      <c r="AB124" s="271"/>
      <c r="AC124" s="271"/>
      <c r="AD124" s="271"/>
      <c r="AE124" s="271"/>
      <c r="AF124" s="271"/>
      <c r="AG124" s="271"/>
      <c r="AH124" s="271"/>
      <c r="AI124" s="271"/>
      <c r="AJ124" s="271"/>
      <c r="AK124" s="271"/>
      <c r="AL124" s="271"/>
      <c r="AM124" s="271"/>
      <c r="AN124" s="271"/>
      <c r="AO124" s="271"/>
      <c r="AP124" s="271"/>
      <c r="AQ124" s="271"/>
      <c r="AR124" s="271"/>
      <c r="AS124" s="271"/>
      <c r="AT124" s="271"/>
      <c r="AU124" s="271"/>
      <c r="AV124" s="271"/>
      <c r="AW124" s="271"/>
      <c r="AX124" s="271"/>
      <c r="AY124" s="271"/>
    </row>
    <row r="125" spans="1:51">
      <c r="A125" s="271"/>
      <c r="B125" s="6578">
        <f t="shared" si="11"/>
        <v>6</v>
      </c>
      <c r="C125" s="216" t="s">
        <v>2261</v>
      </c>
      <c r="D125" s="216"/>
      <c r="E125" s="216"/>
      <c r="F125" s="91"/>
      <c r="G125" s="91"/>
      <c r="H125" s="223"/>
      <c r="I125" s="80"/>
      <c r="J125" s="80"/>
      <c r="L125" s="80"/>
      <c r="M125" s="80"/>
      <c r="N125" s="6585"/>
      <c r="O125" s="271"/>
      <c r="P125" s="9" t="s">
        <v>2272</v>
      </c>
      <c r="Q125" s="9"/>
      <c r="R125" s="92">
        <f>+SUM(R122:R124)</f>
        <v>472687.4</v>
      </c>
      <c r="S125" s="92">
        <f>+SUM(S122:S124)</f>
        <v>134840</v>
      </c>
      <c r="T125" s="92"/>
      <c r="U125" s="271"/>
      <c r="V125" s="271"/>
      <c r="W125" s="271"/>
      <c r="X125" s="271"/>
      <c r="Y125" s="271"/>
      <c r="Z125" s="271"/>
      <c r="AA125" s="271"/>
      <c r="AB125" s="271"/>
      <c r="AC125" s="271"/>
      <c r="AD125" s="271"/>
      <c r="AE125" s="271"/>
      <c r="AF125" s="271"/>
      <c r="AG125" s="271"/>
      <c r="AH125" s="271"/>
      <c r="AI125" s="271"/>
      <c r="AJ125" s="271"/>
      <c r="AK125" s="271"/>
      <c r="AL125" s="271"/>
      <c r="AM125" s="271"/>
      <c r="AN125" s="271"/>
      <c r="AO125" s="271"/>
      <c r="AP125" s="271"/>
      <c r="AQ125" s="271"/>
      <c r="AR125" s="271"/>
      <c r="AS125" s="271"/>
      <c r="AT125" s="271"/>
      <c r="AU125" s="271"/>
      <c r="AV125" s="271"/>
      <c r="AW125" s="271"/>
      <c r="AX125" s="271"/>
      <c r="AY125" s="271"/>
    </row>
    <row r="126" spans="1:51">
      <c r="A126" s="271"/>
      <c r="B126" s="6579">
        <f t="shared" si="11"/>
        <v>7</v>
      </c>
      <c r="C126" s="9" t="s">
        <v>2262</v>
      </c>
      <c r="D126" s="9"/>
      <c r="E126" s="9"/>
      <c r="F126" s="92"/>
      <c r="G126" s="92"/>
      <c r="H126" s="6582"/>
      <c r="I126" s="80"/>
      <c r="J126" s="80"/>
      <c r="L126" s="80"/>
      <c r="M126" s="80"/>
      <c r="N126" s="6585"/>
      <c r="O126" s="271"/>
      <c r="P126" s="271" t="s">
        <v>2274</v>
      </c>
      <c r="Q126" s="271"/>
      <c r="R126" s="80">
        <f>+R125+R120</f>
        <v>2836124.4</v>
      </c>
      <c r="S126" s="80">
        <f>+S125+S120</f>
        <v>809040</v>
      </c>
      <c r="T126" s="80"/>
      <c r="U126" s="271"/>
      <c r="V126" s="271"/>
      <c r="W126" s="271"/>
      <c r="X126" s="271"/>
      <c r="Y126" s="271"/>
      <c r="Z126" s="271"/>
      <c r="AA126" s="271"/>
      <c r="AB126" s="271"/>
      <c r="AC126" s="271"/>
      <c r="AD126" s="271"/>
      <c r="AE126" s="271"/>
      <c r="AF126" s="271"/>
      <c r="AG126" s="271"/>
      <c r="AH126" s="271"/>
      <c r="AI126" s="271"/>
      <c r="AJ126" s="271"/>
      <c r="AK126" s="271"/>
      <c r="AL126" s="271"/>
      <c r="AM126" s="271"/>
      <c r="AN126" s="271"/>
      <c r="AO126" s="271"/>
      <c r="AP126" s="271"/>
      <c r="AQ126" s="271"/>
      <c r="AR126" s="271"/>
      <c r="AS126" s="271"/>
      <c r="AT126" s="271"/>
      <c r="AU126" s="271"/>
      <c r="AV126" s="271"/>
      <c r="AW126" s="271"/>
      <c r="AX126" s="271"/>
      <c r="AY126" s="271"/>
    </row>
    <row r="127" spans="1:51">
      <c r="A127" s="271"/>
      <c r="B127" s="6580"/>
      <c r="C127" s="716" t="s">
        <v>2263</v>
      </c>
      <c r="F127" s="80">
        <f>+SUM(F120:F126)</f>
        <v>222286</v>
      </c>
      <c r="G127" s="80">
        <f>+F127</f>
        <v>222286</v>
      </c>
      <c r="H127" s="6583"/>
      <c r="I127" s="80"/>
      <c r="J127" s="80"/>
      <c r="L127" s="80">
        <f>+SUM(L120:L126)</f>
        <v>66266</v>
      </c>
      <c r="M127" s="80">
        <f>+L127</f>
        <v>66266</v>
      </c>
      <c r="O127" s="271"/>
      <c r="P127" s="271"/>
      <c r="Q127" s="271"/>
      <c r="R127" s="80"/>
      <c r="S127" s="80"/>
      <c r="T127" s="80"/>
      <c r="U127" s="271"/>
      <c r="V127" s="271"/>
      <c r="W127" s="271"/>
      <c r="X127" s="271"/>
      <c r="Y127" s="271"/>
      <c r="Z127" s="271"/>
      <c r="AA127" s="271"/>
      <c r="AB127" s="271"/>
      <c r="AC127" s="271"/>
      <c r="AD127" s="271"/>
      <c r="AE127" s="271"/>
      <c r="AF127" s="271"/>
      <c r="AG127" s="271"/>
      <c r="AH127" s="271"/>
      <c r="AI127" s="271"/>
      <c r="AJ127" s="271"/>
      <c r="AK127" s="271"/>
      <c r="AL127" s="271"/>
      <c r="AM127" s="271"/>
      <c r="AN127" s="271"/>
      <c r="AO127" s="271"/>
      <c r="AP127" s="271"/>
      <c r="AQ127" s="271"/>
      <c r="AR127" s="271"/>
      <c r="AS127" s="271"/>
      <c r="AT127" s="271"/>
      <c r="AU127" s="271"/>
      <c r="AV127" s="271"/>
      <c r="AW127" s="271"/>
      <c r="AX127" s="271"/>
      <c r="AY127" s="271"/>
    </row>
    <row r="128" spans="1:51">
      <c r="A128" s="271"/>
      <c r="B128" s="271"/>
      <c r="F128" s="80"/>
      <c r="G128" s="80"/>
      <c r="H128" s="6583"/>
      <c r="I128" s="80"/>
      <c r="J128" s="80"/>
      <c r="L128" s="80"/>
      <c r="M128" s="80"/>
      <c r="N128" s="6585"/>
      <c r="O128" s="271"/>
      <c r="P128" s="271" t="s">
        <v>2273</v>
      </c>
      <c r="Q128" s="223">
        <f>15/100</f>
        <v>0.15</v>
      </c>
      <c r="R128" s="6586">
        <f>+Q128*R126</f>
        <v>425418.66</v>
      </c>
      <c r="S128" s="6584">
        <f>+Q128*S126</f>
        <v>121356</v>
      </c>
      <c r="T128" s="80"/>
      <c r="U128" s="271"/>
      <c r="V128" s="271"/>
      <c r="W128" s="271"/>
      <c r="X128" s="271"/>
      <c r="Y128" s="271"/>
      <c r="Z128" s="271"/>
      <c r="AA128" s="271"/>
      <c r="AB128" s="271"/>
      <c r="AC128" s="271"/>
      <c r="AD128" s="271"/>
      <c r="AE128" s="271"/>
      <c r="AF128" s="271"/>
      <c r="AG128" s="271"/>
      <c r="AH128" s="271"/>
      <c r="AI128" s="271"/>
      <c r="AJ128" s="271"/>
      <c r="AK128" s="271"/>
      <c r="AL128" s="271"/>
      <c r="AM128" s="271"/>
      <c r="AN128" s="271"/>
      <c r="AO128" s="271"/>
      <c r="AP128" s="271"/>
      <c r="AQ128" s="271"/>
      <c r="AR128" s="271"/>
      <c r="AS128" s="271"/>
      <c r="AT128" s="271"/>
      <c r="AU128" s="271"/>
      <c r="AV128" s="271"/>
      <c r="AW128" s="271"/>
      <c r="AX128" s="271"/>
      <c r="AY128" s="271"/>
    </row>
    <row r="129" spans="1:51">
      <c r="A129" s="271"/>
      <c r="B129" s="181" t="s">
        <v>2019</v>
      </c>
      <c r="C129" s="216" t="s">
        <v>2230</v>
      </c>
      <c r="D129" s="216"/>
      <c r="F129" s="80"/>
      <c r="G129" s="80"/>
      <c r="H129" s="6583"/>
      <c r="I129" s="80"/>
      <c r="J129" s="80"/>
      <c r="L129" s="80"/>
      <c r="M129" s="80"/>
      <c r="N129" s="6585"/>
      <c r="O129" s="271"/>
      <c r="P129" s="271"/>
      <c r="Q129" s="271"/>
      <c r="R129" s="80"/>
      <c r="S129" s="80"/>
      <c r="T129" s="80"/>
      <c r="U129" s="271"/>
      <c r="V129" s="271"/>
      <c r="W129" s="271"/>
      <c r="X129" s="271"/>
      <c r="Y129" s="271"/>
      <c r="Z129" s="271"/>
      <c r="AA129" s="271"/>
      <c r="AB129" s="271"/>
      <c r="AC129" s="271"/>
      <c r="AD129" s="271"/>
      <c r="AE129" s="271"/>
      <c r="AF129" s="271"/>
      <c r="AG129" s="271"/>
      <c r="AH129" s="271"/>
      <c r="AI129" s="271"/>
      <c r="AJ129" s="271"/>
      <c r="AK129" s="271"/>
      <c r="AL129" s="271"/>
      <c r="AM129" s="271"/>
      <c r="AN129" s="271"/>
      <c r="AO129" s="271"/>
      <c r="AP129" s="271"/>
      <c r="AQ129" s="271"/>
      <c r="AR129" s="271"/>
      <c r="AS129" s="271"/>
      <c r="AT129" s="271"/>
      <c r="AU129" s="271"/>
      <c r="AV129" s="271"/>
      <c r="AW129" s="271"/>
      <c r="AX129" s="271"/>
      <c r="AY129" s="271"/>
    </row>
    <row r="130" spans="1:51">
      <c r="A130" s="271"/>
      <c r="B130" s="6579">
        <v>1</v>
      </c>
      <c r="C130" s="9" t="s">
        <v>1084</v>
      </c>
      <c r="D130" s="9"/>
      <c r="E130" s="9" t="s">
        <v>2268</v>
      </c>
      <c r="F130" s="92">
        <v>56209</v>
      </c>
      <c r="G130" s="92"/>
      <c r="H130" s="6582"/>
      <c r="I130" s="80"/>
      <c r="J130" s="80"/>
      <c r="L130" s="80"/>
      <c r="M130" s="80"/>
      <c r="N130" s="6585"/>
      <c r="O130" s="271"/>
      <c r="P130" s="271" t="s">
        <v>2275</v>
      </c>
      <c r="Q130" s="271"/>
      <c r="R130" s="101">
        <f>+R128+R126</f>
        <v>3261543.06</v>
      </c>
      <c r="S130" s="80">
        <f>+S128+S126</f>
        <v>930396</v>
      </c>
      <c r="T130" s="80"/>
      <c r="U130" s="271"/>
      <c r="V130" s="271"/>
      <c r="W130" s="271"/>
      <c r="X130" s="271"/>
      <c r="Y130" s="271"/>
      <c r="Z130" s="271"/>
      <c r="AA130" s="271"/>
      <c r="AB130" s="271"/>
      <c r="AC130" s="271"/>
      <c r="AD130" s="271"/>
      <c r="AE130" s="271"/>
      <c r="AF130" s="271"/>
      <c r="AG130" s="271"/>
      <c r="AH130" s="271"/>
      <c r="AI130" s="271"/>
      <c r="AJ130" s="271"/>
      <c r="AK130" s="271"/>
      <c r="AL130" s="271"/>
      <c r="AM130" s="271"/>
      <c r="AN130" s="271"/>
      <c r="AO130" s="271"/>
      <c r="AP130" s="271"/>
      <c r="AQ130" s="271"/>
      <c r="AR130" s="271"/>
      <c r="AS130" s="271"/>
      <c r="AT130" s="271"/>
      <c r="AU130" s="271"/>
      <c r="AV130" s="271"/>
      <c r="AW130" s="271"/>
      <c r="AX130" s="271"/>
      <c r="AY130" s="271"/>
    </row>
    <row r="131" spans="1:51">
      <c r="A131" s="271"/>
      <c r="B131" s="6580"/>
      <c r="C131" s="716" t="s">
        <v>2267</v>
      </c>
      <c r="F131" s="80">
        <f>+F130</f>
        <v>56209</v>
      </c>
      <c r="G131" s="80">
        <f>+F131</f>
        <v>56209</v>
      </c>
      <c r="H131" s="6583">
        <f>+F131/F113</f>
        <v>0.10000071163487438</v>
      </c>
      <c r="I131" s="80"/>
      <c r="J131" s="80"/>
      <c r="L131" s="80">
        <v>38679</v>
      </c>
      <c r="M131" s="80">
        <f>+L131</f>
        <v>38679</v>
      </c>
      <c r="N131" s="6585">
        <f>+L131/L113</f>
        <v>0.1000012927078351</v>
      </c>
      <c r="O131" s="271"/>
      <c r="P131" s="271"/>
      <c r="Q131" s="271"/>
      <c r="R131" s="80"/>
      <c r="S131" s="80"/>
      <c r="T131" s="80"/>
      <c r="U131" s="271"/>
      <c r="V131" s="271"/>
      <c r="W131" s="271"/>
      <c r="X131" s="271"/>
      <c r="Y131" s="271"/>
      <c r="Z131" s="271"/>
      <c r="AA131" s="271"/>
      <c r="AB131" s="271"/>
      <c r="AC131" s="271"/>
      <c r="AD131" s="271"/>
      <c r="AE131" s="271"/>
      <c r="AF131" s="271"/>
      <c r="AG131" s="271"/>
      <c r="AH131" s="271"/>
      <c r="AI131" s="271"/>
      <c r="AJ131" s="271"/>
      <c r="AK131" s="271"/>
      <c r="AL131" s="271"/>
      <c r="AM131" s="271"/>
      <c r="AN131" s="271"/>
      <c r="AO131" s="271"/>
      <c r="AP131" s="271"/>
      <c r="AQ131" s="271"/>
      <c r="AR131" s="271"/>
      <c r="AS131" s="271"/>
      <c r="AT131" s="271"/>
      <c r="AU131" s="271"/>
      <c r="AV131" s="271"/>
      <c r="AW131" s="271"/>
      <c r="AX131" s="271"/>
      <c r="AY131" s="271"/>
    </row>
    <row r="132" spans="1:51">
      <c r="A132" s="271"/>
      <c r="B132" s="271"/>
      <c r="F132" s="80"/>
      <c r="G132" s="80"/>
      <c r="H132" s="6583"/>
      <c r="I132" s="80"/>
      <c r="J132" s="80"/>
      <c r="L132" s="80"/>
      <c r="M132" s="80"/>
      <c r="N132" s="6585"/>
      <c r="O132" s="271"/>
      <c r="P132" s="271" t="s">
        <v>1680</v>
      </c>
      <c r="Q132" s="223">
        <v>0.02</v>
      </c>
      <c r="R132" s="6586">
        <f>+Q132*R130</f>
        <v>65230.861199999999</v>
      </c>
      <c r="S132" s="6584">
        <f>+Q132*S130</f>
        <v>18607.920000000002</v>
      </c>
      <c r="T132" s="271"/>
      <c r="U132" s="271"/>
      <c r="V132" s="271"/>
      <c r="W132" s="271"/>
      <c r="X132" s="271"/>
      <c r="Y132" s="271"/>
      <c r="Z132" s="271"/>
      <c r="AA132" s="271"/>
      <c r="AB132" s="271"/>
      <c r="AC132" s="271"/>
      <c r="AD132" s="271"/>
      <c r="AE132" s="271"/>
      <c r="AF132" s="271"/>
      <c r="AG132" s="271"/>
      <c r="AH132" s="271"/>
      <c r="AI132" s="271"/>
      <c r="AJ132" s="271"/>
      <c r="AK132" s="271"/>
      <c r="AL132" s="271"/>
      <c r="AM132" s="271"/>
      <c r="AN132" s="271"/>
      <c r="AO132" s="271"/>
      <c r="AP132" s="271"/>
      <c r="AQ132" s="271"/>
      <c r="AR132" s="271"/>
      <c r="AS132" s="271"/>
      <c r="AT132" s="271"/>
      <c r="AU132" s="271"/>
      <c r="AV132" s="271"/>
      <c r="AW132" s="271"/>
      <c r="AX132" s="271"/>
      <c r="AY132" s="271"/>
    </row>
    <row r="133" spans="1:51">
      <c r="A133" s="271"/>
      <c r="B133" s="181" t="s">
        <v>2265</v>
      </c>
      <c r="C133" s="216" t="s">
        <v>1870</v>
      </c>
      <c r="D133" s="216"/>
      <c r="E133" s="216"/>
      <c r="F133" s="91"/>
      <c r="G133" s="91"/>
      <c r="H133" s="223"/>
      <c r="I133" s="80"/>
      <c r="J133" s="80"/>
      <c r="L133" s="80"/>
      <c r="M133" s="80"/>
      <c r="N133" s="6585"/>
      <c r="O133" s="271"/>
      <c r="P133" s="271"/>
      <c r="Q133" s="271"/>
      <c r="R133" s="271"/>
      <c r="S133" s="271"/>
      <c r="T133" s="271"/>
      <c r="U133" s="271"/>
      <c r="V133" s="271"/>
      <c r="W133" s="271"/>
      <c r="X133" s="271"/>
      <c r="Y133" s="271"/>
      <c r="Z133" s="271"/>
      <c r="AA133" s="271"/>
      <c r="AB133" s="271"/>
      <c r="AC133" s="271"/>
      <c r="AD133" s="271"/>
      <c r="AE133" s="271"/>
      <c r="AF133" s="271"/>
      <c r="AG133" s="271"/>
      <c r="AH133" s="271"/>
      <c r="AI133" s="271"/>
      <c r="AJ133" s="271"/>
      <c r="AK133" s="271"/>
      <c r="AL133" s="271"/>
      <c r="AM133" s="271"/>
      <c r="AN133" s="271"/>
      <c r="AO133" s="271"/>
      <c r="AP133" s="271"/>
      <c r="AQ133" s="271"/>
      <c r="AR133" s="271"/>
      <c r="AS133" s="271"/>
      <c r="AT133" s="271"/>
      <c r="AU133" s="271"/>
      <c r="AV133" s="271"/>
      <c r="AW133" s="271"/>
      <c r="AX133" s="271"/>
      <c r="AY133" s="271"/>
    </row>
    <row r="134" spans="1:51">
      <c r="A134" s="271"/>
      <c r="B134" s="6578">
        <v>1</v>
      </c>
      <c r="C134" s="716" t="s">
        <v>1870</v>
      </c>
      <c r="D134" s="216"/>
      <c r="E134" s="216" t="s">
        <v>2240</v>
      </c>
      <c r="F134" s="91">
        <v>152853</v>
      </c>
      <c r="G134" s="91"/>
      <c r="H134" s="223"/>
      <c r="I134" s="80" t="s">
        <v>2019</v>
      </c>
      <c r="J134" s="80"/>
      <c r="L134" s="80">
        <v>46663</v>
      </c>
      <c r="M134" s="80"/>
      <c r="N134" s="6585"/>
      <c r="O134" s="271"/>
      <c r="P134" s="271"/>
      <c r="Q134" s="271"/>
      <c r="R134" s="271"/>
      <c r="S134" s="271"/>
      <c r="T134" s="271"/>
      <c r="U134" s="271"/>
      <c r="V134" s="271"/>
      <c r="W134" s="271"/>
      <c r="X134" s="271"/>
      <c r="Y134" s="271"/>
      <c r="Z134" s="271"/>
      <c r="AA134" s="271"/>
      <c r="AB134" s="271"/>
      <c r="AC134" s="271"/>
      <c r="AD134" s="271"/>
      <c r="AE134" s="271"/>
      <c r="AF134" s="271"/>
      <c r="AG134" s="271"/>
      <c r="AH134" s="271"/>
      <c r="AI134" s="271"/>
      <c r="AJ134" s="271"/>
      <c r="AK134" s="271"/>
      <c r="AL134" s="271"/>
      <c r="AM134" s="271"/>
      <c r="AN134" s="271"/>
      <c r="AO134" s="271"/>
      <c r="AP134" s="271"/>
      <c r="AQ134" s="271"/>
      <c r="AR134" s="271"/>
      <c r="AS134" s="271"/>
      <c r="AT134" s="271"/>
      <c r="AU134" s="271"/>
      <c r="AV134" s="271"/>
      <c r="AW134" s="271"/>
      <c r="AX134" s="271"/>
      <c r="AY134" s="271"/>
    </row>
    <row r="135" spans="1:51">
      <c r="A135" s="271"/>
      <c r="B135" s="6579">
        <f>1+B134</f>
        <v>2</v>
      </c>
      <c r="C135" s="9" t="s">
        <v>1871</v>
      </c>
      <c r="D135" s="9"/>
      <c r="E135" s="9" t="s">
        <v>2240</v>
      </c>
      <c r="F135" s="92">
        <f>+F134</f>
        <v>152853</v>
      </c>
      <c r="G135" s="92"/>
      <c r="H135" s="6582"/>
      <c r="I135" s="6584">
        <f>+F136+F131+F127</f>
        <v>584201</v>
      </c>
      <c r="J135" s="80"/>
      <c r="L135" s="80">
        <v>46663</v>
      </c>
      <c r="M135" s="80"/>
      <c r="N135" s="6584">
        <f>+L136+L131+L121</f>
        <v>198271</v>
      </c>
      <c r="O135" s="271"/>
      <c r="P135" s="271"/>
      <c r="Q135" s="271"/>
      <c r="R135" s="271"/>
      <c r="S135" s="271"/>
      <c r="T135" s="271"/>
      <c r="U135" s="271"/>
      <c r="V135" s="271"/>
      <c r="W135" s="271"/>
      <c r="X135" s="271"/>
      <c r="Y135" s="271"/>
      <c r="Z135" s="271"/>
      <c r="AA135" s="271"/>
      <c r="AB135" s="271"/>
      <c r="AC135" s="271"/>
      <c r="AD135" s="271"/>
      <c r="AE135" s="271"/>
      <c r="AF135" s="271"/>
      <c r="AG135" s="271"/>
      <c r="AH135" s="271"/>
      <c r="AI135" s="271"/>
      <c r="AJ135" s="271"/>
      <c r="AK135" s="271"/>
      <c r="AL135" s="271"/>
      <c r="AM135" s="271"/>
      <c r="AN135" s="271"/>
      <c r="AO135" s="271"/>
      <c r="AP135" s="271"/>
      <c r="AQ135" s="271"/>
      <c r="AR135" s="271"/>
      <c r="AS135" s="271"/>
      <c r="AT135" s="271"/>
      <c r="AU135" s="271"/>
      <c r="AV135" s="271"/>
      <c r="AW135" s="271"/>
      <c r="AX135" s="271"/>
      <c r="AY135" s="271"/>
    </row>
    <row r="136" spans="1:51">
      <c r="A136" s="271"/>
      <c r="B136" s="271"/>
      <c r="F136" s="80">
        <f>+F135+F134</f>
        <v>305706</v>
      </c>
      <c r="G136" s="80">
        <f>+F136</f>
        <v>305706</v>
      </c>
      <c r="H136" s="6583"/>
      <c r="I136" s="80"/>
      <c r="J136" s="80"/>
      <c r="L136" s="80">
        <f>+L135+L134</f>
        <v>93326</v>
      </c>
      <c r="M136" s="80">
        <f>+L136</f>
        <v>93326</v>
      </c>
      <c r="N136" s="6585"/>
      <c r="O136" s="271"/>
      <c r="P136" s="271"/>
      <c r="Q136" s="271"/>
      <c r="R136" s="101">
        <f>+R132+R130</f>
        <v>3326773.9212000002</v>
      </c>
      <c r="S136" s="101">
        <f>+S132+S130</f>
        <v>949003.92</v>
      </c>
      <c r="T136" s="271"/>
      <c r="U136" s="271"/>
      <c r="V136" s="271"/>
      <c r="W136" s="271"/>
      <c r="X136" s="271"/>
      <c r="Y136" s="271"/>
      <c r="Z136" s="271"/>
      <c r="AA136" s="271"/>
      <c r="AB136" s="271"/>
      <c r="AC136" s="271"/>
      <c r="AD136" s="271"/>
      <c r="AE136" s="271"/>
      <c r="AF136" s="271"/>
      <c r="AG136" s="271"/>
      <c r="AH136" s="271"/>
      <c r="AI136" s="271"/>
      <c r="AJ136" s="271"/>
      <c r="AK136" s="271"/>
      <c r="AL136" s="271"/>
      <c r="AM136" s="271"/>
      <c r="AN136" s="271"/>
      <c r="AO136" s="271"/>
      <c r="AP136" s="271"/>
      <c r="AQ136" s="271"/>
      <c r="AR136" s="271"/>
      <c r="AS136" s="271"/>
      <c r="AT136" s="271"/>
      <c r="AU136" s="271"/>
      <c r="AV136" s="271"/>
      <c r="AW136" s="271"/>
      <c r="AX136" s="271"/>
      <c r="AY136" s="271"/>
    </row>
    <row r="137" spans="1:51">
      <c r="A137" s="271"/>
      <c r="B137" s="271"/>
      <c r="F137" s="80"/>
      <c r="G137" s="80"/>
      <c r="H137" s="6583"/>
      <c r="I137" s="80"/>
      <c r="J137" s="80"/>
      <c r="L137" s="80"/>
      <c r="M137" s="80"/>
      <c r="O137" s="271"/>
      <c r="P137" s="271"/>
      <c r="Q137" s="271"/>
      <c r="R137" s="6585">
        <f>+G138/R136-1</f>
        <v>1.0821017494033525E-2</v>
      </c>
      <c r="S137" s="6585">
        <f>+M138/S136-1</f>
        <v>8.176054741691674E-2</v>
      </c>
      <c r="T137" s="271"/>
      <c r="U137" s="271"/>
      <c r="V137" s="271"/>
      <c r="W137" s="271"/>
      <c r="X137" s="271"/>
      <c r="Y137" s="271"/>
      <c r="Z137" s="271"/>
      <c r="AA137" s="271"/>
      <c r="AB137" s="271"/>
      <c r="AC137" s="271"/>
      <c r="AD137" s="271"/>
      <c r="AE137" s="271"/>
      <c r="AF137" s="271"/>
      <c r="AG137" s="271"/>
      <c r="AH137" s="271"/>
      <c r="AI137" s="271"/>
      <c r="AJ137" s="271"/>
      <c r="AK137" s="271"/>
      <c r="AL137" s="271"/>
      <c r="AM137" s="271"/>
      <c r="AN137" s="271"/>
      <c r="AO137" s="271"/>
      <c r="AP137" s="271"/>
      <c r="AQ137" s="271"/>
      <c r="AR137" s="271"/>
      <c r="AS137" s="271"/>
      <c r="AT137" s="271"/>
      <c r="AU137" s="271"/>
      <c r="AV137" s="271"/>
      <c r="AW137" s="271"/>
      <c r="AX137" s="271"/>
      <c r="AY137" s="271"/>
    </row>
    <row r="138" spans="1:51">
      <c r="A138" s="271"/>
      <c r="B138" s="271"/>
      <c r="F138" s="80"/>
      <c r="G138" s="80">
        <f>+G117+G127+G131+G136</f>
        <v>3362773</v>
      </c>
      <c r="H138" s="6583"/>
      <c r="I138" s="80"/>
      <c r="J138" s="80"/>
      <c r="L138" s="80"/>
      <c r="M138" s="80">
        <f>+M117+M127+M131+M136</f>
        <v>1026595</v>
      </c>
      <c r="O138" s="271"/>
      <c r="P138" s="271"/>
      <c r="Q138" s="271"/>
      <c r="R138" s="271"/>
      <c r="S138" s="271"/>
      <c r="T138" s="271"/>
      <c r="U138" s="271"/>
      <c r="V138" s="271"/>
      <c r="W138" s="271"/>
      <c r="X138" s="271"/>
      <c r="Y138" s="271"/>
      <c r="Z138" s="271"/>
      <c r="AA138" s="271"/>
      <c r="AB138" s="271"/>
      <c r="AC138" s="271"/>
      <c r="AD138" s="271"/>
      <c r="AE138" s="271"/>
      <c r="AF138" s="271"/>
      <c r="AG138" s="271"/>
      <c r="AH138" s="271"/>
      <c r="AI138" s="271"/>
      <c r="AJ138" s="271"/>
      <c r="AK138" s="271"/>
      <c r="AL138" s="271"/>
      <c r="AM138" s="271"/>
      <c r="AN138" s="271"/>
      <c r="AO138" s="271"/>
      <c r="AP138" s="271"/>
      <c r="AQ138" s="271"/>
      <c r="AR138" s="271"/>
      <c r="AS138" s="271"/>
      <c r="AT138" s="271"/>
      <c r="AU138" s="271"/>
      <c r="AV138" s="271"/>
      <c r="AW138" s="271"/>
      <c r="AX138" s="271"/>
      <c r="AY138" s="271"/>
    </row>
    <row r="139" spans="1:51">
      <c r="A139" s="271"/>
      <c r="B139" s="271"/>
      <c r="F139" s="80"/>
      <c r="G139" s="80"/>
      <c r="H139" s="6583"/>
      <c r="I139" s="80"/>
      <c r="J139" s="80"/>
      <c r="O139" s="271"/>
      <c r="P139" s="271"/>
      <c r="Q139" s="271"/>
      <c r="R139" s="271"/>
      <c r="S139" s="271"/>
      <c r="T139" s="271"/>
      <c r="U139" s="271"/>
      <c r="V139" s="271"/>
      <c r="W139" s="271"/>
      <c r="X139" s="271"/>
      <c r="Y139" s="271"/>
      <c r="Z139" s="271"/>
      <c r="AA139" s="271"/>
      <c r="AB139" s="271"/>
      <c r="AC139" s="271"/>
      <c r="AD139" s="271"/>
      <c r="AE139" s="271"/>
      <c r="AF139" s="271"/>
      <c r="AG139" s="271"/>
      <c r="AH139" s="271"/>
      <c r="AI139" s="271"/>
      <c r="AJ139" s="271"/>
      <c r="AK139" s="271"/>
      <c r="AL139" s="271"/>
      <c r="AM139" s="271"/>
      <c r="AN139" s="271"/>
      <c r="AO139" s="271"/>
      <c r="AP139" s="271"/>
      <c r="AQ139" s="271"/>
      <c r="AR139" s="271"/>
      <c r="AS139" s="271"/>
      <c r="AT139" s="271"/>
      <c r="AU139" s="271"/>
      <c r="AV139" s="271"/>
      <c r="AW139" s="271"/>
      <c r="AX139" s="271"/>
      <c r="AY139" s="271"/>
    </row>
    <row r="140" spans="1:51">
      <c r="A140" s="271"/>
      <c r="B140" s="271"/>
      <c r="F140" s="80"/>
      <c r="G140" s="80"/>
      <c r="H140" s="80"/>
      <c r="I140" s="80"/>
      <c r="J140" s="80"/>
      <c r="O140" s="271"/>
      <c r="P140" s="271"/>
      <c r="Q140" s="271"/>
      <c r="R140" s="271"/>
      <c r="S140" s="271"/>
      <c r="T140" s="271"/>
      <c r="U140" s="271"/>
      <c r="V140" s="271"/>
      <c r="W140" s="271"/>
      <c r="X140" s="271"/>
      <c r="Y140" s="271"/>
      <c r="Z140" s="271"/>
      <c r="AA140" s="271"/>
      <c r="AB140" s="271"/>
      <c r="AC140" s="271"/>
      <c r="AD140" s="271"/>
      <c r="AE140" s="271"/>
      <c r="AF140" s="271"/>
      <c r="AG140" s="271"/>
      <c r="AH140" s="271"/>
      <c r="AI140" s="271"/>
      <c r="AJ140" s="271"/>
      <c r="AK140" s="271"/>
      <c r="AL140" s="271"/>
      <c r="AM140" s="271"/>
      <c r="AN140" s="271"/>
      <c r="AO140" s="271"/>
      <c r="AP140" s="271"/>
      <c r="AQ140" s="271"/>
      <c r="AR140" s="271"/>
      <c r="AS140" s="271"/>
      <c r="AT140" s="271"/>
      <c r="AU140" s="271"/>
      <c r="AV140" s="271"/>
      <c r="AW140" s="271"/>
      <c r="AX140" s="271"/>
      <c r="AY140" s="271"/>
    </row>
    <row r="141" spans="1:51">
      <c r="A141" s="271"/>
      <c r="B141" s="271"/>
      <c r="F141" s="80"/>
      <c r="G141" s="80"/>
      <c r="H141" s="80"/>
      <c r="I141" s="80"/>
      <c r="J141" s="80"/>
      <c r="O141" s="271"/>
      <c r="P141" s="271"/>
      <c r="Q141" s="271"/>
      <c r="R141" s="271"/>
      <c r="S141" s="271"/>
      <c r="T141" s="271"/>
      <c r="U141" s="271"/>
      <c r="V141" s="271"/>
      <c r="W141" s="271"/>
      <c r="X141" s="271"/>
      <c r="Y141" s="271"/>
      <c r="Z141" s="271"/>
      <c r="AA141" s="271"/>
      <c r="AB141" s="271"/>
      <c r="AC141" s="271"/>
      <c r="AD141" s="271"/>
      <c r="AE141" s="271"/>
      <c r="AF141" s="271"/>
      <c r="AG141" s="271"/>
      <c r="AH141" s="271"/>
      <c r="AI141" s="271"/>
      <c r="AJ141" s="271"/>
      <c r="AK141" s="271"/>
      <c r="AL141" s="271"/>
      <c r="AM141" s="271"/>
      <c r="AN141" s="271"/>
      <c r="AO141" s="271"/>
      <c r="AP141" s="271"/>
      <c r="AQ141" s="271"/>
      <c r="AR141" s="271"/>
      <c r="AS141" s="271"/>
      <c r="AT141" s="271"/>
      <c r="AU141" s="271"/>
      <c r="AV141" s="271"/>
      <c r="AW141" s="271"/>
      <c r="AX141" s="271"/>
      <c r="AY141" s="271"/>
    </row>
    <row r="142" spans="1:51">
      <c r="A142" s="271"/>
      <c r="B142" s="271"/>
      <c r="F142" s="80"/>
      <c r="G142" s="80"/>
      <c r="H142" s="80"/>
      <c r="I142" s="80"/>
      <c r="J142" s="80"/>
      <c r="O142" s="271"/>
      <c r="P142" s="271"/>
      <c r="Q142" s="271"/>
      <c r="R142" s="271"/>
      <c r="S142" s="271"/>
      <c r="T142" s="271"/>
      <c r="U142" s="271"/>
      <c r="V142" s="271"/>
      <c r="W142" s="271"/>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row>
    <row r="143" spans="1:51">
      <c r="A143" s="271"/>
      <c r="B143" s="271"/>
      <c r="F143" s="80"/>
      <c r="G143" s="80"/>
      <c r="H143" s="80"/>
      <c r="I143" s="80"/>
      <c r="J143" s="80"/>
      <c r="O143" s="271"/>
      <c r="P143" s="271"/>
      <c r="Q143" s="271"/>
      <c r="R143" s="271"/>
      <c r="S143" s="271"/>
      <c r="T143" s="271"/>
      <c r="U143" s="271"/>
      <c r="V143" s="271"/>
      <c r="W143" s="271"/>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row>
    <row r="144" spans="1:51">
      <c r="A144" s="271"/>
      <c r="B144" s="271"/>
      <c r="F144" s="80"/>
      <c r="G144" s="80"/>
      <c r="H144" s="80"/>
      <c r="I144" s="80"/>
      <c r="J144" s="80"/>
      <c r="O144" s="271"/>
      <c r="P144" s="271"/>
      <c r="Q144" s="271"/>
      <c r="R144" s="271"/>
      <c r="S144" s="271"/>
      <c r="T144" s="271"/>
      <c r="U144" s="271"/>
      <c r="V144" s="271"/>
      <c r="W144" s="271"/>
      <c r="X144" s="271"/>
      <c r="Y144" s="271"/>
      <c r="Z144" s="271"/>
      <c r="AA144" s="271"/>
      <c r="AB144" s="271"/>
      <c r="AC144" s="271"/>
      <c r="AD144" s="271"/>
      <c r="AE144" s="271"/>
      <c r="AF144" s="271"/>
      <c r="AG144" s="271"/>
      <c r="AH144" s="271"/>
      <c r="AI144" s="271"/>
      <c r="AJ144" s="271"/>
      <c r="AK144" s="271"/>
      <c r="AL144" s="271"/>
      <c r="AM144" s="271"/>
      <c r="AN144" s="271"/>
      <c r="AO144" s="271"/>
      <c r="AP144" s="271"/>
      <c r="AQ144" s="271"/>
      <c r="AR144" s="271"/>
      <c r="AS144" s="271"/>
      <c r="AT144" s="271"/>
      <c r="AU144" s="271"/>
      <c r="AV144" s="271"/>
      <c r="AW144" s="271"/>
      <c r="AX144" s="271"/>
      <c r="AY144" s="271"/>
    </row>
    <row r="145" spans="1:51">
      <c r="A145" s="271"/>
      <c r="B145" s="271"/>
      <c r="O145" s="271"/>
      <c r="P145" s="271"/>
      <c r="Q145" s="271"/>
      <c r="R145" s="271"/>
      <c r="S145" s="271"/>
      <c r="T145" s="271"/>
      <c r="U145" s="271"/>
      <c r="V145" s="271"/>
      <c r="W145" s="271"/>
      <c r="X145" s="271"/>
      <c r="Y145" s="271"/>
      <c r="Z145" s="271"/>
      <c r="AA145" s="271"/>
      <c r="AB145" s="271"/>
      <c r="AC145" s="271"/>
      <c r="AD145" s="271"/>
      <c r="AE145" s="271"/>
      <c r="AF145" s="271"/>
      <c r="AG145" s="271"/>
      <c r="AH145" s="271"/>
      <c r="AI145" s="271"/>
      <c r="AJ145" s="271"/>
      <c r="AK145" s="271"/>
      <c r="AL145" s="271"/>
      <c r="AM145" s="271"/>
      <c r="AN145" s="271"/>
      <c r="AO145" s="271"/>
      <c r="AP145" s="271"/>
      <c r="AQ145" s="271"/>
      <c r="AR145" s="271"/>
      <c r="AS145" s="271"/>
      <c r="AT145" s="271"/>
      <c r="AU145" s="271"/>
      <c r="AV145" s="271"/>
      <c r="AW145" s="271"/>
      <c r="AX145" s="271"/>
      <c r="AY145" s="271"/>
    </row>
    <row r="146" spans="1:51">
      <c r="A146" s="271"/>
      <c r="B146" s="271"/>
      <c r="O146" s="271"/>
      <c r="P146" s="271"/>
      <c r="Q146" s="271"/>
      <c r="R146" s="271"/>
      <c r="S146" s="271"/>
      <c r="T146" s="271"/>
      <c r="U146" s="271"/>
      <c r="V146" s="271"/>
      <c r="W146" s="271"/>
      <c r="X146" s="271"/>
      <c r="Y146" s="271"/>
      <c r="Z146" s="271"/>
      <c r="AA146" s="271"/>
      <c r="AB146" s="271"/>
      <c r="AC146" s="271"/>
      <c r="AD146" s="271"/>
      <c r="AE146" s="271"/>
      <c r="AF146" s="271"/>
      <c r="AG146" s="271"/>
      <c r="AH146" s="271"/>
      <c r="AI146" s="271"/>
      <c r="AJ146" s="271"/>
      <c r="AK146" s="271"/>
      <c r="AL146" s="271"/>
      <c r="AM146" s="271"/>
      <c r="AN146" s="271"/>
      <c r="AO146" s="271"/>
      <c r="AP146" s="271"/>
      <c r="AQ146" s="271"/>
      <c r="AR146" s="271"/>
      <c r="AS146" s="271"/>
      <c r="AT146" s="271"/>
      <c r="AU146" s="271"/>
      <c r="AV146" s="271"/>
      <c r="AW146" s="271"/>
      <c r="AX146" s="271"/>
      <c r="AY146" s="271"/>
    </row>
    <row r="147" spans="1:51">
      <c r="A147" s="271"/>
      <c r="B147" s="271"/>
      <c r="O147" s="271"/>
      <c r="P147" s="271"/>
      <c r="Q147" s="271"/>
      <c r="R147" s="271"/>
      <c r="S147" s="271"/>
      <c r="T147" s="271"/>
      <c r="U147" s="271"/>
      <c r="V147" s="271"/>
      <c r="W147" s="271"/>
      <c r="X147" s="271"/>
      <c r="Y147" s="271"/>
      <c r="Z147" s="271"/>
      <c r="AA147" s="271"/>
      <c r="AB147" s="271"/>
      <c r="AC147" s="271"/>
      <c r="AD147" s="271"/>
      <c r="AE147" s="271"/>
      <c r="AF147" s="271"/>
      <c r="AG147" s="271"/>
      <c r="AH147" s="271"/>
      <c r="AI147" s="271"/>
      <c r="AJ147" s="271"/>
      <c r="AK147" s="271"/>
      <c r="AL147" s="271"/>
      <c r="AM147" s="271"/>
      <c r="AN147" s="271"/>
      <c r="AO147" s="271"/>
      <c r="AP147" s="271"/>
      <c r="AQ147" s="271"/>
      <c r="AR147" s="271"/>
      <c r="AS147" s="271"/>
      <c r="AT147" s="271"/>
      <c r="AU147" s="271"/>
      <c r="AV147" s="271"/>
      <c r="AW147" s="271"/>
      <c r="AX147" s="271"/>
      <c r="AY147" s="271"/>
    </row>
    <row r="148" spans="1:51">
      <c r="A148" s="271"/>
      <c r="B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row>
    <row r="149" spans="1:51">
      <c r="A149" s="271"/>
      <c r="B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row>
    <row r="150" spans="1:51">
      <c r="A150" s="271"/>
      <c r="B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row>
    <row r="151" spans="1:51">
      <c r="A151" s="271"/>
      <c r="B151" s="271"/>
      <c r="O151" s="271"/>
      <c r="P151" s="271"/>
      <c r="Q151" s="271"/>
      <c r="R151" s="271"/>
      <c r="S151" s="271"/>
      <c r="T151" s="271"/>
      <c r="U151" s="271"/>
      <c r="V151" s="271"/>
      <c r="W151" s="271"/>
      <c r="X151" s="271"/>
      <c r="Y151" s="271"/>
      <c r="Z151" s="271"/>
      <c r="AA151" s="271"/>
      <c r="AB151" s="271"/>
      <c r="AC151" s="271"/>
      <c r="AD151" s="271"/>
      <c r="AE151" s="271"/>
      <c r="AF151" s="271"/>
      <c r="AG151" s="271"/>
      <c r="AH151" s="271"/>
      <c r="AI151" s="271"/>
      <c r="AJ151" s="271"/>
      <c r="AK151" s="271"/>
      <c r="AL151" s="271"/>
      <c r="AM151" s="271"/>
      <c r="AN151" s="271"/>
      <c r="AO151" s="271"/>
      <c r="AP151" s="271"/>
      <c r="AQ151" s="271"/>
      <c r="AR151" s="271"/>
      <c r="AS151" s="271"/>
      <c r="AT151" s="271"/>
      <c r="AU151" s="271"/>
      <c r="AV151" s="271"/>
      <c r="AW151" s="271"/>
      <c r="AX151" s="271"/>
      <c r="AY151" s="271"/>
    </row>
    <row r="152" spans="1:51">
      <c r="A152" s="271"/>
      <c r="B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row>
    <row r="153" spans="1:51">
      <c r="A153" s="271"/>
      <c r="B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row>
    <row r="154" spans="1:51">
      <c r="A154" s="271"/>
      <c r="B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row>
    <row r="155" spans="1:51">
      <c r="A155" s="271"/>
      <c r="B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row>
    <row r="156" spans="1:51">
      <c r="A156" s="271"/>
      <c r="B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row>
    <row r="157" spans="1:51">
      <c r="A157" s="271"/>
      <c r="B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row>
    <row r="158" spans="1:51">
      <c r="A158" s="271"/>
      <c r="B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row>
    <row r="159" spans="1:51">
      <c r="A159" s="271"/>
      <c r="B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row>
  </sheetData>
  <sheetProtection password="C665" sheet="1" objects="1" scenarios="1" selectLockedCells="1" selectUnlockedCells="1"/>
  <sortState ref="B88:J94">
    <sortCondition ref="B18:B24"/>
  </sortState>
  <mergeCells count="68">
    <mergeCell ref="J22:J23"/>
    <mergeCell ref="F67:F68"/>
    <mergeCell ref="G67:G68"/>
    <mergeCell ref="H67:H68"/>
    <mergeCell ref="I67:I68"/>
    <mergeCell ref="J67:J68"/>
    <mergeCell ref="F22:F23"/>
    <mergeCell ref="G22:G23"/>
    <mergeCell ref="H22:H23"/>
    <mergeCell ref="I22:I23"/>
    <mergeCell ref="P12:P54"/>
    <mergeCell ref="P57:P84"/>
    <mergeCell ref="P98:P109"/>
    <mergeCell ref="O12:O54"/>
    <mergeCell ref="O57:O84"/>
    <mergeCell ref="O98:O109"/>
    <mergeCell ref="R98:U99"/>
    <mergeCell ref="R100:U100"/>
    <mergeCell ref="R104:U105"/>
    <mergeCell ref="R106:U106"/>
    <mergeCell ref="R67:U67"/>
    <mergeCell ref="R68:U68"/>
    <mergeCell ref="R69:U69"/>
    <mergeCell ref="R73:U73"/>
    <mergeCell ref="R79:U79"/>
    <mergeCell ref="R80:U80"/>
    <mergeCell ref="R81:U81"/>
    <mergeCell ref="R74:U74"/>
    <mergeCell ref="R75:U75"/>
    <mergeCell ref="R63:U63"/>
    <mergeCell ref="R37:U37"/>
    <mergeCell ref="R39:U39"/>
    <mergeCell ref="R43:U43"/>
    <mergeCell ref="R45:U45"/>
    <mergeCell ref="R49:U49"/>
    <mergeCell ref="R51:U51"/>
    <mergeCell ref="R57:U57"/>
    <mergeCell ref="R58:U58"/>
    <mergeCell ref="R62:U62"/>
    <mergeCell ref="R38:U38"/>
    <mergeCell ref="R44:U44"/>
    <mergeCell ref="R50:U50"/>
    <mergeCell ref="Q12:Q18"/>
    <mergeCell ref="Q19:Q24"/>
    <mergeCell ref="Q25:Q30"/>
    <mergeCell ref="Q31:Q36"/>
    <mergeCell ref="R33:U33"/>
    <mergeCell ref="R12:U12"/>
    <mergeCell ref="R14:U14"/>
    <mergeCell ref="R15:U15"/>
    <mergeCell ref="R19:U19"/>
    <mergeCell ref="R20:U20"/>
    <mergeCell ref="R21:U21"/>
    <mergeCell ref="R25:U25"/>
    <mergeCell ref="R26:U26"/>
    <mergeCell ref="R27:U27"/>
    <mergeCell ref="R31:U31"/>
    <mergeCell ref="R32:U32"/>
    <mergeCell ref="AC46:AE46"/>
    <mergeCell ref="AH46:AJ46"/>
    <mergeCell ref="Q37:Q42"/>
    <mergeCell ref="Q43:Q48"/>
    <mergeCell ref="Q49:Q54"/>
    <mergeCell ref="AC8:AE8"/>
    <mergeCell ref="AH8:AJ8"/>
    <mergeCell ref="AM8:AO8"/>
    <mergeCell ref="AC28:AE28"/>
    <mergeCell ref="AH28:AJ28"/>
  </mergeCells>
  <hyperlinks>
    <hyperlink ref="AQ37" r:id="rId1" tooltip="Granite" display="http://en.wikipedia.org/wiki/Granite"/>
  </hyperlinks>
  <pageMargins left="0.7" right="0.7" top="0.75" bottom="0.75" header="0.3" footer="0.3"/>
  <pageSetup orientation="portrait" r:id="rId2"/>
  <ignoredErrors>
    <ignoredError sqref="J49" formula="1"/>
  </ignoredErrors>
</worksheet>
</file>

<file path=xl/worksheets/sheet2.xml><?xml version="1.0" encoding="utf-8"?>
<worksheet xmlns="http://schemas.openxmlformats.org/spreadsheetml/2006/main" xmlns:r="http://schemas.openxmlformats.org/officeDocument/2006/relationships">
  <sheetPr>
    <tabColor rgb="FFFFFFD5"/>
  </sheetPr>
  <dimension ref="A1:AF609"/>
  <sheetViews>
    <sheetView zoomScale="80" zoomScaleNormal="80" workbookViewId="0">
      <selection activeCell="F21" sqref="F21:U24"/>
    </sheetView>
  </sheetViews>
  <sheetFormatPr defaultColWidth="0" defaultRowHeight="12.75" zeroHeight="1"/>
  <cols>
    <col min="1" max="1" width="2.85546875" style="5132" customWidth="1"/>
    <col min="2" max="2" width="40.7109375" style="5132" customWidth="1"/>
    <col min="3" max="4" width="2.85546875" customWidth="1"/>
    <col min="5" max="5" width="4.5703125" customWidth="1"/>
    <col min="6" max="6" width="3.28515625" customWidth="1"/>
    <col min="7" max="7" width="4.28515625" customWidth="1"/>
    <col min="8" max="9" width="3.85546875" customWidth="1"/>
    <col min="10" max="11" width="9.140625" style="271" customWidth="1"/>
    <col min="12" max="14" width="9.140625" customWidth="1"/>
    <col min="15" max="15" width="9.140625" style="271" customWidth="1"/>
    <col min="16" max="16" width="9.140625" customWidth="1"/>
    <col min="17" max="17" width="3.140625" customWidth="1"/>
    <col min="18" max="18" width="13.5703125" customWidth="1"/>
    <col min="19" max="19" width="6.85546875" style="271" customWidth="1"/>
    <col min="20" max="20" width="4.28515625" style="271" customWidth="1"/>
    <col min="21" max="22" width="3" customWidth="1"/>
    <col min="23" max="31" width="40.7109375" style="5132" customWidth="1"/>
    <col min="32" max="32" width="0" hidden="1" customWidth="1"/>
    <col min="33" max="16384" width="9.140625" hidden="1"/>
  </cols>
  <sheetData>
    <row r="1" spans="1:31" s="5132" customFormat="1" ht="19.5" customHeight="1"/>
    <row r="2" spans="1:31" s="5132" customFormat="1" ht="19.5" customHeight="1"/>
    <row r="3" spans="1:31" s="271" customFormat="1">
      <c r="A3" s="5132"/>
      <c r="B3" s="5132"/>
      <c r="C3" s="8754" t="s">
        <v>2862</v>
      </c>
      <c r="D3" s="5133"/>
      <c r="E3" s="5133"/>
      <c r="F3" s="5133"/>
      <c r="G3" s="5133"/>
      <c r="H3" s="5133"/>
      <c r="I3" s="5133"/>
      <c r="J3" s="5133"/>
      <c r="K3" s="5133"/>
      <c r="L3" s="5133"/>
      <c r="M3" s="5133"/>
      <c r="N3" s="5133"/>
      <c r="O3" s="5133"/>
      <c r="P3" s="5133"/>
      <c r="Q3" s="5133"/>
      <c r="R3" s="5133"/>
      <c r="S3" s="5133"/>
      <c r="T3" s="5133"/>
      <c r="U3" s="5133"/>
      <c r="V3" s="5133"/>
      <c r="W3" s="5132"/>
      <c r="X3" s="5132"/>
      <c r="Y3" s="5132"/>
      <c r="Z3" s="5132"/>
      <c r="AA3" s="5132"/>
      <c r="AB3" s="5132"/>
      <c r="AC3" s="5132"/>
      <c r="AD3" s="5132"/>
      <c r="AE3" s="5132"/>
    </row>
    <row r="4" spans="1:31" s="271" customFormat="1">
      <c r="A4" s="5132"/>
      <c r="B4" s="5132"/>
      <c r="C4" s="5132"/>
      <c r="D4" s="5133"/>
      <c r="E4" s="5133"/>
      <c r="F4" s="5133"/>
      <c r="G4" s="5133"/>
      <c r="H4" s="5133"/>
      <c r="I4" s="5133"/>
      <c r="J4" s="5133"/>
      <c r="K4" s="5133"/>
      <c r="L4" s="5133"/>
      <c r="M4" s="5133"/>
      <c r="N4" s="5133"/>
      <c r="O4" s="5133"/>
      <c r="P4" s="5133"/>
      <c r="Q4" s="5133"/>
      <c r="R4" s="5133"/>
      <c r="S4" s="5133"/>
      <c r="T4" s="5133"/>
      <c r="U4" s="5133"/>
      <c r="V4" s="5133"/>
      <c r="W4" s="5132"/>
      <c r="X4" s="5132"/>
      <c r="Y4" s="5132"/>
      <c r="Z4" s="5132"/>
      <c r="AA4" s="5132"/>
      <c r="AB4" s="5132"/>
      <c r="AC4" s="5132"/>
      <c r="AD4" s="5132"/>
      <c r="AE4" s="5132"/>
    </row>
    <row r="5" spans="1:31" s="271" customFormat="1" ht="12.75" customHeight="1">
      <c r="A5" s="5132"/>
      <c r="B5" s="5132"/>
      <c r="C5" s="5132"/>
      <c r="D5" s="5133"/>
      <c r="E5" s="5133"/>
      <c r="F5" s="8813" t="s">
        <v>2873</v>
      </c>
      <c r="G5" s="8813"/>
      <c r="H5" s="8813"/>
      <c r="I5" s="8813"/>
      <c r="J5" s="8813"/>
      <c r="K5" s="8813"/>
      <c r="L5" s="8813"/>
      <c r="M5" s="8813"/>
      <c r="N5" s="8813"/>
      <c r="O5" s="8813"/>
      <c r="P5" s="8813"/>
      <c r="Q5" s="8813"/>
      <c r="R5" s="8813"/>
      <c r="S5" s="8756"/>
      <c r="T5" s="8756"/>
      <c r="U5" s="5133"/>
      <c r="V5" s="5133"/>
      <c r="W5" s="5132"/>
      <c r="X5" s="5132"/>
      <c r="Y5" s="5132"/>
      <c r="Z5" s="5132"/>
      <c r="AA5" s="5132"/>
      <c r="AB5" s="5132"/>
      <c r="AC5" s="5132"/>
      <c r="AD5" s="5132"/>
      <c r="AE5" s="5132"/>
    </row>
    <row r="6" spans="1:31">
      <c r="C6" s="5132"/>
      <c r="D6" s="5133"/>
      <c r="E6" s="5133"/>
      <c r="F6" s="5133"/>
      <c r="G6" s="5133"/>
      <c r="H6" s="5133"/>
      <c r="I6" s="5133"/>
      <c r="J6" s="5133"/>
      <c r="K6" s="5133"/>
      <c r="L6" s="5133"/>
      <c r="M6" s="5133"/>
      <c r="N6" s="5133"/>
      <c r="O6" s="5133"/>
      <c r="P6" s="5133"/>
      <c r="Q6" s="5133"/>
      <c r="R6" s="5133"/>
      <c r="S6" s="5133"/>
      <c r="T6" s="5133"/>
      <c r="U6" s="5133"/>
      <c r="V6" s="5133"/>
    </row>
    <row r="7" spans="1:31" s="271" customFormat="1">
      <c r="A7" s="5132"/>
      <c r="B7" s="5132"/>
      <c r="C7" s="5132"/>
      <c r="D7" s="5133"/>
      <c r="E7" s="5133"/>
      <c r="F7" s="8814" t="s">
        <v>2874</v>
      </c>
      <c r="G7" s="8814"/>
      <c r="H7" s="8814"/>
      <c r="I7" s="8814"/>
      <c r="J7" s="8814"/>
      <c r="K7" s="8814"/>
      <c r="L7" s="8814"/>
      <c r="M7" s="8814"/>
      <c r="N7" s="8814"/>
      <c r="O7" s="8814"/>
      <c r="P7" s="8814"/>
      <c r="Q7" s="8814"/>
      <c r="R7" s="8814"/>
      <c r="S7" s="8814"/>
      <c r="T7" s="8814"/>
      <c r="U7" s="8814"/>
      <c r="V7" s="5133"/>
      <c r="W7" s="5132"/>
      <c r="X7" s="5132"/>
      <c r="Y7" s="5132"/>
      <c r="Z7" s="5132"/>
      <c r="AA7" s="5132"/>
      <c r="AB7" s="5132"/>
      <c r="AC7" s="5132"/>
      <c r="AD7" s="5132"/>
      <c r="AE7" s="5132"/>
    </row>
    <row r="8" spans="1:31" s="271" customFormat="1">
      <c r="A8" s="5132"/>
      <c r="B8" s="5132"/>
      <c r="C8" s="5132"/>
      <c r="D8" s="5133"/>
      <c r="E8" s="5133"/>
      <c r="F8" s="8814"/>
      <c r="G8" s="8814"/>
      <c r="H8" s="8814"/>
      <c r="I8" s="8814"/>
      <c r="J8" s="8814"/>
      <c r="K8" s="8814"/>
      <c r="L8" s="8814"/>
      <c r="M8" s="8814"/>
      <c r="N8" s="8814"/>
      <c r="O8" s="8814"/>
      <c r="P8" s="8814"/>
      <c r="Q8" s="8814"/>
      <c r="R8" s="8814"/>
      <c r="S8" s="8814"/>
      <c r="T8" s="8814"/>
      <c r="U8" s="8814"/>
      <c r="V8" s="5133"/>
      <c r="W8" s="5132"/>
      <c r="X8" s="5132"/>
      <c r="Y8" s="5132"/>
      <c r="Z8" s="5132"/>
      <c r="AA8" s="5132"/>
      <c r="AB8" s="5132"/>
      <c r="AC8" s="5132"/>
      <c r="AD8" s="5132"/>
      <c r="AE8" s="5132"/>
    </row>
    <row r="9" spans="1:31" s="271" customFormat="1">
      <c r="A9" s="5132"/>
      <c r="B9" s="5132"/>
      <c r="C9" s="5132"/>
      <c r="D9" s="5133"/>
      <c r="E9" s="5133"/>
      <c r="F9" s="8814"/>
      <c r="G9" s="8814"/>
      <c r="H9" s="8814"/>
      <c r="I9" s="8814"/>
      <c r="J9" s="8814"/>
      <c r="K9" s="8814"/>
      <c r="L9" s="8814"/>
      <c r="M9" s="8814"/>
      <c r="N9" s="8814"/>
      <c r="O9" s="8814"/>
      <c r="P9" s="8814"/>
      <c r="Q9" s="8814"/>
      <c r="R9" s="8814"/>
      <c r="S9" s="8814"/>
      <c r="T9" s="8814"/>
      <c r="U9" s="8814"/>
      <c r="V9" s="5133"/>
      <c r="W9" s="5132"/>
      <c r="X9" s="5132"/>
      <c r="Y9" s="5132"/>
      <c r="Z9" s="5132"/>
      <c r="AA9" s="5132"/>
      <c r="AB9" s="5132"/>
      <c r="AC9" s="5132"/>
      <c r="AD9" s="5132"/>
      <c r="AE9" s="5132"/>
    </row>
    <row r="10" spans="1:31" s="271" customFormat="1">
      <c r="A10" s="5132"/>
      <c r="B10" s="5132"/>
      <c r="C10" s="5132"/>
      <c r="D10" s="5133"/>
      <c r="E10" s="5133"/>
      <c r="F10" s="8814"/>
      <c r="G10" s="8814"/>
      <c r="H10" s="8814"/>
      <c r="I10" s="8814"/>
      <c r="J10" s="8814"/>
      <c r="K10" s="8814"/>
      <c r="L10" s="8814"/>
      <c r="M10" s="8814"/>
      <c r="N10" s="8814"/>
      <c r="O10" s="8814"/>
      <c r="P10" s="8814"/>
      <c r="Q10" s="8814"/>
      <c r="R10" s="8814"/>
      <c r="S10" s="8814"/>
      <c r="T10" s="8814"/>
      <c r="U10" s="8814"/>
      <c r="V10" s="5133"/>
      <c r="W10" s="5132"/>
      <c r="X10" s="5132"/>
      <c r="Y10" s="5132"/>
      <c r="Z10" s="5132"/>
      <c r="AA10" s="5132"/>
      <c r="AB10" s="5132"/>
      <c r="AC10" s="5132"/>
      <c r="AD10" s="5132"/>
      <c r="AE10" s="5132"/>
    </row>
    <row r="11" spans="1:31" s="271" customFormat="1">
      <c r="A11" s="5132"/>
      <c r="B11" s="5132"/>
      <c r="C11" s="5132"/>
      <c r="D11" s="5133"/>
      <c r="E11" s="5133"/>
      <c r="F11" s="8791" t="s">
        <v>2877</v>
      </c>
      <c r="G11" s="5133"/>
      <c r="H11" s="5133"/>
      <c r="I11" s="5133"/>
      <c r="J11" s="5133"/>
      <c r="K11" s="5133"/>
      <c r="L11" s="5133"/>
      <c r="M11" s="5133"/>
      <c r="N11" s="5133"/>
      <c r="O11" s="5133"/>
      <c r="P11" s="5133"/>
      <c r="Q11" s="5133"/>
      <c r="R11" s="5133"/>
      <c r="S11" s="5133"/>
      <c r="T11" s="5133"/>
      <c r="U11" s="5133"/>
      <c r="V11" s="5133"/>
      <c r="W11" s="5132"/>
      <c r="X11" s="5132"/>
      <c r="Y11" s="5132"/>
      <c r="Z11" s="5132"/>
      <c r="AA11" s="5132"/>
      <c r="AB11" s="5132"/>
      <c r="AC11" s="5132"/>
      <c r="AD11" s="5132"/>
      <c r="AE11" s="5132"/>
    </row>
    <row r="12" spans="1:31" s="271" customFormat="1" ht="12.75" customHeight="1">
      <c r="A12" s="5132"/>
      <c r="B12" s="5132"/>
      <c r="C12" s="5132"/>
      <c r="D12" s="5133"/>
      <c r="E12" s="5133"/>
      <c r="F12" s="8791"/>
      <c r="G12" s="5133"/>
      <c r="H12" s="5133"/>
      <c r="I12" s="5133"/>
      <c r="J12" s="5133"/>
      <c r="K12" s="5133"/>
      <c r="L12" s="5133"/>
      <c r="M12" s="5133"/>
      <c r="N12" s="5133"/>
      <c r="O12" s="5133"/>
      <c r="P12" s="5133"/>
      <c r="Q12" s="5133"/>
      <c r="R12" s="5133"/>
      <c r="S12" s="5133"/>
      <c r="T12" s="5133"/>
      <c r="U12" s="5133"/>
      <c r="V12" s="5133"/>
      <c r="W12" s="5132"/>
      <c r="X12" s="5132"/>
      <c r="Y12" s="5132"/>
      <c r="Z12" s="5132"/>
      <c r="AA12" s="5132"/>
      <c r="AB12" s="5132"/>
      <c r="AC12" s="5132"/>
      <c r="AD12" s="5132"/>
      <c r="AE12" s="5132"/>
    </row>
    <row r="13" spans="1:31" s="271" customFormat="1">
      <c r="A13" s="5132"/>
      <c r="B13" s="5132"/>
      <c r="C13" s="5132"/>
      <c r="D13" s="5133"/>
      <c r="E13" s="5133"/>
      <c r="F13" s="8815" t="s">
        <v>2878</v>
      </c>
      <c r="G13" s="8815"/>
      <c r="H13" s="8815"/>
      <c r="I13" s="8815"/>
      <c r="J13" s="8815"/>
      <c r="K13" s="8815"/>
      <c r="L13" s="8815"/>
      <c r="M13" s="8815"/>
      <c r="N13" s="8815"/>
      <c r="O13" s="8815"/>
      <c r="P13" s="8815"/>
      <c r="Q13" s="8815"/>
      <c r="R13" s="8815"/>
      <c r="S13" s="8815"/>
      <c r="T13" s="8815"/>
      <c r="U13" s="8815"/>
      <c r="V13" s="5133"/>
      <c r="W13" s="5132"/>
      <c r="X13" s="5132"/>
      <c r="Y13" s="5132"/>
      <c r="Z13" s="5132"/>
      <c r="AA13" s="5132"/>
      <c r="AB13" s="5132"/>
      <c r="AC13" s="5132"/>
      <c r="AD13" s="5132"/>
      <c r="AE13" s="5132"/>
    </row>
    <row r="14" spans="1:31" s="271" customFormat="1">
      <c r="A14" s="5132"/>
      <c r="B14" s="5132"/>
      <c r="C14" s="5132"/>
      <c r="D14" s="5133"/>
      <c r="E14" s="5133"/>
      <c r="F14" s="8815"/>
      <c r="G14" s="8815"/>
      <c r="H14" s="8815"/>
      <c r="I14" s="8815"/>
      <c r="J14" s="8815"/>
      <c r="K14" s="8815"/>
      <c r="L14" s="8815"/>
      <c r="M14" s="8815"/>
      <c r="N14" s="8815"/>
      <c r="O14" s="8815"/>
      <c r="P14" s="8815"/>
      <c r="Q14" s="8815"/>
      <c r="R14" s="8815"/>
      <c r="S14" s="8815"/>
      <c r="T14" s="8815"/>
      <c r="U14" s="8815"/>
      <c r="V14" s="5133"/>
      <c r="W14" s="5132"/>
      <c r="X14" s="5132"/>
      <c r="Y14" s="5132"/>
      <c r="Z14" s="5132"/>
      <c r="AA14" s="5132"/>
      <c r="AB14" s="5132"/>
      <c r="AC14" s="5132"/>
      <c r="AD14" s="5132"/>
      <c r="AE14" s="5132"/>
    </row>
    <row r="15" spans="1:31" s="271" customFormat="1">
      <c r="A15" s="5132"/>
      <c r="B15" s="5132"/>
      <c r="C15" s="5132"/>
      <c r="D15" s="5133"/>
      <c r="E15" s="5133"/>
      <c r="F15" s="8815"/>
      <c r="G15" s="8815"/>
      <c r="H15" s="8815"/>
      <c r="I15" s="8815"/>
      <c r="J15" s="8815"/>
      <c r="K15" s="8815"/>
      <c r="L15" s="8815"/>
      <c r="M15" s="8815"/>
      <c r="N15" s="8815"/>
      <c r="O15" s="8815"/>
      <c r="P15" s="8815"/>
      <c r="Q15" s="8815"/>
      <c r="R15" s="8815"/>
      <c r="S15" s="8815"/>
      <c r="T15" s="8815"/>
      <c r="U15" s="8815"/>
      <c r="V15" s="5133"/>
      <c r="W15" s="5132"/>
      <c r="X15" s="5132"/>
      <c r="Y15" s="5132"/>
      <c r="Z15" s="5132"/>
      <c r="AA15" s="5132"/>
      <c r="AB15" s="5132"/>
      <c r="AC15" s="5132"/>
      <c r="AD15" s="5132"/>
      <c r="AE15" s="5132"/>
    </row>
    <row r="16" spans="1:31" s="271" customFormat="1">
      <c r="A16" s="5132"/>
      <c r="B16" s="5132"/>
      <c r="C16" s="5132"/>
      <c r="D16" s="5133"/>
      <c r="E16" s="5133"/>
      <c r="F16" s="8815"/>
      <c r="G16" s="8815"/>
      <c r="H16" s="8815"/>
      <c r="I16" s="8815"/>
      <c r="J16" s="8815"/>
      <c r="K16" s="8815"/>
      <c r="L16" s="8815"/>
      <c r="M16" s="8815"/>
      <c r="N16" s="8815"/>
      <c r="O16" s="8815"/>
      <c r="P16" s="8815"/>
      <c r="Q16" s="8815"/>
      <c r="R16" s="8815"/>
      <c r="S16" s="8815"/>
      <c r="T16" s="8815"/>
      <c r="U16" s="8815"/>
      <c r="V16" s="5133"/>
      <c r="W16" s="5132"/>
      <c r="X16" s="5132"/>
      <c r="Y16" s="5132"/>
      <c r="Z16" s="5132"/>
      <c r="AA16" s="5132"/>
      <c r="AB16" s="5132"/>
      <c r="AC16" s="5132"/>
      <c r="AD16" s="5132"/>
      <c r="AE16" s="5132"/>
    </row>
    <row r="17" spans="1:31" s="271" customFormat="1" ht="12.75" customHeight="1">
      <c r="A17" s="5132"/>
      <c r="B17" s="5132"/>
      <c r="C17" s="5132"/>
      <c r="D17" s="5133"/>
      <c r="E17" s="5133"/>
      <c r="F17" s="8809" t="s">
        <v>2879</v>
      </c>
      <c r="G17" s="8809"/>
      <c r="H17" s="8809"/>
      <c r="I17" s="8809"/>
      <c r="J17" s="8809"/>
      <c r="K17" s="8809"/>
      <c r="L17" s="8809"/>
      <c r="M17" s="8809"/>
      <c r="N17" s="8809"/>
      <c r="O17" s="8809"/>
      <c r="P17" s="8809"/>
      <c r="Q17" s="8809"/>
      <c r="R17" s="8809"/>
      <c r="S17" s="8809"/>
      <c r="T17" s="8809"/>
      <c r="U17" s="8809"/>
      <c r="V17" s="5133"/>
      <c r="W17" s="5132"/>
      <c r="X17" s="5132"/>
      <c r="Y17" s="5132"/>
      <c r="Z17" s="5132"/>
      <c r="AA17" s="5132"/>
      <c r="AB17" s="5132"/>
      <c r="AC17" s="5132"/>
      <c r="AD17" s="5132"/>
      <c r="AE17" s="5132"/>
    </row>
    <row r="18" spans="1:31" s="271" customFormat="1" ht="12.75" customHeight="1">
      <c r="A18" s="5132"/>
      <c r="B18" s="5132"/>
      <c r="C18" s="5132"/>
      <c r="D18" s="5133"/>
      <c r="E18" s="5133"/>
      <c r="F18" s="8809"/>
      <c r="G18" s="8809"/>
      <c r="H18" s="8809"/>
      <c r="I18" s="8809"/>
      <c r="J18" s="8809"/>
      <c r="K18" s="8809"/>
      <c r="L18" s="8809"/>
      <c r="M18" s="8809"/>
      <c r="N18" s="8809"/>
      <c r="O18" s="8809"/>
      <c r="P18" s="8809"/>
      <c r="Q18" s="8809"/>
      <c r="R18" s="8809"/>
      <c r="S18" s="8809"/>
      <c r="T18" s="8809"/>
      <c r="U18" s="8809"/>
      <c r="V18" s="5133"/>
      <c r="W18" s="5132"/>
      <c r="X18" s="5132"/>
      <c r="Y18" s="5132"/>
      <c r="Z18" s="5132"/>
      <c r="AA18" s="5132"/>
      <c r="AB18" s="5132"/>
      <c r="AC18" s="5132"/>
      <c r="AD18" s="5132"/>
      <c r="AE18" s="5132"/>
    </row>
    <row r="19" spans="1:31" s="271" customFormat="1">
      <c r="A19" s="5132"/>
      <c r="B19" s="5132"/>
      <c r="C19" s="5132"/>
      <c r="D19" s="5133"/>
      <c r="E19" s="5133"/>
      <c r="F19" s="8809"/>
      <c r="G19" s="8809"/>
      <c r="H19" s="8809"/>
      <c r="I19" s="8809"/>
      <c r="J19" s="8809"/>
      <c r="K19" s="8809"/>
      <c r="L19" s="8809"/>
      <c r="M19" s="8809"/>
      <c r="N19" s="8809"/>
      <c r="O19" s="8809"/>
      <c r="P19" s="8809"/>
      <c r="Q19" s="8809"/>
      <c r="R19" s="8809"/>
      <c r="S19" s="8809"/>
      <c r="T19" s="8809"/>
      <c r="U19" s="8809"/>
      <c r="V19" s="5133"/>
      <c r="W19" s="5132"/>
      <c r="X19" s="5132"/>
      <c r="Y19" s="5132"/>
      <c r="Z19" s="5132"/>
      <c r="AA19" s="5132"/>
      <c r="AB19" s="5132"/>
      <c r="AC19" s="5132"/>
      <c r="AD19" s="5132"/>
      <c r="AE19" s="5132"/>
    </row>
    <row r="20" spans="1:31" s="271" customFormat="1">
      <c r="A20" s="5132"/>
      <c r="B20" s="5132"/>
      <c r="C20" s="5132"/>
      <c r="D20" s="5133"/>
      <c r="E20" s="5133"/>
      <c r="F20" s="8809"/>
      <c r="G20" s="8809"/>
      <c r="H20" s="8809"/>
      <c r="I20" s="8809"/>
      <c r="J20" s="8809"/>
      <c r="K20" s="8809"/>
      <c r="L20" s="8809"/>
      <c r="M20" s="8809"/>
      <c r="N20" s="8809"/>
      <c r="O20" s="8809"/>
      <c r="P20" s="8809"/>
      <c r="Q20" s="8809"/>
      <c r="R20" s="8809"/>
      <c r="S20" s="8809"/>
      <c r="T20" s="8809"/>
      <c r="U20" s="8809"/>
      <c r="V20" s="5133"/>
      <c r="W20" s="5132"/>
      <c r="X20" s="5132"/>
      <c r="Y20" s="5132"/>
      <c r="Z20" s="5132"/>
      <c r="AA20" s="5132"/>
      <c r="AB20" s="5132"/>
      <c r="AC20" s="5132"/>
      <c r="AD20" s="5132"/>
      <c r="AE20" s="5132"/>
    </row>
    <row r="21" spans="1:31" s="271" customFormat="1">
      <c r="A21" s="5132"/>
      <c r="B21" s="5132"/>
      <c r="C21" s="5132"/>
      <c r="D21" s="5133"/>
      <c r="E21" s="5133"/>
      <c r="F21" s="8815" t="s">
        <v>2897</v>
      </c>
      <c r="G21" s="8815"/>
      <c r="H21" s="8815"/>
      <c r="I21" s="8815"/>
      <c r="J21" s="8815"/>
      <c r="K21" s="8815"/>
      <c r="L21" s="8815"/>
      <c r="M21" s="8815"/>
      <c r="N21" s="8815"/>
      <c r="O21" s="8815"/>
      <c r="P21" s="8815"/>
      <c r="Q21" s="8815"/>
      <c r="R21" s="8815"/>
      <c r="S21" s="8815"/>
      <c r="T21" s="8815"/>
      <c r="U21" s="8815"/>
      <c r="V21" s="5133"/>
      <c r="W21" s="5132"/>
      <c r="X21" s="5132"/>
      <c r="Y21" s="5132"/>
      <c r="Z21" s="5132"/>
      <c r="AA21" s="5132"/>
      <c r="AB21" s="5132"/>
      <c r="AC21" s="5132"/>
      <c r="AD21" s="5132"/>
      <c r="AE21" s="5132"/>
    </row>
    <row r="22" spans="1:31" s="271" customFormat="1">
      <c r="A22" s="5132"/>
      <c r="B22" s="5132"/>
      <c r="C22" s="5132"/>
      <c r="D22" s="5133"/>
      <c r="E22" s="5133"/>
      <c r="F22" s="8815"/>
      <c r="G22" s="8815"/>
      <c r="H22" s="8815"/>
      <c r="I22" s="8815"/>
      <c r="J22" s="8815"/>
      <c r="K22" s="8815"/>
      <c r="L22" s="8815"/>
      <c r="M22" s="8815"/>
      <c r="N22" s="8815"/>
      <c r="O22" s="8815"/>
      <c r="P22" s="8815"/>
      <c r="Q22" s="8815"/>
      <c r="R22" s="8815"/>
      <c r="S22" s="8815"/>
      <c r="T22" s="8815"/>
      <c r="U22" s="8815"/>
      <c r="V22" s="5133"/>
      <c r="W22" s="5132"/>
      <c r="X22" s="5132"/>
      <c r="Y22" s="5132"/>
      <c r="Z22" s="5132"/>
      <c r="AA22" s="5132"/>
      <c r="AB22" s="5132"/>
      <c r="AC22" s="5132"/>
      <c r="AD22" s="5132"/>
      <c r="AE22" s="5132"/>
    </row>
    <row r="23" spans="1:31" s="271" customFormat="1">
      <c r="A23" s="5132"/>
      <c r="B23" s="5132"/>
      <c r="C23" s="5132"/>
      <c r="D23" s="5133"/>
      <c r="E23" s="5133"/>
      <c r="F23" s="8815"/>
      <c r="G23" s="8815"/>
      <c r="H23" s="8815"/>
      <c r="I23" s="8815"/>
      <c r="J23" s="8815"/>
      <c r="K23" s="8815"/>
      <c r="L23" s="8815"/>
      <c r="M23" s="8815"/>
      <c r="N23" s="8815"/>
      <c r="O23" s="8815"/>
      <c r="P23" s="8815"/>
      <c r="Q23" s="8815"/>
      <c r="R23" s="8815"/>
      <c r="S23" s="8815"/>
      <c r="T23" s="8815"/>
      <c r="U23" s="8815"/>
      <c r="V23" s="5133"/>
      <c r="W23" s="5132"/>
      <c r="X23" s="5132"/>
      <c r="Y23" s="5132"/>
      <c r="Z23" s="5132"/>
      <c r="AA23" s="5132"/>
      <c r="AB23" s="5132"/>
      <c r="AC23" s="5132"/>
      <c r="AD23" s="5132"/>
      <c r="AE23" s="5132"/>
    </row>
    <row r="24" spans="1:31" s="271" customFormat="1">
      <c r="A24" s="5132"/>
      <c r="B24" s="5132"/>
      <c r="C24" s="5132"/>
      <c r="D24" s="5133"/>
      <c r="E24" s="5133"/>
      <c r="F24" s="8815"/>
      <c r="G24" s="8815"/>
      <c r="H24" s="8815"/>
      <c r="I24" s="8815"/>
      <c r="J24" s="8815"/>
      <c r="K24" s="8815"/>
      <c r="L24" s="8815"/>
      <c r="M24" s="8815"/>
      <c r="N24" s="8815"/>
      <c r="O24" s="8815"/>
      <c r="P24" s="8815"/>
      <c r="Q24" s="8815"/>
      <c r="R24" s="8815"/>
      <c r="S24" s="8815"/>
      <c r="T24" s="8815"/>
      <c r="U24" s="8815"/>
      <c r="V24" s="5133"/>
      <c r="W24" s="5132"/>
      <c r="X24" s="5132"/>
      <c r="Y24" s="5132"/>
      <c r="Z24" s="5132"/>
      <c r="AA24" s="5132"/>
      <c r="AB24" s="5132"/>
      <c r="AC24" s="5132"/>
      <c r="AD24" s="5132"/>
      <c r="AE24" s="5132"/>
    </row>
    <row r="25" spans="1:31" s="271" customFormat="1" ht="8.1" customHeight="1">
      <c r="A25" s="5132"/>
      <c r="B25" s="5132"/>
      <c r="C25" s="5132"/>
      <c r="D25" s="5133"/>
      <c r="E25" s="5133"/>
      <c r="F25" s="5133"/>
      <c r="G25" s="5133"/>
      <c r="H25" s="5133"/>
      <c r="I25" s="5133"/>
      <c r="J25" s="5133"/>
      <c r="K25" s="5133"/>
      <c r="L25" s="5133"/>
      <c r="M25" s="5133"/>
      <c r="N25" s="5133"/>
      <c r="O25" s="5133"/>
      <c r="P25" s="5133"/>
      <c r="Q25" s="5133"/>
      <c r="R25" s="5133"/>
      <c r="S25" s="5133"/>
      <c r="T25" s="5133"/>
      <c r="U25" s="5133"/>
      <c r="V25" s="5133"/>
      <c r="W25" s="5132"/>
      <c r="X25" s="5132"/>
      <c r="Y25" s="5132"/>
      <c r="Z25" s="5132"/>
      <c r="AA25" s="5132"/>
      <c r="AB25" s="5132"/>
      <c r="AC25" s="5132"/>
      <c r="AD25" s="5132"/>
      <c r="AE25" s="5132"/>
    </row>
    <row r="26" spans="1:31" s="271" customFormat="1">
      <c r="A26" s="5132"/>
      <c r="B26" s="5132"/>
      <c r="C26" s="5132"/>
      <c r="D26" s="5133"/>
      <c r="E26" s="5133"/>
      <c r="F26" s="8815" t="s">
        <v>2880</v>
      </c>
      <c r="G26" s="8815"/>
      <c r="H26" s="8815"/>
      <c r="I26" s="8815"/>
      <c r="J26" s="8815"/>
      <c r="K26" s="8815"/>
      <c r="L26" s="8815"/>
      <c r="M26" s="8815"/>
      <c r="N26" s="8815"/>
      <c r="O26" s="8815"/>
      <c r="P26" s="8815"/>
      <c r="Q26" s="8815"/>
      <c r="R26" s="8815"/>
      <c r="S26" s="8815"/>
      <c r="T26" s="8815"/>
      <c r="U26" s="8815"/>
      <c r="V26" s="5133"/>
      <c r="W26" s="5132"/>
      <c r="X26" s="5132"/>
      <c r="Y26" s="5132"/>
      <c r="Z26" s="5132"/>
      <c r="AA26" s="5132"/>
      <c r="AB26" s="5132"/>
      <c r="AC26" s="5132"/>
      <c r="AD26" s="5132"/>
      <c r="AE26" s="5132"/>
    </row>
    <row r="27" spans="1:31" s="271" customFormat="1">
      <c r="A27" s="5132"/>
      <c r="B27" s="5132"/>
      <c r="C27" s="5132"/>
      <c r="D27" s="5133"/>
      <c r="E27" s="5133"/>
      <c r="F27" s="8815"/>
      <c r="G27" s="8815"/>
      <c r="H27" s="8815"/>
      <c r="I27" s="8815"/>
      <c r="J27" s="8815"/>
      <c r="K27" s="8815"/>
      <c r="L27" s="8815"/>
      <c r="M27" s="8815"/>
      <c r="N27" s="8815"/>
      <c r="O27" s="8815"/>
      <c r="P27" s="8815"/>
      <c r="Q27" s="8815"/>
      <c r="R27" s="8815"/>
      <c r="S27" s="8815"/>
      <c r="T27" s="8815"/>
      <c r="U27" s="8815"/>
      <c r="V27" s="5133"/>
      <c r="W27" s="5132"/>
      <c r="X27" s="5132"/>
      <c r="Y27" s="5132"/>
      <c r="Z27" s="5132"/>
      <c r="AA27" s="5132"/>
      <c r="AB27" s="5132"/>
      <c r="AC27" s="5132"/>
      <c r="AD27" s="5132"/>
      <c r="AE27" s="5132"/>
    </row>
    <row r="28" spans="1:31" s="271" customFormat="1">
      <c r="A28" s="5132"/>
      <c r="B28" s="5132"/>
      <c r="C28" s="5132"/>
      <c r="D28" s="5133"/>
      <c r="E28" s="5133"/>
      <c r="F28" s="8815"/>
      <c r="G28" s="8815"/>
      <c r="H28" s="8815"/>
      <c r="I28" s="8815"/>
      <c r="J28" s="8815"/>
      <c r="K28" s="8815"/>
      <c r="L28" s="8815"/>
      <c r="M28" s="8815"/>
      <c r="N28" s="8815"/>
      <c r="O28" s="8815"/>
      <c r="P28" s="8815"/>
      <c r="Q28" s="8815"/>
      <c r="R28" s="8815"/>
      <c r="S28" s="8815"/>
      <c r="T28" s="8815"/>
      <c r="U28" s="8815"/>
      <c r="V28" s="5133"/>
      <c r="W28" s="5132"/>
      <c r="X28" s="5132"/>
      <c r="Y28" s="5132"/>
      <c r="Z28" s="5132"/>
      <c r="AA28" s="5132"/>
      <c r="AB28" s="5132"/>
      <c r="AC28" s="5132"/>
      <c r="AD28" s="5132"/>
      <c r="AE28" s="5132"/>
    </row>
    <row r="29" spans="1:31" s="271" customFormat="1">
      <c r="A29" s="5132"/>
      <c r="B29" s="5132"/>
      <c r="C29" s="5132"/>
      <c r="D29" s="5133"/>
      <c r="E29" s="5133"/>
      <c r="F29" s="8815"/>
      <c r="G29" s="8815"/>
      <c r="H29" s="8815"/>
      <c r="I29" s="8815"/>
      <c r="J29" s="8815"/>
      <c r="K29" s="8815"/>
      <c r="L29" s="8815"/>
      <c r="M29" s="8815"/>
      <c r="N29" s="8815"/>
      <c r="O29" s="8815"/>
      <c r="P29" s="8815"/>
      <c r="Q29" s="8815"/>
      <c r="R29" s="8815"/>
      <c r="S29" s="8815"/>
      <c r="T29" s="8815"/>
      <c r="U29" s="8815"/>
      <c r="V29" s="5133"/>
      <c r="W29" s="5132"/>
      <c r="X29" s="5132"/>
      <c r="Y29" s="5132"/>
      <c r="Z29" s="5132"/>
      <c r="AA29" s="5132"/>
      <c r="AB29" s="5132"/>
      <c r="AC29" s="5132"/>
      <c r="AD29" s="5132"/>
      <c r="AE29" s="5132"/>
    </row>
    <row r="30" spans="1:31" s="271" customFormat="1">
      <c r="A30" s="5132"/>
      <c r="B30" s="5132"/>
      <c r="C30" s="5132"/>
      <c r="D30" s="5133"/>
      <c r="E30" s="5133"/>
      <c r="F30" s="5133"/>
      <c r="G30" s="5133"/>
      <c r="H30" s="5133"/>
      <c r="I30" s="5133"/>
      <c r="J30" s="5133"/>
      <c r="K30" s="5133"/>
      <c r="L30" s="5133"/>
      <c r="M30" s="5133"/>
      <c r="N30" s="5133"/>
      <c r="O30" s="5133"/>
      <c r="P30" s="5133"/>
      <c r="Q30" s="5133"/>
      <c r="R30" s="5133"/>
      <c r="S30" s="5133"/>
      <c r="T30" s="5133"/>
      <c r="U30" s="5133"/>
      <c r="V30" s="5133"/>
      <c r="W30" s="5132"/>
      <c r="X30" s="5132"/>
      <c r="Y30" s="5132"/>
      <c r="Z30" s="5132"/>
      <c r="AA30" s="5132"/>
      <c r="AB30" s="5132"/>
      <c r="AC30" s="5132"/>
      <c r="AD30" s="5132"/>
      <c r="AE30" s="5132"/>
    </row>
    <row r="31" spans="1:31" s="271" customFormat="1">
      <c r="A31" s="5132"/>
      <c r="B31" s="5132"/>
      <c r="C31" s="5132"/>
      <c r="D31" s="5133"/>
      <c r="E31" s="5133"/>
      <c r="F31" s="5133"/>
      <c r="G31" s="5133"/>
      <c r="H31" s="5133"/>
      <c r="I31" s="5133"/>
      <c r="J31" s="5133"/>
      <c r="K31" s="5133"/>
      <c r="L31" s="5133"/>
      <c r="M31" s="5133"/>
      <c r="N31" s="5133"/>
      <c r="O31" s="5133"/>
      <c r="P31" s="5133"/>
      <c r="Q31" s="5133"/>
      <c r="R31" s="5133"/>
      <c r="S31" s="5133"/>
      <c r="T31" s="5133"/>
      <c r="U31" s="5133"/>
      <c r="V31" s="5133"/>
      <c r="W31" s="5132"/>
      <c r="X31" s="5132"/>
      <c r="Y31" s="5132"/>
      <c r="Z31" s="5132"/>
      <c r="AA31" s="5132"/>
      <c r="AB31" s="5132"/>
      <c r="AC31" s="5132"/>
      <c r="AD31" s="5132"/>
      <c r="AE31" s="5132"/>
    </row>
    <row r="32" spans="1:31" s="271" customFormat="1">
      <c r="A32" s="5132"/>
      <c r="B32" s="5132"/>
      <c r="C32" s="5132"/>
      <c r="D32" s="5133"/>
      <c r="E32" s="5133"/>
      <c r="F32" s="8812" t="s">
        <v>2875</v>
      </c>
      <c r="G32" s="8812"/>
      <c r="H32" s="8812"/>
      <c r="I32" s="8812"/>
      <c r="J32" s="8812"/>
      <c r="K32" s="8812"/>
      <c r="L32" s="8812"/>
      <c r="M32" s="8812"/>
      <c r="N32" s="8812"/>
      <c r="O32" s="8812"/>
      <c r="P32" s="8812"/>
      <c r="Q32" s="8812"/>
      <c r="R32" s="8812"/>
      <c r="S32" s="5133"/>
      <c r="T32" s="5133"/>
      <c r="U32" s="5133"/>
      <c r="V32" s="5133"/>
      <c r="W32" s="5132"/>
      <c r="X32" s="5132"/>
      <c r="Y32" s="5132"/>
      <c r="Z32" s="5132"/>
      <c r="AA32" s="5132"/>
      <c r="AB32" s="5132"/>
      <c r="AC32" s="5132"/>
      <c r="AD32" s="5132"/>
      <c r="AE32" s="5132"/>
    </row>
    <row r="33" spans="1:31" s="271" customFormat="1">
      <c r="A33" s="5132"/>
      <c r="B33" s="5132"/>
      <c r="C33" s="5132"/>
      <c r="D33" s="5133"/>
      <c r="E33" s="5133"/>
      <c r="F33" s="5133"/>
      <c r="G33" s="5133"/>
      <c r="H33" s="5133"/>
      <c r="I33" s="5133"/>
      <c r="J33" s="5133"/>
      <c r="K33" s="5133"/>
      <c r="L33" s="5133"/>
      <c r="M33" s="5133"/>
      <c r="N33" s="5133"/>
      <c r="O33" s="5133"/>
      <c r="P33" s="5133"/>
      <c r="Q33" s="5133"/>
      <c r="R33" s="5133"/>
      <c r="S33" s="5133"/>
      <c r="T33" s="5133"/>
      <c r="U33" s="5133"/>
      <c r="V33" s="5133"/>
      <c r="W33" s="5132"/>
      <c r="X33" s="5132"/>
      <c r="Y33" s="5132"/>
      <c r="Z33" s="5132"/>
      <c r="AA33" s="5132"/>
      <c r="AB33" s="5132"/>
      <c r="AC33" s="5132"/>
      <c r="AD33" s="5132"/>
      <c r="AE33" s="5132"/>
    </row>
    <row r="34" spans="1:31" s="8736" customFormat="1" ht="18" customHeight="1">
      <c r="A34" s="8186"/>
      <c r="B34" s="8186"/>
      <c r="C34" s="8186"/>
      <c r="D34" s="7780"/>
      <c r="E34" s="7780"/>
      <c r="F34" s="8735" t="s">
        <v>2036</v>
      </c>
      <c r="G34" s="7780" t="s">
        <v>2870</v>
      </c>
      <c r="H34" s="7780"/>
      <c r="I34" s="7780"/>
      <c r="J34" s="7780"/>
      <c r="K34" s="7780"/>
      <c r="L34" s="7780"/>
      <c r="M34" s="7780"/>
      <c r="N34" s="7780"/>
      <c r="O34" s="7780"/>
      <c r="P34" s="7780"/>
      <c r="Q34" s="7780"/>
      <c r="R34" s="7780"/>
      <c r="S34" s="7780"/>
      <c r="T34" s="7780"/>
      <c r="U34" s="7780"/>
      <c r="V34" s="7780"/>
      <c r="W34" s="8186"/>
      <c r="X34" s="8186"/>
      <c r="Y34" s="8186"/>
      <c r="Z34" s="8186"/>
      <c r="AA34" s="8186"/>
      <c r="AB34" s="8186"/>
      <c r="AC34" s="8186"/>
      <c r="AD34" s="8186"/>
      <c r="AE34" s="8186"/>
    </row>
    <row r="35" spans="1:31" s="8736" customFormat="1" ht="15.95" customHeight="1">
      <c r="A35" s="8186"/>
      <c r="B35" s="8186"/>
      <c r="C35" s="8186"/>
      <c r="D35" s="7780"/>
      <c r="E35" s="7780"/>
      <c r="F35" s="8735" t="s">
        <v>2036</v>
      </c>
      <c r="G35" s="8808" t="s">
        <v>2881</v>
      </c>
      <c r="H35" s="8808"/>
      <c r="I35" s="8808"/>
      <c r="J35" s="8808"/>
      <c r="K35" s="8808"/>
      <c r="L35" s="8808"/>
      <c r="M35" s="8808"/>
      <c r="N35" s="8808"/>
      <c r="O35" s="8808"/>
      <c r="P35" s="8808"/>
      <c r="Q35" s="8808"/>
      <c r="R35" s="8808"/>
      <c r="S35" s="8808"/>
      <c r="T35" s="8808"/>
      <c r="U35" s="8808"/>
      <c r="V35" s="7780"/>
      <c r="W35" s="8186"/>
      <c r="X35" s="8186"/>
      <c r="Y35" s="8186"/>
      <c r="Z35" s="8186"/>
      <c r="AA35" s="8186"/>
      <c r="AB35" s="8186"/>
      <c r="AC35" s="8186"/>
      <c r="AD35" s="8186"/>
      <c r="AE35" s="8186"/>
    </row>
    <row r="36" spans="1:31" s="8736" customFormat="1" ht="15.95" customHeight="1">
      <c r="A36" s="8186"/>
      <c r="B36" s="8186"/>
      <c r="C36" s="8186"/>
      <c r="D36" s="7780"/>
      <c r="E36" s="7780"/>
      <c r="F36" s="8735"/>
      <c r="G36" s="8808"/>
      <c r="H36" s="8808"/>
      <c r="I36" s="8808"/>
      <c r="J36" s="8808"/>
      <c r="K36" s="8808"/>
      <c r="L36" s="8808"/>
      <c r="M36" s="8808"/>
      <c r="N36" s="8808"/>
      <c r="O36" s="8808"/>
      <c r="P36" s="8808"/>
      <c r="Q36" s="8808"/>
      <c r="R36" s="8808"/>
      <c r="S36" s="8808"/>
      <c r="T36" s="8808"/>
      <c r="U36" s="8808"/>
      <c r="V36" s="7780"/>
      <c r="W36" s="8186"/>
      <c r="X36" s="8186"/>
      <c r="Y36" s="8186"/>
      <c r="Z36" s="8186"/>
      <c r="AA36" s="8186"/>
      <c r="AB36" s="8186"/>
      <c r="AC36" s="8186"/>
      <c r="AD36" s="8186"/>
      <c r="AE36" s="8186"/>
    </row>
    <row r="37" spans="1:31" s="8736" customFormat="1" ht="12.75" customHeight="1">
      <c r="A37" s="8186"/>
      <c r="B37" s="8186"/>
      <c r="C37" s="8186"/>
      <c r="D37" s="7780"/>
      <c r="E37" s="7780"/>
      <c r="F37" s="8735"/>
      <c r="G37" s="8808"/>
      <c r="H37" s="8808"/>
      <c r="I37" s="8808"/>
      <c r="J37" s="8808"/>
      <c r="K37" s="8808"/>
      <c r="L37" s="8808"/>
      <c r="M37" s="8808"/>
      <c r="N37" s="8808"/>
      <c r="O37" s="8808"/>
      <c r="P37" s="8808"/>
      <c r="Q37" s="8808"/>
      <c r="R37" s="8808"/>
      <c r="S37" s="8808"/>
      <c r="T37" s="8808"/>
      <c r="U37" s="8808"/>
      <c r="V37" s="7780"/>
      <c r="W37" s="8186"/>
      <c r="X37" s="8186"/>
      <c r="Y37" s="8186"/>
      <c r="Z37" s="8186"/>
      <c r="AA37" s="8186"/>
      <c r="AB37" s="8186"/>
      <c r="AC37" s="8186"/>
      <c r="AD37" s="8186"/>
      <c r="AE37" s="8186"/>
    </row>
    <row r="38" spans="1:31" s="8736" customFormat="1" ht="15.95" customHeight="1">
      <c r="A38" s="8186"/>
      <c r="B38" s="8186"/>
      <c r="C38" s="8186"/>
      <c r="D38" s="7780"/>
      <c r="E38" s="7780"/>
      <c r="F38" s="8735" t="s">
        <v>2036</v>
      </c>
      <c r="G38" s="8736" t="s">
        <v>2801</v>
      </c>
      <c r="H38" s="7780"/>
      <c r="I38" s="7780"/>
      <c r="J38" s="7780"/>
      <c r="K38" s="7780"/>
      <c r="L38" s="7780"/>
      <c r="M38" s="7780"/>
      <c r="N38" s="7780"/>
      <c r="O38" s="7780"/>
      <c r="P38" s="7780"/>
      <c r="Q38" s="7780"/>
      <c r="R38" s="7780"/>
      <c r="S38" s="7780"/>
      <c r="T38" s="7780"/>
      <c r="U38" s="7780"/>
      <c r="V38" s="7780"/>
      <c r="W38" s="8186"/>
      <c r="X38" s="8186"/>
      <c r="Y38" s="8186"/>
      <c r="Z38" s="8186"/>
      <c r="AA38" s="8186"/>
      <c r="AB38" s="8186"/>
      <c r="AC38" s="8186"/>
      <c r="AD38" s="8186"/>
      <c r="AE38" s="8186"/>
    </row>
    <row r="39" spans="1:31" s="8736" customFormat="1" ht="15.95" customHeight="1">
      <c r="A39" s="8186"/>
      <c r="B39" s="8186"/>
      <c r="C39" s="8186"/>
      <c r="D39" s="7780"/>
      <c r="E39" s="7780"/>
      <c r="F39" s="7780"/>
      <c r="G39" s="8737" t="s">
        <v>2021</v>
      </c>
      <c r="H39" s="8738" t="str">
        <f>+'12(id)'!I21</f>
        <v>Capitol District Energy Center Cogeneration Associates</v>
      </c>
      <c r="I39" s="7780"/>
      <c r="J39" s="7780"/>
      <c r="K39" s="7780"/>
      <c r="L39" s="7780"/>
      <c r="M39" s="7780"/>
      <c r="N39" s="7780"/>
      <c r="O39" s="7780"/>
      <c r="P39" s="8738" t="str">
        <f>+'12(id)'!J21</f>
        <v>CDECCA</v>
      </c>
      <c r="Q39" s="7780"/>
      <c r="R39" s="8739"/>
      <c r="S39" s="7780"/>
      <c r="T39" s="7780"/>
      <c r="U39" s="7780"/>
      <c r="V39" s="7780"/>
      <c r="W39" s="8186"/>
      <c r="X39" s="8186"/>
      <c r="Y39" s="8186"/>
      <c r="Z39" s="8186"/>
      <c r="AA39" s="8186"/>
      <c r="AB39" s="8186"/>
      <c r="AC39" s="8186"/>
      <c r="AD39" s="8186"/>
      <c r="AE39" s="8186"/>
    </row>
    <row r="40" spans="1:31" s="8736" customFormat="1" ht="15.95" customHeight="1">
      <c r="A40" s="8186"/>
      <c r="B40" s="8186"/>
      <c r="C40" s="8186"/>
      <c r="D40" s="7780"/>
      <c r="E40" s="7780"/>
      <c r="F40" s="7780"/>
      <c r="G40" s="8737" t="s">
        <v>2021</v>
      </c>
      <c r="H40" s="8740" t="str">
        <f>+'12(id)'!I22</f>
        <v>Connecticut Resources Recovery Authority</v>
      </c>
      <c r="I40" s="7780"/>
      <c r="J40" s="7780"/>
      <c r="K40" s="7780"/>
      <c r="L40" s="7780"/>
      <c r="M40" s="7780"/>
      <c r="N40" s="7780"/>
      <c r="O40" s="7780"/>
      <c r="P40" s="8740" t="str">
        <f>+'12(id)'!J22</f>
        <v>CRRA</v>
      </c>
      <c r="Q40" s="7780"/>
      <c r="R40" s="8739"/>
      <c r="S40" s="7780"/>
      <c r="T40" s="7780"/>
      <c r="U40" s="7780"/>
      <c r="V40" s="7780"/>
      <c r="W40" s="8186"/>
      <c r="X40" s="8186"/>
      <c r="Y40" s="8186"/>
      <c r="Z40" s="8186"/>
      <c r="AA40" s="8186"/>
      <c r="AB40" s="8186"/>
      <c r="AC40" s="8186"/>
      <c r="AD40" s="8186"/>
      <c r="AE40" s="8186"/>
    </row>
    <row r="41" spans="1:31" s="8736" customFormat="1" ht="15.95" customHeight="1">
      <c r="A41" s="8186"/>
      <c r="B41" s="8186"/>
      <c r="C41" s="8186"/>
      <c r="D41" s="7780"/>
      <c r="E41" s="7780"/>
      <c r="F41" s="7780"/>
      <c r="G41" s="8737" t="s">
        <v>2021</v>
      </c>
      <c r="H41" s="7780" t="str">
        <f>+'12(id)'!I30</f>
        <v>FirstLight Hydro Generating Company</v>
      </c>
      <c r="I41" s="7780"/>
      <c r="J41" s="7780"/>
      <c r="K41" s="7780"/>
      <c r="L41" s="7780"/>
      <c r="M41" s="7780"/>
      <c r="N41" s="7780"/>
      <c r="O41" s="7780"/>
      <c r="P41" s="7780" t="str">
        <f>+'12(id)'!J30</f>
        <v>FirstLight</v>
      </c>
      <c r="Q41" s="7780"/>
      <c r="R41" s="8739"/>
      <c r="S41" s="7780"/>
      <c r="T41" s="7780"/>
      <c r="U41" s="7780"/>
      <c r="V41" s="7780"/>
      <c r="W41" s="8186"/>
      <c r="X41" s="8186"/>
      <c r="Y41" s="8186"/>
      <c r="Z41" s="8186"/>
      <c r="AA41" s="8186"/>
      <c r="AB41" s="8186"/>
      <c r="AC41" s="8186"/>
      <c r="AD41" s="8186"/>
      <c r="AE41" s="8186"/>
    </row>
    <row r="42" spans="1:31" s="8736" customFormat="1" ht="15.95" customHeight="1">
      <c r="A42" s="8186"/>
      <c r="B42" s="8186"/>
      <c r="C42" s="8186"/>
      <c r="D42" s="7780"/>
      <c r="E42" s="7780"/>
      <c r="F42" s="7780"/>
      <c r="G42" s="8737" t="s">
        <v>2021</v>
      </c>
      <c r="H42" s="7780" t="str">
        <f>+'12(id)'!I31</f>
        <v>Norwich Public Utilities</v>
      </c>
      <c r="I42" s="7780"/>
      <c r="J42" s="7780"/>
      <c r="K42" s="7780"/>
      <c r="L42" s="7780"/>
      <c r="M42" s="7780"/>
      <c r="N42" s="7780"/>
      <c r="O42" s="7780"/>
      <c r="P42" s="7780" t="str">
        <f>+'12(id)'!J31</f>
        <v>NPU</v>
      </c>
      <c r="Q42" s="7780"/>
      <c r="R42" s="8739"/>
      <c r="S42" s="7780"/>
      <c r="T42" s="7780"/>
      <c r="U42" s="7780"/>
      <c r="V42" s="7780"/>
      <c r="W42" s="8186"/>
      <c r="X42" s="8186"/>
      <c r="Y42" s="8186"/>
      <c r="Z42" s="8186"/>
      <c r="AA42" s="8186"/>
      <c r="AB42" s="8186"/>
      <c r="AC42" s="8186"/>
      <c r="AD42" s="8186"/>
      <c r="AE42" s="8186"/>
    </row>
    <row r="43" spans="1:31" s="8736" customFormat="1" ht="15.95" customHeight="1">
      <c r="A43" s="8186"/>
      <c r="B43" s="8186"/>
      <c r="C43" s="8186"/>
      <c r="D43" s="7780"/>
      <c r="E43" s="7780"/>
      <c r="F43" s="7780"/>
      <c r="G43" s="8737" t="s">
        <v>2021</v>
      </c>
      <c r="H43" s="7780" t="str">
        <f>+'12(id)'!I33</f>
        <v>NRG Energy, Inc</v>
      </c>
      <c r="I43" s="7780"/>
      <c r="J43" s="7780"/>
      <c r="K43" s="7780"/>
      <c r="L43" s="7780"/>
      <c r="M43" s="7780"/>
      <c r="N43" s="7780"/>
      <c r="O43" s="7780"/>
      <c r="P43" s="7780" t="str">
        <f>+'12(id)'!J33</f>
        <v>NRG</v>
      </c>
      <c r="Q43" s="7780"/>
      <c r="R43" s="8739"/>
      <c r="S43" s="7780"/>
      <c r="T43" s="7780"/>
      <c r="U43" s="7780"/>
      <c r="V43" s="7780"/>
      <c r="W43" s="8186"/>
      <c r="X43" s="8186"/>
      <c r="Y43" s="8186"/>
      <c r="Z43" s="8186"/>
      <c r="AA43" s="8186"/>
      <c r="AB43" s="8186"/>
      <c r="AC43" s="8186"/>
      <c r="AD43" s="8186"/>
      <c r="AE43" s="8186"/>
    </row>
    <row r="44" spans="1:31" s="8736" customFormat="1" ht="18" customHeight="1">
      <c r="A44" s="8186"/>
      <c r="B44" s="8186"/>
      <c r="C44" s="8186"/>
      <c r="D44" s="7780"/>
      <c r="E44" s="7780"/>
      <c r="F44" s="7780"/>
      <c r="G44" s="8737" t="s">
        <v>2021</v>
      </c>
      <c r="H44" s="8740" t="str">
        <f>+'12(id)'!I32</f>
        <v>PSEG Power LLC, PSEG Fossil LLC, PSEG Power Connecticut</v>
      </c>
      <c r="I44" s="7780"/>
      <c r="J44" s="7780"/>
      <c r="K44" s="7780"/>
      <c r="L44" s="7780"/>
      <c r="M44" s="7780"/>
      <c r="N44" s="7780"/>
      <c r="O44" s="7780"/>
      <c r="P44" s="8740" t="str">
        <f>+'12(id)'!J32</f>
        <v>PSEG</v>
      </c>
      <c r="Q44" s="7780"/>
      <c r="R44" s="8739"/>
      <c r="S44" s="7780"/>
      <c r="T44" s="7780"/>
      <c r="U44" s="7780"/>
      <c r="V44" s="7780"/>
      <c r="W44" s="8186"/>
      <c r="X44" s="8186"/>
      <c r="Y44" s="8186"/>
      <c r="Z44" s="8186"/>
      <c r="AA44" s="8186"/>
      <c r="AB44" s="8186"/>
      <c r="AC44" s="8186"/>
      <c r="AD44" s="8186"/>
      <c r="AE44" s="8186"/>
    </row>
    <row r="45" spans="1:31" s="8736" customFormat="1" ht="18" customHeight="1">
      <c r="A45" s="8186"/>
      <c r="B45" s="8186"/>
      <c r="C45" s="8186"/>
      <c r="D45" s="7780"/>
      <c r="E45" s="7780"/>
      <c r="F45" s="8735" t="s">
        <v>2036</v>
      </c>
      <c r="G45" s="8790" t="s">
        <v>2871</v>
      </c>
      <c r="H45" s="7780"/>
      <c r="I45" s="7780"/>
      <c r="J45" s="7780"/>
      <c r="K45" s="7780"/>
      <c r="L45" s="7780"/>
      <c r="M45" s="7780"/>
      <c r="N45" s="7780"/>
      <c r="O45" s="7780"/>
      <c r="P45" s="7780"/>
      <c r="Q45" s="7780"/>
      <c r="R45" s="7780"/>
      <c r="S45" s="7780"/>
      <c r="T45" s="7780"/>
      <c r="U45" s="7780"/>
      <c r="V45" s="7780"/>
      <c r="W45" s="8186"/>
      <c r="X45" s="8186"/>
      <c r="Y45" s="8186"/>
      <c r="Z45" s="8186"/>
      <c r="AA45" s="8186"/>
      <c r="AB45" s="8186"/>
      <c r="AC45" s="8186"/>
      <c r="AD45" s="8186"/>
      <c r="AE45" s="8186"/>
    </row>
    <row r="46" spans="1:31" s="8736" customFormat="1" ht="15.95" customHeight="1">
      <c r="A46" s="8186"/>
      <c r="B46" s="8186"/>
      <c r="C46" s="8186"/>
      <c r="D46" s="7780"/>
      <c r="E46" s="7780"/>
      <c r="F46" s="7780"/>
      <c r="G46" s="8737" t="s">
        <v>2021</v>
      </c>
      <c r="H46" s="8743" t="s">
        <v>2802</v>
      </c>
      <c r="I46" s="8743"/>
      <c r="J46" s="8743"/>
      <c r="K46" s="8743"/>
      <c r="L46" s="8743"/>
      <c r="M46" s="8743">
        <v>27</v>
      </c>
      <c r="N46" s="7780"/>
      <c r="O46" s="7780"/>
      <c r="P46" s="7780"/>
      <c r="Q46" s="7780"/>
      <c r="R46" s="7780"/>
      <c r="S46" s="7780"/>
      <c r="T46" s="7780"/>
      <c r="U46" s="7780"/>
      <c r="V46" s="7780"/>
      <c r="W46" s="8186"/>
      <c r="X46" s="8186"/>
      <c r="Y46" s="8186"/>
      <c r="Z46" s="8186"/>
      <c r="AA46" s="8186"/>
      <c r="AB46" s="8186"/>
      <c r="AC46" s="8186"/>
      <c r="AD46" s="8186"/>
      <c r="AE46" s="8186"/>
    </row>
    <row r="47" spans="1:31" s="8736" customFormat="1" ht="15.95" customHeight="1">
      <c r="A47" s="8186"/>
      <c r="B47" s="8186"/>
      <c r="C47" s="8186"/>
      <c r="D47" s="7780"/>
      <c r="E47" s="7780"/>
      <c r="F47" s="7780"/>
      <c r="G47" s="7780"/>
      <c r="H47" s="7779"/>
      <c r="I47" s="7779" t="s">
        <v>2803</v>
      </c>
      <c r="J47" s="7779"/>
      <c r="K47" s="7779"/>
      <c r="L47" s="7779"/>
      <c r="M47" s="7779">
        <v>1</v>
      </c>
      <c r="N47" s="7780"/>
      <c r="O47" s="7780"/>
      <c r="P47" s="7780"/>
      <c r="Q47" s="7780"/>
      <c r="R47" s="7780"/>
      <c r="S47" s="7780"/>
      <c r="T47" s="7780"/>
      <c r="U47" s="7780"/>
      <c r="V47" s="7780"/>
      <c r="W47" s="8186"/>
      <c r="X47" s="8186"/>
      <c r="Y47" s="8186"/>
      <c r="Z47" s="8186"/>
      <c r="AA47" s="8186"/>
      <c r="AB47" s="8186"/>
      <c r="AC47" s="8186"/>
      <c r="AD47" s="8186"/>
      <c r="AE47" s="8186"/>
    </row>
    <row r="48" spans="1:31" s="8736" customFormat="1" ht="15.95" customHeight="1">
      <c r="A48" s="8186"/>
      <c r="B48" s="8186"/>
      <c r="C48" s="8186"/>
      <c r="D48" s="7780"/>
      <c r="E48" s="7780"/>
      <c r="F48" s="7780"/>
      <c r="G48" s="7780"/>
      <c r="H48" s="7779"/>
      <c r="I48" s="7779" t="s">
        <v>2804</v>
      </c>
      <c r="J48" s="7779"/>
      <c r="K48" s="7779"/>
      <c r="L48" s="7779"/>
      <c r="M48" s="7779">
        <v>26</v>
      </c>
      <c r="N48" s="7780"/>
      <c r="O48" s="7780"/>
      <c r="P48" s="7780"/>
      <c r="Q48" s="7780"/>
      <c r="R48" s="7780"/>
      <c r="S48" s="7780"/>
      <c r="T48" s="7780"/>
      <c r="U48" s="7780"/>
      <c r="V48" s="7780"/>
      <c r="W48" s="8186"/>
      <c r="X48" s="8186"/>
      <c r="Y48" s="8186"/>
      <c r="Z48" s="8186"/>
      <c r="AA48" s="8186"/>
      <c r="AB48" s="8186"/>
      <c r="AC48" s="8186"/>
      <c r="AD48" s="8186"/>
      <c r="AE48" s="8186"/>
    </row>
    <row r="49" spans="1:31" s="8736" customFormat="1" ht="20.100000000000001" customHeight="1">
      <c r="A49" s="8186"/>
      <c r="B49" s="8186"/>
      <c r="C49" s="8186"/>
      <c r="D49" s="7780"/>
      <c r="E49" s="7780"/>
      <c r="F49" s="7780"/>
      <c r="G49" s="8792" t="s">
        <v>2021</v>
      </c>
      <c r="H49" s="8793" t="s">
        <v>2805</v>
      </c>
      <c r="I49" s="8793"/>
      <c r="J49" s="8793"/>
      <c r="K49" s="8793"/>
      <c r="L49" s="8793"/>
      <c r="M49" s="8793">
        <v>2</v>
      </c>
      <c r="N49" s="7780"/>
      <c r="O49" s="7780"/>
      <c r="P49" s="7780"/>
      <c r="Q49" s="7780"/>
      <c r="R49" s="7780"/>
      <c r="S49" s="7780"/>
      <c r="T49" s="7780"/>
      <c r="U49" s="7780"/>
      <c r="V49" s="7780"/>
      <c r="W49" s="8186"/>
      <c r="X49" s="8186"/>
      <c r="Y49" s="8186"/>
      <c r="Z49" s="8186"/>
      <c r="AA49" s="8186"/>
      <c r="AB49" s="8186"/>
      <c r="AC49" s="8186"/>
      <c r="AD49" s="8186"/>
      <c r="AE49" s="8186"/>
    </row>
    <row r="50" spans="1:31" s="8736" customFormat="1" ht="18" customHeight="1">
      <c r="A50" s="8186"/>
      <c r="B50" s="8186"/>
      <c r="C50" s="8186"/>
      <c r="D50" s="7780"/>
      <c r="E50" s="7780"/>
      <c r="F50" s="7780"/>
      <c r="G50" s="8792" t="s">
        <v>2021</v>
      </c>
      <c r="H50" s="8793" t="s">
        <v>2806</v>
      </c>
      <c r="I50" s="8793"/>
      <c r="J50" s="8793"/>
      <c r="K50" s="8793"/>
      <c r="L50" s="8793"/>
      <c r="M50" s="8793">
        <v>10</v>
      </c>
      <c r="N50" s="7780"/>
      <c r="O50" s="7780"/>
      <c r="P50" s="7780"/>
      <c r="Q50" s="7780"/>
      <c r="R50" s="7780"/>
      <c r="S50" s="7780"/>
      <c r="T50" s="7780"/>
      <c r="U50" s="7780"/>
      <c r="V50" s="7780"/>
      <c r="W50" s="8186"/>
      <c r="X50" s="8186"/>
      <c r="Y50" s="8186"/>
      <c r="Z50" s="8186"/>
      <c r="AA50" s="8186"/>
      <c r="AB50" s="8186"/>
      <c r="AC50" s="8186"/>
      <c r="AD50" s="8186"/>
      <c r="AE50" s="8186"/>
    </row>
    <row r="51" spans="1:31" s="8736" customFormat="1" ht="14.1" customHeight="1">
      <c r="A51" s="8186"/>
      <c r="B51" s="8186"/>
      <c r="C51" s="8186"/>
      <c r="D51" s="7780"/>
      <c r="E51" s="7780"/>
      <c r="F51" s="7780"/>
      <c r="G51" s="5131"/>
      <c r="H51" s="5121"/>
      <c r="I51" s="5121" t="s">
        <v>2807</v>
      </c>
      <c r="J51" s="5121"/>
      <c r="K51" s="5121"/>
      <c r="L51" s="5121"/>
      <c r="M51" s="5121">
        <v>8</v>
      </c>
      <c r="N51" s="7780"/>
      <c r="O51" s="7780"/>
      <c r="P51" s="7780"/>
      <c r="Q51" s="7780"/>
      <c r="R51" s="7780"/>
      <c r="S51" s="7780"/>
      <c r="T51" s="7780"/>
      <c r="U51" s="7780"/>
      <c r="V51" s="7780"/>
      <c r="W51" s="8186"/>
      <c r="X51" s="8186"/>
      <c r="Y51" s="8186"/>
      <c r="Z51" s="8186"/>
      <c r="AA51" s="8186"/>
      <c r="AB51" s="8186"/>
      <c r="AC51" s="8186"/>
      <c r="AD51" s="8186"/>
      <c r="AE51" s="8186"/>
    </row>
    <row r="52" spans="1:31" s="8736" customFormat="1" ht="14.1" customHeight="1">
      <c r="A52" s="8186"/>
      <c r="B52" s="8186"/>
      <c r="C52" s="8186"/>
      <c r="D52" s="7780"/>
      <c r="E52" s="7780"/>
      <c r="F52" s="7780"/>
      <c r="G52" s="5131"/>
      <c r="H52" s="5121"/>
      <c r="I52" s="5121" t="s">
        <v>2808</v>
      </c>
      <c r="J52" s="5121"/>
      <c r="K52" s="5121"/>
      <c r="L52" s="5121"/>
      <c r="M52" s="5121">
        <v>1</v>
      </c>
      <c r="N52" s="7780"/>
      <c r="O52" s="7780"/>
      <c r="P52" s="7780"/>
      <c r="Q52" s="7780"/>
      <c r="R52" s="7780"/>
      <c r="S52" s="7780"/>
      <c r="T52" s="7780"/>
      <c r="U52" s="7780"/>
      <c r="V52" s="7780"/>
      <c r="W52" s="8186"/>
      <c r="X52" s="8186"/>
      <c r="Y52" s="8186"/>
      <c r="Z52" s="8186"/>
      <c r="AA52" s="8186"/>
      <c r="AB52" s="8186"/>
      <c r="AC52" s="8186"/>
      <c r="AD52" s="8186"/>
      <c r="AE52" s="8186"/>
    </row>
    <row r="53" spans="1:31" s="8736" customFormat="1" ht="14.1" customHeight="1">
      <c r="A53" s="8186"/>
      <c r="B53" s="8186"/>
      <c r="C53" s="8186"/>
      <c r="D53" s="7780"/>
      <c r="E53" s="7780"/>
      <c r="F53" s="7780"/>
      <c r="G53" s="5131"/>
      <c r="H53" s="5121"/>
      <c r="I53" s="5121" t="s">
        <v>2809</v>
      </c>
      <c r="J53" s="5121"/>
      <c r="K53" s="5121"/>
      <c r="L53" s="5121"/>
      <c r="M53" s="5121">
        <v>1</v>
      </c>
      <c r="N53" s="7780"/>
      <c r="O53" s="7780"/>
      <c r="P53" s="7780"/>
      <c r="Q53" s="7780"/>
      <c r="R53" s="7780"/>
      <c r="S53" s="7780"/>
      <c r="T53" s="7780"/>
      <c r="U53" s="7780"/>
      <c r="V53" s="7780"/>
      <c r="W53" s="8186"/>
      <c r="X53" s="8186"/>
      <c r="Y53" s="8186"/>
      <c r="Z53" s="8186"/>
      <c r="AA53" s="8186"/>
      <c r="AB53" s="8186"/>
      <c r="AC53" s="8186"/>
      <c r="AD53" s="8186"/>
      <c r="AE53" s="8186"/>
    </row>
    <row r="54" spans="1:31" s="8736" customFormat="1" ht="8.25" customHeight="1">
      <c r="A54" s="8186"/>
      <c r="B54" s="8186"/>
      <c r="C54" s="8186"/>
      <c r="D54" s="7780"/>
      <c r="E54" s="7780"/>
      <c r="F54" s="7780"/>
      <c r="G54" s="7780"/>
      <c r="H54" s="7779"/>
      <c r="I54" s="7779"/>
      <c r="J54" s="7779"/>
      <c r="K54" s="7779"/>
      <c r="L54" s="7779"/>
      <c r="M54" s="7779"/>
      <c r="N54" s="7780"/>
      <c r="O54" s="7780"/>
      <c r="P54" s="7780"/>
      <c r="Q54" s="7780"/>
      <c r="R54" s="7780"/>
      <c r="S54" s="7780"/>
      <c r="T54" s="7780"/>
      <c r="U54" s="7780"/>
      <c r="V54" s="7780"/>
      <c r="W54" s="8186"/>
      <c r="X54" s="8186"/>
      <c r="Y54" s="8186"/>
      <c r="Z54" s="8186"/>
      <c r="AA54" s="8186"/>
      <c r="AB54" s="8186"/>
      <c r="AC54" s="8186"/>
      <c r="AD54" s="8186"/>
      <c r="AE54" s="8186"/>
    </row>
    <row r="55" spans="1:31" s="8736" customFormat="1" ht="15.75" customHeight="1">
      <c r="A55" s="8186"/>
      <c r="B55" s="8186"/>
      <c r="C55" s="8186"/>
      <c r="D55" s="7780"/>
      <c r="E55" s="7780"/>
      <c r="F55" s="8735" t="s">
        <v>2036</v>
      </c>
      <c r="G55" s="8808" t="s">
        <v>2898</v>
      </c>
      <c r="H55" s="8808"/>
      <c r="I55" s="8808"/>
      <c r="J55" s="8808"/>
      <c r="K55" s="8808"/>
      <c r="L55" s="8808"/>
      <c r="M55" s="8808"/>
      <c r="N55" s="8808"/>
      <c r="O55" s="8808"/>
      <c r="P55" s="8808"/>
      <c r="Q55" s="8808"/>
      <c r="R55" s="8808"/>
      <c r="S55" s="8808"/>
      <c r="T55" s="8808"/>
      <c r="U55" s="8808"/>
      <c r="V55" s="7780"/>
      <c r="W55" s="8186"/>
      <c r="X55" s="8186"/>
      <c r="Y55" s="8186"/>
      <c r="Z55" s="8186"/>
      <c r="AA55" s="8186"/>
      <c r="AB55" s="8186"/>
      <c r="AC55" s="8186"/>
      <c r="AD55" s="8186"/>
      <c r="AE55" s="8186"/>
    </row>
    <row r="56" spans="1:31" s="8736" customFormat="1" ht="15.95" customHeight="1">
      <c r="A56" s="8186"/>
      <c r="B56" s="8186"/>
      <c r="C56" s="8186"/>
      <c r="D56" s="7780"/>
      <c r="E56" s="7780"/>
      <c r="F56" s="7780"/>
      <c r="G56" s="8808"/>
      <c r="H56" s="8808"/>
      <c r="I56" s="8808"/>
      <c r="J56" s="8808"/>
      <c r="K56" s="8808"/>
      <c r="L56" s="8808"/>
      <c r="M56" s="8808"/>
      <c r="N56" s="8808"/>
      <c r="O56" s="8808"/>
      <c r="P56" s="8808"/>
      <c r="Q56" s="8808"/>
      <c r="R56" s="8808"/>
      <c r="S56" s="8808"/>
      <c r="T56" s="8808"/>
      <c r="U56" s="8808"/>
      <c r="V56" s="7780"/>
      <c r="W56" s="8186"/>
      <c r="X56" s="8186"/>
      <c r="Y56" s="8186"/>
      <c r="Z56" s="8186"/>
      <c r="AA56" s="8186"/>
      <c r="AB56" s="8186"/>
      <c r="AC56" s="8186"/>
      <c r="AD56" s="8186"/>
      <c r="AE56" s="8186"/>
    </row>
    <row r="57" spans="1:31" s="8736" customFormat="1" ht="15.95" customHeight="1">
      <c r="A57" s="8186"/>
      <c r="B57" s="8186"/>
      <c r="C57" s="8186"/>
      <c r="D57" s="7780"/>
      <c r="E57" s="7780"/>
      <c r="F57" s="7780"/>
      <c r="G57" s="8808"/>
      <c r="H57" s="8808"/>
      <c r="I57" s="8808"/>
      <c r="J57" s="8808"/>
      <c r="K57" s="8808"/>
      <c r="L57" s="8808"/>
      <c r="M57" s="8808"/>
      <c r="N57" s="8808"/>
      <c r="O57" s="8808"/>
      <c r="P57" s="8808"/>
      <c r="Q57" s="8808"/>
      <c r="R57" s="8808"/>
      <c r="S57" s="8808"/>
      <c r="T57" s="8808"/>
      <c r="U57" s="8808"/>
      <c r="V57" s="7780"/>
      <c r="W57" s="8186"/>
      <c r="X57" s="8186"/>
      <c r="Y57" s="8186"/>
      <c r="Z57" s="8186"/>
      <c r="AA57" s="8186"/>
      <c r="AB57" s="8186"/>
      <c r="AC57" s="8186"/>
      <c r="AD57" s="8186"/>
      <c r="AE57" s="8186"/>
    </row>
    <row r="58" spans="1:31" s="8736" customFormat="1" ht="15.95" customHeight="1">
      <c r="A58" s="8186"/>
      <c r="B58" s="8186"/>
      <c r="C58" s="8186"/>
      <c r="D58" s="7780"/>
      <c r="E58" s="7780"/>
      <c r="F58" s="8741" t="s">
        <v>2815</v>
      </c>
      <c r="G58" s="7780"/>
      <c r="H58" s="7780"/>
      <c r="I58" s="7780"/>
      <c r="J58" s="7780"/>
      <c r="K58" s="7780"/>
      <c r="L58" s="7780"/>
      <c r="M58" s="7780"/>
      <c r="N58" s="7780"/>
      <c r="O58" s="7780"/>
      <c r="P58" s="7780"/>
      <c r="Q58" s="7780"/>
      <c r="R58" s="7780"/>
      <c r="S58" s="7780"/>
      <c r="T58" s="7780"/>
      <c r="U58" s="7780"/>
      <c r="V58" s="7780"/>
      <c r="W58" s="8186"/>
      <c r="X58" s="8186"/>
      <c r="Y58" s="8186"/>
      <c r="Z58" s="8186"/>
      <c r="AA58" s="8186"/>
      <c r="AB58" s="8186"/>
      <c r="AC58" s="8186"/>
      <c r="AD58" s="8186"/>
      <c r="AE58" s="8186"/>
    </row>
    <row r="59" spans="1:31" s="8736" customFormat="1" ht="8.1" customHeight="1">
      <c r="A59" s="8186"/>
      <c r="B59" s="8186"/>
      <c r="C59" s="8186"/>
      <c r="D59" s="7780"/>
      <c r="E59" s="7780"/>
      <c r="F59" s="8741"/>
      <c r="G59" s="7780"/>
      <c r="H59" s="7780"/>
      <c r="I59" s="7780"/>
      <c r="J59" s="7780"/>
      <c r="K59" s="7780"/>
      <c r="L59" s="7780"/>
      <c r="M59" s="7780"/>
      <c r="N59" s="7780"/>
      <c r="O59" s="7780"/>
      <c r="P59" s="7780"/>
      <c r="Q59" s="7780"/>
      <c r="R59" s="7780"/>
      <c r="S59" s="7780"/>
      <c r="T59" s="7780"/>
      <c r="U59" s="7780"/>
      <c r="V59" s="7780"/>
      <c r="W59" s="8186"/>
      <c r="X59" s="8186"/>
      <c r="Y59" s="8186"/>
      <c r="Z59" s="8186"/>
      <c r="AA59" s="8186"/>
      <c r="AB59" s="8186"/>
      <c r="AC59" s="8186"/>
      <c r="AD59" s="8186"/>
      <c r="AE59" s="8186"/>
    </row>
    <row r="60" spans="1:31" s="8736" customFormat="1" ht="15.95" customHeight="1">
      <c r="A60" s="8186"/>
      <c r="B60" s="8186"/>
      <c r="C60" s="8186"/>
      <c r="D60" s="7780"/>
      <c r="E60" s="7780"/>
      <c r="F60" s="8735" t="s">
        <v>2036</v>
      </c>
      <c r="G60" s="8806" t="s">
        <v>2816</v>
      </c>
      <c r="H60" s="8806"/>
      <c r="I60" s="8806"/>
      <c r="J60" s="8806"/>
      <c r="K60" s="8806"/>
      <c r="L60" s="8806"/>
      <c r="M60" s="8806"/>
      <c r="N60" s="8806"/>
      <c r="O60" s="8806"/>
      <c r="P60" s="8806"/>
      <c r="Q60" s="8806"/>
      <c r="R60" s="8806"/>
      <c r="S60" s="8806"/>
      <c r="T60" s="8806"/>
      <c r="U60" s="8806"/>
      <c r="V60" s="7780"/>
      <c r="W60" s="8186"/>
      <c r="X60" s="8186"/>
      <c r="Y60" s="8186"/>
      <c r="Z60" s="8186"/>
      <c r="AA60" s="8186"/>
      <c r="AB60" s="8186"/>
      <c r="AC60" s="8186"/>
      <c r="AD60" s="8186"/>
      <c r="AE60" s="8186"/>
    </row>
    <row r="61" spans="1:31" s="8736" customFormat="1" ht="15.95" customHeight="1">
      <c r="A61" s="8186"/>
      <c r="B61" s="8186"/>
      <c r="C61" s="8186"/>
      <c r="D61" s="7780"/>
      <c r="E61" s="7780"/>
      <c r="F61" s="8735"/>
      <c r="G61" s="8806"/>
      <c r="H61" s="8806"/>
      <c r="I61" s="8806"/>
      <c r="J61" s="8806"/>
      <c r="K61" s="8806"/>
      <c r="L61" s="8806"/>
      <c r="M61" s="8806"/>
      <c r="N61" s="8806"/>
      <c r="O61" s="8806"/>
      <c r="P61" s="8806"/>
      <c r="Q61" s="8806"/>
      <c r="R61" s="8806"/>
      <c r="S61" s="8806"/>
      <c r="T61" s="8806"/>
      <c r="U61" s="8806"/>
      <c r="V61" s="7780"/>
      <c r="W61" s="8186"/>
      <c r="X61" s="8186"/>
      <c r="Y61" s="8186"/>
      <c r="Z61" s="8186"/>
      <c r="AA61" s="8186"/>
      <c r="AB61" s="8186"/>
      <c r="AC61" s="8186"/>
      <c r="AD61" s="8186"/>
      <c r="AE61" s="8186"/>
    </row>
    <row r="62" spans="1:31" s="8736" customFormat="1" ht="15.95" customHeight="1">
      <c r="A62" s="8186"/>
      <c r="B62" s="8186"/>
      <c r="C62" s="8186"/>
      <c r="D62" s="7780"/>
      <c r="E62" s="7780"/>
      <c r="F62" s="8741"/>
      <c r="G62" s="8806"/>
      <c r="H62" s="8806"/>
      <c r="I62" s="8806"/>
      <c r="J62" s="8806"/>
      <c r="K62" s="8806"/>
      <c r="L62" s="8806"/>
      <c r="M62" s="8806"/>
      <c r="N62" s="8806"/>
      <c r="O62" s="8806"/>
      <c r="P62" s="8806"/>
      <c r="Q62" s="8806"/>
      <c r="R62" s="8806"/>
      <c r="S62" s="8806"/>
      <c r="T62" s="8806"/>
      <c r="U62" s="8806"/>
      <c r="V62" s="7780"/>
      <c r="W62" s="8186"/>
      <c r="X62" s="8186"/>
      <c r="Y62" s="8186"/>
      <c r="Z62" s="8186"/>
      <c r="AA62" s="8186"/>
      <c r="AB62" s="8186"/>
      <c r="AC62" s="8186"/>
      <c r="AD62" s="8186"/>
      <c r="AE62" s="8186"/>
    </row>
    <row r="63" spans="1:31" s="8736" customFormat="1" ht="15.95" customHeight="1">
      <c r="A63" s="8186"/>
      <c r="B63" s="8186"/>
      <c r="C63" s="8186"/>
      <c r="D63" s="7780"/>
      <c r="E63" s="7780"/>
      <c r="F63" s="8735" t="s">
        <v>2036</v>
      </c>
      <c r="G63" s="8806" t="s">
        <v>2826</v>
      </c>
      <c r="H63" s="8806"/>
      <c r="I63" s="8806"/>
      <c r="J63" s="8806"/>
      <c r="K63" s="8806"/>
      <c r="L63" s="8806"/>
      <c r="M63" s="8806"/>
      <c r="N63" s="8806"/>
      <c r="O63" s="8806"/>
      <c r="P63" s="8806"/>
      <c r="Q63" s="8806"/>
      <c r="R63" s="8806"/>
      <c r="S63" s="8806"/>
      <c r="T63" s="8806"/>
      <c r="U63" s="8806"/>
      <c r="V63" s="7780"/>
      <c r="W63" s="8186"/>
      <c r="X63" s="8186"/>
      <c r="Y63" s="8186"/>
      <c r="Z63" s="8186"/>
      <c r="AA63" s="8186"/>
      <c r="AB63" s="8186"/>
      <c r="AC63" s="8186"/>
      <c r="AD63" s="8186"/>
      <c r="AE63" s="8186"/>
    </row>
    <row r="64" spans="1:31" s="8736" customFormat="1" ht="15.95" customHeight="1">
      <c r="A64" s="8186"/>
      <c r="B64" s="8186"/>
      <c r="C64" s="8186"/>
      <c r="D64" s="7780"/>
      <c r="E64" s="7780"/>
      <c r="F64" s="8735"/>
      <c r="G64" s="8806"/>
      <c r="H64" s="8806"/>
      <c r="I64" s="8806"/>
      <c r="J64" s="8806"/>
      <c r="K64" s="8806"/>
      <c r="L64" s="8806"/>
      <c r="M64" s="8806"/>
      <c r="N64" s="8806"/>
      <c r="O64" s="8806"/>
      <c r="P64" s="8806"/>
      <c r="Q64" s="8806"/>
      <c r="R64" s="8806"/>
      <c r="S64" s="8806"/>
      <c r="T64" s="8806"/>
      <c r="U64" s="8806"/>
      <c r="V64" s="7780"/>
      <c r="W64" s="8186"/>
      <c r="X64" s="8186"/>
      <c r="Y64" s="8186"/>
      <c r="Z64" s="8186"/>
      <c r="AA64" s="8186"/>
      <c r="AB64" s="8186"/>
      <c r="AC64" s="8186"/>
      <c r="AD64" s="8186"/>
      <c r="AE64" s="8186"/>
    </row>
    <row r="65" spans="1:31" s="8736" customFormat="1" ht="15.95" customHeight="1">
      <c r="A65" s="8186"/>
      <c r="B65" s="8186"/>
      <c r="C65" s="8186"/>
      <c r="D65" s="7780"/>
      <c r="E65" s="7780"/>
      <c r="F65" s="8735"/>
      <c r="G65" s="8806"/>
      <c r="H65" s="8806"/>
      <c r="I65" s="8806"/>
      <c r="J65" s="8806"/>
      <c r="K65" s="8806"/>
      <c r="L65" s="8806"/>
      <c r="M65" s="8806"/>
      <c r="N65" s="8806"/>
      <c r="O65" s="8806"/>
      <c r="P65" s="8806"/>
      <c r="Q65" s="8806"/>
      <c r="R65" s="8806"/>
      <c r="S65" s="8806"/>
      <c r="T65" s="8806"/>
      <c r="U65" s="8806"/>
      <c r="V65" s="7780"/>
      <c r="W65" s="8186"/>
      <c r="X65" s="8186"/>
      <c r="Y65" s="8186"/>
      <c r="Z65" s="8186"/>
      <c r="AA65" s="8186"/>
      <c r="AB65" s="8186"/>
      <c r="AC65" s="8186"/>
      <c r="AD65" s="8186"/>
      <c r="AE65" s="8186"/>
    </row>
    <row r="66" spans="1:31" s="8736" customFormat="1" ht="15.95" customHeight="1">
      <c r="A66" s="8186"/>
      <c r="B66" s="8186"/>
      <c r="C66" s="8186"/>
      <c r="D66" s="7780"/>
      <c r="E66" s="7780"/>
      <c r="G66" s="8806"/>
      <c r="H66" s="8806"/>
      <c r="I66" s="8806"/>
      <c r="J66" s="8806"/>
      <c r="K66" s="8806"/>
      <c r="L66" s="8806"/>
      <c r="M66" s="8806"/>
      <c r="N66" s="8806"/>
      <c r="O66" s="8806"/>
      <c r="P66" s="8806"/>
      <c r="Q66" s="8806"/>
      <c r="R66" s="8806"/>
      <c r="S66" s="8806"/>
      <c r="T66" s="8806"/>
      <c r="U66" s="8806"/>
      <c r="V66" s="7780"/>
      <c r="W66" s="8186"/>
      <c r="X66" s="8186"/>
      <c r="Y66" s="8186"/>
      <c r="Z66" s="8186"/>
      <c r="AA66" s="8186"/>
      <c r="AB66" s="8186"/>
      <c r="AC66" s="8186"/>
      <c r="AD66" s="8186"/>
      <c r="AE66" s="8186"/>
    </row>
    <row r="67" spans="1:31" s="2" customFormat="1" ht="18" customHeight="1">
      <c r="A67" s="5134"/>
      <c r="B67" s="5134"/>
      <c r="C67" s="5134"/>
      <c r="D67" s="5131"/>
      <c r="E67" s="5131"/>
      <c r="F67" s="5936" t="s">
        <v>2036</v>
      </c>
      <c r="G67" s="5131" t="s">
        <v>2817</v>
      </c>
      <c r="H67" s="5131"/>
      <c r="I67" s="5131"/>
      <c r="J67" s="5131"/>
      <c r="K67" s="5131"/>
      <c r="L67" s="5131"/>
      <c r="M67" s="5131"/>
      <c r="N67" s="5131"/>
      <c r="O67" s="5131"/>
      <c r="P67" s="5131"/>
      <c r="Q67" s="5131"/>
      <c r="R67" s="5131"/>
      <c r="S67" s="5131"/>
      <c r="T67" s="5131"/>
      <c r="U67" s="5131"/>
      <c r="V67" s="5131"/>
      <c r="W67" s="5134"/>
      <c r="X67" s="5134"/>
      <c r="Y67" s="5134"/>
      <c r="Z67" s="5134"/>
      <c r="AA67" s="5134"/>
      <c r="AB67" s="5134"/>
      <c r="AC67" s="5134"/>
      <c r="AD67" s="5134"/>
      <c r="AE67" s="5134"/>
    </row>
    <row r="68" spans="1:31" s="8736" customFormat="1" ht="15.95" customHeight="1">
      <c r="A68" s="8186"/>
      <c r="B68" s="8186"/>
      <c r="C68" s="8186"/>
      <c r="D68" s="7780"/>
      <c r="E68" s="7780"/>
      <c r="F68" s="8741"/>
      <c r="G68" s="7780"/>
      <c r="H68" s="7780" t="s">
        <v>2818</v>
      </c>
      <c r="I68" s="7780"/>
      <c r="J68" s="7780"/>
      <c r="K68" s="7780"/>
      <c r="L68" s="7780"/>
      <c r="M68" s="7780"/>
      <c r="N68" s="7780"/>
      <c r="O68" s="7780"/>
      <c r="P68" s="7780"/>
      <c r="Q68" s="7780"/>
      <c r="R68" s="7780"/>
      <c r="S68" s="7780"/>
      <c r="T68" s="7780"/>
      <c r="U68" s="7780"/>
      <c r="V68" s="7780"/>
      <c r="W68" s="8186"/>
      <c r="X68" s="8186"/>
      <c r="Y68" s="8186"/>
      <c r="Z68" s="8186"/>
      <c r="AA68" s="8186"/>
      <c r="AB68" s="8186"/>
      <c r="AC68" s="8186"/>
      <c r="AD68" s="8186"/>
      <c r="AE68" s="8186"/>
    </row>
    <row r="69" spans="1:31" s="8736" customFormat="1" ht="15.95" customHeight="1">
      <c r="A69" s="8186"/>
      <c r="B69" s="8186"/>
      <c r="C69" s="8186"/>
      <c r="D69" s="7780"/>
      <c r="E69" s="7780"/>
      <c r="F69" s="8741"/>
      <c r="G69" s="7780"/>
      <c r="H69" s="7780" t="s">
        <v>2819</v>
      </c>
      <c r="I69" s="7780"/>
      <c r="J69" s="7780"/>
      <c r="K69" s="7780"/>
      <c r="L69" s="7780"/>
      <c r="M69" s="7780"/>
      <c r="N69" s="7780"/>
      <c r="O69" s="7780"/>
      <c r="P69" s="7780"/>
      <c r="Q69" s="7780"/>
      <c r="R69" s="7780"/>
      <c r="S69" s="7780"/>
      <c r="T69" s="7780"/>
      <c r="U69" s="7780"/>
      <c r="V69" s="7780"/>
      <c r="W69" s="8186"/>
      <c r="X69" s="8186"/>
      <c r="Y69" s="8186"/>
      <c r="Z69" s="8186"/>
      <c r="AA69" s="8186"/>
      <c r="AB69" s="8186"/>
      <c r="AC69" s="8186"/>
      <c r="AD69" s="8186"/>
      <c r="AE69" s="8186"/>
    </row>
    <row r="70" spans="1:31" s="8736" customFormat="1" ht="15.95" customHeight="1">
      <c r="A70" s="8186"/>
      <c r="B70" s="8186"/>
      <c r="C70" s="8186"/>
      <c r="D70" s="7780"/>
      <c r="E70" s="7780"/>
      <c r="F70" s="8741"/>
      <c r="G70" s="7780"/>
      <c r="H70" s="7780" t="s">
        <v>2820</v>
      </c>
      <c r="I70" s="7780"/>
      <c r="J70" s="7780"/>
      <c r="K70" s="7780"/>
      <c r="L70" s="7780"/>
      <c r="M70" s="7780"/>
      <c r="N70" s="7780"/>
      <c r="O70" s="7780"/>
      <c r="P70" s="7780"/>
      <c r="Q70" s="7780"/>
      <c r="R70" s="7780"/>
      <c r="S70" s="7780"/>
      <c r="T70" s="7780"/>
      <c r="U70" s="7780"/>
      <c r="V70" s="7780"/>
      <c r="W70" s="8186"/>
      <c r="X70" s="8186"/>
      <c r="Y70" s="8186"/>
      <c r="Z70" s="8186"/>
      <c r="AA70" s="8186"/>
      <c r="AB70" s="8186"/>
      <c r="AC70" s="8186"/>
      <c r="AD70" s="8186"/>
      <c r="AE70" s="8186"/>
    </row>
    <row r="71" spans="1:31" s="8736" customFormat="1" ht="15.95" customHeight="1">
      <c r="A71" s="8186"/>
      <c r="B71" s="8186"/>
      <c r="C71" s="8186"/>
      <c r="D71" s="7780"/>
      <c r="E71" s="7780"/>
      <c r="F71" s="8741"/>
      <c r="G71" s="7780"/>
      <c r="H71" s="7780" t="s">
        <v>2821</v>
      </c>
      <c r="I71" s="7780"/>
      <c r="J71" s="7780"/>
      <c r="K71" s="7780"/>
      <c r="L71" s="7780"/>
      <c r="M71" s="7780"/>
      <c r="N71" s="7780"/>
      <c r="O71" s="7780"/>
      <c r="P71" s="7780"/>
      <c r="Q71" s="7780"/>
      <c r="R71" s="7780"/>
      <c r="S71" s="7780"/>
      <c r="T71" s="7780"/>
      <c r="U71" s="7780"/>
      <c r="V71" s="7780"/>
      <c r="W71" s="8186"/>
      <c r="X71" s="8186"/>
      <c r="Y71" s="8186"/>
      <c r="Z71" s="8186"/>
      <c r="AA71" s="8186"/>
      <c r="AB71" s="8186"/>
      <c r="AC71" s="8186"/>
      <c r="AD71" s="8186"/>
      <c r="AE71" s="8186"/>
    </row>
    <row r="72" spans="1:31" s="8736" customFormat="1" ht="15.95" customHeight="1">
      <c r="A72" s="8186"/>
      <c r="B72" s="8186"/>
      <c r="C72" s="8186"/>
      <c r="D72" s="7780"/>
      <c r="E72" s="7780"/>
      <c r="F72" s="8741"/>
      <c r="G72" s="7780"/>
      <c r="H72" s="7780" t="s">
        <v>2822</v>
      </c>
      <c r="I72" s="7780"/>
      <c r="J72" s="7780"/>
      <c r="K72" s="7780"/>
      <c r="L72" s="7780"/>
      <c r="M72" s="7780"/>
      <c r="N72" s="7780"/>
      <c r="O72" s="7780"/>
      <c r="P72" s="7780"/>
      <c r="Q72" s="7780"/>
      <c r="R72" s="7780"/>
      <c r="S72" s="7780"/>
      <c r="T72" s="7780"/>
      <c r="U72" s="7780"/>
      <c r="V72" s="7780"/>
      <c r="W72" s="8186"/>
      <c r="X72" s="8186"/>
      <c r="Y72" s="8186"/>
      <c r="Z72" s="8186"/>
      <c r="AA72" s="8186"/>
      <c r="AB72" s="8186"/>
      <c r="AC72" s="8186"/>
      <c r="AD72" s="8186"/>
      <c r="AE72" s="8186"/>
    </row>
    <row r="73" spans="1:31" s="8736" customFormat="1" ht="15.95" customHeight="1">
      <c r="A73" s="8186"/>
      <c r="B73" s="8186"/>
      <c r="C73" s="8186"/>
      <c r="D73" s="7780"/>
      <c r="E73" s="7780"/>
      <c r="F73" s="8741"/>
      <c r="G73" s="7780"/>
      <c r="H73" s="7780" t="s">
        <v>2823</v>
      </c>
      <c r="I73" s="7780"/>
      <c r="J73" s="7780"/>
      <c r="K73" s="7780"/>
      <c r="L73" s="7780"/>
      <c r="M73" s="7780"/>
      <c r="N73" s="7780"/>
      <c r="O73" s="7780"/>
      <c r="P73" s="7780"/>
      <c r="Q73" s="7780"/>
      <c r="R73" s="7780"/>
      <c r="S73" s="7780"/>
      <c r="T73" s="7780"/>
      <c r="U73" s="7780"/>
      <c r="V73" s="7780"/>
      <c r="W73" s="8186"/>
      <c r="X73" s="8186"/>
      <c r="Y73" s="8186"/>
      <c r="Z73" s="8186"/>
      <c r="AA73" s="8186"/>
      <c r="AB73" s="8186"/>
      <c r="AC73" s="8186"/>
      <c r="AD73" s="8186"/>
      <c r="AE73" s="8186"/>
    </row>
    <row r="74" spans="1:31" s="8736" customFormat="1" ht="15.95" customHeight="1">
      <c r="A74" s="8186"/>
      <c r="B74" s="8186"/>
      <c r="C74" s="8186"/>
      <c r="D74" s="7780"/>
      <c r="E74" s="7780"/>
      <c r="F74" s="8741"/>
      <c r="G74" s="7780"/>
      <c r="H74" s="7780" t="s">
        <v>2824</v>
      </c>
      <c r="I74" s="7780"/>
      <c r="J74" s="7780"/>
      <c r="K74" s="7780"/>
      <c r="L74" s="7780"/>
      <c r="M74" s="7780"/>
      <c r="N74" s="7780"/>
      <c r="O74" s="7780"/>
      <c r="P74" s="7780"/>
      <c r="Q74" s="7780"/>
      <c r="R74" s="7780"/>
      <c r="S74" s="7780"/>
      <c r="T74" s="7780"/>
      <c r="U74" s="7780"/>
      <c r="V74" s="7780"/>
      <c r="W74" s="8186"/>
      <c r="X74" s="8186"/>
      <c r="Y74" s="8186"/>
      <c r="Z74" s="8186"/>
      <c r="AA74" s="8186"/>
      <c r="AB74" s="8186"/>
      <c r="AC74" s="8186"/>
      <c r="AD74" s="8186"/>
      <c r="AE74" s="8186"/>
    </row>
    <row r="75" spans="1:31" s="8736" customFormat="1" ht="15.95" customHeight="1">
      <c r="A75" s="8186"/>
      <c r="B75" s="8186"/>
      <c r="C75" s="8186"/>
      <c r="D75" s="7780"/>
      <c r="E75" s="7780"/>
      <c r="F75" s="8741"/>
      <c r="G75" s="7780"/>
      <c r="H75" s="7780" t="s">
        <v>2825</v>
      </c>
      <c r="I75" s="7780"/>
      <c r="J75" s="7780"/>
      <c r="K75" s="7780"/>
      <c r="L75" s="7780"/>
      <c r="M75" s="7780"/>
      <c r="N75" s="7780"/>
      <c r="O75" s="7780"/>
      <c r="P75" s="7780"/>
      <c r="Q75" s="7780"/>
      <c r="R75" s="7780"/>
      <c r="S75" s="7780"/>
      <c r="T75" s="7780"/>
      <c r="U75" s="7780"/>
      <c r="V75" s="7780"/>
      <c r="W75" s="8186"/>
      <c r="X75" s="8186"/>
      <c r="Y75" s="8186"/>
      <c r="Z75" s="8186"/>
      <c r="AA75" s="8186"/>
      <c r="AB75" s="8186"/>
      <c r="AC75" s="8186"/>
      <c r="AD75" s="8186"/>
      <c r="AE75" s="8186"/>
    </row>
    <row r="76" spans="1:31" s="8736" customFormat="1" ht="20.100000000000001" customHeight="1">
      <c r="A76" s="8186"/>
      <c r="B76" s="8186"/>
      <c r="C76" s="8186"/>
      <c r="D76" s="7780"/>
      <c r="E76" s="7780"/>
      <c r="F76" s="8741" t="s">
        <v>2872</v>
      </c>
      <c r="G76" s="7780"/>
      <c r="H76" s="7780"/>
      <c r="I76" s="7780"/>
      <c r="J76" s="7780"/>
      <c r="K76" s="7780"/>
      <c r="L76" s="7780"/>
      <c r="M76" s="7780"/>
      <c r="N76" s="7780"/>
      <c r="O76" s="7780"/>
      <c r="P76" s="7780"/>
      <c r="Q76" s="7780"/>
      <c r="R76" s="7780"/>
      <c r="S76" s="7780"/>
      <c r="T76" s="7780"/>
      <c r="U76" s="7780"/>
      <c r="V76" s="7780"/>
      <c r="W76" s="8186"/>
      <c r="X76" s="8186"/>
      <c r="Y76" s="8186"/>
      <c r="Z76" s="8186"/>
      <c r="AA76" s="8186"/>
      <c r="AB76" s="8186"/>
      <c r="AC76" s="8186"/>
      <c r="AD76" s="8186"/>
      <c r="AE76" s="8186"/>
    </row>
    <row r="77" spans="1:31" s="8736" customFormat="1" ht="15.95" customHeight="1">
      <c r="A77" s="8186"/>
      <c r="B77" s="8186"/>
      <c r="C77" s="8186"/>
      <c r="D77" s="7780"/>
      <c r="E77" s="7780"/>
      <c r="F77" s="8735" t="s">
        <v>2036</v>
      </c>
      <c r="G77" s="8806" t="s">
        <v>2882</v>
      </c>
      <c r="H77" s="8806"/>
      <c r="I77" s="8806"/>
      <c r="J77" s="8806"/>
      <c r="K77" s="8806"/>
      <c r="L77" s="8806"/>
      <c r="M77" s="8806"/>
      <c r="N77" s="8806"/>
      <c r="O77" s="8806"/>
      <c r="P77" s="8806"/>
      <c r="Q77" s="8806"/>
      <c r="R77" s="8806"/>
      <c r="S77" s="8806"/>
      <c r="T77" s="8806"/>
      <c r="U77" s="8806"/>
      <c r="V77" s="7780"/>
      <c r="W77" s="8186"/>
      <c r="X77" s="8186"/>
      <c r="Y77" s="8186"/>
      <c r="Z77" s="8186"/>
      <c r="AA77" s="8186"/>
      <c r="AB77" s="8186"/>
      <c r="AC77" s="8186"/>
      <c r="AD77" s="8186"/>
      <c r="AE77" s="8186"/>
    </row>
    <row r="78" spans="1:31" s="8736" customFormat="1" ht="15.95" customHeight="1">
      <c r="A78" s="8186"/>
      <c r="B78" s="8186"/>
      <c r="C78" s="8186"/>
      <c r="D78" s="7780"/>
      <c r="E78" s="7780"/>
      <c r="F78" s="7780"/>
      <c r="G78" s="8806"/>
      <c r="H78" s="8806"/>
      <c r="I78" s="8806"/>
      <c r="J78" s="8806"/>
      <c r="K78" s="8806"/>
      <c r="L78" s="8806"/>
      <c r="M78" s="8806"/>
      <c r="N78" s="8806"/>
      <c r="O78" s="8806"/>
      <c r="P78" s="8806"/>
      <c r="Q78" s="8806"/>
      <c r="R78" s="8806"/>
      <c r="S78" s="8806"/>
      <c r="T78" s="8806"/>
      <c r="U78" s="8806"/>
      <c r="V78" s="7780"/>
      <c r="W78" s="8186"/>
      <c r="X78" s="8186"/>
      <c r="Y78" s="8186"/>
      <c r="Z78" s="8186"/>
      <c r="AA78" s="8186"/>
      <c r="AB78" s="8186"/>
      <c r="AC78" s="8186"/>
      <c r="AD78" s="8186"/>
      <c r="AE78" s="8186"/>
    </row>
    <row r="79" spans="1:31" s="8736" customFormat="1" ht="12.75" customHeight="1">
      <c r="A79" s="8186"/>
      <c r="B79" s="8186"/>
      <c r="C79" s="8186"/>
      <c r="D79" s="7780"/>
      <c r="E79" s="7780"/>
      <c r="F79" s="7780"/>
      <c r="G79" s="8806"/>
      <c r="H79" s="8806"/>
      <c r="I79" s="8806"/>
      <c r="J79" s="8806"/>
      <c r="K79" s="8806"/>
      <c r="L79" s="8806"/>
      <c r="M79" s="8806"/>
      <c r="N79" s="8806"/>
      <c r="O79" s="8806"/>
      <c r="P79" s="8806"/>
      <c r="Q79" s="8806"/>
      <c r="R79" s="8806"/>
      <c r="S79" s="8806"/>
      <c r="T79" s="8806"/>
      <c r="U79" s="8806"/>
      <c r="V79" s="7780"/>
      <c r="W79" s="8186"/>
      <c r="X79" s="8186"/>
      <c r="Y79" s="8186"/>
      <c r="Z79" s="8186"/>
      <c r="AA79" s="8186"/>
      <c r="AB79" s="8186"/>
      <c r="AC79" s="8186"/>
      <c r="AD79" s="8186"/>
      <c r="AE79" s="8186"/>
    </row>
    <row r="80" spans="1:31" s="8736" customFormat="1" ht="17.25" customHeight="1">
      <c r="A80" s="8186"/>
      <c r="B80" s="8186"/>
      <c r="C80" s="8186"/>
      <c r="D80" s="7780"/>
      <c r="E80" s="7780"/>
      <c r="F80" s="8735" t="s">
        <v>2036</v>
      </c>
      <c r="G80" s="8810" t="s">
        <v>2883</v>
      </c>
      <c r="H80" s="8810"/>
      <c r="I80" s="8810"/>
      <c r="J80" s="8810"/>
      <c r="K80" s="8810"/>
      <c r="L80" s="8810"/>
      <c r="M80" s="8810"/>
      <c r="N80" s="8810"/>
      <c r="O80" s="8810"/>
      <c r="P80" s="8810"/>
      <c r="Q80" s="8810"/>
      <c r="R80" s="8810"/>
      <c r="S80" s="8810"/>
      <c r="T80" s="8810"/>
      <c r="U80" s="8810"/>
      <c r="V80" s="7780"/>
      <c r="W80" s="8186"/>
      <c r="X80" s="8186"/>
      <c r="Y80" s="8186"/>
      <c r="Z80" s="8186"/>
      <c r="AA80" s="8186"/>
      <c r="AB80" s="8186"/>
      <c r="AC80" s="8186"/>
      <c r="AD80" s="8186"/>
      <c r="AE80" s="8186"/>
    </row>
    <row r="81" spans="1:31" s="8736" customFormat="1" ht="17.25" customHeight="1">
      <c r="A81" s="8186"/>
      <c r="B81" s="8186"/>
      <c r="C81" s="8186"/>
      <c r="D81" s="7780"/>
      <c r="E81" s="7780"/>
      <c r="F81" s="8735"/>
      <c r="G81" s="8810"/>
      <c r="H81" s="8810"/>
      <c r="I81" s="8810"/>
      <c r="J81" s="8810"/>
      <c r="K81" s="8810"/>
      <c r="L81" s="8810"/>
      <c r="M81" s="8810"/>
      <c r="N81" s="8810"/>
      <c r="O81" s="8810"/>
      <c r="P81" s="8810"/>
      <c r="Q81" s="8810"/>
      <c r="R81" s="8810"/>
      <c r="S81" s="8810"/>
      <c r="T81" s="8810"/>
      <c r="U81" s="8810"/>
      <c r="V81" s="7780"/>
      <c r="W81" s="8186"/>
      <c r="X81" s="8186"/>
      <c r="Y81" s="8186"/>
      <c r="Z81" s="8186"/>
      <c r="AA81" s="8186"/>
      <c r="AB81" s="8186"/>
      <c r="AC81" s="8186"/>
      <c r="AD81" s="8186"/>
      <c r="AE81" s="8186"/>
    </row>
    <row r="82" spans="1:31" s="8736" customFormat="1" ht="18" customHeight="1">
      <c r="A82" s="8186"/>
      <c r="B82" s="8186"/>
      <c r="C82" s="8186"/>
      <c r="D82" s="7780"/>
      <c r="E82" s="7780"/>
      <c r="F82" s="5936" t="s">
        <v>2036</v>
      </c>
      <c r="G82" s="8816" t="s">
        <v>2884</v>
      </c>
      <c r="H82" s="8816"/>
      <c r="I82" s="8816"/>
      <c r="J82" s="8816"/>
      <c r="K82" s="8816"/>
      <c r="L82" s="8816"/>
      <c r="M82" s="8816"/>
      <c r="N82" s="8816"/>
      <c r="O82" s="8816"/>
      <c r="P82" s="8816"/>
      <c r="Q82" s="8816"/>
      <c r="R82" s="8816"/>
      <c r="S82" s="8816"/>
      <c r="T82" s="8816"/>
      <c r="U82" s="8816"/>
      <c r="V82" s="7780"/>
      <c r="W82" s="8186"/>
      <c r="X82" s="8186"/>
      <c r="Y82" s="8186"/>
      <c r="Z82" s="8186"/>
      <c r="AA82" s="8186"/>
      <c r="AB82" s="8186"/>
      <c r="AC82" s="8186"/>
      <c r="AD82" s="8186"/>
      <c r="AE82" s="8186"/>
    </row>
    <row r="83" spans="1:31" s="8736" customFormat="1" ht="15.95" customHeight="1">
      <c r="A83" s="8186"/>
      <c r="B83" s="8186"/>
      <c r="C83" s="8186"/>
      <c r="D83" s="7780"/>
      <c r="E83" s="7780"/>
      <c r="F83" s="7780"/>
      <c r="G83" s="7780"/>
      <c r="H83" s="8794" t="s">
        <v>2899</v>
      </c>
      <c r="I83" s="7780"/>
      <c r="J83" s="7780"/>
      <c r="K83" s="7780"/>
      <c r="L83" s="7780"/>
      <c r="M83" s="7780"/>
      <c r="N83" s="7780"/>
      <c r="O83" s="7780"/>
      <c r="P83" s="7780"/>
      <c r="Q83" s="7780"/>
      <c r="R83" s="7780"/>
      <c r="S83" s="7780"/>
      <c r="T83" s="7780"/>
      <c r="U83" s="7780"/>
      <c r="V83" s="7780"/>
      <c r="W83" s="8186"/>
      <c r="X83" s="8186"/>
      <c r="Y83" s="8186"/>
      <c r="Z83" s="8186"/>
      <c r="AA83" s="8186"/>
      <c r="AB83" s="8186"/>
      <c r="AC83" s="8186"/>
      <c r="AD83" s="8186"/>
      <c r="AE83" s="8186"/>
    </row>
    <row r="84" spans="1:31" s="8736" customFormat="1" ht="15.95" customHeight="1">
      <c r="A84" s="8186"/>
      <c r="B84" s="8186"/>
      <c r="C84" s="8186"/>
      <c r="D84" s="7780"/>
      <c r="E84" s="7780"/>
      <c r="F84" s="7780"/>
      <c r="G84" s="7780"/>
      <c r="H84" s="8794" t="s">
        <v>2900</v>
      </c>
      <c r="I84" s="7780"/>
      <c r="J84" s="7780"/>
      <c r="K84" s="7780"/>
      <c r="L84" s="7780"/>
      <c r="M84" s="7780"/>
      <c r="N84" s="7780"/>
      <c r="O84" s="7780"/>
      <c r="P84" s="7780"/>
      <c r="Q84" s="7780"/>
      <c r="R84" s="7780"/>
      <c r="S84" s="7780"/>
      <c r="T84" s="7780"/>
      <c r="U84" s="7780"/>
      <c r="V84" s="7780"/>
      <c r="W84" s="8186"/>
      <c r="X84" s="8186"/>
      <c r="Y84" s="8186"/>
      <c r="Z84" s="8186"/>
      <c r="AA84" s="8186"/>
      <c r="AB84" s="8186"/>
      <c r="AC84" s="8186"/>
      <c r="AD84" s="8186"/>
      <c r="AE84" s="8186"/>
    </row>
    <row r="85" spans="1:31" s="8736" customFormat="1" ht="15.95" customHeight="1">
      <c r="A85" s="8186"/>
      <c r="B85" s="8186"/>
      <c r="C85" s="8186"/>
      <c r="D85" s="7780"/>
      <c r="E85" s="7780"/>
      <c r="F85" s="7780"/>
      <c r="G85" s="7780"/>
      <c r="H85" s="7780"/>
      <c r="I85" s="7780" t="s">
        <v>2810</v>
      </c>
      <c r="J85" s="7780"/>
      <c r="K85" s="7780"/>
      <c r="L85" s="7780"/>
      <c r="M85" s="7780"/>
      <c r="N85" s="7780"/>
      <c r="O85" s="7780"/>
      <c r="P85" s="7780"/>
      <c r="Q85" s="7780"/>
      <c r="R85" s="7780"/>
      <c r="S85" s="7780"/>
      <c r="T85" s="7780"/>
      <c r="U85" s="7780"/>
      <c r="V85" s="7780"/>
      <c r="W85" s="8186"/>
      <c r="X85" s="8186"/>
      <c r="Y85" s="8186"/>
      <c r="Z85" s="8186"/>
      <c r="AA85" s="8186"/>
      <c r="AB85" s="8186"/>
      <c r="AC85" s="8186"/>
      <c r="AD85" s="8186"/>
      <c r="AE85" s="8186"/>
    </row>
    <row r="86" spans="1:31" s="8736" customFormat="1" ht="15.95" customHeight="1">
      <c r="A86" s="8186"/>
      <c r="B86" s="8186"/>
      <c r="C86" s="8186"/>
      <c r="D86" s="7780"/>
      <c r="E86" s="7780"/>
      <c r="F86" s="7780"/>
      <c r="G86" s="7780"/>
      <c r="H86" s="7780"/>
      <c r="I86" s="7780" t="s">
        <v>2811</v>
      </c>
      <c r="J86" s="7780"/>
      <c r="K86" s="7780"/>
      <c r="L86" s="7780"/>
      <c r="M86" s="7780"/>
      <c r="N86" s="7780"/>
      <c r="O86" s="7780"/>
      <c r="P86" s="7780"/>
      <c r="Q86" s="7780"/>
      <c r="R86" s="7780"/>
      <c r="S86" s="7780"/>
      <c r="T86" s="7780"/>
      <c r="U86" s="7780"/>
      <c r="V86" s="7780"/>
      <c r="W86" s="8186"/>
      <c r="X86" s="8186"/>
      <c r="Y86" s="8186"/>
      <c r="Z86" s="8186"/>
      <c r="AA86" s="8186"/>
      <c r="AB86" s="8186"/>
      <c r="AC86" s="8186"/>
      <c r="AD86" s="8186"/>
      <c r="AE86" s="8186"/>
    </row>
    <row r="87" spans="1:31" s="8736" customFormat="1" ht="15.95" customHeight="1">
      <c r="A87" s="8186"/>
      <c r="B87" s="8186"/>
      <c r="C87" s="8186"/>
      <c r="D87" s="7780"/>
      <c r="E87" s="7780"/>
      <c r="F87" s="7780"/>
      <c r="G87" s="7780"/>
      <c r="H87" s="7780"/>
      <c r="I87" s="7780" t="s">
        <v>2812</v>
      </c>
      <c r="J87" s="7780"/>
      <c r="K87" s="7780"/>
      <c r="L87" s="7780"/>
      <c r="M87" s="7780"/>
      <c r="N87" s="7780"/>
      <c r="O87" s="7780"/>
      <c r="P87" s="7780"/>
      <c r="Q87" s="7780"/>
      <c r="R87" s="7780"/>
      <c r="S87" s="7780"/>
      <c r="T87" s="7780"/>
      <c r="U87" s="7780"/>
      <c r="V87" s="7780"/>
      <c r="W87" s="8186"/>
      <c r="X87" s="8186"/>
      <c r="Y87" s="8186"/>
      <c r="Z87" s="8186"/>
      <c r="AA87" s="8186"/>
      <c r="AB87" s="8186"/>
      <c r="AC87" s="8186"/>
      <c r="AD87" s="8186"/>
      <c r="AE87" s="8186"/>
    </row>
    <row r="88" spans="1:31" s="8736" customFormat="1" ht="15.95" customHeight="1">
      <c r="A88" s="8186"/>
      <c r="B88" s="8186"/>
      <c r="C88" s="8186"/>
      <c r="D88" s="7780"/>
      <c r="E88" s="7780"/>
      <c r="F88" s="7780"/>
      <c r="G88" s="7780"/>
      <c r="H88" s="8794" t="s">
        <v>2901</v>
      </c>
      <c r="I88" s="7780"/>
      <c r="J88" s="7780"/>
      <c r="K88" s="7780"/>
      <c r="L88" s="7780"/>
      <c r="M88" s="7780"/>
      <c r="N88" s="7780"/>
      <c r="O88" s="7780"/>
      <c r="P88" s="7780"/>
      <c r="Q88" s="7780"/>
      <c r="R88" s="7780"/>
      <c r="S88" s="7780"/>
      <c r="T88" s="7780"/>
      <c r="U88" s="7780"/>
      <c r="V88" s="7780"/>
      <c r="W88" s="8186"/>
      <c r="X88" s="8186"/>
      <c r="Y88" s="8186"/>
      <c r="Z88" s="8186"/>
      <c r="AA88" s="8186"/>
      <c r="AB88" s="8186"/>
      <c r="AC88" s="8186"/>
      <c r="AD88" s="8186"/>
      <c r="AE88" s="8186"/>
    </row>
    <row r="89" spans="1:31" s="8736" customFormat="1" ht="15.95" customHeight="1">
      <c r="A89" s="8186"/>
      <c r="B89" s="8186"/>
      <c r="C89" s="8186"/>
      <c r="D89" s="7780"/>
      <c r="E89" s="7780"/>
      <c r="F89" s="7780"/>
      <c r="G89" s="7780"/>
      <c r="H89" s="7780"/>
      <c r="I89" s="7780" t="s">
        <v>2810</v>
      </c>
      <c r="J89" s="7780"/>
      <c r="K89" s="7780"/>
      <c r="L89" s="7780"/>
      <c r="M89" s="7780"/>
      <c r="N89" s="7780"/>
      <c r="O89" s="7780"/>
      <c r="P89" s="7780"/>
      <c r="Q89" s="7780"/>
      <c r="R89" s="7780"/>
      <c r="S89" s="7780"/>
      <c r="T89" s="7780"/>
      <c r="U89" s="7780"/>
      <c r="V89" s="7780"/>
      <c r="W89" s="8186"/>
      <c r="X89" s="8186"/>
      <c r="Y89" s="8186"/>
      <c r="Z89" s="8186"/>
      <c r="AA89" s="8186"/>
      <c r="AB89" s="8186"/>
      <c r="AC89" s="8186"/>
      <c r="AD89" s="8186"/>
      <c r="AE89" s="8186"/>
    </row>
    <row r="90" spans="1:31" s="8736" customFormat="1" ht="15.95" customHeight="1">
      <c r="A90" s="8186"/>
      <c r="B90" s="8186"/>
      <c r="C90" s="8186"/>
      <c r="D90" s="7780"/>
      <c r="E90" s="7780"/>
      <c r="F90" s="7780"/>
      <c r="G90" s="7780"/>
      <c r="H90" s="7780"/>
      <c r="I90" s="7780" t="s">
        <v>2811</v>
      </c>
      <c r="J90" s="7780"/>
      <c r="K90" s="7780"/>
      <c r="L90" s="7780"/>
      <c r="M90" s="7780"/>
      <c r="N90" s="7780"/>
      <c r="O90" s="7780"/>
      <c r="P90" s="7780"/>
      <c r="Q90" s="7780"/>
      <c r="R90" s="7780"/>
      <c r="S90" s="7780"/>
      <c r="T90" s="7780"/>
      <c r="U90" s="7780"/>
      <c r="V90" s="7780"/>
      <c r="W90" s="8186"/>
      <c r="X90" s="8186"/>
      <c r="Y90" s="8186"/>
      <c r="Z90" s="8186"/>
      <c r="AA90" s="8186"/>
      <c r="AB90" s="8186"/>
      <c r="AC90" s="8186"/>
      <c r="AD90" s="8186"/>
      <c r="AE90" s="8186"/>
    </row>
    <row r="91" spans="1:31" s="8736" customFormat="1" ht="15.95" customHeight="1">
      <c r="A91" s="8186"/>
      <c r="B91" s="8186"/>
      <c r="C91" s="8186"/>
      <c r="D91" s="7780"/>
      <c r="E91" s="7780"/>
      <c r="F91" s="7780"/>
      <c r="G91" s="7780"/>
      <c r="H91" s="7780"/>
      <c r="I91" s="8808" t="s">
        <v>2813</v>
      </c>
      <c r="J91" s="8808"/>
      <c r="K91" s="8808"/>
      <c r="L91" s="8808"/>
      <c r="M91" s="8808"/>
      <c r="N91" s="8808"/>
      <c r="O91" s="8808"/>
      <c r="P91" s="8808"/>
      <c r="Q91" s="8808"/>
      <c r="R91" s="8808"/>
      <c r="S91" s="8808"/>
      <c r="T91" s="8808"/>
      <c r="U91" s="8808"/>
      <c r="V91" s="7780"/>
      <c r="W91" s="8186"/>
      <c r="X91" s="8186"/>
      <c r="Y91" s="8186"/>
      <c r="Z91" s="8186"/>
      <c r="AA91" s="8186"/>
      <c r="AB91" s="8186"/>
      <c r="AC91" s="8186"/>
      <c r="AD91" s="8186"/>
      <c r="AE91" s="8186"/>
    </row>
    <row r="92" spans="1:31" s="8736" customFormat="1" ht="15.95" customHeight="1">
      <c r="A92" s="8186"/>
      <c r="B92" s="8186"/>
      <c r="C92" s="8186"/>
      <c r="D92" s="7780"/>
      <c r="E92" s="7780"/>
      <c r="F92" s="7780"/>
      <c r="G92" s="7780"/>
      <c r="H92" s="7780"/>
      <c r="I92" s="8808"/>
      <c r="J92" s="8808"/>
      <c r="K92" s="8808"/>
      <c r="L92" s="8808"/>
      <c r="M92" s="8808"/>
      <c r="N92" s="8808"/>
      <c r="O92" s="8808"/>
      <c r="P92" s="8808"/>
      <c r="Q92" s="8808"/>
      <c r="R92" s="8808"/>
      <c r="S92" s="8808"/>
      <c r="T92" s="8808"/>
      <c r="U92" s="8808"/>
      <c r="V92" s="7780"/>
      <c r="W92" s="8186"/>
      <c r="X92" s="8186"/>
      <c r="Y92" s="8186"/>
      <c r="Z92" s="8186"/>
      <c r="AA92" s="8186"/>
      <c r="AB92" s="8186"/>
      <c r="AC92" s="8186"/>
      <c r="AD92" s="8186"/>
      <c r="AE92" s="8186"/>
    </row>
    <row r="93" spans="1:31" s="8736" customFormat="1" ht="12.75" customHeight="1">
      <c r="A93" s="8186"/>
      <c r="B93" s="8186"/>
      <c r="C93" s="8186"/>
      <c r="D93" s="7780"/>
      <c r="E93" s="7780"/>
      <c r="F93" s="7780"/>
      <c r="G93" s="8816" t="s">
        <v>2885</v>
      </c>
      <c r="H93" s="8816"/>
      <c r="I93" s="8816"/>
      <c r="J93" s="8816"/>
      <c r="K93" s="8816"/>
      <c r="L93" s="8816"/>
      <c r="M93" s="8816"/>
      <c r="N93" s="8816"/>
      <c r="O93" s="8816"/>
      <c r="P93" s="8816"/>
      <c r="Q93" s="8816"/>
      <c r="R93" s="8816"/>
      <c r="S93" s="8816"/>
      <c r="T93" s="8816"/>
      <c r="U93" s="8816"/>
      <c r="V93" s="7780"/>
      <c r="W93" s="8186"/>
      <c r="X93" s="8186"/>
      <c r="Y93" s="8186"/>
      <c r="Z93" s="8186"/>
      <c r="AA93" s="8186"/>
      <c r="AB93" s="8186"/>
      <c r="AC93" s="8186"/>
      <c r="AD93" s="8186"/>
      <c r="AE93" s="8186"/>
    </row>
    <row r="94" spans="1:31" s="8736" customFormat="1" ht="8.1" customHeight="1">
      <c r="A94" s="8186"/>
      <c r="B94" s="8186"/>
      <c r="C94" s="8186"/>
      <c r="D94" s="7780"/>
      <c r="E94" s="7780"/>
      <c r="F94" s="7780"/>
      <c r="G94" s="8758"/>
      <c r="H94" s="8758"/>
      <c r="I94" s="8758"/>
      <c r="J94" s="8758"/>
      <c r="K94" s="8758"/>
      <c r="L94" s="8758"/>
      <c r="M94" s="8758"/>
      <c r="N94" s="8758"/>
      <c r="O94" s="8758"/>
      <c r="P94" s="8758"/>
      <c r="Q94" s="8758"/>
      <c r="R94" s="8758"/>
      <c r="S94" s="8758"/>
      <c r="T94" s="8758"/>
      <c r="U94" s="8758"/>
      <c r="V94" s="7780"/>
      <c r="W94" s="8186"/>
      <c r="X94" s="8186"/>
      <c r="Y94" s="8186"/>
      <c r="Z94" s="8186"/>
      <c r="AA94" s="8186"/>
      <c r="AB94" s="8186"/>
      <c r="AC94" s="8186"/>
      <c r="AD94" s="8186"/>
      <c r="AE94" s="8186"/>
    </row>
    <row r="95" spans="1:31" s="8736" customFormat="1" ht="15.95" customHeight="1">
      <c r="A95" s="8186"/>
      <c r="B95" s="8186"/>
      <c r="C95" s="8186"/>
      <c r="D95" s="7780"/>
      <c r="E95" s="7780"/>
      <c r="F95" s="8735" t="s">
        <v>2036</v>
      </c>
      <c r="G95" s="8806" t="s">
        <v>2886</v>
      </c>
      <c r="H95" s="8806"/>
      <c r="I95" s="8806"/>
      <c r="J95" s="8806"/>
      <c r="K95" s="8806"/>
      <c r="L95" s="8806"/>
      <c r="M95" s="8806"/>
      <c r="N95" s="8806"/>
      <c r="O95" s="8806"/>
      <c r="P95" s="8806"/>
      <c r="Q95" s="8806"/>
      <c r="R95" s="8806"/>
      <c r="S95" s="8806"/>
      <c r="T95" s="8806"/>
      <c r="U95" s="8806"/>
      <c r="V95" s="7780"/>
      <c r="W95" s="8186"/>
      <c r="X95" s="8186"/>
      <c r="Y95" s="8186"/>
      <c r="Z95" s="8186"/>
      <c r="AA95" s="8186"/>
      <c r="AB95" s="8186"/>
      <c r="AC95" s="8186"/>
      <c r="AD95" s="8186"/>
      <c r="AE95" s="8186"/>
    </row>
    <row r="96" spans="1:31" s="8736" customFormat="1" ht="15.95" customHeight="1">
      <c r="A96" s="8186"/>
      <c r="B96" s="8186"/>
      <c r="C96" s="8186"/>
      <c r="D96" s="7780"/>
      <c r="E96" s="7780"/>
      <c r="F96" s="8735"/>
      <c r="G96" s="8806"/>
      <c r="H96" s="8806"/>
      <c r="I96" s="8806"/>
      <c r="J96" s="8806"/>
      <c r="K96" s="8806"/>
      <c r="L96" s="8806"/>
      <c r="M96" s="8806"/>
      <c r="N96" s="8806"/>
      <c r="O96" s="8806"/>
      <c r="P96" s="8806"/>
      <c r="Q96" s="8806"/>
      <c r="R96" s="8806"/>
      <c r="S96" s="8806"/>
      <c r="T96" s="8806"/>
      <c r="U96" s="8806"/>
      <c r="V96" s="7780"/>
      <c r="W96" s="8186"/>
      <c r="X96" s="8186"/>
      <c r="Y96" s="8186"/>
      <c r="Z96" s="8186"/>
      <c r="AA96" s="8186"/>
      <c r="AB96" s="8186"/>
      <c r="AC96" s="8186"/>
      <c r="AD96" s="8186"/>
      <c r="AE96" s="8186"/>
    </row>
    <row r="97" spans="1:31" s="8736" customFormat="1" ht="15.95" customHeight="1">
      <c r="A97" s="8186"/>
      <c r="B97" s="8186"/>
      <c r="C97" s="8186"/>
      <c r="D97" s="7780"/>
      <c r="E97" s="7780"/>
      <c r="F97" s="8735"/>
      <c r="G97" s="8806"/>
      <c r="H97" s="8806"/>
      <c r="I97" s="8806"/>
      <c r="J97" s="8806"/>
      <c r="K97" s="8806"/>
      <c r="L97" s="8806"/>
      <c r="M97" s="8806"/>
      <c r="N97" s="8806"/>
      <c r="O97" s="8806"/>
      <c r="P97" s="8806"/>
      <c r="Q97" s="8806"/>
      <c r="R97" s="8806"/>
      <c r="S97" s="8806"/>
      <c r="T97" s="8806"/>
      <c r="U97" s="8806"/>
      <c r="V97" s="7780"/>
      <c r="W97" s="8186"/>
      <c r="X97" s="8186"/>
      <c r="Y97" s="8186"/>
      <c r="Z97" s="8186"/>
      <c r="AA97" s="8186"/>
      <c r="AB97" s="8186"/>
      <c r="AC97" s="8186"/>
      <c r="AD97" s="8186"/>
      <c r="AE97" s="8186"/>
    </row>
    <row r="98" spans="1:31" s="8736" customFormat="1" ht="15.95" customHeight="1">
      <c r="A98" s="8186"/>
      <c r="B98" s="8186"/>
      <c r="C98" s="8186"/>
      <c r="D98" s="7780"/>
      <c r="E98" s="7780"/>
      <c r="F98" s="8741"/>
      <c r="G98" s="8806"/>
      <c r="H98" s="8806"/>
      <c r="I98" s="8806"/>
      <c r="J98" s="8806"/>
      <c r="K98" s="8806"/>
      <c r="L98" s="8806"/>
      <c r="M98" s="8806"/>
      <c r="N98" s="8806"/>
      <c r="O98" s="8806"/>
      <c r="P98" s="8806"/>
      <c r="Q98" s="8806"/>
      <c r="R98" s="8806"/>
      <c r="S98" s="8806"/>
      <c r="T98" s="8806"/>
      <c r="U98" s="8806"/>
      <c r="V98" s="7780"/>
      <c r="W98" s="8186"/>
      <c r="X98" s="8186"/>
      <c r="Y98" s="8186"/>
      <c r="Z98" s="8186"/>
      <c r="AA98" s="8186"/>
      <c r="AB98" s="8186"/>
      <c r="AC98" s="8186"/>
      <c r="AD98" s="8186"/>
      <c r="AE98" s="8186"/>
    </row>
    <row r="99" spans="1:31" s="8736" customFormat="1" ht="16.5" customHeight="1">
      <c r="A99" s="8186"/>
      <c r="B99" s="8186"/>
      <c r="C99" s="8186"/>
      <c r="D99" s="7780"/>
      <c r="E99" s="7780"/>
      <c r="F99" s="8735" t="s">
        <v>2036</v>
      </c>
      <c r="G99" s="7780" t="s">
        <v>2829</v>
      </c>
      <c r="H99" s="7780"/>
      <c r="I99" s="7780"/>
      <c r="J99" s="7780"/>
      <c r="K99" s="7780"/>
      <c r="L99" s="7780"/>
      <c r="M99" s="7780"/>
      <c r="N99" s="7780"/>
      <c r="O99" s="7780"/>
      <c r="P99" s="7780"/>
      <c r="Q99" s="7780"/>
      <c r="R99" s="7780"/>
      <c r="S99" s="7780"/>
      <c r="T99" s="7780"/>
      <c r="U99" s="7780"/>
      <c r="V99" s="7780"/>
      <c r="W99" s="8186"/>
      <c r="X99" s="8186"/>
      <c r="Y99" s="8186"/>
      <c r="Z99" s="8186"/>
      <c r="AA99" s="8186"/>
      <c r="AB99" s="8186"/>
      <c r="AC99" s="8186"/>
      <c r="AD99" s="8186"/>
      <c r="AE99" s="8186"/>
    </row>
    <row r="100" spans="1:31" s="8736" customFormat="1" ht="15" customHeight="1">
      <c r="A100" s="8186"/>
      <c r="B100" s="8186"/>
      <c r="C100" s="8186"/>
      <c r="D100" s="7780"/>
      <c r="E100" s="7780"/>
      <c r="F100" s="8741"/>
      <c r="G100" s="8737" t="s">
        <v>2021</v>
      </c>
      <c r="H100" s="8806" t="s">
        <v>2887</v>
      </c>
      <c r="I100" s="8806"/>
      <c r="J100" s="8806"/>
      <c r="K100" s="8806"/>
      <c r="L100" s="8806"/>
      <c r="M100" s="8806"/>
      <c r="N100" s="8806"/>
      <c r="O100" s="8806"/>
      <c r="P100" s="8806"/>
      <c r="Q100" s="8806"/>
      <c r="R100" s="8806"/>
      <c r="S100" s="8806"/>
      <c r="T100" s="8806"/>
      <c r="U100" s="8806"/>
      <c r="V100" s="7780"/>
      <c r="W100" s="8186"/>
      <c r="X100" s="8186"/>
      <c r="Y100" s="8186"/>
      <c r="Z100" s="8186"/>
      <c r="AA100" s="8186"/>
      <c r="AB100" s="8186"/>
      <c r="AC100" s="8186"/>
      <c r="AD100" s="8186"/>
      <c r="AE100" s="8186"/>
    </row>
    <row r="101" spans="1:31" s="8736" customFormat="1" ht="15" customHeight="1">
      <c r="A101" s="8186"/>
      <c r="B101" s="8186"/>
      <c r="C101" s="8186"/>
      <c r="D101" s="7780"/>
      <c r="E101" s="7780"/>
      <c r="F101" s="8741"/>
      <c r="G101" s="7780"/>
      <c r="H101" s="8806"/>
      <c r="I101" s="8806"/>
      <c r="J101" s="8806"/>
      <c r="K101" s="8806"/>
      <c r="L101" s="8806"/>
      <c r="M101" s="8806"/>
      <c r="N101" s="8806"/>
      <c r="O101" s="8806"/>
      <c r="P101" s="8806"/>
      <c r="Q101" s="8806"/>
      <c r="R101" s="8806"/>
      <c r="S101" s="8806"/>
      <c r="T101" s="8806"/>
      <c r="U101" s="8806"/>
      <c r="V101" s="7780"/>
      <c r="W101" s="8186"/>
      <c r="X101" s="8186"/>
      <c r="Y101" s="8186"/>
      <c r="Z101" s="8186"/>
      <c r="AA101" s="8186"/>
      <c r="AB101" s="8186"/>
      <c r="AC101" s="8186"/>
      <c r="AD101" s="8186"/>
      <c r="AE101" s="8186"/>
    </row>
    <row r="102" spans="1:31" s="8736" customFormat="1" ht="15" customHeight="1">
      <c r="A102" s="8186"/>
      <c r="B102" s="8186"/>
      <c r="C102" s="8186"/>
      <c r="D102" s="7780"/>
      <c r="E102" s="7780"/>
      <c r="F102" s="8741"/>
      <c r="G102" s="7780"/>
      <c r="H102" s="8806"/>
      <c r="I102" s="8806"/>
      <c r="J102" s="8806"/>
      <c r="K102" s="8806"/>
      <c r="L102" s="8806"/>
      <c r="M102" s="8806"/>
      <c r="N102" s="8806"/>
      <c r="O102" s="8806"/>
      <c r="P102" s="8806"/>
      <c r="Q102" s="8806"/>
      <c r="R102" s="8806"/>
      <c r="S102" s="8806"/>
      <c r="T102" s="8806"/>
      <c r="U102" s="8806"/>
      <c r="V102" s="7780"/>
      <c r="W102" s="8186"/>
      <c r="X102" s="8186"/>
      <c r="Y102" s="8186"/>
      <c r="Z102" s="8186"/>
      <c r="AA102" s="8186"/>
      <c r="AB102" s="8186"/>
      <c r="AC102" s="8186"/>
      <c r="AD102" s="8186"/>
      <c r="AE102" s="8186"/>
    </row>
    <row r="103" spans="1:31" s="8736" customFormat="1" ht="15" customHeight="1">
      <c r="A103" s="8186"/>
      <c r="B103" s="8186"/>
      <c r="C103" s="8186"/>
      <c r="D103" s="7780"/>
      <c r="E103" s="7780"/>
      <c r="F103" s="8741"/>
      <c r="G103" s="8737" t="s">
        <v>2021</v>
      </c>
      <c r="H103" s="8806" t="s">
        <v>2827</v>
      </c>
      <c r="I103" s="8806"/>
      <c r="J103" s="8806"/>
      <c r="K103" s="8806"/>
      <c r="L103" s="8806"/>
      <c r="M103" s="8806"/>
      <c r="N103" s="8806"/>
      <c r="O103" s="8806"/>
      <c r="P103" s="8806"/>
      <c r="Q103" s="8806"/>
      <c r="R103" s="8806"/>
      <c r="S103" s="8806"/>
      <c r="T103" s="8806"/>
      <c r="U103" s="8806"/>
      <c r="V103" s="7780"/>
      <c r="W103" s="8186"/>
      <c r="X103" s="8186"/>
      <c r="Y103" s="8186"/>
      <c r="Z103" s="8186"/>
      <c r="AA103" s="8186"/>
      <c r="AB103" s="8186"/>
      <c r="AC103" s="8186"/>
      <c r="AD103" s="8186"/>
      <c r="AE103" s="8186"/>
    </row>
    <row r="104" spans="1:31" s="8736" customFormat="1" ht="14.25" customHeight="1">
      <c r="A104" s="8186"/>
      <c r="B104" s="8186"/>
      <c r="C104" s="8186"/>
      <c r="D104" s="7780"/>
      <c r="E104" s="7780"/>
      <c r="F104" s="8741"/>
      <c r="G104" s="7780"/>
      <c r="H104" s="8806"/>
      <c r="I104" s="8806"/>
      <c r="J104" s="8806"/>
      <c r="K104" s="8806"/>
      <c r="L104" s="8806"/>
      <c r="M104" s="8806"/>
      <c r="N104" s="8806"/>
      <c r="O104" s="8806"/>
      <c r="P104" s="8806"/>
      <c r="Q104" s="8806"/>
      <c r="R104" s="8806"/>
      <c r="S104" s="8806"/>
      <c r="T104" s="8806"/>
      <c r="U104" s="8806"/>
      <c r="V104" s="7780"/>
      <c r="W104" s="8186"/>
      <c r="X104" s="8186"/>
      <c r="Y104" s="8186"/>
      <c r="Z104" s="8186"/>
      <c r="AA104" s="8186"/>
      <c r="AB104" s="8186"/>
      <c r="AC104" s="8186"/>
      <c r="AD104" s="8186"/>
      <c r="AE104" s="8186"/>
    </row>
    <row r="105" spans="1:31" s="8736" customFormat="1" ht="15" customHeight="1">
      <c r="A105" s="8186"/>
      <c r="B105" s="8186"/>
      <c r="C105" s="8186"/>
      <c r="D105" s="7780"/>
      <c r="E105" s="7780"/>
      <c r="F105" s="8741"/>
      <c r="G105" s="8737" t="s">
        <v>2021</v>
      </c>
      <c r="H105" s="8806" t="s">
        <v>2904</v>
      </c>
      <c r="I105" s="8806"/>
      <c r="J105" s="8806"/>
      <c r="K105" s="8806"/>
      <c r="L105" s="8806"/>
      <c r="M105" s="8806"/>
      <c r="N105" s="8806"/>
      <c r="O105" s="8806"/>
      <c r="P105" s="8806"/>
      <c r="Q105" s="8806"/>
      <c r="R105" s="8806"/>
      <c r="S105" s="8806"/>
      <c r="T105" s="8806"/>
      <c r="U105" s="8806"/>
      <c r="V105" s="7780"/>
      <c r="W105" s="8186"/>
      <c r="X105" s="8186"/>
      <c r="Y105" s="8186"/>
      <c r="Z105" s="8186"/>
      <c r="AA105" s="8186"/>
      <c r="AB105" s="8186"/>
      <c r="AC105" s="8186"/>
      <c r="AD105" s="8186"/>
      <c r="AE105" s="8186"/>
    </row>
    <row r="106" spans="1:31" s="8736" customFormat="1" ht="17.25" customHeight="1">
      <c r="A106" s="8186"/>
      <c r="B106" s="8186"/>
      <c r="C106" s="8186"/>
      <c r="D106" s="7780"/>
      <c r="E106" s="7780"/>
      <c r="F106" s="8741"/>
      <c r="G106" s="7780"/>
      <c r="H106" s="8806"/>
      <c r="I106" s="8806"/>
      <c r="J106" s="8806"/>
      <c r="K106" s="8806"/>
      <c r="L106" s="8806"/>
      <c r="M106" s="8806"/>
      <c r="N106" s="8806"/>
      <c r="O106" s="8806"/>
      <c r="P106" s="8806"/>
      <c r="Q106" s="8806"/>
      <c r="R106" s="8806"/>
      <c r="S106" s="8806"/>
      <c r="T106" s="8806"/>
      <c r="U106" s="8806"/>
      <c r="V106" s="7780"/>
      <c r="W106" s="8186"/>
      <c r="X106" s="8186"/>
      <c r="Y106" s="8186"/>
      <c r="Z106" s="8186"/>
      <c r="AA106" s="8186"/>
      <c r="AB106" s="8186"/>
      <c r="AC106" s="8186"/>
      <c r="AD106" s="8186"/>
      <c r="AE106" s="8186"/>
    </row>
    <row r="107" spans="1:31" s="8736" customFormat="1" ht="15.95" customHeight="1">
      <c r="A107" s="8186"/>
      <c r="B107" s="8186"/>
      <c r="C107" s="8186"/>
      <c r="D107" s="7780"/>
      <c r="E107" s="7780"/>
      <c r="F107" s="8735" t="s">
        <v>2036</v>
      </c>
      <c r="G107" s="8808" t="s">
        <v>2902</v>
      </c>
      <c r="H107" s="8808"/>
      <c r="I107" s="8808"/>
      <c r="J107" s="8808"/>
      <c r="K107" s="8808"/>
      <c r="L107" s="8808"/>
      <c r="M107" s="8808"/>
      <c r="N107" s="8808"/>
      <c r="O107" s="8808"/>
      <c r="P107" s="8808"/>
      <c r="Q107" s="8808"/>
      <c r="R107" s="8808"/>
      <c r="S107" s="8808"/>
      <c r="T107" s="8808"/>
      <c r="U107" s="8808"/>
      <c r="V107" s="7780"/>
      <c r="W107" s="8186"/>
      <c r="X107" s="8186"/>
      <c r="Y107" s="8186"/>
      <c r="Z107" s="8186"/>
      <c r="AA107" s="8186"/>
      <c r="AB107" s="8186"/>
      <c r="AC107" s="8186"/>
      <c r="AD107" s="8186"/>
      <c r="AE107" s="8186"/>
    </row>
    <row r="108" spans="1:31" s="8736" customFormat="1" ht="15.95" customHeight="1">
      <c r="A108" s="8186"/>
      <c r="B108" s="8186"/>
      <c r="C108" s="8186"/>
      <c r="D108" s="7780"/>
      <c r="E108" s="7780"/>
      <c r="F108" s="8735"/>
      <c r="G108" s="8808"/>
      <c r="H108" s="8808"/>
      <c r="I108" s="8808"/>
      <c r="J108" s="8808"/>
      <c r="K108" s="8808"/>
      <c r="L108" s="8808"/>
      <c r="M108" s="8808"/>
      <c r="N108" s="8808"/>
      <c r="O108" s="8808"/>
      <c r="P108" s="8808"/>
      <c r="Q108" s="8808"/>
      <c r="R108" s="8808"/>
      <c r="S108" s="8808"/>
      <c r="T108" s="8808"/>
      <c r="U108" s="8808"/>
      <c r="V108" s="7780"/>
      <c r="W108" s="8186"/>
      <c r="X108" s="8186"/>
      <c r="Y108" s="8186"/>
      <c r="Z108" s="8186"/>
      <c r="AA108" s="8186"/>
      <c r="AB108" s="8186"/>
      <c r="AC108" s="8186"/>
      <c r="AD108" s="8186"/>
      <c r="AE108" s="8186"/>
    </row>
    <row r="109" spans="1:31" s="8736" customFormat="1" ht="15.95" customHeight="1">
      <c r="A109" s="8186"/>
      <c r="B109" s="8186"/>
      <c r="C109" s="8186"/>
      <c r="D109" s="7780"/>
      <c r="E109" s="7780"/>
      <c r="F109" s="8741"/>
      <c r="G109" s="8808"/>
      <c r="H109" s="8808"/>
      <c r="I109" s="8808"/>
      <c r="J109" s="8808"/>
      <c r="K109" s="8808"/>
      <c r="L109" s="8808"/>
      <c r="M109" s="8808"/>
      <c r="N109" s="8808"/>
      <c r="O109" s="8808"/>
      <c r="P109" s="8808"/>
      <c r="Q109" s="8808"/>
      <c r="R109" s="8808"/>
      <c r="S109" s="8808"/>
      <c r="T109" s="8808"/>
      <c r="U109" s="8808"/>
      <c r="V109" s="7780"/>
      <c r="W109" s="8186"/>
      <c r="X109" s="8186"/>
      <c r="Y109" s="8186"/>
      <c r="Z109" s="8186"/>
      <c r="AA109" s="8186"/>
      <c r="AB109" s="8186"/>
      <c r="AC109" s="8186"/>
      <c r="AD109" s="8186"/>
      <c r="AE109" s="8186"/>
    </row>
    <row r="110" spans="1:31" s="8736" customFormat="1" ht="17.25" customHeight="1">
      <c r="A110" s="8186"/>
      <c r="B110" s="8186"/>
      <c r="C110" s="8186"/>
      <c r="D110" s="7780"/>
      <c r="E110" s="7780"/>
      <c r="F110" s="8735" t="s">
        <v>2036</v>
      </c>
      <c r="G110" s="7780" t="s">
        <v>2903</v>
      </c>
      <c r="H110" s="8731"/>
      <c r="I110" s="8731"/>
      <c r="J110" s="8731"/>
      <c r="K110" s="8731"/>
      <c r="L110" s="8731"/>
      <c r="M110" s="8731"/>
      <c r="N110" s="8731"/>
      <c r="O110" s="8731"/>
      <c r="P110" s="8731"/>
      <c r="Q110" s="8731"/>
      <c r="R110" s="8731"/>
      <c r="S110" s="8731"/>
      <c r="T110" s="8731"/>
      <c r="U110" s="8731"/>
      <c r="V110" s="7780"/>
      <c r="W110" s="8186"/>
      <c r="X110" s="8186"/>
      <c r="Y110" s="8186"/>
      <c r="Z110" s="8186"/>
      <c r="AA110" s="8186"/>
      <c r="AB110" s="8186"/>
      <c r="AC110" s="8186"/>
      <c r="AD110" s="8186"/>
      <c r="AE110" s="8186"/>
    </row>
    <row r="111" spans="1:31" s="8736" customFormat="1" ht="15" customHeight="1">
      <c r="A111" s="8186"/>
      <c r="B111" s="8186"/>
      <c r="C111" s="8186"/>
      <c r="D111" s="7780"/>
      <c r="E111" s="7780"/>
      <c r="F111" s="8741"/>
      <c r="G111" s="8745">
        <v>1</v>
      </c>
      <c r="H111" s="5133" t="s">
        <v>2570</v>
      </c>
      <c r="J111" s="5133"/>
      <c r="K111" s="5133"/>
      <c r="L111" s="5133"/>
      <c r="M111" s="5133"/>
      <c r="N111" s="5133"/>
      <c r="O111" s="5133"/>
      <c r="P111" s="5133"/>
      <c r="Q111" s="5133"/>
      <c r="R111" s="5133"/>
      <c r="S111" s="5133"/>
      <c r="T111" s="5133"/>
      <c r="U111" s="5133"/>
      <c r="V111" s="7780"/>
      <c r="W111" s="8186"/>
      <c r="X111" s="8186"/>
      <c r="Y111" s="8186"/>
      <c r="Z111" s="8186"/>
      <c r="AA111" s="8186"/>
      <c r="AB111" s="8186"/>
      <c r="AC111" s="8186"/>
      <c r="AD111" s="8186"/>
      <c r="AE111" s="8186"/>
    </row>
    <row r="112" spans="1:31" s="8736" customFormat="1" ht="12.75" customHeight="1">
      <c r="A112" s="8186"/>
      <c r="B112" s="8186"/>
      <c r="C112" s="8186"/>
      <c r="D112" s="7780"/>
      <c r="E112" s="7780"/>
      <c r="F112" s="8735"/>
      <c r="G112" s="7780"/>
      <c r="H112" s="8731"/>
      <c r="I112" s="7780" t="s">
        <v>2834</v>
      </c>
      <c r="J112" s="8731"/>
      <c r="K112" s="8731"/>
      <c r="L112" s="8731"/>
      <c r="M112" s="8731"/>
      <c r="N112" s="8731"/>
      <c r="O112" s="8731"/>
      <c r="P112" s="8731"/>
      <c r="Q112" s="8731"/>
      <c r="R112" s="8731"/>
      <c r="S112" s="8731"/>
      <c r="T112" s="8731"/>
      <c r="U112" s="8731"/>
      <c r="V112" s="7780"/>
      <c r="W112" s="8186"/>
      <c r="X112" s="8186"/>
      <c r="Y112" s="8186"/>
      <c r="Z112" s="8186"/>
      <c r="AA112" s="8186"/>
      <c r="AB112" s="8186"/>
      <c r="AC112" s="8186"/>
      <c r="AD112" s="8186"/>
      <c r="AE112" s="8186"/>
    </row>
    <row r="113" spans="1:31" s="8736" customFormat="1" ht="12.75" customHeight="1">
      <c r="A113" s="8186"/>
      <c r="B113" s="8186"/>
      <c r="C113" s="8186"/>
      <c r="D113" s="7780"/>
      <c r="E113" s="7780"/>
      <c r="F113" s="8735"/>
      <c r="G113" s="7780"/>
      <c r="H113" s="8731"/>
      <c r="I113" s="7780" t="s">
        <v>2835</v>
      </c>
      <c r="J113" s="7780"/>
      <c r="K113" s="7780"/>
      <c r="L113" s="7780"/>
      <c r="M113" s="7780"/>
      <c r="N113" s="7780"/>
      <c r="O113" s="7780"/>
      <c r="P113" s="7780"/>
      <c r="Q113" s="7780"/>
      <c r="R113" s="7780"/>
      <c r="S113" s="7780"/>
      <c r="T113"/>
      <c r="U113" s="8731"/>
      <c r="V113" s="7780"/>
      <c r="W113" s="8186"/>
      <c r="X113" s="8186"/>
      <c r="Y113" s="8186"/>
      <c r="Z113" s="8186"/>
      <c r="AA113" s="8186"/>
      <c r="AB113" s="8186"/>
      <c r="AC113" s="8186"/>
      <c r="AD113" s="8186"/>
      <c r="AE113" s="8186"/>
    </row>
    <row r="114" spans="1:31" s="8736" customFormat="1" ht="15.95" customHeight="1">
      <c r="A114" s="8186"/>
      <c r="B114" s="8186"/>
      <c r="C114" s="8186"/>
      <c r="D114" s="7780"/>
      <c r="E114" s="7780"/>
      <c r="F114" s="8735"/>
      <c r="G114" s="7780"/>
      <c r="H114" s="8731"/>
      <c r="I114" s="8809" t="s">
        <v>2876</v>
      </c>
      <c r="J114" s="8809"/>
      <c r="K114" s="8809"/>
      <c r="L114" s="8809"/>
      <c r="M114" s="8809"/>
      <c r="N114" s="8809"/>
      <c r="O114" s="8809"/>
      <c r="P114" s="8809"/>
      <c r="Q114" s="8809"/>
      <c r="R114" s="8809"/>
      <c r="S114" s="8809"/>
      <c r="T114" s="8809"/>
      <c r="U114" s="8731"/>
      <c r="V114" s="7780"/>
      <c r="W114" s="8186"/>
      <c r="X114" s="8186"/>
      <c r="Y114" s="8186"/>
      <c r="Z114" s="8186"/>
      <c r="AA114" s="8186"/>
      <c r="AB114" s="8186"/>
      <c r="AC114" s="8186"/>
      <c r="AD114" s="8186"/>
      <c r="AE114" s="8186"/>
    </row>
    <row r="115" spans="1:31" s="8736" customFormat="1" ht="15.95" customHeight="1">
      <c r="A115" s="8186"/>
      <c r="B115" s="8186"/>
      <c r="C115" s="8186"/>
      <c r="D115" s="7780"/>
      <c r="E115" s="7780"/>
      <c r="F115" s="8735"/>
      <c r="G115" s="7780"/>
      <c r="H115" s="8755"/>
      <c r="I115" s="8809"/>
      <c r="J115" s="8809"/>
      <c r="K115" s="8809"/>
      <c r="L115" s="8809"/>
      <c r="M115" s="8809"/>
      <c r="N115" s="8809"/>
      <c r="O115" s="8809"/>
      <c r="P115" s="8809"/>
      <c r="Q115" s="8809"/>
      <c r="R115" s="8809"/>
      <c r="S115" s="8809"/>
      <c r="T115" s="8809"/>
      <c r="U115" s="8755"/>
      <c r="V115" s="7780"/>
      <c r="W115" s="8186"/>
      <c r="X115" s="8186"/>
      <c r="Y115" s="8186"/>
      <c r="Z115" s="8186"/>
      <c r="AA115" s="8186"/>
      <c r="AB115" s="8186"/>
      <c r="AC115" s="8186"/>
      <c r="AD115" s="8186"/>
      <c r="AE115" s="8186"/>
    </row>
    <row r="116" spans="1:31" s="8736" customFormat="1" ht="15" customHeight="1">
      <c r="A116" s="8186"/>
      <c r="B116" s="8186"/>
      <c r="C116" s="8186"/>
      <c r="D116" s="7780"/>
      <c r="E116" s="7780"/>
      <c r="F116" s="8741"/>
      <c r="G116" s="8745">
        <v>2</v>
      </c>
      <c r="H116" s="5133" t="s">
        <v>2833</v>
      </c>
      <c r="I116" s="7780"/>
      <c r="J116" s="7780"/>
      <c r="K116" s="7780"/>
      <c r="L116" s="7780"/>
      <c r="M116" s="7780"/>
      <c r="N116" s="7780"/>
      <c r="O116" s="7780"/>
      <c r="P116" s="7780"/>
      <c r="Q116" s="7780"/>
      <c r="R116" s="7780"/>
      <c r="S116" s="7780"/>
      <c r="T116" s="5133"/>
      <c r="U116" s="5133"/>
      <c r="V116" s="7780"/>
      <c r="W116" s="8186"/>
      <c r="X116" s="8186"/>
      <c r="Y116" s="8186"/>
      <c r="Z116" s="8186"/>
      <c r="AA116" s="8186"/>
      <c r="AB116" s="8186"/>
      <c r="AC116" s="8186"/>
      <c r="AD116" s="8186"/>
      <c r="AE116" s="8186"/>
    </row>
    <row r="117" spans="1:31" s="8736" customFormat="1" ht="15" customHeight="1">
      <c r="A117" s="8186"/>
      <c r="B117" s="8186"/>
      <c r="C117" s="8186"/>
      <c r="D117" s="7780"/>
      <c r="E117" s="7780"/>
      <c r="F117" s="8741"/>
      <c r="G117" s="8737"/>
      <c r="H117" s="8745"/>
      <c r="I117" s="7780" t="s">
        <v>2836</v>
      </c>
      <c r="J117" s="7780"/>
      <c r="K117" s="7780"/>
      <c r="L117" s="7780"/>
      <c r="M117" s="7780"/>
      <c r="N117" s="7780"/>
      <c r="O117" s="7780"/>
      <c r="P117" s="7780"/>
      <c r="Q117" s="7780"/>
      <c r="R117" s="7780"/>
      <c r="S117" s="7780"/>
      <c r="T117" s="5133"/>
      <c r="U117" s="5133"/>
      <c r="V117" s="7780"/>
      <c r="W117" s="8186"/>
      <c r="X117" s="8186"/>
      <c r="Y117" s="8186"/>
      <c r="Z117" s="8186"/>
      <c r="AA117" s="8186"/>
      <c r="AB117" s="8186"/>
      <c r="AC117" s="8186"/>
      <c r="AD117" s="8186"/>
      <c r="AE117" s="8186"/>
    </row>
    <row r="118" spans="1:31" s="8736" customFormat="1" ht="15" customHeight="1">
      <c r="A118" s="8186"/>
      <c r="B118" s="8186"/>
      <c r="C118" s="8186"/>
      <c r="D118" s="7780"/>
      <c r="E118" s="7780"/>
      <c r="F118" s="8741"/>
      <c r="G118" s="8737"/>
      <c r="H118" s="8745"/>
      <c r="I118" s="7780" t="s">
        <v>2837</v>
      </c>
      <c r="J118" s="7780"/>
      <c r="K118" s="7780"/>
      <c r="L118" s="7780"/>
      <c r="M118" s="7780"/>
      <c r="N118" s="7780"/>
      <c r="O118" s="7780"/>
      <c r="P118" s="7780"/>
      <c r="Q118" s="7780"/>
      <c r="R118" s="7780"/>
      <c r="S118" s="7780"/>
      <c r="T118" s="5133"/>
      <c r="U118" s="5133"/>
      <c r="V118" s="7780"/>
      <c r="W118" s="8186"/>
      <c r="X118" s="8186"/>
      <c r="Y118" s="8186"/>
      <c r="Z118" s="8186"/>
      <c r="AA118" s="8186"/>
      <c r="AB118" s="8186"/>
      <c r="AC118" s="8186"/>
      <c r="AD118" s="8186"/>
      <c r="AE118" s="8186"/>
    </row>
    <row r="119" spans="1:31" s="8736" customFormat="1" ht="15" customHeight="1">
      <c r="A119" s="8186"/>
      <c r="B119" s="8186"/>
      <c r="C119" s="8186"/>
      <c r="D119" s="7780"/>
      <c r="E119" s="7780"/>
      <c r="F119" s="8741"/>
      <c r="G119" s="8737"/>
      <c r="H119" s="8745"/>
      <c r="I119" s="7780" t="s">
        <v>2846</v>
      </c>
      <c r="J119" s="7780"/>
      <c r="K119" s="7780"/>
      <c r="L119" s="7780"/>
      <c r="M119" s="7780"/>
      <c r="N119" s="7780"/>
      <c r="O119" s="7780"/>
      <c r="P119" s="7780"/>
      <c r="Q119" s="7780"/>
      <c r="R119" s="7780"/>
      <c r="S119" s="7780"/>
      <c r="T119" s="5133"/>
      <c r="U119" s="5133"/>
      <c r="V119" s="7780"/>
      <c r="W119" s="8186"/>
      <c r="X119" s="8186"/>
      <c r="Y119" s="8186"/>
      <c r="Z119" s="8186"/>
      <c r="AA119" s="8186"/>
      <c r="AB119" s="8186"/>
      <c r="AC119" s="8186"/>
      <c r="AD119" s="8186"/>
      <c r="AE119" s="8186"/>
    </row>
    <row r="120" spans="1:31" s="8736" customFormat="1" ht="15" customHeight="1">
      <c r="A120" s="8186"/>
      <c r="B120" s="8186"/>
      <c r="C120" s="8186"/>
      <c r="D120" s="7780"/>
      <c r="E120" s="7780"/>
      <c r="F120" s="8741"/>
      <c r="G120" s="8737"/>
      <c r="H120" s="8745"/>
      <c r="I120" s="8811" t="s">
        <v>2838</v>
      </c>
      <c r="J120" s="8811"/>
      <c r="K120" s="8811"/>
      <c r="L120" s="8811"/>
      <c r="M120" s="8811"/>
      <c r="N120" s="8811"/>
      <c r="O120" s="8811"/>
      <c r="P120" s="8811"/>
      <c r="Q120" s="8811"/>
      <c r="R120" s="8811"/>
      <c r="S120" s="8811"/>
      <c r="T120" s="8811"/>
      <c r="U120" s="8811"/>
      <c r="V120" s="7780"/>
      <c r="W120" s="8186"/>
      <c r="X120" s="8186"/>
      <c r="Y120" s="8186"/>
      <c r="Z120" s="8186"/>
      <c r="AA120" s="8186"/>
      <c r="AB120" s="8186"/>
      <c r="AC120" s="8186"/>
      <c r="AD120" s="8186"/>
      <c r="AE120" s="8186"/>
    </row>
    <row r="121" spans="1:31" s="8736" customFormat="1" ht="18" customHeight="1">
      <c r="A121" s="8186"/>
      <c r="B121" s="8186"/>
      <c r="C121" s="8186"/>
      <c r="D121" s="7780"/>
      <c r="E121" s="7780"/>
      <c r="F121" s="8741"/>
      <c r="G121" s="8737"/>
      <c r="H121" s="8745"/>
      <c r="I121" s="8811"/>
      <c r="J121" s="8811"/>
      <c r="K121" s="8811"/>
      <c r="L121" s="8811"/>
      <c r="M121" s="8811"/>
      <c r="N121" s="8811"/>
      <c r="O121" s="8811"/>
      <c r="P121" s="8811"/>
      <c r="Q121" s="8811"/>
      <c r="R121" s="8811"/>
      <c r="S121" s="8811"/>
      <c r="T121" s="8811"/>
      <c r="U121" s="8811"/>
      <c r="V121" s="7780"/>
      <c r="W121" s="8186"/>
      <c r="X121" s="8186"/>
      <c r="Y121" s="8186"/>
      <c r="Z121" s="8186"/>
      <c r="AA121" s="8186"/>
      <c r="AB121" s="8186"/>
      <c r="AC121" s="8186"/>
      <c r="AD121" s="8186"/>
      <c r="AE121" s="8186"/>
    </row>
    <row r="122" spans="1:31" s="8736" customFormat="1" ht="15" customHeight="1">
      <c r="A122" s="8186"/>
      <c r="B122" s="8186"/>
      <c r="C122" s="8186"/>
      <c r="D122" s="7780"/>
      <c r="E122" s="7780"/>
      <c r="F122" s="8735" t="s">
        <v>2036</v>
      </c>
      <c r="G122" s="8808" t="s">
        <v>2888</v>
      </c>
      <c r="H122" s="8808"/>
      <c r="I122" s="8808"/>
      <c r="J122" s="8808"/>
      <c r="K122" s="8808"/>
      <c r="L122" s="8808"/>
      <c r="M122" s="8808"/>
      <c r="N122" s="8808"/>
      <c r="O122" s="8808"/>
      <c r="P122" s="8808"/>
      <c r="Q122" s="8808"/>
      <c r="R122" s="8808"/>
      <c r="S122" s="8808"/>
      <c r="T122" s="8808"/>
      <c r="U122" s="8808"/>
      <c r="V122" s="7780"/>
      <c r="W122" s="8186"/>
      <c r="X122" s="8186"/>
      <c r="Y122" s="8186"/>
      <c r="Z122" s="8186"/>
      <c r="AA122" s="8186"/>
      <c r="AB122" s="8186"/>
      <c r="AC122" s="8186"/>
      <c r="AD122" s="8186"/>
      <c r="AE122" s="8186"/>
    </row>
    <row r="123" spans="1:31" s="8736" customFormat="1" ht="15" customHeight="1">
      <c r="A123" s="8186"/>
      <c r="B123" s="8186"/>
      <c r="C123" s="8186"/>
      <c r="D123" s="7780"/>
      <c r="E123" s="7780"/>
      <c r="F123" s="8741"/>
      <c r="G123" s="8808"/>
      <c r="H123" s="8808"/>
      <c r="I123" s="8808"/>
      <c r="J123" s="8808"/>
      <c r="K123" s="8808"/>
      <c r="L123" s="8808"/>
      <c r="M123" s="8808"/>
      <c r="N123" s="8808"/>
      <c r="O123" s="8808"/>
      <c r="P123" s="8808"/>
      <c r="Q123" s="8808"/>
      <c r="R123" s="8808"/>
      <c r="S123" s="8808"/>
      <c r="T123" s="8808"/>
      <c r="U123" s="8808"/>
      <c r="V123" s="7780"/>
      <c r="W123" s="8186"/>
      <c r="X123" s="8186"/>
      <c r="Y123" s="8186"/>
      <c r="Z123" s="8186"/>
      <c r="AA123" s="8186"/>
      <c r="AB123" s="8186"/>
      <c r="AC123" s="8186"/>
      <c r="AD123" s="8186"/>
      <c r="AE123" s="8186"/>
    </row>
    <row r="124" spans="1:31" s="8736" customFormat="1" ht="15" customHeight="1">
      <c r="A124" s="8186"/>
      <c r="B124" s="8186"/>
      <c r="C124" s="8186"/>
      <c r="D124" s="7780"/>
      <c r="E124" s="7780"/>
      <c r="F124" s="8735" t="s">
        <v>2036</v>
      </c>
      <c r="G124" s="8811" t="s">
        <v>2860</v>
      </c>
      <c r="H124" s="8811"/>
      <c r="I124" s="8811"/>
      <c r="J124" s="8811"/>
      <c r="K124" s="8811"/>
      <c r="L124" s="8811"/>
      <c r="M124" s="8811"/>
      <c r="N124" s="8811"/>
      <c r="O124" s="8811"/>
      <c r="P124" s="8811"/>
      <c r="Q124" s="8811"/>
      <c r="R124" s="8811"/>
      <c r="S124" s="8811"/>
      <c r="T124" s="8811"/>
      <c r="U124" s="8811"/>
      <c r="V124" s="7780"/>
      <c r="W124" s="8186"/>
      <c r="X124" s="8186"/>
      <c r="Y124" s="8186"/>
      <c r="Z124" s="8186"/>
      <c r="AA124" s="8186"/>
      <c r="AB124" s="8186"/>
      <c r="AC124" s="8186"/>
      <c r="AD124" s="8186"/>
      <c r="AE124" s="8186"/>
    </row>
    <row r="125" spans="1:31" s="8736" customFormat="1" ht="15" customHeight="1">
      <c r="A125" s="8186"/>
      <c r="B125" s="8186"/>
      <c r="C125" s="8186"/>
      <c r="D125" s="7780"/>
      <c r="E125" s="7780"/>
      <c r="F125" s="8735"/>
      <c r="G125" s="8811"/>
      <c r="H125" s="8811"/>
      <c r="I125" s="8811"/>
      <c r="J125" s="8811"/>
      <c r="K125" s="8811"/>
      <c r="L125" s="8811"/>
      <c r="M125" s="8811"/>
      <c r="N125" s="8811"/>
      <c r="O125" s="8811"/>
      <c r="P125" s="8811"/>
      <c r="Q125" s="8811"/>
      <c r="R125" s="8811"/>
      <c r="S125" s="8811"/>
      <c r="T125" s="8811"/>
      <c r="U125" s="8811"/>
      <c r="V125" s="7780"/>
      <c r="W125" s="8186"/>
      <c r="X125" s="8186"/>
      <c r="Y125" s="8186"/>
      <c r="Z125" s="8186"/>
      <c r="AA125" s="8186"/>
      <c r="AB125" s="8186"/>
      <c r="AC125" s="8186"/>
      <c r="AD125" s="8186"/>
      <c r="AE125" s="8186"/>
    </row>
    <row r="126" spans="1:31" s="8736" customFormat="1" ht="15" customHeight="1">
      <c r="A126" s="8186"/>
      <c r="B126" s="8186"/>
      <c r="C126" s="8186"/>
      <c r="D126" s="7780"/>
      <c r="E126" s="7780"/>
      <c r="F126" s="8741"/>
      <c r="G126" s="8811"/>
      <c r="H126" s="8811"/>
      <c r="I126" s="8811"/>
      <c r="J126" s="8811"/>
      <c r="K126" s="8811"/>
      <c r="L126" s="8811"/>
      <c r="M126" s="8811"/>
      <c r="N126" s="8811"/>
      <c r="O126" s="8811"/>
      <c r="P126" s="8811"/>
      <c r="Q126" s="8811"/>
      <c r="R126" s="8811"/>
      <c r="S126" s="8811"/>
      <c r="T126" s="8811"/>
      <c r="U126" s="8811"/>
      <c r="V126" s="7780"/>
      <c r="W126" s="8186"/>
      <c r="X126" s="8186"/>
      <c r="Y126" s="8186"/>
      <c r="Z126" s="8186"/>
      <c r="AA126" s="8186"/>
      <c r="AB126" s="8186"/>
      <c r="AC126" s="8186"/>
      <c r="AD126" s="8186"/>
      <c r="AE126" s="8186"/>
    </row>
    <row r="127" spans="1:31" s="8736" customFormat="1" ht="15" customHeight="1">
      <c r="A127" s="8186"/>
      <c r="B127" s="8186"/>
      <c r="C127" s="8186"/>
      <c r="D127" s="7780"/>
      <c r="E127" s="7780"/>
      <c r="F127" s="8741"/>
      <c r="G127" s="8737"/>
      <c r="H127" s="8745"/>
      <c r="I127" s="8757"/>
      <c r="J127" s="8757"/>
      <c r="K127" s="8757"/>
      <c r="L127" s="8757"/>
      <c r="M127" s="8757"/>
      <c r="N127" s="8757"/>
      <c r="O127" s="8757"/>
      <c r="P127" s="8757"/>
      <c r="Q127" s="8757"/>
      <c r="R127" s="8757"/>
      <c r="S127" s="8757"/>
      <c r="T127" s="8757"/>
      <c r="U127" s="8757"/>
      <c r="V127" s="7780"/>
      <c r="W127" s="8186"/>
      <c r="X127" s="8186"/>
      <c r="Y127" s="8186"/>
      <c r="Z127" s="8186"/>
      <c r="AA127" s="8186"/>
      <c r="AB127" s="8186"/>
      <c r="AC127" s="8186"/>
      <c r="AD127" s="8186"/>
      <c r="AE127" s="8186"/>
    </row>
    <row r="128" spans="1:31" s="271" customFormat="1">
      <c r="A128" s="5132"/>
      <c r="B128" s="5132"/>
      <c r="C128" s="5132"/>
      <c r="D128" s="5133"/>
      <c r="E128" s="5133"/>
      <c r="F128" s="8812" t="s">
        <v>2905</v>
      </c>
      <c r="G128" s="8812"/>
      <c r="H128" s="8812"/>
      <c r="I128" s="8812"/>
      <c r="J128" s="8812"/>
      <c r="K128" s="8812"/>
      <c r="L128" s="8812"/>
      <c r="M128" s="8812"/>
      <c r="N128" s="8812"/>
      <c r="O128" s="8812"/>
      <c r="P128" s="8812"/>
      <c r="Q128" s="8812"/>
      <c r="R128" s="8812"/>
      <c r="S128" s="5133"/>
      <c r="T128" s="5133"/>
      <c r="U128" s="5133"/>
      <c r="V128" s="5133"/>
      <c r="W128" s="5132"/>
      <c r="X128" s="5132"/>
      <c r="Y128" s="5132"/>
      <c r="Z128" s="5132"/>
      <c r="AA128" s="5132"/>
      <c r="AB128" s="5132"/>
      <c r="AC128" s="5132"/>
      <c r="AD128" s="5132"/>
      <c r="AE128" s="5132"/>
    </row>
    <row r="129" spans="1:31" s="8736" customFormat="1" ht="15" customHeight="1">
      <c r="A129" s="8186"/>
      <c r="B129" s="8186"/>
      <c r="C129" s="8186"/>
      <c r="D129" s="7780"/>
      <c r="E129" s="7780"/>
      <c r="F129" s="8741"/>
      <c r="G129" s="8737"/>
      <c r="H129" s="8745"/>
      <c r="I129" s="8757"/>
      <c r="J129" s="8757"/>
      <c r="K129" s="8757"/>
      <c r="L129" s="8757"/>
      <c r="M129" s="8757"/>
      <c r="N129" s="8757"/>
      <c r="O129" s="8757"/>
      <c r="P129" s="8757"/>
      <c r="Q129" s="8757"/>
      <c r="R129" s="8757"/>
      <c r="S129" s="8757"/>
      <c r="T129" s="8757"/>
      <c r="U129" s="8757"/>
      <c r="V129" s="7780"/>
      <c r="W129" s="8186"/>
      <c r="X129" s="8186"/>
      <c r="Y129" s="8186"/>
      <c r="Z129" s="8186"/>
      <c r="AA129" s="8186"/>
      <c r="AB129" s="8186"/>
      <c r="AC129" s="8186"/>
      <c r="AD129" s="8186"/>
      <c r="AE129" s="8186"/>
    </row>
    <row r="130" spans="1:31" s="8736" customFormat="1" ht="15" customHeight="1">
      <c r="A130" s="8186"/>
      <c r="B130" s="8186"/>
      <c r="C130" s="8186"/>
      <c r="D130" s="7780"/>
      <c r="E130" s="7780"/>
      <c r="F130" s="8735" t="s">
        <v>2036</v>
      </c>
      <c r="G130" s="8806" t="s">
        <v>2890</v>
      </c>
      <c r="H130" s="8806"/>
      <c r="I130" s="8806"/>
      <c r="J130" s="8806"/>
      <c r="K130" s="8806"/>
      <c r="L130" s="8806"/>
      <c r="M130" s="8806"/>
      <c r="N130" s="8806"/>
      <c r="O130" s="8806"/>
      <c r="P130" s="8806"/>
      <c r="Q130" s="8806"/>
      <c r="R130" s="8806"/>
      <c r="S130" s="8806"/>
      <c r="T130" s="8806"/>
      <c r="U130" s="8806"/>
      <c r="V130" s="7780"/>
      <c r="W130" s="8186"/>
      <c r="X130" s="8186"/>
      <c r="Y130" s="8186"/>
      <c r="Z130" s="8186"/>
      <c r="AA130" s="8186"/>
      <c r="AB130" s="8186"/>
      <c r="AC130" s="8186"/>
      <c r="AD130" s="8186"/>
      <c r="AE130" s="8186"/>
    </row>
    <row r="131" spans="1:31" s="8736" customFormat="1" ht="15" customHeight="1">
      <c r="A131" s="8186"/>
      <c r="B131" s="8186"/>
      <c r="C131" s="8186"/>
      <c r="D131" s="7780"/>
      <c r="E131" s="7780"/>
      <c r="F131" s="8735"/>
      <c r="G131" s="8806"/>
      <c r="H131" s="8806"/>
      <c r="I131" s="8806"/>
      <c r="J131" s="8806"/>
      <c r="K131" s="8806"/>
      <c r="L131" s="8806"/>
      <c r="M131" s="8806"/>
      <c r="N131" s="8806"/>
      <c r="O131" s="8806"/>
      <c r="P131" s="8806"/>
      <c r="Q131" s="8806"/>
      <c r="R131" s="8806"/>
      <c r="S131" s="8806"/>
      <c r="T131" s="8806"/>
      <c r="U131" s="8806"/>
      <c r="V131" s="7780"/>
      <c r="W131" s="8186"/>
      <c r="X131" s="8186"/>
      <c r="Y131" s="8186"/>
      <c r="Z131" s="8186"/>
      <c r="AA131" s="8186"/>
      <c r="AB131" s="8186"/>
      <c r="AC131" s="8186"/>
      <c r="AD131" s="8186"/>
      <c r="AE131" s="8186"/>
    </row>
    <row r="132" spans="1:31" s="8736" customFormat="1" ht="15" customHeight="1">
      <c r="A132" s="8186"/>
      <c r="B132" s="8186"/>
      <c r="C132" s="8186"/>
      <c r="D132" s="7780"/>
      <c r="E132" s="7780"/>
      <c r="F132" s="7780"/>
      <c r="G132" s="8806"/>
      <c r="H132" s="8806"/>
      <c r="I132" s="8806"/>
      <c r="J132" s="8806"/>
      <c r="K132" s="8806"/>
      <c r="L132" s="8806"/>
      <c r="M132" s="8806"/>
      <c r="N132" s="8806"/>
      <c r="O132" s="8806"/>
      <c r="P132" s="8806"/>
      <c r="Q132" s="8806"/>
      <c r="R132" s="8806"/>
      <c r="S132" s="8806"/>
      <c r="T132" s="8806"/>
      <c r="U132" s="8806"/>
      <c r="V132" s="7780"/>
      <c r="W132" s="8186"/>
      <c r="X132" s="8186"/>
      <c r="Y132" s="8186"/>
      <c r="Z132" s="8186"/>
      <c r="AA132" s="8186"/>
      <c r="AB132" s="8186"/>
      <c r="AC132" s="8186"/>
      <c r="AD132" s="8186"/>
      <c r="AE132" s="8186"/>
    </row>
    <row r="133" spans="1:31" s="8736" customFormat="1" ht="15" customHeight="1">
      <c r="A133" s="8186"/>
      <c r="B133" s="8186"/>
      <c r="C133" s="8186"/>
      <c r="D133" s="7780"/>
      <c r="E133" s="7780"/>
      <c r="F133" s="7780"/>
      <c r="G133" s="8806"/>
      <c r="H133" s="8806"/>
      <c r="I133" s="8806"/>
      <c r="J133" s="8806"/>
      <c r="K133" s="8806"/>
      <c r="L133" s="8806"/>
      <c r="M133" s="8806"/>
      <c r="N133" s="8806"/>
      <c r="O133" s="8806"/>
      <c r="P133" s="8806"/>
      <c r="Q133" s="8806"/>
      <c r="R133" s="8806"/>
      <c r="S133" s="8806"/>
      <c r="T133" s="8806"/>
      <c r="U133" s="8806"/>
      <c r="V133" s="7780"/>
      <c r="W133" s="8186"/>
      <c r="X133" s="8186"/>
      <c r="Y133" s="8186"/>
      <c r="Z133" s="8186"/>
      <c r="AA133" s="8186"/>
      <c r="AB133" s="8186"/>
      <c r="AC133" s="8186"/>
      <c r="AD133" s="8186"/>
      <c r="AE133" s="8186"/>
    </row>
    <row r="134" spans="1:31" s="8736" customFormat="1" ht="15" customHeight="1">
      <c r="A134" s="8186"/>
      <c r="B134" s="8186"/>
      <c r="C134" s="8186"/>
      <c r="D134" s="7780"/>
      <c r="E134" s="7780"/>
      <c r="F134" s="7780"/>
      <c r="G134" s="8806"/>
      <c r="H134" s="8806"/>
      <c r="I134" s="8806"/>
      <c r="J134" s="8806"/>
      <c r="K134" s="8806"/>
      <c r="L134" s="8806"/>
      <c r="M134" s="8806"/>
      <c r="N134" s="8806"/>
      <c r="O134" s="8806"/>
      <c r="P134" s="8806"/>
      <c r="Q134" s="8806"/>
      <c r="R134" s="8806"/>
      <c r="S134" s="8806"/>
      <c r="T134" s="8806"/>
      <c r="U134" s="8806"/>
      <c r="V134" s="7780"/>
      <c r="W134" s="8186"/>
      <c r="X134" s="8186"/>
      <c r="Y134" s="8186"/>
      <c r="Z134" s="8186"/>
      <c r="AA134" s="8186"/>
      <c r="AB134" s="8186"/>
      <c r="AC134" s="8186"/>
      <c r="AD134" s="8186"/>
      <c r="AE134" s="8186"/>
    </row>
    <row r="135" spans="1:31" s="8736" customFormat="1" ht="15.95" customHeight="1">
      <c r="A135" s="8186"/>
      <c r="B135" s="8186"/>
      <c r="C135" s="8186"/>
      <c r="D135" s="7780"/>
      <c r="E135" s="7780"/>
      <c r="F135" s="7780"/>
      <c r="G135" s="8807" t="s">
        <v>2889</v>
      </c>
      <c r="H135" s="8807"/>
      <c r="I135" s="8807"/>
      <c r="J135" s="8807"/>
      <c r="K135" s="8807"/>
      <c r="L135" s="8807"/>
      <c r="M135" s="8807"/>
      <c r="N135" s="8807"/>
      <c r="O135" s="8807"/>
      <c r="P135" s="8807"/>
      <c r="Q135" s="8807"/>
      <c r="R135" s="8807"/>
      <c r="S135" s="8807"/>
      <c r="T135" s="8807"/>
      <c r="U135" s="8807"/>
      <c r="V135" s="7780"/>
      <c r="W135" s="8186"/>
      <c r="X135" s="8186"/>
      <c r="Y135" s="8186"/>
      <c r="Z135" s="8186"/>
      <c r="AA135" s="8186"/>
      <c r="AB135" s="8186"/>
      <c r="AC135" s="8186"/>
      <c r="AD135" s="8186"/>
      <c r="AE135" s="8186"/>
    </row>
    <row r="136" spans="1:31" s="8736" customFormat="1" ht="15.95" customHeight="1">
      <c r="A136" s="8186"/>
      <c r="B136" s="8186"/>
      <c r="C136" s="8186"/>
      <c r="D136" s="7780"/>
      <c r="E136" s="7780"/>
      <c r="F136" s="7780"/>
      <c r="G136" s="8807"/>
      <c r="H136" s="8807"/>
      <c r="I136" s="8807"/>
      <c r="J136" s="8807"/>
      <c r="K136" s="8807"/>
      <c r="L136" s="8807"/>
      <c r="M136" s="8807"/>
      <c r="N136" s="8807"/>
      <c r="O136" s="8807"/>
      <c r="P136" s="8807"/>
      <c r="Q136" s="8807"/>
      <c r="R136" s="8807"/>
      <c r="S136" s="8807"/>
      <c r="T136" s="8807"/>
      <c r="U136" s="8807"/>
      <c r="V136" s="7780"/>
      <c r="W136" s="8186"/>
      <c r="X136" s="8186"/>
      <c r="Y136" s="8186"/>
      <c r="Z136" s="8186"/>
      <c r="AA136" s="8186"/>
      <c r="AB136" s="8186"/>
      <c r="AC136" s="8186"/>
      <c r="AD136" s="8186"/>
      <c r="AE136" s="8186"/>
    </row>
    <row r="137" spans="1:31" s="8736" customFormat="1" ht="15.95" customHeight="1">
      <c r="A137" s="8186"/>
      <c r="B137" s="8186"/>
      <c r="C137" s="8186"/>
      <c r="D137" s="7780"/>
      <c r="E137" s="7780"/>
      <c r="F137" s="7780"/>
      <c r="G137" s="8807"/>
      <c r="H137" s="8807"/>
      <c r="I137" s="8807"/>
      <c r="J137" s="8807"/>
      <c r="K137" s="8807"/>
      <c r="L137" s="8807"/>
      <c r="M137" s="8807"/>
      <c r="N137" s="8807"/>
      <c r="O137" s="8807"/>
      <c r="P137" s="8807"/>
      <c r="Q137" s="8807"/>
      <c r="R137" s="8807"/>
      <c r="S137" s="8807"/>
      <c r="T137" s="8807"/>
      <c r="U137" s="8807"/>
      <c r="V137" s="7780"/>
      <c r="W137" s="8186"/>
      <c r="X137" s="8186"/>
      <c r="Y137" s="8186"/>
      <c r="Z137" s="8186"/>
      <c r="AA137" s="8186"/>
      <c r="AB137" s="8186"/>
      <c r="AC137" s="8186"/>
      <c r="AD137" s="8186"/>
      <c r="AE137" s="8186"/>
    </row>
    <row r="138" spans="1:31" s="8736" customFormat="1" ht="15.95" customHeight="1">
      <c r="A138" s="8186"/>
      <c r="B138" s="8186"/>
      <c r="C138" s="8186"/>
      <c r="D138" s="7780"/>
      <c r="E138" s="7780"/>
      <c r="F138" s="7780"/>
      <c r="G138" s="8807"/>
      <c r="H138" s="8807"/>
      <c r="I138" s="8807"/>
      <c r="J138" s="8807"/>
      <c r="K138" s="8807"/>
      <c r="L138" s="8807"/>
      <c r="M138" s="8807"/>
      <c r="N138" s="8807"/>
      <c r="O138" s="8807"/>
      <c r="P138" s="8807"/>
      <c r="Q138" s="8807"/>
      <c r="R138" s="8807"/>
      <c r="S138" s="8807"/>
      <c r="T138" s="8807"/>
      <c r="U138" s="8807"/>
      <c r="V138" s="7780"/>
      <c r="W138" s="8186"/>
      <c r="X138" s="8186"/>
      <c r="Y138" s="8186"/>
      <c r="Z138" s="8186"/>
      <c r="AA138" s="8186"/>
      <c r="AB138" s="8186"/>
      <c r="AC138" s="8186"/>
      <c r="AD138" s="8186"/>
      <c r="AE138" s="8186"/>
    </row>
    <row r="139" spans="1:31" s="8736" customFormat="1" ht="15.95" customHeight="1">
      <c r="A139" s="8186"/>
      <c r="B139" s="8186"/>
      <c r="C139" s="8186"/>
      <c r="D139" s="7780"/>
      <c r="E139" s="7780"/>
      <c r="F139" s="8735" t="s">
        <v>2036</v>
      </c>
      <c r="G139" s="8806" t="s">
        <v>2891</v>
      </c>
      <c r="H139" s="8806"/>
      <c r="I139" s="8806"/>
      <c r="J139" s="8806"/>
      <c r="K139" s="8806"/>
      <c r="L139" s="8806"/>
      <c r="M139" s="8806"/>
      <c r="N139" s="8806"/>
      <c r="O139" s="8806"/>
      <c r="P139" s="8806"/>
      <c r="Q139" s="8806"/>
      <c r="R139" s="8806"/>
      <c r="S139" s="8806"/>
      <c r="T139" s="8806"/>
      <c r="U139" s="8806"/>
      <c r="V139" s="7780"/>
      <c r="W139" s="8186"/>
      <c r="X139" s="8186"/>
      <c r="Y139" s="8186"/>
      <c r="Z139" s="8186"/>
      <c r="AA139" s="8186"/>
      <c r="AB139" s="8186"/>
      <c r="AC139" s="8186"/>
      <c r="AD139" s="8186"/>
      <c r="AE139" s="8186"/>
    </row>
    <row r="140" spans="1:31" s="8736" customFormat="1" ht="15.95" customHeight="1">
      <c r="A140" s="8186"/>
      <c r="B140" s="8186"/>
      <c r="C140" s="8186"/>
      <c r="D140" s="7780"/>
      <c r="E140" s="7780"/>
      <c r="F140" s="8735"/>
      <c r="G140" s="8806"/>
      <c r="H140" s="8806"/>
      <c r="I140" s="8806"/>
      <c r="J140" s="8806"/>
      <c r="K140" s="8806"/>
      <c r="L140" s="8806"/>
      <c r="M140" s="8806"/>
      <c r="N140" s="8806"/>
      <c r="O140" s="8806"/>
      <c r="P140" s="8806"/>
      <c r="Q140" s="8806"/>
      <c r="R140" s="8806"/>
      <c r="S140" s="8806"/>
      <c r="T140" s="8806"/>
      <c r="U140" s="8806"/>
      <c r="V140" s="7780"/>
      <c r="W140" s="8186"/>
      <c r="X140" s="8186"/>
      <c r="Y140" s="8186"/>
      <c r="Z140" s="8186"/>
      <c r="AA140" s="8186"/>
      <c r="AB140" s="8186"/>
      <c r="AC140" s="8186"/>
      <c r="AD140" s="8186"/>
      <c r="AE140" s="8186"/>
    </row>
    <row r="141" spans="1:31" s="8736" customFormat="1" ht="15.95" customHeight="1">
      <c r="A141" s="8186"/>
      <c r="B141" s="8186"/>
      <c r="C141" s="8186"/>
      <c r="D141" s="7780"/>
      <c r="E141" s="7780"/>
      <c r="F141" s="8735"/>
      <c r="G141" s="7780"/>
      <c r="H141" s="8806" t="s">
        <v>2839</v>
      </c>
      <c r="I141" s="8806"/>
      <c r="J141" s="8806"/>
      <c r="K141" s="8806"/>
      <c r="L141" s="8806"/>
      <c r="M141" s="8806"/>
      <c r="N141" s="8806"/>
      <c r="O141" s="8806"/>
      <c r="P141" s="8806"/>
      <c r="Q141" s="8806"/>
      <c r="R141" s="8806"/>
      <c r="S141" s="8806"/>
      <c r="T141" s="8806"/>
      <c r="U141" s="8795"/>
      <c r="V141" s="7780"/>
      <c r="W141" s="8186"/>
      <c r="X141" s="8186"/>
      <c r="Y141" s="8186"/>
      <c r="Z141" s="8186"/>
      <c r="AA141" s="8186"/>
      <c r="AB141" s="8186"/>
      <c r="AC141" s="8186"/>
      <c r="AD141" s="8186"/>
      <c r="AE141" s="8186"/>
    </row>
    <row r="142" spans="1:31" s="8736" customFormat="1" ht="15.95" customHeight="1">
      <c r="A142" s="8186"/>
      <c r="B142" s="8186"/>
      <c r="C142" s="8186"/>
      <c r="D142" s="7780"/>
      <c r="E142" s="7780"/>
      <c r="F142" s="7780"/>
      <c r="G142" s="7780"/>
      <c r="H142" s="8806"/>
      <c r="I142" s="8806"/>
      <c r="J142" s="8806"/>
      <c r="K142" s="8806"/>
      <c r="L142" s="8806"/>
      <c r="M142" s="8806"/>
      <c r="N142" s="8806"/>
      <c r="O142" s="8806"/>
      <c r="P142" s="8806"/>
      <c r="Q142" s="8806"/>
      <c r="R142" s="8806"/>
      <c r="S142" s="8806"/>
      <c r="T142" s="8806"/>
      <c r="U142" s="8795"/>
      <c r="V142" s="7780"/>
      <c r="W142" s="8186"/>
      <c r="X142" s="8186"/>
      <c r="Y142" s="8186"/>
      <c r="Z142" s="8186"/>
      <c r="AA142" s="8186"/>
      <c r="AB142" s="8186"/>
      <c r="AC142" s="8186"/>
      <c r="AD142" s="8186"/>
      <c r="AE142" s="8186"/>
    </row>
    <row r="143" spans="1:31" s="8736" customFormat="1" ht="15.95" customHeight="1">
      <c r="A143" s="8186"/>
      <c r="B143" s="8186"/>
      <c r="C143" s="8186"/>
      <c r="D143" s="7780"/>
      <c r="E143" s="7780"/>
      <c r="F143" s="7780"/>
      <c r="G143" s="7780"/>
      <c r="H143" s="8807" t="s">
        <v>2814</v>
      </c>
      <c r="I143" s="8807"/>
      <c r="J143" s="8807"/>
      <c r="K143" s="8807"/>
      <c r="L143" s="8807"/>
      <c r="M143" s="8807"/>
      <c r="N143" s="8807"/>
      <c r="O143" s="8807"/>
      <c r="P143" s="8807"/>
      <c r="Q143" s="8807"/>
      <c r="R143" s="8807"/>
      <c r="S143" s="8807"/>
      <c r="T143" s="8807"/>
      <c r="U143" s="8796"/>
      <c r="V143" s="7780"/>
      <c r="W143" s="8186"/>
      <c r="X143" s="8186"/>
      <c r="Y143" s="8186"/>
      <c r="Z143" s="8186"/>
      <c r="AA143" s="8186"/>
      <c r="AB143" s="8186"/>
      <c r="AC143" s="8186"/>
      <c r="AD143" s="8186"/>
      <c r="AE143" s="8186"/>
    </row>
    <row r="144" spans="1:31" s="8736" customFormat="1" ht="15.95" customHeight="1">
      <c r="A144" s="8186"/>
      <c r="B144" s="8186"/>
      <c r="C144" s="8186"/>
      <c r="D144" s="7780"/>
      <c r="E144" s="7780"/>
      <c r="F144" s="7780"/>
      <c r="G144" s="8796"/>
      <c r="H144" s="8807"/>
      <c r="I144" s="8807"/>
      <c r="J144" s="8807"/>
      <c r="K144" s="8807"/>
      <c r="L144" s="8807"/>
      <c r="M144" s="8807"/>
      <c r="N144" s="8807"/>
      <c r="O144" s="8807"/>
      <c r="P144" s="8807"/>
      <c r="Q144" s="8807"/>
      <c r="R144" s="8807"/>
      <c r="S144" s="8807"/>
      <c r="T144" s="8807"/>
      <c r="U144" s="8796"/>
      <c r="V144" s="7780"/>
      <c r="W144" s="8186"/>
      <c r="X144" s="8186"/>
      <c r="Y144" s="8186"/>
      <c r="Z144" s="8186"/>
      <c r="AA144" s="8186"/>
      <c r="AB144" s="8186"/>
      <c r="AC144" s="8186"/>
      <c r="AD144" s="8186"/>
      <c r="AE144" s="8186"/>
    </row>
    <row r="145" spans="1:31" s="8736" customFormat="1" ht="15.95" customHeight="1">
      <c r="A145" s="8186"/>
      <c r="B145" s="8186"/>
      <c r="C145" s="8186"/>
      <c r="D145" s="7780"/>
      <c r="E145" s="7780"/>
      <c r="F145" s="8735" t="s">
        <v>2036</v>
      </c>
      <c r="G145" s="8806" t="s">
        <v>2892</v>
      </c>
      <c r="H145" s="8806"/>
      <c r="I145" s="8806"/>
      <c r="J145" s="8806"/>
      <c r="K145" s="8806"/>
      <c r="L145" s="8806"/>
      <c r="M145" s="8806"/>
      <c r="N145" s="8806"/>
      <c r="O145" s="8806"/>
      <c r="P145" s="8806"/>
      <c r="Q145" s="8806"/>
      <c r="R145" s="8806"/>
      <c r="S145" s="8806"/>
      <c r="T145" s="8806"/>
      <c r="U145" s="8806"/>
      <c r="V145" s="7780"/>
      <c r="W145" s="8186"/>
      <c r="X145" s="8186"/>
      <c r="Y145" s="8186"/>
      <c r="Z145" s="8186"/>
      <c r="AA145" s="8186"/>
      <c r="AB145" s="8186"/>
      <c r="AC145" s="8186"/>
      <c r="AD145" s="8186"/>
      <c r="AE145" s="8186"/>
    </row>
    <row r="146" spans="1:31" s="8736" customFormat="1" ht="15.95" customHeight="1">
      <c r="A146" s="8186"/>
      <c r="B146" s="8186"/>
      <c r="C146" s="8186"/>
      <c r="D146" s="7780"/>
      <c r="E146" s="7780"/>
      <c r="F146" s="8735"/>
      <c r="G146" s="8806"/>
      <c r="H146" s="8806"/>
      <c r="I146" s="8806"/>
      <c r="J146" s="8806"/>
      <c r="K146" s="8806"/>
      <c r="L146" s="8806"/>
      <c r="M146" s="8806"/>
      <c r="N146" s="8806"/>
      <c r="O146" s="8806"/>
      <c r="P146" s="8806"/>
      <c r="Q146" s="8806"/>
      <c r="R146" s="8806"/>
      <c r="S146" s="8806"/>
      <c r="T146" s="8806"/>
      <c r="U146" s="8806"/>
      <c r="V146" s="7780"/>
      <c r="W146" s="8186"/>
      <c r="X146" s="8186"/>
      <c r="Y146" s="8186"/>
      <c r="Z146" s="8186"/>
      <c r="AA146" s="8186"/>
      <c r="AB146" s="8186"/>
      <c r="AC146" s="8186"/>
      <c r="AD146" s="8186"/>
      <c r="AE146" s="8186"/>
    </row>
    <row r="147" spans="1:31" s="8736" customFormat="1" ht="15.95" customHeight="1">
      <c r="A147" s="8186"/>
      <c r="B147" s="8186"/>
      <c r="C147" s="8186"/>
      <c r="D147" s="7780"/>
      <c r="E147" s="7780"/>
      <c r="F147" s="8735"/>
      <c r="G147" s="8806"/>
      <c r="H147" s="8806"/>
      <c r="I147" s="8806"/>
      <c r="J147" s="8806"/>
      <c r="K147" s="8806"/>
      <c r="L147" s="8806"/>
      <c r="M147" s="8806"/>
      <c r="N147" s="8806"/>
      <c r="O147" s="8806"/>
      <c r="P147" s="8806"/>
      <c r="Q147" s="8806"/>
      <c r="R147" s="8806"/>
      <c r="S147" s="8806"/>
      <c r="T147" s="8806"/>
      <c r="U147" s="8806"/>
      <c r="V147" s="7780"/>
      <c r="W147" s="8186"/>
      <c r="X147" s="8186"/>
      <c r="Y147" s="8186"/>
      <c r="Z147" s="8186"/>
      <c r="AA147" s="8186"/>
      <c r="AB147" s="8186"/>
      <c r="AC147" s="8186"/>
      <c r="AD147" s="8186"/>
      <c r="AE147" s="8186"/>
    </row>
    <row r="148" spans="1:31" s="8736" customFormat="1" ht="15.95" customHeight="1">
      <c r="A148" s="8186"/>
      <c r="B148" s="8186"/>
      <c r="C148" s="8186"/>
      <c r="D148" s="7780"/>
      <c r="E148" s="7780"/>
      <c r="F148" s="8741"/>
      <c r="G148" s="8806"/>
      <c r="H148" s="8806"/>
      <c r="I148" s="8806"/>
      <c r="J148" s="8806"/>
      <c r="K148" s="8806"/>
      <c r="L148" s="8806"/>
      <c r="M148" s="8806"/>
      <c r="N148" s="8806"/>
      <c r="O148" s="8806"/>
      <c r="P148" s="8806"/>
      <c r="Q148" s="8806"/>
      <c r="R148" s="8806"/>
      <c r="S148" s="8806"/>
      <c r="T148" s="8806"/>
      <c r="U148" s="8806"/>
      <c r="V148" s="7780"/>
      <c r="W148" s="8186"/>
      <c r="X148" s="8186"/>
      <c r="Y148" s="8186"/>
      <c r="Z148" s="8186"/>
      <c r="AA148" s="8186"/>
      <c r="AB148" s="8186"/>
      <c r="AC148" s="8186"/>
      <c r="AD148" s="8186"/>
      <c r="AE148" s="8186"/>
    </row>
    <row r="149" spans="1:31" s="8736" customFormat="1" ht="15.95" customHeight="1">
      <c r="A149" s="8186"/>
      <c r="B149" s="8186"/>
      <c r="C149" s="8186"/>
      <c r="D149" s="7780"/>
      <c r="E149" s="7780"/>
      <c r="F149" s="7780"/>
      <c r="G149" s="8759"/>
      <c r="H149" s="8759"/>
      <c r="I149" s="8759"/>
      <c r="J149" s="8759"/>
      <c r="K149" s="8759"/>
      <c r="L149" s="8759"/>
      <c r="M149" s="8759"/>
      <c r="N149" s="8759"/>
      <c r="O149" s="8759"/>
      <c r="P149" s="8759"/>
      <c r="Q149" s="8759"/>
      <c r="R149" s="8759"/>
      <c r="S149" s="8759"/>
      <c r="T149" s="8759"/>
      <c r="U149" s="8759"/>
      <c r="V149" s="7780"/>
      <c r="W149" s="8186"/>
      <c r="X149" s="8186"/>
      <c r="Y149" s="8186"/>
      <c r="Z149" s="8186"/>
      <c r="AA149" s="8186"/>
      <c r="AB149" s="8186"/>
      <c r="AC149" s="8186"/>
      <c r="AD149" s="8186"/>
      <c r="AE149" s="8186"/>
    </row>
    <row r="150" spans="1:31" s="8736" customFormat="1" ht="15.75" customHeight="1">
      <c r="A150" s="8186"/>
      <c r="B150" s="8186"/>
      <c r="C150" s="8186"/>
      <c r="D150" s="7780"/>
      <c r="E150" s="7780"/>
      <c r="F150" s="8735" t="s">
        <v>2036</v>
      </c>
      <c r="G150" s="8806" t="s">
        <v>2893</v>
      </c>
      <c r="H150" s="8806"/>
      <c r="I150" s="8806"/>
      <c r="J150" s="8806"/>
      <c r="K150" s="8806"/>
      <c r="L150" s="8806"/>
      <c r="M150" s="8806"/>
      <c r="N150" s="8806"/>
      <c r="O150" s="8806"/>
      <c r="P150" s="8806"/>
      <c r="Q150" s="8806"/>
      <c r="R150" s="8806"/>
      <c r="S150" s="8806"/>
      <c r="T150" s="8806"/>
      <c r="U150" s="8806"/>
      <c r="V150" s="7780"/>
      <c r="W150" s="8186"/>
      <c r="X150" s="8186"/>
      <c r="Y150" s="8186"/>
      <c r="Z150" s="8186"/>
      <c r="AA150" s="8186"/>
      <c r="AB150" s="8186"/>
      <c r="AC150" s="8186"/>
      <c r="AD150" s="8186"/>
      <c r="AE150" s="8186"/>
    </row>
    <row r="151" spans="1:31" s="8736" customFormat="1" ht="15.75" customHeight="1">
      <c r="A151" s="8186"/>
      <c r="B151" s="8186"/>
      <c r="C151" s="8186"/>
      <c r="D151" s="7780"/>
      <c r="E151" s="7780"/>
      <c r="F151" s="8735"/>
      <c r="G151" s="8806"/>
      <c r="H151" s="8806"/>
      <c r="I151" s="8806"/>
      <c r="J151" s="8806"/>
      <c r="K151" s="8806"/>
      <c r="L151" s="8806"/>
      <c r="M151" s="8806"/>
      <c r="N151" s="8806"/>
      <c r="O151" s="8806"/>
      <c r="P151" s="8806"/>
      <c r="Q151" s="8806"/>
      <c r="R151" s="8806"/>
      <c r="S151" s="8806"/>
      <c r="T151" s="8806"/>
      <c r="U151" s="8806"/>
      <c r="V151" s="7780"/>
      <c r="W151" s="8186"/>
      <c r="X151" s="8186"/>
      <c r="Y151" s="8186"/>
      <c r="Z151" s="8186"/>
      <c r="AA151" s="8186"/>
      <c r="AB151" s="8186"/>
      <c r="AC151" s="8186"/>
      <c r="AD151" s="8186"/>
      <c r="AE151" s="8186"/>
    </row>
    <row r="152" spans="1:31" s="8736" customFormat="1" ht="15.75" customHeight="1">
      <c r="A152" s="8186"/>
      <c r="B152" s="8186"/>
      <c r="C152" s="8186"/>
      <c r="D152" s="7780"/>
      <c r="E152" s="7780"/>
      <c r="F152" s="8735"/>
      <c r="G152" s="8806"/>
      <c r="H152" s="8806"/>
      <c r="I152" s="8806"/>
      <c r="J152" s="8806"/>
      <c r="K152" s="8806"/>
      <c r="L152" s="8806"/>
      <c r="M152" s="8806"/>
      <c r="N152" s="8806"/>
      <c r="O152" s="8806"/>
      <c r="P152" s="8806"/>
      <c r="Q152" s="8806"/>
      <c r="R152" s="8806"/>
      <c r="S152" s="8806"/>
      <c r="T152" s="8806"/>
      <c r="U152" s="8806"/>
      <c r="V152" s="7780"/>
      <c r="W152" s="8186"/>
      <c r="X152" s="8186"/>
      <c r="Y152" s="8186"/>
      <c r="Z152" s="8186"/>
      <c r="AA152" s="8186"/>
      <c r="AB152" s="8186"/>
      <c r="AC152" s="8186"/>
      <c r="AD152" s="8186"/>
      <c r="AE152" s="8186"/>
    </row>
    <row r="153" spans="1:31" s="8736" customFormat="1" ht="15.95" customHeight="1">
      <c r="A153" s="8186"/>
      <c r="B153" s="8186"/>
      <c r="C153" s="8186"/>
      <c r="D153" s="7780"/>
      <c r="E153" s="7780"/>
      <c r="F153" s="8741"/>
      <c r="G153" s="8806"/>
      <c r="H153" s="8806"/>
      <c r="I153" s="8806"/>
      <c r="J153" s="8806"/>
      <c r="K153" s="8806"/>
      <c r="L153" s="8806"/>
      <c r="M153" s="8806"/>
      <c r="N153" s="8806"/>
      <c r="O153" s="8806"/>
      <c r="P153" s="8806"/>
      <c r="Q153" s="8806"/>
      <c r="R153" s="8806"/>
      <c r="S153" s="8806"/>
      <c r="T153" s="8806"/>
      <c r="U153" s="8806"/>
      <c r="V153" s="7780"/>
      <c r="W153" s="8186"/>
      <c r="X153" s="8186"/>
      <c r="Y153" s="8186"/>
      <c r="Z153" s="8186"/>
      <c r="AA153" s="8186"/>
      <c r="AB153" s="8186"/>
      <c r="AC153" s="8186"/>
      <c r="AD153" s="8186"/>
      <c r="AE153" s="8186"/>
    </row>
    <row r="154" spans="1:31" s="8736" customFormat="1" ht="9.75" customHeight="1">
      <c r="A154" s="8186"/>
      <c r="B154" s="8186"/>
      <c r="C154" s="8186"/>
      <c r="D154" s="7780"/>
      <c r="E154" s="7780"/>
      <c r="F154" s="8741"/>
      <c r="G154" s="8806"/>
      <c r="H154" s="8806"/>
      <c r="I154" s="8806"/>
      <c r="J154" s="8806"/>
      <c r="K154" s="8806"/>
      <c r="L154" s="8806"/>
      <c r="M154" s="8806"/>
      <c r="N154" s="8806"/>
      <c r="O154" s="8806"/>
      <c r="P154" s="8806"/>
      <c r="Q154" s="8806"/>
      <c r="R154" s="8806"/>
      <c r="S154" s="8806"/>
      <c r="T154" s="8806"/>
      <c r="U154" s="8806"/>
      <c r="V154" s="7780"/>
      <c r="W154" s="8186"/>
      <c r="X154" s="8186"/>
      <c r="Y154" s="8186"/>
      <c r="Z154" s="8186"/>
      <c r="AA154" s="8186"/>
      <c r="AB154" s="8186"/>
      <c r="AC154" s="8186"/>
      <c r="AD154" s="8186"/>
      <c r="AE154" s="8186"/>
    </row>
    <row r="155" spans="1:31" s="8736" customFormat="1" ht="15.95" customHeight="1">
      <c r="A155" s="8186"/>
      <c r="B155" s="8186"/>
      <c r="C155" s="8186"/>
      <c r="D155" s="7780"/>
      <c r="E155" s="7780"/>
      <c r="F155" s="8741"/>
      <c r="G155" s="8807" t="s">
        <v>2828</v>
      </c>
      <c r="H155" s="8807"/>
      <c r="I155" s="8807"/>
      <c r="J155" s="8807"/>
      <c r="K155" s="8807"/>
      <c r="L155" s="8807"/>
      <c r="M155" s="8807"/>
      <c r="N155" s="8807"/>
      <c r="O155" s="8807"/>
      <c r="P155" s="8807"/>
      <c r="Q155" s="8807"/>
      <c r="R155" s="8807"/>
      <c r="S155" s="8807"/>
      <c r="T155" s="8807"/>
      <c r="U155" s="8807"/>
      <c r="V155" s="7780"/>
      <c r="W155" s="8186"/>
      <c r="X155" s="8186"/>
      <c r="Y155" s="8186"/>
      <c r="Z155" s="8186"/>
      <c r="AA155" s="8186"/>
      <c r="AB155" s="8186"/>
      <c r="AC155" s="8186"/>
      <c r="AD155" s="8186"/>
      <c r="AE155" s="8186"/>
    </row>
    <row r="156" spans="1:31" s="8736" customFormat="1" ht="15.95" customHeight="1">
      <c r="A156" s="8186"/>
      <c r="B156" s="8186"/>
      <c r="C156" s="8186"/>
      <c r="D156" s="7780"/>
      <c r="E156" s="7780"/>
      <c r="F156" s="8741"/>
      <c r="G156" s="8807"/>
      <c r="H156" s="8807"/>
      <c r="I156" s="8807"/>
      <c r="J156" s="8807"/>
      <c r="K156" s="8807"/>
      <c r="L156" s="8807"/>
      <c r="M156" s="8807"/>
      <c r="N156" s="8807"/>
      <c r="O156" s="8807"/>
      <c r="P156" s="8807"/>
      <c r="Q156" s="8807"/>
      <c r="R156" s="8807"/>
      <c r="S156" s="8807"/>
      <c r="T156" s="8807"/>
      <c r="U156" s="8807"/>
      <c r="V156" s="7780"/>
      <c r="W156" s="8186"/>
      <c r="X156" s="8186"/>
      <c r="Y156" s="8186"/>
      <c r="Z156" s="8186"/>
      <c r="AA156" s="8186"/>
      <c r="AB156" s="8186"/>
      <c r="AC156" s="8186"/>
      <c r="AD156" s="8186"/>
      <c r="AE156" s="8186"/>
    </row>
    <row r="157" spans="1:31" s="8736" customFormat="1" ht="15.95" customHeight="1">
      <c r="A157" s="8186"/>
      <c r="B157" s="8186"/>
      <c r="C157" s="8186"/>
      <c r="D157" s="7780"/>
      <c r="E157" s="7780"/>
      <c r="F157" s="8741"/>
      <c r="G157" s="8807"/>
      <c r="H157" s="8807"/>
      <c r="I157" s="8807"/>
      <c r="J157" s="8807"/>
      <c r="K157" s="8807"/>
      <c r="L157" s="8807"/>
      <c r="M157" s="8807"/>
      <c r="N157" s="8807"/>
      <c r="O157" s="8807"/>
      <c r="P157" s="8807"/>
      <c r="Q157" s="8807"/>
      <c r="R157" s="8807"/>
      <c r="S157" s="8807"/>
      <c r="T157" s="8807"/>
      <c r="U157" s="8807"/>
      <c r="V157" s="7780"/>
      <c r="W157" s="8186"/>
      <c r="X157" s="8186"/>
      <c r="Y157" s="8186"/>
      <c r="Z157" s="8186"/>
      <c r="AA157" s="8186"/>
      <c r="AB157" s="8186"/>
      <c r="AC157" s="8186"/>
      <c r="AD157" s="8186"/>
      <c r="AE157" s="8186"/>
    </row>
    <row r="158" spans="1:31" s="8736" customFormat="1" ht="15.95" customHeight="1">
      <c r="A158" s="8186"/>
      <c r="B158" s="8186"/>
      <c r="C158" s="8186"/>
      <c r="D158" s="7780"/>
      <c r="E158" s="7780"/>
      <c r="F158" s="8735" t="s">
        <v>2036</v>
      </c>
      <c r="G158" s="8802" t="s">
        <v>2840</v>
      </c>
      <c r="H158" s="8802"/>
      <c r="I158" s="8802"/>
      <c r="J158" s="8802"/>
      <c r="K158" s="8802"/>
      <c r="L158" s="8802"/>
      <c r="M158" s="8802"/>
      <c r="N158" s="8802"/>
      <c r="O158" s="8802"/>
      <c r="P158" s="8802"/>
      <c r="Q158" s="8802"/>
      <c r="R158" s="8802"/>
      <c r="S158" s="8802"/>
      <c r="T158" s="8802"/>
      <c r="U158" s="8742"/>
      <c r="V158" s="7780"/>
      <c r="W158" s="8186"/>
      <c r="X158" s="8186"/>
      <c r="Y158" s="8186"/>
      <c r="Z158" s="8186"/>
      <c r="AA158" s="8186"/>
      <c r="AB158" s="8186"/>
      <c r="AC158" s="8186"/>
      <c r="AD158" s="8186"/>
      <c r="AE158" s="8186"/>
    </row>
    <row r="159" spans="1:31" s="8736" customFormat="1" ht="15.95" customHeight="1">
      <c r="A159" s="8186"/>
      <c r="B159" s="8186"/>
      <c r="C159" s="8186"/>
      <c r="D159" s="7780"/>
      <c r="E159" s="7780"/>
      <c r="F159" s="8735"/>
      <c r="G159" s="8802"/>
      <c r="H159" s="8802"/>
      <c r="I159" s="8802"/>
      <c r="J159" s="8802"/>
      <c r="K159" s="8802"/>
      <c r="L159" s="8802"/>
      <c r="M159" s="8802"/>
      <c r="N159" s="8802"/>
      <c r="O159" s="8802"/>
      <c r="P159" s="8802"/>
      <c r="Q159" s="8802"/>
      <c r="R159" s="8802"/>
      <c r="S159" s="8802"/>
      <c r="T159" s="8802"/>
      <c r="U159" s="8742"/>
      <c r="V159" s="7780"/>
      <c r="W159" s="8186"/>
      <c r="X159" s="8186"/>
      <c r="Y159" s="8186"/>
      <c r="Z159" s="8186"/>
      <c r="AA159" s="8186"/>
      <c r="AB159" s="8186"/>
      <c r="AC159" s="8186"/>
      <c r="AD159" s="8186"/>
      <c r="AE159" s="8186"/>
    </row>
    <row r="160" spans="1:31" s="8736" customFormat="1" ht="15.95" customHeight="1">
      <c r="A160" s="8186"/>
      <c r="B160" s="8186"/>
      <c r="C160" s="8186"/>
      <c r="D160" s="7780"/>
      <c r="E160" s="7780"/>
      <c r="F160" s="8735"/>
      <c r="G160" s="8757"/>
      <c r="H160" s="8808" t="s">
        <v>2841</v>
      </c>
      <c r="I160" s="8808"/>
      <c r="J160" s="8808"/>
      <c r="K160" s="8808"/>
      <c r="L160" s="8808"/>
      <c r="M160" s="8808"/>
      <c r="N160" s="8808"/>
      <c r="O160" s="8808"/>
      <c r="P160" s="8808"/>
      <c r="Q160" s="8808"/>
      <c r="R160" s="8808"/>
      <c r="S160" s="8808"/>
      <c r="T160" s="8808"/>
      <c r="U160" s="8757"/>
      <c r="V160" s="7780"/>
      <c r="W160" s="8186"/>
      <c r="X160" s="8186"/>
      <c r="Y160" s="8186"/>
      <c r="Z160" s="8186"/>
      <c r="AA160" s="8186"/>
      <c r="AB160" s="8186"/>
      <c r="AC160" s="8186"/>
      <c r="AD160" s="8186"/>
      <c r="AE160" s="8186"/>
    </row>
    <row r="161" spans="1:31" s="8736" customFormat="1" ht="15.95" customHeight="1">
      <c r="A161" s="8186"/>
      <c r="B161" s="8186"/>
      <c r="C161" s="8186"/>
      <c r="D161" s="7780"/>
      <c r="E161" s="7780"/>
      <c r="F161" s="8735"/>
      <c r="G161" s="8757"/>
      <c r="H161" s="8808"/>
      <c r="I161" s="8808"/>
      <c r="J161" s="8808"/>
      <c r="K161" s="8808"/>
      <c r="L161" s="8808"/>
      <c r="M161" s="8808"/>
      <c r="N161" s="8808"/>
      <c r="O161" s="8808"/>
      <c r="P161" s="8808"/>
      <c r="Q161" s="8808"/>
      <c r="R161" s="8808"/>
      <c r="S161" s="8808"/>
      <c r="T161" s="8808"/>
      <c r="U161" s="8757"/>
      <c r="V161" s="7780"/>
      <c r="W161" s="8186"/>
      <c r="X161" s="8186"/>
      <c r="Y161" s="8186"/>
      <c r="Z161" s="8186"/>
      <c r="AA161" s="8186"/>
      <c r="AB161" s="8186"/>
      <c r="AC161" s="8186"/>
      <c r="AD161" s="8186"/>
      <c r="AE161" s="8186"/>
    </row>
    <row r="162" spans="1:31" s="8736" customFormat="1" ht="15.95" customHeight="1">
      <c r="A162" s="8186"/>
      <c r="B162" s="8186"/>
      <c r="C162" s="8186"/>
      <c r="D162" s="7780"/>
      <c r="E162" s="7780"/>
      <c r="F162" s="8735"/>
      <c r="G162" s="8757"/>
      <c r="H162" s="8808"/>
      <c r="I162" s="8808"/>
      <c r="J162" s="8808"/>
      <c r="K162" s="8808"/>
      <c r="L162" s="8808"/>
      <c r="M162" s="8808"/>
      <c r="N162" s="8808"/>
      <c r="O162" s="8808"/>
      <c r="P162" s="8808"/>
      <c r="Q162" s="8808"/>
      <c r="R162" s="8808"/>
      <c r="S162" s="8808"/>
      <c r="T162" s="8808"/>
      <c r="U162" s="8757"/>
      <c r="V162" s="7780"/>
      <c r="W162" s="8186"/>
      <c r="X162" s="8186"/>
      <c r="Y162" s="8186"/>
      <c r="Z162" s="8186"/>
      <c r="AA162" s="8186"/>
      <c r="AB162" s="8186"/>
      <c r="AC162" s="8186"/>
      <c r="AD162" s="8186"/>
      <c r="AE162" s="8186"/>
    </row>
    <row r="163" spans="1:31" s="8736" customFormat="1" ht="15.95" customHeight="1">
      <c r="A163" s="8186"/>
      <c r="B163" s="8186"/>
      <c r="C163" s="8186"/>
      <c r="D163" s="7780"/>
      <c r="E163" s="7780"/>
      <c r="F163" s="7780"/>
      <c r="G163" s="8757"/>
      <c r="H163" s="8808"/>
      <c r="I163" s="8808"/>
      <c r="J163" s="8808"/>
      <c r="K163" s="8808"/>
      <c r="L163" s="8808"/>
      <c r="M163" s="8808"/>
      <c r="N163" s="8808"/>
      <c r="O163" s="8808"/>
      <c r="P163" s="8808"/>
      <c r="Q163" s="8808"/>
      <c r="R163" s="8808"/>
      <c r="S163" s="8808"/>
      <c r="T163" s="8808"/>
      <c r="U163" s="8757"/>
      <c r="V163" s="7780"/>
      <c r="W163" s="8186"/>
      <c r="X163" s="8186"/>
      <c r="Y163" s="8186"/>
      <c r="Z163" s="8186"/>
      <c r="AA163" s="8186"/>
      <c r="AB163" s="8186"/>
      <c r="AC163" s="8186"/>
      <c r="AD163" s="8186"/>
      <c r="AE163" s="8186"/>
    </row>
    <row r="164" spans="1:31" s="8736" customFormat="1" ht="15" customHeight="1">
      <c r="A164" s="8186"/>
      <c r="B164" s="8186"/>
      <c r="C164" s="8186"/>
      <c r="D164" s="7780"/>
      <c r="E164" s="7780"/>
      <c r="F164" s="8735"/>
      <c r="G164" s="8757"/>
      <c r="H164" s="8808" t="s">
        <v>2843</v>
      </c>
      <c r="I164" s="8808"/>
      <c r="J164" s="8808"/>
      <c r="K164" s="8808"/>
      <c r="L164" s="8808"/>
      <c r="M164" s="8808"/>
      <c r="N164" s="8808"/>
      <c r="O164" s="8808"/>
      <c r="P164" s="8808"/>
      <c r="Q164" s="8808"/>
      <c r="R164" s="8808"/>
      <c r="S164" s="8808"/>
      <c r="T164" s="8808"/>
      <c r="U164" s="8757"/>
      <c r="V164" s="7780"/>
      <c r="W164" s="8186"/>
      <c r="X164" s="8186"/>
      <c r="Y164" s="8186"/>
      <c r="Z164" s="8186"/>
      <c r="AA164" s="8186"/>
      <c r="AB164" s="8186"/>
      <c r="AC164" s="8186"/>
      <c r="AD164" s="8186"/>
      <c r="AE164" s="8186"/>
    </row>
    <row r="165" spans="1:31" s="8736" customFormat="1" ht="15" customHeight="1">
      <c r="A165" s="8186"/>
      <c r="B165" s="8186"/>
      <c r="C165" s="8186"/>
      <c r="D165" s="7780"/>
      <c r="E165" s="7780"/>
      <c r="F165" s="8735"/>
      <c r="G165" s="8757"/>
      <c r="H165" s="8808"/>
      <c r="I165" s="8808"/>
      <c r="J165" s="8808"/>
      <c r="K165" s="8808"/>
      <c r="L165" s="8808"/>
      <c r="M165" s="8808"/>
      <c r="N165" s="8808"/>
      <c r="O165" s="8808"/>
      <c r="P165" s="8808"/>
      <c r="Q165" s="8808"/>
      <c r="R165" s="8808"/>
      <c r="S165" s="8808"/>
      <c r="T165" s="8808"/>
      <c r="U165" s="8757"/>
      <c r="V165" s="7780"/>
      <c r="W165" s="8186"/>
      <c r="X165" s="8186"/>
      <c r="Y165" s="8186"/>
      <c r="Z165" s="8186"/>
      <c r="AA165" s="8186"/>
      <c r="AB165" s="8186"/>
      <c r="AC165" s="8186"/>
      <c r="AD165" s="8186"/>
      <c r="AE165" s="8186"/>
    </row>
    <row r="166" spans="1:31" s="8736" customFormat="1" ht="15" customHeight="1">
      <c r="A166" s="8186"/>
      <c r="B166" s="8186"/>
      <c r="C166" s="8186"/>
      <c r="D166" s="7780"/>
      <c r="E166" s="7780"/>
      <c r="F166" s="8741"/>
      <c r="G166" s="8757"/>
      <c r="H166" s="8808"/>
      <c r="I166" s="8808"/>
      <c r="J166" s="8808"/>
      <c r="K166" s="8808"/>
      <c r="L166" s="8808"/>
      <c r="M166" s="8808"/>
      <c r="N166" s="8808"/>
      <c r="O166" s="8808"/>
      <c r="P166" s="8808"/>
      <c r="Q166" s="8808"/>
      <c r="R166" s="8808"/>
      <c r="S166" s="8808"/>
      <c r="T166" s="8808"/>
      <c r="U166" s="8757"/>
      <c r="V166" s="7780"/>
      <c r="W166" s="8186"/>
      <c r="X166" s="8186"/>
      <c r="Y166" s="8186"/>
      <c r="Z166" s="8186"/>
      <c r="AA166" s="8186"/>
      <c r="AB166" s="8186"/>
      <c r="AC166" s="8186"/>
      <c r="AD166" s="8186"/>
      <c r="AE166" s="8186"/>
    </row>
    <row r="167" spans="1:31" s="8736" customFormat="1" ht="15" customHeight="1">
      <c r="A167" s="8186"/>
      <c r="B167" s="8186"/>
      <c r="C167" s="8186"/>
      <c r="D167" s="7780"/>
      <c r="E167" s="7780"/>
      <c r="F167" s="8741"/>
      <c r="G167" s="8757"/>
      <c r="H167" s="8808"/>
      <c r="I167" s="8808"/>
      <c r="J167" s="8808"/>
      <c r="K167" s="8808"/>
      <c r="L167" s="8808"/>
      <c r="M167" s="8808"/>
      <c r="N167" s="8808"/>
      <c r="O167" s="8808"/>
      <c r="P167" s="8808"/>
      <c r="Q167" s="8808"/>
      <c r="R167" s="8808"/>
      <c r="S167" s="8808"/>
      <c r="T167" s="8808"/>
      <c r="U167" s="8757"/>
      <c r="V167" s="7780"/>
      <c r="W167" s="8186"/>
      <c r="X167" s="8186"/>
      <c r="Y167" s="8186"/>
      <c r="Z167" s="8186"/>
      <c r="AA167" s="8186"/>
      <c r="AB167" s="8186"/>
      <c r="AC167" s="8186"/>
      <c r="AD167" s="8186"/>
      <c r="AE167" s="8186"/>
    </row>
    <row r="168" spans="1:31" s="8736" customFormat="1" ht="15" customHeight="1">
      <c r="A168" s="8186"/>
      <c r="B168" s="8186"/>
      <c r="C168" s="8186"/>
      <c r="D168" s="7780"/>
      <c r="E168" s="7780"/>
      <c r="F168" s="8735" t="s">
        <v>2036</v>
      </c>
      <c r="G168" s="8808" t="s">
        <v>2894</v>
      </c>
      <c r="H168" s="8808"/>
      <c r="I168" s="8808"/>
      <c r="J168" s="8808"/>
      <c r="K168" s="8808"/>
      <c r="L168" s="8808"/>
      <c r="M168" s="8808"/>
      <c r="N168" s="8808"/>
      <c r="O168" s="8808"/>
      <c r="P168" s="8808"/>
      <c r="Q168" s="8808"/>
      <c r="R168" s="8808"/>
      <c r="S168" s="8808"/>
      <c r="T168" s="8808"/>
      <c r="U168" s="8808"/>
      <c r="V168" s="7780"/>
      <c r="W168" s="8186"/>
      <c r="X168" s="8186"/>
      <c r="Y168" s="8186"/>
      <c r="Z168" s="8186"/>
      <c r="AA168" s="8186"/>
      <c r="AB168" s="8186"/>
      <c r="AC168" s="8186"/>
      <c r="AD168" s="8186"/>
      <c r="AE168" s="8186"/>
    </row>
    <row r="169" spans="1:31" s="8736" customFormat="1" ht="15" customHeight="1">
      <c r="A169" s="8186"/>
      <c r="B169" s="8186"/>
      <c r="C169" s="8186"/>
      <c r="D169" s="7780"/>
      <c r="E169" s="7780"/>
      <c r="F169" s="8735"/>
      <c r="G169" s="8808"/>
      <c r="H169" s="8808"/>
      <c r="I169" s="8808"/>
      <c r="J169" s="8808"/>
      <c r="K169" s="8808"/>
      <c r="L169" s="8808"/>
      <c r="M169" s="8808"/>
      <c r="N169" s="8808"/>
      <c r="O169" s="8808"/>
      <c r="P169" s="8808"/>
      <c r="Q169" s="8808"/>
      <c r="R169" s="8808"/>
      <c r="S169" s="8808"/>
      <c r="T169" s="8808"/>
      <c r="U169" s="8808"/>
      <c r="V169" s="7780"/>
      <c r="W169" s="8186"/>
      <c r="X169" s="8186"/>
      <c r="Y169" s="8186"/>
      <c r="Z169" s="8186"/>
      <c r="AA169" s="8186"/>
      <c r="AB169" s="8186"/>
      <c r="AC169" s="8186"/>
      <c r="AD169" s="8186"/>
      <c r="AE169" s="8186"/>
    </row>
    <row r="170" spans="1:31" s="8736" customFormat="1" ht="15" customHeight="1">
      <c r="A170" s="8186"/>
      <c r="B170" s="8186"/>
      <c r="C170" s="8186"/>
      <c r="D170" s="7780"/>
      <c r="E170" s="7780"/>
      <c r="F170" s="8735"/>
      <c r="G170" s="8808"/>
      <c r="H170" s="8808"/>
      <c r="I170" s="8808"/>
      <c r="J170" s="8808"/>
      <c r="K170" s="8808"/>
      <c r="L170" s="8808"/>
      <c r="M170" s="8808"/>
      <c r="N170" s="8808"/>
      <c r="O170" s="8808"/>
      <c r="P170" s="8808"/>
      <c r="Q170" s="8808"/>
      <c r="R170" s="8808"/>
      <c r="S170" s="8808"/>
      <c r="T170" s="8808"/>
      <c r="U170" s="8808"/>
      <c r="V170" s="7780"/>
      <c r="W170" s="8186"/>
      <c r="X170" s="8186"/>
      <c r="Y170" s="8186"/>
      <c r="Z170" s="8186"/>
      <c r="AA170" s="8186"/>
      <c r="AB170" s="8186"/>
      <c r="AC170" s="8186"/>
      <c r="AD170" s="8186"/>
      <c r="AE170" s="8186"/>
    </row>
    <row r="171" spans="1:31" s="8736" customFormat="1" ht="15" customHeight="1">
      <c r="A171" s="8186"/>
      <c r="B171" s="8186"/>
      <c r="C171" s="8186"/>
      <c r="D171" s="7780"/>
      <c r="E171" s="7780"/>
      <c r="F171" s="8735"/>
      <c r="G171" s="8808"/>
      <c r="H171" s="8808"/>
      <c r="I171" s="8808"/>
      <c r="J171" s="8808"/>
      <c r="K171" s="8808"/>
      <c r="L171" s="8808"/>
      <c r="M171" s="8808"/>
      <c r="N171" s="8808"/>
      <c r="O171" s="8808"/>
      <c r="P171" s="8808"/>
      <c r="Q171" s="8808"/>
      <c r="R171" s="8808"/>
      <c r="S171" s="8808"/>
      <c r="T171" s="8808"/>
      <c r="U171" s="8808"/>
      <c r="V171" s="7780"/>
      <c r="W171" s="8186"/>
      <c r="X171" s="8186"/>
      <c r="Y171" s="8186"/>
      <c r="Z171" s="8186"/>
      <c r="AA171" s="8186"/>
      <c r="AB171" s="8186"/>
      <c r="AC171" s="8186"/>
      <c r="AD171" s="8186"/>
      <c r="AE171" s="8186"/>
    </row>
    <row r="172" spans="1:31" s="8736" customFormat="1" ht="12" customHeight="1">
      <c r="A172" s="8186"/>
      <c r="B172" s="8186"/>
      <c r="C172" s="8186"/>
      <c r="D172" s="7780"/>
      <c r="E172" s="7780"/>
      <c r="F172" s="8735"/>
      <c r="G172" s="8808"/>
      <c r="H172" s="8808"/>
      <c r="I172" s="8808"/>
      <c r="J172" s="8808"/>
      <c r="K172" s="8808"/>
      <c r="L172" s="8808"/>
      <c r="M172" s="8808"/>
      <c r="N172" s="8808"/>
      <c r="O172" s="8808"/>
      <c r="P172" s="8808"/>
      <c r="Q172" s="8808"/>
      <c r="R172" s="8808"/>
      <c r="S172" s="8808"/>
      <c r="T172" s="8808"/>
      <c r="U172" s="8808"/>
      <c r="V172" s="7780"/>
      <c r="W172" s="8186"/>
      <c r="X172" s="8186"/>
      <c r="Y172" s="8186"/>
      <c r="Z172" s="8186"/>
      <c r="AA172" s="8186"/>
      <c r="AB172" s="8186"/>
      <c r="AC172" s="8186"/>
      <c r="AD172" s="8186"/>
      <c r="AE172" s="8186"/>
    </row>
    <row r="173" spans="1:31" s="8736" customFormat="1" ht="15" customHeight="1">
      <c r="A173" s="8186"/>
      <c r="B173" s="8186"/>
      <c r="C173" s="8186"/>
      <c r="D173" s="7780"/>
      <c r="E173" s="7780"/>
      <c r="F173" s="8735" t="s">
        <v>2036</v>
      </c>
      <c r="G173" s="8808" t="s">
        <v>2847</v>
      </c>
      <c r="H173" s="8808"/>
      <c r="I173" s="8808"/>
      <c r="J173" s="8808"/>
      <c r="K173" s="8808"/>
      <c r="L173" s="8808"/>
      <c r="M173" s="8808"/>
      <c r="N173" s="8808"/>
      <c r="O173" s="8808"/>
      <c r="P173" s="8808"/>
      <c r="Q173" s="8808"/>
      <c r="R173" s="8808"/>
      <c r="S173" s="8808"/>
      <c r="T173" s="8808"/>
      <c r="U173" s="8808"/>
      <c r="V173" s="7780"/>
      <c r="W173" s="8186"/>
      <c r="X173" s="8186"/>
      <c r="Y173" s="8186"/>
      <c r="Z173" s="8186"/>
      <c r="AA173" s="8186"/>
      <c r="AB173" s="8186"/>
      <c r="AC173" s="8186"/>
      <c r="AD173" s="8186"/>
      <c r="AE173" s="8186"/>
    </row>
    <row r="174" spans="1:31" s="8736" customFormat="1" ht="15" customHeight="1">
      <c r="A174" s="8186"/>
      <c r="B174" s="8186"/>
      <c r="C174" s="8186"/>
      <c r="D174" s="7780"/>
      <c r="E174" s="7780"/>
      <c r="F174" s="8735"/>
      <c r="G174" s="8808"/>
      <c r="H174" s="8808"/>
      <c r="I174" s="8808"/>
      <c r="J174" s="8808"/>
      <c r="K174" s="8808"/>
      <c r="L174" s="8808"/>
      <c r="M174" s="8808"/>
      <c r="N174" s="8808"/>
      <c r="O174" s="8808"/>
      <c r="P174" s="8808"/>
      <c r="Q174" s="8808"/>
      <c r="R174" s="8808"/>
      <c r="S174" s="8808"/>
      <c r="T174" s="8808"/>
      <c r="U174" s="8808"/>
      <c r="V174" s="7780"/>
      <c r="W174" s="8186"/>
      <c r="X174" s="8186"/>
      <c r="Y174" s="8186"/>
      <c r="Z174" s="8186"/>
      <c r="AA174" s="8186"/>
      <c r="AB174" s="8186"/>
      <c r="AC174" s="8186"/>
      <c r="AD174" s="8186"/>
      <c r="AE174" s="8186"/>
    </row>
    <row r="175" spans="1:31" s="8736" customFormat="1" ht="15" customHeight="1">
      <c r="A175" s="8186"/>
      <c r="B175" s="8186"/>
      <c r="C175" s="8186"/>
      <c r="D175" s="7780"/>
      <c r="E175" s="7780"/>
      <c r="F175" s="8735" t="s">
        <v>2036</v>
      </c>
      <c r="G175" s="8808" t="s">
        <v>2895</v>
      </c>
      <c r="H175" s="8808"/>
      <c r="I175" s="8808"/>
      <c r="J175" s="8808"/>
      <c r="K175" s="8808"/>
      <c r="L175" s="8808"/>
      <c r="M175" s="8808"/>
      <c r="N175" s="8808"/>
      <c r="O175" s="8808"/>
      <c r="P175" s="8808"/>
      <c r="Q175" s="8808"/>
      <c r="R175" s="8808"/>
      <c r="S175" s="8808"/>
      <c r="T175" s="8808"/>
      <c r="U175" s="8808"/>
      <c r="V175" s="7780"/>
      <c r="W175" s="8186"/>
      <c r="X175" s="8186"/>
      <c r="Y175" s="8186"/>
      <c r="Z175" s="8186"/>
      <c r="AA175" s="8186"/>
      <c r="AB175" s="8186"/>
      <c r="AC175" s="8186"/>
      <c r="AD175" s="8186"/>
      <c r="AE175" s="8186"/>
    </row>
    <row r="176" spans="1:31" s="8736" customFormat="1" ht="12.75" customHeight="1">
      <c r="A176" s="8186"/>
      <c r="B176" s="8186"/>
      <c r="C176" s="8186"/>
      <c r="D176" s="7780"/>
      <c r="E176" s="7780"/>
      <c r="F176" s="8741"/>
      <c r="G176" s="8744"/>
      <c r="H176" s="8808" t="s">
        <v>2857</v>
      </c>
      <c r="I176" s="8808"/>
      <c r="J176" s="8808"/>
      <c r="K176" s="8808" t="s">
        <v>2868</v>
      </c>
      <c r="L176" s="8808"/>
      <c r="M176" s="8808"/>
      <c r="N176" s="8808"/>
      <c r="O176" s="8808"/>
      <c r="P176" s="8808"/>
      <c r="Q176" s="8808"/>
      <c r="R176" s="8808"/>
      <c r="S176" s="8808"/>
      <c r="T176" s="8808"/>
      <c r="U176" s="8808"/>
      <c r="V176" s="7780"/>
      <c r="W176" s="8186"/>
      <c r="X176" s="8186"/>
      <c r="Y176" s="8186"/>
      <c r="Z176" s="8186"/>
      <c r="AA176" s="8186"/>
      <c r="AB176" s="8186"/>
      <c r="AC176" s="8186"/>
      <c r="AD176" s="8186"/>
      <c r="AE176" s="8186"/>
    </row>
    <row r="177" spans="1:31" s="8736" customFormat="1" ht="12.75" customHeight="1">
      <c r="A177" s="8186"/>
      <c r="B177" s="8186"/>
      <c r="C177" s="8186"/>
      <c r="D177" s="7780"/>
      <c r="E177" s="7780"/>
      <c r="F177" s="8741"/>
      <c r="G177" s="8744"/>
      <c r="H177" s="8808" t="s">
        <v>2867</v>
      </c>
      <c r="I177" s="8808"/>
      <c r="J177" s="8808"/>
      <c r="K177" s="8808" t="s">
        <v>2859</v>
      </c>
      <c r="L177" s="8808"/>
      <c r="M177" s="8808"/>
      <c r="N177" s="8808"/>
      <c r="O177" s="8808"/>
      <c r="P177" s="8808"/>
      <c r="Q177" s="8808"/>
      <c r="R177" s="8808"/>
      <c r="S177" s="8808"/>
      <c r="T177" s="8808"/>
      <c r="U177" s="8808"/>
      <c r="V177" s="7780"/>
      <c r="W177" s="8186"/>
      <c r="X177" s="8186"/>
      <c r="Y177" s="8186"/>
      <c r="Z177" s="8186"/>
      <c r="AA177" s="8186"/>
      <c r="AB177" s="8186"/>
      <c r="AC177" s="8186"/>
      <c r="AD177" s="8186"/>
      <c r="AE177" s="8186"/>
    </row>
    <row r="178" spans="1:31" s="8736" customFormat="1" ht="12.75" customHeight="1">
      <c r="A178" s="8186"/>
      <c r="B178" s="8186"/>
      <c r="C178" s="8186"/>
      <c r="D178" s="7780"/>
      <c r="E178" s="7780"/>
      <c r="F178" s="8741"/>
      <c r="G178" s="8744"/>
      <c r="H178" s="8744"/>
      <c r="I178" s="8744"/>
      <c r="J178" s="8744"/>
      <c r="K178" s="8808"/>
      <c r="L178" s="8808"/>
      <c r="M178" s="8808"/>
      <c r="N178" s="8808"/>
      <c r="O178" s="8808"/>
      <c r="P178" s="8808"/>
      <c r="Q178" s="8808"/>
      <c r="R178" s="8808"/>
      <c r="S178" s="8808"/>
      <c r="T178" s="8808"/>
      <c r="U178" s="8808"/>
      <c r="V178" s="7780"/>
      <c r="W178" s="8186"/>
      <c r="X178" s="8186"/>
      <c r="Y178" s="8186"/>
      <c r="Z178" s="8186"/>
      <c r="AA178" s="8186"/>
      <c r="AB178" s="8186"/>
      <c r="AC178" s="8186"/>
      <c r="AD178" s="8186"/>
      <c r="AE178" s="8186"/>
    </row>
    <row r="179" spans="1:31" s="8736" customFormat="1" ht="12.75" customHeight="1">
      <c r="A179" s="8186"/>
      <c r="B179" s="8186"/>
      <c r="C179" s="8186"/>
      <c r="D179" s="7780"/>
      <c r="E179" s="7780"/>
      <c r="F179" s="8741"/>
      <c r="G179" s="8744"/>
      <c r="H179" s="8808" t="s">
        <v>2858</v>
      </c>
      <c r="I179" s="8808"/>
      <c r="J179" s="8808"/>
      <c r="K179" s="8808" t="s">
        <v>2869</v>
      </c>
      <c r="L179" s="8808"/>
      <c r="M179" s="8808"/>
      <c r="N179" s="8808"/>
      <c r="O179" s="8808"/>
      <c r="P179" s="8808"/>
      <c r="Q179" s="8808"/>
      <c r="R179" s="8808"/>
      <c r="S179" s="8808"/>
      <c r="T179" s="8808"/>
      <c r="U179" s="8808"/>
      <c r="V179" s="7780"/>
      <c r="W179" s="8186"/>
      <c r="X179" s="8186"/>
      <c r="Y179" s="8186"/>
      <c r="Z179" s="8186"/>
      <c r="AA179" s="8186"/>
      <c r="AB179" s="8186"/>
      <c r="AC179" s="8186"/>
      <c r="AD179" s="8186"/>
      <c r="AE179" s="8186"/>
    </row>
    <row r="180" spans="1:31" s="8736" customFormat="1" ht="15" customHeight="1">
      <c r="A180" s="8186"/>
      <c r="B180" s="8186"/>
      <c r="C180" s="8186"/>
      <c r="D180" s="7780"/>
      <c r="E180" s="7780"/>
      <c r="F180" s="8741"/>
      <c r="G180" s="7780"/>
      <c r="H180" s="5133"/>
      <c r="I180" s="5133"/>
      <c r="J180" s="5133"/>
      <c r="K180" s="8808"/>
      <c r="L180" s="8808"/>
      <c r="M180" s="8808"/>
      <c r="N180" s="8808"/>
      <c r="O180" s="8808"/>
      <c r="P180" s="8808"/>
      <c r="Q180" s="8808"/>
      <c r="R180" s="8808"/>
      <c r="S180" s="8808"/>
      <c r="T180" s="8808"/>
      <c r="U180" s="8808"/>
      <c r="V180" s="7780"/>
      <c r="W180" s="8186"/>
      <c r="X180" s="8186"/>
      <c r="Y180" s="8186"/>
      <c r="Z180" s="8186"/>
      <c r="AA180" s="8186"/>
      <c r="AB180" s="8186"/>
      <c r="AC180" s="8186"/>
      <c r="AD180" s="8186"/>
      <c r="AE180" s="8186"/>
    </row>
    <row r="181" spans="1:31" s="8736" customFormat="1" ht="15" customHeight="1">
      <c r="A181" s="8186"/>
      <c r="B181" s="8186"/>
      <c r="C181" s="8186"/>
      <c r="D181" s="7780"/>
      <c r="E181" s="7780"/>
      <c r="F181" s="8735" t="s">
        <v>2036</v>
      </c>
      <c r="G181" s="8808" t="s">
        <v>2896</v>
      </c>
      <c r="H181" s="8808"/>
      <c r="I181" s="8808"/>
      <c r="J181" s="8808"/>
      <c r="K181" s="8808"/>
      <c r="L181" s="8808"/>
      <c r="M181" s="8808"/>
      <c r="N181" s="8808"/>
      <c r="O181" s="8808"/>
      <c r="P181" s="8808"/>
      <c r="Q181" s="8808"/>
      <c r="R181" s="8808"/>
      <c r="S181" s="8808"/>
      <c r="T181" s="8808"/>
      <c r="U181" s="8808"/>
      <c r="V181" s="7780"/>
      <c r="W181" s="8186"/>
      <c r="X181" s="8186"/>
      <c r="Y181" s="8186"/>
      <c r="Z181" s="8186"/>
      <c r="AA181" s="8186"/>
      <c r="AB181" s="8186"/>
      <c r="AC181" s="8186"/>
      <c r="AD181" s="8186"/>
      <c r="AE181" s="8186"/>
    </row>
    <row r="182" spans="1:31" s="8736" customFormat="1" ht="15" customHeight="1">
      <c r="A182" s="8186"/>
      <c r="B182" s="8186"/>
      <c r="C182" s="8186"/>
      <c r="D182" s="7780"/>
      <c r="E182" s="7780"/>
      <c r="F182" s="8735"/>
      <c r="G182" s="8808"/>
      <c r="H182" s="8808"/>
      <c r="I182" s="8808"/>
      <c r="J182" s="8808"/>
      <c r="K182" s="8808"/>
      <c r="L182" s="8808"/>
      <c r="M182" s="8808"/>
      <c r="N182" s="8808"/>
      <c r="O182" s="8808"/>
      <c r="P182" s="8808"/>
      <c r="Q182" s="8808"/>
      <c r="R182" s="8808"/>
      <c r="S182" s="8808"/>
      <c r="T182" s="8808"/>
      <c r="U182" s="8808"/>
      <c r="V182" s="7780"/>
      <c r="W182" s="8186"/>
      <c r="X182" s="8186"/>
      <c r="Y182" s="8186"/>
      <c r="Z182" s="8186"/>
      <c r="AA182" s="8186"/>
      <c r="AB182" s="8186"/>
      <c r="AC182" s="8186"/>
      <c r="AD182" s="8186"/>
      <c r="AE182" s="8186"/>
    </row>
    <row r="183" spans="1:31" s="8736" customFormat="1" ht="15" customHeight="1">
      <c r="A183" s="8186"/>
      <c r="B183" s="8186"/>
      <c r="C183" s="8186"/>
      <c r="D183" s="7780"/>
      <c r="E183" s="7780"/>
      <c r="F183" s="8741"/>
      <c r="G183" s="7780"/>
      <c r="H183" s="8742"/>
      <c r="I183" s="8742"/>
      <c r="J183" s="8742"/>
      <c r="K183" s="8742"/>
      <c r="L183" s="8742"/>
      <c r="M183" s="8742"/>
      <c r="N183" s="8742"/>
      <c r="O183" s="8742"/>
      <c r="P183" s="8742"/>
      <c r="Q183" s="8742"/>
      <c r="R183" s="8742"/>
      <c r="S183" s="8742"/>
      <c r="T183" s="8742"/>
      <c r="U183" s="8742"/>
      <c r="V183" s="7780"/>
      <c r="W183" s="8186"/>
      <c r="X183" s="8186"/>
      <c r="Y183" s="8186"/>
      <c r="Z183" s="8186"/>
      <c r="AA183" s="8186"/>
      <c r="AB183" s="8186"/>
      <c r="AC183" s="8186"/>
      <c r="AD183" s="8186"/>
      <c r="AE183" s="8186"/>
    </row>
    <row r="184" spans="1:31" s="8736" customFormat="1" ht="20.25" customHeight="1">
      <c r="A184" s="8186"/>
      <c r="B184" s="8186"/>
      <c r="C184" s="8186"/>
      <c r="D184" s="7780"/>
      <c r="E184" s="7780"/>
      <c r="F184" s="8741"/>
      <c r="G184" s="7780"/>
      <c r="H184" s="8742"/>
      <c r="I184" s="8742"/>
      <c r="J184" s="8742"/>
      <c r="K184" s="8742"/>
      <c r="L184" s="8742"/>
      <c r="M184" s="8750" t="s">
        <v>2861</v>
      </c>
      <c r="N184" s="8751"/>
      <c r="O184" s="8742"/>
      <c r="P184" s="8742"/>
      <c r="Q184" s="8742"/>
      <c r="R184" s="8742"/>
      <c r="S184" s="8742"/>
      <c r="T184" s="8742"/>
      <c r="U184" s="8742"/>
      <c r="V184" s="7780"/>
      <c r="W184" s="8186"/>
      <c r="X184" s="8186"/>
      <c r="Y184" s="8186"/>
      <c r="Z184" s="8186"/>
      <c r="AA184" s="8186"/>
      <c r="AB184" s="8186"/>
      <c r="AC184" s="8186"/>
      <c r="AD184" s="8186"/>
      <c r="AE184" s="8186"/>
    </row>
    <row r="185" spans="1:31" s="8736" customFormat="1" ht="15" customHeight="1">
      <c r="A185" s="8186"/>
      <c r="B185" s="8186"/>
      <c r="C185" s="8186"/>
      <c r="D185" s="7780"/>
      <c r="E185" s="7780"/>
      <c r="F185" s="8741"/>
      <c r="G185" s="7780"/>
      <c r="H185" s="8742"/>
      <c r="I185" s="8742"/>
      <c r="J185" s="8742"/>
      <c r="K185" s="8742"/>
      <c r="L185" s="8742"/>
      <c r="M185" s="8752" t="s">
        <v>2861</v>
      </c>
      <c r="N185" s="8753" t="s">
        <v>2861</v>
      </c>
      <c r="O185" s="8742"/>
      <c r="P185" s="8742"/>
      <c r="Q185" s="8742"/>
      <c r="R185" s="8742"/>
      <c r="S185" s="8742"/>
      <c r="T185" s="8742"/>
      <c r="U185" s="8742"/>
      <c r="V185" s="7780"/>
      <c r="W185" s="8186"/>
      <c r="X185" s="8186"/>
      <c r="Y185" s="8186"/>
      <c r="Z185" s="8186"/>
      <c r="AA185" s="8186"/>
      <c r="AB185" s="8186"/>
      <c r="AC185" s="8186"/>
      <c r="AD185" s="8186"/>
      <c r="AE185" s="8186"/>
    </row>
    <row r="186" spans="1:31" s="8736" customFormat="1" ht="15" customHeight="1">
      <c r="A186" s="8186"/>
      <c r="B186" s="8186"/>
      <c r="C186" s="8186"/>
      <c r="D186" s="7780"/>
      <c r="E186" s="7780"/>
      <c r="F186" s="8741"/>
      <c r="G186" s="7780"/>
      <c r="H186" s="8742"/>
      <c r="I186" s="8742"/>
      <c r="J186" s="8742"/>
      <c r="K186" s="8742"/>
      <c r="L186" s="8742"/>
      <c r="M186" s="8742"/>
      <c r="N186" s="8742"/>
      <c r="O186" s="8742"/>
      <c r="P186" s="8742"/>
      <c r="Q186" s="8742"/>
      <c r="R186" s="8742"/>
      <c r="S186" s="8742"/>
      <c r="T186" s="8742"/>
      <c r="U186" s="8742"/>
      <c r="V186" s="7780"/>
      <c r="W186" s="8186"/>
      <c r="X186" s="8186"/>
      <c r="Y186" s="8186"/>
      <c r="Z186" s="8186"/>
      <c r="AA186" s="8186"/>
      <c r="AB186" s="8186"/>
      <c r="AC186" s="8186"/>
      <c r="AD186" s="8186"/>
      <c r="AE186" s="8186"/>
    </row>
    <row r="187" spans="1:31" s="8736" customFormat="1" ht="15" customHeight="1">
      <c r="A187" s="8186"/>
      <c r="B187" s="8186"/>
      <c r="C187" s="8186"/>
      <c r="D187" s="7780"/>
      <c r="E187" s="7780"/>
      <c r="F187" s="8741"/>
      <c r="G187" s="7780"/>
      <c r="H187" s="7780"/>
      <c r="I187" s="7780"/>
      <c r="J187" s="7780"/>
      <c r="K187" s="7780"/>
      <c r="L187" s="7780"/>
      <c r="M187" s="7780"/>
      <c r="N187" s="7780"/>
      <c r="O187" s="7780"/>
      <c r="P187" s="7780"/>
      <c r="Q187" s="7780"/>
      <c r="R187" s="7780"/>
      <c r="S187" s="7780"/>
      <c r="T187" s="7780"/>
      <c r="U187" s="7780"/>
      <c r="V187" s="7780"/>
      <c r="W187" s="8186"/>
      <c r="X187" s="8186"/>
      <c r="Y187" s="8186"/>
      <c r="Z187" s="8186"/>
      <c r="AA187" s="8186"/>
      <c r="AB187" s="8186"/>
      <c r="AC187" s="8186"/>
      <c r="AD187" s="8186"/>
      <c r="AE187" s="8186"/>
    </row>
    <row r="188" spans="1:31">
      <c r="C188" s="5132"/>
      <c r="D188" s="5133"/>
      <c r="E188" s="5133"/>
      <c r="F188" s="5133"/>
      <c r="G188" s="5133"/>
      <c r="H188" s="5133"/>
      <c r="I188" s="5133"/>
      <c r="J188" s="5133"/>
      <c r="K188" s="5133"/>
      <c r="L188" s="5133"/>
      <c r="M188" s="5133"/>
      <c r="N188" s="5133"/>
      <c r="O188" s="5133"/>
      <c r="P188" s="5133"/>
      <c r="Q188" s="5133"/>
      <c r="R188" s="5133"/>
      <c r="S188" s="5133"/>
      <c r="T188" s="5133"/>
      <c r="U188" s="5133"/>
      <c r="V188" s="5133"/>
    </row>
    <row r="189" spans="1:31" s="5132" customFormat="1" ht="219.95" customHeight="1"/>
    <row r="190" spans="1:31" s="5132" customFormat="1" ht="219.95" customHeight="1"/>
    <row r="191" spans="1:31" s="5132" customFormat="1" ht="219.95" customHeight="1"/>
    <row r="192" spans="1:31" s="5132" customFormat="1" ht="219.95" customHeight="1"/>
    <row r="193" s="5132" customFormat="1" ht="219.95" customHeight="1"/>
    <row r="194" s="5132" customFormat="1" ht="219.95" customHeight="1"/>
    <row r="195" s="5132" customFormat="1" ht="219.95" hidden="1" customHeight="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sheetData>
  <sheetProtection password="C665" sheet="1" objects="1" scenarios="1"/>
  <mergeCells count="47">
    <mergeCell ref="G158:T159"/>
    <mergeCell ref="H176:J176"/>
    <mergeCell ref="K177:U178"/>
    <mergeCell ref="H177:J177"/>
    <mergeCell ref="G145:U148"/>
    <mergeCell ref="G150:U154"/>
    <mergeCell ref="G173:U174"/>
    <mergeCell ref="G175:U175"/>
    <mergeCell ref="G55:U57"/>
    <mergeCell ref="G77:U79"/>
    <mergeCell ref="G82:U82"/>
    <mergeCell ref="G93:U93"/>
    <mergeCell ref="G60:U62"/>
    <mergeCell ref="G63:U66"/>
    <mergeCell ref="F5:R5"/>
    <mergeCell ref="G35:U37"/>
    <mergeCell ref="F7:U10"/>
    <mergeCell ref="F17:U20"/>
    <mergeCell ref="F13:U16"/>
    <mergeCell ref="F21:U24"/>
    <mergeCell ref="F26:U29"/>
    <mergeCell ref="F32:R32"/>
    <mergeCell ref="G135:U138"/>
    <mergeCell ref="G139:U140"/>
    <mergeCell ref="I91:U92"/>
    <mergeCell ref="G80:U81"/>
    <mergeCell ref="G107:U109"/>
    <mergeCell ref="I120:U121"/>
    <mergeCell ref="G124:U126"/>
    <mergeCell ref="G130:U134"/>
    <mergeCell ref="F128:R128"/>
    <mergeCell ref="H141:T142"/>
    <mergeCell ref="H143:T144"/>
    <mergeCell ref="G181:U182"/>
    <mergeCell ref="G155:U157"/>
    <mergeCell ref="G95:U98"/>
    <mergeCell ref="H100:U102"/>
    <mergeCell ref="H105:U106"/>
    <mergeCell ref="H103:U104"/>
    <mergeCell ref="H160:T163"/>
    <mergeCell ref="H164:T167"/>
    <mergeCell ref="I114:T115"/>
    <mergeCell ref="G122:U123"/>
    <mergeCell ref="H179:J179"/>
    <mergeCell ref="K176:U176"/>
    <mergeCell ref="K179:U180"/>
    <mergeCell ref="G168:U172"/>
  </mergeCells>
  <hyperlinks>
    <hyperlink ref="C3" location="'Table of Contents'!A1" display="X"/>
  </hyperlinks>
  <pageMargins left="0.7" right="0.25" top="0.75" bottom="0.5" header="0" footer="0"/>
  <pageSetup scale="80" orientation="portrait" r:id="rId1"/>
  <headerFooter>
    <oddFooter>&amp;C&amp;P&amp;N</oddFooter>
  </headerFooter>
</worksheet>
</file>

<file path=xl/worksheets/sheet20.xml><?xml version="1.0" encoding="utf-8"?>
<worksheet xmlns="http://schemas.openxmlformats.org/spreadsheetml/2006/main" xmlns:r="http://schemas.openxmlformats.org/officeDocument/2006/relationships">
  <sheetPr>
    <pageSetUpPr fitToPage="1"/>
  </sheetPr>
  <dimension ref="A1:AF95"/>
  <sheetViews>
    <sheetView workbookViewId="0"/>
  </sheetViews>
  <sheetFormatPr defaultRowHeight="12.75"/>
  <cols>
    <col min="3" max="3" width="6.140625" style="271" customWidth="1"/>
    <col min="4" max="4" width="15.7109375" customWidth="1"/>
    <col min="5" max="5" width="10" style="271" customWidth="1"/>
    <col min="6" max="6" width="10.7109375" customWidth="1"/>
    <col min="7" max="7" width="26.7109375" customWidth="1"/>
    <col min="8" max="9" width="10.7109375" customWidth="1"/>
    <col min="10" max="10" width="11.140625" customWidth="1"/>
    <col min="11" max="11" width="26.7109375" customWidth="1"/>
  </cols>
  <sheetData>
    <row r="1" spans="1:32">
      <c r="A1" s="271"/>
      <c r="B1" s="271"/>
      <c r="D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row>
    <row r="2" spans="1:32" s="271" customFormat="1">
      <c r="I2" s="271">
        <f>+H12*'13(an)'!JU36^I12</f>
        <v>870.78445026035729</v>
      </c>
    </row>
    <row r="3" spans="1:32" s="271" customFormat="1">
      <c r="A3" s="271">
        <v>1</v>
      </c>
      <c r="C3" s="191" t="s">
        <v>2386</v>
      </c>
    </row>
    <row r="4" spans="1:32" s="271" customFormat="1" ht="13.5" thickBot="1">
      <c r="A4" s="271">
        <f>1+A3</f>
        <v>2</v>
      </c>
    </row>
    <row r="5" spans="1:32" s="271" customFormat="1" ht="16.5" customHeight="1">
      <c r="A5" s="271">
        <f t="shared" ref="A5:A13" si="0">1+A4</f>
        <v>3</v>
      </c>
      <c r="C5" s="11052" t="s">
        <v>382</v>
      </c>
      <c r="D5" s="11065" t="s">
        <v>2380</v>
      </c>
      <c r="E5" s="11054" t="s">
        <v>2475</v>
      </c>
      <c r="F5" s="11060" t="s">
        <v>2379</v>
      </c>
      <c r="G5" s="11062"/>
      <c r="H5" s="11060" t="s">
        <v>2373</v>
      </c>
      <c r="I5" s="11061"/>
      <c r="J5" s="11061"/>
      <c r="K5" s="11061"/>
    </row>
    <row r="6" spans="1:32" s="271" customFormat="1" ht="19.5" customHeight="1">
      <c r="A6" s="271">
        <f t="shared" si="0"/>
        <v>4</v>
      </c>
      <c r="C6" s="11053"/>
      <c r="D6" s="11066"/>
      <c r="E6" s="11055"/>
      <c r="F6" s="6864" t="s">
        <v>2382</v>
      </c>
      <c r="G6" s="11063" t="s">
        <v>915</v>
      </c>
      <c r="H6" s="39" t="s">
        <v>2418</v>
      </c>
      <c r="I6" s="6861" t="s">
        <v>2381</v>
      </c>
      <c r="J6" s="11056" t="s">
        <v>306</v>
      </c>
      <c r="K6" s="11057"/>
    </row>
    <row r="7" spans="1:32" s="271" customFormat="1" ht="12.75" customHeight="1" thickBot="1">
      <c r="A7" s="271">
        <f t="shared" si="0"/>
        <v>5</v>
      </c>
      <c r="C7" s="6863"/>
      <c r="D7" s="6859"/>
      <c r="E7" s="7106"/>
      <c r="F7" s="6862" t="s">
        <v>2378</v>
      </c>
      <c r="G7" s="11064"/>
      <c r="H7" s="6862" t="s">
        <v>2339</v>
      </c>
      <c r="I7" s="6860"/>
      <c r="J7" s="11058"/>
      <c r="K7" s="11059"/>
    </row>
    <row r="8" spans="1:32" ht="13.5" thickBot="1">
      <c r="A8" s="271">
        <f t="shared" si="0"/>
        <v>6</v>
      </c>
      <c r="B8" s="271"/>
      <c r="C8" s="6884">
        <v>1</v>
      </c>
      <c r="D8" s="6880">
        <f>1+C8</f>
        <v>2</v>
      </c>
      <c r="E8" s="6880">
        <f t="shared" ref="E8" si="1">1+D8</f>
        <v>3</v>
      </c>
      <c r="F8" s="6880">
        <f t="shared" ref="F8:K8" si="2">1+E8</f>
        <v>4</v>
      </c>
      <c r="G8" s="6880">
        <f t="shared" si="2"/>
        <v>5</v>
      </c>
      <c r="H8" s="6880">
        <f t="shared" si="2"/>
        <v>6</v>
      </c>
      <c r="I8" s="6880">
        <f t="shared" si="2"/>
        <v>7</v>
      </c>
      <c r="J8" s="6880">
        <f t="shared" si="2"/>
        <v>8</v>
      </c>
      <c r="K8" s="6880">
        <f t="shared" si="2"/>
        <v>9</v>
      </c>
      <c r="L8" s="271"/>
      <c r="M8" s="271"/>
      <c r="N8" s="271"/>
      <c r="O8" s="271"/>
      <c r="P8" s="271"/>
      <c r="Q8" s="271"/>
      <c r="R8" s="271"/>
      <c r="S8" s="271"/>
      <c r="T8" s="271"/>
      <c r="U8" s="271"/>
      <c r="V8" s="271"/>
      <c r="W8" s="271"/>
      <c r="X8" s="271"/>
      <c r="Y8" s="271"/>
      <c r="Z8" s="271"/>
      <c r="AA8" s="271"/>
      <c r="AB8" s="271"/>
      <c r="AC8" s="271"/>
      <c r="AD8" s="271"/>
      <c r="AE8" s="271"/>
      <c r="AF8" s="271"/>
    </row>
    <row r="9" spans="1:32" s="271" customFormat="1" ht="25.5" customHeight="1">
      <c r="A9" s="271">
        <f t="shared" si="0"/>
        <v>7</v>
      </c>
      <c r="C9" s="6881">
        <v>1</v>
      </c>
      <c r="D9" s="6865" t="s">
        <v>93</v>
      </c>
      <c r="E9" s="7107">
        <v>1</v>
      </c>
      <c r="F9" s="6869">
        <f>+ROUNDUP(I47,0)</f>
        <v>7</v>
      </c>
      <c r="G9" s="6877" t="s">
        <v>2385</v>
      </c>
      <c r="H9" s="6869">
        <f>+ROUNDUP(H47,0)</f>
        <v>250</v>
      </c>
      <c r="I9" s="6870">
        <v>0</v>
      </c>
      <c r="J9" s="6948" t="s">
        <v>2418</v>
      </c>
      <c r="K9" s="6877" t="s">
        <v>2385</v>
      </c>
    </row>
    <row r="10" spans="1:32" s="271" customFormat="1" ht="25.5" customHeight="1">
      <c r="A10" s="271">
        <f t="shared" si="0"/>
        <v>8</v>
      </c>
      <c r="C10" s="6882">
        <f>1+C9</f>
        <v>2</v>
      </c>
      <c r="D10" s="6866" t="s">
        <v>1627</v>
      </c>
      <c r="E10" s="7108">
        <v>1</v>
      </c>
      <c r="F10" s="6871">
        <f>+F9</f>
        <v>7</v>
      </c>
      <c r="G10" s="6878" t="s">
        <v>2384</v>
      </c>
      <c r="H10" s="6871">
        <f t="shared" ref="H10:J11" si="3">+H9</f>
        <v>250</v>
      </c>
      <c r="I10" s="6872">
        <f t="shared" si="3"/>
        <v>0</v>
      </c>
      <c r="J10" s="6949" t="str">
        <f t="shared" si="3"/>
        <v>Constant</v>
      </c>
      <c r="K10" s="6878" t="s">
        <v>2384</v>
      </c>
    </row>
    <row r="11" spans="1:32" s="271" customFormat="1" ht="25.5" customHeight="1">
      <c r="A11" s="271">
        <f t="shared" si="0"/>
        <v>9</v>
      </c>
      <c r="C11" s="6882">
        <f>1+C10</f>
        <v>3</v>
      </c>
      <c r="D11" s="6866" t="s">
        <v>499</v>
      </c>
      <c r="E11" s="7108">
        <v>1</v>
      </c>
      <c r="F11" s="6871">
        <f>+F10</f>
        <v>7</v>
      </c>
      <c r="G11" s="6878" t="s">
        <v>2384</v>
      </c>
      <c r="H11" s="6871">
        <f t="shared" si="3"/>
        <v>250</v>
      </c>
      <c r="I11" s="6872">
        <f t="shared" si="3"/>
        <v>0</v>
      </c>
      <c r="J11" s="6949" t="str">
        <f t="shared" si="3"/>
        <v>Constant</v>
      </c>
      <c r="K11" s="6878" t="s">
        <v>2384</v>
      </c>
    </row>
    <row r="12" spans="1:32" s="271" customFormat="1" ht="25.5" customHeight="1">
      <c r="A12" s="271">
        <f t="shared" si="0"/>
        <v>10</v>
      </c>
      <c r="C12" s="6882">
        <f>1+C11</f>
        <v>4</v>
      </c>
      <c r="D12" s="6867" t="s">
        <v>1093</v>
      </c>
      <c r="E12" s="7109">
        <v>2</v>
      </c>
      <c r="F12" s="6871">
        <v>0.3</v>
      </c>
      <c r="G12" s="6878" t="s">
        <v>2387</v>
      </c>
      <c r="H12" s="6873">
        <v>13503</v>
      </c>
      <c r="I12" s="6872">
        <v>-0.93100000000000005</v>
      </c>
      <c r="J12" s="6949" t="s">
        <v>2419</v>
      </c>
      <c r="K12" s="6878" t="s">
        <v>2383</v>
      </c>
    </row>
    <row r="13" spans="1:32" s="271" customFormat="1" ht="25.5" customHeight="1" thickBot="1">
      <c r="A13" s="271">
        <f t="shared" si="0"/>
        <v>11</v>
      </c>
      <c r="C13" s="6883">
        <f>1+C12</f>
        <v>5</v>
      </c>
      <c r="D13" s="6868" t="s">
        <v>1629</v>
      </c>
      <c r="E13" s="7110">
        <v>2</v>
      </c>
      <c r="F13" s="6876">
        <v>0.3</v>
      </c>
      <c r="G13" s="6879" t="s">
        <v>2384</v>
      </c>
      <c r="H13" s="6874">
        <f>+H12</f>
        <v>13503</v>
      </c>
      <c r="I13" s="6875">
        <f>+I12</f>
        <v>-0.93100000000000005</v>
      </c>
      <c r="J13" s="6950" t="str">
        <f>+J12</f>
        <v>Variable</v>
      </c>
      <c r="K13" s="6879" t="s">
        <v>2384</v>
      </c>
    </row>
    <row r="14" spans="1:32" s="271" customFormat="1"/>
    <row r="15" spans="1:32">
      <c r="A15" s="271"/>
      <c r="B15" s="271"/>
      <c r="D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row>
    <row r="16" spans="1:32" s="271" customFormat="1">
      <c r="F16" s="271">
        <v>250</v>
      </c>
      <c r="H16" s="6831">
        <v>250</v>
      </c>
      <c r="I16" s="6832">
        <v>7</v>
      </c>
      <c r="J16" s="101">
        <f>13503*F16^-0.931</f>
        <v>79.058417990659549</v>
      </c>
      <c r="K16" s="6832">
        <v>0.3</v>
      </c>
    </row>
    <row r="17" spans="1:32">
      <c r="A17" s="271"/>
      <c r="B17" s="271"/>
      <c r="D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row>
    <row r="18" spans="1:32">
      <c r="A18" s="271"/>
      <c r="B18" s="271"/>
      <c r="D18" s="271"/>
      <c r="F18" s="271" t="s">
        <v>1719</v>
      </c>
      <c r="G18" s="271"/>
      <c r="H18" s="6809"/>
      <c r="I18" s="6809"/>
      <c r="J18" s="6810"/>
      <c r="K18" s="6811"/>
      <c r="L18" s="271"/>
      <c r="M18" s="271"/>
      <c r="N18" s="271"/>
      <c r="O18" s="271"/>
      <c r="P18" s="271"/>
      <c r="Q18" s="271"/>
      <c r="R18" s="271"/>
      <c r="S18" s="271"/>
      <c r="T18" s="271"/>
      <c r="U18" s="271"/>
      <c r="V18" s="271"/>
      <c r="W18" s="271"/>
      <c r="X18" s="271"/>
      <c r="Y18" s="271"/>
      <c r="Z18" s="271"/>
      <c r="AA18" s="271"/>
      <c r="AB18" s="271"/>
      <c r="AC18" s="271"/>
      <c r="AD18" s="271"/>
      <c r="AE18" s="271"/>
      <c r="AF18" s="271"/>
    </row>
    <row r="19" spans="1:32" ht="25.5">
      <c r="A19" s="271"/>
      <c r="B19" s="271"/>
      <c r="D19" s="6812"/>
      <c r="E19" s="6812"/>
      <c r="F19" s="6813" t="s">
        <v>1085</v>
      </c>
      <c r="G19" s="6813" t="s">
        <v>1623</v>
      </c>
      <c r="H19" s="6813" t="s">
        <v>2369</v>
      </c>
      <c r="I19" s="6813" t="s">
        <v>2370</v>
      </c>
      <c r="J19" s="6813" t="s">
        <v>2369</v>
      </c>
      <c r="K19" s="6813" t="s">
        <v>2370</v>
      </c>
      <c r="L19" s="6745" t="s">
        <v>2371</v>
      </c>
      <c r="M19" s="271"/>
      <c r="N19" s="271"/>
      <c r="O19" s="271"/>
      <c r="P19" s="271"/>
      <c r="Q19" s="271"/>
      <c r="R19" s="271"/>
      <c r="S19" s="271"/>
      <c r="T19" s="271"/>
      <c r="U19" s="271"/>
      <c r="V19" s="271"/>
      <c r="W19" s="271"/>
      <c r="X19" s="271"/>
      <c r="Y19" s="271"/>
      <c r="Z19" s="271"/>
      <c r="AA19" s="271"/>
      <c r="AB19" s="271"/>
      <c r="AC19" s="271"/>
      <c r="AD19" s="271"/>
      <c r="AE19" s="271"/>
      <c r="AF19" s="271"/>
    </row>
    <row r="20" spans="1:32" s="271" customFormat="1">
      <c r="D20" s="6812"/>
      <c r="E20" s="6812"/>
      <c r="F20" s="6813"/>
      <c r="G20" s="6813"/>
      <c r="H20" s="6813"/>
      <c r="I20" s="6813"/>
      <c r="J20" s="6813"/>
      <c r="K20" s="6813"/>
    </row>
    <row r="21" spans="1:32">
      <c r="A21" s="271"/>
      <c r="B21" s="271"/>
      <c r="D21" s="1119" t="s">
        <v>2343</v>
      </c>
      <c r="E21" s="763">
        <v>1</v>
      </c>
      <c r="F21" s="6814">
        <f>+IF(D21="","",VLOOKUP(MATCH(D21,ca_id,0),ca,'13(an)'!$AO$34,FALSE))</f>
        <v>29</v>
      </c>
      <c r="G21" s="6815">
        <f>+IF(D21="","",VLOOKUP(MATCH(D21,ca_id,0),ca,'13(an)'!$AQ$34,FALSE))</f>
        <v>7735</v>
      </c>
      <c r="H21" s="6816">
        <f>+IF(D21="","",IF(E21=1,VLOOKUP(MATCH(D21,ca_id,0),ca,'13(an)'!$IG$34,FALSE),""))</f>
        <v>241.37931034482759</v>
      </c>
      <c r="I21" s="6816">
        <f>+IF(D21="","",IF(E21=1,VLOOKUP(MATCH(D21,ca_id,0),ca,'13(an)'!$II$34,FALSE),""))</f>
        <v>6.1362637362637367</v>
      </c>
      <c r="J21" s="6816" t="str">
        <f>+IF(D21="","",IF(E21=2,VLOOKUP(MATCH(D21,ca_id,0),ca,'13(an)'!$IG$34,FALSE),""))</f>
        <v/>
      </c>
      <c r="K21" s="6816" t="str">
        <f>+IF(D21="","",IF(E21=2,VLOOKUP(MATCH(D21,ca_id,0),ca,'13(an)'!$II$34,FALSE),""))</f>
        <v/>
      </c>
      <c r="L21" s="271"/>
      <c r="M21" s="271"/>
      <c r="N21" s="271"/>
      <c r="O21" s="271"/>
      <c r="P21" s="271"/>
      <c r="Q21" s="271"/>
      <c r="R21" s="271"/>
      <c r="S21" s="271"/>
      <c r="T21" s="271"/>
      <c r="U21" s="271"/>
      <c r="V21" s="271"/>
      <c r="W21" s="271"/>
      <c r="X21" s="271"/>
      <c r="Y21" s="271"/>
      <c r="Z21" s="271"/>
      <c r="AA21" s="271"/>
      <c r="AB21" s="271"/>
      <c r="AC21" s="271"/>
      <c r="AD21" s="271"/>
      <c r="AE21" s="271"/>
      <c r="AF21" s="271"/>
    </row>
    <row r="22" spans="1:32">
      <c r="A22" s="271"/>
      <c r="B22" s="271"/>
      <c r="D22" s="1125" t="s">
        <v>2344</v>
      </c>
      <c r="E22" s="791">
        <v>1</v>
      </c>
      <c r="F22" s="6817">
        <f>+IF(D22="","",VLOOKUP(MATCH(D22,ca_id,0),ca,'13(an)'!$AO$34,FALSE))</f>
        <v>38.799999999999997</v>
      </c>
      <c r="G22" s="6818">
        <f>+IF(D22="","",VLOOKUP(MATCH(D22,ca_id,0),ca,'13(an)'!$AQ$34,FALSE))</f>
        <v>9915</v>
      </c>
      <c r="H22" s="6819">
        <f>+IF(D22="","",IF(E22=1,VLOOKUP(MATCH(D22,ca_id,0),ca,'13(an)'!$IG$34,FALSE),""))</f>
        <v>180.41237113402065</v>
      </c>
      <c r="I22" s="6819">
        <f>+IF(D22="","",IF(E22=1,VLOOKUP(MATCH(D22,ca_id,0),ca,'13(an)'!$II$34,FALSE),""))</f>
        <v>4.8063035804336867</v>
      </c>
      <c r="J22" s="6819" t="str">
        <f>+IF(D22="","",IF(E22=2,VLOOKUP(MATCH(D22,ca_id,0),ca,'13(an)'!$IG$34,FALSE),""))</f>
        <v/>
      </c>
      <c r="K22" s="6819" t="str">
        <f>+IF(D22="","",IF(E22=2,VLOOKUP(MATCH(D22,ca_id,0),ca,'13(an)'!$II$34,FALSE),""))</f>
        <v/>
      </c>
      <c r="L22" s="271"/>
      <c r="M22" s="271"/>
      <c r="N22" s="271"/>
      <c r="O22" s="271"/>
      <c r="P22" s="271"/>
      <c r="Q22" s="271"/>
      <c r="R22" s="271"/>
      <c r="S22" s="271"/>
      <c r="T22" s="271"/>
      <c r="U22" s="271"/>
      <c r="V22" s="271"/>
      <c r="W22" s="271"/>
      <c r="X22" s="271"/>
      <c r="Y22" s="271"/>
      <c r="Z22" s="271"/>
      <c r="AA22" s="271"/>
      <c r="AB22" s="271"/>
      <c r="AC22" s="271"/>
      <c r="AD22" s="271"/>
      <c r="AE22" s="271"/>
      <c r="AF22" s="271"/>
    </row>
    <row r="23" spans="1:32">
      <c r="A23" s="271"/>
      <c r="B23" s="271"/>
      <c r="D23" s="1125" t="s">
        <v>2345</v>
      </c>
      <c r="E23" s="791">
        <v>1</v>
      </c>
      <c r="F23" s="6817">
        <f>+IF(D23="","",VLOOKUP(MATCH(D23,ca_id,0),ca,'13(an)'!$AO$34,FALSE))</f>
        <v>29.5</v>
      </c>
      <c r="G23" s="6818">
        <f>+IF(D23="","",VLOOKUP(MATCH(D23,ca_id,0),ca,'13(an)'!$AQ$34,FALSE))</f>
        <v>8325</v>
      </c>
      <c r="H23" s="6819">
        <f>+IF(D23="","",IF(E23=1,VLOOKUP(MATCH(D23,ca_id,0),ca,'13(an)'!$IG$34,FALSE),""))</f>
        <v>237.28813559322035</v>
      </c>
      <c r="I23" s="6819">
        <f>+IF(D23="","",IF(E23=1,VLOOKUP(MATCH(D23,ca_id,0),ca,'13(an)'!$II$34,FALSE),""))</f>
        <v>5.7027027027027026</v>
      </c>
      <c r="J23" s="6819" t="str">
        <f>+IF(D23="","",IF(E23=2,VLOOKUP(MATCH(D23,ca_id,0),ca,'13(an)'!$IG$34,FALSE),""))</f>
        <v/>
      </c>
      <c r="K23" s="6819" t="str">
        <f>+IF(D23="","",IF(E23=2,VLOOKUP(MATCH(D23,ca_id,0),ca,'13(an)'!$II$34,FALSE),""))</f>
        <v/>
      </c>
      <c r="L23" s="271"/>
      <c r="M23" s="271"/>
      <c r="N23" s="271"/>
      <c r="O23" s="271"/>
      <c r="P23" s="271"/>
      <c r="Q23" s="271"/>
      <c r="R23" s="271"/>
      <c r="S23" s="271"/>
      <c r="T23" s="271"/>
      <c r="U23" s="271"/>
      <c r="V23" s="271"/>
      <c r="W23" s="271"/>
      <c r="X23" s="271"/>
      <c r="Y23" s="271"/>
      <c r="Z23" s="271"/>
      <c r="AA23" s="271"/>
      <c r="AB23" s="271"/>
      <c r="AC23" s="271"/>
      <c r="AD23" s="271"/>
      <c r="AE23" s="271"/>
      <c r="AF23" s="271"/>
    </row>
    <row r="24" spans="1:32">
      <c r="A24" s="271"/>
      <c r="B24" s="271"/>
      <c r="D24" s="1125" t="s">
        <v>2346</v>
      </c>
      <c r="E24" s="791">
        <v>1</v>
      </c>
      <c r="F24" s="6817">
        <f>+IF(D24="","",VLOOKUP(MATCH(D24,ca_id,0),ca,'13(an)'!$AO$34,FALSE))</f>
        <v>99.9</v>
      </c>
      <c r="G24" s="6818">
        <f>+IF(D24="","",VLOOKUP(MATCH(D24,ca_id,0),ca,'13(an)'!$AQ$34,FALSE))</f>
        <v>20980</v>
      </c>
      <c r="H24" s="6819">
        <f>+IF(D24="","",IF(E24=1,VLOOKUP(MATCH(D24,ca_id,0),ca,'13(an)'!$IG$34,FALSE),""))</f>
        <v>70.070070070070059</v>
      </c>
      <c r="I24" s="6819">
        <f>+IF(D24="","",IF(E24=1,VLOOKUP(MATCH(D24,ca_id,0),ca,'13(an)'!$II$34,FALSE),""))</f>
        <v>2.2818160152526215</v>
      </c>
      <c r="J24" s="6819" t="str">
        <f>+IF(D24="","",IF(E24=2,VLOOKUP(MATCH(D24,ca_id,0),ca,'13(an)'!$IG$34,FALSE),""))</f>
        <v/>
      </c>
      <c r="K24" s="6819" t="str">
        <f>+IF(D24="","",IF(E24=2,VLOOKUP(MATCH(D24,ca_id,0),ca,'13(an)'!$II$34,FALSE),""))</f>
        <v/>
      </c>
      <c r="L24" s="271"/>
      <c r="M24" s="271"/>
      <c r="N24" s="271"/>
      <c r="O24" s="271"/>
      <c r="P24" s="271"/>
      <c r="Q24" s="271"/>
      <c r="R24" s="271"/>
      <c r="S24" s="271"/>
      <c r="T24" s="271"/>
      <c r="U24" s="271"/>
      <c r="V24" s="271"/>
      <c r="W24" s="271"/>
      <c r="X24" s="271"/>
      <c r="Y24" s="271"/>
      <c r="Z24" s="271"/>
      <c r="AA24" s="271"/>
      <c r="AB24" s="271"/>
      <c r="AC24" s="271"/>
      <c r="AD24" s="271"/>
      <c r="AE24" s="271"/>
      <c r="AF24" s="271"/>
    </row>
    <row r="25" spans="1:32">
      <c r="A25" s="271"/>
      <c r="B25" s="271"/>
      <c r="D25" s="1125" t="s">
        <v>2347</v>
      </c>
      <c r="E25" s="791">
        <v>1</v>
      </c>
      <c r="F25" s="6817">
        <f>+IF(D25="","",VLOOKUP(MATCH(D25,ca_id,0),ca,'13(an)'!$AO$34,FALSE))</f>
        <v>14.5</v>
      </c>
      <c r="G25" s="6818">
        <f>+IF(D25="","",VLOOKUP(MATCH(D25,ca_id,0),ca,'13(an)'!$AQ$34,FALSE))</f>
        <v>3480</v>
      </c>
      <c r="H25" s="6819">
        <f>+IF(D25="","",IF(E25=1,VLOOKUP(MATCH(D25,ca_id,0),ca,'13(an)'!$IG$34,FALSE),""))</f>
        <v>482.75862068965517</v>
      </c>
      <c r="I25" s="6819">
        <f>+IF(D25="","",IF(E25=1,VLOOKUP(MATCH(D25,ca_id,0),ca,'13(an)'!$II$34,FALSE),""))</f>
        <v>13.436925287356322</v>
      </c>
      <c r="J25" s="6819" t="str">
        <f>+IF(D25="","",IF(E25=2,VLOOKUP(MATCH(D25,ca_id,0),ca,'13(an)'!$IG$34,FALSE),""))</f>
        <v/>
      </c>
      <c r="K25" s="6819" t="str">
        <f>+IF(D25="","",IF(E25=2,VLOOKUP(MATCH(D25,ca_id,0),ca,'13(an)'!$II$34,FALSE),""))</f>
        <v/>
      </c>
      <c r="L25" s="271"/>
      <c r="M25" s="271"/>
      <c r="N25" s="271"/>
      <c r="O25" s="271"/>
      <c r="P25" s="271"/>
      <c r="Q25" s="271"/>
      <c r="R25" s="271"/>
      <c r="S25" s="271"/>
      <c r="T25" s="271"/>
      <c r="U25" s="271"/>
      <c r="V25" s="271"/>
      <c r="W25" s="271"/>
      <c r="X25" s="271"/>
      <c r="Y25" s="271"/>
      <c r="Z25" s="271"/>
      <c r="AA25" s="271"/>
      <c r="AB25" s="271"/>
      <c r="AC25" s="271"/>
      <c r="AD25" s="271"/>
      <c r="AE25" s="271"/>
      <c r="AF25" s="271"/>
    </row>
    <row r="26" spans="1:32">
      <c r="A26" s="271"/>
      <c r="B26" s="271"/>
      <c r="D26" s="1126" t="s">
        <v>2348</v>
      </c>
      <c r="E26" s="1073">
        <v>2</v>
      </c>
      <c r="F26" s="6817">
        <f>+IF(D26="","",VLOOKUP(MATCH(D26,ca_id,0),ca,'13(an)'!$AO$34,FALSE))</f>
        <v>20.55</v>
      </c>
      <c r="G26" s="6818">
        <f>+IF(D26="","",VLOOKUP(MATCH(D26,ca_id,0),ca,'13(an)'!$AQ$34,FALSE))</f>
        <v>4855</v>
      </c>
      <c r="H26" s="6819" t="str">
        <f>+IF(D26="","",IF(E26=1,VLOOKUP(MATCH(D26,ca_id,0),ca,'13(an)'!$IG$34,FALSE),""))</f>
        <v/>
      </c>
      <c r="I26" s="6819" t="str">
        <f>+IF(D26="","",IF(E26=1,VLOOKUP(MATCH(D26,ca_id,0),ca,'13(an)'!$II$34,FALSE),""))</f>
        <v/>
      </c>
      <c r="J26" s="6819">
        <f>+IF(D26="","",IF(E26=2,VLOOKUP(MATCH(D26,ca_id,0),ca,'13(an)'!$IG$34,FALSE),""))</f>
        <v>0</v>
      </c>
      <c r="K26" s="6819">
        <f>+IF(D26="","",IF(E26=2,VLOOKUP(MATCH(D26,ca_id,0),ca,'13(an)'!$II$34,FALSE),""))</f>
        <v>2.0543769309989703</v>
      </c>
      <c r="L26" s="271"/>
      <c r="M26" s="271"/>
      <c r="N26" s="271"/>
      <c r="O26" s="271"/>
      <c r="P26" s="271"/>
      <c r="Q26" s="271"/>
      <c r="R26" s="271"/>
      <c r="S26" s="271"/>
      <c r="T26" s="271"/>
      <c r="U26" s="271"/>
      <c r="V26" s="271"/>
      <c r="W26" s="271"/>
      <c r="X26" s="271"/>
      <c r="Y26" s="271"/>
      <c r="Z26" s="271"/>
      <c r="AA26" s="271"/>
      <c r="AB26" s="271"/>
      <c r="AC26" s="271"/>
      <c r="AD26" s="271"/>
      <c r="AE26" s="271"/>
      <c r="AF26" s="271"/>
    </row>
    <row r="27" spans="1:32">
      <c r="A27" s="271"/>
      <c r="B27" s="271"/>
      <c r="D27" s="1119" t="s">
        <v>2349</v>
      </c>
      <c r="E27" s="763">
        <v>1</v>
      </c>
      <c r="F27" s="6817">
        <f>+F26</f>
        <v>20.55</v>
      </c>
      <c r="G27" s="6818">
        <f>+G26</f>
        <v>4855</v>
      </c>
      <c r="H27" s="6819">
        <f>+IF(D27="","",IF(E27=1,VLOOKUP(MATCH(D27,ca_id,0),ca,'13(an)'!$IG$34,FALSE),""))</f>
        <v>340.63260340632604</v>
      </c>
      <c r="I27" s="6819">
        <f>+IF(D27="","",IF(E27=1,VLOOKUP(MATCH(D27,ca_id,0),ca,'13(an)'!$II$34,FALSE),""))</f>
        <v>9.6647785787847571</v>
      </c>
      <c r="J27" s="6819" t="str">
        <f>+IF(D27="","",IF(E27=2,VLOOKUP(MATCH(D27,ca_id,0),ca,'13(an)'!$IG$34,FALSE),""))</f>
        <v/>
      </c>
      <c r="K27" s="6819" t="str">
        <f>+IF(D27="","",IF(E27=2,VLOOKUP(MATCH(D27,ca_id,0),ca,'13(an)'!$II$34,FALSE),""))</f>
        <v/>
      </c>
      <c r="L27" s="271"/>
      <c r="M27" s="271"/>
      <c r="N27" s="271"/>
      <c r="O27" s="271"/>
      <c r="P27" s="271"/>
      <c r="Q27" s="271"/>
      <c r="R27" s="271"/>
      <c r="S27" s="271"/>
      <c r="T27" s="271"/>
      <c r="U27" s="271"/>
      <c r="V27" s="271"/>
      <c r="W27" s="271"/>
      <c r="X27" s="271"/>
      <c r="Y27" s="271"/>
      <c r="Z27" s="271"/>
      <c r="AA27" s="271"/>
      <c r="AB27" s="271"/>
      <c r="AC27" s="271"/>
      <c r="AD27" s="271"/>
      <c r="AE27" s="271"/>
      <c r="AF27" s="271"/>
    </row>
    <row r="28" spans="1:32">
      <c r="A28" s="271"/>
      <c r="B28" s="271"/>
      <c r="D28" s="1127" t="s">
        <v>2350</v>
      </c>
      <c r="E28" s="743">
        <v>2</v>
      </c>
      <c r="F28" s="6817">
        <f>+IF(D28="","",VLOOKUP(MATCH(D28,ca_id,0),ca,'13(an)'!$AO$34,FALSE))</f>
        <v>80.7</v>
      </c>
      <c r="G28" s="6818">
        <f>+IF(D28="","",VLOOKUP(MATCH(D28,ca_id,0),ca,'13(an)'!$AQ$34,FALSE))</f>
        <v>31287.5</v>
      </c>
      <c r="H28" s="6819" t="str">
        <f>+IF(D28="","",IF(E28=1,VLOOKUP(MATCH(D28,ca_id,0),ca,'13(an)'!$IG$34,FALSE),""))</f>
        <v/>
      </c>
      <c r="I28" s="6819" t="str">
        <f>+IF(D28="","",IF(E28=1,VLOOKUP(MATCH(D28,ca_id,0),ca,'13(an)'!$II$34,FALSE),""))</f>
        <v/>
      </c>
      <c r="J28" s="6819">
        <f>+IF(D28="","",IF(E28=2,VLOOKUP(MATCH(D28,ca_id,0),ca,'13(an)'!$IG$34,FALSE),""))</f>
        <v>0</v>
      </c>
      <c r="K28" s="6819">
        <f>+IF(D28="","",IF(E28=2,VLOOKUP(MATCH(D28,ca_id,0),ca,'13(an)'!$II$34,FALSE),""))</f>
        <v>0.82998002397123449</v>
      </c>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3.5" thickBot="1">
      <c r="A29" s="271"/>
      <c r="B29" s="271"/>
      <c r="D29" s="1128" t="s">
        <v>2351</v>
      </c>
      <c r="E29" s="731">
        <v>2</v>
      </c>
      <c r="F29" s="6821">
        <f>+IF(D29="","",VLOOKUP(MATCH(D29,ca_id,0),ca,'13(an)'!$AO$34,FALSE))</f>
        <v>235.95</v>
      </c>
      <c r="G29" s="6818" t="str">
        <f>+IF(D29="","",VLOOKUP(MATCH(D29,ca_id,0),ca,'13(an)'!$AQ$34,FALSE))</f>
        <v/>
      </c>
      <c r="H29" s="6819" t="str">
        <f>+IF(D29="","",IF(E29=1,VLOOKUP(MATCH(D29,ca_id,0),ca,'13(an)'!$IG$34,FALSE),""))</f>
        <v/>
      </c>
      <c r="I29" s="6819" t="str">
        <f>+IF(D29="","",IF(E29=1,VLOOKUP(MATCH(D29,ca_id,0),ca,'13(an)'!$II$34,FALSE),""))</f>
        <v/>
      </c>
      <c r="J29" s="6823">
        <f>+IF(D29="","",IF(E29=2,VLOOKUP(MATCH(D29,ca_id,0),ca,'13(an)'!$IG$34,FALSE),""))</f>
        <v>84.763721127357499</v>
      </c>
      <c r="K29" s="6819">
        <f>+IF(D29="","",IF(E29=2,VLOOKUP(MATCH(D29,ca_id,0),ca,'13(an)'!$II$34,FALSE),""))</f>
        <v>0</v>
      </c>
      <c r="L29" s="101">
        <f>13503*F29^-0.931</f>
        <v>83.432424613529534</v>
      </c>
      <c r="M29" s="271"/>
      <c r="N29" s="271"/>
      <c r="O29" s="271"/>
      <c r="P29" s="271"/>
      <c r="Q29" s="271"/>
      <c r="R29" s="271"/>
      <c r="S29" s="271"/>
      <c r="T29" s="271"/>
      <c r="U29" s="271"/>
      <c r="V29" s="271"/>
      <c r="W29" s="271"/>
      <c r="X29" s="271"/>
      <c r="Y29" s="271"/>
      <c r="Z29" s="271"/>
      <c r="AA29" s="271"/>
      <c r="AB29" s="271"/>
      <c r="AC29" s="271"/>
      <c r="AD29" s="271"/>
      <c r="AE29" s="271"/>
      <c r="AF29" s="271"/>
    </row>
    <row r="30" spans="1:32">
      <c r="A30" s="271"/>
      <c r="B30" s="271"/>
      <c r="D30" s="33" t="s">
        <v>2352</v>
      </c>
      <c r="E30" s="6806">
        <v>2</v>
      </c>
      <c r="F30" s="6821">
        <f>+IF(D30="","",VLOOKUP(MATCH(D30,ca_id,0),ca,'13(an)'!$AO$34,FALSE))</f>
        <v>1331.1</v>
      </c>
      <c r="G30" s="6825">
        <f>+IF(D30="","",VLOOKUP(MATCH(D30,ca_id,0),ca,'13(an)'!$AQ$34,FALSE))</f>
        <v>1017740</v>
      </c>
      <c r="H30" s="6819" t="str">
        <f>+IF(D30="","",IF(E30=1,VLOOKUP(MATCH(D30,ca_id,0),ca,'13(an)'!$IG$34,FALSE),""))</f>
        <v/>
      </c>
      <c r="I30" s="6819" t="str">
        <f>+IF(D30="","",IF(E30=1,VLOOKUP(MATCH(D30,ca_id,0),ca,'13(an)'!$II$34,FALSE),""))</f>
        <v/>
      </c>
      <c r="J30" s="6823">
        <f>+IF(D30="","",IF(E30=2,VLOOKUP(MATCH(D30,ca_id,0),ca,'13(an)'!$IG$34,FALSE),""))</f>
        <v>18.781458943730751</v>
      </c>
      <c r="K30" s="6827">
        <f>+IF(D30="","",IF(E30=2,VLOOKUP(MATCH(D30,ca_id,0),ca,'13(an)'!$II$34,FALSE),""))</f>
        <v>0.14511270068976359</v>
      </c>
      <c r="L30" s="101">
        <f t="shared" ref="L30:L46" si="4">13503*F30^-0.931</f>
        <v>16.664416876771764</v>
      </c>
      <c r="M30" s="271"/>
      <c r="N30" s="271"/>
      <c r="O30" s="271"/>
      <c r="P30" s="271"/>
      <c r="Q30" s="271"/>
      <c r="R30" s="271"/>
      <c r="S30" s="271"/>
      <c r="T30" s="271"/>
      <c r="U30" s="271"/>
      <c r="V30" s="271"/>
      <c r="W30" s="271"/>
      <c r="X30" s="271"/>
      <c r="Y30" s="271"/>
      <c r="Z30" s="271"/>
      <c r="AA30" s="271"/>
      <c r="AB30" s="271"/>
      <c r="AC30" s="271"/>
      <c r="AD30" s="271"/>
      <c r="AE30" s="271"/>
      <c r="AF30" s="271"/>
    </row>
    <row r="31" spans="1:32">
      <c r="A31" s="271"/>
      <c r="B31" s="271"/>
      <c r="D31" s="1127" t="s">
        <v>2353</v>
      </c>
      <c r="E31" s="743">
        <v>2</v>
      </c>
      <c r="F31" s="6821">
        <f>+F30</f>
        <v>1331.1</v>
      </c>
      <c r="G31" s="6825">
        <f>+G30</f>
        <v>1017740</v>
      </c>
      <c r="H31" s="6819" t="str">
        <f>+IF(D31="","",IF(E31=1,VLOOKUP(MATCH(D31,ca_id,0),ca,'13(an)'!$IG$34,FALSE),""))</f>
        <v/>
      </c>
      <c r="I31" s="6819" t="str">
        <f>+IF(D31="","",IF(E31=1,VLOOKUP(MATCH(D31,ca_id,0),ca,'13(an)'!$II$34,FALSE),""))</f>
        <v/>
      </c>
      <c r="J31" s="6823">
        <f>+IF(D31="","",IF(E31=2,VLOOKUP(MATCH(D31,ca_id,0),ca,'13(an)'!$IG$34,FALSE),""))</f>
        <v>11.268875366238451</v>
      </c>
      <c r="K31" s="6827">
        <f>+IF(D31="","",IF(E31=2,VLOOKUP(MATCH(D31,ca_id,0),ca,'13(an)'!$II$34,FALSE),""))</f>
        <v>0.15268437911450861</v>
      </c>
      <c r="L31" s="101">
        <f t="shared" si="4"/>
        <v>16.664416876771764</v>
      </c>
      <c r="M31" s="271"/>
      <c r="N31" s="271"/>
      <c r="O31" s="271"/>
      <c r="P31" s="271"/>
      <c r="Q31" s="271"/>
      <c r="R31" s="271"/>
      <c r="S31" s="271"/>
      <c r="T31" s="271"/>
      <c r="U31" s="271"/>
      <c r="V31" s="271"/>
      <c r="W31" s="271"/>
      <c r="X31" s="271"/>
      <c r="Y31" s="271"/>
      <c r="Z31" s="271"/>
      <c r="AA31" s="271"/>
      <c r="AB31" s="271"/>
      <c r="AC31" s="271"/>
      <c r="AD31" s="271"/>
      <c r="AE31" s="271"/>
      <c r="AF31" s="271"/>
    </row>
    <row r="32" spans="1:32">
      <c r="A32" s="271"/>
      <c r="B32" s="271"/>
      <c r="D32" s="32" t="s">
        <v>2354</v>
      </c>
      <c r="E32" s="6807">
        <v>2</v>
      </c>
      <c r="F32" s="6821">
        <f>+IF(D32="","",VLOOKUP(MATCH(D32,ca_id,0),ca,'13(an)'!$AO$34,FALSE))</f>
        <v>731.05</v>
      </c>
      <c r="G32" s="6825">
        <f>+IF(D32="","",VLOOKUP(MATCH(D32,ca_id,0),ca,'13(an)'!$AQ$34,FALSE))</f>
        <v>1233270</v>
      </c>
      <c r="H32" s="6819" t="str">
        <f>+IF(D32="","",IF(E32=1,VLOOKUP(MATCH(D32,ca_id,0),ca,'13(an)'!$IG$34,FALSE),""))</f>
        <v/>
      </c>
      <c r="I32" s="6819" t="str">
        <f>+IF(D32="","",IF(E32=1,VLOOKUP(MATCH(D32,ca_id,0),ca,'13(an)'!$II$34,FALSE),""))</f>
        <v/>
      </c>
      <c r="J32" s="6827">
        <f>+IF(D32="","",IF(E32=2,VLOOKUP(MATCH(D32,ca_id,0),ca,'13(an)'!$IG$34,FALSE),""))</f>
        <v>6.8394774639217566</v>
      </c>
      <c r="K32" s="6827">
        <f>+IF(D32="","",IF(E32=2,VLOOKUP(MATCH(D32,ca_id,0),ca,'13(an)'!$II$34,FALSE),""))</f>
        <v>0.2759484946524281</v>
      </c>
      <c r="L32" s="101">
        <f t="shared" si="4"/>
        <v>29.113574795426437</v>
      </c>
      <c r="M32" s="271"/>
      <c r="N32" s="271">
        <f>+H12*F31^I12</f>
        <v>16.664416876771764</v>
      </c>
      <c r="O32" s="271"/>
      <c r="P32" s="271"/>
      <c r="Q32" s="271"/>
      <c r="R32" s="271"/>
      <c r="S32" s="271"/>
      <c r="T32" s="271"/>
      <c r="U32" s="271"/>
      <c r="V32" s="271"/>
      <c r="W32" s="271"/>
      <c r="X32" s="271"/>
      <c r="Y32" s="271"/>
      <c r="Z32" s="271"/>
      <c r="AA32" s="271"/>
      <c r="AB32" s="271"/>
      <c r="AC32" s="271"/>
      <c r="AD32" s="271"/>
      <c r="AE32" s="271"/>
      <c r="AF32" s="271"/>
    </row>
    <row r="33" spans="1:32">
      <c r="A33" s="271"/>
      <c r="B33" s="271"/>
      <c r="D33" s="1127" t="s">
        <v>2355</v>
      </c>
      <c r="E33" s="743">
        <v>2</v>
      </c>
      <c r="F33" s="6821">
        <f>+F32</f>
        <v>731.05</v>
      </c>
      <c r="G33" s="6825">
        <f>+G32</f>
        <v>1233270</v>
      </c>
      <c r="H33" s="6819" t="str">
        <f>+IF(D33="","",IF(E33=1,VLOOKUP(MATCH(D33,ca_id,0),ca,'13(an)'!$IG$34,FALSE),""))</f>
        <v/>
      </c>
      <c r="I33" s="6819" t="str">
        <f>+IF(D33="","",IF(E33=1,VLOOKUP(MATCH(D33,ca_id,0),ca,'13(an)'!$II$34,FALSE),""))</f>
        <v/>
      </c>
      <c r="J33" s="6823">
        <f>+IF(D33="","",IF(E33=2,VLOOKUP(MATCH(D33,ca_id,0),ca,'13(an)'!$IG$34,FALSE),""))</f>
        <v>27.357909855687026</v>
      </c>
      <c r="K33" s="6827">
        <f>+IF(D33="","",IF(E33=2,VLOOKUP(MATCH(D33,ca_id,0),ca,'13(an)'!$II$34,FALSE),""))</f>
        <v>0.1500441914584803</v>
      </c>
      <c r="L33" s="101">
        <f t="shared" si="4"/>
        <v>29.113574795426437</v>
      </c>
      <c r="M33" s="271"/>
      <c r="N33" s="271">
        <f>+N32*F31</f>
        <v>22182.005304670893</v>
      </c>
      <c r="O33" s="271"/>
      <c r="P33" s="271"/>
      <c r="Q33" s="271"/>
      <c r="R33" s="271"/>
      <c r="S33" s="271"/>
      <c r="T33" s="271"/>
      <c r="U33" s="271"/>
      <c r="V33" s="271"/>
      <c r="W33" s="271"/>
      <c r="X33" s="271"/>
      <c r="Y33" s="271"/>
      <c r="Z33" s="271"/>
      <c r="AA33" s="271"/>
      <c r="AB33" s="271"/>
      <c r="AC33" s="271"/>
      <c r="AD33" s="271"/>
      <c r="AE33" s="271"/>
      <c r="AF33" s="271"/>
    </row>
    <row r="34" spans="1:32">
      <c r="A34" s="271"/>
      <c r="B34" s="271"/>
      <c r="D34" s="32" t="s">
        <v>2356</v>
      </c>
      <c r="E34" s="6807">
        <v>2</v>
      </c>
      <c r="F34" s="6821">
        <f>+IF(D34="","",VLOOKUP(MATCH(D34,ca_id,0),ca,'13(an)'!$AO$34,FALSE))</f>
        <v>243.6</v>
      </c>
      <c r="G34" s="6825">
        <f>+IF(D34="","",VLOOKUP(MATCH(D34,ca_id,0),ca,'13(an)'!$AQ$34,FALSE))</f>
        <v>557770</v>
      </c>
      <c r="H34" s="6819" t="str">
        <f>+IF(D34="","",IF(E34=1,VLOOKUP(MATCH(D34,ca_id,0),ca,'13(an)'!$IG$34,FALSE),""))</f>
        <v/>
      </c>
      <c r="I34" s="6819" t="str">
        <f>+IF(D34="","",IF(E34=1,VLOOKUP(MATCH(D34,ca_id,0),ca,'13(an)'!$II$34,FALSE),""))</f>
        <v/>
      </c>
      <c r="J34" s="6823">
        <f>+IF(D34="","",IF(E34=2,VLOOKUP(MATCH(D34,ca_id,0),ca,'13(an)'!$IG$34,FALSE),""))</f>
        <v>82.101806239737272</v>
      </c>
      <c r="K34" s="6827">
        <f>+IF(D34="","",IF(E34=2,VLOOKUP(MATCH(D34,ca_id,0),ca,'13(an)'!$II$34,FALSE),""))</f>
        <v>0.29172598024275237</v>
      </c>
      <c r="L34" s="101">
        <f t="shared" si="4"/>
        <v>80.990432150597087</v>
      </c>
      <c r="M34" s="271"/>
      <c r="N34" s="271"/>
      <c r="O34" s="271"/>
      <c r="P34" s="271"/>
      <c r="Q34" s="271"/>
      <c r="R34" s="271"/>
      <c r="S34" s="271"/>
      <c r="T34" s="271"/>
      <c r="U34" s="271"/>
      <c r="V34" s="271"/>
      <c r="W34" s="271"/>
      <c r="X34" s="271"/>
      <c r="Y34" s="271"/>
      <c r="Z34" s="271"/>
      <c r="AA34" s="271"/>
      <c r="AB34" s="271"/>
      <c r="AC34" s="271"/>
      <c r="AD34" s="271"/>
      <c r="AE34" s="271"/>
      <c r="AF34" s="271"/>
    </row>
    <row r="35" spans="1:32">
      <c r="A35" s="271"/>
      <c r="B35" s="271"/>
      <c r="D35" s="1127" t="s">
        <v>2357</v>
      </c>
      <c r="E35" s="743">
        <v>2</v>
      </c>
      <c r="F35" s="6821">
        <f>+F34</f>
        <v>243.6</v>
      </c>
      <c r="G35" s="6825">
        <f>+G34</f>
        <v>557770</v>
      </c>
      <c r="H35" s="6819" t="str">
        <f>+IF(D35="","",IF(E35=1,VLOOKUP(MATCH(D35,ca_id,0),ca,'13(an)'!$IG$34,FALSE),""))</f>
        <v/>
      </c>
      <c r="I35" s="6819" t="str">
        <f>+IF(D35="","",IF(E35=1,VLOOKUP(MATCH(D35,ca_id,0),ca,'13(an)'!$II$34,FALSE),""))</f>
        <v/>
      </c>
      <c r="J35" s="6823">
        <f>+IF(D35="","",IF(E35=2,VLOOKUP(MATCH(D35,ca_id,0),ca,'13(an)'!$IG$34,FALSE),""))</f>
        <v>82.101806239737272</v>
      </c>
      <c r="K35" s="6827">
        <f>+IF(D35="","",IF(E35=2,VLOOKUP(MATCH(D35,ca_id,0),ca,'13(an)'!$II$34,FALSE),""))</f>
        <v>0.19488319558240852</v>
      </c>
      <c r="L35" s="101">
        <f t="shared" si="4"/>
        <v>80.990432150597087</v>
      </c>
      <c r="M35" s="271"/>
      <c r="N35" s="271"/>
      <c r="O35" s="271"/>
      <c r="P35" s="271"/>
      <c r="Q35" s="271"/>
      <c r="R35" s="271"/>
      <c r="S35" s="271"/>
      <c r="T35" s="271"/>
      <c r="U35" s="271"/>
      <c r="V35" s="271"/>
      <c r="W35" s="271"/>
      <c r="X35" s="271"/>
      <c r="Y35" s="271"/>
      <c r="Z35" s="271"/>
      <c r="AA35" s="271"/>
      <c r="AB35" s="271"/>
      <c r="AC35" s="271"/>
      <c r="AD35" s="271"/>
      <c r="AE35" s="271"/>
      <c r="AF35" s="271"/>
    </row>
    <row r="36" spans="1:32">
      <c r="A36" s="271"/>
      <c r="B36" s="271"/>
      <c r="D36" s="1127" t="s">
        <v>2358</v>
      </c>
      <c r="E36" s="743">
        <v>2</v>
      </c>
      <c r="F36" s="6821">
        <f>+F35</f>
        <v>243.6</v>
      </c>
      <c r="G36" s="6825">
        <f>+G35</f>
        <v>557770</v>
      </c>
      <c r="H36" s="6819" t="str">
        <f>+IF(D36="","",IF(E36=1,VLOOKUP(MATCH(D36,ca_id,0),ca,'13(an)'!$IG$34,FALSE),""))</f>
        <v/>
      </c>
      <c r="I36" s="6819" t="str">
        <f>+IF(D36="","",IF(E36=1,VLOOKUP(MATCH(D36,ca_id,0),ca,'13(an)'!$II$34,FALSE),""))</f>
        <v/>
      </c>
      <c r="J36" s="6823">
        <f>+IF(D36="","",IF(E36=2,VLOOKUP(MATCH(D36,ca_id,0),ca,'13(an)'!$IG$34,FALSE),""))</f>
        <v>82.101806239737272</v>
      </c>
      <c r="K36" s="6827">
        <f>+IF(D36="","",IF(E36=2,VLOOKUP(MATCH(D36,ca_id,0),ca,'13(an)'!$II$34,FALSE),""))</f>
        <v>8.5954784230058978E-2</v>
      </c>
      <c r="L36" s="101">
        <f t="shared" si="4"/>
        <v>80.990432150597087</v>
      </c>
      <c r="M36" s="271"/>
      <c r="N36" s="271"/>
      <c r="O36" s="271"/>
      <c r="P36" s="271"/>
      <c r="Q36" s="271"/>
      <c r="R36" s="271"/>
      <c r="S36" s="271"/>
      <c r="T36" s="271"/>
      <c r="U36" s="271"/>
      <c r="V36" s="271"/>
      <c r="W36" s="271"/>
      <c r="X36" s="271"/>
      <c r="Y36" s="271"/>
      <c r="Z36" s="271"/>
      <c r="AA36" s="271"/>
      <c r="AB36" s="271"/>
      <c r="AC36" s="271"/>
      <c r="AD36" s="271"/>
      <c r="AE36" s="271"/>
      <c r="AF36" s="271"/>
    </row>
    <row r="37" spans="1:32">
      <c r="A37" s="271"/>
      <c r="B37" s="271"/>
      <c r="D37" s="7905" t="s">
        <v>2359</v>
      </c>
      <c r="E37" s="6808">
        <v>2</v>
      </c>
      <c r="F37" s="6821">
        <f>+IF(D37="","",VLOOKUP(MATCH(D37,ca_id,0),ca,'13(an)'!$AO$34,FALSE))</f>
        <v>573.9</v>
      </c>
      <c r="G37" s="6825">
        <f>+IF(D37="","",VLOOKUP(MATCH(D37,ca_id,0),ca,'13(an)'!$AQ$34,FALSE))</f>
        <v>352730</v>
      </c>
      <c r="H37" s="6819" t="str">
        <f>+IF(D37="","",IF(E37=1,VLOOKUP(MATCH(D37,ca_id,0),ca,'13(an)'!$IG$34,FALSE),""))</f>
        <v/>
      </c>
      <c r="I37" s="6819" t="str">
        <f>+IF(D37="","",IF(E37=1,VLOOKUP(MATCH(D37,ca_id,0),ca,'13(an)'!$II$34,FALSE),""))</f>
        <v/>
      </c>
      <c r="J37" s="6823">
        <f>+IF(D37="","",IF(E37=2,VLOOKUP(MATCH(D37,ca_id,0),ca,'13(an)'!$IG$34,FALSE),""))</f>
        <v>34.849276877504792</v>
      </c>
      <c r="K37" s="6827">
        <f>+IF(D37="","",IF(E37=2,VLOOKUP(MATCH(D37,ca_id,0),ca,'13(an)'!$II$34,FALSE),""))</f>
        <v>1.2805828820911179E-2</v>
      </c>
      <c r="L37" s="101">
        <f t="shared" si="4"/>
        <v>36.471509831593906</v>
      </c>
      <c r="M37" s="271"/>
      <c r="N37" s="271"/>
      <c r="O37" s="271"/>
      <c r="P37" s="271"/>
      <c r="Q37" s="271"/>
      <c r="R37" s="271"/>
      <c r="S37" s="271"/>
      <c r="T37" s="271"/>
      <c r="U37" s="271"/>
      <c r="V37" s="271"/>
      <c r="W37" s="271"/>
      <c r="X37" s="271"/>
      <c r="Y37" s="271"/>
      <c r="Z37" s="271"/>
      <c r="AA37" s="271"/>
      <c r="AB37" s="271"/>
      <c r="AC37" s="271"/>
      <c r="AD37" s="271"/>
      <c r="AE37" s="271"/>
      <c r="AF37" s="271"/>
    </row>
    <row r="38" spans="1:32">
      <c r="A38" s="271"/>
      <c r="B38" s="271"/>
      <c r="D38" s="7905" t="s">
        <v>2360</v>
      </c>
      <c r="E38" s="6808">
        <v>2</v>
      </c>
      <c r="F38" s="6821">
        <f>+F37</f>
        <v>573.9</v>
      </c>
      <c r="G38" s="6825">
        <f>+G37</f>
        <v>352730</v>
      </c>
      <c r="H38" s="6819" t="str">
        <f>+IF(D38="","",IF(E38=1,VLOOKUP(MATCH(D38,ca_id,0),ca,'13(an)'!$IG$34,FALSE),""))</f>
        <v/>
      </c>
      <c r="I38" s="6819" t="str">
        <f>+IF(D38="","",IF(E38=1,VLOOKUP(MATCH(D38,ca_id,0),ca,'13(an)'!$II$34,FALSE),""))</f>
        <v/>
      </c>
      <c r="J38" s="6823">
        <f>+IF(D38="","",IF(E38=2,VLOOKUP(MATCH(D38,ca_id,0),ca,'13(an)'!$IG$34,FALSE),""))</f>
        <v>34.849276877504792</v>
      </c>
      <c r="K38" s="6827">
        <f>+IF(D38="","",IF(E38=2,VLOOKUP(MATCH(D38,ca_id,0),ca,'13(an)'!$II$34,FALSE),""))</f>
        <v>0.39025600317523318</v>
      </c>
      <c r="L38" s="101">
        <f t="shared" si="4"/>
        <v>36.471509831593906</v>
      </c>
      <c r="M38" s="271"/>
      <c r="N38" s="271"/>
      <c r="O38" s="271"/>
      <c r="P38" s="271"/>
      <c r="Q38" s="271"/>
      <c r="R38" s="271"/>
      <c r="S38" s="271"/>
      <c r="T38" s="271"/>
      <c r="U38" s="271"/>
      <c r="V38" s="271"/>
      <c r="W38" s="271"/>
      <c r="X38" s="271"/>
      <c r="Y38" s="271"/>
      <c r="Z38" s="271"/>
      <c r="AA38" s="271"/>
      <c r="AB38" s="271"/>
      <c r="AC38" s="271"/>
      <c r="AD38" s="271"/>
      <c r="AE38" s="271"/>
      <c r="AF38" s="271"/>
    </row>
    <row r="39" spans="1:32">
      <c r="A39" s="271"/>
      <c r="B39" s="271"/>
      <c r="D39" s="1127" t="s">
        <v>2361</v>
      </c>
      <c r="E39" s="743">
        <v>2</v>
      </c>
      <c r="F39" s="6821">
        <f>+F38</f>
        <v>573.9</v>
      </c>
      <c r="G39" s="6825">
        <f>+G38</f>
        <v>352730</v>
      </c>
      <c r="H39" s="6819" t="str">
        <f>+IF(D39="","",IF(E39=1,VLOOKUP(MATCH(D39,ca_id,0),ca,'13(an)'!$IG$34,FALSE),""))</f>
        <v/>
      </c>
      <c r="I39" s="6819" t="str">
        <f>+IF(D39="","",IF(E39=1,VLOOKUP(MATCH(D39,ca_id,0),ca,'13(an)'!$II$34,FALSE),""))</f>
        <v/>
      </c>
      <c r="J39" s="6827">
        <f>+IF(D39="","",IF(E39=2,VLOOKUP(MATCH(D39,ca_id,0),ca,'13(an)'!$IG$34,FALSE),""))</f>
        <v>8.189580066213626</v>
      </c>
      <c r="K39" s="6827">
        <f>+IF(D39="","",IF(E39=2,VLOOKUP(MATCH(D39,ca_id,0),ca,'13(an)'!$II$34,FALSE),""))</f>
        <v>0.15995804156153431</v>
      </c>
      <c r="L39" s="101">
        <f t="shared" si="4"/>
        <v>36.471509831593906</v>
      </c>
      <c r="M39" s="271"/>
      <c r="N39" s="271"/>
      <c r="O39" s="271"/>
      <c r="P39" s="271"/>
      <c r="Q39" s="271"/>
      <c r="R39" s="271"/>
      <c r="S39" s="271"/>
      <c r="T39" s="271"/>
      <c r="U39" s="271"/>
      <c r="V39" s="271"/>
      <c r="W39" s="271"/>
      <c r="X39" s="271"/>
      <c r="Y39" s="271"/>
      <c r="Z39" s="271"/>
      <c r="AA39" s="271"/>
      <c r="AB39" s="271"/>
      <c r="AC39" s="271"/>
      <c r="AD39" s="271"/>
      <c r="AE39" s="271"/>
      <c r="AF39" s="271"/>
    </row>
    <row r="40" spans="1:32">
      <c r="A40" s="271"/>
      <c r="B40" s="271"/>
      <c r="D40" s="7905" t="s">
        <v>2362</v>
      </c>
      <c r="E40" s="6808">
        <v>2</v>
      </c>
      <c r="F40" s="6821">
        <f>+IF(D40="","",VLOOKUP(MATCH(D40,ca_id,0),ca,'13(an)'!$AO$34,FALSE))</f>
        <v>231.15</v>
      </c>
      <c r="G40" s="6825">
        <f>+IF(D40="","",VLOOKUP(MATCH(D40,ca_id,0),ca,'13(an)'!$AQ$34,FALSE))</f>
        <v>448035</v>
      </c>
      <c r="H40" s="6819" t="str">
        <f>+IF(D40="","",IF(E40=1,VLOOKUP(MATCH(D40,ca_id,0),ca,'13(an)'!$IG$34,FALSE),""))</f>
        <v/>
      </c>
      <c r="I40" s="6819" t="str">
        <f>+IF(D40="","",IF(E40=1,VLOOKUP(MATCH(D40,ca_id,0),ca,'13(an)'!$II$34,FALSE),""))</f>
        <v/>
      </c>
      <c r="J40" s="6823">
        <f>+IF(D40="","",IF(E40=2,VLOOKUP(MATCH(D40,ca_id,0),ca,'13(an)'!$IG$34,FALSE),""))</f>
        <v>86.523902227990476</v>
      </c>
      <c r="K40" s="6827">
        <f>+IF(D40="","",IF(E40=2,VLOOKUP(MATCH(D40,ca_id,0),ca,'13(an)'!$II$34,FALSE),""))</f>
        <v>0.36535538518196126</v>
      </c>
      <c r="L40" s="101">
        <f t="shared" si="4"/>
        <v>85.044268279430469</v>
      </c>
      <c r="M40" s="271"/>
      <c r="N40" s="271"/>
      <c r="O40" s="271"/>
      <c r="P40" s="271"/>
      <c r="Q40" s="271"/>
      <c r="R40" s="271"/>
      <c r="S40" s="271"/>
      <c r="T40" s="271"/>
      <c r="U40" s="271"/>
      <c r="V40" s="271"/>
      <c r="W40" s="271"/>
      <c r="X40" s="271"/>
      <c r="Y40" s="271"/>
      <c r="Z40" s="271"/>
      <c r="AA40" s="271"/>
      <c r="AB40" s="271"/>
      <c r="AC40" s="271"/>
      <c r="AD40" s="271"/>
      <c r="AE40" s="271"/>
      <c r="AF40" s="271"/>
    </row>
    <row r="41" spans="1:32">
      <c r="A41" s="271"/>
      <c r="B41" s="271"/>
      <c r="D41" s="1127" t="s">
        <v>2363</v>
      </c>
      <c r="E41" s="743">
        <v>2</v>
      </c>
      <c r="F41" s="6821">
        <f>+F40</f>
        <v>231.15</v>
      </c>
      <c r="G41" s="6825">
        <f>+G40</f>
        <v>448035</v>
      </c>
      <c r="H41" s="6819" t="str">
        <f>+IF(D41="","",IF(E41=1,VLOOKUP(MATCH(D41,ca_id,0),ca,'13(an)'!$IG$34,FALSE),""))</f>
        <v/>
      </c>
      <c r="I41" s="6819" t="str">
        <f>+IF(D41="","",IF(E41=1,VLOOKUP(MATCH(D41,ca_id,0),ca,'13(an)'!$II$34,FALSE),""))</f>
        <v/>
      </c>
      <c r="J41" s="6823">
        <f>+IF(D41="","",IF(E41=2,VLOOKUP(MATCH(D41,ca_id,0),ca,'13(an)'!$IG$34,FALSE),""))</f>
        <v>86.523902227990476</v>
      </c>
      <c r="K41" s="6827">
        <f>+IF(D41="","",IF(E41=2,VLOOKUP(MATCH(D41,ca_id,0),ca,'13(an)'!$II$34,FALSE),""))</f>
        <v>0.23508431260950596</v>
      </c>
      <c r="L41" s="101">
        <f t="shared" si="4"/>
        <v>85.044268279430469</v>
      </c>
      <c r="M41" s="271"/>
      <c r="N41" s="271"/>
      <c r="O41" s="271"/>
      <c r="P41" s="271"/>
      <c r="Q41" s="271"/>
      <c r="R41" s="271"/>
      <c r="S41" s="271"/>
      <c r="T41" s="271"/>
      <c r="U41" s="271"/>
      <c r="V41" s="271"/>
      <c r="W41" s="271"/>
      <c r="X41" s="271"/>
      <c r="Y41" s="271"/>
      <c r="Z41" s="271"/>
      <c r="AA41" s="271"/>
      <c r="AB41" s="271"/>
      <c r="AC41" s="271"/>
      <c r="AD41" s="271"/>
      <c r="AE41" s="271"/>
      <c r="AF41" s="271"/>
    </row>
    <row r="42" spans="1:32">
      <c r="A42" s="271"/>
      <c r="B42" s="271"/>
      <c r="D42" s="1127" t="s">
        <v>2364</v>
      </c>
      <c r="E42" s="743">
        <v>2</v>
      </c>
      <c r="F42" s="6821">
        <f>+F41</f>
        <v>231.15</v>
      </c>
      <c r="G42" s="6825">
        <f>+G41</f>
        <v>448035</v>
      </c>
      <c r="H42" s="6819" t="str">
        <f>+IF(D42="","",IF(E42=1,VLOOKUP(MATCH(D42,ca_id,0),ca,'13(an)'!$IG$34,FALSE),""))</f>
        <v/>
      </c>
      <c r="I42" s="6819" t="str">
        <f>+IF(D42="","",IF(E42=1,VLOOKUP(MATCH(D42,ca_id,0),ca,'13(an)'!$II$34,FALSE),""))</f>
        <v/>
      </c>
      <c r="J42" s="6823">
        <f>+IF(D42="","",IF(E42=2,VLOOKUP(MATCH(D42,ca_id,0),ca,'13(an)'!$IG$34,FALSE),""))</f>
        <v>86.523902227990476</v>
      </c>
      <c r="K42" s="6827">
        <f>+IF(D42="","",IF(E42=2,VLOOKUP(MATCH(D42,ca_id,0),ca,'13(an)'!$II$34,FALSE),""))</f>
        <v>0.10311248005178167</v>
      </c>
      <c r="L42" s="101">
        <f t="shared" si="4"/>
        <v>85.044268279430469</v>
      </c>
      <c r="M42" s="271"/>
      <c r="N42" s="271"/>
      <c r="O42" s="271"/>
      <c r="P42" s="271"/>
      <c r="Q42" s="271"/>
      <c r="R42" s="271"/>
      <c r="S42" s="271"/>
      <c r="T42" s="271"/>
      <c r="U42" s="271"/>
      <c r="V42" s="271"/>
      <c r="W42" s="271"/>
      <c r="X42" s="271"/>
      <c r="Y42" s="271"/>
      <c r="Z42" s="271"/>
      <c r="AA42" s="271"/>
      <c r="AB42" s="271"/>
      <c r="AC42" s="271"/>
      <c r="AD42" s="271"/>
      <c r="AE42" s="271"/>
      <c r="AF42" s="271"/>
    </row>
    <row r="43" spans="1:32">
      <c r="A43" s="271"/>
      <c r="B43" s="271"/>
      <c r="D43" s="7905" t="s">
        <v>2365</v>
      </c>
      <c r="E43" s="6808">
        <v>2</v>
      </c>
      <c r="F43" s="6821">
        <f>+IF(D43="","",VLOOKUP(MATCH(D43,ca_id,0),ca,'13(an)'!$AO$34,FALSE))</f>
        <v>418.45</v>
      </c>
      <c r="G43" s="6825">
        <f>+IF(D43="","",VLOOKUP(MATCH(D43,ca_id,0),ca,'13(an)'!$AQ$34,FALSE))</f>
        <v>299765</v>
      </c>
      <c r="H43" s="6819" t="str">
        <f>+IF(D43="","",IF(E43=1,VLOOKUP(MATCH(D43,ca_id,0),ca,'13(an)'!$IG$34,FALSE),""))</f>
        <v/>
      </c>
      <c r="I43" s="6819" t="str">
        <f>+IF(D43="","",IF(E43=1,VLOOKUP(MATCH(D43,ca_id,0),ca,'13(an)'!$II$34,FALSE),""))</f>
        <v/>
      </c>
      <c r="J43" s="6827">
        <f>+IF(D43="","",IF(E43=2,VLOOKUP(MATCH(D43,ca_id,0),ca,'13(an)'!$IG$34,FALSE),""))</f>
        <v>11.94885888397658</v>
      </c>
      <c r="K43" s="6827">
        <f>+IF(D43="","",IF(E43=2,VLOOKUP(MATCH(D43,ca_id,0),ca,'13(an)'!$II$34,FALSE),""))</f>
        <v>1.7823962103647856E-2</v>
      </c>
      <c r="L43" s="101">
        <f t="shared" si="4"/>
        <v>48.941818480366109</v>
      </c>
      <c r="M43" s="271"/>
      <c r="N43" s="271"/>
      <c r="O43" s="271"/>
      <c r="P43" s="271"/>
      <c r="Q43" s="271"/>
      <c r="R43" s="271"/>
      <c r="S43" s="271"/>
      <c r="T43" s="271"/>
      <c r="U43" s="271"/>
      <c r="V43" s="271"/>
      <c r="W43" s="271"/>
      <c r="X43" s="271"/>
      <c r="Y43" s="271"/>
      <c r="Z43" s="271"/>
      <c r="AA43" s="271"/>
      <c r="AB43" s="271"/>
      <c r="AC43" s="271"/>
      <c r="AD43" s="271"/>
      <c r="AE43" s="271"/>
      <c r="AF43" s="271"/>
    </row>
    <row r="44" spans="1:32">
      <c r="A44" s="271"/>
      <c r="B44" s="271"/>
      <c r="D44" s="1127" t="s">
        <v>2366</v>
      </c>
      <c r="E44" s="743">
        <v>2</v>
      </c>
      <c r="F44" s="6821">
        <f>+F43</f>
        <v>418.45</v>
      </c>
      <c r="G44" s="6825">
        <f>+G43</f>
        <v>299765</v>
      </c>
      <c r="H44" s="6819" t="str">
        <f>+IF(D44="","",IF(E44=1,VLOOKUP(MATCH(D44,ca_id,0),ca,'13(an)'!$IG$34,FALSE),""))</f>
        <v/>
      </c>
      <c r="I44" s="6819" t="str">
        <f>+IF(D44="","",IF(E44=1,VLOOKUP(MATCH(D44,ca_id,0),ca,'13(an)'!$II$34,FALSE),""))</f>
        <v/>
      </c>
      <c r="J44" s="6823">
        <f>+IF(D44="","",IF(E44=2,VLOOKUP(MATCH(D44,ca_id,0),ca,'13(an)'!$IG$34,FALSE),""))</f>
        <v>47.795435535906321</v>
      </c>
      <c r="K44" s="6827">
        <f>+IF(D44="","",IF(E44=2,VLOOKUP(MATCH(D44,ca_id,0),ca,'13(an)'!$II$34,FALSE),""))</f>
        <v>0.20757593448201092</v>
      </c>
      <c r="L44" s="101">
        <f t="shared" si="4"/>
        <v>48.941818480366109</v>
      </c>
      <c r="M44" s="271"/>
      <c r="N44" s="271"/>
      <c r="O44" s="271"/>
      <c r="P44" s="271"/>
      <c r="Q44" s="271"/>
      <c r="R44" s="271"/>
      <c r="S44" s="271"/>
      <c r="T44" s="271"/>
      <c r="U44" s="271"/>
      <c r="V44" s="271"/>
      <c r="W44" s="271"/>
      <c r="X44" s="271"/>
      <c r="Y44" s="271"/>
      <c r="Z44" s="271"/>
      <c r="AA44" s="271"/>
      <c r="AB44" s="271"/>
      <c r="AC44" s="271"/>
      <c r="AD44" s="271"/>
      <c r="AE44" s="271"/>
      <c r="AF44" s="271"/>
    </row>
    <row r="45" spans="1:32">
      <c r="A45" s="271"/>
      <c r="B45" s="271"/>
      <c r="D45" s="7905" t="s">
        <v>2367</v>
      </c>
      <c r="E45" s="6808">
        <v>2</v>
      </c>
      <c r="F45" s="6821">
        <f>+IF(D45="","",VLOOKUP(MATCH(D45,ca_id,0),ca,'13(an)'!$AO$34,FALSE))</f>
        <v>565.35</v>
      </c>
      <c r="G45" s="6825">
        <f>+IF(D45="","",VLOOKUP(MATCH(D45,ca_id,0),ca,'13(an)'!$AQ$34,FALSE))</f>
        <v>370125</v>
      </c>
      <c r="H45" s="6819" t="str">
        <f>+IF(D45="","",IF(E45=1,VLOOKUP(MATCH(D45,ca_id,0),ca,'13(an)'!$IG$34,FALSE),""))</f>
        <v/>
      </c>
      <c r="I45" s="6819" t="str">
        <f>+IF(D45="","",IF(E45=1,VLOOKUP(MATCH(D45,ca_id,0),ca,'13(an)'!$II$34,FALSE),""))</f>
        <v/>
      </c>
      <c r="J45" s="6827">
        <f>+IF(D45="","",IF(E45=2,VLOOKUP(MATCH(D45,ca_id,0),ca,'13(an)'!$IG$34,FALSE),""))</f>
        <v>8.8440788891836917</v>
      </c>
      <c r="K45" s="6827">
        <f>+IF(D45="","",IF(E45=2,VLOOKUP(MATCH(D45,ca_id,0),ca,'13(an)'!$II$34,FALSE),""))</f>
        <v>1.521918270854441E-2</v>
      </c>
      <c r="L45" s="101">
        <f t="shared" si="4"/>
        <v>36.984757161661172</v>
      </c>
      <c r="M45" s="271"/>
      <c r="N45" s="271"/>
      <c r="O45" s="271"/>
      <c r="P45" s="271"/>
      <c r="Q45" s="271"/>
      <c r="R45" s="271"/>
      <c r="S45" s="271"/>
      <c r="T45" s="271"/>
      <c r="U45" s="271"/>
      <c r="V45" s="271"/>
      <c r="W45" s="271"/>
      <c r="X45" s="271"/>
      <c r="Y45" s="271"/>
      <c r="Z45" s="271"/>
      <c r="AA45" s="271"/>
      <c r="AB45" s="271"/>
      <c r="AC45" s="271"/>
      <c r="AD45" s="271"/>
      <c r="AE45" s="271"/>
      <c r="AF45" s="271"/>
    </row>
    <row r="46" spans="1:32">
      <c r="A46" s="271"/>
      <c r="B46" s="271"/>
      <c r="D46" s="1127" t="s">
        <v>2368</v>
      </c>
      <c r="E46" s="743">
        <v>2</v>
      </c>
      <c r="F46" s="6822">
        <f>+F45</f>
        <v>565.35</v>
      </c>
      <c r="G46" s="6826">
        <f>+G45</f>
        <v>370125</v>
      </c>
      <c r="H46" s="6820" t="str">
        <f>+IF(D46="","",IF(E46=1,VLOOKUP(MATCH(D46,ca_id,0),ca,'13(an)'!$IG$34,FALSE),""))</f>
        <v/>
      </c>
      <c r="I46" s="6820" t="str">
        <f>+IF(D46="","",IF(E46=1,VLOOKUP(MATCH(D46,ca_id,0),ca,'13(an)'!$II$34,FALSE),""))</f>
        <v/>
      </c>
      <c r="J46" s="6824">
        <f>+IF(D46="","",IF(E46=2,VLOOKUP(MATCH(D46,ca_id,0),ca,'13(an)'!$IG$34,FALSE),""))</f>
        <v>35.376315556734767</v>
      </c>
      <c r="K46" s="6828">
        <f>+IF(D46="","",IF(E46=2,VLOOKUP(MATCH(D46,ca_id,0),ca,'13(an)'!$II$34,FALSE),""))</f>
        <v>0.21855859506923336</v>
      </c>
      <c r="L46" s="101">
        <f t="shared" si="4"/>
        <v>36.984757161661172</v>
      </c>
      <c r="M46" s="271"/>
      <c r="N46" s="271"/>
      <c r="O46" s="271"/>
      <c r="P46" s="271"/>
      <c r="Q46" s="271"/>
      <c r="R46" s="271"/>
      <c r="S46" s="271"/>
      <c r="T46" s="271"/>
      <c r="U46" s="271"/>
      <c r="V46" s="271"/>
      <c r="W46" s="271"/>
      <c r="X46" s="271"/>
      <c r="Y46" s="271"/>
      <c r="Z46" s="271"/>
      <c r="AA46" s="271"/>
      <c r="AB46" s="271"/>
      <c r="AC46" s="271"/>
      <c r="AD46" s="271"/>
      <c r="AE46" s="271"/>
      <c r="AF46" s="271"/>
    </row>
    <row r="47" spans="1:32">
      <c r="A47" s="271"/>
      <c r="B47" s="271"/>
      <c r="D47" s="271"/>
      <c r="F47" s="271"/>
      <c r="G47" s="271"/>
      <c r="H47" s="101">
        <f>+AVERAGE(H21,H22,H23,H27)</f>
        <v>249.92810511959863</v>
      </c>
      <c r="I47" s="101">
        <f>+AVERAGE(I21,I22,I23,I27)</f>
        <v>6.5775121495462212</v>
      </c>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row>
    <row r="48" spans="1:32">
      <c r="A48" s="271"/>
      <c r="B48" s="271"/>
      <c r="D48" s="271" t="s">
        <v>2423</v>
      </c>
      <c r="F48" s="271"/>
      <c r="G48" s="271"/>
      <c r="H48" s="101">
        <f>+AVERAGE(H21:H27)</f>
        <v>258.75685187301997</v>
      </c>
      <c r="I48" s="101">
        <f>+AVERAGE(I21:I25,I27)</f>
        <v>7.0047983167989711</v>
      </c>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row>
    <row r="49" spans="1:32">
      <c r="A49" s="271"/>
      <c r="B49" s="271"/>
      <c r="D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row>
    <row r="50" spans="1:32">
      <c r="A50" s="271"/>
      <c r="B50" s="271"/>
      <c r="D50" s="271"/>
      <c r="F50" s="6817"/>
      <c r="G50" s="6818">
        <v>4855</v>
      </c>
      <c r="H50" s="6819" t="s">
        <v>939</v>
      </c>
      <c r="I50" s="6819" t="s">
        <v>939</v>
      </c>
      <c r="J50" s="6819"/>
      <c r="K50" s="6819">
        <v>2.0543769309989703</v>
      </c>
      <c r="L50" s="271"/>
      <c r="M50" s="271"/>
      <c r="N50" s="271"/>
      <c r="O50" s="271"/>
      <c r="P50" s="271"/>
      <c r="Q50" s="271"/>
      <c r="R50" s="271"/>
      <c r="S50" s="271"/>
      <c r="T50" s="271"/>
      <c r="U50" s="271"/>
      <c r="V50" s="271"/>
      <c r="W50" s="271"/>
      <c r="X50" s="271"/>
      <c r="Y50" s="271"/>
      <c r="Z50" s="271"/>
      <c r="AA50" s="271"/>
      <c r="AB50" s="271"/>
      <c r="AC50" s="271"/>
      <c r="AD50" s="271"/>
      <c r="AE50" s="271"/>
      <c r="AF50" s="271"/>
    </row>
    <row r="51" spans="1:32">
      <c r="A51" s="271"/>
      <c r="B51" s="271"/>
      <c r="D51" s="271"/>
      <c r="F51" s="6817"/>
      <c r="G51" s="6818">
        <v>31287.5</v>
      </c>
      <c r="H51" s="6819" t="s">
        <v>939</v>
      </c>
      <c r="I51" s="6819" t="s">
        <v>939</v>
      </c>
      <c r="J51" s="6819"/>
      <c r="K51" s="6819">
        <v>0.82998002397123449</v>
      </c>
      <c r="L51" s="271"/>
      <c r="M51" s="271"/>
      <c r="N51" s="271"/>
      <c r="O51" s="271"/>
      <c r="P51" s="271"/>
      <c r="Q51" s="271"/>
      <c r="R51" s="271"/>
      <c r="S51" s="271"/>
      <c r="T51" s="271"/>
      <c r="U51" s="271"/>
      <c r="V51" s="271"/>
      <c r="W51" s="271"/>
      <c r="X51" s="271"/>
      <c r="Y51" s="271"/>
      <c r="Z51" s="271"/>
      <c r="AA51" s="271"/>
      <c r="AB51" s="271"/>
      <c r="AC51" s="271"/>
      <c r="AD51" s="271"/>
      <c r="AE51" s="271"/>
      <c r="AF51" s="271"/>
    </row>
    <row r="52" spans="1:32">
      <c r="A52" s="271"/>
      <c r="B52" s="271"/>
      <c r="D52" s="271"/>
      <c r="F52" s="6821">
        <v>235.95</v>
      </c>
      <c r="G52" s="6818" t="s">
        <v>939</v>
      </c>
      <c r="H52" s="6819" t="s">
        <v>939</v>
      </c>
      <c r="I52" s="6819" t="s">
        <v>939</v>
      </c>
      <c r="J52" s="6823">
        <v>84.763721127357499</v>
      </c>
      <c r="K52" s="6819"/>
      <c r="L52" s="271"/>
      <c r="M52" s="271"/>
      <c r="N52" s="271"/>
      <c r="O52" s="271"/>
      <c r="P52" s="271"/>
      <c r="Q52" s="271"/>
      <c r="R52" s="271"/>
      <c r="S52" s="271"/>
      <c r="T52" s="271"/>
      <c r="U52" s="271"/>
      <c r="V52" s="271"/>
      <c r="W52" s="271"/>
      <c r="X52" s="271"/>
      <c r="Y52" s="271"/>
      <c r="Z52" s="271"/>
      <c r="AA52" s="271"/>
      <c r="AB52" s="271"/>
      <c r="AC52" s="271"/>
      <c r="AD52" s="271"/>
      <c r="AE52" s="271"/>
      <c r="AF52" s="271"/>
    </row>
    <row r="53" spans="1:32">
      <c r="A53" s="271"/>
      <c r="B53" s="271"/>
      <c r="D53" s="271"/>
      <c r="F53" s="6821">
        <v>1331.1</v>
      </c>
      <c r="G53" s="6825">
        <v>1017740</v>
      </c>
      <c r="H53" s="6819" t="s">
        <v>939</v>
      </c>
      <c r="I53" s="6819" t="s">
        <v>939</v>
      </c>
      <c r="J53" s="6823">
        <v>18.781458943730751</v>
      </c>
      <c r="K53" s="6827">
        <v>0.14511270068976359</v>
      </c>
      <c r="L53" s="271"/>
      <c r="M53" s="271"/>
      <c r="N53" s="271"/>
      <c r="O53" s="271"/>
      <c r="P53" s="271"/>
      <c r="Q53" s="271"/>
      <c r="R53" s="271"/>
      <c r="S53" s="271"/>
      <c r="T53" s="271"/>
      <c r="U53" s="271"/>
      <c r="V53" s="271"/>
      <c r="W53" s="271"/>
      <c r="X53" s="271"/>
      <c r="Y53" s="271"/>
      <c r="Z53" s="271"/>
      <c r="AA53" s="271"/>
      <c r="AB53" s="271"/>
      <c r="AC53" s="271"/>
      <c r="AD53" s="271"/>
      <c r="AE53" s="271"/>
      <c r="AF53" s="271"/>
    </row>
    <row r="54" spans="1:32">
      <c r="A54" s="271"/>
      <c r="B54" s="271"/>
      <c r="D54" s="271"/>
      <c r="F54" s="6821">
        <v>1331.1</v>
      </c>
      <c r="G54" s="6825">
        <v>1017740</v>
      </c>
      <c r="H54" s="6819" t="s">
        <v>939</v>
      </c>
      <c r="I54" s="6819" t="s">
        <v>939</v>
      </c>
      <c r="J54" s="6823"/>
      <c r="K54" s="6827">
        <v>0.15268437911450861</v>
      </c>
      <c r="L54" s="271"/>
      <c r="M54" s="271"/>
      <c r="N54" s="271"/>
      <c r="O54" s="271"/>
      <c r="P54" s="271"/>
      <c r="Q54" s="271"/>
      <c r="R54" s="271"/>
      <c r="S54" s="271"/>
      <c r="T54" s="271"/>
      <c r="U54" s="271"/>
      <c r="V54" s="271"/>
      <c r="W54" s="271"/>
      <c r="X54" s="271"/>
      <c r="Y54" s="271"/>
      <c r="Z54" s="271"/>
      <c r="AA54" s="271"/>
      <c r="AB54" s="271"/>
      <c r="AC54" s="271"/>
      <c r="AD54" s="271"/>
      <c r="AE54" s="271"/>
      <c r="AF54" s="271"/>
    </row>
    <row r="55" spans="1:32">
      <c r="A55" s="271"/>
      <c r="B55" s="271"/>
      <c r="D55" s="271"/>
      <c r="F55" s="6821">
        <v>731.05</v>
      </c>
      <c r="G55" s="6825">
        <v>1233270</v>
      </c>
      <c r="H55" s="6819" t="s">
        <v>939</v>
      </c>
      <c r="I55" s="6819" t="s">
        <v>939</v>
      </c>
      <c r="J55" s="6827"/>
      <c r="K55" s="6827">
        <v>0.2759484946524281</v>
      </c>
      <c r="L55" s="271"/>
      <c r="M55" s="271"/>
      <c r="N55" s="271"/>
      <c r="O55" s="271"/>
      <c r="P55" s="271"/>
      <c r="Q55" s="271"/>
      <c r="R55" s="271"/>
      <c r="S55" s="271"/>
      <c r="T55" s="271"/>
      <c r="U55" s="271"/>
      <c r="V55" s="271"/>
      <c r="W55" s="271"/>
      <c r="X55" s="271"/>
      <c r="Y55" s="271"/>
      <c r="Z55" s="271"/>
      <c r="AA55" s="271"/>
      <c r="AB55" s="271"/>
      <c r="AC55" s="271"/>
      <c r="AD55" s="271"/>
      <c r="AE55" s="271"/>
      <c r="AF55" s="271"/>
    </row>
    <row r="56" spans="1:32">
      <c r="A56" s="271"/>
      <c r="B56" s="271"/>
      <c r="D56" s="271"/>
      <c r="F56" s="6821">
        <v>731.05</v>
      </c>
      <c r="G56" s="6825">
        <v>1233270</v>
      </c>
      <c r="H56" s="6819" t="s">
        <v>939</v>
      </c>
      <c r="I56" s="6819" t="s">
        <v>939</v>
      </c>
      <c r="J56" s="6823">
        <v>27.357909855687026</v>
      </c>
      <c r="K56" s="6827">
        <v>0.1500441914584803</v>
      </c>
      <c r="L56" s="271"/>
      <c r="M56" s="271"/>
      <c r="N56" s="271"/>
      <c r="O56" s="271"/>
      <c r="P56" s="271"/>
      <c r="Q56" s="271"/>
      <c r="R56" s="271"/>
      <c r="S56" s="271"/>
      <c r="T56" s="271"/>
      <c r="U56" s="271"/>
      <c r="V56" s="271"/>
      <c r="W56" s="271"/>
      <c r="X56" s="271"/>
      <c r="Y56" s="271"/>
      <c r="Z56" s="271"/>
      <c r="AA56" s="271"/>
      <c r="AB56" s="271"/>
      <c r="AC56" s="271"/>
      <c r="AD56" s="271"/>
      <c r="AE56" s="271"/>
      <c r="AF56" s="271"/>
    </row>
    <row r="57" spans="1:32">
      <c r="A57" s="271"/>
      <c r="B57" s="271"/>
      <c r="D57" s="271"/>
      <c r="F57" s="6821">
        <v>243.6</v>
      </c>
      <c r="G57" s="6825">
        <v>557770</v>
      </c>
      <c r="H57" s="6819" t="s">
        <v>939</v>
      </c>
      <c r="I57" s="6819" t="s">
        <v>939</v>
      </c>
      <c r="J57" s="6823">
        <v>82.101806239737272</v>
      </c>
      <c r="K57" s="6827">
        <v>0.29172598024275237</v>
      </c>
      <c r="L57" s="271"/>
      <c r="M57" s="271"/>
      <c r="N57" s="271"/>
      <c r="O57" s="271"/>
      <c r="P57" s="271"/>
      <c r="Q57" s="271"/>
      <c r="R57" s="271"/>
      <c r="S57" s="271"/>
      <c r="T57" s="271"/>
      <c r="U57" s="271"/>
      <c r="V57" s="271"/>
      <c r="W57" s="271"/>
      <c r="X57" s="271"/>
      <c r="Y57" s="271"/>
      <c r="Z57" s="271"/>
      <c r="AA57" s="271"/>
      <c r="AB57" s="271"/>
      <c r="AC57" s="271"/>
      <c r="AD57" s="271"/>
      <c r="AE57" s="271"/>
      <c r="AF57" s="271"/>
    </row>
    <row r="58" spans="1:32">
      <c r="A58" s="271"/>
      <c r="B58" s="271"/>
      <c r="D58" s="271"/>
      <c r="F58" s="6821">
        <v>243.6</v>
      </c>
      <c r="G58" s="6825">
        <v>557770</v>
      </c>
      <c r="H58" s="6819" t="s">
        <v>939</v>
      </c>
      <c r="I58" s="6819" t="s">
        <v>939</v>
      </c>
      <c r="J58" s="6823">
        <v>82.101806239737272</v>
      </c>
      <c r="K58" s="6827">
        <v>0.19488319558240852</v>
      </c>
      <c r="L58" s="271"/>
      <c r="M58" s="271"/>
      <c r="N58" s="271"/>
      <c r="O58" s="271"/>
      <c r="P58" s="271"/>
      <c r="Q58" s="271"/>
      <c r="R58" s="271"/>
      <c r="S58" s="271"/>
      <c r="T58" s="271"/>
      <c r="U58" s="271"/>
      <c r="V58" s="271"/>
      <c r="W58" s="271"/>
      <c r="X58" s="271"/>
      <c r="Y58" s="271"/>
      <c r="Z58" s="271"/>
      <c r="AA58" s="271"/>
      <c r="AB58" s="271"/>
      <c r="AC58" s="271"/>
      <c r="AD58" s="271"/>
      <c r="AE58" s="271"/>
      <c r="AF58" s="271"/>
    </row>
    <row r="59" spans="1:32">
      <c r="A59" s="271"/>
      <c r="B59" s="271"/>
      <c r="D59" s="271"/>
      <c r="F59" s="6821">
        <v>243.6</v>
      </c>
      <c r="G59" s="6825">
        <v>557770</v>
      </c>
      <c r="H59" s="6819" t="s">
        <v>939</v>
      </c>
      <c r="I59" s="6819" t="s">
        <v>939</v>
      </c>
      <c r="J59" s="6823">
        <v>82.101806239737272</v>
      </c>
      <c r="K59" s="6827">
        <v>8.5954784230058978E-2</v>
      </c>
      <c r="L59" s="271"/>
      <c r="M59" s="271"/>
      <c r="N59" s="271"/>
      <c r="O59" s="271"/>
      <c r="P59" s="271"/>
      <c r="Q59" s="271"/>
      <c r="R59" s="271"/>
      <c r="S59" s="271"/>
      <c r="T59" s="271"/>
      <c r="U59" s="271"/>
      <c r="V59" s="271"/>
      <c r="W59" s="271"/>
      <c r="X59" s="271"/>
      <c r="Y59" s="271"/>
      <c r="Z59" s="271"/>
      <c r="AA59" s="271"/>
      <c r="AB59" s="271"/>
      <c r="AC59" s="271"/>
      <c r="AD59" s="271"/>
      <c r="AE59" s="271"/>
      <c r="AF59" s="271"/>
    </row>
    <row r="60" spans="1:32">
      <c r="A60" s="271"/>
      <c r="B60" s="271"/>
      <c r="D60" s="271"/>
      <c r="F60" s="6821">
        <v>573.9</v>
      </c>
      <c r="G60" s="6825">
        <v>352730</v>
      </c>
      <c r="H60" s="6819" t="s">
        <v>939</v>
      </c>
      <c r="I60" s="6819" t="s">
        <v>939</v>
      </c>
      <c r="J60" s="6823">
        <v>34.849276877504792</v>
      </c>
      <c r="K60" s="6830">
        <v>1.2805828820911179E-2</v>
      </c>
      <c r="L60" s="271"/>
      <c r="M60" s="271"/>
      <c r="N60" s="271"/>
      <c r="O60" s="271"/>
      <c r="P60" s="271"/>
      <c r="Q60" s="271"/>
      <c r="R60" s="271"/>
      <c r="S60" s="271"/>
      <c r="T60" s="271"/>
      <c r="U60" s="271"/>
      <c r="V60" s="271"/>
      <c r="W60" s="271"/>
      <c r="X60" s="271"/>
      <c r="Y60" s="271"/>
      <c r="Z60" s="271"/>
      <c r="AA60" s="271"/>
      <c r="AB60" s="271"/>
      <c r="AC60" s="271"/>
      <c r="AD60" s="271"/>
      <c r="AE60" s="271"/>
      <c r="AF60" s="271"/>
    </row>
    <row r="61" spans="1:32">
      <c r="A61" s="271"/>
      <c r="B61" s="271"/>
      <c r="D61" s="271"/>
      <c r="F61" s="6821">
        <v>573.9</v>
      </c>
      <c r="G61" s="6825">
        <v>352730</v>
      </c>
      <c r="H61" s="6819" t="s">
        <v>939</v>
      </c>
      <c r="I61" s="6819" t="s">
        <v>939</v>
      </c>
      <c r="J61" s="6823">
        <v>34.849276877504792</v>
      </c>
      <c r="K61" s="6829">
        <v>0.39025600317523318</v>
      </c>
      <c r="L61" s="271"/>
      <c r="M61" s="271"/>
      <c r="N61" s="271"/>
      <c r="O61" s="271"/>
      <c r="P61" s="271"/>
      <c r="Q61" s="271"/>
      <c r="R61" s="271"/>
      <c r="S61" s="271"/>
      <c r="T61" s="271"/>
      <c r="U61" s="271"/>
      <c r="V61" s="271"/>
      <c r="W61" s="271"/>
      <c r="X61" s="271"/>
      <c r="Y61" s="271"/>
      <c r="Z61" s="271"/>
      <c r="AA61" s="271"/>
      <c r="AB61" s="271"/>
      <c r="AC61" s="271"/>
      <c r="AD61" s="271"/>
      <c r="AE61" s="271"/>
      <c r="AF61" s="271"/>
    </row>
    <row r="62" spans="1:32">
      <c r="A62" s="271"/>
      <c r="B62" s="271"/>
      <c r="D62" s="271"/>
      <c r="F62" s="6821">
        <v>573.9</v>
      </c>
      <c r="G62" s="6825">
        <v>352730</v>
      </c>
      <c r="H62" s="6819" t="s">
        <v>939</v>
      </c>
      <c r="I62" s="6819" t="s">
        <v>939</v>
      </c>
      <c r="J62" s="6827"/>
      <c r="K62" s="6827">
        <v>0.15995804156153431</v>
      </c>
      <c r="L62" s="271"/>
      <c r="M62" s="271"/>
      <c r="N62" s="271"/>
      <c r="O62" s="271"/>
      <c r="P62" s="271"/>
      <c r="Q62" s="271"/>
      <c r="R62" s="271"/>
      <c r="S62" s="271"/>
      <c r="T62" s="271"/>
      <c r="U62" s="271"/>
      <c r="V62" s="271"/>
      <c r="W62" s="271"/>
      <c r="X62" s="271"/>
      <c r="Y62" s="271"/>
      <c r="Z62" s="271"/>
      <c r="AA62" s="271"/>
      <c r="AB62" s="271"/>
      <c r="AC62" s="271"/>
      <c r="AD62" s="271"/>
      <c r="AE62" s="271"/>
      <c r="AF62" s="271"/>
    </row>
    <row r="63" spans="1:32">
      <c r="A63" s="271"/>
      <c r="B63" s="271"/>
      <c r="D63" s="271"/>
      <c r="F63" s="6821">
        <v>231.15</v>
      </c>
      <c r="G63" s="6825">
        <v>448035</v>
      </c>
      <c r="H63" s="6819" t="s">
        <v>939</v>
      </c>
      <c r="I63" s="6819" t="s">
        <v>939</v>
      </c>
      <c r="J63" s="6823">
        <v>86.523902227990476</v>
      </c>
      <c r="K63" s="6829">
        <v>0.36535538518196126</v>
      </c>
      <c r="L63" s="271"/>
      <c r="M63" s="271"/>
      <c r="N63" s="271"/>
      <c r="O63" s="271"/>
      <c r="P63" s="271"/>
      <c r="Q63" s="271"/>
      <c r="R63" s="271"/>
      <c r="S63" s="271"/>
      <c r="T63" s="271"/>
      <c r="U63" s="271"/>
      <c r="V63" s="271"/>
      <c r="W63" s="271"/>
      <c r="X63" s="271"/>
      <c r="Y63" s="271"/>
      <c r="Z63" s="271"/>
      <c r="AA63" s="271"/>
      <c r="AB63" s="271"/>
      <c r="AC63" s="271"/>
      <c r="AD63" s="271"/>
      <c r="AE63" s="271"/>
      <c r="AF63" s="271"/>
    </row>
    <row r="64" spans="1:32">
      <c r="A64" s="271"/>
      <c r="B64" s="271"/>
      <c r="D64" s="271"/>
      <c r="F64" s="6821">
        <v>231.15</v>
      </c>
      <c r="G64" s="6825">
        <v>448035</v>
      </c>
      <c r="H64" s="6819" t="s">
        <v>939</v>
      </c>
      <c r="I64" s="6819" t="s">
        <v>939</v>
      </c>
      <c r="J64" s="6823">
        <v>86.523902227990476</v>
      </c>
      <c r="K64" s="6827">
        <v>0.23508431260950596</v>
      </c>
      <c r="L64" s="271"/>
      <c r="M64" s="271"/>
      <c r="N64" s="271"/>
      <c r="O64" s="271"/>
      <c r="P64" s="271"/>
      <c r="Q64" s="271"/>
      <c r="R64" s="271"/>
      <c r="S64" s="271"/>
      <c r="T64" s="271"/>
      <c r="U64" s="271"/>
      <c r="V64" s="271"/>
      <c r="W64" s="271"/>
      <c r="X64" s="271"/>
      <c r="Y64" s="271"/>
      <c r="Z64" s="271"/>
      <c r="AA64" s="271"/>
      <c r="AB64" s="271"/>
      <c r="AC64" s="271"/>
      <c r="AD64" s="271"/>
      <c r="AE64" s="271"/>
      <c r="AF64" s="271"/>
    </row>
    <row r="65" spans="1:32">
      <c r="A65" s="271"/>
      <c r="B65" s="271"/>
      <c r="D65" s="271"/>
      <c r="F65" s="6821">
        <v>231.15</v>
      </c>
      <c r="G65" s="6825">
        <v>448035</v>
      </c>
      <c r="H65" s="6819" t="s">
        <v>939</v>
      </c>
      <c r="I65" s="6819" t="s">
        <v>939</v>
      </c>
      <c r="J65" s="6823">
        <v>86.523902227990476</v>
      </c>
      <c r="K65" s="6827">
        <v>0.10311248005178167</v>
      </c>
      <c r="L65" s="271"/>
      <c r="M65" s="271"/>
      <c r="N65" s="271"/>
      <c r="O65" s="271"/>
      <c r="P65" s="271"/>
      <c r="Q65" s="271"/>
      <c r="R65" s="271"/>
      <c r="S65" s="271"/>
      <c r="T65" s="271"/>
      <c r="U65" s="271"/>
      <c r="V65" s="271"/>
      <c r="W65" s="271"/>
      <c r="X65" s="271"/>
      <c r="Y65" s="271"/>
      <c r="Z65" s="271"/>
      <c r="AA65" s="271"/>
      <c r="AB65" s="271"/>
      <c r="AC65" s="271"/>
      <c r="AD65" s="271"/>
      <c r="AE65" s="271"/>
      <c r="AF65" s="271"/>
    </row>
    <row r="66" spans="1:32">
      <c r="A66" s="271"/>
      <c r="B66" s="271"/>
      <c r="D66" s="271"/>
      <c r="F66" s="6821">
        <v>418.45</v>
      </c>
      <c r="G66" s="6825">
        <v>299765</v>
      </c>
      <c r="H66" s="6819" t="s">
        <v>939</v>
      </c>
      <c r="I66" s="6819" t="s">
        <v>939</v>
      </c>
      <c r="J66" s="6827"/>
      <c r="K66" s="6830">
        <v>1.7823962103647856E-2</v>
      </c>
      <c r="L66" s="271"/>
      <c r="M66" s="271"/>
      <c r="N66" s="271"/>
      <c r="O66" s="271"/>
      <c r="P66" s="271"/>
      <c r="Q66" s="271"/>
      <c r="R66" s="271"/>
      <c r="S66" s="271"/>
      <c r="T66" s="271"/>
      <c r="U66" s="271"/>
      <c r="V66" s="271"/>
      <c r="W66" s="271"/>
      <c r="X66" s="271"/>
      <c r="Y66" s="271"/>
      <c r="Z66" s="271"/>
      <c r="AA66" s="271"/>
      <c r="AB66" s="271"/>
      <c r="AC66" s="271"/>
      <c r="AD66" s="271"/>
      <c r="AE66" s="271"/>
      <c r="AF66" s="271"/>
    </row>
    <row r="67" spans="1:32">
      <c r="A67" s="271"/>
      <c r="B67" s="271"/>
      <c r="D67" s="271"/>
      <c r="F67" s="6821">
        <v>418.45</v>
      </c>
      <c r="G67" s="6825">
        <v>299765</v>
      </c>
      <c r="H67" s="6819" t="s">
        <v>939</v>
      </c>
      <c r="I67" s="6819" t="s">
        <v>939</v>
      </c>
      <c r="J67" s="6823">
        <v>47.795435535906321</v>
      </c>
      <c r="K67" s="6827">
        <v>0.20757593448201092</v>
      </c>
      <c r="L67" s="271"/>
      <c r="M67" s="271"/>
      <c r="N67" s="271"/>
      <c r="O67" s="271"/>
      <c r="P67" s="271"/>
      <c r="Q67" s="271"/>
      <c r="R67" s="271"/>
      <c r="S67" s="271"/>
      <c r="T67" s="271"/>
      <c r="U67" s="271"/>
      <c r="V67" s="271"/>
      <c r="W67" s="271"/>
      <c r="X67" s="271"/>
      <c r="Y67" s="271"/>
      <c r="Z67" s="271"/>
      <c r="AA67" s="271"/>
      <c r="AB67" s="271"/>
      <c r="AC67" s="271"/>
      <c r="AD67" s="271"/>
      <c r="AE67" s="271"/>
      <c r="AF67" s="271"/>
    </row>
    <row r="68" spans="1:32">
      <c r="A68" s="271"/>
      <c r="B68" s="271"/>
      <c r="D68" s="271"/>
      <c r="F68" s="6821">
        <v>565.35</v>
      </c>
      <c r="G68" s="6825">
        <v>370125</v>
      </c>
      <c r="H68" s="6819" t="s">
        <v>939</v>
      </c>
      <c r="I68" s="6819" t="s">
        <v>939</v>
      </c>
      <c r="J68" s="6827"/>
      <c r="K68" s="6830">
        <v>1.521918270854441E-2</v>
      </c>
      <c r="L68" s="271"/>
      <c r="M68" s="271"/>
      <c r="N68" s="271"/>
      <c r="O68" s="271"/>
      <c r="P68" s="271"/>
      <c r="Q68" s="271"/>
      <c r="R68" s="271"/>
      <c r="S68" s="271"/>
      <c r="T68" s="271"/>
      <c r="U68" s="271"/>
      <c r="V68" s="271"/>
      <c r="W68" s="271"/>
      <c r="X68" s="271"/>
      <c r="Y68" s="271"/>
      <c r="Z68" s="271"/>
      <c r="AA68" s="271"/>
      <c r="AB68" s="271"/>
      <c r="AC68" s="271"/>
      <c r="AD68" s="271"/>
      <c r="AE68" s="271"/>
      <c r="AF68" s="271"/>
    </row>
    <row r="69" spans="1:32">
      <c r="A69" s="271"/>
      <c r="B69" s="271"/>
      <c r="D69" s="271"/>
      <c r="F69" s="6822">
        <v>565.35</v>
      </c>
      <c r="G69" s="6826">
        <v>370125</v>
      </c>
      <c r="H69" s="6820" t="s">
        <v>939</v>
      </c>
      <c r="I69" s="6820" t="s">
        <v>939</v>
      </c>
      <c r="J69" s="6824">
        <v>35.376315556734767</v>
      </c>
      <c r="K69" s="6828">
        <v>0.21855859506923336</v>
      </c>
      <c r="L69" s="271"/>
      <c r="M69" s="271"/>
      <c r="N69" s="271"/>
      <c r="O69" s="271"/>
      <c r="P69" s="271"/>
      <c r="Q69" s="271"/>
      <c r="R69" s="271"/>
      <c r="S69" s="271"/>
      <c r="T69" s="271"/>
      <c r="U69" s="271"/>
      <c r="V69" s="271"/>
      <c r="W69" s="271"/>
      <c r="X69" s="271"/>
      <c r="Y69" s="271"/>
      <c r="Z69" s="271"/>
      <c r="AA69" s="271"/>
      <c r="AB69" s="271"/>
      <c r="AC69" s="271"/>
      <c r="AD69" s="271"/>
      <c r="AE69" s="271"/>
      <c r="AF69" s="271"/>
    </row>
    <row r="70" spans="1:32">
      <c r="A70" s="271"/>
      <c r="B70" s="271"/>
      <c r="D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row>
    <row r="71" spans="1:32">
      <c r="A71" s="271"/>
      <c r="B71" s="271"/>
      <c r="D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row>
    <row r="72" spans="1:32">
      <c r="A72" s="271"/>
      <c r="B72" s="271"/>
      <c r="D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row>
    <row r="73" spans="1:32">
      <c r="A73" s="271"/>
      <c r="B73" s="271"/>
      <c r="D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row>
    <row r="74" spans="1:32">
      <c r="A74" s="271"/>
      <c r="B74" s="271"/>
      <c r="D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row>
    <row r="75" spans="1:32">
      <c r="A75" s="271"/>
      <c r="B75" s="271"/>
      <c r="D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row>
    <row r="76" spans="1:32">
      <c r="A76" s="271"/>
      <c r="B76" s="271"/>
      <c r="D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row>
    <row r="77" spans="1:32">
      <c r="A77" s="271"/>
      <c r="B77" s="271"/>
      <c r="D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row>
    <row r="78" spans="1:32">
      <c r="A78" s="271"/>
      <c r="B78" s="271"/>
      <c r="D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row>
    <row r="79" spans="1:32">
      <c r="A79" s="271"/>
      <c r="B79" s="271"/>
      <c r="D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row>
    <row r="80" spans="1:32">
      <c r="A80" s="271"/>
      <c r="B80" s="271"/>
      <c r="D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row>
    <row r="81" spans="1:32">
      <c r="A81" s="271"/>
      <c r="B81" s="271"/>
      <c r="D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row>
    <row r="82" spans="1:32">
      <c r="A82" s="271"/>
      <c r="B82" s="271"/>
      <c r="D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row>
    <row r="83" spans="1:32">
      <c r="A83" s="271"/>
      <c r="B83" s="271"/>
      <c r="D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row>
    <row r="84" spans="1:32">
      <c r="A84" s="271"/>
      <c r="B84" s="271"/>
      <c r="D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row>
    <row r="85" spans="1:32">
      <c r="A85" s="271"/>
      <c r="B85" s="271"/>
      <c r="D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row>
    <row r="86" spans="1:32">
      <c r="A86" s="271"/>
      <c r="B86" s="271"/>
      <c r="D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row>
    <row r="87" spans="1:32">
      <c r="A87" s="271"/>
      <c r="B87" s="271"/>
      <c r="D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row>
    <row r="88" spans="1:32">
      <c r="A88" s="271"/>
      <c r="B88" s="271"/>
      <c r="D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row>
    <row r="89" spans="1:32">
      <c r="A89" s="271"/>
      <c r="B89" s="271"/>
      <c r="D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row>
    <row r="90" spans="1:32">
      <c r="A90" s="271"/>
      <c r="B90" s="271"/>
      <c r="D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row>
    <row r="91" spans="1:32">
      <c r="A91" s="271"/>
      <c r="B91" s="271"/>
      <c r="D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row>
    <row r="92" spans="1:32">
      <c r="A92" s="271"/>
      <c r="B92" s="271"/>
      <c r="D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row>
    <row r="93" spans="1:32">
      <c r="A93" s="271"/>
      <c r="B93" s="271"/>
      <c r="D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row>
    <row r="94" spans="1:32">
      <c r="A94" s="271"/>
      <c r="B94" s="271"/>
      <c r="D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row>
    <row r="95" spans="1:32">
      <c r="A95" s="271"/>
      <c r="B95" s="271"/>
      <c r="D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row>
  </sheetData>
  <sheetProtection password="C665" sheet="1" objects="1" scenarios="1" selectLockedCells="1" selectUnlockedCells="1"/>
  <mergeCells count="7">
    <mergeCell ref="C5:C6"/>
    <mergeCell ref="E5:E6"/>
    <mergeCell ref="J6:K7"/>
    <mergeCell ref="H5:K5"/>
    <mergeCell ref="F5:G5"/>
    <mergeCell ref="G6:G7"/>
    <mergeCell ref="D5:D6"/>
  </mergeCells>
  <dataValidations count="2">
    <dataValidation type="list" allowBlank="1" showInputMessage="1" showErrorMessage="1" sqref="D9:D13">
      <formula1>"HPWI,SCR,ULSF,Nat Gas,New Eqp"</formula1>
    </dataValidation>
    <dataValidation type="list" allowBlank="1" showInputMessage="1" showErrorMessage="1" sqref="E21:E46">
      <formula1>"1,2"</formula1>
    </dataValidation>
  </dataValidations>
  <pageMargins left="0.7" right="0.7" top="0.75" bottom="0.75" header="0.3" footer="0.3"/>
  <pageSetup scale="90" orientation="landscape" r:id="rId1"/>
  <drawing r:id="rId2"/>
</worksheet>
</file>

<file path=xl/worksheets/sheet21.xml><?xml version="1.0" encoding="utf-8"?>
<worksheet xmlns="http://schemas.openxmlformats.org/spreadsheetml/2006/main" xmlns:r="http://schemas.openxmlformats.org/officeDocument/2006/relationships">
  <dimension ref="C2:P48"/>
  <sheetViews>
    <sheetView workbookViewId="0"/>
  </sheetViews>
  <sheetFormatPr defaultRowHeight="12.75"/>
  <sheetData>
    <row r="2" spans="3:16" s="271" customFormat="1">
      <c r="N2" s="271" t="s">
        <v>2453</v>
      </c>
    </row>
    <row r="3" spans="3:16" s="271" customFormat="1">
      <c r="N3" s="4" t="s">
        <v>2451</v>
      </c>
      <c r="O3" s="271">
        <v>4.9974999999999999E-2</v>
      </c>
      <c r="P3" s="80">
        <f>10^6*O3</f>
        <v>49975</v>
      </c>
    </row>
    <row r="4" spans="3:16" s="271" customFormat="1">
      <c r="N4" s="4" t="s">
        <v>2452</v>
      </c>
      <c r="O4" s="271">
        <v>0.44885000000000003</v>
      </c>
      <c r="P4" s="80">
        <f>10^6*O4</f>
        <v>448850</v>
      </c>
    </row>
    <row r="5" spans="3:16" s="271" customFormat="1"/>
    <row r="6" spans="3:16" s="271" customFormat="1">
      <c r="N6" s="271" t="s">
        <v>2454</v>
      </c>
    </row>
    <row r="7" spans="3:16">
      <c r="C7" s="271"/>
      <c r="D7" s="271"/>
      <c r="E7" s="271"/>
      <c r="F7" s="271"/>
      <c r="G7" s="271"/>
      <c r="H7" s="271"/>
      <c r="I7" s="271"/>
      <c r="J7" s="271"/>
      <c r="K7" s="271"/>
      <c r="L7" s="271"/>
      <c r="M7" s="271"/>
      <c r="N7" s="4" t="s">
        <v>2451</v>
      </c>
      <c r="O7" s="271">
        <f>+P7/10^6</f>
        <v>4.9700000000000001E-2</v>
      </c>
      <c r="P7" s="80">
        <v>49700</v>
      </c>
    </row>
    <row r="8" spans="3:16" s="271" customFormat="1">
      <c r="N8" s="4" t="s">
        <v>2452</v>
      </c>
      <c r="O8" s="271">
        <f>+P8/10^6</f>
        <v>0.45900000000000002</v>
      </c>
      <c r="P8" s="80">
        <v>459000</v>
      </c>
    </row>
    <row r="9" spans="3:16">
      <c r="C9" s="271"/>
      <c r="D9" s="271"/>
      <c r="E9" s="271"/>
      <c r="F9" s="271"/>
      <c r="G9" s="271"/>
      <c r="H9" s="271"/>
      <c r="I9" s="271"/>
      <c r="J9" s="271"/>
      <c r="K9" s="271"/>
      <c r="L9" s="271"/>
      <c r="M9" s="271"/>
      <c r="N9" s="271"/>
      <c r="O9" s="271"/>
      <c r="P9" s="271"/>
    </row>
    <row r="10" spans="3:16">
      <c r="C10" s="271" t="s">
        <v>2429</v>
      </c>
      <c r="D10" s="271"/>
      <c r="E10" s="271"/>
      <c r="F10" s="271"/>
      <c r="G10" s="271"/>
      <c r="H10" s="271"/>
      <c r="I10" s="4" t="s">
        <v>2430</v>
      </c>
      <c r="J10" s="4" t="s">
        <v>2431</v>
      </c>
      <c r="K10" s="271"/>
      <c r="L10" s="4" t="s">
        <v>2430</v>
      </c>
      <c r="M10" s="4" t="s">
        <v>2431</v>
      </c>
      <c r="N10" s="4" t="s">
        <v>2432</v>
      </c>
      <c r="O10" s="4" t="s">
        <v>2455</v>
      </c>
      <c r="P10" s="271"/>
    </row>
    <row r="11" spans="3:16">
      <c r="C11" s="271"/>
      <c r="D11" s="271"/>
      <c r="E11" s="271"/>
      <c r="F11" s="271"/>
      <c r="G11" s="271"/>
      <c r="H11" s="12">
        <v>1</v>
      </c>
      <c r="I11" s="271">
        <v>0.13500000000000001</v>
      </c>
      <c r="J11" s="271">
        <v>0.28999999999999998</v>
      </c>
      <c r="K11" s="271"/>
      <c r="L11" s="47">
        <f>+I11*$E$14/$F$14</f>
        <v>3.6610169491525424</v>
      </c>
      <c r="M11" s="101">
        <f>+J11*$E$18/$F$18</f>
        <v>0.63923585598824395</v>
      </c>
      <c r="N11" s="7097">
        <f t="shared" ref="N11:N21" si="0">0.05*L11+0.45</f>
        <v>0.63305084745762707</v>
      </c>
      <c r="O11" s="7098">
        <f>+$O$7*L11+$O$8</f>
        <v>0.64095254237288135</v>
      </c>
      <c r="P11" s="271"/>
    </row>
    <row r="12" spans="3:16">
      <c r="C12" s="271"/>
      <c r="D12" s="271" t="s">
        <v>2433</v>
      </c>
      <c r="E12" s="271"/>
      <c r="F12" s="271"/>
      <c r="G12" s="271"/>
      <c r="H12" s="12">
        <f>1+H11</f>
        <v>2</v>
      </c>
      <c r="I12" s="271">
        <v>0.1585</v>
      </c>
      <c r="J12" s="271">
        <v>0.30819999999999997</v>
      </c>
      <c r="K12" s="271"/>
      <c r="L12" s="47">
        <f t="shared" ref="L12:L21" si="1">+I12*$E$14/$F$14</f>
        <v>4.2983050847457624</v>
      </c>
      <c r="M12" s="101">
        <f t="shared" ref="M12:M21" si="2">+J12*$E$18/$F$18</f>
        <v>0.67935341660543713</v>
      </c>
      <c r="N12" s="7099">
        <f t="shared" si="0"/>
        <v>0.66491525423728814</v>
      </c>
      <c r="O12" s="7100">
        <f t="shared" ref="O12:O21" si="3">+$O$7*L12+$O$8</f>
        <v>0.67262576271186436</v>
      </c>
      <c r="P12" s="271"/>
    </row>
    <row r="13" spans="3:16">
      <c r="C13" s="271"/>
      <c r="D13" s="271"/>
      <c r="E13" s="271">
        <v>160</v>
      </c>
      <c r="F13" s="271">
        <v>5.9</v>
      </c>
      <c r="G13" s="271"/>
      <c r="H13" s="12">
        <f t="shared" ref="H13:H22" si="4">1+H12</f>
        <v>3</v>
      </c>
      <c r="I13" s="271">
        <v>0.34599999999999997</v>
      </c>
      <c r="J13" s="271">
        <v>0.41799999999999998</v>
      </c>
      <c r="K13" s="271"/>
      <c r="L13" s="47">
        <f t="shared" si="1"/>
        <v>9.3830508474576266</v>
      </c>
      <c r="M13" s="101">
        <f t="shared" si="2"/>
        <v>0.92138133725202054</v>
      </c>
      <c r="N13" s="7099">
        <f t="shared" si="0"/>
        <v>0.91915254237288135</v>
      </c>
      <c r="O13" s="7100">
        <f t="shared" si="3"/>
        <v>0.92533762711864409</v>
      </c>
      <c r="P13" s="271"/>
    </row>
    <row r="14" spans="3:16">
      <c r="C14" s="271"/>
      <c r="D14" s="271"/>
      <c r="E14" s="271">
        <v>20</v>
      </c>
      <c r="F14" s="271">
        <f>+E14*F13/E13</f>
        <v>0.73750000000000004</v>
      </c>
      <c r="G14" s="271"/>
      <c r="H14" s="12">
        <f t="shared" si="4"/>
        <v>4</v>
      </c>
      <c r="I14" s="271">
        <v>0.36899999999999999</v>
      </c>
      <c r="J14" s="271">
        <v>0.432</v>
      </c>
      <c r="K14" s="271"/>
      <c r="L14" s="47">
        <f t="shared" si="1"/>
        <v>10.006779661016948</v>
      </c>
      <c r="M14" s="101">
        <f t="shared" si="2"/>
        <v>0.95224099926524619</v>
      </c>
      <c r="N14" s="7099">
        <f t="shared" si="0"/>
        <v>0.95033898305084752</v>
      </c>
      <c r="O14" s="7100">
        <f t="shared" si="3"/>
        <v>0.95633694915254241</v>
      </c>
      <c r="P14" s="271"/>
    </row>
    <row r="15" spans="3:16">
      <c r="C15" s="271"/>
      <c r="D15" s="271"/>
      <c r="E15" s="271"/>
      <c r="F15" s="271"/>
      <c r="G15" s="271"/>
      <c r="H15" s="12">
        <f t="shared" si="4"/>
        <v>5</v>
      </c>
      <c r="I15" s="271">
        <v>0.8085</v>
      </c>
      <c r="J15" s="271">
        <v>0.71450000000000002</v>
      </c>
      <c r="K15" s="271"/>
      <c r="L15" s="47">
        <f t="shared" si="1"/>
        <v>21.925423728813559</v>
      </c>
      <c r="M15" s="101">
        <f t="shared" si="2"/>
        <v>1.5749448934606907</v>
      </c>
      <c r="N15" s="7099">
        <f t="shared" si="0"/>
        <v>1.546271186440678</v>
      </c>
      <c r="O15" s="7100">
        <f t="shared" si="3"/>
        <v>1.5486935593220339</v>
      </c>
      <c r="P15" s="271"/>
    </row>
    <row r="16" spans="3:16">
      <c r="C16" s="271"/>
      <c r="D16" s="271" t="s">
        <v>2434</v>
      </c>
      <c r="E16" s="271"/>
      <c r="F16" s="271"/>
      <c r="G16" s="271"/>
      <c r="H16" s="12">
        <f t="shared" si="4"/>
        <v>6</v>
      </c>
      <c r="I16" s="271">
        <v>0.98399999999999999</v>
      </c>
      <c r="J16" s="271">
        <v>0.81299999999999994</v>
      </c>
      <c r="K16" s="271"/>
      <c r="L16" s="47">
        <f t="shared" si="1"/>
        <v>26.684745762711863</v>
      </c>
      <c r="M16" s="101">
        <f t="shared" si="2"/>
        <v>1.7920646583394562</v>
      </c>
      <c r="N16" s="7099">
        <f t="shared" si="0"/>
        <v>1.7842372881355932</v>
      </c>
      <c r="O16" s="7100">
        <f t="shared" si="3"/>
        <v>1.7852318644067797</v>
      </c>
      <c r="P16" s="271"/>
    </row>
    <row r="17" spans="3:16">
      <c r="C17" s="271"/>
      <c r="D17" s="271"/>
      <c r="E17" s="271">
        <v>9</v>
      </c>
      <c r="F17" s="271">
        <v>4.0830000000000002</v>
      </c>
      <c r="G17" s="271"/>
      <c r="H17" s="12">
        <f t="shared" si="4"/>
        <v>7</v>
      </c>
      <c r="I17" s="271">
        <v>1.286</v>
      </c>
      <c r="J17" s="271">
        <v>0.98450000000000004</v>
      </c>
      <c r="K17" s="271"/>
      <c r="L17" s="47">
        <f t="shared" si="1"/>
        <v>34.874576271186434</v>
      </c>
      <c r="M17" s="101">
        <f t="shared" si="2"/>
        <v>2.1700955180014696</v>
      </c>
      <c r="N17" s="7099">
        <f t="shared" si="0"/>
        <v>2.1937288135593218</v>
      </c>
      <c r="O17" s="7100">
        <f t="shared" si="3"/>
        <v>2.1922664406779657</v>
      </c>
      <c r="P17" s="271"/>
    </row>
    <row r="18" spans="3:16">
      <c r="C18" s="271"/>
      <c r="D18" s="271"/>
      <c r="E18" s="271">
        <v>1</v>
      </c>
      <c r="F18" s="271">
        <f>+F17/E17</f>
        <v>0.45366666666666666</v>
      </c>
      <c r="G18" s="271"/>
      <c r="H18" s="12">
        <f t="shared" si="4"/>
        <v>8</v>
      </c>
      <c r="I18" s="271">
        <v>1.4870000000000001</v>
      </c>
      <c r="J18" s="271">
        <v>1.087</v>
      </c>
      <c r="K18" s="271"/>
      <c r="L18" s="47">
        <f t="shared" si="1"/>
        <v>40.325423728813561</v>
      </c>
      <c r="M18" s="101">
        <f t="shared" si="2"/>
        <v>2.3960323291697283</v>
      </c>
      <c r="N18" s="7099">
        <f t="shared" si="0"/>
        <v>2.4662711864406783</v>
      </c>
      <c r="O18" s="7100">
        <f t="shared" si="3"/>
        <v>2.4631735593220343</v>
      </c>
      <c r="P18" s="271"/>
    </row>
    <row r="19" spans="3:16">
      <c r="C19" s="271"/>
      <c r="D19" s="271"/>
      <c r="E19" s="271"/>
      <c r="F19" s="271"/>
      <c r="G19" s="271"/>
      <c r="H19" s="12">
        <f t="shared" si="4"/>
        <v>9</v>
      </c>
      <c r="I19" s="271">
        <v>3.0470000000000002</v>
      </c>
      <c r="J19" s="271">
        <v>2.089</v>
      </c>
      <c r="K19" s="271"/>
      <c r="L19" s="47">
        <f t="shared" si="1"/>
        <v>82.630508474576274</v>
      </c>
      <c r="M19" s="101">
        <f t="shared" si="2"/>
        <v>4.6047024246877299</v>
      </c>
      <c r="N19" s="7099">
        <f t="shared" si="0"/>
        <v>4.5815254237288139</v>
      </c>
      <c r="O19" s="7100">
        <f t="shared" si="3"/>
        <v>4.5657362711864407</v>
      </c>
      <c r="P19" s="271"/>
    </row>
    <row r="20" spans="3:16">
      <c r="C20" s="271"/>
      <c r="D20" s="271"/>
      <c r="E20" s="271"/>
      <c r="F20" s="271"/>
      <c r="G20" s="271"/>
      <c r="H20" s="12">
        <f t="shared" si="4"/>
        <v>10</v>
      </c>
      <c r="I20" s="271">
        <v>3.125</v>
      </c>
      <c r="J20" s="271">
        <v>2.117</v>
      </c>
      <c r="K20" s="271"/>
      <c r="L20" s="47">
        <f t="shared" si="1"/>
        <v>84.745762711864401</v>
      </c>
      <c r="M20" s="101">
        <f t="shared" si="2"/>
        <v>4.666421748714181</v>
      </c>
      <c r="N20" s="7099">
        <f t="shared" si="0"/>
        <v>4.6872881355932208</v>
      </c>
      <c r="O20" s="7100">
        <f t="shared" si="3"/>
        <v>4.6708644067796605</v>
      </c>
      <c r="P20" s="271"/>
    </row>
    <row r="21" spans="3:16">
      <c r="C21" s="271"/>
      <c r="D21" s="271"/>
      <c r="E21" s="271"/>
      <c r="F21" s="271"/>
      <c r="G21" s="271"/>
      <c r="H21" s="12">
        <f t="shared" si="4"/>
        <v>11</v>
      </c>
      <c r="I21" s="271">
        <v>5.9</v>
      </c>
      <c r="J21" s="271">
        <v>3.8359999999999999</v>
      </c>
      <c r="K21" s="271"/>
      <c r="L21" s="47">
        <f t="shared" si="1"/>
        <v>160</v>
      </c>
      <c r="M21" s="101">
        <f t="shared" si="2"/>
        <v>8.4555473916238064</v>
      </c>
      <c r="N21" s="7101">
        <f t="shared" si="0"/>
        <v>8.4499999999999993</v>
      </c>
      <c r="O21" s="7102">
        <f t="shared" si="3"/>
        <v>8.4109999999999996</v>
      </c>
      <c r="P21" s="271"/>
    </row>
    <row r="22" spans="3:16">
      <c r="C22" s="271"/>
      <c r="D22" s="271"/>
      <c r="E22" s="271"/>
      <c r="F22" s="271"/>
      <c r="G22" s="271"/>
      <c r="H22" s="12">
        <f t="shared" si="4"/>
        <v>12</v>
      </c>
      <c r="I22" s="271"/>
      <c r="J22" s="271"/>
      <c r="K22" s="271"/>
      <c r="L22" s="271"/>
      <c r="M22" s="271"/>
      <c r="N22" s="271"/>
      <c r="O22" s="271"/>
      <c r="P22" s="271"/>
    </row>
    <row r="23" spans="3:16">
      <c r="C23" s="271"/>
      <c r="D23" s="271"/>
      <c r="E23" s="271"/>
      <c r="F23" s="271"/>
      <c r="G23" s="271"/>
      <c r="H23" s="271"/>
      <c r="I23" s="271"/>
      <c r="J23" s="271"/>
      <c r="K23" s="271"/>
      <c r="L23" s="271"/>
      <c r="M23" s="271"/>
      <c r="N23" s="271"/>
      <c r="O23" s="271"/>
      <c r="P23" s="271"/>
    </row>
    <row r="24" spans="3:16">
      <c r="C24" s="271"/>
      <c r="D24" s="271"/>
      <c r="E24" s="271"/>
      <c r="F24" s="271"/>
      <c r="G24" s="271"/>
      <c r="H24" s="271"/>
      <c r="I24" s="271"/>
      <c r="J24" s="271"/>
      <c r="K24" s="271"/>
      <c r="L24" s="271"/>
      <c r="M24" s="271"/>
      <c r="N24" s="271"/>
      <c r="O24" s="271"/>
      <c r="P24" s="271"/>
    </row>
    <row r="25" spans="3:16">
      <c r="C25" s="271"/>
      <c r="D25" s="271"/>
      <c r="E25" s="271"/>
      <c r="F25" s="271"/>
      <c r="G25" s="271"/>
      <c r="H25" s="271"/>
      <c r="I25" s="271"/>
      <c r="J25" s="271"/>
      <c r="K25" s="271"/>
      <c r="L25" s="271"/>
      <c r="M25" s="271"/>
      <c r="N25" s="271"/>
      <c r="O25" s="271"/>
      <c r="P25" s="271"/>
    </row>
    <row r="26" spans="3:16">
      <c r="C26" s="271"/>
      <c r="D26" s="271"/>
      <c r="E26" s="271"/>
      <c r="F26" s="271"/>
      <c r="G26" s="271"/>
      <c r="H26" s="271"/>
      <c r="I26" s="271"/>
      <c r="J26" s="271"/>
      <c r="K26" s="271"/>
      <c r="L26" s="271"/>
      <c r="M26" s="271"/>
      <c r="N26" s="271"/>
      <c r="O26" s="271"/>
      <c r="P26" s="271"/>
    </row>
    <row r="27" spans="3:16">
      <c r="C27" s="271"/>
      <c r="D27" s="271"/>
      <c r="E27" s="271"/>
      <c r="F27" s="271"/>
      <c r="G27" s="271"/>
      <c r="H27" s="271"/>
      <c r="I27" s="271"/>
      <c r="J27" s="271"/>
      <c r="K27" s="271"/>
      <c r="L27" s="271"/>
      <c r="M27" s="271"/>
      <c r="N27" s="271"/>
      <c r="O27" s="271"/>
      <c r="P27" s="271"/>
    </row>
    <row r="28" spans="3:16">
      <c r="C28" s="271"/>
      <c r="D28" s="271"/>
      <c r="E28" s="271"/>
      <c r="F28" s="271"/>
      <c r="G28" s="271"/>
      <c r="H28" s="271"/>
      <c r="I28" s="271"/>
      <c r="J28" s="271"/>
      <c r="K28" s="271"/>
      <c r="L28" s="271"/>
      <c r="M28" s="271"/>
      <c r="N28" s="271"/>
      <c r="O28" s="271"/>
      <c r="P28" s="271"/>
    </row>
    <row r="29" spans="3:16">
      <c r="C29" s="271"/>
      <c r="D29" s="271"/>
      <c r="E29" s="271"/>
      <c r="F29" s="271"/>
      <c r="G29" s="271"/>
      <c r="H29" s="271"/>
      <c r="I29" s="271"/>
      <c r="J29" s="271"/>
      <c r="K29" s="271"/>
      <c r="L29" s="271"/>
      <c r="M29" s="271"/>
      <c r="N29" s="271"/>
      <c r="O29" s="271"/>
      <c r="P29" s="271"/>
    </row>
    <row r="30" spans="3:16">
      <c r="C30" s="271"/>
      <c r="D30" s="271"/>
      <c r="E30" s="271"/>
      <c r="F30" s="271"/>
      <c r="G30" s="271"/>
      <c r="H30" s="271"/>
      <c r="I30" s="271"/>
      <c r="J30" s="271"/>
      <c r="K30" s="271"/>
      <c r="L30" s="271"/>
      <c r="M30" s="271"/>
      <c r="N30" s="271"/>
      <c r="O30" s="271"/>
      <c r="P30" s="271"/>
    </row>
    <row r="31" spans="3:16">
      <c r="C31" s="271" t="s">
        <v>2435</v>
      </c>
      <c r="D31" s="271"/>
      <c r="E31" s="271"/>
      <c r="F31" s="271"/>
      <c r="G31" s="271"/>
      <c r="H31" s="271"/>
      <c r="I31" s="4" t="s">
        <v>2430</v>
      </c>
      <c r="J31" s="4" t="s">
        <v>2431</v>
      </c>
      <c r="K31" s="271"/>
      <c r="L31" s="4" t="s">
        <v>2430</v>
      </c>
      <c r="M31" s="4" t="s">
        <v>2431</v>
      </c>
      <c r="N31" s="271"/>
      <c r="O31" s="271"/>
      <c r="P31" s="271"/>
    </row>
    <row r="32" spans="3:16">
      <c r="C32" s="271"/>
      <c r="D32" s="271"/>
      <c r="E32" s="271"/>
      <c r="F32" s="271"/>
      <c r="G32" s="271"/>
      <c r="H32" s="12">
        <v>1</v>
      </c>
      <c r="I32" s="271">
        <v>0.11899999999999999</v>
      </c>
      <c r="J32" s="271">
        <v>0.24</v>
      </c>
      <c r="K32" s="271"/>
      <c r="L32" s="142">
        <f t="shared" ref="L32:L37" si="5">+I32*$E$35/$F$35</f>
        <v>3.4776255707762558</v>
      </c>
      <c r="M32" s="101">
        <f t="shared" ref="M32:M37" si="6">+J32*$E$39/$F$39</f>
        <v>0.39735099337748342</v>
      </c>
      <c r="N32" s="7047">
        <f t="shared" ref="N32:N37" si="7">0.0353*L32+0.2915</f>
        <v>0.41426018264840181</v>
      </c>
      <c r="P32" s="271"/>
    </row>
    <row r="33" spans="3:16">
      <c r="C33" s="271"/>
      <c r="D33" s="271" t="s">
        <v>2433</v>
      </c>
      <c r="E33" s="271"/>
      <c r="F33" s="271"/>
      <c r="G33" s="271"/>
      <c r="H33" s="12">
        <f>1+H32</f>
        <v>2</v>
      </c>
      <c r="I33" s="271">
        <v>0.13500000000000001</v>
      </c>
      <c r="J33" s="271">
        <v>0.25600000000000001</v>
      </c>
      <c r="K33" s="271"/>
      <c r="L33" s="142">
        <f t="shared" si="5"/>
        <v>3.9452054794520555</v>
      </c>
      <c r="M33" s="101">
        <f t="shared" si="6"/>
        <v>0.42384105960264901</v>
      </c>
      <c r="N33" s="7047">
        <f t="shared" si="7"/>
        <v>0.4307657534246575</v>
      </c>
      <c r="P33" s="271"/>
    </row>
    <row r="34" spans="3:16">
      <c r="C34" s="271"/>
      <c r="D34" s="271"/>
      <c r="E34" s="271">
        <v>160</v>
      </c>
      <c r="F34" s="271">
        <v>5.4749999999999996</v>
      </c>
      <c r="G34" s="271"/>
      <c r="H34" s="12">
        <f>1+H33</f>
        <v>3</v>
      </c>
      <c r="I34" s="271">
        <v>0.748</v>
      </c>
      <c r="J34" s="271">
        <v>0.66500000000000004</v>
      </c>
      <c r="K34" s="271"/>
      <c r="L34" s="142">
        <f t="shared" si="5"/>
        <v>21.859360730593611</v>
      </c>
      <c r="M34" s="101">
        <f t="shared" si="6"/>
        <v>1.1009933774834437</v>
      </c>
      <c r="N34" s="7047">
        <f t="shared" si="7"/>
        <v>1.0631354337899546</v>
      </c>
      <c r="P34" s="271"/>
    </row>
    <row r="35" spans="3:16">
      <c r="C35" s="271"/>
      <c r="D35" s="271"/>
      <c r="E35" s="271">
        <v>20</v>
      </c>
      <c r="F35" s="271">
        <f>+E35*F34/E34</f>
        <v>0.68437499999999996</v>
      </c>
      <c r="G35" s="271"/>
      <c r="H35" s="12">
        <f>1+H34</f>
        <v>4</v>
      </c>
      <c r="I35" s="271">
        <v>0.92300000000000004</v>
      </c>
      <c r="J35" s="271">
        <v>0.72799999999999998</v>
      </c>
      <c r="K35" s="271"/>
      <c r="L35" s="142">
        <f t="shared" si="5"/>
        <v>26.973515981735162</v>
      </c>
      <c r="M35" s="101">
        <f t="shared" si="6"/>
        <v>1.2052980132450331</v>
      </c>
      <c r="N35" s="7047">
        <f t="shared" si="7"/>
        <v>1.2436651141552511</v>
      </c>
      <c r="P35" s="271"/>
    </row>
    <row r="36" spans="3:16">
      <c r="C36" s="271"/>
      <c r="D36" s="271"/>
      <c r="E36" s="271"/>
      <c r="F36" s="271"/>
      <c r="G36" s="271"/>
      <c r="H36" s="12">
        <f>1+H35</f>
        <v>5</v>
      </c>
      <c r="I36" s="271">
        <v>2.8330000000000002</v>
      </c>
      <c r="J36" s="271">
        <v>2.3919999999999999</v>
      </c>
      <c r="K36" s="271"/>
      <c r="L36" s="142">
        <f t="shared" si="5"/>
        <v>82.790867579908692</v>
      </c>
      <c r="M36" s="101">
        <f t="shared" si="6"/>
        <v>3.9602649006622515</v>
      </c>
      <c r="N36" s="7047">
        <f t="shared" si="7"/>
        <v>3.2140176255707766</v>
      </c>
      <c r="P36" s="271"/>
    </row>
    <row r="37" spans="3:16">
      <c r="C37" s="271"/>
      <c r="D37" s="271" t="s">
        <v>2434</v>
      </c>
      <c r="E37" s="271"/>
      <c r="F37" s="271"/>
      <c r="G37" s="271"/>
      <c r="H37" s="12">
        <f>1+H36</f>
        <v>6</v>
      </c>
      <c r="I37" s="271">
        <v>2.9235000000000002</v>
      </c>
      <c r="J37" s="271">
        <v>1.5680000000000001</v>
      </c>
      <c r="K37" s="271"/>
      <c r="L37" s="142">
        <f t="shared" si="5"/>
        <v>85.435616438356178</v>
      </c>
      <c r="M37" s="101">
        <f t="shared" si="6"/>
        <v>2.5960264900662255</v>
      </c>
      <c r="N37" s="7047">
        <f t="shared" si="7"/>
        <v>3.3073772602739728</v>
      </c>
      <c r="P37" s="271"/>
    </row>
    <row r="38" spans="3:16">
      <c r="C38" s="271"/>
      <c r="D38" s="271"/>
      <c r="E38" s="271">
        <v>5</v>
      </c>
      <c r="F38" s="271">
        <v>3.02</v>
      </c>
      <c r="G38" s="271"/>
      <c r="H38" s="12"/>
      <c r="I38" s="271"/>
      <c r="J38" s="271"/>
      <c r="K38" s="271"/>
      <c r="L38" s="271"/>
      <c r="M38" s="271"/>
      <c r="N38" s="271"/>
      <c r="O38" s="271"/>
      <c r="P38" s="271"/>
    </row>
    <row r="39" spans="3:16">
      <c r="C39" s="271"/>
      <c r="D39" s="271"/>
      <c r="E39" s="271">
        <v>1</v>
      </c>
      <c r="F39" s="271">
        <f>+F38/E38</f>
        <v>0.60399999999999998</v>
      </c>
      <c r="G39" s="271"/>
      <c r="H39" s="12"/>
      <c r="I39" s="271"/>
      <c r="J39" s="271"/>
      <c r="K39" s="271"/>
      <c r="L39" s="271"/>
      <c r="M39" s="271"/>
      <c r="N39" s="271"/>
      <c r="O39" s="271"/>
      <c r="P39" s="271"/>
    </row>
    <row r="40" spans="3:16">
      <c r="C40" s="271"/>
      <c r="D40" s="271"/>
      <c r="E40" s="271"/>
      <c r="F40" s="271"/>
      <c r="G40" s="271"/>
      <c r="H40" s="12"/>
      <c r="I40" s="271"/>
      <c r="J40" s="271"/>
      <c r="K40" s="271"/>
      <c r="L40" s="271"/>
      <c r="M40" s="271"/>
      <c r="N40" s="271"/>
      <c r="O40" s="271"/>
      <c r="P40" s="271"/>
    </row>
    <row r="41" spans="3:16">
      <c r="C41" s="271"/>
      <c r="D41" s="271"/>
      <c r="E41" s="271"/>
      <c r="F41" s="271"/>
      <c r="G41" s="271"/>
      <c r="H41" s="12"/>
      <c r="I41" s="271"/>
      <c r="J41" s="271"/>
      <c r="K41" s="271"/>
      <c r="L41" s="271"/>
      <c r="M41" s="271"/>
      <c r="N41" s="271"/>
      <c r="O41" s="271"/>
      <c r="P41" s="271"/>
    </row>
    <row r="42" spans="3:16">
      <c r="C42" s="271"/>
      <c r="D42" s="271"/>
      <c r="E42" s="271"/>
      <c r="F42" s="271"/>
      <c r="G42" s="271"/>
      <c r="H42" s="12"/>
      <c r="I42" s="271"/>
      <c r="J42" s="271"/>
      <c r="K42" s="271"/>
      <c r="L42" s="271"/>
      <c r="M42" s="271"/>
      <c r="N42" s="271"/>
      <c r="O42" s="271"/>
      <c r="P42" s="271"/>
    </row>
    <row r="43" spans="3:16">
      <c r="C43" s="271"/>
      <c r="D43" s="271"/>
      <c r="E43" s="271"/>
      <c r="F43" s="271"/>
      <c r="G43" s="271"/>
      <c r="H43" s="271"/>
      <c r="I43" s="271"/>
      <c r="J43" s="271"/>
      <c r="K43" s="271"/>
      <c r="L43" s="271"/>
      <c r="M43" s="271"/>
      <c r="N43" s="271"/>
      <c r="O43" s="271"/>
      <c r="P43" s="271"/>
    </row>
    <row r="44" spans="3:16">
      <c r="C44" s="271"/>
      <c r="D44" s="271"/>
      <c r="E44" s="271"/>
      <c r="F44" s="271"/>
      <c r="G44" s="271"/>
      <c r="H44" s="271"/>
      <c r="I44" s="271"/>
      <c r="J44" s="271"/>
      <c r="K44" s="271"/>
      <c r="L44" s="271"/>
      <c r="M44" s="271"/>
      <c r="N44" s="271"/>
      <c r="O44" s="271"/>
      <c r="P44" s="271"/>
    </row>
    <row r="45" spans="3:16">
      <c r="C45" s="271"/>
      <c r="D45" s="271"/>
      <c r="E45" s="271"/>
      <c r="F45" s="271"/>
      <c r="G45" s="271"/>
      <c r="H45" s="271"/>
      <c r="I45" s="271"/>
      <c r="J45" s="271"/>
      <c r="K45" s="271"/>
      <c r="L45" s="271"/>
      <c r="M45" s="271"/>
      <c r="N45" s="271"/>
      <c r="O45" s="271"/>
      <c r="P45" s="271"/>
    </row>
    <row r="46" spans="3:16">
      <c r="C46" s="271"/>
      <c r="D46" s="271"/>
      <c r="E46" s="271"/>
      <c r="F46" s="271"/>
      <c r="G46" s="271"/>
      <c r="H46" s="271"/>
      <c r="I46" s="271"/>
      <c r="J46" s="271"/>
      <c r="K46" s="271"/>
      <c r="L46" s="271"/>
      <c r="M46" s="271"/>
      <c r="N46" s="271"/>
      <c r="O46" s="271"/>
      <c r="P46" s="271"/>
    </row>
    <row r="47" spans="3:16">
      <c r="C47" s="271"/>
      <c r="D47" s="271"/>
      <c r="E47" s="271"/>
      <c r="F47" s="271"/>
      <c r="G47" s="271"/>
      <c r="H47" s="271"/>
      <c r="I47" s="271"/>
      <c r="J47" s="271"/>
      <c r="K47" s="271"/>
      <c r="L47" s="271"/>
      <c r="M47" s="271"/>
      <c r="N47" s="271"/>
      <c r="O47" s="271"/>
      <c r="P47" s="271"/>
    </row>
    <row r="48" spans="3:16">
      <c r="C48" s="271"/>
      <c r="D48" s="271"/>
      <c r="E48" s="271"/>
      <c r="F48" s="271"/>
      <c r="G48" s="271"/>
      <c r="H48" s="271"/>
      <c r="I48" s="271"/>
      <c r="J48" s="271"/>
      <c r="K48" s="271"/>
      <c r="L48" s="271"/>
      <c r="M48" s="271"/>
      <c r="N48" s="271"/>
      <c r="O48" s="271"/>
      <c r="P48" s="271"/>
    </row>
  </sheetData>
  <sheetProtection password="C665" sheet="1" objects="1" scenarios="1" selectLockedCells="1" selectUnlockedCell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FFFFD5"/>
  </sheetPr>
  <dimension ref="A1:AR568"/>
  <sheetViews>
    <sheetView zoomScale="70" zoomScaleNormal="70" workbookViewId="0">
      <pane xSplit="10" ySplit="25" topLeftCell="R26" activePane="bottomRight" state="frozen"/>
      <selection activeCell="G6" sqref="G6"/>
      <selection pane="topRight" activeCell="G6" sqref="G6"/>
      <selection pane="bottomLeft" activeCell="G6" sqref="G6"/>
      <selection pane="bottomRight" activeCell="T34" sqref="T34:T35"/>
    </sheetView>
  </sheetViews>
  <sheetFormatPr defaultColWidth="0" defaultRowHeight="12.75" zeroHeight="1"/>
  <cols>
    <col min="1" max="1" width="2.140625" style="3586" customWidth="1"/>
    <col min="2" max="2" width="7.7109375" style="3586" hidden="1" customWidth="1"/>
    <col min="3" max="3" width="9.28515625" style="3586" customWidth="1"/>
    <col min="4" max="4" width="8.140625" style="3586" customWidth="1"/>
    <col min="5" max="5" width="10.28515625" style="3586" customWidth="1"/>
    <col min="6" max="8" width="2.7109375" style="3586" customWidth="1"/>
    <col min="9" max="9" width="3.28515625" style="3586" customWidth="1"/>
    <col min="10" max="10" width="20.5703125" style="3586" hidden="1" customWidth="1"/>
    <col min="11" max="11" width="6.7109375" style="3586" customWidth="1"/>
    <col min="12" max="12" width="14" style="3586" customWidth="1"/>
    <col min="13" max="13" width="10.7109375" style="3586" customWidth="1"/>
    <col min="14" max="14" width="9.85546875" style="3586" customWidth="1"/>
    <col min="15" max="15" width="8.28515625" style="3586" customWidth="1"/>
    <col min="16" max="16" width="12.28515625" style="7761" customWidth="1"/>
    <col min="17" max="17" width="15.7109375" style="3586" customWidth="1"/>
    <col min="18" max="18" width="8.7109375" style="3586" customWidth="1"/>
    <col min="19" max="19" width="1.7109375" style="3586" customWidth="1"/>
    <col min="20" max="21" width="14.7109375" style="3586" customWidth="1"/>
    <col min="22" max="22" width="20.7109375" style="7762" customWidth="1"/>
    <col min="23" max="23" width="1.7109375" style="7762" customWidth="1"/>
    <col min="24" max="24" width="1.7109375" style="3586" customWidth="1"/>
    <col min="25" max="26" width="14.7109375" style="3586" customWidth="1"/>
    <col min="27" max="27" width="21.7109375" style="7762" customWidth="1"/>
    <col min="28" max="28" width="1.7109375" style="7762" customWidth="1"/>
    <col min="29" max="29" width="1.7109375" style="3586" customWidth="1"/>
    <col min="30" max="31" width="14.7109375" style="3586" customWidth="1"/>
    <col min="32" max="32" width="21.7109375" style="7762" customWidth="1"/>
    <col min="33" max="33" width="1.7109375" style="7762" customWidth="1"/>
    <col min="34" max="34" width="2.7109375" style="3586" customWidth="1"/>
    <col min="35" max="39" width="40.7109375" style="3586" customWidth="1"/>
    <col min="40" max="44" width="0" style="3586" hidden="1" customWidth="1"/>
    <col min="45" max="46" width="9.140625" style="3586" hidden="1" customWidth="1"/>
    <col min="47" max="16384" width="9.140625" style="3586" hidden="1"/>
  </cols>
  <sheetData>
    <row r="1" spans="1:39" s="3561" customFormat="1">
      <c r="A1" s="5959"/>
      <c r="B1" s="5959"/>
      <c r="C1" s="5959"/>
      <c r="D1" s="5959"/>
      <c r="E1" s="5959"/>
      <c r="F1" s="5959"/>
      <c r="G1" s="5959"/>
      <c r="H1" s="5952"/>
      <c r="I1" s="5952"/>
      <c r="J1" s="5952"/>
      <c r="K1" s="7423" t="s">
        <v>2023</v>
      </c>
      <c r="L1" s="7424"/>
      <c r="M1" s="7424"/>
      <c r="N1" s="7424"/>
      <c r="O1" s="7424"/>
      <c r="P1" s="7425"/>
      <c r="Q1" s="7424"/>
      <c r="R1" s="7424"/>
      <c r="S1" s="7424"/>
      <c r="T1" s="7424"/>
      <c r="U1" s="7424"/>
      <c r="V1" s="7426"/>
      <c r="W1" s="7427"/>
      <c r="X1" s="7424"/>
      <c r="Y1" s="7428"/>
      <c r="Z1" s="5951"/>
      <c r="AA1" s="7763"/>
      <c r="AB1" s="7763"/>
      <c r="AC1" s="7763"/>
      <c r="AD1" s="7763"/>
      <c r="AE1" s="7763"/>
      <c r="AF1" s="7763"/>
      <c r="AG1" s="7763"/>
      <c r="AH1" s="5951"/>
      <c r="AI1" s="5959"/>
      <c r="AJ1" s="5959"/>
      <c r="AK1" s="5959"/>
      <c r="AL1" s="5959"/>
      <c r="AM1" s="5959"/>
    </row>
    <row r="2" spans="1:39" s="3561" customFormat="1">
      <c r="A2" s="5959"/>
      <c r="B2" s="5959"/>
      <c r="C2" s="5959"/>
      <c r="D2" s="5959"/>
      <c r="E2" s="5959"/>
      <c r="F2" s="5959"/>
      <c r="G2" s="5959"/>
      <c r="H2" s="5952"/>
      <c r="I2" s="5952"/>
      <c r="J2" s="5952"/>
      <c r="K2" s="7429" t="s">
        <v>2539</v>
      </c>
      <c r="L2" s="5962"/>
      <c r="M2" s="5962"/>
      <c r="N2" s="5962"/>
      <c r="O2" s="5962"/>
      <c r="P2" s="7430"/>
      <c r="Q2" s="5962"/>
      <c r="R2" s="5962"/>
      <c r="S2" s="5962"/>
      <c r="T2" s="5962"/>
      <c r="U2" s="5962"/>
      <c r="V2" s="7431"/>
      <c r="W2" s="7432"/>
      <c r="X2" s="5962"/>
      <c r="Y2" s="7433"/>
      <c r="Z2" s="5951"/>
      <c r="AA2" s="7763"/>
      <c r="AB2" s="7763"/>
      <c r="AC2" s="7763"/>
      <c r="AD2" s="7763"/>
      <c r="AE2" s="7763"/>
      <c r="AF2" s="7763"/>
      <c r="AG2" s="7763"/>
      <c r="AH2" s="5951"/>
      <c r="AI2" s="5959"/>
      <c r="AJ2" s="5959"/>
      <c r="AK2" s="5959"/>
      <c r="AL2" s="5959"/>
      <c r="AM2" s="5959"/>
    </row>
    <row r="3" spans="1:39" s="3561" customFormat="1">
      <c r="A3" s="5959"/>
      <c r="B3" s="5959"/>
      <c r="C3" s="5959"/>
      <c r="D3" s="5959"/>
      <c r="E3" s="5959"/>
      <c r="F3" s="5959"/>
      <c r="G3" s="5959"/>
      <c r="H3" s="5952"/>
      <c r="I3" s="5952"/>
      <c r="J3" s="5952"/>
      <c r="K3" s="7429" t="s">
        <v>2540</v>
      </c>
      <c r="L3" s="5962"/>
      <c r="M3" s="5962"/>
      <c r="N3" s="5962"/>
      <c r="O3" s="5962"/>
      <c r="P3" s="7430"/>
      <c r="Q3" s="5962"/>
      <c r="R3" s="5962"/>
      <c r="S3" s="5962"/>
      <c r="T3" s="5962"/>
      <c r="U3" s="5962"/>
      <c r="V3" s="7431"/>
      <c r="W3" s="7432"/>
      <c r="X3" s="5962"/>
      <c r="Y3" s="7433"/>
      <c r="Z3" s="5951"/>
      <c r="AA3" s="7763"/>
      <c r="AB3" s="7763"/>
      <c r="AC3" s="7763"/>
      <c r="AD3" s="7763"/>
      <c r="AE3" s="7763"/>
      <c r="AF3" s="7763"/>
      <c r="AG3" s="7763"/>
      <c r="AH3" s="5951"/>
      <c r="AI3" s="5959"/>
      <c r="AJ3" s="5959"/>
      <c r="AK3" s="5959"/>
      <c r="AL3" s="5959"/>
      <c r="AM3" s="5959"/>
    </row>
    <row r="4" spans="1:39" s="3561" customFormat="1">
      <c r="A4" s="5959"/>
      <c r="B4" s="5959"/>
      <c r="C4" s="5959"/>
      <c r="D4" s="5959"/>
      <c r="E4" s="5959"/>
      <c r="F4" s="5959"/>
      <c r="G4" s="5959"/>
      <c r="H4" s="5952"/>
      <c r="I4" s="5952"/>
      <c r="J4" s="5952"/>
      <c r="K4" s="7434" t="s">
        <v>2541</v>
      </c>
      <c r="L4" s="7435"/>
      <c r="M4" s="5962"/>
      <c r="N4" s="5962"/>
      <c r="O4" s="5962"/>
      <c r="P4" s="7430"/>
      <c r="Q4" s="7435"/>
      <c r="R4" s="5962"/>
      <c r="S4" s="5962"/>
      <c r="T4" s="5962"/>
      <c r="U4" s="5962"/>
      <c r="V4" s="7431"/>
      <c r="W4" s="7432"/>
      <c r="X4" s="5962"/>
      <c r="Y4" s="7433"/>
      <c r="Z4" s="5951"/>
      <c r="AA4" s="7763"/>
      <c r="AB4" s="7763"/>
      <c r="AC4" s="7763"/>
      <c r="AD4" s="7763"/>
      <c r="AE4" s="7763"/>
      <c r="AF4" s="7763"/>
      <c r="AG4" s="7763"/>
      <c r="AH4" s="5951"/>
      <c r="AI4" s="5959"/>
      <c r="AJ4" s="5959"/>
      <c r="AK4" s="5959"/>
      <c r="AL4" s="5959"/>
      <c r="AM4" s="5959"/>
    </row>
    <row r="5" spans="1:39" s="3561" customFormat="1">
      <c r="A5" s="5959"/>
      <c r="B5" s="5959"/>
      <c r="C5" s="5959"/>
      <c r="D5" s="5959"/>
      <c r="E5" s="5959"/>
      <c r="F5" s="5959"/>
      <c r="G5" s="5959"/>
      <c r="H5" s="5952"/>
      <c r="I5" s="5952"/>
      <c r="J5" s="5952"/>
      <c r="K5" s="7436"/>
      <c r="L5" s="7437" t="s">
        <v>2523</v>
      </c>
      <c r="M5" s="5962"/>
      <c r="N5" s="5962"/>
      <c r="O5" s="5962"/>
      <c r="P5" s="7430"/>
      <c r="Q5" s="7437"/>
      <c r="R5" s="5962"/>
      <c r="S5" s="5962"/>
      <c r="T5" s="5962"/>
      <c r="U5" s="5962"/>
      <c r="V5" s="7431"/>
      <c r="W5" s="7432"/>
      <c r="X5" s="5962"/>
      <c r="Y5" s="7433"/>
      <c r="Z5" s="5951"/>
      <c r="AA5" s="7444"/>
      <c r="AB5" s="7444"/>
      <c r="AC5" s="5951"/>
      <c r="AD5" s="5951"/>
      <c r="AE5" s="5951"/>
      <c r="AF5" s="7444"/>
      <c r="AG5" s="7444"/>
      <c r="AH5" s="5951"/>
      <c r="AI5" s="5959"/>
      <c r="AJ5" s="5959"/>
      <c r="AK5" s="5959"/>
      <c r="AL5" s="5959"/>
      <c r="AM5" s="5959"/>
    </row>
    <row r="6" spans="1:39" s="3561" customFormat="1">
      <c r="A6" s="5959"/>
      <c r="B6" s="5959"/>
      <c r="C6" s="5959"/>
      <c r="D6" s="5959"/>
      <c r="E6" s="5959"/>
      <c r="F6" s="5959"/>
      <c r="G6" s="5959"/>
      <c r="H6" s="5952"/>
      <c r="I6" s="5952"/>
      <c r="J6" s="5952"/>
      <c r="K6" s="7436"/>
      <c r="L6" s="7438" t="s">
        <v>2524</v>
      </c>
      <c r="M6" s="7439"/>
      <c r="N6" s="7439"/>
      <c r="O6" s="7439"/>
      <c r="P6" s="7440"/>
      <c r="Q6" s="7438"/>
      <c r="R6" s="7439"/>
      <c r="S6" s="7439"/>
      <c r="T6" s="7439"/>
      <c r="U6" s="7439"/>
      <c r="V6" s="7441"/>
      <c r="W6" s="7442"/>
      <c r="X6" s="7439"/>
      <c r="Y6" s="7443"/>
      <c r="Z6" s="5951"/>
      <c r="AA6" s="7444"/>
      <c r="AB6" s="7444"/>
      <c r="AC6" s="5951"/>
      <c r="AD6" s="5951"/>
      <c r="AE6" s="5951"/>
      <c r="AF6" s="7444"/>
      <c r="AG6" s="7444"/>
      <c r="AH6" s="5951"/>
      <c r="AI6" s="5959"/>
      <c r="AJ6" s="5959"/>
      <c r="AK6" s="5959"/>
      <c r="AL6" s="5959"/>
      <c r="AM6" s="5959"/>
    </row>
    <row r="7" spans="1:39" s="3561" customFormat="1">
      <c r="A7" s="5959"/>
      <c r="B7" s="5959"/>
      <c r="C7" s="5959"/>
      <c r="D7" s="5959"/>
      <c r="E7" s="5959"/>
      <c r="F7" s="5959"/>
      <c r="G7" s="5959"/>
      <c r="H7" s="8691" t="s">
        <v>2430</v>
      </c>
      <c r="I7" s="5952"/>
      <c r="J7" s="5952"/>
      <c r="K7" s="5952"/>
      <c r="L7" s="5952"/>
      <c r="M7" s="5952"/>
      <c r="N7" s="5952"/>
      <c r="O7" s="5952"/>
      <c r="P7" s="7450"/>
      <c r="Q7" s="5952"/>
      <c r="R7" s="5952"/>
      <c r="S7" s="5952"/>
      <c r="T7" s="5952"/>
      <c r="U7" s="5952"/>
      <c r="V7" s="7467"/>
      <c r="W7" s="7468"/>
      <c r="X7" s="5952"/>
      <c r="Y7" s="5952"/>
      <c r="Z7" s="5951"/>
      <c r="AA7" s="7444"/>
      <c r="AB7" s="7444"/>
      <c r="AC7" s="5951"/>
      <c r="AD7" s="5951"/>
      <c r="AE7" s="5951"/>
      <c r="AF7" s="7444"/>
      <c r="AG7" s="7444"/>
      <c r="AH7" s="5951"/>
      <c r="AI7" s="5959"/>
      <c r="AJ7" s="5959"/>
      <c r="AK7" s="5959"/>
      <c r="AL7" s="5959"/>
      <c r="AM7" s="5959"/>
    </row>
    <row r="8" spans="1:39" s="5959" customFormat="1">
      <c r="P8" s="7474"/>
      <c r="V8" s="7475"/>
      <c r="W8" s="7475"/>
      <c r="AA8" s="7475"/>
      <c r="AB8" s="7475"/>
      <c r="AF8" s="7475"/>
      <c r="AG8" s="7475"/>
    </row>
    <row r="9" spans="1:39" s="3561" customFormat="1" ht="6" customHeight="1">
      <c r="A9" s="5959"/>
      <c r="B9" s="5959"/>
      <c r="C9" s="5959"/>
      <c r="D9" s="5959"/>
      <c r="E9" s="5959"/>
      <c r="F9" s="5959"/>
      <c r="G9" s="5959"/>
      <c r="H9" s="5952"/>
      <c r="I9" s="5952"/>
      <c r="J9" s="5952"/>
      <c r="K9" s="5952"/>
      <c r="L9" s="5952"/>
      <c r="M9" s="5952"/>
      <c r="N9" s="5952"/>
      <c r="O9" s="5952"/>
      <c r="P9" s="7450"/>
      <c r="Q9" s="5952"/>
      <c r="R9" s="5952"/>
      <c r="S9" s="5952"/>
      <c r="T9" s="5952"/>
      <c r="U9" s="5952"/>
      <c r="V9" s="7467"/>
      <c r="W9" s="7468"/>
      <c r="X9" s="5952"/>
      <c r="Y9" s="5952"/>
      <c r="Z9" s="5952"/>
      <c r="AA9" s="7467"/>
      <c r="AB9" s="7467"/>
      <c r="AC9" s="5952"/>
      <c r="AD9" s="5952"/>
      <c r="AE9" s="5952"/>
      <c r="AF9" s="7467"/>
      <c r="AG9" s="7467"/>
      <c r="AH9" s="5952"/>
      <c r="AI9" s="5959"/>
      <c r="AJ9" s="5959"/>
      <c r="AK9" s="5959"/>
      <c r="AL9" s="5959"/>
      <c r="AM9" s="5959"/>
    </row>
    <row r="10" spans="1:39" s="3561" customFormat="1" ht="12.75" customHeight="1">
      <c r="A10" s="5959"/>
      <c r="B10" s="5959"/>
      <c r="C10" s="5959"/>
      <c r="D10" s="5959"/>
      <c r="E10" s="5959"/>
      <c r="F10" s="5959"/>
      <c r="G10" s="5959"/>
      <c r="H10" s="5952"/>
      <c r="I10" s="5952"/>
      <c r="J10" s="5952"/>
      <c r="K10" s="8858" t="s">
        <v>2535</v>
      </c>
      <c r="L10" s="8858"/>
      <c r="M10" s="8858"/>
      <c r="N10" s="8858"/>
      <c r="O10" s="8858"/>
      <c r="P10" s="8858"/>
      <c r="Q10" s="8858"/>
      <c r="R10" s="8831" t="s">
        <v>2517</v>
      </c>
      <c r="S10" s="8831"/>
      <c r="T10" s="8831"/>
      <c r="U10" s="8831"/>
      <c r="V10" s="8831"/>
      <c r="W10" s="8831"/>
      <c r="X10" s="5962"/>
      <c r="Y10" s="5962"/>
      <c r="AB10" s="7476" t="s">
        <v>2516</v>
      </c>
      <c r="AC10" s="5952"/>
      <c r="AD10" s="5952"/>
      <c r="AE10" s="5952"/>
      <c r="AG10" s="7476" t="s">
        <v>2515</v>
      </c>
      <c r="AH10" s="5952"/>
      <c r="AI10" s="5959"/>
      <c r="AJ10" s="5959"/>
      <c r="AK10" s="5959"/>
      <c r="AL10" s="5959"/>
      <c r="AM10" s="5959"/>
    </row>
    <row r="11" spans="1:39" s="3561" customFormat="1" ht="15.95" customHeight="1">
      <c r="A11" s="5959"/>
      <c r="B11" s="5959"/>
      <c r="C11" s="5959"/>
      <c r="D11" s="5959"/>
      <c r="E11" s="5959"/>
      <c r="F11" s="5959"/>
      <c r="G11" s="5959"/>
      <c r="H11" s="5952"/>
      <c r="I11" s="5952"/>
      <c r="J11" s="5952"/>
      <c r="K11" s="8858"/>
      <c r="L11" s="8858"/>
      <c r="M11" s="8858"/>
      <c r="N11" s="8858"/>
      <c r="O11" s="8858"/>
      <c r="P11" s="8858"/>
      <c r="Q11" s="8858"/>
      <c r="R11" s="8851" t="s">
        <v>2518</v>
      </c>
      <c r="S11" s="7445"/>
      <c r="T11" s="8850" t="s">
        <v>1154</v>
      </c>
      <c r="U11" s="8850"/>
      <c r="V11" s="8850"/>
      <c r="W11" s="7446"/>
      <c r="X11" s="5952"/>
      <c r="Y11" s="5952"/>
      <c r="Z11" s="8928" t="s">
        <v>2032</v>
      </c>
      <c r="AA11" s="8928"/>
      <c r="AB11" s="7477"/>
      <c r="AC11" s="5952"/>
      <c r="AD11" s="5952"/>
      <c r="AE11" s="8928" t="s">
        <v>2032</v>
      </c>
      <c r="AF11" s="8928"/>
      <c r="AG11" s="7477"/>
      <c r="AH11" s="5952"/>
      <c r="AI11" s="5959"/>
      <c r="AJ11" s="5959"/>
      <c r="AK11" s="5959"/>
      <c r="AL11" s="5959"/>
      <c r="AM11" s="5959"/>
    </row>
    <row r="12" spans="1:39" s="3561" customFormat="1" ht="12.75" customHeight="1">
      <c r="A12" s="5959"/>
      <c r="B12" s="5959"/>
      <c r="C12" s="5959"/>
      <c r="D12" s="5959"/>
      <c r="E12" s="5959"/>
      <c r="F12" s="5959"/>
      <c r="G12" s="5959"/>
      <c r="H12" s="5952"/>
      <c r="I12" s="5952"/>
      <c r="J12" s="5952"/>
      <c r="K12" s="8858"/>
      <c r="L12" s="8858"/>
      <c r="M12" s="8858"/>
      <c r="N12" s="8858"/>
      <c r="O12" s="8858"/>
      <c r="P12" s="8858"/>
      <c r="Q12" s="8858"/>
      <c r="R12" s="8852"/>
      <c r="S12" s="7447"/>
      <c r="T12" s="8846" t="s">
        <v>2512</v>
      </c>
      <c r="U12" s="8846" t="s">
        <v>2514</v>
      </c>
      <c r="V12" s="8848" t="s">
        <v>2513</v>
      </c>
      <c r="W12" s="7448"/>
      <c r="X12" s="5952"/>
      <c r="Y12" s="5952"/>
      <c r="Z12" s="7478" t="s">
        <v>1181</v>
      </c>
      <c r="AA12" s="7764">
        <v>20</v>
      </c>
      <c r="AB12" s="7479"/>
      <c r="AC12" s="5952"/>
      <c r="AD12" s="7480"/>
      <c r="AE12" s="7478" t="s">
        <v>1181</v>
      </c>
      <c r="AF12" s="7764">
        <v>25</v>
      </c>
      <c r="AG12" s="7479"/>
      <c r="AH12" s="5952"/>
      <c r="AI12" s="5959"/>
      <c r="AJ12" s="5959"/>
      <c r="AK12" s="5959"/>
      <c r="AL12" s="5959"/>
      <c r="AM12" s="5959"/>
    </row>
    <row r="13" spans="1:39" s="3561" customFormat="1" ht="12.75" customHeight="1">
      <c r="A13" s="5959"/>
      <c r="B13" s="5959"/>
      <c r="C13" s="5959"/>
      <c r="D13" s="5959"/>
      <c r="E13" s="5959"/>
      <c r="F13" s="5959"/>
      <c r="G13" s="5959"/>
      <c r="H13" s="5952"/>
      <c r="I13" s="5952"/>
      <c r="J13" s="5952"/>
      <c r="K13" s="5952"/>
      <c r="L13" s="7449" t="s">
        <v>2506</v>
      </c>
      <c r="M13" s="5952" t="s">
        <v>2549</v>
      </c>
      <c r="N13" s="5952"/>
      <c r="O13" s="5952"/>
      <c r="P13" s="7450"/>
      <c r="Q13" s="5952"/>
      <c r="R13" s="8852"/>
      <c r="S13" s="7447"/>
      <c r="T13" s="8847"/>
      <c r="U13" s="8847"/>
      <c r="V13" s="8849"/>
      <c r="W13" s="7451"/>
      <c r="X13" s="5952"/>
      <c r="Y13" s="5952"/>
      <c r="Z13" s="7478" t="s">
        <v>1182</v>
      </c>
      <c r="AA13" s="7765">
        <v>7.0000000000000007E-2</v>
      </c>
      <c r="AB13" s="7481"/>
      <c r="AC13" s="5952"/>
      <c r="AD13" s="7482"/>
      <c r="AE13" s="7478" t="s">
        <v>1182</v>
      </c>
      <c r="AF13" s="7765">
        <v>7.0000000000000007E-2</v>
      </c>
      <c r="AG13" s="7481"/>
      <c r="AH13" s="5952"/>
      <c r="AI13" s="5959"/>
      <c r="AJ13" s="5959"/>
      <c r="AK13" s="5959"/>
      <c r="AL13" s="5959"/>
      <c r="AM13" s="5959"/>
    </row>
    <row r="14" spans="1:39" s="3561" customFormat="1" ht="12.75" customHeight="1">
      <c r="A14" s="5959"/>
      <c r="B14" s="5959"/>
      <c r="C14" s="5959"/>
      <c r="D14" s="5959"/>
      <c r="E14" s="5959"/>
      <c r="F14" s="5959"/>
      <c r="G14" s="5959"/>
      <c r="H14" s="5952"/>
      <c r="I14" s="5952"/>
      <c r="J14" s="5952"/>
      <c r="K14" s="5952"/>
      <c r="L14" s="7449" t="s">
        <v>2507</v>
      </c>
      <c r="M14" s="8945" t="s">
        <v>2550</v>
      </c>
      <c r="N14" s="8945"/>
      <c r="O14" s="8945"/>
      <c r="P14" s="8945"/>
      <c r="Q14" s="8946"/>
      <c r="R14" s="8852"/>
      <c r="S14" s="7447"/>
      <c r="T14" s="8842" t="s">
        <v>2509</v>
      </c>
      <c r="U14" s="8843"/>
      <c r="V14" s="8947" t="s">
        <v>2510</v>
      </c>
      <c r="W14" s="7451"/>
      <c r="X14" s="5952"/>
      <c r="Y14" s="5952"/>
      <c r="Z14" s="7478" t="s">
        <v>1094</v>
      </c>
      <c r="AA14" s="7483">
        <f>+(AA13*(1+AA13)^AA12)/((1+AA13)^AA12-1)</f>
        <v>9.4392925743255696E-2</v>
      </c>
      <c r="AB14" s="7484"/>
      <c r="AC14" s="5952"/>
      <c r="AD14" s="7482"/>
      <c r="AE14" s="7478" t="s">
        <v>1094</v>
      </c>
      <c r="AF14" s="7483">
        <f>+(AF13*(1+AF13)^AF12)/((1+AF13)^AF12-1)</f>
        <v>8.5810517220665614E-2</v>
      </c>
      <c r="AG14" s="7484"/>
      <c r="AH14" s="5952"/>
      <c r="AI14" s="5959"/>
      <c r="AJ14" s="5959"/>
      <c r="AK14" s="5959"/>
      <c r="AL14" s="5959"/>
      <c r="AM14" s="5959"/>
    </row>
    <row r="15" spans="1:39" s="3561" customFormat="1" ht="12.75" customHeight="1">
      <c r="A15" s="5959"/>
      <c r="B15" s="5959"/>
      <c r="C15" s="5959"/>
      <c r="D15" s="5959"/>
      <c r="E15" s="5959"/>
      <c r="F15" s="5959"/>
      <c r="G15" s="5959"/>
      <c r="H15" s="5952"/>
      <c r="I15" s="5952"/>
      <c r="J15" s="7452"/>
      <c r="K15" s="5952"/>
      <c r="L15" s="7449"/>
      <c r="M15" s="8945"/>
      <c r="N15" s="8945"/>
      <c r="O15" s="8945"/>
      <c r="P15" s="8945"/>
      <c r="Q15" s="8946"/>
      <c r="R15" s="8852"/>
      <c r="S15" s="7453"/>
      <c r="T15" s="8844"/>
      <c r="U15" s="8845"/>
      <c r="V15" s="8948"/>
      <c r="W15" s="7454"/>
      <c r="X15" s="5952"/>
      <c r="Y15" s="5952"/>
      <c r="Z15" s="5952"/>
      <c r="AA15" s="7467"/>
      <c r="AB15" s="7467"/>
      <c r="AC15" s="5952"/>
      <c r="AD15" s="5952"/>
      <c r="AE15" s="5952"/>
      <c r="AF15" s="7467"/>
      <c r="AG15" s="7467"/>
      <c r="AH15" s="5952"/>
      <c r="AI15" s="5959"/>
      <c r="AJ15" s="5959"/>
      <c r="AK15" s="5959"/>
      <c r="AL15" s="5959"/>
      <c r="AM15" s="5959"/>
    </row>
    <row r="16" spans="1:39" s="3561" customFormat="1" ht="12.75" customHeight="1">
      <c r="A16" s="5959"/>
      <c r="B16" s="5959"/>
      <c r="C16" s="5959"/>
      <c r="D16" s="5959"/>
      <c r="E16" s="5959"/>
      <c r="F16" s="5959"/>
      <c r="G16" s="5959"/>
      <c r="H16" s="5952"/>
      <c r="I16" s="5952" t="s">
        <v>562</v>
      </c>
      <c r="J16" s="7455"/>
      <c r="K16" s="5952"/>
      <c r="L16" s="7449"/>
      <c r="M16" s="8945"/>
      <c r="N16" s="8945"/>
      <c r="O16" s="8945"/>
      <c r="P16" s="8945"/>
      <c r="Q16" s="8946"/>
      <c r="R16" s="8852"/>
      <c r="S16" s="7456"/>
      <c r="T16" s="8844" t="s">
        <v>2511</v>
      </c>
      <c r="U16" s="8845"/>
      <c r="V16" s="8864"/>
      <c r="W16" s="7457"/>
      <c r="X16" s="5952"/>
      <c r="Y16" s="5952"/>
      <c r="Z16" s="8928" t="s">
        <v>2033</v>
      </c>
      <c r="AA16" s="8928"/>
      <c r="AB16" s="7477"/>
      <c r="AC16" s="5952"/>
      <c r="AD16" s="5952"/>
      <c r="AE16" s="8928" t="s">
        <v>2033</v>
      </c>
      <c r="AF16" s="8928"/>
      <c r="AG16" s="7477"/>
      <c r="AH16" s="5952"/>
      <c r="AI16" s="5959"/>
      <c r="AJ16" s="5959"/>
      <c r="AK16" s="5959"/>
      <c r="AL16" s="5959"/>
      <c r="AM16" s="5959"/>
    </row>
    <row r="17" spans="1:39" s="3561" customFormat="1" ht="12.75" customHeight="1">
      <c r="A17" s="5959"/>
      <c r="B17" s="5959"/>
      <c r="C17" s="5959"/>
      <c r="D17" s="5959"/>
      <c r="E17" s="5959"/>
      <c r="F17" s="5959"/>
      <c r="G17" s="5959"/>
      <c r="H17" s="5952"/>
      <c r="I17" s="5952"/>
      <c r="J17" s="7458"/>
      <c r="K17" s="5952"/>
      <c r="L17" s="7449" t="s">
        <v>2508</v>
      </c>
      <c r="M17" s="8862" t="s">
        <v>2525</v>
      </c>
      <c r="N17" s="8862"/>
      <c r="O17" s="8862"/>
      <c r="P17" s="8862"/>
      <c r="Q17" s="8863"/>
      <c r="R17" s="8852"/>
      <c r="S17" s="7453"/>
      <c r="T17" s="8844"/>
      <c r="U17" s="8845"/>
      <c r="V17" s="8864"/>
      <c r="W17" s="7454"/>
      <c r="X17" s="5952"/>
      <c r="Y17" s="5952"/>
      <c r="Z17" s="7478" t="s">
        <v>1181</v>
      </c>
      <c r="AA17" s="7764">
        <v>40</v>
      </c>
      <c r="AB17" s="7479"/>
      <c r="AC17" s="7467"/>
      <c r="AD17" s="5952"/>
      <c r="AE17" s="7478" t="s">
        <v>1181</v>
      </c>
      <c r="AF17" s="7764">
        <v>40</v>
      </c>
      <c r="AG17" s="7479"/>
      <c r="AH17" s="5952"/>
      <c r="AI17" s="5959"/>
      <c r="AJ17" s="5959"/>
      <c r="AK17" s="5959"/>
      <c r="AL17" s="5959"/>
      <c r="AM17" s="5959"/>
    </row>
    <row r="18" spans="1:39" s="3561" customFormat="1" ht="12.75" customHeight="1">
      <c r="A18" s="5959"/>
      <c r="B18" s="5959"/>
      <c r="C18" s="5959"/>
      <c r="D18" s="5959"/>
      <c r="E18" s="5959"/>
      <c r="F18" s="5959"/>
      <c r="G18" s="5959"/>
      <c r="H18" s="5952"/>
      <c r="I18" s="5952"/>
      <c r="J18" s="7458"/>
      <c r="K18" s="5952"/>
      <c r="L18" s="5952"/>
      <c r="M18" s="8862"/>
      <c r="N18" s="8862"/>
      <c r="O18" s="8862"/>
      <c r="P18" s="8862"/>
      <c r="Q18" s="8863"/>
      <c r="R18" s="8852"/>
      <c r="S18" s="7459"/>
      <c r="T18" s="8844" t="s">
        <v>1189</v>
      </c>
      <c r="U18" s="8845"/>
      <c r="V18" s="8864"/>
      <c r="W18" s="7457"/>
      <c r="X18" s="5952"/>
      <c r="Y18" s="5952"/>
      <c r="Z18" s="7478" t="s">
        <v>1182</v>
      </c>
      <c r="AA18" s="7765">
        <v>7.0000000000000007E-2</v>
      </c>
      <c r="AB18" s="7481"/>
      <c r="AC18" s="7467"/>
      <c r="AD18" s="5952"/>
      <c r="AE18" s="7478" t="s">
        <v>1182</v>
      </c>
      <c r="AF18" s="7765">
        <v>7.0000000000000007E-2</v>
      </c>
      <c r="AG18" s="7481"/>
      <c r="AH18" s="5952"/>
      <c r="AI18" s="5959"/>
      <c r="AJ18" s="5959"/>
      <c r="AK18" s="5959"/>
      <c r="AL18" s="5959"/>
      <c r="AM18" s="5959"/>
    </row>
    <row r="19" spans="1:39" s="3561" customFormat="1" ht="12.75" customHeight="1">
      <c r="A19" s="5959"/>
      <c r="B19" s="5959"/>
      <c r="C19" s="5959"/>
      <c r="D19" s="5959"/>
      <c r="E19" s="5959"/>
      <c r="F19" s="5959"/>
      <c r="G19" s="5959"/>
      <c r="H19" s="5952"/>
      <c r="I19" s="7458"/>
      <c r="J19" s="7458"/>
      <c r="K19" s="5952"/>
      <c r="L19" s="5952"/>
      <c r="M19" s="8862"/>
      <c r="N19" s="8862"/>
      <c r="O19" s="8862"/>
      <c r="P19" s="8862"/>
      <c r="Q19" s="8863"/>
      <c r="R19" s="8853"/>
      <c r="S19" s="7460"/>
      <c r="T19" s="8865"/>
      <c r="U19" s="8866"/>
      <c r="V19" s="8867"/>
      <c r="W19" s="7461"/>
      <c r="X19" s="5952"/>
      <c r="Y19" s="5952"/>
      <c r="Z19" s="7478" t="s">
        <v>1094</v>
      </c>
      <c r="AA19" s="7483">
        <f>+(AA18*(1+AA18)^AA17)/((1+AA18)^AA17-1)</f>
        <v>7.5009138873610326E-2</v>
      </c>
      <c r="AB19" s="7484"/>
      <c r="AC19" s="7467"/>
      <c r="AD19" s="5952"/>
      <c r="AE19" s="7478" t="s">
        <v>1094</v>
      </c>
      <c r="AF19" s="7483">
        <f>+(AF18*(1+AF18)^AF17)/((1+AF18)^AF17-1)</f>
        <v>7.5009138873610326E-2</v>
      </c>
      <c r="AG19" s="7484"/>
      <c r="AH19" s="5952"/>
      <c r="AI19" s="5959"/>
      <c r="AJ19" s="5959"/>
      <c r="AK19" s="5959"/>
      <c r="AL19" s="5959"/>
      <c r="AM19" s="5959"/>
    </row>
    <row r="20" spans="1:39" s="3561" customFormat="1" ht="21" customHeight="1" thickBot="1">
      <c r="A20" s="5959"/>
      <c r="B20" s="5959"/>
      <c r="C20" s="5959"/>
      <c r="D20" s="7485"/>
      <c r="E20" s="5959"/>
      <c r="F20" s="5959"/>
      <c r="G20" s="5959"/>
      <c r="H20" s="5952"/>
      <c r="I20" s="5952"/>
      <c r="J20" s="5952"/>
      <c r="K20" s="5952"/>
      <c r="L20" s="5952"/>
      <c r="M20" s="7466"/>
      <c r="N20" s="5952"/>
      <c r="O20" s="5952"/>
      <c r="P20" s="7450"/>
      <c r="Q20" s="5952"/>
      <c r="R20" s="5952"/>
      <c r="S20" s="5952"/>
      <c r="T20" s="5952"/>
      <c r="U20" s="5952"/>
      <c r="V20" s="7467"/>
      <c r="W20" s="7468"/>
      <c r="X20" s="5952"/>
      <c r="Y20" s="5952"/>
      <c r="Z20" s="5952"/>
      <c r="AA20" s="7467"/>
      <c r="AB20" s="7467"/>
      <c r="AC20" s="5952"/>
      <c r="AD20" s="5952"/>
      <c r="AE20" s="5952"/>
      <c r="AF20" s="7777" t="s">
        <v>1452</v>
      </c>
      <c r="AG20" s="7467"/>
      <c r="AH20" s="5952"/>
      <c r="AI20" s="5959"/>
      <c r="AJ20" s="5959"/>
      <c r="AK20" s="5959"/>
      <c r="AL20" s="5959"/>
      <c r="AM20" s="5959"/>
    </row>
    <row r="21" spans="1:39" s="3561" customFormat="1" ht="15.95" customHeight="1">
      <c r="A21" s="5959"/>
      <c r="B21" s="5959"/>
      <c r="C21" s="5959"/>
      <c r="D21" s="5959"/>
      <c r="E21" s="5959"/>
      <c r="F21" s="5959"/>
      <c r="G21" s="5959"/>
      <c r="H21" s="5952"/>
      <c r="I21" s="8836" t="s">
        <v>382</v>
      </c>
      <c r="J21" s="8926" t="s">
        <v>1449</v>
      </c>
      <c r="K21" s="8839" t="s">
        <v>609</v>
      </c>
      <c r="L21" s="8839" t="s">
        <v>1450</v>
      </c>
      <c r="M21" s="8839" t="s">
        <v>1086</v>
      </c>
      <c r="N21" s="8839" t="s">
        <v>1190</v>
      </c>
      <c r="O21" s="8839" t="s">
        <v>984</v>
      </c>
      <c r="P21" s="8839" t="s">
        <v>1079</v>
      </c>
      <c r="Q21" s="8839" t="s">
        <v>1129</v>
      </c>
      <c r="R21" s="8854" t="s">
        <v>2519</v>
      </c>
      <c r="S21" s="8855"/>
      <c r="T21" s="8855"/>
      <c r="U21" s="8855"/>
      <c r="V21" s="8855"/>
      <c r="W21" s="8855"/>
      <c r="X21" s="8855"/>
      <c r="Y21" s="8855"/>
      <c r="Z21" s="8855"/>
      <c r="AA21" s="8855"/>
      <c r="AB21" s="8855"/>
      <c r="AC21" s="8855"/>
      <c r="AD21" s="8855"/>
      <c r="AE21" s="8855"/>
      <c r="AF21" s="8855"/>
      <c r="AG21" s="8856"/>
      <c r="AH21" s="5952"/>
      <c r="AI21" s="5959"/>
      <c r="AJ21" s="5959"/>
      <c r="AK21" s="5959"/>
      <c r="AL21" s="5959"/>
      <c r="AM21" s="5959"/>
    </row>
    <row r="22" spans="1:39" s="3561" customFormat="1" ht="15.95" customHeight="1">
      <c r="A22" s="5959"/>
      <c r="B22" s="5959"/>
      <c r="C22" s="5959"/>
      <c r="D22" s="5959"/>
      <c r="E22" s="5959"/>
      <c r="F22" s="5959"/>
      <c r="G22" s="5959"/>
      <c r="H22" s="5952"/>
      <c r="I22" s="8837"/>
      <c r="J22" s="8927"/>
      <c r="K22" s="8840"/>
      <c r="L22" s="8840"/>
      <c r="M22" s="8840"/>
      <c r="N22" s="8840"/>
      <c r="O22" s="8840"/>
      <c r="P22" s="8840"/>
      <c r="Q22" s="8840"/>
      <c r="R22" s="8890" t="s">
        <v>1185</v>
      </c>
      <c r="S22" s="8825" t="s">
        <v>2506</v>
      </c>
      <c r="T22" s="8826"/>
      <c r="U22" s="8826"/>
      <c r="V22" s="8826"/>
      <c r="W22" s="8827"/>
      <c r="X22" s="8825" t="s">
        <v>2507</v>
      </c>
      <c r="Y22" s="8826"/>
      <c r="Z22" s="8826"/>
      <c r="AA22" s="8826"/>
      <c r="AB22" s="8826"/>
      <c r="AC22" s="8823" t="s">
        <v>2508</v>
      </c>
      <c r="AD22" s="8824"/>
      <c r="AE22" s="8824"/>
      <c r="AF22" s="8824"/>
      <c r="AG22" s="8857"/>
      <c r="AH22" s="5952"/>
      <c r="AI22" s="5959"/>
      <c r="AJ22" s="5959"/>
      <c r="AK22" s="5959"/>
      <c r="AL22" s="5959"/>
      <c r="AM22" s="5959"/>
    </row>
    <row r="23" spans="1:39" s="3561" customFormat="1" ht="25.5" customHeight="1">
      <c r="A23" s="5959"/>
      <c r="B23" s="5959"/>
      <c r="C23" s="5959"/>
      <c r="D23" s="5959"/>
      <c r="E23" s="5959"/>
      <c r="F23" s="5959"/>
      <c r="G23" s="5959"/>
      <c r="H23" s="5952"/>
      <c r="I23" s="8837"/>
      <c r="J23" s="8927"/>
      <c r="K23" s="8840"/>
      <c r="L23" s="8840"/>
      <c r="M23" s="8840"/>
      <c r="N23" s="8840"/>
      <c r="O23" s="8840"/>
      <c r="P23" s="8840"/>
      <c r="Q23" s="8840"/>
      <c r="R23" s="8887"/>
      <c r="S23" s="8823" t="s">
        <v>2546</v>
      </c>
      <c r="T23" s="8824"/>
      <c r="U23" s="8824"/>
      <c r="V23" s="8824"/>
      <c r="W23" s="8908"/>
      <c r="X23" s="8823" t="s">
        <v>2520</v>
      </c>
      <c r="Y23" s="8824"/>
      <c r="Z23" s="8824"/>
      <c r="AA23" s="8824"/>
      <c r="AB23" s="7486"/>
      <c r="AC23" s="8832" t="s">
        <v>2521</v>
      </c>
      <c r="AD23" s="8833"/>
      <c r="AE23" s="8833"/>
      <c r="AF23" s="8833"/>
      <c r="AG23" s="7487"/>
      <c r="AH23" s="5952"/>
      <c r="AI23" s="5959"/>
      <c r="AJ23" s="5959"/>
      <c r="AK23" s="5959"/>
      <c r="AL23" s="5959"/>
      <c r="AM23" s="5959"/>
    </row>
    <row r="24" spans="1:39" s="3561" customFormat="1" ht="54.75" customHeight="1">
      <c r="A24" s="5959"/>
      <c r="B24" s="5959"/>
      <c r="C24" s="5959"/>
      <c r="D24" s="5959"/>
      <c r="E24" s="5959"/>
      <c r="F24" s="5959"/>
      <c r="G24" s="5959"/>
      <c r="H24" s="5952"/>
      <c r="I24" s="8838"/>
      <c r="J24" s="7488"/>
      <c r="K24" s="8841"/>
      <c r="L24" s="8841"/>
      <c r="M24" s="8841"/>
      <c r="N24" s="8841"/>
      <c r="O24" s="8841"/>
      <c r="P24" s="8841"/>
      <c r="Q24" s="8841"/>
      <c r="R24" s="8887"/>
      <c r="S24" s="7489"/>
      <c r="T24" s="8834" t="s">
        <v>2548</v>
      </c>
      <c r="U24" s="8909"/>
      <c r="V24" s="8909"/>
      <c r="W24" s="7490"/>
      <c r="X24" s="7491"/>
      <c r="Y24" s="8911" t="s">
        <v>2547</v>
      </c>
      <c r="Z24" s="8911"/>
      <c r="AA24" s="8911"/>
      <c r="AB24" s="7492"/>
      <c r="AC24" s="7491"/>
      <c r="AD24" s="8834" t="s">
        <v>2908</v>
      </c>
      <c r="AE24" s="8834"/>
      <c r="AF24" s="8834"/>
      <c r="AG24" s="8835"/>
      <c r="AH24" s="5952"/>
      <c r="AI24" s="5959"/>
      <c r="AJ24" s="5959"/>
      <c r="AK24" s="5959"/>
      <c r="AL24" s="5959"/>
      <c r="AM24" s="5959"/>
    </row>
    <row r="25" spans="1:39">
      <c r="A25" s="5959"/>
      <c r="B25" s="5959"/>
      <c r="C25" s="5959"/>
      <c r="D25" s="5959"/>
      <c r="E25" s="5959"/>
      <c r="F25" s="5959"/>
      <c r="G25" s="5959"/>
      <c r="H25" s="5952"/>
      <c r="I25" s="7493">
        <v>1</v>
      </c>
      <c r="J25" s="7494"/>
      <c r="K25" s="7494">
        <f>1+I25</f>
        <v>2</v>
      </c>
      <c r="L25" s="7494">
        <v>4</v>
      </c>
      <c r="M25" s="7494">
        <v>5</v>
      </c>
      <c r="N25" s="7494">
        <f t="shared" ref="N25:S25" si="0">1+M25</f>
        <v>6</v>
      </c>
      <c r="O25" s="7494">
        <f t="shared" si="0"/>
        <v>7</v>
      </c>
      <c r="P25" s="7494">
        <f t="shared" si="0"/>
        <v>8</v>
      </c>
      <c r="Q25" s="7494">
        <f t="shared" si="0"/>
        <v>9</v>
      </c>
      <c r="R25" s="7494">
        <f t="shared" si="0"/>
        <v>10</v>
      </c>
      <c r="S25" s="8912">
        <f t="shared" si="0"/>
        <v>11</v>
      </c>
      <c r="T25" s="8912"/>
      <c r="U25" s="8912"/>
      <c r="V25" s="8912"/>
      <c r="W25" s="8912"/>
      <c r="X25" s="8868">
        <f>1+S25</f>
        <v>12</v>
      </c>
      <c r="Y25" s="8868"/>
      <c r="Z25" s="8868"/>
      <c r="AA25" s="8868"/>
      <c r="AB25" s="8869"/>
      <c r="AC25" s="8912">
        <f>1+X25</f>
        <v>13</v>
      </c>
      <c r="AD25" s="8912"/>
      <c r="AE25" s="8912"/>
      <c r="AF25" s="8912"/>
      <c r="AG25" s="9226"/>
      <c r="AH25" s="5952"/>
      <c r="AI25" s="5959"/>
      <c r="AJ25" s="5959"/>
      <c r="AK25" s="5959"/>
      <c r="AL25" s="5959"/>
      <c r="AM25" s="5959"/>
    </row>
    <row r="26" spans="1:39" ht="15" customHeight="1">
      <c r="A26" s="5952"/>
      <c r="B26" s="5952"/>
      <c r="C26" s="5952"/>
      <c r="D26" s="5952"/>
      <c r="E26" s="5952"/>
      <c r="F26" s="5952"/>
      <c r="G26" s="5959"/>
      <c r="H26" s="5952"/>
      <c r="I26" s="7495"/>
      <c r="J26" s="7495"/>
      <c r="K26" s="7496" t="s">
        <v>1157</v>
      </c>
      <c r="L26" s="7495"/>
      <c r="M26" s="7495"/>
      <c r="N26" s="7495"/>
      <c r="O26" s="7495"/>
      <c r="P26" s="7497"/>
      <c r="Q26" s="7498"/>
      <c r="R26" s="7499"/>
      <c r="S26" s="7499"/>
      <c r="T26" s="7499"/>
      <c r="U26" s="7499"/>
      <c r="V26" s="7499"/>
      <c r="W26" s="7500"/>
      <c r="X26" s="7499"/>
      <c r="Y26" s="7499"/>
      <c r="Z26" s="7499"/>
      <c r="AA26" s="7499"/>
      <c r="AB26" s="7499"/>
      <c r="AC26" s="7499"/>
      <c r="AD26" s="7499"/>
      <c r="AE26" s="7499"/>
      <c r="AF26" s="7499"/>
      <c r="AG26" s="7499"/>
      <c r="AH26" s="5962"/>
      <c r="AI26" s="5959"/>
      <c r="AJ26" s="5959"/>
      <c r="AK26" s="5959"/>
      <c r="AL26" s="5959"/>
      <c r="AM26" s="5959"/>
    </row>
    <row r="27" spans="1:39" ht="12.75" customHeight="1" thickBot="1">
      <c r="B27" s="8799"/>
      <c r="C27" s="8800" t="s">
        <v>1968</v>
      </c>
      <c r="D27" s="8800"/>
      <c r="E27" s="8800"/>
      <c r="F27" s="5952"/>
      <c r="G27" s="5959"/>
      <c r="H27" s="5952"/>
      <c r="I27" s="7501"/>
      <c r="J27" s="7501"/>
      <c r="K27" s="7502" t="s">
        <v>1487</v>
      </c>
      <c r="L27" s="7501"/>
      <c r="M27" s="5962"/>
      <c r="N27" s="5962"/>
      <c r="O27" s="5962"/>
      <c r="P27" s="7503"/>
      <c r="Q27" s="7504"/>
      <c r="R27" s="5984"/>
      <c r="S27" s="5984"/>
      <c r="T27" s="5984"/>
      <c r="U27" s="5984"/>
      <c r="V27" s="5984"/>
      <c r="W27" s="7505"/>
      <c r="X27" s="5984"/>
      <c r="Y27" s="5984"/>
      <c r="Z27" s="5984"/>
      <c r="AA27" s="5984"/>
      <c r="AB27" s="5984"/>
      <c r="AC27" s="7499"/>
      <c r="AD27" s="7499"/>
      <c r="AE27" s="7499"/>
      <c r="AF27" s="7499"/>
      <c r="AG27" s="7499"/>
      <c r="AH27" s="5962"/>
      <c r="AI27" s="5959"/>
      <c r="AJ27" s="5959"/>
      <c r="AK27" s="5959"/>
      <c r="AL27" s="5959"/>
      <c r="AM27" s="5959"/>
    </row>
    <row r="28" spans="1:39" ht="30" customHeight="1" thickBot="1">
      <c r="A28" s="5952"/>
      <c r="B28" s="8763" t="str">
        <f>+IF('12(id)'!A21="","",'12(id)'!A21)</f>
        <v>8298-01</v>
      </c>
      <c r="C28" s="8797" t="str">
        <f>+IF(B28="","",VLOOKUP(MATCH(B28,tid,0),tao,'12(id)'!$J$20,FALSE))</f>
        <v>CDECCA</v>
      </c>
      <c r="D28" s="8798" t="str">
        <f>+M28</f>
        <v>GT </v>
      </c>
      <c r="E28" s="8763" t="str">
        <f>+IF(B28="","",B28&amp;IF(ISERR(VALUE(R28)),"-01",IF(R28&lt;10,"-0"&amp;IF(R28="",1,R28),"-"&amp;R28)))</f>
        <v>8298-01-01</v>
      </c>
      <c r="F28" s="5952"/>
      <c r="G28" s="5959"/>
      <c r="H28" s="5952"/>
      <c r="I28" s="7506">
        <v>1</v>
      </c>
      <c r="J28" s="7507" t="str">
        <f>+IF(VLOOKUP(MATCH(B28,tid,0),tao,'12(id)'!$I$20,FALSE)="","",VLOOKUP(MATCH(B28,tid,0),tao,'12(id)'!$I$20,FALSE))</f>
        <v>Capitol District Energy Center Cogeneration Associates</v>
      </c>
      <c r="K28" s="3565">
        <f>+IF(B28="","",IF(VLOOKUP(MATCH(B28,tid,0),tao,'12(id)'!$K$20,FALSE)="","",VLOOKUP(MATCH(B28,tid,0),tao,'12(id)'!$K$20,FALSE)))</f>
        <v>8298</v>
      </c>
      <c r="L28" s="7508" t="str">
        <f>+IF(B28="","",IF(VLOOKUP(MATCH(B28,tid,0),tao,'12(id)'!$L$20,FALSE)="","",VLOOKUP(MATCH(B28,tid,0),tao,'12(id)'!$L$20,FALSE)))</f>
        <v>Capitol District Energy Center</v>
      </c>
      <c r="M28" s="7509" t="str">
        <f>+IF(B28="","",IF(VLOOKUP(MATCH(B28,tid,0),tao,'12(id)'!$Q$20,FALSE)="","",VLOOKUP(MATCH(B28,tid,0),tao,'12(id)'!$Q$20,FALSE)))</f>
        <v>GT </v>
      </c>
      <c r="N28" s="7510" t="str">
        <f>+IF(B28="","",IF(VLOOKUP(MATCH(B28,tid,0),tao,'12(id)'!$CT$20,FALSE)="","",VLOOKUP(MATCH(B28,tid,0),tao,'12(id)'!$CT$20,FALSE)))</f>
        <v/>
      </c>
      <c r="O28" s="7511" t="str">
        <f ca="1">+IF(B28="","",IF(VLOOKUP(MATCH(B28,tid,0),tao,'12(id)'!$DE$20,FALSE)="","",ROUND(VLOOKUP(MATCH(B28,tid,0),tao,'12(id)'!$DE$20,FALSE),0)&amp;" yrs"))</f>
        <v>25 yrs</v>
      </c>
      <c r="P28" s="7511" t="str">
        <f>+IF(B28="","",IF(VLOOKUP(MATCH(B28,tid,0),tao,'12(id)'!$FR$20,FALSE)="","",VLOOKUP(MATCH(B28,tid,0),tao,'12(id)'!$FR$20,FALSE)))</f>
        <v/>
      </c>
      <c r="Q28" s="7511" t="str">
        <f>+IF(B28="","",IF(VLOOKUP(MATCH(B28,tid,0),tao,'12(id)'!$DI$20,FALSE)="","",VLOOKUP(MATCH(B28,tid,0),tao,'12(id)'!$DI$20,FALSE))&amp;";  "&amp;IF(VLOOKUP(MATCH(B28,tid,0),tao,'12(id)'!$DQ$20,FALSE)="","",VLOOKUP(MATCH(B28,tid,0),tao,'12(id)'!$DQ$20,FALSE)))</f>
        <v>Natural Gas;  No. 2 oil</v>
      </c>
      <c r="R28" s="7512"/>
      <c r="S28" s="7513"/>
      <c r="T28" s="8821" t="str">
        <f>+IF(ISERROR(VLOOKUP(MATCH(E28,c_id,0),ca,'13(an)'!$BG$34,FALSE)),"",VLOOKUP(MATCH(E28,c_id,0),ca,'13(an)'!$BG$34,FALSE))</f>
        <v>Unit Owner report not provided</v>
      </c>
      <c r="U28" s="8821"/>
      <c r="V28" s="8821"/>
      <c r="W28" s="8910"/>
      <c r="X28" s="7514"/>
      <c r="Y28" s="8821" t="s">
        <v>2551</v>
      </c>
      <c r="Z28" s="8821"/>
      <c r="AA28" s="8821"/>
      <c r="AB28" s="7515"/>
      <c r="AC28" s="7514"/>
      <c r="AD28" s="8821" t="s">
        <v>2552</v>
      </c>
      <c r="AE28" s="8821"/>
      <c r="AF28" s="8821"/>
      <c r="AG28" s="8822"/>
      <c r="AH28" s="5952"/>
      <c r="AI28" s="5959"/>
      <c r="AJ28" s="5959"/>
      <c r="AK28" s="5959"/>
      <c r="AL28" s="5959"/>
      <c r="AM28" s="5959"/>
    </row>
    <row r="29" spans="1:39" ht="12.75" customHeight="1">
      <c r="A29" s="5952"/>
      <c r="B29" s="7516"/>
      <c r="C29" s="7517"/>
      <c r="D29" s="7518"/>
      <c r="E29" s="7516"/>
      <c r="F29" s="5952"/>
      <c r="G29" s="5959"/>
      <c r="H29" s="5952"/>
      <c r="I29" s="7519"/>
      <c r="J29" s="7520"/>
      <c r="K29" s="7519"/>
      <c r="L29" s="7521"/>
      <c r="M29" s="7522"/>
      <c r="N29" s="7523"/>
      <c r="O29" s="7524"/>
      <c r="P29" s="7524"/>
      <c r="Q29" s="7524"/>
      <c r="R29" s="7519"/>
      <c r="S29" s="5962"/>
      <c r="T29" s="5962"/>
      <c r="U29" s="5962"/>
      <c r="V29" s="7431"/>
      <c r="W29" s="7432"/>
      <c r="X29" s="5962"/>
      <c r="Y29" s="7431"/>
      <c r="Z29" s="7431"/>
      <c r="AA29" s="7431"/>
      <c r="AB29" s="7431"/>
      <c r="AC29" s="5962"/>
      <c r="AD29" s="7431"/>
      <c r="AE29" s="7431"/>
      <c r="AF29" s="7431"/>
      <c r="AG29" s="7431"/>
      <c r="AH29" s="5962"/>
      <c r="AI29" s="5959"/>
      <c r="AJ29" s="5959"/>
      <c r="AK29" s="5959"/>
      <c r="AL29" s="5959"/>
      <c r="AM29" s="5959"/>
    </row>
    <row r="30" spans="1:39" ht="12.75" customHeight="1">
      <c r="A30" s="5952"/>
      <c r="B30" s="7516"/>
      <c r="C30" s="7517"/>
      <c r="D30" s="7518"/>
      <c r="E30" s="7516"/>
      <c r="F30" s="5952"/>
      <c r="G30" s="5959"/>
      <c r="H30" s="5952"/>
      <c r="I30" s="7519"/>
      <c r="J30" s="7520"/>
      <c r="K30" s="7519"/>
      <c r="L30" s="7521"/>
      <c r="M30" s="7522"/>
      <c r="N30" s="7523"/>
      <c r="O30" s="7524"/>
      <c r="P30" s="7524"/>
      <c r="Q30" s="7524"/>
      <c r="R30" s="7519"/>
      <c r="S30" s="5962"/>
      <c r="T30" s="5962"/>
      <c r="U30" s="5962"/>
      <c r="V30" s="7431"/>
      <c r="W30" s="7432"/>
      <c r="X30" s="5962"/>
      <c r="Y30" s="7431"/>
      <c r="Z30" s="7431"/>
      <c r="AA30" s="7431"/>
      <c r="AB30" s="7431"/>
      <c r="AC30" s="5962"/>
      <c r="AD30" s="7469" t="s">
        <v>912</v>
      </c>
      <c r="AE30" s="8830" t="s">
        <v>2526</v>
      </c>
      <c r="AF30" s="8830"/>
      <c r="AG30" s="7431"/>
      <c r="AH30" s="5962"/>
      <c r="AI30" s="5959"/>
      <c r="AJ30" s="5959"/>
      <c r="AK30" s="5959"/>
      <c r="AL30" s="5959"/>
      <c r="AM30" s="5959"/>
    </row>
    <row r="31" spans="1:39" s="3561" customFormat="1" ht="15" customHeight="1" thickBot="1">
      <c r="A31" s="5952"/>
      <c r="B31" s="7525"/>
      <c r="C31" s="7517"/>
      <c r="D31" s="7450"/>
      <c r="E31" s="7450"/>
      <c r="F31" s="5952"/>
      <c r="G31" s="5959"/>
      <c r="H31" s="5952"/>
      <c r="I31" s="7495"/>
      <c r="J31" s="7495"/>
      <c r="K31" s="7526" t="str">
        <f>+IF(B32="","",IF(VLOOKUP(MATCH(B32,tid,0),tao,'12(id)'!$I$20,FALSE)="","",VLOOKUP(MATCH(B32,tid,0),tao,'12(id)'!$I$20,FALSE)))</f>
        <v>Connecticut Resources Recovery Authority</v>
      </c>
      <c r="L31" s="5952"/>
      <c r="M31" s="5952"/>
      <c r="N31" s="5952"/>
      <c r="O31" s="5952"/>
      <c r="P31" s="5952"/>
      <c r="Q31" s="5952"/>
      <c r="R31" s="5952"/>
      <c r="S31" s="5952"/>
      <c r="T31" s="5952"/>
      <c r="U31" s="5952"/>
      <c r="V31" s="7467"/>
      <c r="W31" s="7468"/>
      <c r="X31" s="5952"/>
      <c r="Y31" s="5952"/>
      <c r="Z31" s="5952"/>
      <c r="AA31" s="7467"/>
      <c r="AB31" s="7467"/>
      <c r="AC31" s="5952"/>
      <c r="AD31" s="7470"/>
      <c r="AE31" s="8830"/>
      <c r="AF31" s="8830"/>
      <c r="AG31" s="7431"/>
      <c r="AH31" s="5962"/>
      <c r="AI31" s="5959"/>
      <c r="AJ31" s="5959"/>
      <c r="AK31" s="5959"/>
      <c r="AL31" s="5959"/>
      <c r="AM31" s="5959"/>
    </row>
    <row r="32" spans="1:39" ht="12.75" customHeight="1">
      <c r="A32" s="5952"/>
      <c r="B32" s="9034" t="str">
        <f>+IF('12(id)'!A22="","",'12(id)'!A22)</f>
        <v>8302-01</v>
      </c>
      <c r="C32" s="8933" t="str">
        <f>+IF(B32="","",VLOOKUP(MATCH(B32,tid,0),tao,'12(id)'!$J$20,FALSE))</f>
        <v>CRRA</v>
      </c>
      <c r="D32" s="8929" t="str">
        <f>+M32</f>
        <v>11A</v>
      </c>
      <c r="E32" s="9180" t="str">
        <f>+IF(B32="","",B32&amp;IF(ISERR(VALUE(R32)),"-01",IF(R32&lt;10,"-0"&amp;R32,"-"&amp;R32)))</f>
        <v>8302-01-01</v>
      </c>
      <c r="F32" s="5962"/>
      <c r="G32" s="7527"/>
      <c r="H32" s="5962"/>
      <c r="I32" s="9069">
        <f>1+I28</f>
        <v>2</v>
      </c>
      <c r="J32" s="9241" t="str">
        <f>+IF(VLOOKUP(MATCH(B32,tid,0),tao,'12(id)'!$I$20,FALSE)="","",VLOOKUP(MATCH(B32,tid,0),tao,'12(id)'!$I$20,FALSE))</f>
        <v>Connecticut Resources Recovery Authority</v>
      </c>
      <c r="K32" s="9063">
        <f>+IF(B32="","",IF(VLOOKUP(MATCH(B32,tid,0),tao,'12(id)'!$K$20,FALSE)="","",VLOOKUP(MATCH(B32,tid,0),tao,'12(id)'!$K$20,FALSE)))</f>
        <v>8302</v>
      </c>
      <c r="L32" s="9227" t="str">
        <f>+IF(B32="","",IF(VLOOKUP(MATCH(B32,tid,0),tao,'12(id)'!$L$20,FALSE)="","",VLOOKUP(MATCH(B32,tid,0),tao,'12(id)'!$L$20,FALSE)))</f>
        <v>South Meadow Station</v>
      </c>
      <c r="M32" s="9252" t="str">
        <f>+IF(B32="","",IF(VLOOKUP(MATCH(B32,tid,0),tao,'12(id)'!$Q$20,FALSE)="","",VLOOKUP(MATCH(B32,tid,0),tao,'12(id)'!$Q$20,FALSE)))</f>
        <v>11A</v>
      </c>
      <c r="N32" s="9253">
        <f>+IF(B32="","",IF(VLOOKUP(MATCH(B32,tid,0),tao,'12(id)'!$CT$20,FALSE)="","",VLOOKUP(MATCH(B32,tid,0),tao,'12(id)'!$CT$20,FALSE)))</f>
        <v>40</v>
      </c>
      <c r="O32" s="9000" t="str">
        <f ca="1">+IF(B32="","",IF(VLOOKUP(MATCH(B32,tid,0),tao,'12(id)'!$DE$20,FALSE)="","",ROUND(VLOOKUP(MATCH(B32,tid,0),tao,'12(id)'!$DE$20,FALSE),0)&amp;" yrs"))</f>
        <v>45 yrs</v>
      </c>
      <c r="P32" s="9248" t="str">
        <f>+IF(B32="","",IF(VLOOKUP(MATCH(B32,tid,0),tao,'12(id)'!$FR$20,FALSE)="","",VLOOKUP(MATCH(B32,tid,0),tao,'12(id)'!$FR$20,FALSE)))</f>
        <v>None</v>
      </c>
      <c r="Q32" s="9000" t="str">
        <f>+IF(B32="","",IF(VLOOKUP(MATCH(B32,tid,0),tao,'12(id)'!$DI$20,FALSE)="","",VLOOKUP(MATCH(B32,tid,0),tao,'12(id)'!$DI$20,FALSE))&amp;";  "&amp;IF(VLOOKUP(MATCH(B32,tid,0),tao,'12(id)'!$DQ$20,FALSE)="","",VLOOKUP(MATCH(B32,tid,0),tao,'12(id)'!$DQ$20,FALSE)))</f>
        <v>Jet Fuel A (Kerosene K1);  No. 2 oil</v>
      </c>
      <c r="R32" s="9022">
        <f>+IF(B32="","",1)</f>
        <v>1</v>
      </c>
      <c r="S32" s="8817"/>
      <c r="T32" s="8875" t="str">
        <f>+IF(VLOOKUP(MATCH(E32,c_id,0),ca,'13(an)'!$BD$34,FALSE)="","",VLOOKUP(MATCH(E32,c_id,0),ca,'13(an)'!$BD$34,FALSE))</f>
        <v>Selective Catalytic Reduction (SCR)</v>
      </c>
      <c r="U32" s="8861"/>
      <c r="V32" s="8861"/>
      <c r="W32" s="7528"/>
      <c r="X32" s="8817"/>
      <c r="Y32" s="8875" t="str">
        <f>+IF(T32="","",T32)</f>
        <v>Selective Catalytic Reduction (SCR)</v>
      </c>
      <c r="Z32" s="8861"/>
      <c r="AA32" s="8861"/>
      <c r="AB32" s="7529"/>
      <c r="AC32" s="8817"/>
      <c r="AD32" s="8875" t="str">
        <f>+IF(Y32="","",Y32)</f>
        <v>Selective Catalytic Reduction (SCR)</v>
      </c>
      <c r="AE32" s="8861"/>
      <c r="AF32" s="8861"/>
      <c r="AG32" s="7530"/>
      <c r="AH32" s="5962"/>
      <c r="AI32" s="5959"/>
      <c r="AJ32" s="5959"/>
      <c r="AK32" s="5959"/>
      <c r="AL32" s="5959"/>
      <c r="AM32" s="5959"/>
    </row>
    <row r="33" spans="1:39">
      <c r="A33" s="5952"/>
      <c r="B33" s="9035"/>
      <c r="C33" s="8934"/>
      <c r="D33" s="8930" t="e">
        <f>+IF(VLOOKUP(MATCH(#REF!,tid,0),tao,'12(id)'!$Q$20,FALSE)="","",VLOOKUP(MATCH(#REF!,tid,0),tao,'12(id)'!$Q$20,FALSE))</f>
        <v>#REF!</v>
      </c>
      <c r="E33" s="9181"/>
      <c r="F33" s="5962"/>
      <c r="G33" s="7527"/>
      <c r="H33" s="5962"/>
      <c r="I33" s="9070"/>
      <c r="J33" s="9242" t="e">
        <f>+IF(VLOOKUP(MATCH(B33,tid,0),tao,'12(id)'!$I$20,FALSE)="","",VLOOKUP(MATCH(B33,tid,0),tao,'12(id)'!$I$20,FALSE))</f>
        <v>#N/A</v>
      </c>
      <c r="K33" s="9064" t="e">
        <f>+IF(VLOOKUP(MATCH(B33,tid,0),tao,'12(id)'!$K$20,FALSE)="","",VLOOKUP(MATCH(B33,tid,0),tao,'12(id)'!$K$20,FALSE))</f>
        <v>#N/A</v>
      </c>
      <c r="L33" s="9228" t="e">
        <f>+IF(VLOOKUP(MATCH(B33,tid,0),tao,'12(id)'!$L$20,FALSE)="","",VLOOKUP(MATCH(B33,tid,0),tao,'12(id)'!$L$20,FALSE))</f>
        <v>#N/A</v>
      </c>
      <c r="M33" s="9231" t="e">
        <f>+IF(VLOOKUP(MATCH(B33,tid,0),tao,'12(id)'!$Q$20,FALSE)="","",VLOOKUP(MATCH(B33,tid,0),tao,'12(id)'!$Q$20,FALSE))</f>
        <v>#N/A</v>
      </c>
      <c r="N33" s="9234" t="e">
        <f>+IF(VLOOKUP(MATCH(B33,tid,0),tao,'12(id)'!$CT$20,FALSE)="","",VLOOKUP(MATCH(B33,tid,0),tao,'12(id)'!$CT$20,FALSE))</f>
        <v>#N/A</v>
      </c>
      <c r="O33" s="9001" t="e">
        <f>+IF(VLOOKUP(MATCH(B33,tid,0),tao,'12(id)'!$DE$20,FALSE)="","",ROUND(VLOOKUP(MATCH(B33,tid,0),tao,'12(id)'!$DE$20,FALSE),0)&amp;" yrs")</f>
        <v>#N/A</v>
      </c>
      <c r="P33" s="9249" t="e">
        <f>+IF(VLOOKUP(MATCH(B33,tid,0),tao,'12(id)'!$FR$20,FALSE)="","",VLOOKUP(MATCH(B33,tid,0),tao,'12(id)'!$FR$20,FALSE))</f>
        <v>#N/A</v>
      </c>
      <c r="Q33" s="9001" t="e">
        <f>+IF(VLOOKUP(MATCH(B33,tid,0),tao,'12(id)'!$DI$20,FALSE)="","",VLOOKUP(MATCH(B33,tid,0),tao,'12(id)'!$DI$20,FALSE))&amp;";  "&amp;IF(VLOOKUP(MATCH(B33,tid,0),tao,'12(id)'!$DQ$20,FALSE)="","",VLOOKUP(MATCH(B33,tid,0),tao,'12(id)'!$DQ$20,FALSE))</f>
        <v>#N/A</v>
      </c>
      <c r="R33" s="8906"/>
      <c r="S33" s="8818"/>
      <c r="T33" s="8895" t="e">
        <f>+IF(VLOOKUP(MATCH(E33,c_id,0),ca,'13(an)'!$BD$34,FALSE)="","",VLOOKUP(MATCH(E33,c_id,0),ca,'13(an)'!$BD$34,FALSE))</f>
        <v>#N/A</v>
      </c>
      <c r="U33" s="8895"/>
      <c r="V33" s="8895"/>
      <c r="W33" s="7531"/>
      <c r="X33" s="8818"/>
      <c r="Y33" s="8895"/>
      <c r="Z33" s="8895"/>
      <c r="AA33" s="8895"/>
      <c r="AB33" s="7532"/>
      <c r="AC33" s="8818"/>
      <c r="AD33" s="8895"/>
      <c r="AE33" s="8895"/>
      <c r="AF33" s="8895"/>
      <c r="AG33" s="7533"/>
      <c r="AH33" s="5962"/>
      <c r="AI33" s="5959"/>
      <c r="AJ33" s="5959"/>
      <c r="AK33" s="5959"/>
      <c r="AL33" s="5959"/>
      <c r="AM33" s="5959"/>
    </row>
    <row r="34" spans="1:39" ht="9.9499999999999993" customHeight="1">
      <c r="A34" s="5952"/>
      <c r="B34" s="9062"/>
      <c r="C34" s="8934"/>
      <c r="D34" s="8931" t="e">
        <f>+IF(VLOOKUP(MATCH(#REF!,tid,0),tao,'12(id)'!$Q$20,FALSE)="","",VLOOKUP(MATCH(#REF!,tid,0),tao,'12(id)'!$Q$20,FALSE))</f>
        <v>#REF!</v>
      </c>
      <c r="E34" s="9181"/>
      <c r="F34" s="5962"/>
      <c r="G34" s="7527"/>
      <c r="H34" s="5962"/>
      <c r="I34" s="9071"/>
      <c r="J34" s="9242" t="e">
        <f>+IF(VLOOKUP(MATCH(B34,tid,0),tao,'12(id)'!$I$20,FALSE)="","",VLOOKUP(MATCH(B34,tid,0),tao,'12(id)'!$I$20,FALSE))</f>
        <v>#N/A</v>
      </c>
      <c r="K34" s="9064" t="e">
        <f>+IF(VLOOKUP(MATCH(B34,tid,0),tao,'12(id)'!$K$20,FALSE)="","",VLOOKUP(MATCH(B34,tid,0),tao,'12(id)'!$K$20,FALSE))</f>
        <v>#N/A</v>
      </c>
      <c r="L34" s="9228" t="e">
        <f>+IF(VLOOKUP(MATCH(B34,tid,0),tao,'12(id)'!$L$20,FALSE)="","",VLOOKUP(MATCH(B34,tid,0),tao,'12(id)'!$L$20,FALSE))</f>
        <v>#N/A</v>
      </c>
      <c r="M34" s="9232" t="e">
        <f>+IF(VLOOKUP(MATCH(B34,tid,0),tao,'12(id)'!$Q$20,FALSE)="","",VLOOKUP(MATCH(B34,tid,0),tao,'12(id)'!$Q$20,FALSE))</f>
        <v>#N/A</v>
      </c>
      <c r="N34" s="9234" t="e">
        <f>+IF(VLOOKUP(MATCH(B34,tid,0),tao,'12(id)'!$CT$20,FALSE)="","",VLOOKUP(MATCH(B34,tid,0),tao,'12(id)'!$CT$20,FALSE))</f>
        <v>#N/A</v>
      </c>
      <c r="O34" s="9001" t="e">
        <f>+IF(VLOOKUP(MATCH(B34,tid,0),tao,'12(id)'!$DE$20,FALSE)="","",ROUND(VLOOKUP(MATCH(B34,tid,0),tao,'12(id)'!$DE$20,FALSE),0)&amp;" yrs")</f>
        <v>#N/A</v>
      </c>
      <c r="P34" s="9249" t="e">
        <f>+IF(VLOOKUP(MATCH(B34,tid,0),tao,'12(id)'!$FR$20,FALSE)="","",VLOOKUP(MATCH(B34,tid,0),tao,'12(id)'!$FR$20,FALSE))</f>
        <v>#N/A</v>
      </c>
      <c r="Q34" s="9001" t="e">
        <f>+IF(VLOOKUP(MATCH(B34,tid,0),tao,'12(id)'!$DI$20,FALSE)="","",VLOOKUP(MATCH(B34,tid,0),tao,'12(id)'!$DI$20,FALSE))&amp;";  "&amp;IF(VLOOKUP(MATCH(B34,tid,0),tao,'12(id)'!$DQ$20,FALSE)="","",VLOOKUP(MATCH(B34,tid,0),tao,'12(id)'!$DQ$20,FALSE))</f>
        <v>#N/A</v>
      </c>
      <c r="R34" s="8906"/>
      <c r="S34" s="8818"/>
      <c r="T34" s="9224" t="str">
        <f>+IF(E32="","",IF(VLOOKUP(MATCH(E32,c_id,0),ca,'13(an)'!$CC$34,FALSE)="",IF(VLOOKUP(MATCH(E32,c_id,0),ca,'13(an)'!$CD$34,FALSE)="",IF(VLOOKUP(MATCH(E32,c_id,0),ca,'13(an)'!$CE$34,FALSE)="","η ≈ N/A","η ≈ "&amp;ROUND(VLOOKUP(MATCH(E32,c_id,0),ca,'13(an)'!$CE$34,FALSE)*100,0)&amp;"%"),"η ≈ "&amp;ROUND(VLOOKUP(MATCH(E32,c_id,0),ca,'13(an)'!$CD$34,FALSE)*100,0)&amp;"%"),"η ≈ "&amp;ROUND(VLOOKUP(MATCH(E32,c_id,0),ca,'13(an)'!$CC$34,FALSE)*100,0)&amp;"%"))</f>
        <v>η ≈ 90%</v>
      </c>
      <c r="U34" s="9222" t="str">
        <f>+IF($U$56="ppmvd",IF(VLOOKUP(MATCH(E32,c_id,0),ca,'13(an)'!$BV$34,FALSE)="","",ROUND(VLOOKUP(MATCH(E32,c_id,0),ca,'13(an)'!$BV$34,FALSE),1)&amp;" ppmvd"),IF(VLOOKUP(MATCH(E32,c_id,0),ca,'13(an)'!$BU$34,FALSE)="","",IF(LEN(ROUND(VLOOKUP(MATCH(E32,c_id,0),ca,'13(an)'!$BU$34,FALSE),3))=3,ROUND(VLOOKUP(MATCH(E32,c_id,0),ca,'13(an)'!$BU$34,FALSE),3)&amp;"00 lb/MMBtu",IF(LEN(ROUND(VLOOKUP(MATCH(E32,c_id,0),ca,'13(an)'!$BU$34,FALSE),3))=4,ROUND(VLOOKUP(MATCH(E32,c_id,0),ca,'13(an)'!$BU$34,FALSE),3)&amp;"0 lb/MMBtu",ROUND(VLOOKUP(MATCH(E32,c_id,0),ca,'13(an)'!$BU$34,FALSE),3)&amp;" lb/MMBtu"))))</f>
        <v/>
      </c>
      <c r="V34" s="8901">
        <f>+IF(E32="","",IF(VLOOKUP(MATCH(E32,c_id,0),ca,'13(an)'!$CB$34,FALSE)="","NOx(R) = N/A",ROUND(VLOOKUP(MATCH(E32,c_id,0),ca,'13(an)'!$CB$34,FALSE),1)))</f>
        <v>1.2</v>
      </c>
      <c r="W34" s="7534"/>
      <c r="X34" s="8818"/>
      <c r="Y34" s="9220" t="str">
        <f>+IF(E32="","",IF(VLOOKUP(MATCH(E32,c_id,0),ca,'13(an)'!$CM$34,FALSE)="",IF(VLOOKUP(MATCH(E32,c_id,0),ca,'13(an)'!$CN$34,FALSE)="",IF(VLOOKUP(MATCH(E32,c_id,0),ca,'13(an)'!$CO$34,FALSE)="","η ≈ N/A","η ≈ "&amp;ROUND(VLOOKUP(MATCH(E32,c_id,0),ca,'13(an)'!$CO$34,FALSE)*100,0)&amp;"%"),"η ≈ "&amp;ROUND(VLOOKUP(MATCH(E32,c_id,0),ca,'13(an)'!$CN$34,FALSE)*100,0)&amp;"%"),"η ≈ "&amp;ROUND(VLOOKUP(MATCH(E32,c_id,0),ca,'13(an)'!$CM$34,FALSE)*100,0)&amp;"%"))</f>
        <v>η ≈ 90%</v>
      </c>
      <c r="Z34" s="8949" t="str">
        <f>+IF($Z$56="ppmvd",IF(VLOOKUP(MATCH(E32,c_id,0),ca,'13(an)'!$CJ$34,FALSE)="","",ROUND(VLOOKUP(MATCH(E32,c_id,0),ca,'13(an)'!$CJ$34,FALSE),1)&amp;" ppmvd"),IF(VLOOKUP(MATCH(E32,c_id,0),ca,'13(an)'!$CI$34,FALSE)="","",IF(LEN(ROUND(VLOOKUP(MATCH(E32,c_id,0),ca,'13(an)'!$CI$34,FALSE),3))=3,ROUND(VLOOKUP(MATCH(E32,c_id,0),ca,'13(an)'!$CI$34,FALSE),3)&amp;"00 lb/MMBtu",IF(LEN(ROUND(VLOOKUP(MATCH(E32,c_id,0),ca,'13(an)'!$CI$34,FALSE),3))=4,ROUND(VLOOKUP(MATCH(E32,c_id,0),ca,'13(an)'!$CI$34,FALSE),3)&amp;"0 lb/MMBtu",ROUND(VLOOKUP(MATCH(E32,c_id,0),ca,'13(an)'!$CI$34,FALSE),3)&amp;" lb/MMBtu"))))</f>
        <v>0.079 lb/MMBtu</v>
      </c>
      <c r="AA34" s="8924">
        <f>+IF(E32="","",IF(VLOOKUP(MATCH(E32,c_id,0),ca,'13(an)'!$CL$34,FALSE)="","NOx(R) = N/A",ROUND(VLOOKUP(MATCH(E32,c_id,0),ca,'13(an)'!$CL$34,FALSE),1)))</f>
        <v>1.4</v>
      </c>
      <c r="AB34" s="7535"/>
      <c r="AC34" s="8818"/>
      <c r="AD34" s="9220" t="str">
        <f>+IF(E32="","",IF(VLOOKUP(MATCH(E32,c_id,0),ca,'13(an)'!$CM$34,FALSE)="",IF(VLOOKUP(MATCH(E32,c_id,0),ca,'13(an)'!$CN$34,FALSE)="",IF(VLOOKUP(MATCH(E32,c_id,0),ca,'13(an)'!$CO$34,FALSE)="","η ≈ N/A","η ≈ "&amp;ROUND(VLOOKUP(MATCH(E32,c_id,0),ca,'13(an)'!$CO$34,FALSE)*100,0)&amp;"%"),"η ≈ "&amp;ROUND(VLOOKUP(MATCH(E32,c_id,0),ca,'13(an)'!$CN$34,FALSE)*100,0)&amp;"%"),"η ≈ "&amp;ROUND(VLOOKUP(MATCH(E32,c_id,0),ca,'13(an)'!$CM$34,FALSE)*100,0)&amp;"%"))</f>
        <v>η ≈ 90%</v>
      </c>
      <c r="AE34" s="8949" t="str">
        <f>+IF($AE$56="ppmvd",IF(VLOOKUP(MATCH(E32,c_id,0),ca,'13(an)'!$CJ$34,FALSE)="","",ROUND(VLOOKUP(MATCH(E32,c_id,0),ca,'13(an)'!$CJ$34,FALSE),1)&amp;" ppmvd"),IF(VLOOKUP(MATCH(E32,c_id,0),ca,'13(an)'!$CI$34,FALSE)="","",IF(LEN(ROUND(VLOOKUP(MATCH(E32,c_id,0),ca,'13(an)'!$CI$34,FALSE),3))=3,ROUND(VLOOKUP(MATCH(E32,c_id,0),ca,'13(an)'!$CI$34,FALSE),3)&amp;"00 lb/MMBtu",IF(LEN(ROUND(VLOOKUP(MATCH(E32,c_id,0),ca,'13(an)'!$CI$34,FALSE),3))=4,ROUND(VLOOKUP(MATCH(E32,c_id,0),ca,'13(an)'!$CI$34,FALSE),3)&amp;"0 lb/MMBtu",ROUND(VLOOKUP(MATCH(E32,c_id,0),ca,'13(an)'!$CI$34,FALSE),3)&amp;" lb/MMBtu"))))</f>
        <v>0.079 lb/MMBtu</v>
      </c>
      <c r="AF34" s="8924">
        <f>+IF(E32="","",IF(VLOOKUP(MATCH(E32,c_id,0),ca,'13(an)'!$CL$34,FALSE)="","NOx(R) = N/A",ROUND(VLOOKUP(MATCH(E32,c_id,0),ca,'13(an)'!$CL$34,FALSE),1)))</f>
        <v>1.4</v>
      </c>
      <c r="AG34" s="7536"/>
      <c r="AH34" s="5962"/>
      <c r="AI34" s="5959"/>
      <c r="AJ34" s="5959"/>
      <c r="AK34" s="5959"/>
      <c r="AL34" s="5959"/>
      <c r="AM34" s="5959"/>
    </row>
    <row r="35" spans="1:39" ht="9.9499999999999993" customHeight="1">
      <c r="A35" s="5952"/>
      <c r="B35" s="9088" t="str">
        <f>+IF(B32="","",IF('12(id)'!A23="","",'12(id)'!A23))</f>
        <v>8302-02</v>
      </c>
      <c r="C35" s="8934"/>
      <c r="D35" s="8932" t="str">
        <f>+M35</f>
        <v>11B</v>
      </c>
      <c r="E35" s="9181"/>
      <c r="F35" s="5962"/>
      <c r="G35" s="7527"/>
      <c r="H35" s="5962"/>
      <c r="I35" s="9081">
        <f>1+I32</f>
        <v>3</v>
      </c>
      <c r="J35" s="9242" t="str">
        <f>+IF(VLOOKUP(MATCH(B35,tid,0),tao,'12(id)'!$I$20,FALSE)="","",VLOOKUP(MATCH(B35,tid,0),tao,'12(id)'!$I$20,FALSE))</f>
        <v/>
      </c>
      <c r="K35" s="9064">
        <f>+IF(VLOOKUP(MATCH(B35,tid,0),tao,'12(id)'!$K$20,FALSE)="","",VLOOKUP(MATCH(B35,tid,0),tao,'12(id)'!$K$20,FALSE))</f>
        <v>8302</v>
      </c>
      <c r="L35" s="9228" t="str">
        <f>+IF(VLOOKUP(MATCH(B35,tid,0),tao,'12(id)'!$L$20,FALSE)="","",VLOOKUP(MATCH(B35,tid,0),tao,'12(id)'!$L$20,FALSE))</f>
        <v>South Meadow Station</v>
      </c>
      <c r="M35" s="9230" t="str">
        <f>+IF(B35="","",IF(VLOOKUP(MATCH(B35,tid,0),tao,'12(id)'!$Q$20,FALSE)="","",VLOOKUP(MATCH(B35,tid,0),tao,'12(id)'!$Q$20,FALSE)))</f>
        <v>11B</v>
      </c>
      <c r="N35" s="9234" t="str">
        <f>+IF(VLOOKUP(MATCH(B35,tid,0),tao,'12(id)'!$CT$20,FALSE)="","",VLOOKUP(MATCH(B35,tid,0),tao,'12(id)'!$CT$20,FALSE))</f>
        <v/>
      </c>
      <c r="O35" s="9001" t="str">
        <f ca="1">+IF(VLOOKUP(MATCH(B35,tid,0),tao,'12(id)'!$DE$20,FALSE)="","",ROUND(VLOOKUP(MATCH(B35,tid,0),tao,'12(id)'!$DE$20,FALSE),0)&amp;" yrs")</f>
        <v>45 yrs</v>
      </c>
      <c r="P35" s="9249" t="str">
        <f>+IF(VLOOKUP(MATCH(B35,tid,0),tao,'12(id)'!$FR$20,FALSE)="","",VLOOKUP(MATCH(B35,tid,0),tao,'12(id)'!$FR$20,FALSE))</f>
        <v>None</v>
      </c>
      <c r="Q35" s="9001" t="str">
        <f>+IF(VLOOKUP(MATCH(B35,tid,0),tao,'12(id)'!$DI$20,FALSE)="","",VLOOKUP(MATCH(B35,tid,0),tao,'12(id)'!$DI$20,FALSE))&amp;";  "&amp;IF(VLOOKUP(MATCH(B35,tid,0),tao,'12(id)'!$DQ$20,FALSE)="","",VLOOKUP(MATCH(B35,tid,0),tao,'12(id)'!$DQ$20,FALSE))</f>
        <v>Jet Fuel A (Kerosene K1);  No. 2 oil</v>
      </c>
      <c r="R35" s="8906"/>
      <c r="S35" s="8818"/>
      <c r="T35" s="9225"/>
      <c r="U35" s="9223"/>
      <c r="V35" s="8902"/>
      <c r="W35" s="7534"/>
      <c r="X35" s="8818"/>
      <c r="Y35" s="9221"/>
      <c r="Z35" s="8950"/>
      <c r="AA35" s="8925"/>
      <c r="AB35" s="7535"/>
      <c r="AC35" s="8818"/>
      <c r="AD35" s="9221"/>
      <c r="AE35" s="8950"/>
      <c r="AF35" s="8925"/>
      <c r="AG35" s="7536"/>
      <c r="AH35" s="5962"/>
      <c r="AI35" s="5959"/>
      <c r="AJ35" s="5959"/>
      <c r="AK35" s="5959"/>
      <c r="AL35" s="5959"/>
      <c r="AM35" s="5959"/>
    </row>
    <row r="36" spans="1:39" ht="18" customHeight="1">
      <c r="A36" s="5952"/>
      <c r="B36" s="9035"/>
      <c r="C36" s="8934"/>
      <c r="D36" s="8930" t="e">
        <f>+IF(VLOOKUP(MATCH(#REF!,tid,0),tao,'12(id)'!$Q$20,FALSE)="","",VLOOKUP(MATCH(#REF!,tid,0),tao,'12(id)'!$Q$20,FALSE))</f>
        <v>#REF!</v>
      </c>
      <c r="E36" s="9181"/>
      <c r="F36" s="5962"/>
      <c r="G36" s="7527"/>
      <c r="H36" s="5962"/>
      <c r="I36" s="9070"/>
      <c r="J36" s="9242" t="e">
        <f>+IF(VLOOKUP(MATCH(B36,tid,0),tao,'12(id)'!$I$20,FALSE)="","",VLOOKUP(MATCH(B36,tid,0),tao,'12(id)'!$I$20,FALSE))</f>
        <v>#N/A</v>
      </c>
      <c r="K36" s="9064" t="e">
        <f>+IF(VLOOKUP(MATCH(B36,tid,0),tao,'12(id)'!$K$20,FALSE)="","",VLOOKUP(MATCH(B36,tid,0),tao,'12(id)'!$K$20,FALSE))</f>
        <v>#N/A</v>
      </c>
      <c r="L36" s="9228" t="e">
        <f>+IF(VLOOKUP(MATCH(B36,tid,0),tao,'12(id)'!$L$20,FALSE)="","",VLOOKUP(MATCH(B36,tid,0),tao,'12(id)'!$L$20,FALSE))</f>
        <v>#N/A</v>
      </c>
      <c r="M36" s="9231" t="e">
        <f>+IF(VLOOKUP(MATCH(B36,tid,0),tao,'12(id)'!$Q$20,FALSE)="","",VLOOKUP(MATCH(B36,tid,0),tao,'12(id)'!$Q$20,FALSE))</f>
        <v>#N/A</v>
      </c>
      <c r="N36" s="9234" t="e">
        <f>+IF(VLOOKUP(MATCH(B36,tid,0),tao,'12(id)'!$CT$20,FALSE)="","",VLOOKUP(MATCH(B36,tid,0),tao,'12(id)'!$CT$20,FALSE))</f>
        <v>#N/A</v>
      </c>
      <c r="O36" s="9001" t="e">
        <f>+IF(VLOOKUP(MATCH(B36,tid,0),tao,'12(id)'!$DE$20,FALSE)="","",ROUND(VLOOKUP(MATCH(B36,tid,0),tao,'12(id)'!$DE$20,FALSE),0)&amp;" yrs")</f>
        <v>#N/A</v>
      </c>
      <c r="P36" s="9249" t="e">
        <f>+IF(VLOOKUP(MATCH(B36,tid,0),tao,'12(id)'!$FR$20,FALSE)="","",VLOOKUP(MATCH(B36,tid,0),tao,'12(id)'!$FR$20,FALSE))</f>
        <v>#N/A</v>
      </c>
      <c r="Q36" s="9001" t="e">
        <f>+IF(VLOOKUP(MATCH(B36,tid,0),tao,'12(id)'!$DI$20,FALSE)="","",VLOOKUP(MATCH(B36,tid,0),tao,'12(id)'!$DI$20,FALSE))&amp;";  "&amp;IF(VLOOKUP(MATCH(B36,tid,0),tao,'12(id)'!$DQ$20,FALSE)="","",VLOOKUP(MATCH(B36,tid,0),tao,'12(id)'!$DQ$20,FALSE))</f>
        <v>#N/A</v>
      </c>
      <c r="R36" s="8906"/>
      <c r="S36" s="8818"/>
      <c r="T36" s="7537">
        <f>+IF(VLOOKUP(MATCH(E32,c_id,0),ca,'13(an)'!$GF$34,FALSE)="","",VLOOKUP(MATCH(E32,c_id,0),ca,'13(an)'!$GF$34,FALSE))</f>
        <v>2283347</v>
      </c>
      <c r="U36" s="7538" t="str">
        <f>+IF(T36="","","$ TCC/unit")</f>
        <v>$ TCC/unit</v>
      </c>
      <c r="V36" s="7539">
        <f>+IF(VLOOKUP(MATCH(E32,c_id,0),ca,'13(an)'!$HA$34,FALSE)="","",VLOOKUP(MATCH(E32,c_id,0),ca,'13(an)'!$HA$34,FALSE))</f>
        <v>537499.88379999995</v>
      </c>
      <c r="W36" s="7540"/>
      <c r="X36" s="8818"/>
      <c r="Y36" s="7537">
        <f>+IF(VLOOKUP(MATCH(E32,c_id,0),ca,'13(an)'!$IA$34,FALSE)="","",VLOOKUP(MATCH(E32,c_id,0),ca,'13(an)'!$IA$34,FALSE))</f>
        <v>2102390</v>
      </c>
      <c r="Z36" s="7538" t="str">
        <f>+IF(Y36="","","$ TCC/unit")</f>
        <v>$ TCC/unit</v>
      </c>
      <c r="AA36" s="7539">
        <f>+IF(Y36="","",$AA$14*Y36)</f>
        <v>198450.74315336335</v>
      </c>
      <c r="AB36" s="7541"/>
      <c r="AC36" s="8818"/>
      <c r="AD36" s="7537">
        <f>+IF(VLOOKUP(MATCH(E32,c_id,0),ca,'13(an)'!$JS$34,FALSE)="","",VLOOKUP(MATCH(E32,c_id,0),ca,'13(an)'!$JS$34,FALSE))</f>
        <v>2513690</v>
      </c>
      <c r="AE36" s="7538" t="str">
        <f>+IF(AD36="","","$ TCC/unit")</f>
        <v>$ TCC/unit</v>
      </c>
      <c r="AF36" s="7539">
        <f>+IF(AD36="","",$AF$14*AD36)</f>
        <v>215701.03903241493</v>
      </c>
      <c r="AG36" s="7542"/>
      <c r="AH36" s="5962"/>
      <c r="AI36" s="5959"/>
      <c r="AJ36" s="5959"/>
      <c r="AK36" s="5959"/>
      <c r="AL36" s="5959"/>
      <c r="AM36" s="5959"/>
    </row>
    <row r="37" spans="1:39" ht="18" customHeight="1">
      <c r="A37" s="5952"/>
      <c r="B37" s="9062"/>
      <c r="C37" s="8934"/>
      <c r="D37" s="8931" t="e">
        <f>+IF(VLOOKUP(MATCH(#REF!,tid,0),tao,'12(id)'!$Q$20,FALSE)="","",VLOOKUP(MATCH(#REF!,tid,0),tao,'12(id)'!$Q$20,FALSE))</f>
        <v>#REF!</v>
      </c>
      <c r="E37" s="9181"/>
      <c r="F37" s="5962"/>
      <c r="G37" s="7527"/>
      <c r="H37" s="5962"/>
      <c r="I37" s="9071"/>
      <c r="J37" s="9242" t="e">
        <f>+IF(VLOOKUP(MATCH(B37,tid,0),tao,'12(id)'!$I$20,FALSE)="","",VLOOKUP(MATCH(B37,tid,0),tao,'12(id)'!$I$20,FALSE))</f>
        <v>#N/A</v>
      </c>
      <c r="K37" s="9064" t="e">
        <f>+IF(VLOOKUP(MATCH(B37,tid,0),tao,'12(id)'!$K$20,FALSE)="","",VLOOKUP(MATCH(B37,tid,0),tao,'12(id)'!$K$20,FALSE))</f>
        <v>#N/A</v>
      </c>
      <c r="L37" s="9228" t="e">
        <f>+IF(VLOOKUP(MATCH(B37,tid,0),tao,'12(id)'!$L$20,FALSE)="","",VLOOKUP(MATCH(B37,tid,0),tao,'12(id)'!$L$20,FALSE))</f>
        <v>#N/A</v>
      </c>
      <c r="M37" s="9232" t="e">
        <f>+IF(VLOOKUP(MATCH(B37,tid,0),tao,'12(id)'!$Q$20,FALSE)="","",VLOOKUP(MATCH(B37,tid,0),tao,'12(id)'!$Q$20,FALSE))</f>
        <v>#N/A</v>
      </c>
      <c r="N37" s="9235" t="e">
        <f>+IF(VLOOKUP(MATCH(B37,tid,0),tao,'12(id)'!$CT$20,FALSE)="","",VLOOKUP(MATCH(B37,tid,0),tao,'12(id)'!$CT$20,FALSE))</f>
        <v>#N/A</v>
      </c>
      <c r="O37" s="9001" t="e">
        <f>+IF(VLOOKUP(MATCH(B37,tid,0),tao,'12(id)'!$DE$20,FALSE)="","",ROUND(VLOOKUP(MATCH(B37,tid,0),tao,'12(id)'!$DE$20,FALSE),0)&amp;" yrs")</f>
        <v>#N/A</v>
      </c>
      <c r="P37" s="9249" t="e">
        <f>+IF(VLOOKUP(MATCH(B37,tid,0),tao,'12(id)'!$FR$20,FALSE)="","",VLOOKUP(MATCH(B37,tid,0),tao,'12(id)'!$FR$20,FALSE))</f>
        <v>#N/A</v>
      </c>
      <c r="Q37" s="9001" t="e">
        <f>+IF(VLOOKUP(MATCH(B37,tid,0),tao,'12(id)'!$DI$20,FALSE)="","",VLOOKUP(MATCH(B37,tid,0),tao,'12(id)'!$DI$20,FALSE))&amp;";  "&amp;IF(VLOOKUP(MATCH(B37,tid,0),tao,'12(id)'!$DQ$20,FALSE)="","",VLOOKUP(MATCH(B37,tid,0),tao,'12(id)'!$DQ$20,FALSE))</f>
        <v>#N/A</v>
      </c>
      <c r="R37" s="8906"/>
      <c r="S37" s="8818"/>
      <c r="T37" s="7543">
        <f>+IF(OR(T36="",N32=""),"",T36/(N32/2))</f>
        <v>114167.35</v>
      </c>
      <c r="U37" s="7566" t="str">
        <f>+IF(T37="","","$ TCC/MW nom")</f>
        <v>$ TCC/MW nom</v>
      </c>
      <c r="V37" s="7566"/>
      <c r="W37" s="7544"/>
      <c r="X37" s="8818"/>
      <c r="Y37" s="7543">
        <f>+IF(OR(Y36="",N32=""),"",Y36/(N32/2))</f>
        <v>105119.5</v>
      </c>
      <c r="Z37" s="8820" t="str">
        <f>+IF(Y37="","","$ TCC / MW nominal capacity")</f>
        <v>$ TCC / MW nominal capacity</v>
      </c>
      <c r="AA37" s="8820"/>
      <c r="AB37" s="7545"/>
      <c r="AC37" s="8818"/>
      <c r="AD37" s="7543">
        <f>+IF(OR(AD36="",N32=""),"",AD36/(N32/2))</f>
        <v>125684.5</v>
      </c>
      <c r="AE37" s="8820" t="str">
        <f>+IF(AD37="","","$ TCC / MW nominal capacity")</f>
        <v>$ TCC / MW nominal capacity</v>
      </c>
      <c r="AF37" s="8820"/>
      <c r="AG37" s="7546"/>
      <c r="AH37" s="5962"/>
      <c r="AI37" s="5959"/>
      <c r="AJ37" s="5959"/>
      <c r="AK37" s="5959"/>
      <c r="AL37" s="5959"/>
      <c r="AM37" s="5959"/>
    </row>
    <row r="38" spans="1:39">
      <c r="A38" s="5952"/>
      <c r="B38" s="9088" t="str">
        <f>+IF(B32="","",IF('12(id)'!A24="","",'12(id)'!A24))</f>
        <v>8302-03</v>
      </c>
      <c r="C38" s="8934"/>
      <c r="D38" s="8932" t="str">
        <f>+M38</f>
        <v>12A</v>
      </c>
      <c r="E38" s="9181"/>
      <c r="F38" s="5962"/>
      <c r="G38" s="7527"/>
      <c r="H38" s="5962"/>
      <c r="I38" s="9081">
        <f>1+I35</f>
        <v>4</v>
      </c>
      <c r="J38" s="9242" t="str">
        <f>+IF(VLOOKUP(MATCH(B38,tid,0),tao,'12(id)'!$I$20,FALSE)="","",VLOOKUP(MATCH(B38,tid,0),tao,'12(id)'!$I$20,FALSE))</f>
        <v/>
      </c>
      <c r="K38" s="9064">
        <f>+IF(VLOOKUP(MATCH(B38,tid,0),tao,'12(id)'!$K$20,FALSE)="","",VLOOKUP(MATCH(B38,tid,0),tao,'12(id)'!$K$20,FALSE))</f>
        <v>8302</v>
      </c>
      <c r="L38" s="9228" t="str">
        <f>+IF(VLOOKUP(MATCH(B38,tid,0),tao,'12(id)'!$L$20,FALSE)="","",VLOOKUP(MATCH(B38,tid,0),tao,'12(id)'!$L$20,FALSE))</f>
        <v>South Meadow Station</v>
      </c>
      <c r="M38" s="9230" t="str">
        <f>+IF(B38="","",IF(VLOOKUP(MATCH(B38,tid,0),tao,'12(id)'!$Q$20,FALSE)="","",VLOOKUP(MATCH(B38,tid,0),tao,'12(id)'!$Q$20,FALSE)))</f>
        <v>12A</v>
      </c>
      <c r="N38" s="9233">
        <f>+IF(B38="","",IF(VLOOKUP(MATCH(B38,tid,0),tao,'12(id)'!$CT$20,FALSE)="","",VLOOKUP(MATCH(B38,tid,0),tao,'12(id)'!$CT$20,FALSE)))</f>
        <v>40</v>
      </c>
      <c r="O38" s="9001" t="str">
        <f ca="1">+IF(VLOOKUP(MATCH(B38,tid,0),tao,'12(id)'!$DE$20,FALSE)="","",ROUND(VLOOKUP(MATCH(B38,tid,0),tao,'12(id)'!$DE$20,FALSE),0)&amp;" yrs")</f>
        <v>45 yrs</v>
      </c>
      <c r="P38" s="9249" t="str">
        <f>+IF(VLOOKUP(MATCH(B38,tid,0),tao,'12(id)'!$FR$20,FALSE)="","",VLOOKUP(MATCH(B38,tid,0),tao,'12(id)'!$FR$20,FALSE))</f>
        <v>None</v>
      </c>
      <c r="Q38" s="9001" t="str">
        <f>+IF(VLOOKUP(MATCH(B38,tid,0),tao,'12(id)'!$DI$20,FALSE)="","",VLOOKUP(MATCH(B38,tid,0),tao,'12(id)'!$DI$20,FALSE))&amp;";  "&amp;IF(VLOOKUP(MATCH(B38,tid,0),tao,'12(id)'!$DQ$20,FALSE)="","",VLOOKUP(MATCH(B38,tid,0),tao,'12(id)'!$DQ$20,FALSE))</f>
        <v>Jet Fuel A (Kerosene K1);  No. 2 oil</v>
      </c>
      <c r="R38" s="8906"/>
      <c r="S38" s="8818"/>
      <c r="T38" s="8914">
        <f>+IF(VLOOKUP(MATCH(E32,c_id,0),ca,'13(an)'!$HF$34,FALSE)="","",VLOOKUP(MATCH(E32,c_id,0),ca,'13(an)'!$HF$34,FALSE))</f>
        <v>485192.3612903225</v>
      </c>
      <c r="U38" s="8903" t="str">
        <f>+IF(T38="","","$ /ton "&amp;"NOx(R)")</f>
        <v>$ /ton NOx(R)</v>
      </c>
      <c r="V38" s="8903"/>
      <c r="W38" s="7547"/>
      <c r="X38" s="8818"/>
      <c r="Y38" s="8914">
        <f>+IF(VLOOKUP(MATCH(E32,c_id,0),ca,'13(an)'!$JE$34,FALSE)="","",VLOOKUP(MATCH(E32,c_id,0),ca,'13(an)'!$JE$34,FALSE))</f>
        <v>162478.97640989878</v>
      </c>
      <c r="Z38" s="8903" t="str">
        <f>+IF(Y38="","","$ /ton "&amp;"NOx(R)")</f>
        <v>$ /ton NOx(R)</v>
      </c>
      <c r="AA38" s="8903"/>
      <c r="AB38" s="7548"/>
      <c r="AC38" s="8818"/>
      <c r="AD38" s="8914">
        <f>+IF(VLOOKUP(MATCH(E32,c_id,0),ca,'13(an)'!$LB$34,FALSE)="","",VLOOKUP(MATCH(E32,c_id,0),ca,'13(an)'!$LB$34,FALSE))</f>
        <v>241075.34752661752</v>
      </c>
      <c r="AE38" s="8903" t="str">
        <f>+IF(AD38="","","$ /ton "&amp;"NOx(R)")</f>
        <v>$ /ton NOx(R)</v>
      </c>
      <c r="AF38" s="8903"/>
      <c r="AG38" s="7549"/>
      <c r="AH38" s="5962"/>
      <c r="AI38" s="5959"/>
      <c r="AJ38" s="5959"/>
      <c r="AK38" s="5959"/>
      <c r="AL38" s="5959"/>
      <c r="AM38" s="5959"/>
    </row>
    <row r="39" spans="1:39">
      <c r="A39" s="5952"/>
      <c r="B39" s="9035"/>
      <c r="C39" s="8934"/>
      <c r="D39" s="8930" t="e">
        <f>+IF(VLOOKUP(MATCH(#REF!,tid,0),tao,'12(id)'!$Q$20,FALSE)="","",VLOOKUP(MATCH(#REF!,tid,0),tao,'12(id)'!$Q$20,FALSE))</f>
        <v>#REF!</v>
      </c>
      <c r="E39" s="9182"/>
      <c r="F39" s="5962"/>
      <c r="G39" s="7527"/>
      <c r="H39" s="5962"/>
      <c r="I39" s="9070"/>
      <c r="J39" s="9242" t="e">
        <f>+IF(VLOOKUP(MATCH(B39,tid,0),tao,'12(id)'!$I$20,FALSE)="","",VLOOKUP(MATCH(B39,tid,0),tao,'12(id)'!$I$20,FALSE))</f>
        <v>#N/A</v>
      </c>
      <c r="K39" s="9064" t="e">
        <f>+IF(VLOOKUP(MATCH(B39,tid,0),tao,'12(id)'!$K$20,FALSE)="","",VLOOKUP(MATCH(B39,tid,0),tao,'12(id)'!$K$20,FALSE))</f>
        <v>#N/A</v>
      </c>
      <c r="L39" s="9228" t="e">
        <f>+IF(VLOOKUP(MATCH(B39,tid,0),tao,'12(id)'!$L$20,FALSE)="","",VLOOKUP(MATCH(B39,tid,0),tao,'12(id)'!$L$20,FALSE))</f>
        <v>#N/A</v>
      </c>
      <c r="M39" s="9231" t="e">
        <f>+IF(VLOOKUP(MATCH(B39,tid,0),tao,'12(id)'!$Q$20,FALSE)="","",VLOOKUP(MATCH(B39,tid,0),tao,'12(id)'!$Q$20,FALSE))</f>
        <v>#N/A</v>
      </c>
      <c r="N39" s="9234" t="e">
        <f>+IF(VLOOKUP(MATCH(B39,tid,0),tao,'12(id)'!$CT$20,FALSE)="","",VLOOKUP(MATCH(B39,tid,0),tao,'12(id)'!$CT$20,FALSE))</f>
        <v>#N/A</v>
      </c>
      <c r="O39" s="9001" t="e">
        <f>+IF(VLOOKUP(MATCH(B39,tid,0),tao,'12(id)'!$DE$20,FALSE)="","",ROUND(VLOOKUP(MATCH(B39,tid,0),tao,'12(id)'!$DE$20,FALSE),0)&amp;" yrs")</f>
        <v>#N/A</v>
      </c>
      <c r="P39" s="9249" t="e">
        <f>+IF(VLOOKUP(MATCH(B39,tid,0),tao,'12(id)'!$FR$20,FALSE)="","",VLOOKUP(MATCH(B39,tid,0),tao,'12(id)'!$FR$20,FALSE))</f>
        <v>#N/A</v>
      </c>
      <c r="Q39" s="9001" t="e">
        <f>+IF(VLOOKUP(MATCH(B39,tid,0),tao,'12(id)'!$DI$20,FALSE)="","",VLOOKUP(MATCH(B39,tid,0),tao,'12(id)'!$DI$20,FALSE))&amp;";  "&amp;IF(VLOOKUP(MATCH(B39,tid,0),tao,'12(id)'!$DQ$20,FALSE)="","",VLOOKUP(MATCH(B39,tid,0),tao,'12(id)'!$DQ$20,FALSE))</f>
        <v>#N/A</v>
      </c>
      <c r="R39" s="8906"/>
      <c r="S39" s="8819"/>
      <c r="T39" s="8943"/>
      <c r="U39" s="8944"/>
      <c r="V39" s="8944"/>
      <c r="W39" s="7550"/>
      <c r="X39" s="8819"/>
      <c r="Y39" s="8943" t="e">
        <f>+IF(VLOOKUP(MATCH(E34,c_id,0),ca,'13(an)'!$JE$34,FALSE)="","",VLOOKUP(MATCH(E34,c_id,0),ca,'13(an)'!$JE$34,FALSE))</f>
        <v>#N/A</v>
      </c>
      <c r="Z39" s="8944"/>
      <c r="AA39" s="8944"/>
      <c r="AB39" s="7551"/>
      <c r="AC39" s="8819"/>
      <c r="AD39" s="8943" t="e">
        <f>+IF(VLOOKUP(MATCH(E34,c_id,0),ca,'13(an)'!$LB$34,FALSE)="","",VLOOKUP(MATCH(E34,c_id,0),ca,'13(an)'!$LB$34,FALSE))</f>
        <v>#N/A</v>
      </c>
      <c r="AE39" s="8944"/>
      <c r="AF39" s="8944"/>
      <c r="AG39" s="7552"/>
      <c r="AH39" s="5962"/>
      <c r="AI39" s="5959"/>
      <c r="AJ39" s="5959"/>
      <c r="AK39" s="5959"/>
      <c r="AL39" s="5959"/>
      <c r="AM39" s="5959"/>
    </row>
    <row r="40" spans="1:39" ht="18" customHeight="1">
      <c r="A40" s="5952"/>
      <c r="B40" s="9062"/>
      <c r="C40" s="8934"/>
      <c r="D40" s="8931" t="e">
        <f>+IF(VLOOKUP(MATCH(#REF!,tid,0),tao,'12(id)'!$Q$20,FALSE)="","",VLOOKUP(MATCH(#REF!,tid,0),tao,'12(id)'!$Q$20,FALSE))</f>
        <v>#REF!</v>
      </c>
      <c r="E40" s="9239" t="str">
        <f>+IF(B32="","",B32&amp;IF(ISERR(VALUE(1+R32)),"-01",IF(1+R32&lt;10,"-0"&amp;1+R32,"-"&amp;1+R32)))</f>
        <v>8302-01-02</v>
      </c>
      <c r="F40" s="5962"/>
      <c r="G40" s="7527"/>
      <c r="H40" s="5962"/>
      <c r="I40" s="9071"/>
      <c r="J40" s="9242" t="e">
        <f>+IF(VLOOKUP(MATCH(B40,tid,0),tao,'12(id)'!$I$20,FALSE)="","",VLOOKUP(MATCH(B40,tid,0),tao,'12(id)'!$I$20,FALSE))</f>
        <v>#N/A</v>
      </c>
      <c r="K40" s="9064" t="e">
        <f>+IF(VLOOKUP(MATCH(B40,tid,0),tao,'12(id)'!$K$20,FALSE)="","",VLOOKUP(MATCH(B40,tid,0),tao,'12(id)'!$K$20,FALSE))</f>
        <v>#N/A</v>
      </c>
      <c r="L40" s="9228" t="e">
        <f>+IF(VLOOKUP(MATCH(B40,tid,0),tao,'12(id)'!$L$20,FALSE)="","",VLOOKUP(MATCH(B40,tid,0),tao,'12(id)'!$L$20,FALSE))</f>
        <v>#N/A</v>
      </c>
      <c r="M40" s="9232" t="e">
        <f>+IF(VLOOKUP(MATCH(B40,tid,0),tao,'12(id)'!$Q$20,FALSE)="","",VLOOKUP(MATCH(B40,tid,0),tao,'12(id)'!$Q$20,FALSE))</f>
        <v>#N/A</v>
      </c>
      <c r="N40" s="9234" t="e">
        <f>+IF(VLOOKUP(MATCH(B40,tid,0),tao,'12(id)'!$CT$20,FALSE)="","",VLOOKUP(MATCH(B40,tid,0),tao,'12(id)'!$CT$20,FALSE))</f>
        <v>#N/A</v>
      </c>
      <c r="O40" s="9001" t="e">
        <f>+IF(VLOOKUP(MATCH(B40,tid,0),tao,'12(id)'!$DE$20,FALSE)="","",ROUND(VLOOKUP(MATCH(B40,tid,0),tao,'12(id)'!$DE$20,FALSE),0)&amp;" yrs")</f>
        <v>#N/A</v>
      </c>
      <c r="P40" s="9249" t="e">
        <f>+IF(VLOOKUP(MATCH(B40,tid,0),tao,'12(id)'!$FR$20,FALSE)="","",VLOOKUP(MATCH(B40,tid,0),tao,'12(id)'!$FR$20,FALSE))</f>
        <v>#N/A</v>
      </c>
      <c r="Q40" s="9001" t="e">
        <f>+IF(VLOOKUP(MATCH(B40,tid,0),tao,'12(id)'!$DI$20,FALSE)="","",VLOOKUP(MATCH(B40,tid,0),tao,'12(id)'!$DI$20,FALSE))&amp;";  "&amp;IF(VLOOKUP(MATCH(B40,tid,0),tao,'12(id)'!$DQ$20,FALSE)="","",VLOOKUP(MATCH(B40,tid,0),tao,'12(id)'!$DQ$20,FALSE))</f>
        <v>#N/A</v>
      </c>
      <c r="R40" s="8905">
        <f>+IF(B32="","",1+R32)</f>
        <v>2</v>
      </c>
      <c r="S40" s="8859"/>
      <c r="T40" s="8951" t="str">
        <f>+IF(VLOOKUP(MATCH(E40,c_id,0),ca,'13(an)'!$BD$34,FALSE)="","",VLOOKUP(MATCH(E40,c_id,0),ca,'13(an)'!$BD$34,FALSE))</f>
        <v>HPWI + Ultra Low Sulfur Fuel</v>
      </c>
      <c r="U40" s="8952"/>
      <c r="V40" s="8953"/>
      <c r="W40" s="7553"/>
      <c r="X40" s="8859"/>
      <c r="Y40" s="8951" t="str">
        <f>+IF(T40="","",T40)</f>
        <v>HPWI + Ultra Low Sulfur Fuel</v>
      </c>
      <c r="Z40" s="8952"/>
      <c r="AA40" s="8953"/>
      <c r="AB40" s="7554"/>
      <c r="AC40" s="8859"/>
      <c r="AD40" s="8874" t="str">
        <f>+IF(Y40="","",Y40)</f>
        <v>HPWI + Ultra Low Sulfur Fuel</v>
      </c>
      <c r="AE40" s="8874"/>
      <c r="AF40" s="8874"/>
      <c r="AG40" s="7555"/>
      <c r="AH40" s="5962"/>
      <c r="AI40" s="5959"/>
      <c r="AJ40" s="5959"/>
      <c r="AK40" s="5959"/>
      <c r="AL40" s="5959"/>
      <c r="AM40" s="5959"/>
    </row>
    <row r="41" spans="1:39" ht="12.75" customHeight="1">
      <c r="A41" s="5952"/>
      <c r="B41" s="9088" t="str">
        <f>+IF(B32="","",IF('12(id)'!A25="","",'12(id)'!A25))</f>
        <v>8302-04</v>
      </c>
      <c r="C41" s="8934"/>
      <c r="D41" s="8932" t="str">
        <f>+M41</f>
        <v>12B</v>
      </c>
      <c r="E41" s="9181"/>
      <c r="F41" s="5962"/>
      <c r="G41" s="7527"/>
      <c r="H41" s="5962"/>
      <c r="I41" s="9081">
        <f>1+I38</f>
        <v>5</v>
      </c>
      <c r="J41" s="9242" t="str">
        <f>+IF(VLOOKUP(MATCH(B41,tid,0),tao,'12(id)'!$I$20,FALSE)="","",VLOOKUP(MATCH(B41,tid,0),tao,'12(id)'!$I$20,FALSE))</f>
        <v/>
      </c>
      <c r="K41" s="9064">
        <f>+IF(VLOOKUP(MATCH(B41,tid,0),tao,'12(id)'!$K$20,FALSE)="","",VLOOKUP(MATCH(B41,tid,0),tao,'12(id)'!$K$20,FALSE))</f>
        <v>8302</v>
      </c>
      <c r="L41" s="9228" t="str">
        <f>+IF(VLOOKUP(MATCH(B41,tid,0),tao,'12(id)'!$L$20,FALSE)="","",VLOOKUP(MATCH(B41,tid,0),tao,'12(id)'!$L$20,FALSE))</f>
        <v>South Meadow Station</v>
      </c>
      <c r="M41" s="9230" t="str">
        <f>+IF(B41="","",IF(VLOOKUP(MATCH(B41,tid,0),tao,'12(id)'!$Q$20,FALSE)="","",VLOOKUP(MATCH(B41,tid,0),tao,'12(id)'!$Q$20,FALSE)))</f>
        <v>12B</v>
      </c>
      <c r="N41" s="9234" t="str">
        <f>+IF(VLOOKUP(MATCH(B41,tid,0),tao,'12(id)'!$CT$20,FALSE)="","",VLOOKUP(MATCH(B41,tid,0),tao,'12(id)'!$CT$20,FALSE))</f>
        <v/>
      </c>
      <c r="O41" s="9001" t="str">
        <f ca="1">+IF(VLOOKUP(MATCH(B41,tid,0),tao,'12(id)'!$DE$20,FALSE)="","",ROUND(VLOOKUP(MATCH(B41,tid,0),tao,'12(id)'!$DE$20,FALSE),0)&amp;" yrs")</f>
        <v>45 yrs</v>
      </c>
      <c r="P41" s="9249" t="str">
        <f>+IF(VLOOKUP(MATCH(B41,tid,0),tao,'12(id)'!$FR$20,FALSE)="","",VLOOKUP(MATCH(B41,tid,0),tao,'12(id)'!$FR$20,FALSE))</f>
        <v>None</v>
      </c>
      <c r="Q41" s="9001" t="str">
        <f>+IF(VLOOKUP(MATCH(B41,tid,0),tao,'12(id)'!$DI$20,FALSE)="","",VLOOKUP(MATCH(B41,tid,0),tao,'12(id)'!$DI$20,FALSE))&amp;";  "&amp;IF(VLOOKUP(MATCH(B41,tid,0),tao,'12(id)'!$DQ$20,FALSE)="","",VLOOKUP(MATCH(B41,tid,0),tao,'12(id)'!$DQ$20,FALSE))</f>
        <v>Jet Fuel A (Kerosene K1);  No. 2 oil</v>
      </c>
      <c r="R41" s="8906"/>
      <c r="S41" s="8818"/>
      <c r="T41" s="9209" t="str">
        <f>+IF(VLOOKUP(MATCH(E40,c_id,0),ca,'13(an)'!$BG$34,FALSE)="","","("&amp;VLOOKUP(MATCH(E40,c_id,0),ca,'13(an)'!$BG$34,FALSE)&amp;")")</f>
        <v>(Water Injection w/ Low Sulfur Fuel Combination)</v>
      </c>
      <c r="U41" s="9210"/>
      <c r="V41" s="9211"/>
      <c r="W41" s="7544"/>
      <c r="X41" s="8818"/>
      <c r="Y41" s="9209" t="str">
        <f>+T41</f>
        <v>(Water Injection w/ Low Sulfur Fuel Combination)</v>
      </c>
      <c r="Z41" s="9210"/>
      <c r="AA41" s="9211"/>
      <c r="AB41" s="7545"/>
      <c r="AC41" s="8818"/>
      <c r="AD41" s="8936" t="str">
        <f>+Y41</f>
        <v>(Water Injection w/ Low Sulfur Fuel Combination)</v>
      </c>
      <c r="AE41" s="8936"/>
      <c r="AF41" s="8936"/>
      <c r="AG41" s="7546"/>
      <c r="AH41" s="5962"/>
      <c r="AI41" s="5959"/>
      <c r="AJ41" s="5959"/>
      <c r="AK41" s="5959"/>
      <c r="AL41" s="5959"/>
      <c r="AM41" s="5959"/>
    </row>
    <row r="42" spans="1:39" ht="8.1" customHeight="1">
      <c r="A42" s="5952"/>
      <c r="B42" s="9035"/>
      <c r="C42" s="8934"/>
      <c r="D42" s="8930" t="e">
        <f>+IF(VLOOKUP(MATCH(#REF!,tid,0),tao,'12(id)'!$Q$20,FALSE)="","",VLOOKUP(MATCH(#REF!,tid,0),tao,'12(id)'!$Q$20,FALSE))</f>
        <v>#REF!</v>
      </c>
      <c r="E42" s="9181"/>
      <c r="F42" s="5962"/>
      <c r="G42" s="7527"/>
      <c r="H42" s="5962"/>
      <c r="I42" s="9070"/>
      <c r="J42" s="9242" t="e">
        <f>+IF(VLOOKUP(MATCH(B42,tid,0),tao,'12(id)'!$I$20,FALSE)="","",VLOOKUP(MATCH(B42,tid,0),tao,'12(id)'!$I$20,FALSE))</f>
        <v>#N/A</v>
      </c>
      <c r="K42" s="9064" t="e">
        <f>+IF(VLOOKUP(MATCH(B42,tid,0),tao,'12(id)'!$K$20,FALSE)="","",VLOOKUP(MATCH(B42,tid,0),tao,'12(id)'!$K$20,FALSE))</f>
        <v>#N/A</v>
      </c>
      <c r="L42" s="9228" t="e">
        <f>+IF(VLOOKUP(MATCH(B42,tid,0),tao,'12(id)'!$L$20,FALSE)="","",VLOOKUP(MATCH(B42,tid,0),tao,'12(id)'!$L$20,FALSE))</f>
        <v>#N/A</v>
      </c>
      <c r="M42" s="9231" t="e">
        <f>+IF(VLOOKUP(MATCH(B42,tid,0),tao,'12(id)'!$Q$20,FALSE)="","",VLOOKUP(MATCH(B42,tid,0),tao,'12(id)'!$Q$20,FALSE))</f>
        <v>#N/A</v>
      </c>
      <c r="N42" s="9234" t="e">
        <f>+IF(VLOOKUP(MATCH(B42,tid,0),tao,'12(id)'!$CT$20,FALSE)="","",VLOOKUP(MATCH(B42,tid,0),tao,'12(id)'!$CT$20,FALSE))</f>
        <v>#N/A</v>
      </c>
      <c r="O42" s="9001" t="e">
        <f>+IF(VLOOKUP(MATCH(B42,tid,0),tao,'12(id)'!$DE$20,FALSE)="","",ROUND(VLOOKUP(MATCH(B42,tid,0),tao,'12(id)'!$DE$20,FALSE),0)&amp;" yrs")</f>
        <v>#N/A</v>
      </c>
      <c r="P42" s="9249" t="e">
        <f>+IF(VLOOKUP(MATCH(B42,tid,0),tao,'12(id)'!$FR$20,FALSE)="","",VLOOKUP(MATCH(B42,tid,0),tao,'12(id)'!$FR$20,FALSE))</f>
        <v>#N/A</v>
      </c>
      <c r="Q42" s="9001" t="e">
        <f>+IF(VLOOKUP(MATCH(B42,tid,0),tao,'12(id)'!$DI$20,FALSE)="","",VLOOKUP(MATCH(B42,tid,0),tao,'12(id)'!$DI$20,FALSE))&amp;";  "&amp;IF(VLOOKUP(MATCH(B42,tid,0),tao,'12(id)'!$DQ$20,FALSE)="","",VLOOKUP(MATCH(B42,tid,0),tao,'12(id)'!$DQ$20,FALSE))</f>
        <v>#N/A</v>
      </c>
      <c r="R42" s="8906"/>
      <c r="S42" s="8988"/>
      <c r="T42" s="8937" t="str">
        <f>+IF(E40="","",IF(VLOOKUP(MATCH(E40,c_id,0),ca,'13(an)'!$CC$34,FALSE)="",IF(VLOOKUP(MATCH(E40,c_id,0),ca,'13(an)'!$CD$34,FALSE)="",IF(VLOOKUP(MATCH(E40,c_id,0),ca,'13(an)'!$CE$34,FALSE)="","η ≈ N/A","η ≈ "&amp;ROUND(VLOOKUP(MATCH(E40,c_id,0),ca,'13(an)'!$CE$34,FALSE)*100,0)&amp;"%"),"η ≈ "&amp;ROUND(VLOOKUP(MATCH(E40,c_id,0),ca,'13(an)'!$CD$34,FALSE)*100,0)&amp;"%"),"η ≈ "&amp;ROUND(VLOOKUP(MATCH(E40,c_id,0),ca,'13(an)'!$CC$34,FALSE)*100,0)&amp;"%"))</f>
        <v>η ≈ 75%</v>
      </c>
      <c r="U42" s="8939" t="str">
        <f>+IF($U$56="ppmvd",IF(VLOOKUP(MATCH(E40,c_id,0),ca,'13(an)'!$BV$34,FALSE)="","",ROUND(VLOOKUP(MATCH(E40,c_id,0),ca,'13(an)'!$BV$34,FALSE),1)&amp;" ppmvd"),IF(VLOOKUP(MATCH(E40,c_id,0),ca,'13(an)'!$BU$34,FALSE)="","",IF(LEN(ROUND(VLOOKUP(MATCH(E40,c_id,0),ca,'13(an)'!$BU$34,FALSE),3))=3,ROUND(VLOOKUP(MATCH(E40,c_id,0),ca,'13(an)'!$BU$34,FALSE),3)&amp;"00 lb/MMBtu",IF(LEN(ROUND(VLOOKUP(MATCH(E40,c_id,0),ca,'13(an)'!$BU$34,FALSE),3))=4,ROUND(VLOOKUP(MATCH(E40,c_id,0),ca,'13(an)'!$BU$34,FALSE),3)&amp;"0 lb/MMBtu",ROUND(VLOOKUP(MATCH(E40,c_id,0),ca,'13(an)'!$BU$34,FALSE),3)&amp;" lb/MMBtu"))))</f>
        <v/>
      </c>
      <c r="V42" s="8941">
        <f>+IF(E40="","",IF(VLOOKUP(MATCH(E40,c_id,0),ca,'13(an)'!$CB$34,FALSE)="","NOx(R) = N/A",ROUND(VLOOKUP(MATCH(E40,c_id,0),ca,'13(an)'!$CB$34,FALSE),1)))</f>
        <v>1</v>
      </c>
      <c r="W42" s="7534"/>
      <c r="X42" s="8988"/>
      <c r="Y42" s="8937" t="str">
        <f>+IF(E40="","",IF(VLOOKUP(MATCH(E40,c_id,0),ca,'13(an)'!$CM$34,FALSE)="",IF(VLOOKUP(MATCH(E40,c_id,0),ca,'13(an)'!$CN$34,FALSE)="",IF(VLOOKUP(MATCH(E40,c_id,0),ca,'13(an)'!$CO$34,FALSE)="","η ≈ N/A","η ≈ "&amp;ROUND(VLOOKUP(MATCH(E40,c_id,0),ca,'13(an)'!$CO$34,FALSE)*100,0)&amp;"%"),"η ≈ "&amp;ROUND(VLOOKUP(MATCH(E40,c_id,0),ca,'13(an)'!$CN$34,FALSE)*100,0)&amp;"%"),"η ≈ "&amp;ROUND(VLOOKUP(MATCH(E40,c_id,0),ca,'13(an)'!$CM$34,FALSE)*100,0)&amp;"%"))</f>
        <v>η ≈ 75%</v>
      </c>
      <c r="Z42" s="8939" t="str">
        <f>+IF($Z$56="ppmvd",IF(VLOOKUP(MATCH(E40,c_id,0),ca,'13(an)'!$CJ$34,FALSE)="","",ROUND(VLOOKUP(MATCH(E40,c_id,0),ca,'13(an)'!$CJ$34,FALSE),1)&amp;" ppmvd"),IF(VLOOKUP(MATCH(E40,c_id,0),ca,'13(an)'!$CI$34,FALSE)="","",IF(LEN(ROUND(VLOOKUP(MATCH(E40,c_id,0),ca,'13(an)'!$CI$34,FALSE),3))=3,ROUND(VLOOKUP(MATCH(E40,c_id,0),ca,'13(an)'!$CI$34,FALSE),3)&amp;"00 lb/MMBtu",IF(LEN(ROUND(VLOOKUP(MATCH(E40,c_id,0),ca,'13(an)'!$CI$34,FALSE),3))=4,ROUND(VLOOKUP(MATCH(E40,c_id,0),ca,'13(an)'!$CI$34,FALSE),3)&amp;"0 lb/MMBtu",ROUND(VLOOKUP(MATCH(E40,c_id,0),ca,'13(an)'!$CI$34,FALSE),3)&amp;" lb/MMBtu"))))</f>
        <v>0.196 lb/MMBtu</v>
      </c>
      <c r="AA42" s="8941">
        <f>+IF(E40="","",IF(VLOOKUP(MATCH(E40,c_id,0),ca,'13(an)'!$CL$34,FALSE)="","NOx(R) = N/A",ROUND(VLOOKUP(MATCH(E40,c_id,0),ca,'13(an)'!$CL$34,FALSE),1)))</f>
        <v>1.1000000000000001</v>
      </c>
      <c r="AB42" s="7535"/>
      <c r="AC42" s="8818"/>
      <c r="AD42" s="8937" t="str">
        <f>+IF(E40="","",IF(VLOOKUP(MATCH(E40,c_id,0),ca,'13(an)'!$CM$34,FALSE)="",IF(VLOOKUP(MATCH(E40,c_id,0),ca,'13(an)'!$CN$34,FALSE)="",IF(VLOOKUP(MATCH(E40,c_id,0),ca,'13(an)'!$CO$34,FALSE)="","η ≈ N/A","η ≈ "&amp;ROUND(VLOOKUP(MATCH(E40,c_id,0),ca,'13(an)'!$CO$34,FALSE)*100,0)&amp;"%"),"η ≈ "&amp;ROUND(VLOOKUP(MATCH(E40,c_id,0),ca,'13(an)'!$CN$34,FALSE)*100,0)&amp;"%"),"η ≈ "&amp;ROUND(VLOOKUP(MATCH(E40,c_id,0),ca,'13(an)'!$CM$34,FALSE)*100,0)&amp;"%"))</f>
        <v>η ≈ 75%</v>
      </c>
      <c r="AE42" s="8939" t="str">
        <f>+IF($AE$56="ppmvd",IF(VLOOKUP(MATCH(E40,c_id,0),ca,'13(an)'!$CJ$34,FALSE)="","",ROUND(VLOOKUP(MATCH(E40,c_id,0),ca,'13(an)'!$CJ$34,FALSE),1)&amp;" ppmvd"),IF(VLOOKUP(MATCH(E40,c_id,0),ca,'13(an)'!$CI$34,FALSE)="","",IF(LEN(ROUND(VLOOKUP(MATCH(E40,c_id,0),ca,'13(an)'!$CI$34,FALSE),3))=3,ROUND(VLOOKUP(MATCH(E40,c_id,0),ca,'13(an)'!$CI$34,FALSE),3)&amp;"00 lb/MMBtu",IF(LEN(ROUND(VLOOKUP(MATCH(E40,c_id,0),ca,'13(an)'!$CI$34,FALSE),3))=4,ROUND(VLOOKUP(MATCH(E40,c_id,0),ca,'13(an)'!$CI$34,FALSE),3)&amp;"0 lb/MMBtu",ROUND(VLOOKUP(MATCH(E40,c_id,0),ca,'13(an)'!$CI$34,FALSE),3)&amp;" lb/MMBtu"))))</f>
        <v>0.196 lb/MMBtu</v>
      </c>
      <c r="AF42" s="8941">
        <f>+IF(E40="","",IF(VLOOKUP(MATCH(E40,c_id,0),ca,'13(an)'!$CL$34,FALSE)="","NOx(R) = N/A",ROUND(VLOOKUP(MATCH(E40,c_id,0),ca,'13(an)'!$CL$34,FALSE),1)))</f>
        <v>1.1000000000000001</v>
      </c>
      <c r="AG42" s="7536"/>
      <c r="AH42" s="5962"/>
      <c r="AI42" s="5959"/>
      <c r="AJ42" s="5959"/>
      <c r="AK42" s="5959"/>
      <c r="AL42" s="5959"/>
      <c r="AM42" s="5959"/>
    </row>
    <row r="43" spans="1:39" ht="8.1" customHeight="1">
      <c r="A43" s="5952"/>
      <c r="B43" s="9062"/>
      <c r="C43" s="8934"/>
      <c r="D43" s="8931" t="e">
        <f>+IF(VLOOKUP(MATCH(#REF!,tid,0),tao,'12(id)'!$Q$20,FALSE)="","",VLOOKUP(MATCH(#REF!,tid,0),tao,'12(id)'!$Q$20,FALSE))</f>
        <v>#REF!</v>
      </c>
      <c r="E43" s="9181"/>
      <c r="F43" s="5962"/>
      <c r="G43" s="7527"/>
      <c r="H43" s="5962"/>
      <c r="I43" s="9071"/>
      <c r="J43" s="9242" t="e">
        <f>+IF(VLOOKUP(MATCH(B43,tid,0),tao,'12(id)'!$I$20,FALSE)="","",VLOOKUP(MATCH(B43,tid,0),tao,'12(id)'!$I$20,FALSE))</f>
        <v>#N/A</v>
      </c>
      <c r="K43" s="9064" t="e">
        <f>+IF(VLOOKUP(MATCH(B43,tid,0),tao,'12(id)'!$K$20,FALSE)="","",VLOOKUP(MATCH(B43,tid,0),tao,'12(id)'!$K$20,FALSE))</f>
        <v>#N/A</v>
      </c>
      <c r="L43" s="9228" t="e">
        <f>+IF(VLOOKUP(MATCH(B43,tid,0),tao,'12(id)'!$L$20,FALSE)="","",VLOOKUP(MATCH(B43,tid,0),tao,'12(id)'!$L$20,FALSE))</f>
        <v>#N/A</v>
      </c>
      <c r="M43" s="9232" t="e">
        <f>+IF(VLOOKUP(MATCH(B43,tid,0),tao,'12(id)'!$Q$20,FALSE)="","",VLOOKUP(MATCH(B43,tid,0),tao,'12(id)'!$Q$20,FALSE))</f>
        <v>#N/A</v>
      </c>
      <c r="N43" s="9235" t="e">
        <f>+IF(VLOOKUP(MATCH(B43,tid,0),tao,'12(id)'!$CT$20,FALSE)="","",VLOOKUP(MATCH(B43,tid,0),tao,'12(id)'!$CT$20,FALSE))</f>
        <v>#N/A</v>
      </c>
      <c r="O43" s="9001" t="e">
        <f>+IF(VLOOKUP(MATCH(B43,tid,0),tao,'12(id)'!$DE$20,FALSE)="","",ROUND(VLOOKUP(MATCH(B43,tid,0),tao,'12(id)'!$DE$20,FALSE),0)&amp;" yrs")</f>
        <v>#N/A</v>
      </c>
      <c r="P43" s="9249" t="e">
        <f>+IF(VLOOKUP(MATCH(B43,tid,0),tao,'12(id)'!$FR$20,FALSE)="","",VLOOKUP(MATCH(B43,tid,0),tao,'12(id)'!$FR$20,FALSE))</f>
        <v>#N/A</v>
      </c>
      <c r="Q43" s="9001" t="e">
        <f>+IF(VLOOKUP(MATCH(B43,tid,0),tao,'12(id)'!$DI$20,FALSE)="","",VLOOKUP(MATCH(B43,tid,0),tao,'12(id)'!$DI$20,FALSE))&amp;";  "&amp;IF(VLOOKUP(MATCH(B43,tid,0),tao,'12(id)'!$DQ$20,FALSE)="","",VLOOKUP(MATCH(B43,tid,0),tao,'12(id)'!$DQ$20,FALSE))</f>
        <v>#N/A</v>
      </c>
      <c r="R43" s="8906"/>
      <c r="S43" s="8988"/>
      <c r="T43" s="8938"/>
      <c r="U43" s="8940"/>
      <c r="V43" s="8942"/>
      <c r="W43" s="7534"/>
      <c r="X43" s="8988"/>
      <c r="Y43" s="8938"/>
      <c r="Z43" s="8940"/>
      <c r="AA43" s="8942"/>
      <c r="AB43" s="7535"/>
      <c r="AC43" s="8818"/>
      <c r="AD43" s="8938"/>
      <c r="AE43" s="8940"/>
      <c r="AF43" s="8942"/>
      <c r="AG43" s="7536"/>
      <c r="AH43" s="5962"/>
      <c r="AI43" s="5959"/>
      <c r="AJ43" s="5959"/>
      <c r="AK43" s="5959"/>
      <c r="AL43" s="5959"/>
      <c r="AM43" s="5959"/>
    </row>
    <row r="44" spans="1:39" ht="18" customHeight="1">
      <c r="A44" s="5952"/>
      <c r="B44" s="9088" t="str">
        <f>+IF(B32="","",IF('12(id)'!A26="","",'12(id)'!A26))</f>
        <v>8302-05</v>
      </c>
      <c r="C44" s="8934"/>
      <c r="D44" s="8932" t="str">
        <f>+M44</f>
        <v>13A</v>
      </c>
      <c r="E44" s="9181"/>
      <c r="F44" s="5962"/>
      <c r="G44" s="7527"/>
      <c r="H44" s="5962"/>
      <c r="I44" s="9081">
        <f>1+I41</f>
        <v>6</v>
      </c>
      <c r="J44" s="9242" t="str">
        <f>+IF(VLOOKUP(MATCH(B44,tid,0),tao,'12(id)'!$I$20,FALSE)="","",VLOOKUP(MATCH(B44,tid,0),tao,'12(id)'!$I$20,FALSE))</f>
        <v/>
      </c>
      <c r="K44" s="9064">
        <f>+IF(VLOOKUP(MATCH(B44,tid,0),tao,'12(id)'!$K$20,FALSE)="","",VLOOKUP(MATCH(B44,tid,0),tao,'12(id)'!$K$20,FALSE))</f>
        <v>8302</v>
      </c>
      <c r="L44" s="9228" t="str">
        <f>+IF(VLOOKUP(MATCH(B44,tid,0),tao,'12(id)'!$L$20,FALSE)="","",VLOOKUP(MATCH(B44,tid,0),tao,'12(id)'!$L$20,FALSE))</f>
        <v>South Meadow Station</v>
      </c>
      <c r="M44" s="9230" t="str">
        <f>+IF(B44="","",IF(VLOOKUP(MATCH(B44,tid,0),tao,'12(id)'!$Q$20,FALSE)="","",VLOOKUP(MATCH(B44,tid,0),tao,'12(id)'!$Q$20,FALSE)))</f>
        <v>13A</v>
      </c>
      <c r="N44" s="9233">
        <f>+IF(B44="","",IF(VLOOKUP(MATCH(B44,tid,0),tao,'12(id)'!$CT$20,FALSE)="","",VLOOKUP(MATCH(B44,tid,0),tao,'12(id)'!$CT$20,FALSE)))</f>
        <v>40</v>
      </c>
      <c r="O44" s="9001" t="str">
        <f ca="1">+IF(VLOOKUP(MATCH(B44,tid,0),tao,'12(id)'!$DE$20,FALSE)="","",ROUND(VLOOKUP(MATCH(B44,tid,0),tao,'12(id)'!$DE$20,FALSE),0)&amp;" yrs")</f>
        <v>45 yrs</v>
      </c>
      <c r="P44" s="9249" t="str">
        <f>+IF(VLOOKUP(MATCH(B44,tid,0),tao,'12(id)'!$FR$20,FALSE)="","",VLOOKUP(MATCH(B44,tid,0),tao,'12(id)'!$FR$20,FALSE))</f>
        <v>None</v>
      </c>
      <c r="Q44" s="9001" t="str">
        <f>+IF(VLOOKUP(MATCH(B44,tid,0),tao,'12(id)'!$DI$20,FALSE)="","",VLOOKUP(MATCH(B44,tid,0),tao,'12(id)'!$DI$20,FALSE))&amp;";  "&amp;IF(VLOOKUP(MATCH(B44,tid,0),tao,'12(id)'!$DQ$20,FALSE)="","",VLOOKUP(MATCH(B44,tid,0),tao,'12(id)'!$DQ$20,FALSE))</f>
        <v>Jet Fuel A (Kerosene K1);  No. 2 oil</v>
      </c>
      <c r="R44" s="8906"/>
      <c r="S44" s="8818"/>
      <c r="T44" s="7537">
        <f>+IF(VLOOKUP(MATCH(E40,c_id,0),ca,'13(an)'!$GF$34,FALSE)="","",VLOOKUP(MATCH(E40,c_id,0),ca,'13(an)'!$GF$34,FALSE))</f>
        <v>1494237.5</v>
      </c>
      <c r="U44" s="7538" t="str">
        <f>+IF(T44="","","$ TCC/unit")</f>
        <v>$ TCC/unit</v>
      </c>
      <c r="V44" s="7539">
        <f>+IF(VLOOKUP(MATCH(E40,c_id,0),ca,'13(an)'!$HA$34,FALSE)="","",VLOOKUP(MATCH(E40,c_id,0),ca,'13(an)'!$HA$34,FALSE))</f>
        <v>351743.50750000001</v>
      </c>
      <c r="W44" s="7540"/>
      <c r="X44" s="8818"/>
      <c r="Y44" s="7537">
        <f>+IF(VLOOKUP(MATCH(E40,c_id,0),ca,'13(an)'!$IA$34,FALSE)="","",VLOOKUP(MATCH(E40,c_id,0),ca,'13(an)'!$IA$34,FALSE))</f>
        <v>1494237.5</v>
      </c>
      <c r="Z44" s="7538" t="str">
        <f>+IF(Y44="","","$ TCC/unit")</f>
        <v>$ TCC/unit</v>
      </c>
      <c r="AA44" s="7539">
        <f>+IF(Y44="","",$AA$14*Y44)</f>
        <v>141045.44938028805</v>
      </c>
      <c r="AB44" s="7541"/>
      <c r="AC44" s="8818"/>
      <c r="AD44" s="7537">
        <f>+IF(VLOOKUP(MATCH(E40,c_id,0),ca,'13(an)'!$JS$34,FALSE)="","",VLOOKUP(MATCH(E40,c_id,0),ca,'13(an)'!$JS$34,FALSE))</f>
        <v>1738175</v>
      </c>
      <c r="AE44" s="7538" t="str">
        <f>+IF(AD44="","","$ TCC/unit")</f>
        <v>$ TCC/unit</v>
      </c>
      <c r="AF44" s="7539">
        <f>+IF(AD44="","",$AF$14*AD44)</f>
        <v>149153.69577003046</v>
      </c>
      <c r="AG44" s="7542"/>
      <c r="AH44" s="5962"/>
      <c r="AI44" s="5959"/>
      <c r="AJ44" s="5959"/>
      <c r="AK44" s="5959"/>
      <c r="AL44" s="5959"/>
      <c r="AM44" s="5959"/>
    </row>
    <row r="45" spans="1:39" ht="15" customHeight="1">
      <c r="A45" s="5952"/>
      <c r="B45" s="9035"/>
      <c r="C45" s="8934"/>
      <c r="D45" s="8930" t="e">
        <f>+IF(VLOOKUP(MATCH(#REF!,tid,0),tao,'12(id)'!$Q$20,FALSE)="","",VLOOKUP(MATCH(#REF!,tid,0),tao,'12(id)'!$Q$20,FALSE))</f>
        <v>#REF!</v>
      </c>
      <c r="E45" s="9181"/>
      <c r="F45" s="5962"/>
      <c r="G45" s="7527"/>
      <c r="H45" s="5962"/>
      <c r="I45" s="9070"/>
      <c r="J45" s="9242" t="e">
        <f>+IF(VLOOKUP(MATCH(B45,tid,0),tao,'12(id)'!$I$20,FALSE)="","",VLOOKUP(MATCH(B45,tid,0),tao,'12(id)'!$I$20,FALSE))</f>
        <v>#N/A</v>
      </c>
      <c r="K45" s="9064" t="e">
        <f>+IF(VLOOKUP(MATCH(B45,tid,0),tao,'12(id)'!$K$20,FALSE)="","",VLOOKUP(MATCH(B45,tid,0),tao,'12(id)'!$K$20,FALSE))</f>
        <v>#N/A</v>
      </c>
      <c r="L45" s="9228" t="e">
        <f>+IF(VLOOKUP(MATCH(B45,tid,0),tao,'12(id)'!$L$20,FALSE)="","",VLOOKUP(MATCH(B45,tid,0),tao,'12(id)'!$L$20,FALSE))</f>
        <v>#N/A</v>
      </c>
      <c r="M45" s="9231" t="e">
        <f>+IF(VLOOKUP(MATCH(B45,tid,0),tao,'12(id)'!$Q$20,FALSE)="","",VLOOKUP(MATCH(B45,tid,0),tao,'12(id)'!$Q$20,FALSE))</f>
        <v>#N/A</v>
      </c>
      <c r="N45" s="9234" t="e">
        <f>+IF(VLOOKUP(MATCH(B45,tid,0),tao,'12(id)'!$CT$20,FALSE)="","",VLOOKUP(MATCH(B45,tid,0),tao,'12(id)'!$CT$20,FALSE))</f>
        <v>#N/A</v>
      </c>
      <c r="O45" s="9001" t="e">
        <f>+IF(VLOOKUP(MATCH(B45,tid,0),tao,'12(id)'!$DE$20,FALSE)="","",ROUND(VLOOKUP(MATCH(B45,tid,0),tao,'12(id)'!$DE$20,FALSE),0)&amp;" yrs")</f>
        <v>#N/A</v>
      </c>
      <c r="P45" s="9249" t="e">
        <f>+IF(VLOOKUP(MATCH(B45,tid,0),tao,'12(id)'!$FR$20,FALSE)="","",VLOOKUP(MATCH(B45,tid,0),tao,'12(id)'!$FR$20,FALSE))</f>
        <v>#N/A</v>
      </c>
      <c r="Q45" s="9001" t="e">
        <f>+IF(VLOOKUP(MATCH(B45,tid,0),tao,'12(id)'!$DI$20,FALSE)="","",VLOOKUP(MATCH(B45,tid,0),tao,'12(id)'!$DI$20,FALSE))&amp;";  "&amp;IF(VLOOKUP(MATCH(B45,tid,0),tao,'12(id)'!$DQ$20,FALSE)="","",VLOOKUP(MATCH(B45,tid,0),tao,'12(id)'!$DQ$20,FALSE))</f>
        <v>#N/A</v>
      </c>
      <c r="R45" s="8906"/>
      <c r="S45" s="8818"/>
      <c r="T45" s="7543">
        <f>+IF(OR(T44="",N32=""),"",T44/(N32/2))</f>
        <v>74711.875</v>
      </c>
      <c r="U45" s="8820" t="str">
        <f>+IF(T45="","","$ TCC / MW nominal capacity")</f>
        <v>$ TCC / MW nominal capacity</v>
      </c>
      <c r="V45" s="8820"/>
      <c r="W45" s="7544"/>
      <c r="X45" s="8818"/>
      <c r="Y45" s="7543">
        <f>+IF(OR(Y44="",N32=""),"",Y44/(N32/2))</f>
        <v>74711.875</v>
      </c>
      <c r="Z45" s="8820" t="str">
        <f>+IF(Y45="","","$ TCC / MW nominal capacity")</f>
        <v>$ TCC / MW nominal capacity</v>
      </c>
      <c r="AA45" s="8820"/>
      <c r="AB45" s="7545"/>
      <c r="AC45" s="8818"/>
      <c r="AD45" s="7543">
        <f>+IF(OR(AD44="",N32=""),"",AD44/(N32/2))</f>
        <v>86908.75</v>
      </c>
      <c r="AE45" s="8820" t="str">
        <f>+IF(AD45="","","$ TCC / MW nominal capacity")</f>
        <v>$ TCC / MW nominal capacity</v>
      </c>
      <c r="AF45" s="8820"/>
      <c r="AG45" s="7546"/>
      <c r="AH45" s="5962"/>
      <c r="AI45" s="5959"/>
      <c r="AJ45" s="5959"/>
      <c r="AK45" s="5959"/>
      <c r="AL45" s="5959"/>
      <c r="AM45" s="5959"/>
    </row>
    <row r="46" spans="1:39">
      <c r="A46" s="5952"/>
      <c r="B46" s="9062"/>
      <c r="C46" s="8934"/>
      <c r="D46" s="8931" t="e">
        <f>+IF(VLOOKUP(MATCH(#REF!,tid,0),tao,'12(id)'!$Q$20,FALSE)="","",VLOOKUP(MATCH(#REF!,tid,0),tao,'12(id)'!$Q$20,FALSE))</f>
        <v>#REF!</v>
      </c>
      <c r="E46" s="9181"/>
      <c r="F46" s="5962"/>
      <c r="G46" s="7527"/>
      <c r="H46" s="5962"/>
      <c r="I46" s="9071"/>
      <c r="J46" s="9242" t="e">
        <f>+IF(VLOOKUP(MATCH(B46,tid,0),tao,'12(id)'!$I$20,FALSE)="","",VLOOKUP(MATCH(B46,tid,0),tao,'12(id)'!$I$20,FALSE))</f>
        <v>#N/A</v>
      </c>
      <c r="K46" s="9064" t="e">
        <f>+IF(VLOOKUP(MATCH(B46,tid,0),tao,'12(id)'!$K$20,FALSE)="","",VLOOKUP(MATCH(B46,tid,0),tao,'12(id)'!$K$20,FALSE))</f>
        <v>#N/A</v>
      </c>
      <c r="L46" s="9228" t="e">
        <f>+IF(VLOOKUP(MATCH(B46,tid,0),tao,'12(id)'!$L$20,FALSE)="","",VLOOKUP(MATCH(B46,tid,0),tao,'12(id)'!$L$20,FALSE))</f>
        <v>#N/A</v>
      </c>
      <c r="M46" s="9232" t="e">
        <f>+IF(VLOOKUP(MATCH(B46,tid,0),tao,'12(id)'!$Q$20,FALSE)="","",VLOOKUP(MATCH(B46,tid,0),tao,'12(id)'!$Q$20,FALSE))</f>
        <v>#N/A</v>
      </c>
      <c r="N46" s="9234" t="e">
        <f>+IF(VLOOKUP(MATCH(B46,tid,0),tao,'12(id)'!$CT$20,FALSE)="","",VLOOKUP(MATCH(B46,tid,0),tao,'12(id)'!$CT$20,FALSE))</f>
        <v>#N/A</v>
      </c>
      <c r="O46" s="9001" t="e">
        <f>+IF(VLOOKUP(MATCH(B46,tid,0),tao,'12(id)'!$DE$20,FALSE)="","",ROUND(VLOOKUP(MATCH(B46,tid,0),tao,'12(id)'!$DE$20,FALSE),0)&amp;" yrs")</f>
        <v>#N/A</v>
      </c>
      <c r="P46" s="9249" t="e">
        <f>+IF(VLOOKUP(MATCH(B46,tid,0),tao,'12(id)'!$FR$20,FALSE)="","",VLOOKUP(MATCH(B46,tid,0),tao,'12(id)'!$FR$20,FALSE))</f>
        <v>#N/A</v>
      </c>
      <c r="Q46" s="9001" t="e">
        <f>+IF(VLOOKUP(MATCH(B46,tid,0),tao,'12(id)'!$DI$20,FALSE)="","",VLOOKUP(MATCH(B46,tid,0),tao,'12(id)'!$DI$20,FALSE))&amp;";  "&amp;IF(VLOOKUP(MATCH(B46,tid,0),tao,'12(id)'!$DQ$20,FALSE)="","",VLOOKUP(MATCH(B46,tid,0),tao,'12(id)'!$DQ$20,FALSE))</f>
        <v>#N/A</v>
      </c>
      <c r="R46" s="8906"/>
      <c r="S46" s="8818"/>
      <c r="T46" s="8914">
        <f>+IF(VLOOKUP(MATCH(E40,c_id,0),ca,'13(an)'!$HF$34,FALSE)="","",VLOOKUP(MATCH(E40,c_id,0),ca,'13(an)'!$HF$34,FALSE))</f>
        <v>525243.30856956658</v>
      </c>
      <c r="U46" s="8903" t="str">
        <f>+IF(T46="","","$ /ton "&amp;"NOx(R)")</f>
        <v>$ /ton NOx(R)</v>
      </c>
      <c r="V46" s="8903"/>
      <c r="W46" s="7547"/>
      <c r="X46" s="8818"/>
      <c r="Y46" s="8914">
        <f>+IF(VLOOKUP(MATCH(E40,c_id,0),ca,'13(an)'!$JE$34,FALSE)="","",VLOOKUP(MATCH(E40,c_id,0),ca,'13(an)'!$JE$34,FALSE))</f>
        <v>148042.73278247827</v>
      </c>
      <c r="Z46" s="8903" t="str">
        <f>+IF(Y46="","","$ /ton "&amp;"NOx(R)")</f>
        <v>$ /ton NOx(R)</v>
      </c>
      <c r="AA46" s="8903"/>
      <c r="AB46" s="7548"/>
      <c r="AC46" s="8818"/>
      <c r="AD46" s="8914">
        <f>+IF(VLOOKUP(MATCH(E40,c_id,0),ca,'13(an)'!$LB$34,FALSE)="","",VLOOKUP(MATCH(E40,c_id,0),ca,'13(an)'!$LB$34,FALSE))</f>
        <v>197937.35830027729</v>
      </c>
      <c r="AE46" s="8903" t="str">
        <f>+IF(AD46="","","$ /ton "&amp;"NOx(R)")</f>
        <v>$ /ton NOx(R)</v>
      </c>
      <c r="AF46" s="8903"/>
      <c r="AG46" s="7549"/>
      <c r="AH46" s="5962"/>
      <c r="AI46" s="5959"/>
      <c r="AJ46" s="5959"/>
      <c r="AK46" s="5959"/>
      <c r="AL46" s="5959"/>
      <c r="AM46" s="5959"/>
    </row>
    <row r="47" spans="1:39">
      <c r="A47" s="5952"/>
      <c r="B47" s="9088" t="str">
        <f>+IF(B32="","",IF('12(id)'!A27="","",'12(id)'!A27))</f>
        <v>8302-06</v>
      </c>
      <c r="C47" s="8934"/>
      <c r="D47" s="8932" t="str">
        <f>+M47</f>
        <v>13B</v>
      </c>
      <c r="E47" s="9182"/>
      <c r="F47" s="5962"/>
      <c r="G47" s="7527"/>
      <c r="H47" s="5962"/>
      <c r="I47" s="9081">
        <f>1+I44</f>
        <v>7</v>
      </c>
      <c r="J47" s="9242" t="str">
        <f>+IF(VLOOKUP(MATCH(B47,tid,0),tao,'12(id)'!$I$20,FALSE)="","",VLOOKUP(MATCH(B47,tid,0),tao,'12(id)'!$I$20,FALSE))</f>
        <v/>
      </c>
      <c r="K47" s="9064">
        <f>+IF(VLOOKUP(MATCH(B47,tid,0),tao,'12(id)'!$K$20,FALSE)="","",VLOOKUP(MATCH(B47,tid,0),tao,'12(id)'!$K$20,FALSE))</f>
        <v>8302</v>
      </c>
      <c r="L47" s="9228" t="str">
        <f>+IF(VLOOKUP(MATCH(B47,tid,0),tao,'12(id)'!$L$20,FALSE)="","",VLOOKUP(MATCH(B47,tid,0),tao,'12(id)'!$L$20,FALSE))</f>
        <v>South Meadow Station</v>
      </c>
      <c r="M47" s="9230" t="str">
        <f>+IF(B47="","",IF(VLOOKUP(MATCH(B47,tid,0),tao,'12(id)'!$Q$20,FALSE)="","",VLOOKUP(MATCH(B47,tid,0),tao,'12(id)'!$Q$20,FALSE)))</f>
        <v>13B</v>
      </c>
      <c r="N47" s="9234" t="str">
        <f>+IF(VLOOKUP(MATCH(B47,tid,0),tao,'12(id)'!$CT$20,FALSE)="","",VLOOKUP(MATCH(B47,tid,0),tao,'12(id)'!$CT$20,FALSE))</f>
        <v/>
      </c>
      <c r="O47" s="9001" t="str">
        <f ca="1">+IF(VLOOKUP(MATCH(B47,tid,0),tao,'12(id)'!$DE$20,FALSE)="","",ROUND(VLOOKUP(MATCH(B47,tid,0),tao,'12(id)'!$DE$20,FALSE),0)&amp;" yrs")</f>
        <v>45 yrs</v>
      </c>
      <c r="P47" s="9249" t="str">
        <f>+IF(VLOOKUP(MATCH(B47,tid,0),tao,'12(id)'!$FR$20,FALSE)="","",VLOOKUP(MATCH(B47,tid,0),tao,'12(id)'!$FR$20,FALSE))</f>
        <v>None</v>
      </c>
      <c r="Q47" s="9001" t="str">
        <f>+IF(VLOOKUP(MATCH(B47,tid,0),tao,'12(id)'!$DI$20,FALSE)="","",VLOOKUP(MATCH(B47,tid,0),tao,'12(id)'!$DI$20,FALSE))&amp;";  "&amp;IF(VLOOKUP(MATCH(B47,tid,0),tao,'12(id)'!$DQ$20,FALSE)="","",VLOOKUP(MATCH(B47,tid,0),tao,'12(id)'!$DQ$20,FALSE))</f>
        <v>Jet Fuel A (Kerosene K1);  No. 2 oil</v>
      </c>
      <c r="R47" s="8981"/>
      <c r="S47" s="8819"/>
      <c r="T47" s="8943" t="e">
        <f>+IF(VLOOKUP(MATCH(E42,c_id,0),ca,'13(an)'!$HF$34,FALSE)="","",VLOOKUP(MATCH(E42,c_id,0),ca,'13(an)'!$HF$34,FALSE))</f>
        <v>#N/A</v>
      </c>
      <c r="U47" s="8944"/>
      <c r="V47" s="8944"/>
      <c r="W47" s="7550"/>
      <c r="X47" s="8819"/>
      <c r="Y47" s="8943"/>
      <c r="Z47" s="8944"/>
      <c r="AA47" s="8944"/>
      <c r="AB47" s="7551"/>
      <c r="AC47" s="8819"/>
      <c r="AD47" s="8943" t="e">
        <f>+IF(VLOOKUP(MATCH(E42,c_id,0),ca,'13(an)'!$LB$34,FALSE)="","",VLOOKUP(MATCH(E42,c_id,0),ca,'13(an)'!$LB$34,FALSE))</f>
        <v>#N/A</v>
      </c>
      <c r="AE47" s="8944"/>
      <c r="AF47" s="8944"/>
      <c r="AG47" s="7552"/>
      <c r="AH47" s="5962"/>
      <c r="AI47" s="5959"/>
      <c r="AJ47" s="5959"/>
      <c r="AK47" s="5959"/>
      <c r="AL47" s="5959"/>
      <c r="AM47" s="5959"/>
    </row>
    <row r="48" spans="1:39" ht="12.75" customHeight="1">
      <c r="A48" s="5952"/>
      <c r="B48" s="9035"/>
      <c r="C48" s="8934"/>
      <c r="D48" s="8930" t="e">
        <f>+IF(VLOOKUP(MATCH(#REF!,tid,0),tao,'12(id)'!$Q$20,FALSE)="","",VLOOKUP(MATCH(#REF!,tid,0),tao,'12(id)'!$Q$20,FALSE))</f>
        <v>#REF!</v>
      </c>
      <c r="E48" s="9239" t="str">
        <f>+IF(B32="","",B32&amp;IF(ISERR(VALUE(1+R40)),"-01",IF(1+R40&lt;10,"-0"&amp;1+R40,"-"&amp;1+R40)))</f>
        <v>8302-01-03</v>
      </c>
      <c r="F48" s="5962"/>
      <c r="G48" s="7527"/>
      <c r="H48" s="5962"/>
      <c r="I48" s="9070"/>
      <c r="J48" s="9242" t="e">
        <f>+IF(VLOOKUP(MATCH(B48,tid,0),tao,'12(id)'!$I$20,FALSE)="","",VLOOKUP(MATCH(B48,tid,0),tao,'12(id)'!$I$20,FALSE))</f>
        <v>#N/A</v>
      </c>
      <c r="K48" s="9064" t="e">
        <f>+IF(VLOOKUP(MATCH(B48,tid,0),tao,'12(id)'!$K$20,FALSE)="","",VLOOKUP(MATCH(B48,tid,0),tao,'12(id)'!$K$20,FALSE))</f>
        <v>#N/A</v>
      </c>
      <c r="L48" s="9228" t="e">
        <f>+IF(VLOOKUP(MATCH(B48,tid,0),tao,'12(id)'!$L$20,FALSE)="","",VLOOKUP(MATCH(B48,tid,0),tao,'12(id)'!$L$20,FALSE))</f>
        <v>#N/A</v>
      </c>
      <c r="M48" s="9231" t="e">
        <f>+IF(VLOOKUP(MATCH(B48,tid,0),tao,'12(id)'!$Q$20,FALSE)="","",VLOOKUP(MATCH(B48,tid,0),tao,'12(id)'!$Q$20,FALSE))</f>
        <v>#N/A</v>
      </c>
      <c r="N48" s="9234" t="e">
        <f>+IF(VLOOKUP(MATCH(B48,tid,0),tao,'12(id)'!$CT$20,FALSE)="","",VLOOKUP(MATCH(B48,tid,0),tao,'12(id)'!$CT$20,FALSE))</f>
        <v>#N/A</v>
      </c>
      <c r="O48" s="9001" t="e">
        <f>+IF(VLOOKUP(MATCH(B48,tid,0),tao,'12(id)'!$DE$20,FALSE)="","",ROUND(VLOOKUP(MATCH(B48,tid,0),tao,'12(id)'!$DE$20,FALSE),0)&amp;" yrs")</f>
        <v>#N/A</v>
      </c>
      <c r="P48" s="9249" t="e">
        <f>+IF(VLOOKUP(MATCH(B48,tid,0),tao,'12(id)'!$FR$20,FALSE)="","",VLOOKUP(MATCH(B48,tid,0),tao,'12(id)'!$FR$20,FALSE))</f>
        <v>#N/A</v>
      </c>
      <c r="Q48" s="9001" t="e">
        <f>+IF(VLOOKUP(MATCH(B48,tid,0),tao,'12(id)'!$DI$20,FALSE)="","",VLOOKUP(MATCH(B48,tid,0),tao,'12(id)'!$DI$20,FALSE))&amp;";  "&amp;IF(VLOOKUP(MATCH(B48,tid,0),tao,'12(id)'!$DQ$20,FALSE)="","",VLOOKUP(MATCH(B48,tid,0),tao,'12(id)'!$DQ$20,FALSE))</f>
        <v>#N/A</v>
      </c>
      <c r="R48" s="8905">
        <f>+IF(B32="","",1+R40)</f>
        <v>3</v>
      </c>
      <c r="S48" s="8859"/>
      <c r="T48" s="8871" t="str">
        <f>+IF(VLOOKUP(MATCH(E48,c_id,0),ca,'13(an)'!$BD$34,FALSE)="","",VLOOKUP(MATCH(E48,c_id,0),ca,'13(an)'!$BD$34,FALSE))</f>
        <v>High Pressure Water Injection (HPWI)</v>
      </c>
      <c r="U48" s="8872"/>
      <c r="V48" s="8872"/>
      <c r="W48" s="7556"/>
      <c r="X48" s="8859"/>
      <c r="Y48" s="8871" t="str">
        <f>+IF(T48="","",T48)</f>
        <v>High Pressure Water Injection (HPWI)</v>
      </c>
      <c r="Z48" s="8872"/>
      <c r="AA48" s="8872"/>
      <c r="AB48" s="7557"/>
      <c r="AC48" s="8859"/>
      <c r="AD48" s="8874" t="str">
        <f>+IF(Y48="","",Y48)</f>
        <v>High Pressure Water Injection (HPWI)</v>
      </c>
      <c r="AE48" s="8870"/>
      <c r="AF48" s="8870"/>
      <c r="AG48" s="7533"/>
      <c r="AH48" s="5962"/>
      <c r="AI48" s="5959"/>
      <c r="AJ48" s="5959"/>
      <c r="AK48" s="5959"/>
      <c r="AL48" s="5959"/>
      <c r="AM48" s="5959"/>
    </row>
    <row r="49" spans="1:39">
      <c r="A49" s="5952"/>
      <c r="B49" s="9062"/>
      <c r="C49" s="8934"/>
      <c r="D49" s="8931" t="e">
        <f>+IF(VLOOKUP(MATCH(#REF!,tid,0),tao,'12(id)'!$Q$20,FALSE)="","",VLOOKUP(MATCH(#REF!,tid,0),tao,'12(id)'!$Q$20,FALSE))</f>
        <v>#REF!</v>
      </c>
      <c r="E49" s="9181"/>
      <c r="F49" s="5962"/>
      <c r="G49" s="7527"/>
      <c r="H49" s="5962"/>
      <c r="I49" s="9071"/>
      <c r="J49" s="9242" t="e">
        <f>+IF(VLOOKUP(MATCH(B49,tid,0),tao,'12(id)'!$I$20,FALSE)="","",VLOOKUP(MATCH(B49,tid,0),tao,'12(id)'!$I$20,FALSE))</f>
        <v>#N/A</v>
      </c>
      <c r="K49" s="9064" t="e">
        <f>+IF(VLOOKUP(MATCH(B49,tid,0),tao,'12(id)'!$K$20,FALSE)="","",VLOOKUP(MATCH(B49,tid,0),tao,'12(id)'!$K$20,FALSE))</f>
        <v>#N/A</v>
      </c>
      <c r="L49" s="9228" t="e">
        <f>+IF(VLOOKUP(MATCH(B49,tid,0),tao,'12(id)'!$L$20,FALSE)="","",VLOOKUP(MATCH(B49,tid,0),tao,'12(id)'!$L$20,FALSE))</f>
        <v>#N/A</v>
      </c>
      <c r="M49" s="9232" t="e">
        <f>+IF(VLOOKUP(MATCH(B49,tid,0),tao,'12(id)'!$Q$20,FALSE)="","",VLOOKUP(MATCH(B49,tid,0),tao,'12(id)'!$Q$20,FALSE))</f>
        <v>#N/A</v>
      </c>
      <c r="N49" s="9235" t="e">
        <f>+IF(VLOOKUP(MATCH(B49,tid,0),tao,'12(id)'!$CT$20,FALSE)="","",VLOOKUP(MATCH(B49,tid,0),tao,'12(id)'!$CT$20,FALSE))</f>
        <v>#N/A</v>
      </c>
      <c r="O49" s="9001" t="e">
        <f>+IF(VLOOKUP(MATCH(B49,tid,0),tao,'12(id)'!$DE$20,FALSE)="","",ROUND(VLOOKUP(MATCH(B49,tid,0),tao,'12(id)'!$DE$20,FALSE),0)&amp;" yrs")</f>
        <v>#N/A</v>
      </c>
      <c r="P49" s="9249" t="e">
        <f>+IF(VLOOKUP(MATCH(B49,tid,0),tao,'12(id)'!$FR$20,FALSE)="","",VLOOKUP(MATCH(B49,tid,0),tao,'12(id)'!$FR$20,FALSE))</f>
        <v>#N/A</v>
      </c>
      <c r="Q49" s="9001" t="e">
        <f>+IF(VLOOKUP(MATCH(B49,tid,0),tao,'12(id)'!$DI$20,FALSE)="","",VLOOKUP(MATCH(B49,tid,0),tao,'12(id)'!$DI$20,FALSE))&amp;";  "&amp;IF(VLOOKUP(MATCH(B49,tid,0),tao,'12(id)'!$DQ$20,FALSE)="","",VLOOKUP(MATCH(B49,tid,0),tao,'12(id)'!$DQ$20,FALSE))</f>
        <v>#N/A</v>
      </c>
      <c r="R49" s="8906"/>
      <c r="S49" s="8818"/>
      <c r="T49" s="8895" t="e">
        <f>+IF(VLOOKUP(MATCH(E49,c_id,0),ca,'13(an)'!$BD$34,FALSE)="","",VLOOKUP(MATCH(E49,c_id,0),ca,'13(an)'!$BD$34,FALSE))</f>
        <v>#N/A</v>
      </c>
      <c r="U49" s="8895"/>
      <c r="V49" s="8895"/>
      <c r="W49" s="7531"/>
      <c r="X49" s="8818"/>
      <c r="Y49" s="8895"/>
      <c r="Z49" s="8895"/>
      <c r="AA49" s="8895"/>
      <c r="AB49" s="7532"/>
      <c r="AC49" s="8818"/>
      <c r="AD49" s="8895"/>
      <c r="AE49" s="8895"/>
      <c r="AF49" s="8895"/>
      <c r="AG49" s="7533"/>
      <c r="AH49" s="5962"/>
      <c r="AI49" s="5959"/>
      <c r="AJ49" s="5959"/>
      <c r="AK49" s="5959"/>
      <c r="AL49" s="5959"/>
      <c r="AM49" s="5959"/>
    </row>
    <row r="50" spans="1:39" ht="8.1" customHeight="1">
      <c r="A50" s="5952"/>
      <c r="B50" s="9088" t="str">
        <f>+IF(B32="","",IF('12(id)'!A28="","",'12(id)'!A28))</f>
        <v>8302-07</v>
      </c>
      <c r="C50" s="8934"/>
      <c r="D50" s="8932" t="str">
        <f>+M50</f>
        <v>14A</v>
      </c>
      <c r="E50" s="9181"/>
      <c r="F50" s="5962"/>
      <c r="G50" s="7527"/>
      <c r="H50" s="5962"/>
      <c r="I50" s="9081">
        <f>1+I47</f>
        <v>8</v>
      </c>
      <c r="J50" s="9242" t="str">
        <f>+IF(VLOOKUP(MATCH(B50,tid,0),tao,'12(id)'!$I$20,FALSE)="","",VLOOKUP(MATCH(B50,tid,0),tao,'12(id)'!$I$20,FALSE))</f>
        <v/>
      </c>
      <c r="K50" s="9064">
        <f>+IF(VLOOKUP(MATCH(B50,tid,0),tao,'12(id)'!$K$20,FALSE)="","",VLOOKUP(MATCH(B50,tid,0),tao,'12(id)'!$K$20,FALSE))</f>
        <v>8302</v>
      </c>
      <c r="L50" s="9228" t="str">
        <f>+IF(VLOOKUP(MATCH(B50,tid,0),tao,'12(id)'!$L$20,FALSE)="","",VLOOKUP(MATCH(B50,tid,0),tao,'12(id)'!$L$20,FALSE))</f>
        <v>South Meadow Station</v>
      </c>
      <c r="M50" s="9230" t="str">
        <f>+IF(B50="","",IF(VLOOKUP(MATCH(B50,tid,0),tao,'12(id)'!$Q$20,FALSE)="","",VLOOKUP(MATCH(B50,tid,0),tao,'12(id)'!$Q$20,FALSE)))</f>
        <v>14A</v>
      </c>
      <c r="N50" s="9236">
        <f>+IF(B50="","",IF(VLOOKUP(MATCH(B50,tid,0),tao,'12(id)'!$CT$20,FALSE)="","",VLOOKUP(MATCH(B50,tid,0),tao,'12(id)'!$CT$20,FALSE)))</f>
        <v>40</v>
      </c>
      <c r="O50" s="9001" t="str">
        <f ca="1">+IF(VLOOKUP(MATCH(B50,tid,0),tao,'12(id)'!$DE$20,FALSE)="","",ROUND(VLOOKUP(MATCH(B50,tid,0),tao,'12(id)'!$DE$20,FALSE),0)&amp;" yrs")</f>
        <v>45 yrs</v>
      </c>
      <c r="P50" s="9249" t="str">
        <f>+IF(VLOOKUP(MATCH(B50,tid,0),tao,'12(id)'!$FR$20,FALSE)="","",VLOOKUP(MATCH(B50,tid,0),tao,'12(id)'!$FR$20,FALSE))</f>
        <v>None</v>
      </c>
      <c r="Q50" s="9001" t="str">
        <f>+IF(VLOOKUP(MATCH(B50,tid,0),tao,'12(id)'!$DI$20,FALSE)="","",VLOOKUP(MATCH(B50,tid,0),tao,'12(id)'!$DI$20,FALSE))&amp;";  "&amp;IF(VLOOKUP(MATCH(B50,tid,0),tao,'12(id)'!$DQ$20,FALSE)="","",VLOOKUP(MATCH(B50,tid,0),tao,'12(id)'!$DQ$20,FALSE))</f>
        <v>Jet Fuel A (Kerosene K1);  No. 2 oil</v>
      </c>
      <c r="R50" s="8906"/>
      <c r="S50" s="8818"/>
      <c r="T50" s="8937" t="str">
        <f>+IF(E48="","",IF(VLOOKUP(MATCH(E48,c_id,0),ca,'13(an)'!$CC$34,FALSE)="",IF(VLOOKUP(MATCH(E48,c_id,0),ca,'13(an)'!$CD$34,FALSE)="",IF(VLOOKUP(MATCH(E48,c_id,0),ca,'13(an)'!$CE$34,FALSE)="","η ≈ N/A","η ≈ "&amp;ROUND(VLOOKUP(MATCH(E48,c_id,0),ca,'13(an)'!$CE$34,FALSE)*100,0)&amp;"%"),"η ≈ "&amp;ROUND(VLOOKUP(MATCH(E48,c_id,0),ca,'13(an)'!$CD$34,FALSE)*100,0)&amp;"%"),"η ≈ "&amp;ROUND(VLOOKUP(MATCH(E48,c_id,0),ca,'13(an)'!$CC$34,FALSE)*100,0)&amp;"%"))</f>
        <v>η ≈ 60%</v>
      </c>
      <c r="U50" s="8939" t="str">
        <f>+IF($U$56="ppmvd",IF(VLOOKUP(MATCH(E48,c_id,0),ca,'13(an)'!$BV$34,FALSE)="","",ROUND(VLOOKUP(MATCH(E48,c_id,0),ca,'13(an)'!$BV$34,FALSE),1)&amp;" ppmvd"),IF(VLOOKUP(MATCH(E48,c_id,0),ca,'13(an)'!$BU$34,FALSE)="","",IF(LEN(ROUND(VLOOKUP(MATCH(E48,c_id,0),ca,'13(an)'!$BU$34,FALSE),3))=3,ROUND(VLOOKUP(MATCH(E48,c_id,0),ca,'13(an)'!$BU$34,FALSE),3)&amp;"00 lb/MMBtu",IF(LEN(ROUND(VLOOKUP(MATCH(E48,c_id,0),ca,'13(an)'!$BU$34,FALSE),3))=4,ROUND(VLOOKUP(MATCH(E48,c_id,0),ca,'13(an)'!$BU$34,FALSE),3)&amp;"0 lb/MMBtu",ROUND(VLOOKUP(MATCH(E48,c_id,0),ca,'13(an)'!$BU$34,FALSE),3)&amp;" lb/MMBtu"))))</f>
        <v/>
      </c>
      <c r="V50" s="8941">
        <f>+IF(E48="","",IF(VLOOKUP(MATCH(E48,c_id,0),ca,'13(an)'!$CB$34,FALSE)="","NOx(R) = N/A",ROUND(VLOOKUP(MATCH(E48,c_id,0),ca,'13(an)'!$CB$34,FALSE),1)))</f>
        <v>0.8</v>
      </c>
      <c r="W50" s="7534"/>
      <c r="X50" s="8818"/>
      <c r="Y50" s="8937" t="str">
        <f>+IF(E48="","",IF(VLOOKUP(MATCH(E48,c_id,0),ca,'13(an)'!$CM$34,FALSE)="",IF(VLOOKUP(MATCH(E48,c_id,0),ca,'13(an)'!$CN$34,FALSE)="",IF(VLOOKUP(MATCH(E48,c_id,0),ca,'13(an)'!$CO$34,FALSE)="","η ≈ N/A","η ≈ "&amp;ROUND(VLOOKUP(MATCH(E48,c_id,0),ca,'13(an)'!$CO$34,FALSE)*100,0)&amp;"%"),"η ≈ "&amp;ROUND(VLOOKUP(MATCH(E48,c_id,0),ca,'13(an)'!$CN$34,FALSE)*100,0)&amp;"%"),"η ≈ "&amp;ROUND(VLOOKUP(MATCH(E48,c_id,0),ca,'13(an)'!$CM$34,FALSE)*100,0)&amp;"%"))</f>
        <v>η ≈ 60%</v>
      </c>
      <c r="Z50" s="8939" t="str">
        <f>+IF($Z$56="ppmvd",IF(VLOOKUP(MATCH(E48,c_id,0),ca,'13(an)'!$CJ$34,FALSE)="","",ROUND(VLOOKUP(MATCH(E48,c_id,0),ca,'13(an)'!$CJ$34,FALSE),1)&amp;" ppmvd"),IF(VLOOKUP(MATCH(E48,c_id,0),ca,'13(an)'!$CI$34,FALSE)="","",IF(LEN(ROUND(VLOOKUP(MATCH(E48,c_id,0),ca,'13(an)'!$CI$34,FALSE),3))=3,ROUND(VLOOKUP(MATCH(E48,c_id,0),ca,'13(an)'!$CI$34,FALSE),3)&amp;"00 lb/MMBtu",IF(LEN(ROUND(VLOOKUP(MATCH(E48,c_id,0),ca,'13(an)'!$CI$34,FALSE),3))=4,ROUND(VLOOKUP(MATCH(E48,c_id,0),ca,'13(an)'!$CI$34,FALSE),3)&amp;"0 lb/MMBtu",ROUND(VLOOKUP(MATCH(E48,c_id,0),ca,'13(an)'!$CI$34,FALSE),3)&amp;" lb/MMBtu"))))</f>
        <v>0.314 lb/MMBtu</v>
      </c>
      <c r="AA50" s="8941">
        <f>+IF(E48="","",IF(VLOOKUP(MATCH(E48,c_id,0),ca,'13(an)'!$CL$34,FALSE)="","NOx(R) = N/A",ROUND(VLOOKUP(MATCH(E48,c_id,0),ca,'13(an)'!$CL$34,FALSE),1)))</f>
        <v>0.9</v>
      </c>
      <c r="AB50" s="7535"/>
      <c r="AC50" s="8818"/>
      <c r="AD50" s="8937" t="str">
        <f>+IF(E48="","",IF(VLOOKUP(MATCH(E48,c_id,0),ca,'13(an)'!$CM$34,FALSE)="",IF(VLOOKUP(MATCH(E48,c_id,0),ca,'13(an)'!$CN$34,FALSE)="",IF(VLOOKUP(MATCH(E48,c_id,0),ca,'13(an)'!$CO$34,FALSE)="","η ≈ N/A","η ≈ "&amp;ROUND(VLOOKUP(MATCH(E48,c_id,0),ca,'13(an)'!$CO$34,FALSE)*100,0)&amp;"%"),"η ≈ "&amp;ROUND(VLOOKUP(MATCH(E48,c_id,0),ca,'13(an)'!$CN$34,FALSE)*100,0)&amp;"%"),"η ≈ "&amp;ROUND(VLOOKUP(MATCH(E48,c_id,0),ca,'13(an)'!$CM$34,FALSE)*100,0)&amp;"%"))</f>
        <v>η ≈ 60%</v>
      </c>
      <c r="AE50" s="8939" t="str">
        <f>+IF($AE$56="ppmvd",IF(VLOOKUP(MATCH(E48,c_id,0),ca,'13(an)'!$CJ$34,FALSE)="","",ROUND(VLOOKUP(MATCH(E48,c_id,0),ca,'13(an)'!$CJ$34,FALSE),1)&amp;" ppmvd"),IF(VLOOKUP(MATCH(E48,c_id,0),ca,'13(an)'!$CI$34,FALSE)="","",IF(LEN(ROUND(VLOOKUP(MATCH(E48,c_id,0),ca,'13(an)'!$CI$34,FALSE),3))=3,ROUND(VLOOKUP(MATCH(E48,c_id,0),ca,'13(an)'!$CI$34,FALSE),3)&amp;"00 lb/MMBtu",IF(LEN(ROUND(VLOOKUP(MATCH(E48,c_id,0),ca,'13(an)'!$CI$34,FALSE),3))=4,ROUND(VLOOKUP(MATCH(E48,c_id,0),ca,'13(an)'!$CI$34,FALSE),3)&amp;"0 lb/MMBtu",ROUND(VLOOKUP(MATCH(E48,c_id,0),ca,'13(an)'!$CI$34,FALSE),3)&amp;" lb/MMBtu"))))</f>
        <v>0.314 lb/MMBtu</v>
      </c>
      <c r="AF50" s="8941">
        <f>+IF(E48="","",IF(VLOOKUP(MATCH(E48,c_id,0),ca,'13(an)'!$CL$34,FALSE)="","NOx(R) = N/A",ROUND(VLOOKUP(MATCH(E48,c_id,0),ca,'13(an)'!$CL$34,FALSE),1)))</f>
        <v>0.9</v>
      </c>
      <c r="AG50" s="7536"/>
      <c r="AH50" s="5962"/>
      <c r="AI50" s="5959"/>
      <c r="AJ50" s="5959"/>
      <c r="AK50" s="5959"/>
      <c r="AL50" s="5959"/>
      <c r="AM50" s="5959"/>
    </row>
    <row r="51" spans="1:39" ht="8.1" customHeight="1">
      <c r="A51" s="5952"/>
      <c r="B51" s="9035"/>
      <c r="C51" s="8934"/>
      <c r="D51" s="8930" t="e">
        <f>+IF(VLOOKUP(MATCH(#REF!,tid,0),tao,'12(id)'!$Q$20,FALSE)="","",VLOOKUP(MATCH(#REF!,tid,0),tao,'12(id)'!$Q$20,FALSE))</f>
        <v>#REF!</v>
      </c>
      <c r="E51" s="9181"/>
      <c r="F51" s="5962"/>
      <c r="G51" s="7527"/>
      <c r="H51" s="5962"/>
      <c r="I51" s="9070"/>
      <c r="J51" s="9242" t="e">
        <f>+IF(VLOOKUP(MATCH(B51,tid,0),tao,'12(id)'!$I$20,FALSE)="","",VLOOKUP(MATCH(B51,tid,0),tao,'12(id)'!$I$20,FALSE))</f>
        <v>#N/A</v>
      </c>
      <c r="K51" s="9064" t="e">
        <f>+IF(VLOOKUP(MATCH(B51,tid,0),tao,'12(id)'!$K$20,FALSE)="","",VLOOKUP(MATCH(B51,tid,0),tao,'12(id)'!$K$20,FALSE))</f>
        <v>#N/A</v>
      </c>
      <c r="L51" s="9228" t="e">
        <f>+IF(VLOOKUP(MATCH(B51,tid,0),tao,'12(id)'!$L$20,FALSE)="","",VLOOKUP(MATCH(B51,tid,0),tao,'12(id)'!$L$20,FALSE))</f>
        <v>#N/A</v>
      </c>
      <c r="M51" s="9231" t="e">
        <f>+IF(VLOOKUP(MATCH(B51,tid,0),tao,'12(id)'!$Q$20,FALSE)="","",VLOOKUP(MATCH(B51,tid,0),tao,'12(id)'!$Q$20,FALSE))</f>
        <v>#N/A</v>
      </c>
      <c r="N51" s="9234" t="e">
        <f>+IF(VLOOKUP(MATCH(B51,tid,0),tao,'12(id)'!$CT$20,FALSE)="","",VLOOKUP(MATCH(B51,tid,0),tao,'12(id)'!$CT$20,FALSE))</f>
        <v>#N/A</v>
      </c>
      <c r="O51" s="9001" t="e">
        <f>+IF(VLOOKUP(MATCH(B51,tid,0),tao,'12(id)'!$DE$20,FALSE)="","",ROUND(VLOOKUP(MATCH(B51,tid,0),tao,'12(id)'!$DE$20,FALSE),0)&amp;" yrs")</f>
        <v>#N/A</v>
      </c>
      <c r="P51" s="9249" t="e">
        <f>+IF(VLOOKUP(MATCH(B51,tid,0),tao,'12(id)'!$FR$20,FALSE)="","",VLOOKUP(MATCH(B51,tid,0),tao,'12(id)'!$FR$20,FALSE))</f>
        <v>#N/A</v>
      </c>
      <c r="Q51" s="9001" t="e">
        <f>+IF(VLOOKUP(MATCH(B51,tid,0),tao,'12(id)'!$DI$20,FALSE)="","",VLOOKUP(MATCH(B51,tid,0),tao,'12(id)'!$DI$20,FALSE))&amp;";  "&amp;IF(VLOOKUP(MATCH(B51,tid,0),tao,'12(id)'!$DQ$20,FALSE)="","",VLOOKUP(MATCH(B51,tid,0),tao,'12(id)'!$DQ$20,FALSE))</f>
        <v>#N/A</v>
      </c>
      <c r="R51" s="8906"/>
      <c r="S51" s="8818"/>
      <c r="T51" s="8938"/>
      <c r="U51" s="8940"/>
      <c r="V51" s="8942"/>
      <c r="W51" s="7534"/>
      <c r="X51" s="8818"/>
      <c r="Y51" s="8938"/>
      <c r="Z51" s="8940"/>
      <c r="AA51" s="8942"/>
      <c r="AB51" s="7535"/>
      <c r="AC51" s="8818"/>
      <c r="AD51" s="8938"/>
      <c r="AE51" s="8940"/>
      <c r="AF51" s="8942"/>
      <c r="AG51" s="7536"/>
      <c r="AH51" s="5962"/>
      <c r="AI51" s="5959"/>
      <c r="AJ51" s="5959"/>
      <c r="AK51" s="5959"/>
      <c r="AL51" s="5959"/>
      <c r="AM51" s="5959"/>
    </row>
    <row r="52" spans="1:39" ht="18" customHeight="1">
      <c r="A52" s="5952"/>
      <c r="B52" s="9062"/>
      <c r="C52" s="8934"/>
      <c r="D52" s="8931" t="e">
        <f>+IF(VLOOKUP(MATCH(#REF!,tid,0),tao,'12(id)'!$Q$20,FALSE)="","",VLOOKUP(MATCH(#REF!,tid,0),tao,'12(id)'!$Q$20,FALSE))</f>
        <v>#REF!</v>
      </c>
      <c r="E52" s="9181"/>
      <c r="F52" s="5962"/>
      <c r="G52" s="7527"/>
      <c r="H52" s="5962"/>
      <c r="I52" s="9071"/>
      <c r="J52" s="9242" t="e">
        <f>+IF(VLOOKUP(MATCH(B52,tid,0),tao,'12(id)'!$I$20,FALSE)="","",VLOOKUP(MATCH(B52,tid,0),tao,'12(id)'!$I$20,FALSE))</f>
        <v>#N/A</v>
      </c>
      <c r="K52" s="9064" t="e">
        <f>+IF(VLOOKUP(MATCH(B52,tid,0),tao,'12(id)'!$K$20,FALSE)="","",VLOOKUP(MATCH(B52,tid,0),tao,'12(id)'!$K$20,FALSE))</f>
        <v>#N/A</v>
      </c>
      <c r="L52" s="9228" t="e">
        <f>+IF(VLOOKUP(MATCH(B52,tid,0),tao,'12(id)'!$L$20,FALSE)="","",VLOOKUP(MATCH(B52,tid,0),tao,'12(id)'!$L$20,FALSE))</f>
        <v>#N/A</v>
      </c>
      <c r="M52" s="9232" t="e">
        <f>+IF(VLOOKUP(MATCH(B52,tid,0),tao,'12(id)'!$Q$20,FALSE)="","",VLOOKUP(MATCH(B52,tid,0),tao,'12(id)'!$Q$20,FALSE))</f>
        <v>#N/A</v>
      </c>
      <c r="N52" s="9234" t="e">
        <f>+IF(VLOOKUP(MATCH(B52,tid,0),tao,'12(id)'!$CT$20,FALSE)="","",VLOOKUP(MATCH(B52,tid,0),tao,'12(id)'!$CT$20,FALSE))</f>
        <v>#N/A</v>
      </c>
      <c r="O52" s="9001" t="e">
        <f>+IF(VLOOKUP(MATCH(B52,tid,0),tao,'12(id)'!$DE$20,FALSE)="","",ROUND(VLOOKUP(MATCH(B52,tid,0),tao,'12(id)'!$DE$20,FALSE),0)&amp;" yrs")</f>
        <v>#N/A</v>
      </c>
      <c r="P52" s="9249" t="e">
        <f>+IF(VLOOKUP(MATCH(B52,tid,0),tao,'12(id)'!$FR$20,FALSE)="","",VLOOKUP(MATCH(B52,tid,0),tao,'12(id)'!$FR$20,FALSE))</f>
        <v>#N/A</v>
      </c>
      <c r="Q52" s="9001" t="e">
        <f>+IF(VLOOKUP(MATCH(B52,tid,0),tao,'12(id)'!$DI$20,FALSE)="","",VLOOKUP(MATCH(B52,tid,0),tao,'12(id)'!$DI$20,FALSE))&amp;";  "&amp;IF(VLOOKUP(MATCH(B52,tid,0),tao,'12(id)'!$DQ$20,FALSE)="","",VLOOKUP(MATCH(B52,tid,0),tao,'12(id)'!$DQ$20,FALSE))</f>
        <v>#N/A</v>
      </c>
      <c r="R52" s="8906"/>
      <c r="S52" s="8818"/>
      <c r="T52" s="7537">
        <f>+IF(VLOOKUP(MATCH(E48,c_id,0),ca,'13(an)'!$GF$34,FALSE)="","",VLOOKUP(MATCH(E48,c_id,0),ca,'13(an)'!$GF$34,FALSE))</f>
        <v>1481737.5</v>
      </c>
      <c r="U52" s="7538" t="str">
        <f>+IF(T52="","","$ TCC/unit")</f>
        <v>$ TCC/unit</v>
      </c>
      <c r="V52" s="7539">
        <f>+IF(VLOOKUP(MATCH(E48,c_id,0),ca,'13(an)'!$HA$34,FALSE)="","",VLOOKUP(MATCH(E48,c_id,0),ca,'13(an)'!$HA$34,FALSE))</f>
        <v>348801.00750000001</v>
      </c>
      <c r="W52" s="7540"/>
      <c r="X52" s="8818"/>
      <c r="Y52" s="7537">
        <f>+IF(VLOOKUP(MATCH(E48,c_id,0),ca,'13(an)'!$IA$34,FALSE)="","",VLOOKUP(MATCH(E48,c_id,0),ca,'13(an)'!$IA$34,FALSE))</f>
        <v>1481737.5</v>
      </c>
      <c r="Z52" s="7538" t="str">
        <f>+IF(Y52="","","$ TCC/unit")</f>
        <v>$ TCC/unit</v>
      </c>
      <c r="AA52" s="7539">
        <f>+IF(Y52="","",$AA$14*Y52)</f>
        <v>139865.53780849735</v>
      </c>
      <c r="AB52" s="7541"/>
      <c r="AC52" s="8818"/>
      <c r="AD52" s="7537">
        <f>+IF(VLOOKUP(MATCH(E48,c_id,0),ca,'13(an)'!$JS$34,FALSE)="","",VLOOKUP(MATCH(E48,c_id,0),ca,'13(an)'!$JS$34,FALSE))</f>
        <v>1725675</v>
      </c>
      <c r="AE52" s="7538" t="str">
        <f>+IF(AD52="","","$ TCC/unit")</f>
        <v>$ TCC/unit</v>
      </c>
      <c r="AF52" s="7539">
        <f>+IF(AD52="","",$AF$14*AD52)</f>
        <v>148081.06430477212</v>
      </c>
      <c r="AG52" s="7542"/>
      <c r="AH52" s="5962"/>
      <c r="AI52" s="5959"/>
      <c r="AJ52" s="5959"/>
      <c r="AK52" s="5959"/>
      <c r="AL52" s="5959"/>
      <c r="AM52" s="5959"/>
    </row>
    <row r="53" spans="1:39" ht="15" customHeight="1">
      <c r="A53" s="5952"/>
      <c r="B53" s="9088" t="str">
        <f>+IF(B32="","",IF('12(id)'!A29="","",'12(id)'!A29))</f>
        <v>8302-08</v>
      </c>
      <c r="C53" s="8934"/>
      <c r="D53" s="8932" t="str">
        <f>+M53</f>
        <v>14B</v>
      </c>
      <c r="E53" s="9181"/>
      <c r="F53" s="5962"/>
      <c r="G53" s="7527"/>
      <c r="H53" s="5962"/>
      <c r="I53" s="9081">
        <f>1+I50</f>
        <v>9</v>
      </c>
      <c r="J53" s="9242" t="str">
        <f>+IF(VLOOKUP(MATCH(B53,tid,0),tao,'12(id)'!$I$20,FALSE)="","",VLOOKUP(MATCH(B53,tid,0),tao,'12(id)'!$I$20,FALSE))</f>
        <v/>
      </c>
      <c r="K53" s="9064">
        <f>+IF(VLOOKUP(MATCH(B53,tid,0),tao,'12(id)'!$K$20,FALSE)="","",VLOOKUP(MATCH(B53,tid,0),tao,'12(id)'!$K$20,FALSE))</f>
        <v>8302</v>
      </c>
      <c r="L53" s="9228" t="str">
        <f>+IF(VLOOKUP(MATCH(B53,tid,0),tao,'12(id)'!$L$20,FALSE)="","",VLOOKUP(MATCH(B53,tid,0),tao,'12(id)'!$L$20,FALSE))</f>
        <v>South Meadow Station</v>
      </c>
      <c r="M53" s="9230" t="str">
        <f>+IF(B53="","",IF(VLOOKUP(MATCH(B53,tid,0),tao,'12(id)'!$Q$20,FALSE)="","",VLOOKUP(MATCH(B53,tid,0),tao,'12(id)'!$Q$20,FALSE)))</f>
        <v>14B</v>
      </c>
      <c r="N53" s="9234" t="str">
        <f>+IF(VLOOKUP(MATCH(B53,tid,0),tao,'12(id)'!$CT$20,FALSE)="","",VLOOKUP(MATCH(B53,tid,0),tao,'12(id)'!$CT$20,FALSE))</f>
        <v/>
      </c>
      <c r="O53" s="9001" t="str">
        <f ca="1">+IF(VLOOKUP(MATCH(B53,tid,0),tao,'12(id)'!$DE$20,FALSE)="","",ROUND(VLOOKUP(MATCH(B53,tid,0),tao,'12(id)'!$DE$20,FALSE),0)&amp;" yrs")</f>
        <v>45 yrs</v>
      </c>
      <c r="P53" s="9249" t="str">
        <f>+IF(VLOOKUP(MATCH(B53,tid,0),tao,'12(id)'!$FR$20,FALSE)="","",VLOOKUP(MATCH(B53,tid,0),tao,'12(id)'!$FR$20,FALSE))</f>
        <v>None</v>
      </c>
      <c r="Q53" s="9001" t="str">
        <f>+IF(VLOOKUP(MATCH(B53,tid,0),tao,'12(id)'!$DI$20,FALSE)="","",VLOOKUP(MATCH(B53,tid,0),tao,'12(id)'!$DI$20,FALSE))&amp;";  "&amp;IF(VLOOKUP(MATCH(B53,tid,0),tao,'12(id)'!$DQ$20,FALSE)="","",VLOOKUP(MATCH(B53,tid,0),tao,'12(id)'!$DQ$20,FALSE))</f>
        <v>Jet Fuel A (Kerosene K1);  No. 2 oil</v>
      </c>
      <c r="R53" s="8906"/>
      <c r="S53" s="8818"/>
      <c r="T53" s="7543">
        <f>+IF(OR(T52="",N32=""),"",T52/(N32/2))</f>
        <v>74086.875</v>
      </c>
      <c r="U53" s="8820" t="str">
        <f>+IF(T53="","","$ TCC / MW nominal capacity")</f>
        <v>$ TCC / MW nominal capacity</v>
      </c>
      <c r="V53" s="8820"/>
      <c r="W53" s="7544"/>
      <c r="X53" s="8818"/>
      <c r="Y53" s="7543">
        <f>+IF(OR(Y52="",N32=""),"",Y52/(N32/2))</f>
        <v>74086.875</v>
      </c>
      <c r="Z53" s="8820" t="str">
        <f>+IF(Y53="","","$ TCC / MW nominal capacity")</f>
        <v>$ TCC / MW nominal capacity</v>
      </c>
      <c r="AA53" s="8820"/>
      <c r="AB53" s="7545"/>
      <c r="AC53" s="8818"/>
      <c r="AD53" s="7543">
        <f>+IF(OR(AD52="",N32=""),"",AD52/(N32/2))</f>
        <v>86283.75</v>
      </c>
      <c r="AE53" s="8820" t="str">
        <f>+IF(AD53="","","$ TCC / MW nominal capacity")</f>
        <v>$ TCC / MW nominal capacity</v>
      </c>
      <c r="AF53" s="8820"/>
      <c r="AG53" s="7546"/>
      <c r="AH53" s="5962"/>
      <c r="AI53" s="5959"/>
      <c r="AJ53" s="5959"/>
      <c r="AK53" s="5959"/>
      <c r="AL53" s="5959"/>
      <c r="AM53" s="5959"/>
    </row>
    <row r="54" spans="1:39">
      <c r="A54" s="5952"/>
      <c r="B54" s="9035"/>
      <c r="C54" s="8934"/>
      <c r="D54" s="8930" t="e">
        <f>+IF(VLOOKUP(MATCH(#REF!,tid,0),tao,'12(id)'!$Q$20,FALSE)="","",VLOOKUP(MATCH(#REF!,tid,0),tao,'12(id)'!$Q$20,FALSE))</f>
        <v>#REF!</v>
      </c>
      <c r="E54" s="9181"/>
      <c r="F54" s="5962"/>
      <c r="G54" s="7527"/>
      <c r="H54" s="5962"/>
      <c r="I54" s="9070"/>
      <c r="J54" s="9242" t="e">
        <f>+IF(VLOOKUP(MATCH(B54,tid,0),tao,'12(id)'!$I$20,FALSE)="","",VLOOKUP(MATCH(B54,tid,0),tao,'12(id)'!$I$20,FALSE))</f>
        <v>#N/A</v>
      </c>
      <c r="K54" s="9064" t="e">
        <f>+IF(VLOOKUP(MATCH(B54,tid,0),tao,'12(id)'!$K$20,FALSE)="","",VLOOKUP(MATCH(B54,tid,0),tao,'12(id)'!$K$20,FALSE))</f>
        <v>#N/A</v>
      </c>
      <c r="L54" s="9228" t="e">
        <f>+IF(VLOOKUP(MATCH(B54,tid,0),tao,'12(id)'!$L$20,FALSE)="","",VLOOKUP(MATCH(B54,tid,0),tao,'12(id)'!$L$20,FALSE))</f>
        <v>#N/A</v>
      </c>
      <c r="M54" s="9231" t="e">
        <f>+IF(VLOOKUP(MATCH(B54,tid,0),tao,'12(id)'!$Q$20,FALSE)="","",VLOOKUP(MATCH(B54,tid,0),tao,'12(id)'!$Q$20,FALSE))</f>
        <v>#N/A</v>
      </c>
      <c r="N54" s="9234" t="e">
        <f>+IF(VLOOKUP(MATCH(B54,tid,0),tao,'12(id)'!$CT$20,FALSE)="","",VLOOKUP(MATCH(B54,tid,0),tao,'12(id)'!$CT$20,FALSE))</f>
        <v>#N/A</v>
      </c>
      <c r="O54" s="9001" t="e">
        <f>+IF(VLOOKUP(MATCH(B54,tid,0),tao,'12(id)'!$DE$20,FALSE)="","",ROUND(VLOOKUP(MATCH(B54,tid,0),tao,'12(id)'!$DE$20,FALSE),0)&amp;" yrs")</f>
        <v>#N/A</v>
      </c>
      <c r="P54" s="9249" t="e">
        <f>+IF(VLOOKUP(MATCH(B54,tid,0),tao,'12(id)'!$FR$20,FALSE)="","",VLOOKUP(MATCH(B54,tid,0),tao,'12(id)'!$FR$20,FALSE))</f>
        <v>#N/A</v>
      </c>
      <c r="Q54" s="9001" t="e">
        <f>+IF(VLOOKUP(MATCH(B54,tid,0),tao,'12(id)'!$DI$20,FALSE)="","",VLOOKUP(MATCH(B54,tid,0),tao,'12(id)'!$DI$20,FALSE))&amp;";  "&amp;IF(VLOOKUP(MATCH(B54,tid,0),tao,'12(id)'!$DQ$20,FALSE)="","",VLOOKUP(MATCH(B54,tid,0),tao,'12(id)'!$DQ$20,FALSE))</f>
        <v>#N/A</v>
      </c>
      <c r="R54" s="8906"/>
      <c r="S54" s="8818"/>
      <c r="T54" s="8914">
        <f>+IF(VLOOKUP(MATCH(E48,c_id,0),ca,'13(an)'!$HF$34,FALSE)="","",VLOOKUP(MATCH(E48,c_id,0),ca,'13(an)'!$HF$34,FALSE))</f>
        <v>474907.30856956664</v>
      </c>
      <c r="U54" s="8903" t="str">
        <f>+IF(T54="","","$ /ton "&amp;"NOx(R)")</f>
        <v>$ /ton NOx(R)</v>
      </c>
      <c r="V54" s="8903"/>
      <c r="W54" s="7547"/>
      <c r="X54" s="8818"/>
      <c r="Y54" s="8914">
        <f>+IF(VLOOKUP(MATCH(E48,c_id,0),ca,'13(an)'!$JE$34,FALSE)="","",VLOOKUP(MATCH(E48,c_id,0),ca,'13(an)'!$JE$34,FALSE))</f>
        <v>172707.95867610819</v>
      </c>
      <c r="Z54" s="8903" t="str">
        <f>+IF(Y54="","","$ /ton "&amp;"NOx(R)")</f>
        <v>$ /ton NOx(R)</v>
      </c>
      <c r="AA54" s="8903"/>
      <c r="AB54" s="7548"/>
      <c r="AC54" s="8818"/>
      <c r="AD54" s="8914">
        <f>+IF(VLOOKUP(MATCH(E48,c_id,0),ca,'13(an)'!$LB$34,FALSE)="","",VLOOKUP(MATCH(E48,c_id,0),ca,'13(an)'!$LB$34,FALSE))</f>
        <v>245672.74624728182</v>
      </c>
      <c r="AE54" s="8903" t="str">
        <f>+IF(AD54="","","$ /ton "&amp;"NOx(R)")</f>
        <v>$ /ton NOx(R)</v>
      </c>
      <c r="AF54" s="8903"/>
      <c r="AG54" s="7549"/>
      <c r="AH54" s="5962"/>
      <c r="AI54" s="5959"/>
      <c r="AJ54" s="5959"/>
      <c r="AK54" s="5959"/>
      <c r="AL54" s="5959"/>
      <c r="AM54" s="5959"/>
    </row>
    <row r="55" spans="1:39" ht="13.5" thickBot="1">
      <c r="A55" s="5952"/>
      <c r="B55" s="9036"/>
      <c r="C55" s="8935"/>
      <c r="D55" s="9238" t="e">
        <f>+IF(VLOOKUP(MATCH(#REF!,tid,0),tao,'12(id)'!$Q$20,FALSE)="","",VLOOKUP(MATCH(#REF!,tid,0),tao,'12(id)'!$Q$20,FALSE))</f>
        <v>#REF!</v>
      </c>
      <c r="E55" s="9240"/>
      <c r="F55" s="5962"/>
      <c r="G55" s="7527"/>
      <c r="H55" s="5962"/>
      <c r="I55" s="9073"/>
      <c r="J55" s="9243" t="e">
        <f>+IF(VLOOKUP(MATCH(B55,tid,0),tao,'12(id)'!$I$20,FALSE)="","",VLOOKUP(MATCH(B55,tid,0),tao,'12(id)'!$I$20,FALSE))</f>
        <v>#N/A</v>
      </c>
      <c r="K55" s="9065" t="e">
        <f>+IF(VLOOKUP(MATCH(B55,tid,0),tao,'12(id)'!$K$20,FALSE)="","",VLOOKUP(MATCH(B55,tid,0),tao,'12(id)'!$K$20,FALSE))</f>
        <v>#N/A</v>
      </c>
      <c r="L55" s="9229" t="e">
        <f>+IF(VLOOKUP(MATCH(B55,tid,0),tao,'12(id)'!$L$20,FALSE)="","",VLOOKUP(MATCH(B55,tid,0),tao,'12(id)'!$L$20,FALSE))</f>
        <v>#N/A</v>
      </c>
      <c r="M55" s="9251" t="e">
        <f>+IF(VLOOKUP(MATCH(B55,tid,0),tao,'12(id)'!$Q$20,FALSE)="","",VLOOKUP(MATCH(B55,tid,0),tao,'12(id)'!$Q$20,FALSE))</f>
        <v>#N/A</v>
      </c>
      <c r="N55" s="9237" t="e">
        <f>+IF(VLOOKUP(MATCH(B55,tid,0),tao,'12(id)'!$CT$20,FALSE)="","",VLOOKUP(MATCH(B55,tid,0),tao,'12(id)'!$CT$20,FALSE))</f>
        <v>#N/A</v>
      </c>
      <c r="O55" s="9002" t="e">
        <f>+IF(VLOOKUP(MATCH(B55,tid,0),tao,'12(id)'!$DE$20,FALSE)="","",ROUND(VLOOKUP(MATCH(B55,tid,0),tao,'12(id)'!$DE$20,FALSE),0)&amp;" yrs")</f>
        <v>#N/A</v>
      </c>
      <c r="P55" s="9250" t="e">
        <f>+IF(VLOOKUP(MATCH(B55,tid,0),tao,'12(id)'!$FR$20,FALSE)="","",VLOOKUP(MATCH(B55,tid,0),tao,'12(id)'!$FR$20,FALSE))</f>
        <v>#N/A</v>
      </c>
      <c r="Q55" s="9002" t="e">
        <f>+IF(VLOOKUP(MATCH(B55,tid,0),tao,'12(id)'!$DI$20,FALSE)="","",VLOOKUP(MATCH(B55,tid,0),tao,'12(id)'!$DI$20,FALSE))&amp;";  "&amp;IF(VLOOKUP(MATCH(B55,tid,0),tao,'12(id)'!$DQ$20,FALSE)="","",VLOOKUP(MATCH(B55,tid,0),tao,'12(id)'!$DQ$20,FALSE))</f>
        <v>#N/A</v>
      </c>
      <c r="R55" s="8907"/>
      <c r="S55" s="8860"/>
      <c r="T55" s="8915" t="e">
        <f>+IF(VLOOKUP(MATCH(E50,c_id,0),ca,'13(an)'!$HF$34,FALSE)="","",VLOOKUP(MATCH(E50,c_id,0),ca,'13(an)'!$HF$34,FALSE))</f>
        <v>#N/A</v>
      </c>
      <c r="U55" s="8904"/>
      <c r="V55" s="8904"/>
      <c r="W55" s="7558"/>
      <c r="X55" s="8860"/>
      <c r="Y55" s="8915" t="e">
        <f>+IF(VLOOKUP(MATCH(E50,c_id,0),ca,'13(an)'!$JE$34,FALSE)="","",VLOOKUP(MATCH(E50,c_id,0),ca,'13(an)'!$JE$34,FALSE))</f>
        <v>#N/A</v>
      </c>
      <c r="Z55" s="8904"/>
      <c r="AA55" s="8904"/>
      <c r="AB55" s="7559"/>
      <c r="AC55" s="8860"/>
      <c r="AD55" s="8915" t="e">
        <f>+IF(VLOOKUP(MATCH(E50,c_id,0),ca,'13(an)'!$LB$34,FALSE)="","",VLOOKUP(MATCH(E50,c_id,0),ca,'13(an)'!$LB$34,FALSE))</f>
        <v>#N/A</v>
      </c>
      <c r="AE55" s="8904"/>
      <c r="AF55" s="8904"/>
      <c r="AG55" s="7560"/>
      <c r="AH55" s="5962"/>
      <c r="AI55" s="5959"/>
      <c r="AJ55" s="5959"/>
      <c r="AK55" s="5959"/>
      <c r="AL55" s="5959"/>
      <c r="AM55" s="5959"/>
    </row>
    <row r="56" spans="1:39" ht="18" customHeight="1">
      <c r="A56" s="5952"/>
      <c r="B56" s="7561"/>
      <c r="C56" s="7430"/>
      <c r="D56" s="7430"/>
      <c r="E56" s="7450"/>
      <c r="F56" s="5962"/>
      <c r="G56" s="7527"/>
      <c r="H56" s="5962"/>
      <c r="I56" s="7562"/>
      <c r="J56" s="7563"/>
      <c r="K56" s="7564" t="s">
        <v>912</v>
      </c>
      <c r="L56" s="5952"/>
      <c r="M56" s="5952"/>
      <c r="N56" s="5952"/>
      <c r="O56" s="5952"/>
      <c r="P56" s="5952"/>
      <c r="Q56" s="5952"/>
      <c r="R56" s="5952"/>
      <c r="S56" s="7565"/>
      <c r="T56" s="7566" t="s">
        <v>1896</v>
      </c>
      <c r="U56" s="7766" t="s">
        <v>486</v>
      </c>
      <c r="V56" s="7470"/>
      <c r="W56" s="7567"/>
      <c r="X56" s="7519"/>
      <c r="Y56" s="7566" t="s">
        <v>1896</v>
      </c>
      <c r="Z56" s="7766" t="s">
        <v>486</v>
      </c>
      <c r="AA56" s="7470"/>
      <c r="AB56" s="7470"/>
      <c r="AC56" s="7519"/>
      <c r="AD56" s="7566" t="s">
        <v>1896</v>
      </c>
      <c r="AE56" s="7767" t="s">
        <v>486</v>
      </c>
      <c r="AF56" s="7470"/>
      <c r="AG56" s="7470"/>
      <c r="AH56" s="5962"/>
      <c r="AI56" s="5959"/>
      <c r="AJ56" s="5959"/>
      <c r="AK56" s="5959"/>
      <c r="AL56" s="5959"/>
      <c r="AM56" s="5959"/>
    </row>
    <row r="57" spans="1:39">
      <c r="A57" s="5952"/>
      <c r="B57" s="7516"/>
      <c r="C57" s="7430"/>
      <c r="D57" s="7430"/>
      <c r="E57" s="7568"/>
      <c r="F57" s="5962"/>
      <c r="G57" s="7527"/>
      <c r="H57" s="5962"/>
      <c r="I57" s="7519"/>
      <c r="J57" s="7569"/>
      <c r="K57" s="8945" t="s">
        <v>2866</v>
      </c>
      <c r="L57" s="8945"/>
      <c r="M57" s="8945"/>
      <c r="N57" s="8945"/>
      <c r="O57" s="8945"/>
      <c r="P57" s="8945"/>
      <c r="Q57" s="8945"/>
      <c r="R57" s="7516"/>
      <c r="S57" s="7570"/>
      <c r="T57" s="7470"/>
      <c r="U57" s="7571"/>
      <c r="V57" s="7470"/>
      <c r="W57" s="7567"/>
      <c r="X57" s="7570"/>
      <c r="Y57" s="7470"/>
      <c r="Z57" s="7470"/>
      <c r="AA57" s="7470"/>
      <c r="AB57" s="7470"/>
      <c r="AC57" s="7570"/>
      <c r="AD57" s="5963" t="s">
        <v>912</v>
      </c>
      <c r="AE57" s="7470"/>
      <c r="AF57" s="7470"/>
      <c r="AG57" s="7470"/>
      <c r="AH57" s="5962"/>
      <c r="AI57" s="5959"/>
      <c r="AJ57" s="5959"/>
      <c r="AK57" s="5959"/>
      <c r="AL57" s="5959"/>
      <c r="AM57" s="5959"/>
    </row>
    <row r="58" spans="1:39">
      <c r="A58" s="5952"/>
      <c r="B58" s="7516"/>
      <c r="C58" s="7430"/>
      <c r="D58" s="7430"/>
      <c r="E58" s="7568"/>
      <c r="F58" s="5962"/>
      <c r="G58" s="7527"/>
      <c r="H58" s="5962"/>
      <c r="I58" s="7519"/>
      <c r="J58" s="7569"/>
      <c r="K58" s="8945"/>
      <c r="L58" s="8945"/>
      <c r="M58" s="8945"/>
      <c r="N58" s="8945"/>
      <c r="O58" s="8945"/>
      <c r="P58" s="8945"/>
      <c r="Q58" s="8945"/>
      <c r="R58" s="7516"/>
      <c r="S58" s="7570"/>
      <c r="T58" s="7470"/>
      <c r="U58" s="7571"/>
      <c r="V58" s="7470"/>
      <c r="W58" s="7567"/>
      <c r="X58" s="7570"/>
      <c r="Y58" s="7470"/>
      <c r="Z58" s="7470"/>
      <c r="AA58" s="7470"/>
      <c r="AB58" s="7470"/>
      <c r="AC58" s="7570"/>
      <c r="AD58" s="8945" t="s">
        <v>2527</v>
      </c>
      <c r="AE58" s="8945"/>
      <c r="AF58" s="8945"/>
      <c r="AG58" s="8945"/>
      <c r="AH58" s="5962"/>
      <c r="AI58" s="5959"/>
      <c r="AJ58" s="5959"/>
      <c r="AK58" s="5959"/>
      <c r="AL58" s="5959"/>
      <c r="AM58" s="5959"/>
    </row>
    <row r="59" spans="1:39" ht="12.75" customHeight="1">
      <c r="A59" s="5952"/>
      <c r="B59" s="7516"/>
      <c r="C59" s="7430"/>
      <c r="D59" s="7430"/>
      <c r="E59" s="7568"/>
      <c r="F59" s="5962"/>
      <c r="G59" s="7527"/>
      <c r="H59" s="5962"/>
      <c r="I59" s="7519"/>
      <c r="J59" s="7569"/>
      <c r="K59" s="7519"/>
      <c r="L59" s="7569"/>
      <c r="M59" s="7572"/>
      <c r="N59" s="7573"/>
      <c r="O59" s="7574"/>
      <c r="P59" s="7568"/>
      <c r="Q59" s="7569"/>
      <c r="R59" s="7516"/>
      <c r="S59" s="7570"/>
      <c r="T59" s="7470"/>
      <c r="U59" s="7470"/>
      <c r="V59" s="7470"/>
      <c r="W59" s="7567"/>
      <c r="X59" s="7570"/>
      <c r="Y59" s="7470"/>
      <c r="Z59" s="7470"/>
      <c r="AA59" s="7470"/>
      <c r="AB59" s="7470"/>
      <c r="AC59" s="7570"/>
      <c r="AD59" s="8945"/>
      <c r="AE59" s="8945"/>
      <c r="AF59" s="8945"/>
      <c r="AG59" s="8945"/>
      <c r="AH59" s="5962"/>
      <c r="AI59" s="5959"/>
      <c r="AJ59" s="5959"/>
      <c r="AK59" s="5959"/>
      <c r="AL59" s="5959"/>
      <c r="AM59" s="5959"/>
    </row>
    <row r="60" spans="1:39" ht="12.75" customHeight="1">
      <c r="A60" s="5952"/>
      <c r="B60" s="7516"/>
      <c r="C60" s="7430"/>
      <c r="D60" s="7430"/>
      <c r="E60" s="7568"/>
      <c r="F60" s="5962"/>
      <c r="G60" s="7527"/>
      <c r="H60" s="5962"/>
      <c r="I60" s="7519"/>
      <c r="J60" s="7569"/>
      <c r="K60" s="7519"/>
      <c r="L60" s="7569"/>
      <c r="M60" s="7572"/>
      <c r="N60" s="7573"/>
      <c r="O60" s="7574"/>
      <c r="P60" s="7568"/>
      <c r="Q60" s="7569"/>
      <c r="R60" s="7516"/>
      <c r="S60" s="7570"/>
      <c r="T60" s="7470"/>
      <c r="U60" s="7470"/>
      <c r="V60" s="7470"/>
      <c r="W60" s="7567"/>
      <c r="X60" s="7570"/>
      <c r="Y60" s="7470"/>
      <c r="Z60" s="7470"/>
      <c r="AA60" s="7470"/>
      <c r="AB60" s="7470"/>
      <c r="AC60" s="7570"/>
      <c r="AD60" s="8945"/>
      <c r="AE60" s="8945"/>
      <c r="AF60" s="8945"/>
      <c r="AG60" s="8945"/>
      <c r="AH60" s="5962"/>
      <c r="AI60" s="5959"/>
      <c r="AJ60" s="5959"/>
      <c r="AK60" s="5959"/>
      <c r="AL60" s="5959"/>
      <c r="AM60" s="5959"/>
    </row>
    <row r="61" spans="1:39" ht="12.75" customHeight="1">
      <c r="A61" s="5952"/>
      <c r="B61" s="7516"/>
      <c r="C61" s="7430"/>
      <c r="D61" s="7430"/>
      <c r="E61" s="7568"/>
      <c r="F61" s="8762"/>
      <c r="G61" s="7527"/>
      <c r="H61" s="8762"/>
      <c r="I61" s="7519"/>
      <c r="J61" s="7569"/>
      <c r="K61" s="7519"/>
      <c r="L61" s="7569"/>
      <c r="M61" s="7572"/>
      <c r="N61" s="7573"/>
      <c r="O61" s="7574"/>
      <c r="P61" s="7568"/>
      <c r="Q61" s="7569"/>
      <c r="R61" s="7516"/>
      <c r="S61" s="8761"/>
      <c r="T61" s="8765"/>
      <c r="U61" s="8765"/>
      <c r="V61" s="8765"/>
      <c r="W61" s="7567"/>
      <c r="X61" s="8761"/>
      <c r="Y61" s="8765"/>
      <c r="Z61" s="8765"/>
      <c r="AA61" s="8765"/>
      <c r="AB61" s="8765"/>
      <c r="AC61" s="8761"/>
      <c r="AD61" s="8760"/>
      <c r="AE61" s="8760"/>
      <c r="AF61" s="8760"/>
      <c r="AG61" s="8760"/>
      <c r="AH61" s="8762"/>
      <c r="AI61" s="5959"/>
      <c r="AJ61" s="5959"/>
      <c r="AK61" s="5959"/>
      <c r="AL61" s="5959"/>
      <c r="AM61" s="5959"/>
    </row>
    <row r="62" spans="1:39" ht="12.75" customHeight="1">
      <c r="A62" s="5952"/>
      <c r="B62" s="7516"/>
      <c r="C62" s="7430"/>
      <c r="D62" s="7430"/>
      <c r="E62" s="7568"/>
      <c r="F62" s="5962"/>
      <c r="G62" s="7527"/>
      <c r="H62" s="5962"/>
      <c r="I62" s="7519"/>
      <c r="J62" s="7569"/>
      <c r="K62" s="7519"/>
      <c r="L62" s="7569"/>
      <c r="M62" s="7572"/>
      <c r="N62" s="7573"/>
      <c r="O62" s="7574"/>
      <c r="P62" s="7568"/>
      <c r="Q62" s="7569"/>
      <c r="R62" s="7516"/>
      <c r="S62" s="7570"/>
      <c r="T62" s="7470"/>
      <c r="U62" s="7470"/>
      <c r="V62" s="7470"/>
      <c r="W62" s="7567"/>
      <c r="X62" s="7570"/>
      <c r="Y62" s="7470"/>
      <c r="Z62" s="7470"/>
      <c r="AA62" s="7470"/>
      <c r="AB62" s="7470"/>
      <c r="AC62" s="7570"/>
      <c r="AD62" s="7462"/>
      <c r="AE62" s="7462"/>
      <c r="AF62" s="7462"/>
      <c r="AG62" s="7462"/>
      <c r="AH62" s="5962"/>
      <c r="AI62" s="5959"/>
      <c r="AJ62" s="5959"/>
      <c r="AK62" s="5959"/>
      <c r="AL62" s="5959"/>
      <c r="AM62" s="5959"/>
    </row>
    <row r="63" spans="1:39" ht="12.75" customHeight="1">
      <c r="A63" s="5952"/>
      <c r="B63" s="7516"/>
      <c r="C63" s="7430"/>
      <c r="D63" s="7430"/>
      <c r="E63" s="7568"/>
      <c r="F63" s="5962"/>
      <c r="G63" s="7527"/>
      <c r="H63" s="5962"/>
      <c r="I63" s="7519"/>
      <c r="J63" s="7569"/>
      <c r="K63" s="7519"/>
      <c r="L63" s="7569"/>
      <c r="M63" s="7572"/>
      <c r="N63" s="7573"/>
      <c r="O63" s="7574"/>
      <c r="P63" s="7568"/>
      <c r="Q63" s="7569"/>
      <c r="R63" s="7516"/>
      <c r="S63" s="7570"/>
      <c r="T63" s="7469" t="s">
        <v>912</v>
      </c>
      <c r="U63" s="8830" t="s">
        <v>2709</v>
      </c>
      <c r="V63" s="8830"/>
      <c r="W63" s="8830"/>
      <c r="X63" s="8830"/>
      <c r="Y63" s="8830"/>
      <c r="Z63" s="8830"/>
      <c r="AA63" s="8830"/>
      <c r="AB63" s="7470"/>
      <c r="AC63" s="7570"/>
      <c r="AD63" s="7469" t="s">
        <v>912</v>
      </c>
      <c r="AE63" s="8830" t="s">
        <v>2526</v>
      </c>
      <c r="AF63" s="8830"/>
      <c r="AG63" s="8830"/>
      <c r="AH63" s="5962"/>
      <c r="AI63" s="5959"/>
      <c r="AJ63" s="5959"/>
      <c r="AK63" s="5959"/>
      <c r="AL63" s="5959"/>
      <c r="AM63" s="5959"/>
    </row>
    <row r="64" spans="1:39">
      <c r="A64" s="5952"/>
      <c r="B64" s="7450"/>
      <c r="C64" s="7430"/>
      <c r="D64" s="7430"/>
      <c r="E64" s="7450"/>
      <c r="F64" s="5962"/>
      <c r="G64" s="7527"/>
      <c r="H64" s="5962"/>
      <c r="I64" s="7575"/>
      <c r="J64" s="7575"/>
      <c r="K64" s="7526" t="s">
        <v>1157</v>
      </c>
      <c r="L64" s="7576"/>
      <c r="M64" s="7576"/>
      <c r="N64" s="5952"/>
      <c r="O64" s="5952"/>
      <c r="P64" s="7450"/>
      <c r="Q64" s="5952"/>
      <c r="R64" s="7516"/>
      <c r="S64" s="7570"/>
      <c r="T64" s="7470"/>
      <c r="U64" s="8830"/>
      <c r="V64" s="8830"/>
      <c r="W64" s="8830"/>
      <c r="X64" s="8830"/>
      <c r="Y64" s="8830"/>
      <c r="Z64" s="8830"/>
      <c r="AA64" s="8830"/>
      <c r="AB64" s="7470"/>
      <c r="AC64" s="7570"/>
      <c r="AD64" s="5952"/>
      <c r="AE64" s="8830"/>
      <c r="AF64" s="8830"/>
      <c r="AG64" s="8830"/>
      <c r="AH64" s="5962"/>
      <c r="AI64" s="5959"/>
      <c r="AJ64" s="5959"/>
      <c r="AK64" s="5959"/>
      <c r="AL64" s="5959"/>
      <c r="AM64" s="5959"/>
    </row>
    <row r="65" spans="1:39" ht="15" customHeight="1" thickBot="1">
      <c r="A65" s="5952"/>
      <c r="B65" s="7577"/>
      <c r="C65" s="7430"/>
      <c r="D65" s="7430"/>
      <c r="E65" s="7578"/>
      <c r="F65" s="5952"/>
      <c r="G65" s="5959"/>
      <c r="H65" s="5952"/>
      <c r="I65" s="7495"/>
      <c r="J65" s="7495"/>
      <c r="K65" s="7526" t="str">
        <f>+IF(B66="","",IF(VLOOKUP(MATCH(B66,tid,0),tao,'12(id)'!$I$20,FALSE)="","",VLOOKUP(MATCH(B66,tid,0),tao,'12(id)'!$I$20,FALSE)))</f>
        <v>FirstLight Hydro Generating Company</v>
      </c>
      <c r="L65" s="7576"/>
      <c r="M65" s="7576"/>
      <c r="N65" s="5952"/>
      <c r="O65" s="5952"/>
      <c r="P65" s="5952"/>
      <c r="Q65" s="5952"/>
      <c r="R65" s="7578"/>
      <c r="S65" s="5984"/>
      <c r="T65" s="5984"/>
      <c r="U65" s="5984"/>
      <c r="V65" s="5984"/>
      <c r="W65" s="7505"/>
      <c r="X65" s="5984"/>
      <c r="Y65" s="5984"/>
      <c r="Z65" s="5984"/>
      <c r="AA65" s="5984"/>
      <c r="AB65" s="5984"/>
      <c r="AC65" s="7499"/>
      <c r="AD65" s="7499"/>
      <c r="AE65" s="7499"/>
      <c r="AF65" s="7499"/>
      <c r="AG65" s="7499"/>
      <c r="AH65" s="5962"/>
      <c r="AI65" s="5959"/>
      <c r="AJ65" s="5959"/>
      <c r="AK65" s="5959"/>
      <c r="AL65" s="5959"/>
      <c r="AM65" s="5959"/>
    </row>
    <row r="66" spans="1:39" ht="14.1" customHeight="1">
      <c r="A66" s="5952"/>
      <c r="B66" s="8989" t="str">
        <f>+IF('12(id)'!A30="","",'12(id)'!A30)</f>
        <v>8303-01</v>
      </c>
      <c r="C66" s="8993" t="str">
        <f>+IF(B66="","",VLOOKUP(MATCH(B66,tid,0),tao,'12(id)'!$J$20,FALSE))</f>
        <v>FirstLight</v>
      </c>
      <c r="D66" s="9007">
        <f>+IF(B66="","",M66)</f>
        <v>10</v>
      </c>
      <c r="E66" s="9046" t="str">
        <f>+IF(B66="","",B66&amp;IF(ISERR(VALUE(R66)),"-01",IF(R66&lt;10,"-0"&amp;R66,"-"&amp;R66)))</f>
        <v>8303-01-01</v>
      </c>
      <c r="F66" s="5952"/>
      <c r="G66" s="5959"/>
      <c r="H66" s="5952"/>
      <c r="I66" s="9050">
        <f>1+I53</f>
        <v>10</v>
      </c>
      <c r="J66" s="9054" t="str">
        <f>+IF(VLOOKUP(MATCH(B66,tid,0),tao,'12(id)'!$I$20,FALSE)="","",VLOOKUP(MATCH(B66,tid,0),tao,'12(id)'!$I$20,FALSE))</f>
        <v>FirstLight Hydro Generating Company</v>
      </c>
      <c r="K66" s="9012">
        <f>+IF(B66="","",IF(VLOOKUP(MATCH(B66,tid,0),tao,'12(id)'!$K$20,FALSE)="","",VLOOKUP(MATCH(B66,tid,0),tao,'12(id)'!$K$20,FALSE)))</f>
        <v>8303</v>
      </c>
      <c r="L66" s="9012" t="str">
        <f>+IF(B66="","",IF(VLOOKUP(MATCH(B66,tid,0),tao,'12(id)'!$L$20,FALSE)="","",VLOOKUP(MATCH(B66,tid,0),tao,'12(id)'!$L$20,FALSE)))</f>
        <v>Tunnel</v>
      </c>
      <c r="M66" s="9037">
        <f>+IF(B66="","",IF(VLOOKUP(MATCH(B66,tid,0),tao,'12(id)'!$Q$20,FALSE)="","",VLOOKUP(MATCH(B66,tid,0),tao,'12(id)'!$Q$20,FALSE)))</f>
        <v>10</v>
      </c>
      <c r="N66" s="9041">
        <f>+IF(B66="","",IF(VLOOKUP(MATCH(B66,tid,0),tao,'12(id)'!$CT$20,FALSE)="","",VLOOKUP(MATCH(B66,tid,0),tao,'12(id)'!$CT$20,FALSE)))</f>
        <v>20</v>
      </c>
      <c r="O66" s="9003" t="str">
        <f ca="1">+IF(B66="","",IF(VLOOKUP(MATCH(B66,tid,0),tao,'12(id)'!$DE$20,FALSE)="","",ROUND(VLOOKUP(MATCH(B66,tid,0),tao,'12(id)'!$DE$20,FALSE),0)&amp;" yrs"))</f>
        <v>46 yrs</v>
      </c>
      <c r="P66" s="9000" t="str">
        <f>+IF(B66="","",IF(VLOOKUP(MATCH(B66,tid,0),tao,'12(id)'!$FR$20,FALSE)="","",VLOOKUP(MATCH(B66,tid,0),tao,'12(id)'!$FR$20,FALSE)))</f>
        <v>None</v>
      </c>
      <c r="Q66" s="9003" t="str">
        <f>+IF(B66="","",IF(VLOOKUP(MATCH(B66,tid,0),tao,'12(id)'!$DI$20,FALSE)="","",VLOOKUP(MATCH(B66,tid,0),tao,'12(id)'!$DI$20,FALSE))&amp;";  "&amp;IF(VLOOKUP(MATCH(B66,tid,0),tao,'12(id)'!$DQ$20,FALSE)="","",VLOOKUP(MATCH(B66,tid,0),tao,'12(id)'!$DQ$20,FALSE)))</f>
        <v xml:space="preserve">Jet Fuel A (Kerosene K1);  </v>
      </c>
      <c r="R66" s="8997">
        <f>+IF(B66="","",1)</f>
        <v>1</v>
      </c>
      <c r="S66" s="8817"/>
      <c r="T66" s="9212" t="str">
        <f>+IF(VLOOKUP(MATCH(E66,c_id,0),ca,'13(an)'!$BD$34,FALSE)="","",VLOOKUP(MATCH(E66,c_id,0),ca,'13(an)'!$BD$34,FALSE))</f>
        <v>SCR + HPWI + CO Catalyst + Dual Fuel</v>
      </c>
      <c r="U66" s="9213"/>
      <c r="V66" s="9214"/>
      <c r="W66" s="7579"/>
      <c r="X66" s="8817"/>
      <c r="Y66" s="9212" t="str">
        <f>+IF(T66="","",T66)</f>
        <v>SCR + HPWI + CO Catalyst + Dual Fuel</v>
      </c>
      <c r="Z66" s="9213"/>
      <c r="AA66" s="9214"/>
      <c r="AB66" s="7580"/>
      <c r="AC66" s="8817"/>
      <c r="AD66" s="8875" t="str">
        <f>+IF(Y66="","",Y66)</f>
        <v>SCR + HPWI + CO Catalyst + Dual Fuel</v>
      </c>
      <c r="AE66" s="8875"/>
      <c r="AF66" s="8875"/>
      <c r="AG66" s="7581"/>
      <c r="AH66" s="5962"/>
      <c r="AI66" s="5959"/>
      <c r="AJ66" s="5959"/>
      <c r="AK66" s="5959"/>
      <c r="AL66" s="5959"/>
      <c r="AM66" s="5959"/>
    </row>
    <row r="67" spans="1:39" ht="12" customHeight="1">
      <c r="A67" s="5952"/>
      <c r="B67" s="8990"/>
      <c r="C67" s="8994" t="str">
        <f>+IF(B67="","",VLOOKUP(MATCH(B67,tid,0),tao,'12(id)'!$J$20,FALSE))</f>
        <v/>
      </c>
      <c r="D67" s="9008"/>
      <c r="E67" s="9047"/>
      <c r="F67" s="5952"/>
      <c r="G67" s="5959"/>
      <c r="H67" s="5952"/>
      <c r="I67" s="9051"/>
      <c r="J67" s="9055"/>
      <c r="K67" s="9013" t="e">
        <f>+IF(VLOOKUP(MATCH(B67,tid,0),tao,'12(id)'!$K$20,FALSE)="","",VLOOKUP(MATCH(B67,tid,0),tao,'12(id)'!$K$20,FALSE))</f>
        <v>#N/A</v>
      </c>
      <c r="L67" s="9013" t="e">
        <f>+IF(VLOOKUP(MATCH(B67,tid,0),tao,'12(id)'!$L$20,FALSE)="","",VLOOKUP(MATCH(B67,tid,0),tao,'12(id)'!$L$20,FALSE))</f>
        <v>#N/A</v>
      </c>
      <c r="M67" s="9038" t="e">
        <f>+IF(VLOOKUP(MATCH(B67,tid,0),tao,'12(id)'!$Q$20,FALSE)="","",VLOOKUP(MATCH(B67,tid,0),tao,'12(id)'!$Q$20,FALSE))</f>
        <v>#N/A</v>
      </c>
      <c r="N67" s="9042" t="e">
        <f>+IF(VLOOKUP(MATCH(B67,tid,0),tao,'12(id)'!$CT$20,FALSE)="","",VLOOKUP(MATCH(B67,tid,0),tao,'12(id)'!$CT$20,FALSE))</f>
        <v>#N/A</v>
      </c>
      <c r="O67" s="9004" t="e">
        <f>+IF(VLOOKUP(MATCH(B67,tid,0),tao,'12(id)'!$DE$20,FALSE)="","",ROUND(VLOOKUP(MATCH(B67,tid,0),tao,'12(id)'!$DE$20,FALSE),0)&amp;" yrs")</f>
        <v>#N/A</v>
      </c>
      <c r="P67" s="9001" t="e">
        <f>+IF(VLOOKUP(MATCH(B67,tid,0),tao,'12(id)'!$FR$20,FALSE)="","",VLOOKUP(MATCH(B67,tid,0),tao,'12(id)'!$FR$20,FALSE))</f>
        <v>#N/A</v>
      </c>
      <c r="Q67" s="9004" t="e">
        <f>+IF(VLOOKUP(MATCH(B67,tid,0),tao,'12(id)'!$DI$20,FALSE)="","",VLOOKUP(MATCH(B67,tid,0),tao,'12(id)'!$DI$20,FALSE))&amp;";  "&amp;IF(VLOOKUP(MATCH(B67,tid,0),tao,'12(id)'!$DQ$20,FALSE)="","",VLOOKUP(MATCH(B67,tid,0),tao,'12(id)'!$DQ$20,FALSE))</f>
        <v>#N/A</v>
      </c>
      <c r="R67" s="8998"/>
      <c r="S67" s="8818"/>
      <c r="T67" s="9209" t="str">
        <f>+IF(VLOOKUP(MATCH(E66,c_id,0),ca,'13(an)'!$BG$34,FALSE)="","","("&amp;VLOOKUP(MATCH(E66,c_id,0),ca,'13(an)'!$BG$34,FALSE)&amp;")")</f>
        <v>(Natural Gas with Oil backup)</v>
      </c>
      <c r="U67" s="9215"/>
      <c r="V67" s="9216"/>
      <c r="W67" s="7582"/>
      <c r="X67" s="8818"/>
      <c r="Y67" s="9217" t="str">
        <f>+IF(T67="","",T67)</f>
        <v>(Natural Gas with Oil backup)</v>
      </c>
      <c r="Z67" s="9218"/>
      <c r="AA67" s="9219"/>
      <c r="AB67" s="5962"/>
      <c r="AC67" s="8818"/>
      <c r="AD67" s="8820" t="str">
        <f>+IF(Y67="","",Y67)</f>
        <v>(Natural Gas with Oil backup)</v>
      </c>
      <c r="AE67" s="9206"/>
      <c r="AF67" s="9206"/>
      <c r="AG67" s="7583"/>
      <c r="AH67" s="5962"/>
      <c r="AI67" s="5959"/>
      <c r="AJ67" s="5959"/>
      <c r="AK67" s="5959"/>
      <c r="AL67" s="5959"/>
      <c r="AM67" s="5959"/>
    </row>
    <row r="68" spans="1:39" ht="14.1" customHeight="1">
      <c r="A68" s="5952"/>
      <c r="B68" s="8990"/>
      <c r="C68" s="8994" t="str">
        <f>+IF(B68="","",VLOOKUP(MATCH(B68,tid,0),tao,'12(id)'!$J$20,FALSE))</f>
        <v/>
      </c>
      <c r="D68" s="9008"/>
      <c r="E68" s="9047"/>
      <c r="F68" s="5952"/>
      <c r="G68" s="5959"/>
      <c r="H68" s="5952"/>
      <c r="I68" s="9051"/>
      <c r="J68" s="9055"/>
      <c r="K68" s="9013" t="e">
        <f>+IF(VLOOKUP(MATCH(B68,tid,0),tao,'12(id)'!$K$20,FALSE)="","",VLOOKUP(MATCH(B68,tid,0),tao,'12(id)'!$K$20,FALSE))</f>
        <v>#N/A</v>
      </c>
      <c r="L68" s="9013" t="e">
        <f>+IF(VLOOKUP(MATCH(B68,tid,0),tao,'12(id)'!$L$20,FALSE)="","",VLOOKUP(MATCH(B68,tid,0),tao,'12(id)'!$L$20,FALSE))</f>
        <v>#N/A</v>
      </c>
      <c r="M68" s="9038" t="e">
        <f>+IF(VLOOKUP(MATCH(B68,tid,0),tao,'12(id)'!$Q$20,FALSE)="","",VLOOKUP(MATCH(B68,tid,0),tao,'12(id)'!$Q$20,FALSE))</f>
        <v>#N/A</v>
      </c>
      <c r="N68" s="9042" t="e">
        <f>+IF(VLOOKUP(MATCH(B68,tid,0),tao,'12(id)'!$CT$20,FALSE)="","",VLOOKUP(MATCH(B68,tid,0),tao,'12(id)'!$CT$20,FALSE))</f>
        <v>#N/A</v>
      </c>
      <c r="O68" s="9004" t="e">
        <f>+IF(VLOOKUP(MATCH(B68,tid,0),tao,'12(id)'!$DE$20,FALSE)="","",ROUND(VLOOKUP(MATCH(B68,tid,0),tao,'12(id)'!$DE$20,FALSE),0)&amp;" yrs")</f>
        <v>#N/A</v>
      </c>
      <c r="P68" s="9001" t="e">
        <f>+IF(VLOOKUP(MATCH(B68,tid,0),tao,'12(id)'!$FR$20,FALSE)="","",VLOOKUP(MATCH(B68,tid,0),tao,'12(id)'!$FR$20,FALSE))</f>
        <v>#N/A</v>
      </c>
      <c r="Q68" s="9004" t="e">
        <f>+IF(VLOOKUP(MATCH(B68,tid,0),tao,'12(id)'!$DI$20,FALSE)="","",VLOOKUP(MATCH(B68,tid,0),tao,'12(id)'!$DI$20,FALSE))&amp;";  "&amp;IF(VLOOKUP(MATCH(B68,tid,0),tao,'12(id)'!$DQ$20,FALSE)="","",VLOOKUP(MATCH(B68,tid,0),tao,'12(id)'!$DQ$20,FALSE))</f>
        <v>#N/A</v>
      </c>
      <c r="R68" s="8998"/>
      <c r="S68" s="8818"/>
      <c r="T68" s="7584" t="str">
        <f>+IF(E66="","",IF(VLOOKUP(MATCH(E66,c_id,0),ca,'13(an)'!$CC$34,FALSE)="",IF(VLOOKUP(MATCH(E66,c_id,0),ca,'13(an)'!$CD$34,FALSE)="",IF(VLOOKUP(MATCH(E66,c_id,0),ca,'13(an)'!$CE$34,FALSE)="","η ≈ N/A","η ≈ "&amp;ROUND(VLOOKUP(MATCH(E66,c_id,0),ca,'13(an)'!$CE$34,FALSE)*100,0)&amp;"%"),"η ≈ "&amp;ROUND(VLOOKUP(MATCH(E66,c_id,0),ca,'13(an)'!$CD$34,FALSE)*100,0)&amp;"%"),"η ≈ "&amp;ROUND(VLOOKUP(MATCH(E66,c_id,0),ca,'13(an)'!$CC$34,FALSE)*100,0)&amp;"%"))</f>
        <v>η ≈ 97%</v>
      </c>
      <c r="U68" s="7585" t="str">
        <f>+IF($U$110="ppmvd",IF(VLOOKUP(MATCH(E66,c_id,0),ca,'13(an)'!$BV$34,FALSE)="","",ROUND(VLOOKUP(MATCH(E66,c_id,0),ca,'13(an)'!$BV$34,FALSE),1)&amp;" ppmvd"),IF(VLOOKUP(MATCH(E66,c_id,0),ca,'13(an)'!$BU$34,FALSE)="","",IF(LEN(ROUND(VLOOKUP(MATCH(E66,c_id,0),ca,'13(an)'!$BU$34,FALSE),3))=3,ROUND(VLOOKUP(MATCH(E66,c_id,0),ca,'13(an)'!$BU$34,FALSE),3)&amp;"00 lb/MMBtu",IF(LEN(ROUND(VLOOKUP(MATCH(E66,c_id,0),ca,'13(an)'!$BU$34,FALSE),3))=4,ROUND(VLOOKUP(MATCH(E66,c_id,0),ca,'13(an)'!$BU$34,FALSE),3)&amp;"0 lb/MMBtu",ROUND(VLOOKUP(MATCH(E66,c_id,0),ca,'13(an)'!$BU$34,FALSE),3)&amp;" lb/MMBtu"))))</f>
        <v>5 ppmvd</v>
      </c>
      <c r="V68" s="7586">
        <f>+IF(E66="","",IF(VLOOKUP(MATCH(E66,c_id,0),ca,'13(an)'!$CB$34,FALSE)="","NOx(R) = N/A",ROUND(VLOOKUP(MATCH(E66,c_id,0),ca,'13(an)'!$CB$34,FALSE),1)))</f>
        <v>4.5</v>
      </c>
      <c r="W68" s="7534"/>
      <c r="X68" s="8818"/>
      <c r="Y68" s="7587" t="str">
        <f>+IF(E66="","",IF(VLOOKUP(MATCH(E66,c_id,0),ca,'13(an)'!$CM$34,FALSE)="",IF(VLOOKUP(MATCH(E66,c_id,0),ca,'13(an)'!$CN$34,FALSE)="",IF(VLOOKUP(MATCH(E66,c_id,0),ca,'13(an)'!$CO$34,FALSE)="","η ≈ N/A","η ≈ "&amp;ROUND(VLOOKUP(MATCH(E66,c_id,0),ca,'13(an)'!$CO$34,FALSE)*100,0)&amp;"%"),"η ≈ "&amp;ROUND(VLOOKUP(MATCH(E66,c_id,0),ca,'13(an)'!$CN$34,FALSE)*100,0)&amp;"%"),"η ≈ "&amp;ROUND(VLOOKUP(MATCH(E66,c_id,0),ca,'13(an)'!$CM$34,FALSE)*100,0)&amp;"%"))</f>
        <v>η ≈ 97%</v>
      </c>
      <c r="Z68" s="7588" t="str">
        <f>+IF($Z$110="ppmvd",IF(VLOOKUP(MATCH(E66,c_id,0),ca,'13(an)'!$CJ$34,FALSE)="","",ROUND(VLOOKUP(MATCH(E66,c_id,0),ca,'13(an)'!$CJ$34,FALSE),1)&amp;" ppmvd"),IF(VLOOKUP(MATCH(E66,c_id,0),ca,'13(an)'!$CI$34,FALSE)="","",IF(LEN(ROUND(VLOOKUP(MATCH(E66,c_id,0),ca,'13(an)'!$CI$34,FALSE),3))=3,ROUND(VLOOKUP(MATCH(E66,c_id,0),ca,'13(an)'!$CI$34,FALSE),3)&amp;"00 lb/MMBtu",IF(LEN(ROUND(VLOOKUP(MATCH(E66,c_id,0),ca,'13(an)'!$CI$34,FALSE),3))=4,ROUND(VLOOKUP(MATCH(E66,c_id,0),ca,'13(an)'!$CI$34,FALSE),3)&amp;"0 lb/MMBtu",ROUND(VLOOKUP(MATCH(E66,c_id,0),ca,'13(an)'!$CI$34,FALSE),3)&amp;" lb/MMBtu"))))</f>
        <v>0.020 lb/MMBtu</v>
      </c>
      <c r="AA68" s="7589">
        <f>+IF(E66="","",IF(VLOOKUP(MATCH(E66,c_id,0),ca,'13(an)'!$CL$34,FALSE)="","NOx(R) = N/A",ROUND(VLOOKUP(MATCH(E66,c_id,0),ca,'13(an)'!$CL$34,FALSE),1)))</f>
        <v>1.7</v>
      </c>
      <c r="AB68" s="7535"/>
      <c r="AC68" s="8818"/>
      <c r="AD68" s="7587" t="str">
        <f>+IF(E66="","",IF(VLOOKUP(MATCH(E66,c_id,0),ca,'13(an)'!$CM$34,FALSE)="",IF(VLOOKUP(MATCH(E66,c_id,0),ca,'13(an)'!$CN$34,FALSE)="",IF(VLOOKUP(MATCH(E66,c_id,0),ca,'13(an)'!$CO$34,FALSE)="","η ≈ N/A","η ≈ "&amp;ROUND(VLOOKUP(MATCH(E66,c_id,0),ca,'13(an)'!$CO$34,FALSE)*100,0)&amp;"%"),"η ≈ "&amp;ROUND(VLOOKUP(MATCH(E66,c_id,0),ca,'13(an)'!$CN$34,FALSE)*100,0)&amp;"%"),"η ≈ "&amp;ROUND(VLOOKUP(MATCH(E66,c_id,0),ca,'13(an)'!$CM$34,FALSE)*100,0)&amp;"%"))</f>
        <v>η ≈ 97%</v>
      </c>
      <c r="AE68" s="7588" t="str">
        <f>+IF($AE$110="ppmvd",IF(VLOOKUP(MATCH(E66,c_id,0),ca,'13(an)'!$CJ$34,FALSE)="","",ROUND(VLOOKUP(MATCH(E66,c_id,0),ca,'13(an)'!$CJ$34,FALSE),1)&amp;" ppmvd"),IF(VLOOKUP(MATCH(E66,c_id,0),ca,'13(an)'!$CI$34,FALSE)="","",IF(LEN(ROUND(VLOOKUP(MATCH(E66,c_id,0),ca,'13(an)'!$CI$34,FALSE),3))=3,ROUND(VLOOKUP(MATCH(E66,c_id,0),ca,'13(an)'!$CI$34,FALSE),3)&amp;"00 lb/MMBtu",IF(LEN(ROUND(VLOOKUP(MATCH(E66,c_id,0),ca,'13(an)'!$CI$34,FALSE),3))=4,ROUND(VLOOKUP(MATCH(E66,c_id,0),ca,'13(an)'!$CI$34,FALSE),3)&amp;"0 lb/MMBtu",ROUND(VLOOKUP(MATCH(E66,c_id,0),ca,'13(an)'!$CI$34,FALSE),3)&amp;" lb/MMBtu"))))</f>
        <v>0.020 lb/MMBtu</v>
      </c>
      <c r="AF68" s="7589">
        <f>+IF(E66="","",IF(VLOOKUP(MATCH(E66,c_id,0),ca,'13(an)'!$CL$34,FALSE)="","NOx(R) = N/A",ROUND(VLOOKUP(MATCH(E66,c_id,0),ca,'13(an)'!$CL$34,FALSE),1)))</f>
        <v>1.7</v>
      </c>
      <c r="AG68" s="7536"/>
      <c r="AH68" s="5962"/>
      <c r="AI68" s="5959"/>
      <c r="AJ68" s="5959"/>
      <c r="AK68" s="5959"/>
      <c r="AL68" s="5959"/>
      <c r="AM68" s="5959"/>
    </row>
    <row r="69" spans="1:39" ht="14.1" customHeight="1">
      <c r="A69" s="5952"/>
      <c r="B69" s="8990"/>
      <c r="C69" s="8994" t="str">
        <f>+IF(B69="","",VLOOKUP(MATCH(B69,tid,0),tao,'12(id)'!$J$20,FALSE))</f>
        <v/>
      </c>
      <c r="D69" s="9008"/>
      <c r="E69" s="9047"/>
      <c r="F69" s="5952"/>
      <c r="G69" s="5959"/>
      <c r="H69" s="5952"/>
      <c r="I69" s="9051"/>
      <c r="J69" s="9055"/>
      <c r="K69" s="9013" t="e">
        <f>+IF(VLOOKUP(MATCH(B69,tid,0),tao,'12(id)'!$K$20,FALSE)="","",VLOOKUP(MATCH(B69,tid,0),tao,'12(id)'!$K$20,FALSE))</f>
        <v>#N/A</v>
      </c>
      <c r="L69" s="9013" t="e">
        <f>+IF(VLOOKUP(MATCH(B69,tid,0),tao,'12(id)'!$L$20,FALSE)="","",VLOOKUP(MATCH(B69,tid,0),tao,'12(id)'!$L$20,FALSE))</f>
        <v>#N/A</v>
      </c>
      <c r="M69" s="9038" t="e">
        <f>+IF(VLOOKUP(MATCH(B69,tid,0),tao,'12(id)'!$Q$20,FALSE)="","",VLOOKUP(MATCH(B69,tid,0),tao,'12(id)'!$Q$20,FALSE))</f>
        <v>#N/A</v>
      </c>
      <c r="N69" s="9042" t="e">
        <f>+IF(VLOOKUP(MATCH(B69,tid,0),tao,'12(id)'!$CT$20,FALSE)="","",VLOOKUP(MATCH(B69,tid,0),tao,'12(id)'!$CT$20,FALSE))</f>
        <v>#N/A</v>
      </c>
      <c r="O69" s="9004" t="e">
        <f>+IF(VLOOKUP(MATCH(B69,tid,0),tao,'12(id)'!$DE$20,FALSE)="","",ROUND(VLOOKUP(MATCH(B69,tid,0),tao,'12(id)'!$DE$20,FALSE),0)&amp;" yrs")</f>
        <v>#N/A</v>
      </c>
      <c r="P69" s="9001" t="e">
        <f>+IF(VLOOKUP(MATCH(B69,tid,0),tao,'12(id)'!$FR$20,FALSE)="","",VLOOKUP(MATCH(B69,tid,0),tao,'12(id)'!$FR$20,FALSE))</f>
        <v>#N/A</v>
      </c>
      <c r="Q69" s="9004" t="e">
        <f>+IF(VLOOKUP(MATCH(B69,tid,0),tao,'12(id)'!$DI$20,FALSE)="","",VLOOKUP(MATCH(B69,tid,0),tao,'12(id)'!$DI$20,FALSE))&amp;";  "&amp;IF(VLOOKUP(MATCH(B69,tid,0),tao,'12(id)'!$DQ$20,FALSE)="","",VLOOKUP(MATCH(B69,tid,0),tao,'12(id)'!$DQ$20,FALSE))</f>
        <v>#N/A</v>
      </c>
      <c r="R69" s="8998"/>
      <c r="S69" s="8818"/>
      <c r="T69" s="7537">
        <f>+IF(VLOOKUP(MATCH(E66,c_id,0),ca,'13(an)'!$GF$34,FALSE)="","",VLOOKUP(MATCH(E66,c_id,0),ca,'13(an)'!$GF$34,FALSE))</f>
        <v>6310000</v>
      </c>
      <c r="U69" s="7538" t="str">
        <f>+IF(T69="","","$ TCC/unit")</f>
        <v>$ TCC/unit</v>
      </c>
      <c r="V69" s="7539">
        <f>+IF(VLOOKUP(MATCH(E66,c_id,0),ca,'13(an)'!$HA$34,FALSE)="","",VLOOKUP(MATCH(E66,c_id,0),ca,'13(an)'!$HA$34,FALSE))</f>
        <v>595619</v>
      </c>
      <c r="W69" s="7540"/>
      <c r="X69" s="8818"/>
      <c r="Y69" s="7537">
        <f>+IF(VLOOKUP(MATCH(E66,c_id,0),ca,'13(an)'!$IA$34,FALSE)="","",VLOOKUP(MATCH(E66,c_id,0),ca,'13(an)'!$IA$34,FALSE))</f>
        <v>6310000</v>
      </c>
      <c r="Z69" s="7538" t="str">
        <f>+IF(Y69="","","$ TCC/unit")</f>
        <v>$ TCC/unit</v>
      </c>
      <c r="AA69" s="7539">
        <f>+IF(Y69="","",$AA$14*Y69)</f>
        <v>595619.36143994343</v>
      </c>
      <c r="AB69" s="7541"/>
      <c r="AC69" s="8818"/>
      <c r="AD69" s="7537">
        <f>+IF(VLOOKUP(MATCH(E66,c_id,0),ca,'13(an)'!$JS$34,FALSE)="","",VLOOKUP(MATCH(E66,c_id,0),ca,'13(an)'!$JS$34,FALSE))</f>
        <v>6939365</v>
      </c>
      <c r="AE69" s="7538" t="str">
        <f>+IF(AD69="","","$ TCC/unit")</f>
        <v>$ TCC/unit</v>
      </c>
      <c r="AF69" s="7539">
        <f>+IF(AD69="","",$AF$14*AD69)</f>
        <v>595470.49983298429</v>
      </c>
      <c r="AG69" s="7542"/>
      <c r="AH69" s="5962"/>
      <c r="AI69" s="5959"/>
      <c r="AJ69" s="5959"/>
      <c r="AK69" s="5959"/>
      <c r="AL69" s="5959"/>
      <c r="AM69" s="5959"/>
    </row>
    <row r="70" spans="1:39" ht="14.1" customHeight="1">
      <c r="A70" s="5952"/>
      <c r="B70" s="8990"/>
      <c r="C70" s="8994" t="str">
        <f>+IF(B70="","",VLOOKUP(MATCH(B70,tid,0),tao,'12(id)'!$J$20,FALSE))</f>
        <v/>
      </c>
      <c r="D70" s="9008"/>
      <c r="E70" s="9047"/>
      <c r="F70" s="5952"/>
      <c r="G70" s="5959"/>
      <c r="H70" s="5952"/>
      <c r="I70" s="9051"/>
      <c r="J70" s="9055"/>
      <c r="K70" s="9013" t="e">
        <f>+IF(VLOOKUP(MATCH(B70,tid,0),tao,'12(id)'!$K$20,FALSE)="","",VLOOKUP(MATCH(B70,tid,0),tao,'12(id)'!$K$20,FALSE))</f>
        <v>#N/A</v>
      </c>
      <c r="L70" s="9013" t="e">
        <f>+IF(VLOOKUP(MATCH(B70,tid,0),tao,'12(id)'!$L$20,FALSE)="","",VLOOKUP(MATCH(B70,tid,0),tao,'12(id)'!$L$20,FALSE))</f>
        <v>#N/A</v>
      </c>
      <c r="M70" s="9038" t="e">
        <f>+IF(VLOOKUP(MATCH(B70,tid,0),tao,'12(id)'!$Q$20,FALSE)="","",VLOOKUP(MATCH(B70,tid,0),tao,'12(id)'!$Q$20,FALSE))</f>
        <v>#N/A</v>
      </c>
      <c r="N70" s="9042" t="e">
        <f>+IF(VLOOKUP(MATCH(B70,tid,0),tao,'12(id)'!$CT$20,FALSE)="","",VLOOKUP(MATCH(B70,tid,0),tao,'12(id)'!$CT$20,FALSE))</f>
        <v>#N/A</v>
      </c>
      <c r="O70" s="9004" t="e">
        <f>+IF(VLOOKUP(MATCH(B70,tid,0),tao,'12(id)'!$DE$20,FALSE)="","",ROUND(VLOOKUP(MATCH(B70,tid,0),tao,'12(id)'!$DE$20,FALSE),0)&amp;" yrs")</f>
        <v>#N/A</v>
      </c>
      <c r="P70" s="9001" t="e">
        <f>+IF(VLOOKUP(MATCH(B70,tid,0),tao,'12(id)'!$FR$20,FALSE)="","",VLOOKUP(MATCH(B70,tid,0),tao,'12(id)'!$FR$20,FALSE))</f>
        <v>#N/A</v>
      </c>
      <c r="Q70" s="9004" t="e">
        <f>+IF(VLOOKUP(MATCH(B70,tid,0),tao,'12(id)'!$DI$20,FALSE)="","",VLOOKUP(MATCH(B70,tid,0),tao,'12(id)'!$DI$20,FALSE))&amp;";  "&amp;IF(VLOOKUP(MATCH(B70,tid,0),tao,'12(id)'!$DQ$20,FALSE)="","",VLOOKUP(MATCH(B70,tid,0),tao,'12(id)'!$DQ$20,FALSE))</f>
        <v>#N/A</v>
      </c>
      <c r="R70" s="8998"/>
      <c r="S70" s="8818"/>
      <c r="T70" s="7543">
        <f>+IF(OR(T69="",N66=""),"",T69/N66)</f>
        <v>315500</v>
      </c>
      <c r="U70" s="8820" t="str">
        <f>+IF(T70="","","$ TCC / MW nominal capacity")</f>
        <v>$ TCC / MW nominal capacity</v>
      </c>
      <c r="V70" s="8820"/>
      <c r="W70" s="7544"/>
      <c r="X70" s="8818"/>
      <c r="Y70" s="7543">
        <f>+IF(OR(Y69="",N66=""),"",Y69/N66)</f>
        <v>315500</v>
      </c>
      <c r="Z70" s="8820" t="str">
        <f>+IF(Y70="","","$ TCC / MW nominal capacity")</f>
        <v>$ TCC / MW nominal capacity</v>
      </c>
      <c r="AA70" s="8820"/>
      <c r="AB70" s="7545"/>
      <c r="AC70" s="8818"/>
      <c r="AD70" s="7543">
        <f>+IF(OR(AD69="",N66=""),"",AD69/N66)</f>
        <v>346968.25</v>
      </c>
      <c r="AE70" s="8820" t="str">
        <f>+IF(AD70="","","$ TCC / MW nominal capacity")</f>
        <v>$ TCC / MW nominal capacity</v>
      </c>
      <c r="AF70" s="8820"/>
      <c r="AG70" s="7546"/>
      <c r="AH70" s="5962"/>
      <c r="AI70" s="5959"/>
      <c r="AJ70" s="5959"/>
      <c r="AK70" s="5959"/>
      <c r="AL70" s="5959"/>
      <c r="AM70" s="5959"/>
    </row>
    <row r="71" spans="1:39" ht="14.1" customHeight="1">
      <c r="A71" s="5952"/>
      <c r="B71" s="8990"/>
      <c r="C71" s="8994" t="str">
        <f>+IF(B71="","",VLOOKUP(MATCH(B71,tid,0),tao,'12(id)'!$J$20,FALSE))</f>
        <v/>
      </c>
      <c r="D71" s="9008"/>
      <c r="E71" s="9047"/>
      <c r="F71" s="5952"/>
      <c r="G71" s="5959"/>
      <c r="H71" s="5952"/>
      <c r="I71" s="9051"/>
      <c r="J71" s="9055"/>
      <c r="K71" s="9013" t="e">
        <f>+IF(VLOOKUP(MATCH(B71,tid,0),tao,'12(id)'!$K$20,FALSE)="","",VLOOKUP(MATCH(B71,tid,0),tao,'12(id)'!$K$20,FALSE))</f>
        <v>#N/A</v>
      </c>
      <c r="L71" s="9013" t="e">
        <f>+IF(VLOOKUP(MATCH(B71,tid,0),tao,'12(id)'!$L$20,FALSE)="","",VLOOKUP(MATCH(B71,tid,0),tao,'12(id)'!$L$20,FALSE))</f>
        <v>#N/A</v>
      </c>
      <c r="M71" s="9038" t="e">
        <f>+IF(VLOOKUP(MATCH(B71,tid,0),tao,'12(id)'!$Q$20,FALSE)="","",VLOOKUP(MATCH(B71,tid,0),tao,'12(id)'!$Q$20,FALSE))</f>
        <v>#N/A</v>
      </c>
      <c r="N71" s="9042" t="e">
        <f>+IF(VLOOKUP(MATCH(B71,tid,0),tao,'12(id)'!$CT$20,FALSE)="","",VLOOKUP(MATCH(B71,tid,0),tao,'12(id)'!$CT$20,FALSE))</f>
        <v>#N/A</v>
      </c>
      <c r="O71" s="9004" t="e">
        <f>+IF(VLOOKUP(MATCH(B71,tid,0),tao,'12(id)'!$DE$20,FALSE)="","",ROUND(VLOOKUP(MATCH(B71,tid,0),tao,'12(id)'!$DE$20,FALSE),0)&amp;" yrs")</f>
        <v>#N/A</v>
      </c>
      <c r="P71" s="9001" t="e">
        <f>+IF(VLOOKUP(MATCH(B71,tid,0),tao,'12(id)'!$FR$20,FALSE)="","",VLOOKUP(MATCH(B71,tid,0),tao,'12(id)'!$FR$20,FALSE))</f>
        <v>#N/A</v>
      </c>
      <c r="Q71" s="9004" t="e">
        <f>+IF(VLOOKUP(MATCH(B71,tid,0),tao,'12(id)'!$DI$20,FALSE)="","",VLOOKUP(MATCH(B71,tid,0),tao,'12(id)'!$DI$20,FALSE))&amp;";  "&amp;IF(VLOOKUP(MATCH(B71,tid,0),tao,'12(id)'!$DQ$20,FALSE)="","",VLOOKUP(MATCH(B71,tid,0),tao,'12(id)'!$DQ$20,FALSE))</f>
        <v>#N/A</v>
      </c>
      <c r="R71" s="8999"/>
      <c r="S71" s="8819"/>
      <c r="T71" s="7590">
        <f>+IF(VLOOKUP(MATCH(E66,c_id,0),ca,'13(an)'!$HF$34,FALSE)="","",VLOOKUP(MATCH(E66,c_id,0),ca,'13(an)'!$HF$34,FALSE))</f>
        <v>190292</v>
      </c>
      <c r="U71" s="8896" t="str">
        <f>IF(T71="","","$ /ton "&amp;"NOx(R)")</f>
        <v>$ /ton NOx(R)</v>
      </c>
      <c r="V71" s="8896"/>
      <c r="W71" s="7591"/>
      <c r="X71" s="8819"/>
      <c r="Y71" s="7590">
        <f>+IF(VLOOKUP(MATCH(E66,c_id,0),ca,'13(an)'!$JE$34,FALSE)="","",VLOOKUP(MATCH(E66,c_id,0),ca,'13(an)'!$JE$34,FALSE))</f>
        <v>512561.25932697661</v>
      </c>
      <c r="Z71" s="8896" t="str">
        <f>IF(Y71="","","$ /ton "&amp;"NOx(R)")</f>
        <v>$ /ton NOx(R)</v>
      </c>
      <c r="AA71" s="8896"/>
      <c r="AB71" s="7592"/>
      <c r="AC71" s="8819"/>
      <c r="AD71" s="7590">
        <f>+IF(VLOOKUP(MATCH(E66,c_id,0),ca,'13(an)'!$LB$34,FALSE)="","",VLOOKUP(MATCH(E66,c_id,0),ca,'13(an)'!$LB$34,FALSE))</f>
        <v>535953.46080170071</v>
      </c>
      <c r="AE71" s="8896" t="str">
        <f>IF(AD71="","","$ /ton "&amp;"NOx(R)")</f>
        <v>$ /ton NOx(R)</v>
      </c>
      <c r="AF71" s="8896"/>
      <c r="AG71" s="7593"/>
      <c r="AH71" s="5962"/>
      <c r="AI71" s="5959"/>
      <c r="AJ71" s="5959"/>
      <c r="AK71" s="5959"/>
      <c r="AL71" s="5959"/>
      <c r="AM71" s="5959"/>
    </row>
    <row r="72" spans="1:39" ht="14.1" customHeight="1">
      <c r="A72" s="5952"/>
      <c r="B72" s="8990"/>
      <c r="C72" s="8994" t="str">
        <f>+IF(B72="","",VLOOKUP(MATCH(B72,tid,0),tao,'12(id)'!$J$20,FALSE))</f>
        <v/>
      </c>
      <c r="D72" s="9008"/>
      <c r="E72" s="9047" t="str">
        <f>+IF(B66="","",B66&amp;IF(ISERR(VALUE(1+R66)),"-01",IF(1+R66&lt;10,"-0"&amp;1+R66,"-"&amp;1+R66)))</f>
        <v>8303-01-02</v>
      </c>
      <c r="F72" s="5952"/>
      <c r="G72" s="5959"/>
      <c r="H72" s="5952"/>
      <c r="I72" s="9051"/>
      <c r="J72" s="9055"/>
      <c r="K72" s="9013" t="e">
        <f>+IF(VLOOKUP(MATCH(B72,tid,0),tao,'12(id)'!$K$20,FALSE)="","",VLOOKUP(MATCH(B72,tid,0),tao,'12(id)'!$K$20,FALSE))</f>
        <v>#N/A</v>
      </c>
      <c r="L72" s="9013" t="e">
        <f>+IF(VLOOKUP(MATCH(B72,tid,0),tao,'12(id)'!$L$20,FALSE)="","",VLOOKUP(MATCH(B72,tid,0),tao,'12(id)'!$L$20,FALSE))</f>
        <v>#N/A</v>
      </c>
      <c r="M72" s="9038" t="e">
        <f>+IF(VLOOKUP(MATCH(B72,tid,0),tao,'12(id)'!$Q$20,FALSE)="","",VLOOKUP(MATCH(B72,tid,0),tao,'12(id)'!$Q$20,FALSE))</f>
        <v>#N/A</v>
      </c>
      <c r="N72" s="9042" t="e">
        <f>+IF(VLOOKUP(MATCH(B72,tid,0),tao,'12(id)'!$CT$20,FALSE)="","",VLOOKUP(MATCH(B72,tid,0),tao,'12(id)'!$CT$20,FALSE))</f>
        <v>#N/A</v>
      </c>
      <c r="O72" s="9004" t="e">
        <f>+IF(VLOOKUP(MATCH(B72,tid,0),tao,'12(id)'!$DE$20,FALSE)="","",ROUND(VLOOKUP(MATCH(B72,tid,0),tao,'12(id)'!$DE$20,FALSE),0)&amp;" yrs")</f>
        <v>#N/A</v>
      </c>
      <c r="P72" s="9001" t="e">
        <f>+IF(VLOOKUP(MATCH(B72,tid,0),tao,'12(id)'!$FR$20,FALSE)="","",VLOOKUP(MATCH(B72,tid,0),tao,'12(id)'!$FR$20,FALSE))</f>
        <v>#N/A</v>
      </c>
      <c r="Q72" s="9004" t="e">
        <f>+IF(VLOOKUP(MATCH(B72,tid,0),tao,'12(id)'!$DI$20,FALSE)="","",VLOOKUP(MATCH(B72,tid,0),tao,'12(id)'!$DI$20,FALSE))&amp;";  "&amp;IF(VLOOKUP(MATCH(B72,tid,0),tao,'12(id)'!$DQ$20,FALSE)="","",VLOOKUP(MATCH(B72,tid,0),tao,'12(id)'!$DQ$20,FALSE))</f>
        <v>#N/A</v>
      </c>
      <c r="R72" s="9011">
        <f>+IF(B66="","",1+R66)</f>
        <v>2</v>
      </c>
      <c r="S72" s="8859"/>
      <c r="T72" s="8871" t="str">
        <f>+IF(VLOOKUP(MATCH(E72,c_id,0),ca,'13(an)'!$BD$34,FALSE)="","",VLOOKUP(MATCH(E72,c_id,0),ca,'13(an)'!$BD$34,FALSE))</f>
        <v>SCR + HPWI + CO Catalyst</v>
      </c>
      <c r="U72" s="8871"/>
      <c r="V72" s="8871"/>
      <c r="W72" s="7553"/>
      <c r="X72" s="8859"/>
      <c r="Y72" s="8871" t="str">
        <f>+IF(T72="","",T72)</f>
        <v>SCR + HPWI + CO Catalyst</v>
      </c>
      <c r="Z72" s="8871"/>
      <c r="AA72" s="8871"/>
      <c r="AB72" s="7554"/>
      <c r="AC72" s="8859"/>
      <c r="AD72" s="8874" t="str">
        <f>+IF(Y72="","",Y72)</f>
        <v>SCR + HPWI + CO Catalyst</v>
      </c>
      <c r="AE72" s="8874"/>
      <c r="AF72" s="8874"/>
      <c r="AG72" s="7555"/>
      <c r="AH72" s="5962"/>
      <c r="AI72" s="5959"/>
      <c r="AJ72" s="5959"/>
      <c r="AK72" s="5959"/>
      <c r="AL72" s="5959"/>
      <c r="AM72" s="5959"/>
    </row>
    <row r="73" spans="1:39" ht="12" customHeight="1">
      <c r="A73" s="5952"/>
      <c r="B73" s="8990"/>
      <c r="C73" s="8994" t="str">
        <f>+IF(B73="","",VLOOKUP(MATCH(B73,tid,0),tao,'12(id)'!$J$20,FALSE))</f>
        <v/>
      </c>
      <c r="D73" s="9008"/>
      <c r="E73" s="9047"/>
      <c r="F73" s="5952"/>
      <c r="G73" s="5959"/>
      <c r="H73" s="5952"/>
      <c r="I73" s="9051"/>
      <c r="J73" s="9055"/>
      <c r="K73" s="9013" t="e">
        <f>+IF(VLOOKUP(MATCH(B73,tid,0),tao,'12(id)'!$K$20,FALSE)="","",VLOOKUP(MATCH(B73,tid,0),tao,'12(id)'!$K$20,FALSE))</f>
        <v>#N/A</v>
      </c>
      <c r="L73" s="9013" t="e">
        <f>+IF(VLOOKUP(MATCH(B73,tid,0),tao,'12(id)'!$L$20,FALSE)="","",VLOOKUP(MATCH(B73,tid,0),tao,'12(id)'!$L$20,FALSE))</f>
        <v>#N/A</v>
      </c>
      <c r="M73" s="9038" t="e">
        <f>+IF(VLOOKUP(MATCH(B73,tid,0),tao,'12(id)'!$Q$20,FALSE)="","",VLOOKUP(MATCH(B73,tid,0),tao,'12(id)'!$Q$20,FALSE))</f>
        <v>#N/A</v>
      </c>
      <c r="N73" s="9042" t="e">
        <f>+IF(VLOOKUP(MATCH(B73,tid,0),tao,'12(id)'!$CT$20,FALSE)="","",VLOOKUP(MATCH(B73,tid,0),tao,'12(id)'!$CT$20,FALSE))</f>
        <v>#N/A</v>
      </c>
      <c r="O73" s="9004" t="e">
        <f>+IF(VLOOKUP(MATCH(B73,tid,0),tao,'12(id)'!$DE$20,FALSE)="","",ROUND(VLOOKUP(MATCH(B73,tid,0),tao,'12(id)'!$DE$20,FALSE),0)&amp;" yrs")</f>
        <v>#N/A</v>
      </c>
      <c r="P73" s="9001" t="e">
        <f>+IF(VLOOKUP(MATCH(B73,tid,0),tao,'12(id)'!$FR$20,FALSE)="","",VLOOKUP(MATCH(B73,tid,0),tao,'12(id)'!$FR$20,FALSE))</f>
        <v>#N/A</v>
      </c>
      <c r="Q73" s="9004" t="e">
        <f>+IF(VLOOKUP(MATCH(B73,tid,0),tao,'12(id)'!$DI$20,FALSE)="","",VLOOKUP(MATCH(B73,tid,0),tao,'12(id)'!$DI$20,FALSE))&amp;";  "&amp;IF(VLOOKUP(MATCH(B73,tid,0),tao,'12(id)'!$DQ$20,FALSE)="","",VLOOKUP(MATCH(B73,tid,0),tao,'12(id)'!$DQ$20,FALSE))</f>
        <v>#N/A</v>
      </c>
      <c r="R73" s="8906"/>
      <c r="S73" s="8818"/>
      <c r="T73" s="8976" t="str">
        <f>+IF(VLOOKUP(MATCH(E72,c_id,0),ca,'13(an)'!$BG$34,FALSE)="","","("&amp;VLOOKUP(MATCH(E72,c_id,0),ca,'13(an)'!$BG$34,FALSE)&amp;")")</f>
        <v>(Primary fuel Oil - Kerosene K1)</v>
      </c>
      <c r="U73" s="8977"/>
      <c r="V73" s="8977"/>
      <c r="W73" s="7582"/>
      <c r="X73" s="8818"/>
      <c r="Y73" s="8820" t="str">
        <f>+IF(T73="","",T73)</f>
        <v>(Primary fuel Oil - Kerosene K1)</v>
      </c>
      <c r="Z73" s="9206"/>
      <c r="AA73" s="9206"/>
      <c r="AB73" s="5962"/>
      <c r="AC73" s="8818"/>
      <c r="AD73" s="8820" t="str">
        <f>+IF(Y73="","",Y73)</f>
        <v>(Primary fuel Oil - Kerosene K1)</v>
      </c>
      <c r="AE73" s="9206"/>
      <c r="AF73" s="9206"/>
      <c r="AG73" s="7583"/>
      <c r="AH73" s="5962"/>
      <c r="AI73" s="5959"/>
      <c r="AJ73" s="5959"/>
      <c r="AK73" s="5959"/>
      <c r="AL73" s="5959"/>
      <c r="AM73" s="5959"/>
    </row>
    <row r="74" spans="1:39" ht="14.1" customHeight="1">
      <c r="A74" s="5952"/>
      <c r="B74" s="8990"/>
      <c r="C74" s="8994" t="str">
        <f>+IF(B74="","",VLOOKUP(MATCH(B74,tid,0),tao,'12(id)'!$J$20,FALSE))</f>
        <v/>
      </c>
      <c r="D74" s="9008"/>
      <c r="E74" s="9047"/>
      <c r="F74" s="5952"/>
      <c r="G74" s="5959"/>
      <c r="H74" s="5952"/>
      <c r="I74" s="9051"/>
      <c r="J74" s="9055"/>
      <c r="K74" s="9013" t="e">
        <f>+IF(VLOOKUP(MATCH(B74,tid,0),tao,'12(id)'!$K$20,FALSE)="","",VLOOKUP(MATCH(B74,tid,0),tao,'12(id)'!$K$20,FALSE))</f>
        <v>#N/A</v>
      </c>
      <c r="L74" s="9013" t="e">
        <f>+IF(VLOOKUP(MATCH(B74,tid,0),tao,'12(id)'!$L$20,FALSE)="","",VLOOKUP(MATCH(B74,tid,0),tao,'12(id)'!$L$20,FALSE))</f>
        <v>#N/A</v>
      </c>
      <c r="M74" s="9038" t="e">
        <f>+IF(VLOOKUP(MATCH(B74,tid,0),tao,'12(id)'!$Q$20,FALSE)="","",VLOOKUP(MATCH(B74,tid,0),tao,'12(id)'!$Q$20,FALSE))</f>
        <v>#N/A</v>
      </c>
      <c r="N74" s="9042" t="e">
        <f>+IF(VLOOKUP(MATCH(B74,tid,0),tao,'12(id)'!$CT$20,FALSE)="","",VLOOKUP(MATCH(B74,tid,0),tao,'12(id)'!$CT$20,FALSE))</f>
        <v>#N/A</v>
      </c>
      <c r="O74" s="9004" t="e">
        <f>+IF(VLOOKUP(MATCH(B74,tid,0),tao,'12(id)'!$DE$20,FALSE)="","",ROUND(VLOOKUP(MATCH(B74,tid,0),tao,'12(id)'!$DE$20,FALSE),0)&amp;" yrs")</f>
        <v>#N/A</v>
      </c>
      <c r="P74" s="9001" t="e">
        <f>+IF(VLOOKUP(MATCH(B74,tid,0),tao,'12(id)'!$FR$20,FALSE)="","",VLOOKUP(MATCH(B74,tid,0),tao,'12(id)'!$FR$20,FALSE))</f>
        <v>#N/A</v>
      </c>
      <c r="Q74" s="9004" t="e">
        <f>+IF(VLOOKUP(MATCH(B74,tid,0),tao,'12(id)'!$DI$20,FALSE)="","",VLOOKUP(MATCH(B74,tid,0),tao,'12(id)'!$DI$20,FALSE))&amp;";  "&amp;IF(VLOOKUP(MATCH(B74,tid,0),tao,'12(id)'!$DQ$20,FALSE)="","",VLOOKUP(MATCH(B74,tid,0),tao,'12(id)'!$DQ$20,FALSE))</f>
        <v>#N/A</v>
      </c>
      <c r="R74" s="8906"/>
      <c r="S74" s="8818"/>
      <c r="T74" s="7584" t="str">
        <f>+IF(E72="","",IF(VLOOKUP(MATCH(E72,c_id,0),ca,'13(an)'!$CC$34,FALSE)="",IF(VLOOKUP(MATCH(E72,c_id,0),ca,'13(an)'!$CD$34,FALSE)="",IF(VLOOKUP(MATCH(E72,c_id,0),ca,'13(an)'!$CE$34,FALSE)="","η ≈ N/A","η ≈ "&amp;ROUND(VLOOKUP(MATCH(E72,c_id,0),ca,'13(an)'!$CE$34,FALSE)*100,0)&amp;"%"),"η ≈ "&amp;ROUND(VLOOKUP(MATCH(E72,c_id,0),ca,'13(an)'!$CD$34,FALSE)*100,0)&amp;"%"),"η ≈ "&amp;ROUND(VLOOKUP(MATCH(E72,c_id,0),ca,'13(an)'!$CC$34,FALSE)*100,0)&amp;"%"))</f>
        <v>η ≈ 95%</v>
      </c>
      <c r="U74" s="7585" t="str">
        <f>+IF($U$110="ppmvd",IF(VLOOKUP(MATCH(E72,c_id,0),ca,'13(an)'!$BV$34,FALSE)="","",ROUND(VLOOKUP(MATCH(E72,c_id,0),ca,'13(an)'!$BV$34,FALSE),1)&amp;" ppmvd"),IF(VLOOKUP(MATCH(E72,c_id,0),ca,'13(an)'!$BU$34,FALSE)="","",IF(LEN(ROUND(VLOOKUP(MATCH(E72,c_id,0),ca,'13(an)'!$BU$34,FALSE),3))=3,ROUND(VLOOKUP(MATCH(E72,c_id,0),ca,'13(an)'!$BU$34,FALSE),3)&amp;"00 lb/MMBtu",IF(LEN(ROUND(VLOOKUP(MATCH(E72,c_id,0),ca,'13(an)'!$BU$34,FALSE),3))=4,ROUND(VLOOKUP(MATCH(E72,c_id,0),ca,'13(an)'!$BU$34,FALSE),3)&amp;"0 lb/MMBtu",ROUND(VLOOKUP(MATCH(E72,c_id,0),ca,'13(an)'!$BU$34,FALSE),3)&amp;" lb/MMBtu"))))</f>
        <v>10 ppmvd</v>
      </c>
      <c r="V74" s="7586">
        <f>+IF(E72="","",IF(VLOOKUP(MATCH(E72,c_id,0),ca,'13(an)'!$CB$34,FALSE)="","NOx(R) = N/A",ROUND(VLOOKUP(MATCH(E72,c_id,0),ca,'13(an)'!$CB$34,FALSE),1)))</f>
        <v>4.3</v>
      </c>
      <c r="W74" s="7534"/>
      <c r="X74" s="8818"/>
      <c r="Y74" s="7587" t="str">
        <f>+IF(E72="","",IF(VLOOKUP(MATCH(E72,c_id,0),ca,'13(an)'!$CM$34,FALSE)="",IF(VLOOKUP(MATCH(E72,c_id,0),ca,'13(an)'!$CN$34,FALSE)="",IF(VLOOKUP(MATCH(E72,c_id,0),ca,'13(an)'!$CO$34,FALSE)="","η ≈ N/A","η ≈ "&amp;ROUND(VLOOKUP(MATCH(E72,c_id,0),ca,'13(an)'!$CO$34,FALSE)*100,0)&amp;"%"),"η ≈ "&amp;ROUND(VLOOKUP(MATCH(E72,c_id,0),ca,'13(an)'!$CN$34,FALSE)*100,0)&amp;"%"),"η ≈ "&amp;ROUND(VLOOKUP(MATCH(E72,c_id,0),ca,'13(an)'!$CM$34,FALSE)*100,0)&amp;"%"))</f>
        <v>η ≈ 95%</v>
      </c>
      <c r="Z74" s="7588" t="str">
        <f>+IF($Z$110="ppmvd",IF(VLOOKUP(MATCH(E72,c_id,0),ca,'13(an)'!$CJ$34,FALSE)="","",ROUND(VLOOKUP(MATCH(E72,c_id,0),ca,'13(an)'!$CJ$34,FALSE),1)&amp;" ppmvd"),IF(VLOOKUP(MATCH(E72,c_id,0),ca,'13(an)'!$CI$34,FALSE)="","",IF(LEN(ROUND(VLOOKUP(MATCH(E72,c_id,0),ca,'13(an)'!$CI$34,FALSE),3))=3,ROUND(VLOOKUP(MATCH(E72,c_id,0),ca,'13(an)'!$CI$34,FALSE),3)&amp;"00 lb/MMBtu",IF(LEN(ROUND(VLOOKUP(MATCH(E72,c_id,0),ca,'13(an)'!$CI$34,FALSE),3))=4,ROUND(VLOOKUP(MATCH(E72,c_id,0),ca,'13(an)'!$CI$34,FALSE),3)&amp;"0 lb/MMBtu",ROUND(VLOOKUP(MATCH(E72,c_id,0),ca,'13(an)'!$CI$34,FALSE),3)&amp;" lb/MMBtu"))))</f>
        <v>0.040 lb/MMBtu</v>
      </c>
      <c r="AA74" s="7589">
        <f>+IF(E72="","",IF(VLOOKUP(MATCH(E72,c_id,0),ca,'13(an)'!$CL$34,FALSE)="","NOx(R) = N/A",ROUND(VLOOKUP(MATCH(E72,c_id,0),ca,'13(an)'!$CL$34,FALSE),1)))</f>
        <v>1.6</v>
      </c>
      <c r="AB74" s="7535"/>
      <c r="AC74" s="8818"/>
      <c r="AD74" s="7587" t="str">
        <f>+IF(E72="","",IF(VLOOKUP(MATCH(E72,c_id,0),ca,'13(an)'!$CM$34,FALSE)="",IF(VLOOKUP(MATCH(E72,c_id,0),ca,'13(an)'!$CN$34,FALSE)="",IF(VLOOKUP(MATCH(E72,c_id,0),ca,'13(an)'!$CO$34,FALSE)="","η ≈ N/A","η ≈ "&amp;ROUND(VLOOKUP(MATCH(E72,c_id,0),ca,'13(an)'!$CO$34,FALSE)*100,0)&amp;"%"),"η ≈ "&amp;ROUND(VLOOKUP(MATCH(E72,c_id,0),ca,'13(an)'!$CN$34,FALSE)*100,0)&amp;"%"),"η ≈ "&amp;ROUND(VLOOKUP(MATCH(E72,c_id,0),ca,'13(an)'!$CM$34,FALSE)*100,0)&amp;"%"))</f>
        <v>η ≈ 95%</v>
      </c>
      <c r="AE74" s="7588" t="str">
        <f>+IF($AE$110="ppmvd",IF(VLOOKUP(MATCH(E72,c_id,0),ca,'13(an)'!$CJ$34,FALSE)="","",ROUND(VLOOKUP(MATCH(E72,c_id,0),ca,'13(an)'!$CJ$34,FALSE),1)&amp;" ppmvd"),IF(VLOOKUP(MATCH(E72,c_id,0),ca,'13(an)'!$CI$34,FALSE)="","",IF(LEN(ROUND(VLOOKUP(MATCH(E72,c_id,0),ca,'13(an)'!$CI$34,FALSE),3))=3,ROUND(VLOOKUP(MATCH(E72,c_id,0),ca,'13(an)'!$CI$34,FALSE),3)&amp;"00 lb/MMBtu",IF(LEN(ROUND(VLOOKUP(MATCH(E72,c_id,0),ca,'13(an)'!$CI$34,FALSE),3))=4,ROUND(VLOOKUP(MATCH(E72,c_id,0),ca,'13(an)'!$CI$34,FALSE),3)&amp;"0 lb/MMBtu",ROUND(VLOOKUP(MATCH(E72,c_id,0),ca,'13(an)'!$CI$34,FALSE),3)&amp;" lb/MMBtu"))))</f>
        <v>0.040 lb/MMBtu</v>
      </c>
      <c r="AF74" s="7589">
        <f>+IF(E72="","",IF(VLOOKUP(MATCH(E72,c_id,0),ca,'13(an)'!$CL$34,FALSE)="","NOx(R) = N/A",ROUND(VLOOKUP(MATCH(E72,c_id,0),ca,'13(an)'!$CL$34,FALSE),1)))</f>
        <v>1.6</v>
      </c>
      <c r="AG74" s="7536"/>
      <c r="AH74" s="5962"/>
      <c r="AI74" s="5959"/>
      <c r="AJ74" s="5959"/>
      <c r="AK74" s="5959"/>
      <c r="AL74" s="5959"/>
      <c r="AM74" s="5959"/>
    </row>
    <row r="75" spans="1:39" ht="14.1" customHeight="1">
      <c r="A75" s="5952"/>
      <c r="B75" s="8990"/>
      <c r="C75" s="8994" t="str">
        <f>+IF(B75="","",VLOOKUP(MATCH(B75,tid,0),tao,'12(id)'!$J$20,FALSE))</f>
        <v/>
      </c>
      <c r="D75" s="9008"/>
      <c r="E75" s="9047"/>
      <c r="F75" s="5952"/>
      <c r="G75" s="5959"/>
      <c r="H75" s="5952"/>
      <c r="I75" s="9051"/>
      <c r="J75" s="9055"/>
      <c r="K75" s="9013" t="e">
        <f>+IF(VLOOKUP(MATCH(B75,tid,0),tao,'12(id)'!$K$20,FALSE)="","",VLOOKUP(MATCH(B75,tid,0),tao,'12(id)'!$K$20,FALSE))</f>
        <v>#N/A</v>
      </c>
      <c r="L75" s="9013" t="e">
        <f>+IF(VLOOKUP(MATCH(B75,tid,0),tao,'12(id)'!$L$20,FALSE)="","",VLOOKUP(MATCH(B75,tid,0),tao,'12(id)'!$L$20,FALSE))</f>
        <v>#N/A</v>
      </c>
      <c r="M75" s="9038" t="e">
        <f>+IF(VLOOKUP(MATCH(B75,tid,0),tao,'12(id)'!$Q$20,FALSE)="","",VLOOKUP(MATCH(B75,tid,0),tao,'12(id)'!$Q$20,FALSE))</f>
        <v>#N/A</v>
      </c>
      <c r="N75" s="9042" t="e">
        <f>+IF(VLOOKUP(MATCH(B75,tid,0),tao,'12(id)'!$CT$20,FALSE)="","",VLOOKUP(MATCH(B75,tid,0),tao,'12(id)'!$CT$20,FALSE))</f>
        <v>#N/A</v>
      </c>
      <c r="O75" s="9004" t="e">
        <f>+IF(VLOOKUP(MATCH(B75,tid,0),tao,'12(id)'!$DE$20,FALSE)="","",ROUND(VLOOKUP(MATCH(B75,tid,0),tao,'12(id)'!$DE$20,FALSE),0)&amp;" yrs")</f>
        <v>#N/A</v>
      </c>
      <c r="P75" s="9001" t="e">
        <f>+IF(VLOOKUP(MATCH(B75,tid,0),tao,'12(id)'!$FR$20,FALSE)="","",VLOOKUP(MATCH(B75,tid,0),tao,'12(id)'!$FR$20,FALSE))</f>
        <v>#N/A</v>
      </c>
      <c r="Q75" s="9004" t="e">
        <f>+IF(VLOOKUP(MATCH(B75,tid,0),tao,'12(id)'!$DI$20,FALSE)="","",VLOOKUP(MATCH(B75,tid,0),tao,'12(id)'!$DI$20,FALSE))&amp;";  "&amp;IF(VLOOKUP(MATCH(B75,tid,0),tao,'12(id)'!$DQ$20,FALSE)="","",VLOOKUP(MATCH(B75,tid,0),tao,'12(id)'!$DQ$20,FALSE))</f>
        <v>#N/A</v>
      </c>
      <c r="R75" s="8906"/>
      <c r="S75" s="8818"/>
      <c r="T75" s="7537">
        <f>+IF(VLOOKUP(MATCH(E72,c_id,0),ca,'13(an)'!$GF$34,FALSE)="","",VLOOKUP(MATCH(E72,c_id,0),ca,'13(an)'!$GF$34,FALSE))</f>
        <v>3630000</v>
      </c>
      <c r="U75" s="7538" t="str">
        <f>+IF(T75="","","$ TCC/unit")</f>
        <v>$ TCC/unit</v>
      </c>
      <c r="V75" s="7539">
        <f>+IF(VLOOKUP(MATCH(E72,c_id,0),ca,'13(an)'!$HA$34,FALSE)="","",VLOOKUP(MATCH(E72,c_id,0),ca,'13(an)'!$HA$34,FALSE))</f>
        <v>342646</v>
      </c>
      <c r="W75" s="7540"/>
      <c r="X75" s="8818"/>
      <c r="Y75" s="7537">
        <f>+IF(VLOOKUP(MATCH(E72,c_id,0),ca,'13(an)'!$IA$34,FALSE)="","",VLOOKUP(MATCH(E72,c_id,0),ca,'13(an)'!$IA$34,FALSE))</f>
        <v>3630000</v>
      </c>
      <c r="Z75" s="7538" t="str">
        <f>+IF(Y75="","","$ TCC/unit")</f>
        <v>$ TCC/unit</v>
      </c>
      <c r="AA75" s="7539">
        <f>+IF(Y75="","",$AA$14*Y75)</f>
        <v>342646.3204480182</v>
      </c>
      <c r="AB75" s="7541"/>
      <c r="AC75" s="8818"/>
      <c r="AD75" s="7537">
        <f>+IF(VLOOKUP(MATCH(E72,c_id,0),ca,'13(an)'!$JS$34,FALSE)="","",VLOOKUP(MATCH(E72,c_id,0),ca,'13(an)'!$JS$34,FALSE))</f>
        <v>4439365</v>
      </c>
      <c r="AE75" s="7538" t="str">
        <f>+IF(AD75="","","$ TCC/unit")</f>
        <v>$ TCC/unit</v>
      </c>
      <c r="AF75" s="7539">
        <f>+IF(AD75="","",$AF$14*AD75)</f>
        <v>380944.20678132022</v>
      </c>
      <c r="AG75" s="7542"/>
      <c r="AH75" s="5962"/>
      <c r="AI75" s="5959"/>
      <c r="AJ75" s="5959"/>
      <c r="AK75" s="5959"/>
      <c r="AL75" s="5959"/>
      <c r="AM75" s="5959"/>
    </row>
    <row r="76" spans="1:39" ht="14.1" customHeight="1">
      <c r="A76" s="5952"/>
      <c r="B76" s="8990"/>
      <c r="C76" s="8994" t="str">
        <f>+IF(B76="","",VLOOKUP(MATCH(B76,tid,0),tao,'12(id)'!$J$20,FALSE))</f>
        <v/>
      </c>
      <c r="D76" s="9008"/>
      <c r="E76" s="9047"/>
      <c r="F76" s="5952"/>
      <c r="G76" s="5959"/>
      <c r="H76" s="5952"/>
      <c r="I76" s="9051"/>
      <c r="J76" s="9055"/>
      <c r="K76" s="9013" t="e">
        <f>+IF(VLOOKUP(MATCH(B76,tid,0),tao,'12(id)'!$K$20,FALSE)="","",VLOOKUP(MATCH(B76,tid,0),tao,'12(id)'!$K$20,FALSE))</f>
        <v>#N/A</v>
      </c>
      <c r="L76" s="9013" t="e">
        <f>+IF(VLOOKUP(MATCH(B76,tid,0),tao,'12(id)'!$L$20,FALSE)="","",VLOOKUP(MATCH(B76,tid,0),tao,'12(id)'!$L$20,FALSE))</f>
        <v>#N/A</v>
      </c>
      <c r="M76" s="9038" t="e">
        <f>+IF(VLOOKUP(MATCH(B76,tid,0),tao,'12(id)'!$Q$20,FALSE)="","",VLOOKUP(MATCH(B76,tid,0),tao,'12(id)'!$Q$20,FALSE))</f>
        <v>#N/A</v>
      </c>
      <c r="N76" s="9042" t="e">
        <f>+IF(VLOOKUP(MATCH(B76,tid,0),tao,'12(id)'!$CT$20,FALSE)="","",VLOOKUP(MATCH(B76,tid,0),tao,'12(id)'!$CT$20,FALSE))</f>
        <v>#N/A</v>
      </c>
      <c r="O76" s="9004" t="e">
        <f>+IF(VLOOKUP(MATCH(B76,tid,0),tao,'12(id)'!$DE$20,FALSE)="","",ROUND(VLOOKUP(MATCH(B76,tid,0),tao,'12(id)'!$DE$20,FALSE),0)&amp;" yrs")</f>
        <v>#N/A</v>
      </c>
      <c r="P76" s="9001" t="e">
        <f>+IF(VLOOKUP(MATCH(B76,tid,0),tao,'12(id)'!$FR$20,FALSE)="","",VLOOKUP(MATCH(B76,tid,0),tao,'12(id)'!$FR$20,FALSE))</f>
        <v>#N/A</v>
      </c>
      <c r="Q76" s="9004" t="e">
        <f>+IF(VLOOKUP(MATCH(B76,tid,0),tao,'12(id)'!$DI$20,FALSE)="","",VLOOKUP(MATCH(B76,tid,0),tao,'12(id)'!$DI$20,FALSE))&amp;";  "&amp;IF(VLOOKUP(MATCH(B76,tid,0),tao,'12(id)'!$DQ$20,FALSE)="","",VLOOKUP(MATCH(B76,tid,0),tao,'12(id)'!$DQ$20,FALSE))</f>
        <v>#N/A</v>
      </c>
      <c r="R76" s="8906"/>
      <c r="S76" s="8818"/>
      <c r="T76" s="7543">
        <f>+IF(OR(T75="",N66=""),"",T75/N66)</f>
        <v>181500</v>
      </c>
      <c r="U76" s="8820" t="str">
        <f>+IF(T76="","","$ TCC / MW nominal capacity")</f>
        <v>$ TCC / MW nominal capacity</v>
      </c>
      <c r="V76" s="8820"/>
      <c r="W76" s="7544"/>
      <c r="X76" s="8818"/>
      <c r="Y76" s="7543">
        <f>+IF(OR(Y75="",N66=""),"",Y75/N66)</f>
        <v>181500</v>
      </c>
      <c r="Z76" s="8820" t="str">
        <f>+IF(Y76="","","$ TCC / MW nominal capacity")</f>
        <v>$ TCC / MW nominal capacity</v>
      </c>
      <c r="AA76" s="8820"/>
      <c r="AB76" s="7545"/>
      <c r="AC76" s="8818"/>
      <c r="AD76" s="7543">
        <f>+IF(OR(AD75="",N66=""),"",AD75/N66)</f>
        <v>221968.25</v>
      </c>
      <c r="AE76" s="8820" t="str">
        <f>+IF(AD76="","","$ TCC / MW nominal capacity")</f>
        <v>$ TCC / MW nominal capacity</v>
      </c>
      <c r="AF76" s="8820"/>
      <c r="AG76" s="7546"/>
      <c r="AH76" s="5962"/>
      <c r="AI76" s="5959"/>
      <c r="AJ76" s="5959"/>
      <c r="AK76" s="5959"/>
      <c r="AL76" s="5959"/>
      <c r="AM76" s="5959"/>
    </row>
    <row r="77" spans="1:39" ht="14.1" customHeight="1">
      <c r="A77" s="5952"/>
      <c r="B77" s="8990"/>
      <c r="C77" s="8994" t="str">
        <f>+IF(B77="","",VLOOKUP(MATCH(B77,tid,0),tao,'12(id)'!$J$20,FALSE))</f>
        <v/>
      </c>
      <c r="D77" s="9008"/>
      <c r="E77" s="9047"/>
      <c r="F77" s="5952"/>
      <c r="G77" s="5959"/>
      <c r="H77" s="5952"/>
      <c r="I77" s="9051"/>
      <c r="J77" s="9055"/>
      <c r="K77" s="9013" t="e">
        <f>+IF(VLOOKUP(MATCH(B77,tid,0),tao,'12(id)'!$K$20,FALSE)="","",VLOOKUP(MATCH(B77,tid,0),tao,'12(id)'!$K$20,FALSE))</f>
        <v>#N/A</v>
      </c>
      <c r="L77" s="9013" t="e">
        <f>+IF(VLOOKUP(MATCH(B77,tid,0),tao,'12(id)'!$L$20,FALSE)="","",VLOOKUP(MATCH(B77,tid,0),tao,'12(id)'!$L$20,FALSE))</f>
        <v>#N/A</v>
      </c>
      <c r="M77" s="9038" t="e">
        <f>+IF(VLOOKUP(MATCH(B77,tid,0),tao,'12(id)'!$Q$20,FALSE)="","",VLOOKUP(MATCH(B77,tid,0),tao,'12(id)'!$Q$20,FALSE))</f>
        <v>#N/A</v>
      </c>
      <c r="N77" s="9042" t="e">
        <f>+IF(VLOOKUP(MATCH(B77,tid,0),tao,'12(id)'!$CT$20,FALSE)="","",VLOOKUP(MATCH(B77,tid,0),tao,'12(id)'!$CT$20,FALSE))</f>
        <v>#N/A</v>
      </c>
      <c r="O77" s="9004" t="e">
        <f>+IF(VLOOKUP(MATCH(B77,tid,0),tao,'12(id)'!$DE$20,FALSE)="","",ROUND(VLOOKUP(MATCH(B77,tid,0),tao,'12(id)'!$DE$20,FALSE),0)&amp;" yrs")</f>
        <v>#N/A</v>
      </c>
      <c r="P77" s="9001" t="e">
        <f>+IF(VLOOKUP(MATCH(B77,tid,0),tao,'12(id)'!$FR$20,FALSE)="","",VLOOKUP(MATCH(B77,tid,0),tao,'12(id)'!$FR$20,FALSE))</f>
        <v>#N/A</v>
      </c>
      <c r="Q77" s="9004" t="e">
        <f>+IF(VLOOKUP(MATCH(B77,tid,0),tao,'12(id)'!$DI$20,FALSE)="","",VLOOKUP(MATCH(B77,tid,0),tao,'12(id)'!$DI$20,FALSE))&amp;";  "&amp;IF(VLOOKUP(MATCH(B77,tid,0),tao,'12(id)'!$DQ$20,FALSE)="","",VLOOKUP(MATCH(B77,tid,0),tao,'12(id)'!$DQ$20,FALSE))</f>
        <v>#N/A</v>
      </c>
      <c r="R77" s="8981"/>
      <c r="S77" s="8819"/>
      <c r="T77" s="7590">
        <f>+IF(VLOOKUP(MATCH(E72,c_id,0),ca,'13(an)'!$HF$34,FALSE)="","",VLOOKUP(MATCH(E72,c_id,0),ca,'13(an)'!$HF$34,FALSE))</f>
        <v>112635</v>
      </c>
      <c r="U77" s="8896" t="str">
        <f>IF(T77="","","$ /ton "&amp;"NOx(R)")</f>
        <v>$ /ton NOx(R)</v>
      </c>
      <c r="V77" s="8896"/>
      <c r="W77" s="7591"/>
      <c r="X77" s="8819"/>
      <c r="Y77" s="7590">
        <f>+IF(VLOOKUP(MATCH(E72,c_id,0),ca,'13(an)'!$JE$34,FALSE)="","",VLOOKUP(MATCH(E72,c_id,0),ca,'13(an)'!$JE$34,FALSE))</f>
        <v>303208.19597859652</v>
      </c>
      <c r="Z77" s="8896" t="str">
        <f>IF(Y77="","","$ /ton "&amp;"NOx(R)")</f>
        <v>$ /ton NOx(R)</v>
      </c>
      <c r="AA77" s="8896"/>
      <c r="AB77" s="7592"/>
      <c r="AC77" s="8819"/>
      <c r="AD77" s="7590">
        <f>+IF(VLOOKUP(MATCH(E72,c_id,0),ca,'13(an)'!$LB$34,FALSE)="","",VLOOKUP(MATCH(E72,c_id,0),ca,'13(an)'!$LB$34,FALSE))</f>
        <v>355416.94152036542</v>
      </c>
      <c r="AE77" s="8896" t="str">
        <f>IF(AD77="","","$ /ton "&amp;"NOx(R)")</f>
        <v>$ /ton NOx(R)</v>
      </c>
      <c r="AF77" s="8896"/>
      <c r="AG77" s="7593"/>
      <c r="AH77" s="5962"/>
      <c r="AI77" s="5959"/>
      <c r="AJ77" s="5959"/>
      <c r="AK77" s="5959"/>
      <c r="AL77" s="5959"/>
      <c r="AM77" s="5959"/>
    </row>
    <row r="78" spans="1:39" ht="14.1" customHeight="1">
      <c r="A78" s="5952"/>
      <c r="B78" s="8990"/>
      <c r="C78" s="8994" t="str">
        <f>+IF(B78="","",VLOOKUP(MATCH(B78,tid,0),tao,'12(id)'!$J$20,FALSE))</f>
        <v/>
      </c>
      <c r="D78" s="9008"/>
      <c r="E78" s="9024" t="str">
        <f>+IF(B66="","",B66&amp;IF(ISERR(VALUE(1+R72)),"-01",IF(1+R72&lt;10,"-0"&amp;1+R72,"-"&amp;1+R72)))</f>
        <v>8303-01-03</v>
      </c>
      <c r="F78" s="5952"/>
      <c r="G78" s="5959"/>
      <c r="H78" s="5952"/>
      <c r="I78" s="9051"/>
      <c r="J78" s="9055"/>
      <c r="K78" s="9013" t="e">
        <f>+IF(VLOOKUP(MATCH(B78,tid,0),tao,'12(id)'!$K$20,FALSE)="","",VLOOKUP(MATCH(B78,tid,0),tao,'12(id)'!$K$20,FALSE))</f>
        <v>#N/A</v>
      </c>
      <c r="L78" s="9013" t="e">
        <f>+IF(VLOOKUP(MATCH(B78,tid,0),tao,'12(id)'!$L$20,FALSE)="","",VLOOKUP(MATCH(B78,tid,0),tao,'12(id)'!$L$20,FALSE))</f>
        <v>#N/A</v>
      </c>
      <c r="M78" s="9038" t="e">
        <f>+IF(VLOOKUP(MATCH(B78,tid,0),tao,'12(id)'!$Q$20,FALSE)="","",VLOOKUP(MATCH(B78,tid,0),tao,'12(id)'!$Q$20,FALSE))</f>
        <v>#N/A</v>
      </c>
      <c r="N78" s="9042" t="e">
        <f>+IF(VLOOKUP(MATCH(B78,tid,0),tao,'12(id)'!$CT$20,FALSE)="","",VLOOKUP(MATCH(B78,tid,0),tao,'12(id)'!$CT$20,FALSE))</f>
        <v>#N/A</v>
      </c>
      <c r="O78" s="9004" t="e">
        <f>+IF(VLOOKUP(MATCH(B78,tid,0),tao,'12(id)'!$DE$20,FALSE)="","",ROUND(VLOOKUP(MATCH(B78,tid,0),tao,'12(id)'!$DE$20,FALSE),0)&amp;" yrs")</f>
        <v>#N/A</v>
      </c>
      <c r="P78" s="9001" t="e">
        <f>+IF(VLOOKUP(MATCH(B78,tid,0),tao,'12(id)'!$FR$20,FALSE)="","",VLOOKUP(MATCH(B78,tid,0),tao,'12(id)'!$FR$20,FALSE))</f>
        <v>#N/A</v>
      </c>
      <c r="Q78" s="9004" t="e">
        <f>+IF(VLOOKUP(MATCH(B78,tid,0),tao,'12(id)'!$DI$20,FALSE)="","",VLOOKUP(MATCH(B78,tid,0),tao,'12(id)'!$DI$20,FALSE))&amp;";  "&amp;IF(VLOOKUP(MATCH(B78,tid,0),tao,'12(id)'!$DQ$20,FALSE)="","",VLOOKUP(MATCH(B78,tid,0),tao,'12(id)'!$DQ$20,FALSE))</f>
        <v>#N/A</v>
      </c>
      <c r="R78" s="9011">
        <f>+IF(B66="","",1+R72)</f>
        <v>3</v>
      </c>
      <c r="S78" s="8859"/>
      <c r="T78" s="8871" t="str">
        <f>+IF(VLOOKUP(MATCH(E78,c_id,0),ca,'13(an)'!$BD$34,FALSE)="","",VLOOKUP(MATCH(E78,c_id,0),ca,'13(an)'!$BD$34,FALSE))</f>
        <v>Selective Catalytic Reduction (SCR)</v>
      </c>
      <c r="U78" s="8871"/>
      <c r="V78" s="8871"/>
      <c r="W78" s="7553"/>
      <c r="X78" s="8859"/>
      <c r="Y78" s="8871" t="str">
        <f>+IF(T78="","",T78)</f>
        <v>Selective Catalytic Reduction (SCR)</v>
      </c>
      <c r="Z78" s="8871"/>
      <c r="AA78" s="8871"/>
      <c r="AB78" s="7554"/>
      <c r="AC78" s="8859"/>
      <c r="AD78" s="8874" t="str">
        <f>+IF(Y78="","",Y78)</f>
        <v>Selective Catalytic Reduction (SCR)</v>
      </c>
      <c r="AE78" s="8874"/>
      <c r="AF78" s="8874"/>
      <c r="AG78" s="7555"/>
      <c r="AH78" s="5962"/>
      <c r="AI78" s="5959"/>
      <c r="AJ78" s="5959"/>
      <c r="AK78" s="5959"/>
      <c r="AL78" s="5959"/>
      <c r="AM78" s="5959"/>
    </row>
    <row r="79" spans="1:39" ht="12" customHeight="1">
      <c r="A79" s="5952"/>
      <c r="B79" s="8990"/>
      <c r="C79" s="8994" t="str">
        <f>+IF(B79="","",VLOOKUP(MATCH(B79,tid,0),tao,'12(id)'!$J$20,FALSE))</f>
        <v/>
      </c>
      <c r="D79" s="9008"/>
      <c r="E79" s="9024"/>
      <c r="F79" s="5952"/>
      <c r="G79" s="5959"/>
      <c r="H79" s="5952"/>
      <c r="I79" s="9051"/>
      <c r="J79" s="9055"/>
      <c r="K79" s="9013" t="e">
        <f>+IF(VLOOKUP(MATCH(B79,tid,0),tao,'12(id)'!$K$20,FALSE)="","",VLOOKUP(MATCH(B79,tid,0),tao,'12(id)'!$K$20,FALSE))</f>
        <v>#N/A</v>
      </c>
      <c r="L79" s="9013" t="e">
        <f>+IF(VLOOKUP(MATCH(B79,tid,0),tao,'12(id)'!$L$20,FALSE)="","",VLOOKUP(MATCH(B79,tid,0),tao,'12(id)'!$L$20,FALSE))</f>
        <v>#N/A</v>
      </c>
      <c r="M79" s="9038" t="e">
        <f>+IF(VLOOKUP(MATCH(B79,tid,0),tao,'12(id)'!$Q$20,FALSE)="","",VLOOKUP(MATCH(B79,tid,0),tao,'12(id)'!$Q$20,FALSE))</f>
        <v>#N/A</v>
      </c>
      <c r="N79" s="9042" t="e">
        <f>+IF(VLOOKUP(MATCH(B79,tid,0),tao,'12(id)'!$CT$20,FALSE)="","",VLOOKUP(MATCH(B79,tid,0),tao,'12(id)'!$CT$20,FALSE))</f>
        <v>#N/A</v>
      </c>
      <c r="O79" s="9004" t="e">
        <f>+IF(VLOOKUP(MATCH(B79,tid,0),tao,'12(id)'!$DE$20,FALSE)="","",ROUND(VLOOKUP(MATCH(B79,tid,0),tao,'12(id)'!$DE$20,FALSE),0)&amp;" yrs")</f>
        <v>#N/A</v>
      </c>
      <c r="P79" s="9001" t="e">
        <f>+IF(VLOOKUP(MATCH(B79,tid,0),tao,'12(id)'!$FR$20,FALSE)="","",VLOOKUP(MATCH(B79,tid,0),tao,'12(id)'!$FR$20,FALSE))</f>
        <v>#N/A</v>
      </c>
      <c r="Q79" s="9004" t="e">
        <f>+IF(VLOOKUP(MATCH(B79,tid,0),tao,'12(id)'!$DI$20,FALSE)="","",VLOOKUP(MATCH(B79,tid,0),tao,'12(id)'!$DI$20,FALSE))&amp;";  "&amp;IF(VLOOKUP(MATCH(B79,tid,0),tao,'12(id)'!$DQ$20,FALSE)="","",VLOOKUP(MATCH(B79,tid,0),tao,'12(id)'!$DQ$20,FALSE))</f>
        <v>#N/A</v>
      </c>
      <c r="R79" s="8906"/>
      <c r="S79" s="8818"/>
      <c r="T79" s="8976" t="str">
        <f>+IF(VLOOKUP(MATCH(E78,c_id,0),ca,'13(an)'!$BG$34,FALSE)="","","("&amp;VLOOKUP(MATCH(E78,c_id,0),ca,'13(an)'!$BG$34,FALSE)&amp;")")</f>
        <v>(Primary fuel Oil - Kerosene K1)</v>
      </c>
      <c r="U79" s="8977"/>
      <c r="V79" s="8977"/>
      <c r="W79" s="7582"/>
      <c r="X79" s="8818"/>
      <c r="Y79" s="8820" t="str">
        <f>+IF(T79="","",T79)</f>
        <v>(Primary fuel Oil - Kerosene K1)</v>
      </c>
      <c r="Z79" s="9206"/>
      <c r="AA79" s="9206"/>
      <c r="AB79" s="5962"/>
      <c r="AC79" s="8818"/>
      <c r="AD79" s="8820" t="str">
        <f>+IF(Y79="","",Y79)</f>
        <v>(Primary fuel Oil - Kerosene K1)</v>
      </c>
      <c r="AE79" s="9206"/>
      <c r="AF79" s="9206"/>
      <c r="AG79" s="7583"/>
      <c r="AH79" s="5962"/>
      <c r="AI79" s="5959"/>
      <c r="AJ79" s="5959"/>
      <c r="AK79" s="5959"/>
      <c r="AL79" s="5959"/>
      <c r="AM79" s="5959"/>
    </row>
    <row r="80" spans="1:39" ht="14.1" customHeight="1">
      <c r="A80" s="5952"/>
      <c r="B80" s="8990"/>
      <c r="C80" s="8994" t="str">
        <f>+IF(B80="","",VLOOKUP(MATCH(B80,tid,0),tao,'12(id)'!$J$20,FALSE))</f>
        <v/>
      </c>
      <c r="D80" s="9008"/>
      <c r="E80" s="9024"/>
      <c r="F80" s="5952"/>
      <c r="G80" s="5959"/>
      <c r="H80" s="5952"/>
      <c r="I80" s="9051"/>
      <c r="J80" s="9055"/>
      <c r="K80" s="9013" t="e">
        <f>+IF(VLOOKUP(MATCH(B80,tid,0),tao,'12(id)'!$K$20,FALSE)="","",VLOOKUP(MATCH(B80,tid,0),tao,'12(id)'!$K$20,FALSE))</f>
        <v>#N/A</v>
      </c>
      <c r="L80" s="9013" t="e">
        <f>+IF(VLOOKUP(MATCH(B80,tid,0),tao,'12(id)'!$L$20,FALSE)="","",VLOOKUP(MATCH(B80,tid,0),tao,'12(id)'!$L$20,FALSE))</f>
        <v>#N/A</v>
      </c>
      <c r="M80" s="9038" t="e">
        <f>+IF(VLOOKUP(MATCH(B80,tid,0),tao,'12(id)'!$Q$20,FALSE)="","",VLOOKUP(MATCH(B80,tid,0),tao,'12(id)'!$Q$20,FALSE))</f>
        <v>#N/A</v>
      </c>
      <c r="N80" s="9042" t="e">
        <f>+IF(VLOOKUP(MATCH(B80,tid,0),tao,'12(id)'!$CT$20,FALSE)="","",VLOOKUP(MATCH(B80,tid,0),tao,'12(id)'!$CT$20,FALSE))</f>
        <v>#N/A</v>
      </c>
      <c r="O80" s="9004" t="e">
        <f>+IF(VLOOKUP(MATCH(B80,tid,0),tao,'12(id)'!$DE$20,FALSE)="","",ROUND(VLOOKUP(MATCH(B80,tid,0),tao,'12(id)'!$DE$20,FALSE),0)&amp;" yrs")</f>
        <v>#N/A</v>
      </c>
      <c r="P80" s="9001" t="e">
        <f>+IF(VLOOKUP(MATCH(B80,tid,0),tao,'12(id)'!$FR$20,FALSE)="","",VLOOKUP(MATCH(B80,tid,0),tao,'12(id)'!$FR$20,FALSE))</f>
        <v>#N/A</v>
      </c>
      <c r="Q80" s="9004" t="e">
        <f>+IF(VLOOKUP(MATCH(B80,tid,0),tao,'12(id)'!$DI$20,FALSE)="","",VLOOKUP(MATCH(B80,tid,0),tao,'12(id)'!$DI$20,FALSE))&amp;";  "&amp;IF(VLOOKUP(MATCH(B80,tid,0),tao,'12(id)'!$DQ$20,FALSE)="","",VLOOKUP(MATCH(B80,tid,0),tao,'12(id)'!$DQ$20,FALSE))</f>
        <v>#N/A</v>
      </c>
      <c r="R80" s="8906"/>
      <c r="S80" s="8988"/>
      <c r="T80" s="7584" t="str">
        <f>+IF(E78="","",IF(VLOOKUP(MATCH(E78,c_id,0),ca,'13(an)'!$CC$34,FALSE)="",IF(VLOOKUP(MATCH(E78,c_id,0),ca,'13(an)'!$CD$34,FALSE)="",IF(VLOOKUP(MATCH(E78,c_id,0),ca,'13(an)'!$CE$34,FALSE)="","η ≈ N/A","η ≈ "&amp;ROUND(VLOOKUP(MATCH(E78,c_id,0),ca,'13(an)'!$CE$34,FALSE)*100,0)&amp;"%"),"η ≈ "&amp;ROUND(VLOOKUP(MATCH(E78,c_id,0),ca,'13(an)'!$CD$34,FALSE)*100,0)&amp;"%"),"η ≈ "&amp;ROUND(VLOOKUP(MATCH(E78,c_id,0),ca,'13(an)'!$CC$34,FALSE)*100,0)&amp;"%"))</f>
        <v>η ≈ 87%</v>
      </c>
      <c r="U80" s="7585" t="str">
        <f>+IF($U$110="ppmvd",IF(VLOOKUP(MATCH(E78,c_id,0),ca,'13(an)'!$BV$34,FALSE)="","",ROUND(VLOOKUP(MATCH(E78,c_id,0),ca,'13(an)'!$BV$34,FALSE),1)&amp;" ppmvd"),IF(VLOOKUP(MATCH(E78,c_id,0),ca,'13(an)'!$BU$34,FALSE)="","",IF(LEN(ROUND(VLOOKUP(MATCH(E78,c_id,0),ca,'13(an)'!$BU$34,FALSE),3))=3,ROUND(VLOOKUP(MATCH(E78,c_id,0),ca,'13(an)'!$BU$34,FALSE),3)&amp;"00 lb/MMBtu",IF(LEN(ROUND(VLOOKUP(MATCH(E78,c_id,0),ca,'13(an)'!$BU$34,FALSE),3))=4,ROUND(VLOOKUP(MATCH(E78,c_id,0),ca,'13(an)'!$BU$34,FALSE),3)&amp;"0 lb/MMBtu",ROUND(VLOOKUP(MATCH(E78,c_id,0),ca,'13(an)'!$BU$34,FALSE),3)&amp;" lb/MMBtu"))))</f>
        <v>25 ppmvd</v>
      </c>
      <c r="V80" s="7586">
        <f>+IF(E78="","",IF(VLOOKUP(MATCH(E78,c_id,0),ca,'13(an)'!$CB$34,FALSE)="","NOx(R) = N/A",ROUND(VLOOKUP(MATCH(E78,c_id,0),ca,'13(an)'!$CB$34,FALSE),1)))</f>
        <v>4</v>
      </c>
      <c r="W80" s="7534"/>
      <c r="X80" s="8818"/>
      <c r="Y80" s="7587" t="str">
        <f>+IF(E78="","",IF(VLOOKUP(MATCH(E78,c_id,0),ca,'13(an)'!$CM$34,FALSE)="",IF(VLOOKUP(MATCH(E78,c_id,0),ca,'13(an)'!$CN$34,FALSE)="",IF(VLOOKUP(MATCH(E78,c_id,0),ca,'13(an)'!$CO$34,FALSE)="","η ≈ N/A","η ≈ "&amp;ROUND(VLOOKUP(MATCH(E78,c_id,0),ca,'13(an)'!$CO$34,FALSE)*100,0)&amp;"%"),"η ≈ "&amp;ROUND(VLOOKUP(MATCH(E78,c_id,0),ca,'13(an)'!$CN$34,FALSE)*100,0)&amp;"%"),"η ≈ "&amp;ROUND(VLOOKUP(MATCH(E78,c_id,0),ca,'13(an)'!$CM$34,FALSE)*100,0)&amp;"%"))</f>
        <v>η ≈ 87%</v>
      </c>
      <c r="Z80" s="7588" t="str">
        <f>+IF($Z$110="ppmvd",IF(VLOOKUP(MATCH(E78,c_id,0),ca,'13(an)'!$CJ$34,FALSE)="","",ROUND(VLOOKUP(MATCH(E78,c_id,0),ca,'13(an)'!$CJ$34,FALSE),1)&amp;" ppmvd"),IF(VLOOKUP(MATCH(E78,c_id,0),ca,'13(an)'!$CI$34,FALSE)="","",IF(LEN(ROUND(VLOOKUP(MATCH(E78,c_id,0),ca,'13(an)'!$CI$34,FALSE),3))=3,ROUND(VLOOKUP(MATCH(E78,c_id,0),ca,'13(an)'!$CI$34,FALSE),3)&amp;"00 lb/MMBtu",IF(LEN(ROUND(VLOOKUP(MATCH(E78,c_id,0),ca,'13(an)'!$CI$34,FALSE),3))=4,ROUND(VLOOKUP(MATCH(E78,c_id,0),ca,'13(an)'!$CI$34,FALSE),3)&amp;"0 lb/MMBtu",ROUND(VLOOKUP(MATCH(E78,c_id,0),ca,'13(an)'!$CI$34,FALSE),3)&amp;" lb/MMBtu"))))</f>
        <v>0.100 lb/MMBtu</v>
      </c>
      <c r="AA80" s="7589">
        <f>+IF(E78="","",IF(VLOOKUP(MATCH(E78,c_id,0),ca,'13(an)'!$CL$34,FALSE)="","NOx(R) = N/A",ROUND(VLOOKUP(MATCH(E78,c_id,0),ca,'13(an)'!$CL$34,FALSE),1)))</f>
        <v>1.5</v>
      </c>
      <c r="AB80" s="7535"/>
      <c r="AC80" s="8818"/>
      <c r="AD80" s="7587" t="str">
        <f>+IF(E78="","",IF(VLOOKUP(MATCH(E78,c_id,0),ca,'13(an)'!$CM$34,FALSE)="",IF(VLOOKUP(MATCH(E78,c_id,0),ca,'13(an)'!$CN$34,FALSE)="",IF(VLOOKUP(MATCH(E78,c_id,0),ca,'13(an)'!$CO$34,FALSE)="","η ≈ N/A","η ≈ "&amp;ROUND(VLOOKUP(MATCH(E78,c_id,0),ca,'13(an)'!$CO$34,FALSE)*100,0)&amp;"%"),"η ≈ "&amp;ROUND(VLOOKUP(MATCH(E78,c_id,0),ca,'13(an)'!$CN$34,FALSE)*100,0)&amp;"%"),"η ≈ "&amp;ROUND(VLOOKUP(MATCH(E78,c_id,0),ca,'13(an)'!$CM$34,FALSE)*100,0)&amp;"%"))</f>
        <v>η ≈ 87%</v>
      </c>
      <c r="AE80" s="7588" t="str">
        <f>+IF($AE$110="ppmvd",IF(VLOOKUP(MATCH(E78,c_id,0),ca,'13(an)'!$CJ$34,FALSE)="","",ROUND(VLOOKUP(MATCH(E78,c_id,0),ca,'13(an)'!$CJ$34,FALSE),1)&amp;" ppmvd"),IF(VLOOKUP(MATCH(E78,c_id,0),ca,'13(an)'!$CI$34,FALSE)="","",IF(LEN(ROUND(VLOOKUP(MATCH(E78,c_id,0),ca,'13(an)'!$CI$34,FALSE),3))=3,ROUND(VLOOKUP(MATCH(E78,c_id,0),ca,'13(an)'!$CI$34,FALSE),3)&amp;"00 lb/MMBtu",IF(LEN(ROUND(VLOOKUP(MATCH(E78,c_id,0),ca,'13(an)'!$CI$34,FALSE),3))=4,ROUND(VLOOKUP(MATCH(E78,c_id,0),ca,'13(an)'!$CI$34,FALSE),3)&amp;"0 lb/MMBtu",ROUND(VLOOKUP(MATCH(E78,c_id,0),ca,'13(an)'!$CI$34,FALSE),3)&amp;" lb/MMBtu"))))</f>
        <v>0.100 lb/MMBtu</v>
      </c>
      <c r="AF80" s="7589">
        <f>+IF(E78="","",IF(VLOOKUP(MATCH(E78,c_id,0),ca,'13(an)'!$CL$34,FALSE)="","NOx(R) = N/A",ROUND(VLOOKUP(MATCH(E78,c_id,0),ca,'13(an)'!$CL$34,FALSE),1)))</f>
        <v>1.5</v>
      </c>
      <c r="AG80" s="7536"/>
      <c r="AH80" s="5962"/>
      <c r="AI80" s="5959"/>
      <c r="AJ80" s="5959"/>
      <c r="AK80" s="5959"/>
      <c r="AL80" s="5959"/>
      <c r="AM80" s="5959"/>
    </row>
    <row r="81" spans="1:39" ht="14.1" customHeight="1">
      <c r="A81" s="5952"/>
      <c r="B81" s="8990"/>
      <c r="C81" s="8994" t="str">
        <f>+IF(B81="","",VLOOKUP(MATCH(B81,tid,0),tao,'12(id)'!$J$20,FALSE))</f>
        <v/>
      </c>
      <c r="D81" s="9008"/>
      <c r="E81" s="9024"/>
      <c r="F81" s="5952"/>
      <c r="G81" s="5959"/>
      <c r="H81" s="5952"/>
      <c r="I81" s="9051"/>
      <c r="J81" s="9055"/>
      <c r="K81" s="9013" t="e">
        <f>+IF(VLOOKUP(MATCH(B81,tid,0),tao,'12(id)'!$K$20,FALSE)="","",VLOOKUP(MATCH(B81,tid,0),tao,'12(id)'!$K$20,FALSE))</f>
        <v>#N/A</v>
      </c>
      <c r="L81" s="9013" t="e">
        <f>+IF(VLOOKUP(MATCH(B81,tid,0),tao,'12(id)'!$L$20,FALSE)="","",VLOOKUP(MATCH(B81,tid,0),tao,'12(id)'!$L$20,FALSE))</f>
        <v>#N/A</v>
      </c>
      <c r="M81" s="9038" t="e">
        <f>+IF(VLOOKUP(MATCH(B81,tid,0),tao,'12(id)'!$Q$20,FALSE)="","",VLOOKUP(MATCH(B81,tid,0),tao,'12(id)'!$Q$20,FALSE))</f>
        <v>#N/A</v>
      </c>
      <c r="N81" s="9042" t="e">
        <f>+IF(VLOOKUP(MATCH(B81,tid,0),tao,'12(id)'!$CT$20,FALSE)="","",VLOOKUP(MATCH(B81,tid,0),tao,'12(id)'!$CT$20,FALSE))</f>
        <v>#N/A</v>
      </c>
      <c r="O81" s="9004" t="e">
        <f>+IF(VLOOKUP(MATCH(B81,tid,0),tao,'12(id)'!$DE$20,FALSE)="","",ROUND(VLOOKUP(MATCH(B81,tid,0),tao,'12(id)'!$DE$20,FALSE),0)&amp;" yrs")</f>
        <v>#N/A</v>
      </c>
      <c r="P81" s="9001" t="e">
        <f>+IF(VLOOKUP(MATCH(B81,tid,0),tao,'12(id)'!$FR$20,FALSE)="","",VLOOKUP(MATCH(B81,tid,0),tao,'12(id)'!$FR$20,FALSE))</f>
        <v>#N/A</v>
      </c>
      <c r="Q81" s="9004" t="e">
        <f>+IF(VLOOKUP(MATCH(B81,tid,0),tao,'12(id)'!$DI$20,FALSE)="","",VLOOKUP(MATCH(B81,tid,0),tao,'12(id)'!$DI$20,FALSE))&amp;";  "&amp;IF(VLOOKUP(MATCH(B81,tid,0),tao,'12(id)'!$DQ$20,FALSE)="","",VLOOKUP(MATCH(B81,tid,0),tao,'12(id)'!$DQ$20,FALSE))</f>
        <v>#N/A</v>
      </c>
      <c r="R81" s="8906"/>
      <c r="S81" s="8818"/>
      <c r="T81" s="7537">
        <f>+IF(VLOOKUP(MATCH(E78,c_id,0),ca,'13(an)'!$GF$34,FALSE)="","",VLOOKUP(MATCH(E78,c_id,0),ca,'13(an)'!$GF$34,FALSE))</f>
        <v>2730000</v>
      </c>
      <c r="U81" s="7538" t="str">
        <f>+IF(T81="","","$ TCC/unit")</f>
        <v>$ TCC/unit</v>
      </c>
      <c r="V81" s="7539">
        <f>+IF(VLOOKUP(MATCH(E78,c_id,0),ca,'13(an)'!$HA$34,FALSE)="","",VLOOKUP(MATCH(E78,c_id,0),ca,'13(an)'!$HA$34,FALSE))</f>
        <v>257693</v>
      </c>
      <c r="W81" s="7540"/>
      <c r="X81" s="8818"/>
      <c r="Y81" s="7537">
        <f>+IF(VLOOKUP(MATCH(E78,c_id,0),ca,'13(an)'!$IA$34,FALSE)="","",VLOOKUP(MATCH(E78,c_id,0),ca,'13(an)'!$IA$34,FALSE))</f>
        <v>2730000</v>
      </c>
      <c r="Z81" s="7538" t="str">
        <f>+IF(Y81="","","$ TCC/unit")</f>
        <v>$ TCC/unit</v>
      </c>
      <c r="AA81" s="7539">
        <f>+IF(Y81="","",$AA$14*Y81)</f>
        <v>257692.68727908804</v>
      </c>
      <c r="AB81" s="7541"/>
      <c r="AC81" s="8818"/>
      <c r="AD81" s="7537">
        <f>+IF(VLOOKUP(MATCH(E78,c_id,0),ca,'13(an)'!$JS$34,FALSE)="","",VLOOKUP(MATCH(E78,c_id,0),ca,'13(an)'!$JS$34,FALSE))</f>
        <v>2513690</v>
      </c>
      <c r="AE81" s="7538" t="str">
        <f>+IF(AD81="","","$ TCC/unit")</f>
        <v>$ TCC/unit</v>
      </c>
      <c r="AF81" s="7539">
        <f>+IF(AD81="","",$AF$14*AD81)</f>
        <v>215701.03903241493</v>
      </c>
      <c r="AG81" s="7542"/>
      <c r="AH81" s="5962"/>
      <c r="AI81" s="5959"/>
      <c r="AJ81" s="5959"/>
      <c r="AK81" s="5959"/>
      <c r="AL81" s="5959"/>
      <c r="AM81" s="5959"/>
    </row>
    <row r="82" spans="1:39" ht="14.1" customHeight="1">
      <c r="A82" s="5952"/>
      <c r="B82" s="8990"/>
      <c r="C82" s="8994" t="str">
        <f>+IF(B82="","",VLOOKUP(MATCH(B82,tid,0),tao,'12(id)'!$J$20,FALSE))</f>
        <v/>
      </c>
      <c r="D82" s="9008"/>
      <c r="E82" s="9024"/>
      <c r="F82" s="5952"/>
      <c r="G82" s="5959"/>
      <c r="H82" s="5952"/>
      <c r="I82" s="9051"/>
      <c r="J82" s="9055"/>
      <c r="K82" s="9013" t="e">
        <f>+IF(VLOOKUP(MATCH(B82,tid,0),tao,'12(id)'!$K$20,FALSE)="","",VLOOKUP(MATCH(B82,tid,0),tao,'12(id)'!$K$20,FALSE))</f>
        <v>#N/A</v>
      </c>
      <c r="L82" s="9013" t="e">
        <f>+IF(VLOOKUP(MATCH(B82,tid,0),tao,'12(id)'!$L$20,FALSE)="","",VLOOKUP(MATCH(B82,tid,0),tao,'12(id)'!$L$20,FALSE))</f>
        <v>#N/A</v>
      </c>
      <c r="M82" s="9038" t="e">
        <f>+IF(VLOOKUP(MATCH(B82,tid,0),tao,'12(id)'!$Q$20,FALSE)="","",VLOOKUP(MATCH(B82,tid,0),tao,'12(id)'!$Q$20,FALSE))</f>
        <v>#N/A</v>
      </c>
      <c r="N82" s="9042" t="e">
        <f>+IF(VLOOKUP(MATCH(B82,tid,0),tao,'12(id)'!$CT$20,FALSE)="","",VLOOKUP(MATCH(B82,tid,0),tao,'12(id)'!$CT$20,FALSE))</f>
        <v>#N/A</v>
      </c>
      <c r="O82" s="9004" t="e">
        <f>+IF(VLOOKUP(MATCH(B82,tid,0),tao,'12(id)'!$DE$20,FALSE)="","",ROUND(VLOOKUP(MATCH(B82,tid,0),tao,'12(id)'!$DE$20,FALSE),0)&amp;" yrs")</f>
        <v>#N/A</v>
      </c>
      <c r="P82" s="9001" t="e">
        <f>+IF(VLOOKUP(MATCH(B82,tid,0),tao,'12(id)'!$FR$20,FALSE)="","",VLOOKUP(MATCH(B82,tid,0),tao,'12(id)'!$FR$20,FALSE))</f>
        <v>#N/A</v>
      </c>
      <c r="Q82" s="9004" t="e">
        <f>+IF(VLOOKUP(MATCH(B82,tid,0),tao,'12(id)'!$DI$20,FALSE)="","",VLOOKUP(MATCH(B82,tid,0),tao,'12(id)'!$DI$20,FALSE))&amp;";  "&amp;IF(VLOOKUP(MATCH(B82,tid,0),tao,'12(id)'!$DQ$20,FALSE)="","",VLOOKUP(MATCH(B82,tid,0),tao,'12(id)'!$DQ$20,FALSE))</f>
        <v>#N/A</v>
      </c>
      <c r="R82" s="8906"/>
      <c r="S82" s="8818"/>
      <c r="T82" s="7543">
        <f>+IF(OR(T81="",N66=""),"",T81/N66)</f>
        <v>136500</v>
      </c>
      <c r="U82" s="8820" t="str">
        <f>+IF(T82="","","$ TCC / MW nominal capacity")</f>
        <v>$ TCC / MW nominal capacity</v>
      </c>
      <c r="V82" s="8820"/>
      <c r="W82" s="7544"/>
      <c r="X82" s="8818"/>
      <c r="Y82" s="7543">
        <f>+IF(OR(Y81="",N66=""),"",Y81/N66)</f>
        <v>136500</v>
      </c>
      <c r="Z82" s="8820" t="str">
        <f>+IF(Y82="","","$ TCC / MW nominal capacity")</f>
        <v>$ TCC / MW nominal capacity</v>
      </c>
      <c r="AA82" s="8820"/>
      <c r="AB82" s="7545"/>
      <c r="AC82" s="8818"/>
      <c r="AD82" s="7543">
        <f>+IF(OR(AD81="",N66=""),"",AD81/N66)</f>
        <v>125684.5</v>
      </c>
      <c r="AE82" s="8820" t="str">
        <f>+IF(AD82="","","$ TCC / MW nominal capacity")</f>
        <v>$ TCC / MW nominal capacity</v>
      </c>
      <c r="AF82" s="8820"/>
      <c r="AG82" s="7546"/>
      <c r="AH82" s="5962"/>
      <c r="AI82" s="5959"/>
      <c r="AJ82" s="5959"/>
      <c r="AK82" s="5959"/>
      <c r="AL82" s="5959"/>
      <c r="AM82" s="5959"/>
    </row>
    <row r="83" spans="1:39" ht="14.1" customHeight="1">
      <c r="A83" s="5952"/>
      <c r="B83" s="8990"/>
      <c r="C83" s="8994" t="str">
        <f>+IF(B83="","",VLOOKUP(MATCH(B83,tid,0),tao,'12(id)'!$J$20,FALSE))</f>
        <v/>
      </c>
      <c r="D83" s="9008"/>
      <c r="E83" s="9025"/>
      <c r="F83" s="5952"/>
      <c r="G83" s="5959"/>
      <c r="H83" s="5952"/>
      <c r="I83" s="9051"/>
      <c r="J83" s="9055"/>
      <c r="K83" s="9013" t="e">
        <f>+IF(VLOOKUP(MATCH(B83,tid,0),tao,'12(id)'!$K$20,FALSE)="","",VLOOKUP(MATCH(B83,tid,0),tao,'12(id)'!$K$20,FALSE))</f>
        <v>#N/A</v>
      </c>
      <c r="L83" s="9013" t="e">
        <f>+IF(VLOOKUP(MATCH(B83,tid,0),tao,'12(id)'!$L$20,FALSE)="","",VLOOKUP(MATCH(B83,tid,0),tao,'12(id)'!$L$20,FALSE))</f>
        <v>#N/A</v>
      </c>
      <c r="M83" s="9038" t="e">
        <f>+IF(VLOOKUP(MATCH(B83,tid,0),tao,'12(id)'!$Q$20,FALSE)="","",VLOOKUP(MATCH(B83,tid,0),tao,'12(id)'!$Q$20,FALSE))</f>
        <v>#N/A</v>
      </c>
      <c r="N83" s="9042" t="e">
        <f>+IF(VLOOKUP(MATCH(B83,tid,0),tao,'12(id)'!$CT$20,FALSE)="","",VLOOKUP(MATCH(B83,tid,0),tao,'12(id)'!$CT$20,FALSE))</f>
        <v>#N/A</v>
      </c>
      <c r="O83" s="9004" t="e">
        <f>+IF(VLOOKUP(MATCH(B83,tid,0),tao,'12(id)'!$DE$20,FALSE)="","",ROUND(VLOOKUP(MATCH(B83,tid,0),tao,'12(id)'!$DE$20,FALSE),0)&amp;" yrs")</f>
        <v>#N/A</v>
      </c>
      <c r="P83" s="9001" t="e">
        <f>+IF(VLOOKUP(MATCH(B83,tid,0),tao,'12(id)'!$FR$20,FALSE)="","",VLOOKUP(MATCH(B83,tid,0),tao,'12(id)'!$FR$20,FALSE))</f>
        <v>#N/A</v>
      </c>
      <c r="Q83" s="9004" t="e">
        <f>+IF(VLOOKUP(MATCH(B83,tid,0),tao,'12(id)'!$DI$20,FALSE)="","",VLOOKUP(MATCH(B83,tid,0),tao,'12(id)'!$DI$20,FALSE))&amp;";  "&amp;IF(VLOOKUP(MATCH(B83,tid,0),tao,'12(id)'!$DQ$20,FALSE)="","",VLOOKUP(MATCH(B83,tid,0),tao,'12(id)'!$DQ$20,FALSE))</f>
        <v>#N/A</v>
      </c>
      <c r="R83" s="8981"/>
      <c r="S83" s="8819"/>
      <c r="T83" s="7590">
        <f>+IF(VLOOKUP(MATCH(E78,c_id,0),ca,'13(an)'!$HF$34,FALSE)="","",VLOOKUP(MATCH(E78,c_id,0),ca,'13(an)'!$HF$34,FALSE))</f>
        <v>92753</v>
      </c>
      <c r="U83" s="8896" t="str">
        <f>IF(T83="","","$ /ton "&amp;"NOx(R)")</f>
        <v>$ /ton NOx(R)</v>
      </c>
      <c r="V83" s="8896"/>
      <c r="W83" s="7591"/>
      <c r="X83" s="8819"/>
      <c r="Y83" s="7590">
        <f>+IF(VLOOKUP(MATCH(E78,c_id,0),ca,'13(an)'!$JE$34,FALSE)="","",VLOOKUP(MATCH(E78,c_id,0),ca,'13(an)'!$JE$34,FALSE))</f>
        <v>249184.97520040645</v>
      </c>
      <c r="Z83" s="8896" t="str">
        <f>IF(Y83="","","$ /ton "&amp;"NOx(R)")</f>
        <v>$ /ton NOx(R)</v>
      </c>
      <c r="AA83" s="8896"/>
      <c r="AB83" s="7592"/>
      <c r="AC83" s="8819"/>
      <c r="AD83" s="7590">
        <f>+IF(VLOOKUP(MATCH(E78,c_id,0),ca,'13(an)'!$LB$34,FALSE)="","",VLOOKUP(MATCH(E78,c_id,0),ca,'13(an)'!$LB$34,FALSE))</f>
        <v>221307.77714722254</v>
      </c>
      <c r="AE83" s="8896" t="str">
        <f>IF(AD83="","","$ /ton "&amp;"NOx(R)")</f>
        <v>$ /ton NOx(R)</v>
      </c>
      <c r="AF83" s="8896"/>
      <c r="AG83" s="7593"/>
      <c r="AH83" s="5962"/>
      <c r="AI83" s="5959"/>
      <c r="AJ83" s="5959"/>
      <c r="AK83" s="5959"/>
      <c r="AL83" s="5959"/>
      <c r="AM83" s="5959"/>
    </row>
    <row r="84" spans="1:39" ht="14.1" customHeight="1">
      <c r="A84" s="5952"/>
      <c r="B84" s="8990"/>
      <c r="C84" s="8994" t="str">
        <f>+IF(B84="","",VLOOKUP(MATCH(B84,tid,0),tao,'12(id)'!$J$20,FALSE))</f>
        <v/>
      </c>
      <c r="D84" s="9008"/>
      <c r="E84" s="9048" t="str">
        <f>+IF(B66="","",B66&amp;IF(ISERR(VALUE(1+R78)),"-01",IF(1+R78&lt;10,"-0"&amp;1+R78,"-"&amp;1+R78)))</f>
        <v>8303-01-04</v>
      </c>
      <c r="F84" s="5952"/>
      <c r="G84" s="5959"/>
      <c r="H84" s="5952"/>
      <c r="I84" s="9051"/>
      <c r="J84" s="9055"/>
      <c r="K84" s="9013" t="e">
        <f>+IF(VLOOKUP(MATCH(B84,tid,0),tao,'12(id)'!$K$20,FALSE)="","",VLOOKUP(MATCH(B84,tid,0),tao,'12(id)'!$K$20,FALSE))</f>
        <v>#N/A</v>
      </c>
      <c r="L84" s="9013" t="e">
        <f>+IF(VLOOKUP(MATCH(B84,tid,0),tao,'12(id)'!$L$20,FALSE)="","",VLOOKUP(MATCH(B84,tid,0),tao,'12(id)'!$L$20,FALSE))</f>
        <v>#N/A</v>
      </c>
      <c r="M84" s="9038" t="e">
        <f>+IF(VLOOKUP(MATCH(B84,tid,0),tao,'12(id)'!$Q$20,FALSE)="","",VLOOKUP(MATCH(B84,tid,0),tao,'12(id)'!$Q$20,FALSE))</f>
        <v>#N/A</v>
      </c>
      <c r="N84" s="9042" t="e">
        <f>+IF(VLOOKUP(MATCH(B84,tid,0),tao,'12(id)'!$CT$20,FALSE)="","",VLOOKUP(MATCH(B84,tid,0),tao,'12(id)'!$CT$20,FALSE))</f>
        <v>#N/A</v>
      </c>
      <c r="O84" s="9004" t="e">
        <f>+IF(VLOOKUP(MATCH(B84,tid,0),tao,'12(id)'!$DE$20,FALSE)="","",ROUND(VLOOKUP(MATCH(B84,tid,0),tao,'12(id)'!$DE$20,FALSE),0)&amp;" yrs")</f>
        <v>#N/A</v>
      </c>
      <c r="P84" s="9001" t="e">
        <f>+IF(VLOOKUP(MATCH(B84,tid,0),tao,'12(id)'!$FR$20,FALSE)="","",VLOOKUP(MATCH(B84,tid,0),tao,'12(id)'!$FR$20,FALSE))</f>
        <v>#N/A</v>
      </c>
      <c r="Q84" s="9004" t="e">
        <f>+IF(VLOOKUP(MATCH(B84,tid,0),tao,'12(id)'!$DI$20,FALSE)="","",VLOOKUP(MATCH(B84,tid,0),tao,'12(id)'!$DI$20,FALSE))&amp;";  "&amp;IF(VLOOKUP(MATCH(B84,tid,0),tao,'12(id)'!$DQ$20,FALSE)="","",VLOOKUP(MATCH(B84,tid,0),tao,'12(id)'!$DQ$20,FALSE))</f>
        <v>#N/A</v>
      </c>
      <c r="R84" s="9011">
        <f>+IF(B66="","",1+R78)</f>
        <v>4</v>
      </c>
      <c r="S84" s="8859"/>
      <c r="T84" s="8871" t="str">
        <f>+IF(VLOOKUP(MATCH(E84,c_id,0),ca,'13(an)'!$BD$34,FALSE)="","",VLOOKUP(MATCH(E84,c_id,0),ca,'13(an)'!$BD$34,FALSE))</f>
        <v>HPWI with Cookie Cutter Air Deflectors</v>
      </c>
      <c r="U84" s="8871"/>
      <c r="V84" s="8871"/>
      <c r="W84" s="7553"/>
      <c r="X84" s="8859"/>
      <c r="Y84" s="8871" t="str">
        <f>+IF(T84="","",T84)</f>
        <v>HPWI with Cookie Cutter Air Deflectors</v>
      </c>
      <c r="Z84" s="8871"/>
      <c r="AA84" s="8871"/>
      <c r="AB84" s="7554"/>
      <c r="AC84" s="8859"/>
      <c r="AD84" s="8874" t="str">
        <f>+IF(Y84="","",Y84)</f>
        <v>HPWI with Cookie Cutter Air Deflectors</v>
      </c>
      <c r="AE84" s="8874"/>
      <c r="AF84" s="8874"/>
      <c r="AG84" s="7555"/>
      <c r="AH84" s="5962"/>
      <c r="AI84" s="5959"/>
      <c r="AJ84" s="5959"/>
      <c r="AK84" s="5959"/>
      <c r="AL84" s="5959"/>
      <c r="AM84" s="5959"/>
    </row>
    <row r="85" spans="1:39" ht="12" customHeight="1">
      <c r="A85" s="5952"/>
      <c r="B85" s="8990"/>
      <c r="C85" s="8994" t="str">
        <f>+IF(B85="","",VLOOKUP(MATCH(B85,tid,0),tao,'12(id)'!$J$20,FALSE))</f>
        <v/>
      </c>
      <c r="D85" s="9008"/>
      <c r="E85" s="9024"/>
      <c r="F85" s="5952"/>
      <c r="G85" s="5959"/>
      <c r="H85" s="5952"/>
      <c r="I85" s="9051"/>
      <c r="J85" s="9055"/>
      <c r="K85" s="9013" t="e">
        <f>+IF(VLOOKUP(MATCH(B85,tid,0),tao,'12(id)'!$K$20,FALSE)="","",VLOOKUP(MATCH(B85,tid,0),tao,'12(id)'!$K$20,FALSE))</f>
        <v>#N/A</v>
      </c>
      <c r="L85" s="9013" t="e">
        <f>+IF(VLOOKUP(MATCH(B85,tid,0),tao,'12(id)'!$L$20,FALSE)="","",VLOOKUP(MATCH(B85,tid,0),tao,'12(id)'!$L$20,FALSE))</f>
        <v>#N/A</v>
      </c>
      <c r="M85" s="9038" t="e">
        <f>+IF(VLOOKUP(MATCH(B85,tid,0),tao,'12(id)'!$Q$20,FALSE)="","",VLOOKUP(MATCH(B85,tid,0),tao,'12(id)'!$Q$20,FALSE))</f>
        <v>#N/A</v>
      </c>
      <c r="N85" s="9042" t="e">
        <f>+IF(VLOOKUP(MATCH(B85,tid,0),tao,'12(id)'!$CT$20,FALSE)="","",VLOOKUP(MATCH(B85,tid,0),tao,'12(id)'!$CT$20,FALSE))</f>
        <v>#N/A</v>
      </c>
      <c r="O85" s="9004" t="e">
        <f>+IF(VLOOKUP(MATCH(B85,tid,0),tao,'12(id)'!$DE$20,FALSE)="","",ROUND(VLOOKUP(MATCH(B85,tid,0),tao,'12(id)'!$DE$20,FALSE),0)&amp;" yrs")</f>
        <v>#N/A</v>
      </c>
      <c r="P85" s="9001" t="e">
        <f>+IF(VLOOKUP(MATCH(B85,tid,0),tao,'12(id)'!$FR$20,FALSE)="","",VLOOKUP(MATCH(B85,tid,0),tao,'12(id)'!$FR$20,FALSE))</f>
        <v>#N/A</v>
      </c>
      <c r="Q85" s="9004" t="e">
        <f>+IF(VLOOKUP(MATCH(B85,tid,0),tao,'12(id)'!$DI$20,FALSE)="","",VLOOKUP(MATCH(B85,tid,0),tao,'12(id)'!$DI$20,FALSE))&amp;";  "&amp;IF(VLOOKUP(MATCH(B85,tid,0),tao,'12(id)'!$DQ$20,FALSE)="","",VLOOKUP(MATCH(B85,tid,0),tao,'12(id)'!$DQ$20,FALSE))</f>
        <v>#N/A</v>
      </c>
      <c r="R85" s="8906"/>
      <c r="S85" s="8818"/>
      <c r="T85" s="8976" t="str">
        <f>+IF(VLOOKUP(MATCH(E84,c_id,0),ca,'13(an)'!$BG$34,FALSE)="","","("&amp;VLOOKUP(MATCH(E84,c_id,0),ca,'13(an)'!$BG$34,FALSE)&amp;")")</f>
        <v>(Primary fuel Oil - Kerosene K1)</v>
      </c>
      <c r="U85" s="8977"/>
      <c r="V85" s="8977"/>
      <c r="W85" s="7582"/>
      <c r="X85" s="8818"/>
      <c r="Y85" s="8820" t="str">
        <f>+IF(T85="","",T85)</f>
        <v>(Primary fuel Oil - Kerosene K1)</v>
      </c>
      <c r="Z85" s="9206"/>
      <c r="AA85" s="9206"/>
      <c r="AB85" s="5962"/>
      <c r="AC85" s="8818"/>
      <c r="AD85" s="8820" t="str">
        <f>+IF(Y85="","",Y85)</f>
        <v>(Primary fuel Oil - Kerosene K1)</v>
      </c>
      <c r="AE85" s="9206"/>
      <c r="AF85" s="9206"/>
      <c r="AG85" s="7583"/>
      <c r="AH85" s="5962"/>
      <c r="AI85" s="5959"/>
      <c r="AJ85" s="5959"/>
      <c r="AK85" s="5959"/>
      <c r="AL85" s="5959"/>
      <c r="AM85" s="5959"/>
    </row>
    <row r="86" spans="1:39" ht="14.1" customHeight="1">
      <c r="A86" s="5952"/>
      <c r="B86" s="8990"/>
      <c r="C86" s="8994" t="str">
        <f>+IF(B86="","",VLOOKUP(MATCH(B86,tid,0),tao,'12(id)'!$J$20,FALSE))</f>
        <v/>
      </c>
      <c r="D86" s="9008"/>
      <c r="E86" s="9024"/>
      <c r="F86" s="5952"/>
      <c r="G86" s="5959"/>
      <c r="H86" s="5952"/>
      <c r="I86" s="9051"/>
      <c r="J86" s="9055"/>
      <c r="K86" s="9013" t="e">
        <f>+IF(VLOOKUP(MATCH(B86,tid,0),tao,'12(id)'!$K$20,FALSE)="","",VLOOKUP(MATCH(B86,tid,0),tao,'12(id)'!$K$20,FALSE))</f>
        <v>#N/A</v>
      </c>
      <c r="L86" s="9013" t="e">
        <f>+IF(VLOOKUP(MATCH(B86,tid,0),tao,'12(id)'!$L$20,FALSE)="","",VLOOKUP(MATCH(B86,tid,0),tao,'12(id)'!$L$20,FALSE))</f>
        <v>#N/A</v>
      </c>
      <c r="M86" s="9038" t="e">
        <f>+IF(VLOOKUP(MATCH(B86,tid,0),tao,'12(id)'!$Q$20,FALSE)="","",VLOOKUP(MATCH(B86,tid,0),tao,'12(id)'!$Q$20,FALSE))</f>
        <v>#N/A</v>
      </c>
      <c r="N86" s="9042" t="e">
        <f>+IF(VLOOKUP(MATCH(B86,tid,0),tao,'12(id)'!$CT$20,FALSE)="","",VLOOKUP(MATCH(B86,tid,0),tao,'12(id)'!$CT$20,FALSE))</f>
        <v>#N/A</v>
      </c>
      <c r="O86" s="9004" t="e">
        <f>+IF(VLOOKUP(MATCH(B86,tid,0),tao,'12(id)'!$DE$20,FALSE)="","",ROUND(VLOOKUP(MATCH(B86,tid,0),tao,'12(id)'!$DE$20,FALSE),0)&amp;" yrs")</f>
        <v>#N/A</v>
      </c>
      <c r="P86" s="9001" t="e">
        <f>+IF(VLOOKUP(MATCH(B86,tid,0),tao,'12(id)'!$FR$20,FALSE)="","",VLOOKUP(MATCH(B86,tid,0),tao,'12(id)'!$FR$20,FALSE))</f>
        <v>#N/A</v>
      </c>
      <c r="Q86" s="9004" t="e">
        <f>+IF(VLOOKUP(MATCH(B86,tid,0),tao,'12(id)'!$DI$20,FALSE)="","",VLOOKUP(MATCH(B86,tid,0),tao,'12(id)'!$DI$20,FALSE))&amp;";  "&amp;IF(VLOOKUP(MATCH(B86,tid,0),tao,'12(id)'!$DQ$20,FALSE)="","",VLOOKUP(MATCH(B86,tid,0),tao,'12(id)'!$DQ$20,FALSE))</f>
        <v>#N/A</v>
      </c>
      <c r="R86" s="8906"/>
      <c r="S86" s="8988"/>
      <c r="T86" s="7594" t="str">
        <f>+IF(E84="","",IF(VLOOKUP(MATCH(E84,c_id,0),ca,'13(an)'!$CC$34,FALSE)="",IF(VLOOKUP(MATCH(E84,c_id,0),ca,'13(an)'!$CD$34,FALSE)="",IF(VLOOKUP(MATCH(E84,c_id,0),ca,'13(an)'!$CE$34,FALSE)="","η ≈ N/A","η ≈ "&amp;ROUND(VLOOKUP(MATCH(E84,c_id,0),ca,'13(an)'!$CE$34,FALSE)*100,0)&amp;"%"),"η ≈ "&amp;ROUND(VLOOKUP(MATCH(E84,c_id,0),ca,'13(an)'!$CD$34,FALSE)*100,0)&amp;"%"),"η ≈ "&amp;ROUND(VLOOKUP(MATCH(E84,c_id,0),ca,'13(an)'!$CC$34,FALSE)*100,0)&amp;"%"))</f>
        <v>η ≈ 73%</v>
      </c>
      <c r="U86" s="7595" t="str">
        <f>+IF($U$110="ppmvd",IF(VLOOKUP(MATCH(E84,c_id,0),ca,'13(an)'!$BV$34,FALSE)="","",ROUND(VLOOKUP(MATCH(E84,c_id,0),ca,'13(an)'!$BV$34,FALSE),1)&amp;" ppmvd"),IF(VLOOKUP(MATCH(E84,c_id,0),ca,'13(an)'!$BU$34,FALSE)="","",IF(LEN(ROUND(VLOOKUP(MATCH(E84,c_id,0),ca,'13(an)'!$BU$34,FALSE),3))=3,ROUND(VLOOKUP(MATCH(E84,c_id,0),ca,'13(an)'!$BU$34,FALSE),3)&amp;"00 lb/MMBtu",IF(LEN(ROUND(VLOOKUP(MATCH(E84,c_id,0),ca,'13(an)'!$BU$34,FALSE),3))=4,ROUND(VLOOKUP(MATCH(E84,c_id,0),ca,'13(an)'!$BU$34,FALSE),3)&amp;"0 lb/MMBtu",ROUND(VLOOKUP(MATCH(E84,c_id,0),ca,'13(an)'!$BU$34,FALSE),3)&amp;" lb/MMBtu"))))</f>
        <v>50 ppmvd</v>
      </c>
      <c r="V86" s="7596">
        <f>+IF(E84="","",IF(VLOOKUP(MATCH(E84,c_id,0),ca,'13(an)'!$CB$34,FALSE)="","NOx(R) = N/A",ROUND(VLOOKUP(MATCH(E84,c_id,0),ca,'13(an)'!$CB$34,FALSE),1)))</f>
        <v>3.4</v>
      </c>
      <c r="W86" s="7534"/>
      <c r="X86" s="8818"/>
      <c r="Y86" s="7597" t="str">
        <f>+IF(E84="","",IF(VLOOKUP(MATCH(E84,c_id,0),ca,'13(an)'!$CM$34,FALSE)="",IF(VLOOKUP(MATCH(E84,c_id,0),ca,'13(an)'!$CN$34,FALSE)="",IF(VLOOKUP(MATCH(E84,c_id,0),ca,'13(an)'!$CO$34,FALSE)="","η ≈ N/A","η ≈ "&amp;ROUND(VLOOKUP(MATCH(E84,c_id,0),ca,'13(an)'!$CO$34,FALSE)*100,0)&amp;"%"),"η ≈ "&amp;ROUND(VLOOKUP(MATCH(E84,c_id,0),ca,'13(an)'!$CN$34,FALSE)*100,0)&amp;"%"),"η ≈ "&amp;ROUND(VLOOKUP(MATCH(E84,c_id,0),ca,'13(an)'!$CM$34,FALSE)*100,0)&amp;"%"))</f>
        <v>η ≈ 73%</v>
      </c>
      <c r="Z86" s="7598" t="str">
        <f>+IF($Z$110="ppmvd",IF(VLOOKUP(MATCH(E84,c_id,0),ca,'13(an)'!$CJ$34,FALSE)="","",ROUND(VLOOKUP(MATCH(E84,c_id,0),ca,'13(an)'!$CJ$34,FALSE),1)&amp;" ppmvd"),IF(VLOOKUP(MATCH(E84,c_id,0),ca,'13(an)'!$CI$34,FALSE)="","",IF(LEN(ROUND(VLOOKUP(MATCH(E84,c_id,0),ca,'13(an)'!$CI$34,FALSE),3))=3,ROUND(VLOOKUP(MATCH(E84,c_id,0),ca,'13(an)'!$CI$34,FALSE),3)&amp;"00 lb/MMBtu",IF(LEN(ROUND(VLOOKUP(MATCH(E84,c_id,0),ca,'13(an)'!$CI$34,FALSE),3))=4,ROUND(VLOOKUP(MATCH(E84,c_id,0),ca,'13(an)'!$CI$34,FALSE),3)&amp;"0 lb/MMBtu",ROUND(VLOOKUP(MATCH(E84,c_id,0),ca,'13(an)'!$CI$34,FALSE),3)&amp;" lb/MMBtu"))))</f>
        <v>0.199 lb/MMBtu</v>
      </c>
      <c r="AA86" s="7599">
        <f>+IF(E84="","",IF(VLOOKUP(MATCH(E84,c_id,0),ca,'13(an)'!$CL$34,FALSE)="","NOx(R) = N/A",ROUND(VLOOKUP(MATCH(E84,c_id,0),ca,'13(an)'!$CL$34,FALSE),1)))</f>
        <v>1.2</v>
      </c>
      <c r="AB86" s="7535"/>
      <c r="AC86" s="8818"/>
      <c r="AD86" s="7597" t="str">
        <f>+IF(E84="","",IF(VLOOKUP(MATCH(E84,c_id,0),ca,'13(an)'!$CM$34,FALSE)="",IF(VLOOKUP(MATCH(E84,c_id,0),ca,'13(an)'!$CN$34,FALSE)="",IF(VLOOKUP(MATCH(E84,c_id,0),ca,'13(an)'!$CO$34,FALSE)="","η ≈ N/A","η ≈ "&amp;ROUND(VLOOKUP(MATCH(E84,c_id,0),ca,'13(an)'!$CO$34,FALSE)*100,0)&amp;"%"),"η ≈ "&amp;ROUND(VLOOKUP(MATCH(E84,c_id,0),ca,'13(an)'!$CN$34,FALSE)*100,0)&amp;"%"),"η ≈ "&amp;ROUND(VLOOKUP(MATCH(E84,c_id,0),ca,'13(an)'!$CM$34,FALSE)*100,0)&amp;"%"))</f>
        <v>η ≈ 73%</v>
      </c>
      <c r="AE86" s="7598" t="str">
        <f>+IF($AE$1137="ppmvd",IF(VLOOKUP(MATCH(E84,c_id,0),ca,'13(an)'!$CJ$34,FALSE)="","",ROUND(VLOOKUP(MATCH(E84,c_id,0),ca,'13(an)'!$CJ$34,FALSE),1)&amp;" ppmvd"),IF(VLOOKUP(MATCH(E84,c_id,0),ca,'13(an)'!$CI$34,FALSE)="","",IF(LEN(ROUND(VLOOKUP(MATCH(E84,c_id,0),ca,'13(an)'!$CI$34,FALSE),3))=3,ROUND(VLOOKUP(MATCH(E84,c_id,0),ca,'13(an)'!$CI$34,FALSE),3)&amp;"00 lb/MMBtu",IF(LEN(ROUND(VLOOKUP(MATCH(E84,c_id,0),ca,'13(an)'!$CI$34,FALSE),3))=4,ROUND(VLOOKUP(MATCH(E84,c_id,0),ca,'13(an)'!$CI$34,FALSE),3)&amp;"0 lb/MMBtu",ROUND(VLOOKUP(MATCH(E84,c_id,0),ca,'13(an)'!$CI$34,FALSE),3)&amp;" lb/MMBtu"))))</f>
        <v>0.199 lb/MMBtu</v>
      </c>
      <c r="AF86" s="7599">
        <f>+IF(E84="","",IF(VLOOKUP(MATCH(E84,c_id,0),ca,'13(an)'!$CL$34,FALSE)="","NOx(R) = N/A",ROUND(VLOOKUP(MATCH(E84,c_id,0),ca,'13(an)'!$CL$34,FALSE),1)))</f>
        <v>1.2</v>
      </c>
      <c r="AG86" s="7536"/>
      <c r="AH86" s="5962"/>
      <c r="AI86" s="5959"/>
      <c r="AJ86" s="5959"/>
      <c r="AK86" s="5959"/>
      <c r="AL86" s="5959"/>
      <c r="AM86" s="5959"/>
    </row>
    <row r="87" spans="1:39" ht="14.1" customHeight="1">
      <c r="A87" s="5952"/>
      <c r="B87" s="8990"/>
      <c r="C87" s="8994" t="str">
        <f>+IF(B87="","",VLOOKUP(MATCH(B87,tid,0),tao,'12(id)'!$J$20,FALSE))</f>
        <v/>
      </c>
      <c r="D87" s="9008"/>
      <c r="E87" s="9024"/>
      <c r="F87" s="5952"/>
      <c r="G87" s="5959"/>
      <c r="H87" s="5952"/>
      <c r="I87" s="9051"/>
      <c r="J87" s="9055"/>
      <c r="K87" s="9013" t="e">
        <f>+IF(VLOOKUP(MATCH(B87,tid,0),tao,'12(id)'!$K$20,FALSE)="","",VLOOKUP(MATCH(B87,tid,0),tao,'12(id)'!$K$20,FALSE))</f>
        <v>#N/A</v>
      </c>
      <c r="L87" s="9013" t="e">
        <f>+IF(VLOOKUP(MATCH(B87,tid,0),tao,'12(id)'!$L$20,FALSE)="","",VLOOKUP(MATCH(B87,tid,0),tao,'12(id)'!$L$20,FALSE))</f>
        <v>#N/A</v>
      </c>
      <c r="M87" s="9038" t="e">
        <f>+IF(VLOOKUP(MATCH(B87,tid,0),tao,'12(id)'!$Q$20,FALSE)="","",VLOOKUP(MATCH(B87,tid,0),tao,'12(id)'!$Q$20,FALSE))</f>
        <v>#N/A</v>
      </c>
      <c r="N87" s="9042" t="e">
        <f>+IF(VLOOKUP(MATCH(B87,tid,0),tao,'12(id)'!$CT$20,FALSE)="","",VLOOKUP(MATCH(B87,tid,0),tao,'12(id)'!$CT$20,FALSE))</f>
        <v>#N/A</v>
      </c>
      <c r="O87" s="9004" t="e">
        <f>+IF(VLOOKUP(MATCH(B87,tid,0),tao,'12(id)'!$DE$20,FALSE)="","",ROUND(VLOOKUP(MATCH(B87,tid,0),tao,'12(id)'!$DE$20,FALSE),0)&amp;" yrs")</f>
        <v>#N/A</v>
      </c>
      <c r="P87" s="9001" t="e">
        <f>+IF(VLOOKUP(MATCH(B87,tid,0),tao,'12(id)'!$FR$20,FALSE)="","",VLOOKUP(MATCH(B87,tid,0),tao,'12(id)'!$FR$20,FALSE))</f>
        <v>#N/A</v>
      </c>
      <c r="Q87" s="9004" t="e">
        <f>+IF(VLOOKUP(MATCH(B87,tid,0),tao,'12(id)'!$DI$20,FALSE)="","",VLOOKUP(MATCH(B87,tid,0),tao,'12(id)'!$DI$20,FALSE))&amp;";  "&amp;IF(VLOOKUP(MATCH(B87,tid,0),tao,'12(id)'!$DQ$20,FALSE)="","",VLOOKUP(MATCH(B87,tid,0),tao,'12(id)'!$DQ$20,FALSE))</f>
        <v>#N/A</v>
      </c>
      <c r="R87" s="8906"/>
      <c r="S87" s="8818"/>
      <c r="T87" s="7537">
        <f>+IF(VLOOKUP(MATCH(E84,c_id,0),ca,'13(an)'!$GF$34,FALSE)="","",VLOOKUP(MATCH(E84,c_id,0),ca,'13(an)'!$GF$34,FALSE))</f>
        <v>1005000</v>
      </c>
      <c r="U87" s="7538" t="str">
        <f>+IF(T87="","","$ TCC/unit")</f>
        <v>$ TCC/unit</v>
      </c>
      <c r="V87" s="7539">
        <f>+IF(VLOOKUP(MATCH(E84,c_id,0),ca,'13(an)'!$HA$34,FALSE)="","",VLOOKUP(MATCH(E84,c_id,0),ca,'13(an)'!$HA$34,FALSE))</f>
        <v>94865</v>
      </c>
      <c r="W87" s="7540"/>
      <c r="X87" s="8818"/>
      <c r="Y87" s="7537">
        <f>+IF(VLOOKUP(MATCH(E84,c_id,0),ca,'13(an)'!$IA$34,FALSE)="","",VLOOKUP(MATCH(E84,c_id,0),ca,'13(an)'!$IA$34,FALSE))</f>
        <v>1005000</v>
      </c>
      <c r="Z87" s="7538" t="str">
        <f>+IF(Y87="","","$ TCC/unit")</f>
        <v>$ TCC/unit</v>
      </c>
      <c r="AA87" s="7539">
        <f>+IF(Y87="","",$AA$14*Y87)</f>
        <v>94864.890371971967</v>
      </c>
      <c r="AB87" s="7541"/>
      <c r="AC87" s="8818"/>
      <c r="AD87" s="7537">
        <f>+IF(VLOOKUP(MATCH(E84,c_id,0),ca,'13(an)'!$JS$34,FALSE)="","",VLOOKUP(MATCH(E84,c_id,0),ca,'13(an)'!$JS$34,FALSE))</f>
        <v>1850675</v>
      </c>
      <c r="AE87" s="7538" t="str">
        <f>+IF(AD87="","","$ TCC/unit")</f>
        <v>$ TCC/unit</v>
      </c>
      <c r="AF87" s="7539">
        <f>+IF(AD87="","",$AF$14*AD87)</f>
        <v>158807.37895735534</v>
      </c>
      <c r="AG87" s="7542"/>
      <c r="AH87" s="5962"/>
      <c r="AI87" s="5959"/>
      <c r="AJ87" s="5959"/>
      <c r="AK87" s="5959"/>
      <c r="AL87" s="5959"/>
      <c r="AM87" s="5959"/>
    </row>
    <row r="88" spans="1:39" ht="14.1" customHeight="1">
      <c r="A88" s="5952"/>
      <c r="B88" s="8990"/>
      <c r="C88" s="8994" t="str">
        <f>+IF(B88="","",VLOOKUP(MATCH(B88,tid,0),tao,'12(id)'!$J$20,FALSE))</f>
        <v/>
      </c>
      <c r="D88" s="9008"/>
      <c r="E88" s="9024"/>
      <c r="F88" s="5952"/>
      <c r="G88" s="5959"/>
      <c r="H88" s="5952"/>
      <c r="I88" s="9051"/>
      <c r="J88" s="9055"/>
      <c r="K88" s="9013" t="e">
        <f>+IF(VLOOKUP(MATCH(B88,tid,0),tao,'12(id)'!$K$20,FALSE)="","",VLOOKUP(MATCH(B88,tid,0),tao,'12(id)'!$K$20,FALSE))</f>
        <v>#N/A</v>
      </c>
      <c r="L88" s="9013" t="e">
        <f>+IF(VLOOKUP(MATCH(B88,tid,0),tao,'12(id)'!$L$20,FALSE)="","",VLOOKUP(MATCH(B88,tid,0),tao,'12(id)'!$L$20,FALSE))</f>
        <v>#N/A</v>
      </c>
      <c r="M88" s="9038" t="e">
        <f>+IF(VLOOKUP(MATCH(B88,tid,0),tao,'12(id)'!$Q$20,FALSE)="","",VLOOKUP(MATCH(B88,tid,0),tao,'12(id)'!$Q$20,FALSE))</f>
        <v>#N/A</v>
      </c>
      <c r="N88" s="9042" t="e">
        <f>+IF(VLOOKUP(MATCH(B88,tid,0),tao,'12(id)'!$CT$20,FALSE)="","",VLOOKUP(MATCH(B88,tid,0),tao,'12(id)'!$CT$20,FALSE))</f>
        <v>#N/A</v>
      </c>
      <c r="O88" s="9004" t="e">
        <f>+IF(VLOOKUP(MATCH(B88,tid,0),tao,'12(id)'!$DE$20,FALSE)="","",ROUND(VLOOKUP(MATCH(B88,tid,0),tao,'12(id)'!$DE$20,FALSE),0)&amp;" yrs")</f>
        <v>#N/A</v>
      </c>
      <c r="P88" s="9001" t="e">
        <f>+IF(VLOOKUP(MATCH(B88,tid,0),tao,'12(id)'!$FR$20,FALSE)="","",VLOOKUP(MATCH(B88,tid,0),tao,'12(id)'!$FR$20,FALSE))</f>
        <v>#N/A</v>
      </c>
      <c r="Q88" s="9004" t="e">
        <f>+IF(VLOOKUP(MATCH(B88,tid,0),tao,'12(id)'!$DI$20,FALSE)="","",VLOOKUP(MATCH(B88,tid,0),tao,'12(id)'!$DI$20,FALSE))&amp;";  "&amp;IF(VLOOKUP(MATCH(B88,tid,0),tao,'12(id)'!$DQ$20,FALSE)="","",VLOOKUP(MATCH(B88,tid,0),tao,'12(id)'!$DQ$20,FALSE))</f>
        <v>#N/A</v>
      </c>
      <c r="R88" s="8906"/>
      <c r="S88" s="8818"/>
      <c r="T88" s="7543">
        <f>+IF(OR(T87="",N66=""),"",T87/N66)</f>
        <v>50250</v>
      </c>
      <c r="U88" s="8820" t="str">
        <f>+IF(T88="","","$ TCC / MW nominal capacity")</f>
        <v>$ TCC / MW nominal capacity</v>
      </c>
      <c r="V88" s="8820"/>
      <c r="W88" s="7544"/>
      <c r="X88" s="8818"/>
      <c r="Y88" s="7543">
        <f>+IF(OR(Y87="",N66=""),"",Y87/N66)</f>
        <v>50250</v>
      </c>
      <c r="Z88" s="8820" t="str">
        <f>+IF(Y88="","","$ TCC / MW nominal capacity")</f>
        <v>$ TCC / MW nominal capacity</v>
      </c>
      <c r="AA88" s="8820"/>
      <c r="AB88" s="7545"/>
      <c r="AC88" s="8818"/>
      <c r="AD88" s="7543">
        <f>+IF(OR(AD87="",N66=""),"",AD87/N66)</f>
        <v>92533.75</v>
      </c>
      <c r="AE88" s="8820" t="str">
        <f>+IF(AD88="","","$ TCC / MW nominal capacity")</f>
        <v>$ TCC / MW nominal capacity</v>
      </c>
      <c r="AF88" s="8820"/>
      <c r="AG88" s="7546"/>
      <c r="AH88" s="5962"/>
      <c r="AI88" s="5959"/>
      <c r="AJ88" s="5959"/>
      <c r="AK88" s="5959"/>
      <c r="AL88" s="5959"/>
      <c r="AM88" s="5959"/>
    </row>
    <row r="89" spans="1:39" ht="14.1" customHeight="1">
      <c r="A89" s="5952"/>
      <c r="B89" s="8990"/>
      <c r="C89" s="8994" t="str">
        <f>+IF(B89="","",VLOOKUP(MATCH(B89,tid,0),tao,'12(id)'!$J$20,FALSE))</f>
        <v/>
      </c>
      <c r="D89" s="9008"/>
      <c r="E89" s="9025"/>
      <c r="F89" s="5952"/>
      <c r="G89" s="5959"/>
      <c r="H89" s="5952"/>
      <c r="I89" s="9051"/>
      <c r="J89" s="9055"/>
      <c r="K89" s="9013" t="e">
        <f>+IF(VLOOKUP(MATCH(B89,tid,0),tao,'12(id)'!$K$20,FALSE)="","",VLOOKUP(MATCH(B89,tid,0),tao,'12(id)'!$K$20,FALSE))</f>
        <v>#N/A</v>
      </c>
      <c r="L89" s="9013" t="e">
        <f>+IF(VLOOKUP(MATCH(B89,tid,0),tao,'12(id)'!$L$20,FALSE)="","",VLOOKUP(MATCH(B89,tid,0),tao,'12(id)'!$L$20,FALSE))</f>
        <v>#N/A</v>
      </c>
      <c r="M89" s="9038" t="e">
        <f>+IF(VLOOKUP(MATCH(B89,tid,0),tao,'12(id)'!$Q$20,FALSE)="","",VLOOKUP(MATCH(B89,tid,0),tao,'12(id)'!$Q$20,FALSE))</f>
        <v>#N/A</v>
      </c>
      <c r="N89" s="9042" t="e">
        <f>+IF(VLOOKUP(MATCH(B89,tid,0),tao,'12(id)'!$CT$20,FALSE)="","",VLOOKUP(MATCH(B89,tid,0),tao,'12(id)'!$CT$20,FALSE))</f>
        <v>#N/A</v>
      </c>
      <c r="O89" s="9004" t="e">
        <f>+IF(VLOOKUP(MATCH(B89,tid,0),tao,'12(id)'!$DE$20,FALSE)="","",ROUND(VLOOKUP(MATCH(B89,tid,0),tao,'12(id)'!$DE$20,FALSE),0)&amp;" yrs")</f>
        <v>#N/A</v>
      </c>
      <c r="P89" s="9001" t="e">
        <f>+IF(VLOOKUP(MATCH(B89,tid,0),tao,'12(id)'!$FR$20,FALSE)="","",VLOOKUP(MATCH(B89,tid,0),tao,'12(id)'!$FR$20,FALSE))</f>
        <v>#N/A</v>
      </c>
      <c r="Q89" s="9004" t="e">
        <f>+IF(VLOOKUP(MATCH(B89,tid,0),tao,'12(id)'!$DI$20,FALSE)="","",VLOOKUP(MATCH(B89,tid,0),tao,'12(id)'!$DI$20,FALSE))&amp;";  "&amp;IF(VLOOKUP(MATCH(B89,tid,0),tao,'12(id)'!$DQ$20,FALSE)="","",VLOOKUP(MATCH(B89,tid,0),tao,'12(id)'!$DQ$20,FALSE))</f>
        <v>#N/A</v>
      </c>
      <c r="R89" s="8981"/>
      <c r="S89" s="8819"/>
      <c r="T89" s="7590">
        <f>+IF(VLOOKUP(MATCH(E84,c_id,0),ca,'13(an)'!$HF$34,FALSE)="","",VLOOKUP(MATCH(E84,c_id,0),ca,'13(an)'!$HF$34,FALSE))</f>
        <v>40565</v>
      </c>
      <c r="U89" s="8896" t="str">
        <f>IF(T89="","","$ /ton "&amp;"NOx(R)")</f>
        <v>$ /ton NOx(R)</v>
      </c>
      <c r="V89" s="8896"/>
      <c r="W89" s="7591"/>
      <c r="X89" s="8819"/>
      <c r="Y89" s="7590">
        <f>+IF(VLOOKUP(MATCH(E84,c_id,0),ca,'13(an)'!$JE$34,FALSE)="","",VLOOKUP(MATCH(E84,c_id,0),ca,'13(an)'!$JE$34,FALSE))</f>
        <v>108508.37246111203</v>
      </c>
      <c r="Z89" s="8896" t="str">
        <f>IF(Y89="","","$ /ton "&amp;"NOx(R)")</f>
        <v>$ /ton NOx(R)</v>
      </c>
      <c r="AA89" s="8896"/>
      <c r="AB89" s="7592"/>
      <c r="AC89" s="8819"/>
      <c r="AD89" s="7590">
        <f>+IF(VLOOKUP(MATCH(E84,c_id,0),ca,'13(an)'!$LB$34,FALSE)="","",VLOOKUP(MATCH(E84,c_id,0),ca,'13(an)'!$LB$34,FALSE))</f>
        <v>190475.23179180524</v>
      </c>
      <c r="AE89" s="8896" t="str">
        <f>IF(AD89="","","$ /ton "&amp;"NOx(R)")</f>
        <v>$ /ton NOx(R)</v>
      </c>
      <c r="AF89" s="8896"/>
      <c r="AG89" s="7593"/>
      <c r="AH89" s="5962"/>
      <c r="AI89" s="5959"/>
      <c r="AJ89" s="5959"/>
      <c r="AK89" s="5959"/>
      <c r="AL89" s="5959"/>
      <c r="AM89" s="5959"/>
    </row>
    <row r="90" spans="1:39" ht="24.95" customHeight="1">
      <c r="A90" s="5952"/>
      <c r="B90" s="8990"/>
      <c r="C90" s="8994" t="str">
        <f>+IF(B90="","",VLOOKUP(MATCH(B90,tid,0),tao,'12(id)'!$J$20,FALSE))</f>
        <v/>
      </c>
      <c r="D90" s="9008"/>
      <c r="E90" s="9045" t="str">
        <f>+IF(B66="","",B66&amp;IF(ISERR(VALUE(1+R84)),"-01",IF(1+R84&lt;10,"-0"&amp;1+R84,"-"&amp;1+R84)))</f>
        <v>8303-01-05</v>
      </c>
      <c r="F90" s="5952"/>
      <c r="G90" s="5959"/>
      <c r="H90" s="5952"/>
      <c r="I90" s="9051"/>
      <c r="J90" s="9055"/>
      <c r="K90" s="9013" t="e">
        <f>+IF(VLOOKUP(MATCH(B90,tid,0),tao,'12(id)'!$K$20,FALSE)="","",VLOOKUP(MATCH(B90,tid,0),tao,'12(id)'!$K$20,FALSE))</f>
        <v>#N/A</v>
      </c>
      <c r="L90" s="9013" t="e">
        <f>+IF(VLOOKUP(MATCH(B90,tid,0),tao,'12(id)'!$L$20,FALSE)="","",VLOOKUP(MATCH(B90,tid,0),tao,'12(id)'!$L$20,FALSE))</f>
        <v>#N/A</v>
      </c>
      <c r="M90" s="9038" t="e">
        <f>+IF(VLOOKUP(MATCH(B90,tid,0),tao,'12(id)'!$Q$20,FALSE)="","",VLOOKUP(MATCH(B90,tid,0),tao,'12(id)'!$Q$20,FALSE))</f>
        <v>#N/A</v>
      </c>
      <c r="N90" s="9042" t="e">
        <f>+IF(VLOOKUP(MATCH(B90,tid,0),tao,'12(id)'!$CT$20,FALSE)="","",VLOOKUP(MATCH(B90,tid,0),tao,'12(id)'!$CT$20,FALSE))</f>
        <v>#N/A</v>
      </c>
      <c r="O90" s="9004" t="e">
        <f>+IF(VLOOKUP(MATCH(B90,tid,0),tao,'12(id)'!$DE$20,FALSE)="","",ROUND(VLOOKUP(MATCH(B90,tid,0),tao,'12(id)'!$DE$20,FALSE),0)&amp;" yrs")</f>
        <v>#N/A</v>
      </c>
      <c r="P90" s="9001" t="e">
        <f>+IF(VLOOKUP(MATCH(B90,tid,0),tao,'12(id)'!$FR$20,FALSE)="","",VLOOKUP(MATCH(B90,tid,0),tao,'12(id)'!$FR$20,FALSE))</f>
        <v>#N/A</v>
      </c>
      <c r="Q90" s="9004" t="e">
        <f>+IF(VLOOKUP(MATCH(B90,tid,0),tao,'12(id)'!$DI$20,FALSE)="","",VLOOKUP(MATCH(B90,tid,0),tao,'12(id)'!$DI$20,FALSE))&amp;";  "&amp;IF(VLOOKUP(MATCH(B90,tid,0),tao,'12(id)'!$DQ$20,FALSE)="","",VLOOKUP(MATCH(B90,tid,0),tao,'12(id)'!$DQ$20,FALSE))</f>
        <v>#N/A</v>
      </c>
      <c r="R90" s="8982">
        <f>+IF(B66="","",1+R84)</f>
        <v>5</v>
      </c>
      <c r="S90" s="8859"/>
      <c r="T90" s="8983" t="str">
        <f>+IF(VLOOKUP(MATCH(E90,c_id,0),ca,'13(an)'!$BD$34,FALSE)="","",VLOOKUP(MATCH(E90,c_id,0),ca,'13(an)'!$BD$34,FALSE))</f>
        <v>High Pressure Water Injection (HPWI) - Oil Kerosene K1</v>
      </c>
      <c r="U90" s="8983"/>
      <c r="V90" s="8983"/>
      <c r="W90" s="7553"/>
      <c r="X90" s="8859"/>
      <c r="Y90" s="8871" t="str">
        <f>+IF(T90="","",T90)</f>
        <v>High Pressure Water Injection (HPWI) - Oil Kerosene K1</v>
      </c>
      <c r="Z90" s="8871"/>
      <c r="AA90" s="8871"/>
      <c r="AB90" s="7554"/>
      <c r="AC90" s="8859"/>
      <c r="AD90" s="8874" t="str">
        <f>+IF(Y90="","",Y90)</f>
        <v>High Pressure Water Injection (HPWI) - Oil Kerosene K1</v>
      </c>
      <c r="AE90" s="8874"/>
      <c r="AF90" s="8874"/>
      <c r="AG90" s="7555"/>
      <c r="AH90" s="5962"/>
      <c r="AI90" s="5959"/>
      <c r="AJ90" s="5959"/>
      <c r="AK90" s="5959"/>
      <c r="AL90" s="5959"/>
      <c r="AM90" s="5959"/>
    </row>
    <row r="91" spans="1:39" ht="12.75" customHeight="1">
      <c r="A91" s="5952"/>
      <c r="B91" s="8990"/>
      <c r="C91" s="8994" t="str">
        <f>+IF(B91="","",VLOOKUP(MATCH(B91,tid,0),tao,'12(id)'!$J$20,FALSE))</f>
        <v/>
      </c>
      <c r="D91" s="9008"/>
      <c r="E91" s="9024"/>
      <c r="F91" s="5952"/>
      <c r="G91" s="5959"/>
      <c r="H91" s="5952"/>
      <c r="I91" s="9051"/>
      <c r="J91" s="9055"/>
      <c r="K91" s="9013" t="e">
        <f>+IF(VLOOKUP(MATCH(B91,tid,0),tao,'12(id)'!$K$20,FALSE)="","",VLOOKUP(MATCH(B91,tid,0),tao,'12(id)'!$K$20,FALSE))</f>
        <v>#N/A</v>
      </c>
      <c r="L91" s="9013" t="e">
        <f>+IF(VLOOKUP(MATCH(B91,tid,0),tao,'12(id)'!$L$20,FALSE)="","",VLOOKUP(MATCH(B91,tid,0),tao,'12(id)'!$L$20,FALSE))</f>
        <v>#N/A</v>
      </c>
      <c r="M91" s="9038" t="e">
        <f>+IF(VLOOKUP(MATCH(B91,tid,0),tao,'12(id)'!$Q$20,FALSE)="","",VLOOKUP(MATCH(B91,tid,0),tao,'12(id)'!$Q$20,FALSE))</f>
        <v>#N/A</v>
      </c>
      <c r="N91" s="9042" t="e">
        <f>+IF(VLOOKUP(MATCH(B91,tid,0),tao,'12(id)'!$CT$20,FALSE)="","",VLOOKUP(MATCH(B91,tid,0),tao,'12(id)'!$CT$20,FALSE))</f>
        <v>#N/A</v>
      </c>
      <c r="O91" s="9004" t="e">
        <f>+IF(VLOOKUP(MATCH(B91,tid,0),tao,'12(id)'!$DE$20,FALSE)="","",ROUND(VLOOKUP(MATCH(B91,tid,0),tao,'12(id)'!$DE$20,FALSE),0)&amp;" yrs")</f>
        <v>#N/A</v>
      </c>
      <c r="P91" s="9001" t="e">
        <f>+IF(VLOOKUP(MATCH(B91,tid,0),tao,'12(id)'!$FR$20,FALSE)="","",VLOOKUP(MATCH(B91,tid,0),tao,'12(id)'!$FR$20,FALSE))</f>
        <v>#N/A</v>
      </c>
      <c r="Q91" s="9004" t="e">
        <f>+IF(VLOOKUP(MATCH(B91,tid,0),tao,'12(id)'!$DI$20,FALSE)="","",VLOOKUP(MATCH(B91,tid,0),tao,'12(id)'!$DI$20,FALSE))&amp;";  "&amp;IF(VLOOKUP(MATCH(B91,tid,0),tao,'12(id)'!$DQ$20,FALSE)="","",VLOOKUP(MATCH(B91,tid,0),tao,'12(id)'!$DQ$20,FALSE))</f>
        <v>#N/A</v>
      </c>
      <c r="R91" s="8906"/>
      <c r="S91" s="8988"/>
      <c r="T91" s="7594" t="str">
        <f>+IF(E90="","",IF(VLOOKUP(MATCH(E90,c_id,0),ca,'13(an)'!$CC$34,FALSE)="",IF(VLOOKUP(MATCH(E90,c_id,0),ca,'13(an)'!$CD$34,FALSE)="",IF(VLOOKUP(MATCH(E90,c_id,0),ca,'13(an)'!$CE$34,FALSE)="","η ≈ N/A","η ≈ "&amp;ROUND(VLOOKUP(MATCH(E90,c_id,0),ca,'13(an)'!$CE$34,FALSE)*100,0)&amp;"%"),"η ≈ "&amp;ROUND(VLOOKUP(MATCH(E90,c_id,0),ca,'13(an)'!$CD$34,FALSE)*100,0)&amp;"%"),"η ≈ "&amp;ROUND(VLOOKUP(MATCH(E90,c_id,0),ca,'13(an)'!$CC$34,FALSE)*100,0)&amp;"%"))</f>
        <v>η ≈ 60%</v>
      </c>
      <c r="U91" s="7595" t="str">
        <f>+IF($U$110="ppmvd",IF(VLOOKUP(MATCH(E90,c_id,0),ca,'13(an)'!$BV$34,FALSE)="","",ROUND(VLOOKUP(MATCH(E90,c_id,0),ca,'13(an)'!$BV$34,FALSE),1)&amp;" ppmvd"),IF(VLOOKUP(MATCH(E90,c_id,0),ca,'13(an)'!$BU$34,FALSE)="","",IF(LEN(ROUND(VLOOKUP(MATCH(E90,c_id,0),ca,'13(an)'!$BU$34,FALSE),3))=3,ROUND(VLOOKUP(MATCH(E90,c_id,0),ca,'13(an)'!$BU$34,FALSE),3)&amp;"00 lb/MMBtu",IF(LEN(ROUND(VLOOKUP(MATCH(E90,c_id,0),ca,'13(an)'!$BU$34,FALSE),3))=4,ROUND(VLOOKUP(MATCH(E90,c_id,0),ca,'13(an)'!$BU$34,FALSE),3)&amp;"0 lb/MMBtu",ROUND(VLOOKUP(MATCH(E90,c_id,0),ca,'13(an)'!$BU$34,FALSE),3)&amp;" lb/MMBtu"))))</f>
        <v>75 ppmvd</v>
      </c>
      <c r="V91" s="7596">
        <f>+IF(E90="","",IF(VLOOKUP(MATCH(E90,c_id,0),ca,'13(an)'!$CB$34,FALSE)="","NOx(R) = N/A",ROUND(VLOOKUP(MATCH(E90,c_id,0),ca,'13(an)'!$CB$34,FALSE),1)))</f>
        <v>2.7</v>
      </c>
      <c r="W91" s="7534"/>
      <c r="X91" s="8818"/>
      <c r="Y91" s="7597" t="str">
        <f>+IF(E90="","",IF(VLOOKUP(MATCH(E90,c_id,0),ca,'13(an)'!$CM$34,FALSE)="",IF(VLOOKUP(MATCH(E90,c_id,0),ca,'13(an)'!$CN$34,FALSE)="",IF(VLOOKUP(MATCH(E90,c_id,0),ca,'13(an)'!$CO$34,FALSE)="","η ≈ N/A","η ≈ "&amp;ROUND(VLOOKUP(MATCH(E90,c_id,0),ca,'13(an)'!$CO$34,FALSE)*100,0)&amp;"%"),"η ≈ "&amp;ROUND(VLOOKUP(MATCH(E90,c_id,0),ca,'13(an)'!$CN$34,FALSE)*100,0)&amp;"%"),"η ≈ "&amp;ROUND(VLOOKUP(MATCH(E90,c_id,0),ca,'13(an)'!$CM$34,FALSE)*100,0)&amp;"%"))</f>
        <v>η ≈ 60%</v>
      </c>
      <c r="Z91" s="7598" t="str">
        <f>+IF($Z$110="ppmvd",IF(VLOOKUP(MATCH(E90,c_id,0),ca,'13(an)'!$CJ$34,FALSE)="","",ROUND(VLOOKUP(MATCH(E90,c_id,0),ca,'13(an)'!$CJ$34,FALSE),1)&amp;" ppmvd"),IF(VLOOKUP(MATCH(E90,c_id,0),ca,'13(an)'!$CI$34,FALSE)="","",IF(LEN(ROUND(VLOOKUP(MATCH(E90,c_id,0),ca,'13(an)'!$CI$34,FALSE),3))=3,ROUND(VLOOKUP(MATCH(E90,c_id,0),ca,'13(an)'!$CI$34,FALSE),3)&amp;"00 lb/MMBtu",IF(LEN(ROUND(VLOOKUP(MATCH(E90,c_id,0),ca,'13(an)'!$CI$34,FALSE),3))=4,ROUND(VLOOKUP(MATCH(E90,c_id,0),ca,'13(an)'!$CI$34,FALSE),3)&amp;"0 lb/MMBtu",ROUND(VLOOKUP(MATCH(E90,c_id,0),ca,'13(an)'!$CI$34,FALSE),3)&amp;" lb/MMBtu"))))</f>
        <v>0.299 lb/MMBtu</v>
      </c>
      <c r="AA91" s="7599">
        <f>+IF(E90="","",IF(VLOOKUP(MATCH(E90,c_id,0),ca,'13(an)'!$CL$34,FALSE)="","NOx(R) = N/A",ROUND(VLOOKUP(MATCH(E90,c_id,0),ca,'13(an)'!$CL$34,FALSE),1)))</f>
        <v>1</v>
      </c>
      <c r="AB91" s="7535"/>
      <c r="AC91" s="8818"/>
      <c r="AD91" s="7597" t="str">
        <f>+IF(E90="","",IF(VLOOKUP(MATCH(E90,c_id,0),ca,'13(an)'!$CM$34,FALSE)="",IF(VLOOKUP(MATCH(E90,c_id,0),ca,'13(an)'!$CN$34,FALSE)="",IF(VLOOKUP(MATCH(E90,c_id,0),ca,'13(an)'!$CO$34,FALSE)="","η ≈ N/A","η ≈ "&amp;ROUND(VLOOKUP(MATCH(E90,c_id,0),ca,'13(an)'!$CO$34,FALSE)*100,0)&amp;"%"),"η ≈ "&amp;ROUND(VLOOKUP(MATCH(E90,c_id,0),ca,'13(an)'!$CN$34,FALSE)*100,0)&amp;"%"),"η ≈ "&amp;ROUND(VLOOKUP(MATCH(E90,c_id,0),ca,'13(an)'!$CM$34,FALSE)*100,0)&amp;"%"))</f>
        <v>η ≈ 60%</v>
      </c>
      <c r="AE91" s="7598" t="str">
        <f>+IF($AE$110="ppmvd",IF(VLOOKUP(MATCH(E90,c_id,0),ca,'13(an)'!$CJ$34,FALSE)="","",ROUND(VLOOKUP(MATCH(E90,c_id,0),ca,'13(an)'!$CJ$34,FALSE),1)&amp;" ppmvd"),IF(VLOOKUP(MATCH(E90,c_id,0),ca,'13(an)'!$CI$34,FALSE)="","",IF(LEN(ROUND(VLOOKUP(MATCH(E90,c_id,0),ca,'13(an)'!$CI$34,FALSE),3))=3,ROUND(VLOOKUP(MATCH(E90,c_id,0),ca,'13(an)'!$CI$34,FALSE),3)&amp;"00 lb/MMBtu",IF(LEN(ROUND(VLOOKUP(MATCH(E90,c_id,0),ca,'13(an)'!$CI$34,FALSE),3))=4,ROUND(VLOOKUP(MATCH(E90,c_id,0),ca,'13(an)'!$CI$34,FALSE),3)&amp;"0 lb/MMBtu",ROUND(VLOOKUP(MATCH(E90,c_id,0),ca,'13(an)'!$CI$34,FALSE),3)&amp;" lb/MMBtu"))))</f>
        <v>0.299 lb/MMBtu</v>
      </c>
      <c r="AF91" s="7599">
        <f>+IF(E90="","",IF(VLOOKUP(MATCH(E90,c_id,0),ca,'13(an)'!$CL$34,FALSE)="","NOx(R) = N/A",ROUND(VLOOKUP(MATCH(E90,c_id,0),ca,'13(an)'!$CL$34,FALSE),1)))</f>
        <v>1</v>
      </c>
      <c r="AG91" s="7536"/>
      <c r="AH91" s="5962"/>
      <c r="AI91" s="5959"/>
      <c r="AJ91" s="5959"/>
      <c r="AK91" s="5959"/>
      <c r="AL91" s="5959"/>
      <c r="AM91" s="5959"/>
    </row>
    <row r="92" spans="1:39" ht="12.75" customHeight="1">
      <c r="A92" s="5952"/>
      <c r="B92" s="8990"/>
      <c r="C92" s="8994" t="str">
        <f>+IF(B92="","",VLOOKUP(MATCH(B92,tid,0),tao,'12(id)'!$J$20,FALSE))</f>
        <v/>
      </c>
      <c r="D92" s="9008"/>
      <c r="E92" s="9024"/>
      <c r="F92" s="5952"/>
      <c r="G92" s="5959"/>
      <c r="H92" s="5952"/>
      <c r="I92" s="9051"/>
      <c r="J92" s="9055"/>
      <c r="K92" s="9013" t="e">
        <f>+IF(VLOOKUP(MATCH(B92,tid,0),tao,'12(id)'!$K$20,FALSE)="","",VLOOKUP(MATCH(B92,tid,0),tao,'12(id)'!$K$20,FALSE))</f>
        <v>#N/A</v>
      </c>
      <c r="L92" s="9013" t="e">
        <f>+IF(VLOOKUP(MATCH(B92,tid,0),tao,'12(id)'!$L$20,FALSE)="","",VLOOKUP(MATCH(B92,tid,0),tao,'12(id)'!$L$20,FALSE))</f>
        <v>#N/A</v>
      </c>
      <c r="M92" s="9038" t="e">
        <f>+IF(VLOOKUP(MATCH(B92,tid,0),tao,'12(id)'!$Q$20,FALSE)="","",VLOOKUP(MATCH(B92,tid,0),tao,'12(id)'!$Q$20,FALSE))</f>
        <v>#N/A</v>
      </c>
      <c r="N92" s="9042" t="e">
        <f>+IF(VLOOKUP(MATCH(B92,tid,0),tao,'12(id)'!$CT$20,FALSE)="","",VLOOKUP(MATCH(B92,tid,0),tao,'12(id)'!$CT$20,FALSE))</f>
        <v>#N/A</v>
      </c>
      <c r="O92" s="9004" t="e">
        <f>+IF(VLOOKUP(MATCH(B92,tid,0),tao,'12(id)'!$DE$20,FALSE)="","",ROUND(VLOOKUP(MATCH(B92,tid,0),tao,'12(id)'!$DE$20,FALSE),0)&amp;" yrs")</f>
        <v>#N/A</v>
      </c>
      <c r="P92" s="9001" t="e">
        <f>+IF(VLOOKUP(MATCH(B92,tid,0),tao,'12(id)'!$FR$20,FALSE)="","",VLOOKUP(MATCH(B92,tid,0),tao,'12(id)'!$FR$20,FALSE))</f>
        <v>#N/A</v>
      </c>
      <c r="Q92" s="9004" t="e">
        <f>+IF(VLOOKUP(MATCH(B92,tid,0),tao,'12(id)'!$DI$20,FALSE)="","",VLOOKUP(MATCH(B92,tid,0),tao,'12(id)'!$DI$20,FALSE))&amp;";  "&amp;IF(VLOOKUP(MATCH(B92,tid,0),tao,'12(id)'!$DQ$20,FALSE)="","",VLOOKUP(MATCH(B92,tid,0),tao,'12(id)'!$DQ$20,FALSE))</f>
        <v>#N/A</v>
      </c>
      <c r="R92" s="8906"/>
      <c r="S92" s="8818"/>
      <c r="T92" s="7537">
        <f>+IF(VLOOKUP(MATCH(E90,c_id,0),ca,'13(an)'!$GF$34,FALSE)="","",VLOOKUP(MATCH(E90,c_id,0),ca,'13(an)'!$GF$34,FALSE))</f>
        <v>880000</v>
      </c>
      <c r="U92" s="7538" t="str">
        <f>+IF(T92="","","$ TCC/unit")</f>
        <v>$ TCC/unit</v>
      </c>
      <c r="V92" s="7539">
        <f>+IF(VLOOKUP(MATCH(E90,c_id,0),ca,'13(an)'!$HA$34,FALSE)="","",VLOOKUP(MATCH(E90,c_id,0),ca,'13(an)'!$HA$34,FALSE))</f>
        <v>83066</v>
      </c>
      <c r="W92" s="7540"/>
      <c r="X92" s="8818"/>
      <c r="Y92" s="7537">
        <f>+IF(VLOOKUP(MATCH(E90,c_id,0),ca,'13(an)'!$IA$34,FALSE)="","",VLOOKUP(MATCH(E90,c_id,0),ca,'13(an)'!$IA$34,FALSE))</f>
        <v>880000</v>
      </c>
      <c r="Z92" s="7538" t="str">
        <f>+IF(Y92="","","$ TCC/unit")</f>
        <v>$ TCC/unit</v>
      </c>
      <c r="AA92" s="7539">
        <f>+IF(Y92="","",$AA$14*Y92)</f>
        <v>83065.774654065011</v>
      </c>
      <c r="AB92" s="7541"/>
      <c r="AC92" s="8818"/>
      <c r="AD92" s="7537">
        <f>+IF(VLOOKUP(MATCH(E90,c_id,0),ca,'13(an)'!$JS$34,FALSE)="","",VLOOKUP(MATCH(E90,c_id,0),ca,'13(an)'!$JS$34,FALSE))</f>
        <v>1725675</v>
      </c>
      <c r="AE92" s="7538" t="str">
        <f>+IF(AD92="","","$ TCC/unit")</f>
        <v>$ TCC/unit</v>
      </c>
      <c r="AF92" s="7539">
        <f>+IF(AD92="","",$AF$14*AD92)</f>
        <v>148081.06430477212</v>
      </c>
      <c r="AG92" s="7542"/>
      <c r="AH92" s="5962"/>
      <c r="AI92" s="5959"/>
      <c r="AJ92" s="5959"/>
      <c r="AK92" s="5959"/>
      <c r="AL92" s="5959"/>
      <c r="AM92" s="5959"/>
    </row>
    <row r="93" spans="1:39" ht="12.75" customHeight="1">
      <c r="A93" s="5952"/>
      <c r="B93" s="8990"/>
      <c r="C93" s="8994" t="str">
        <f>+IF(B93="","",VLOOKUP(MATCH(B93,tid,0),tao,'12(id)'!$J$20,FALSE))</f>
        <v/>
      </c>
      <c r="D93" s="9008"/>
      <c r="E93" s="9024"/>
      <c r="F93" s="5952"/>
      <c r="G93" s="5959"/>
      <c r="H93" s="5952"/>
      <c r="I93" s="9051"/>
      <c r="J93" s="9055"/>
      <c r="K93" s="9013" t="e">
        <f>+IF(VLOOKUP(MATCH(B93,tid,0),tao,'12(id)'!$K$20,FALSE)="","",VLOOKUP(MATCH(B93,tid,0),tao,'12(id)'!$K$20,FALSE))</f>
        <v>#N/A</v>
      </c>
      <c r="L93" s="9013" t="e">
        <f>+IF(VLOOKUP(MATCH(B93,tid,0),tao,'12(id)'!$L$20,FALSE)="","",VLOOKUP(MATCH(B93,tid,0),tao,'12(id)'!$L$20,FALSE))</f>
        <v>#N/A</v>
      </c>
      <c r="M93" s="9038" t="e">
        <f>+IF(VLOOKUP(MATCH(B93,tid,0),tao,'12(id)'!$Q$20,FALSE)="","",VLOOKUP(MATCH(B93,tid,0),tao,'12(id)'!$Q$20,FALSE))</f>
        <v>#N/A</v>
      </c>
      <c r="N93" s="9042" t="e">
        <f>+IF(VLOOKUP(MATCH(B93,tid,0),tao,'12(id)'!$CT$20,FALSE)="","",VLOOKUP(MATCH(B93,tid,0),tao,'12(id)'!$CT$20,FALSE))</f>
        <v>#N/A</v>
      </c>
      <c r="O93" s="9004" t="e">
        <f>+IF(VLOOKUP(MATCH(B93,tid,0),tao,'12(id)'!$DE$20,FALSE)="","",ROUND(VLOOKUP(MATCH(B93,tid,0),tao,'12(id)'!$DE$20,FALSE),0)&amp;" yrs")</f>
        <v>#N/A</v>
      </c>
      <c r="P93" s="9001" t="e">
        <f>+IF(VLOOKUP(MATCH(B93,tid,0),tao,'12(id)'!$FR$20,FALSE)="","",VLOOKUP(MATCH(B93,tid,0),tao,'12(id)'!$FR$20,FALSE))</f>
        <v>#N/A</v>
      </c>
      <c r="Q93" s="9004" t="e">
        <f>+IF(VLOOKUP(MATCH(B93,tid,0),tao,'12(id)'!$DI$20,FALSE)="","",VLOOKUP(MATCH(B93,tid,0),tao,'12(id)'!$DI$20,FALSE))&amp;";  "&amp;IF(VLOOKUP(MATCH(B93,tid,0),tao,'12(id)'!$DQ$20,FALSE)="","",VLOOKUP(MATCH(B93,tid,0),tao,'12(id)'!$DQ$20,FALSE))</f>
        <v>#N/A</v>
      </c>
      <c r="R93" s="8906"/>
      <c r="S93" s="8818"/>
      <c r="T93" s="7543">
        <f>+IF(OR(T92="",N66=""),"",T92/N66)</f>
        <v>44000</v>
      </c>
      <c r="U93" s="8820" t="str">
        <f>+IF(T93="","","$ TCC / MW nominal capacity")</f>
        <v>$ TCC / MW nominal capacity</v>
      </c>
      <c r="V93" s="8820"/>
      <c r="W93" s="7544"/>
      <c r="X93" s="8818"/>
      <c r="Y93" s="7543">
        <f>+IF(OR(Y92="",N66=""),"",Y92/N66)</f>
        <v>44000</v>
      </c>
      <c r="Z93" s="8820" t="str">
        <f>+IF(Y93="","","$ TCC / MW nominal capacity")</f>
        <v>$ TCC / MW nominal capacity</v>
      </c>
      <c r="AA93" s="8820"/>
      <c r="AB93" s="7545"/>
      <c r="AC93" s="8818"/>
      <c r="AD93" s="7543">
        <f>+IF(OR(AD92="",N66=""),"",AD92/N66)</f>
        <v>86283.75</v>
      </c>
      <c r="AE93" s="8820" t="str">
        <f>+IF(AD93="","","$ TCC / MW nominal capacity")</f>
        <v>$ TCC / MW nominal capacity</v>
      </c>
      <c r="AF93" s="8820"/>
      <c r="AG93" s="7546"/>
      <c r="AH93" s="5962"/>
      <c r="AI93" s="5959"/>
      <c r="AJ93" s="5959"/>
      <c r="AK93" s="5959"/>
      <c r="AL93" s="5959"/>
      <c r="AM93" s="5959"/>
    </row>
    <row r="94" spans="1:39" ht="12.75" customHeight="1">
      <c r="A94" s="5952"/>
      <c r="B94" s="8990"/>
      <c r="C94" s="8994" t="str">
        <f>+IF(B94="","",VLOOKUP(MATCH(B94,tid,0),tao,'12(id)'!$J$20,FALSE))</f>
        <v/>
      </c>
      <c r="D94" s="9008"/>
      <c r="E94" s="9025"/>
      <c r="F94" s="5952"/>
      <c r="G94" s="5959"/>
      <c r="H94" s="5952"/>
      <c r="I94" s="9051"/>
      <c r="J94" s="9055"/>
      <c r="K94" s="9013" t="e">
        <f>+IF(VLOOKUP(MATCH(B94,tid,0),tao,'12(id)'!$K$20,FALSE)="","",VLOOKUP(MATCH(B94,tid,0),tao,'12(id)'!$K$20,FALSE))</f>
        <v>#N/A</v>
      </c>
      <c r="L94" s="9013" t="e">
        <f>+IF(VLOOKUP(MATCH(B94,tid,0),tao,'12(id)'!$L$20,FALSE)="","",VLOOKUP(MATCH(B94,tid,0),tao,'12(id)'!$L$20,FALSE))</f>
        <v>#N/A</v>
      </c>
      <c r="M94" s="9038" t="e">
        <f>+IF(VLOOKUP(MATCH(B94,tid,0),tao,'12(id)'!$Q$20,FALSE)="","",VLOOKUP(MATCH(B94,tid,0),tao,'12(id)'!$Q$20,FALSE))</f>
        <v>#N/A</v>
      </c>
      <c r="N94" s="9042" t="e">
        <f>+IF(VLOOKUP(MATCH(B94,tid,0),tao,'12(id)'!$CT$20,FALSE)="","",VLOOKUP(MATCH(B94,tid,0),tao,'12(id)'!$CT$20,FALSE))</f>
        <v>#N/A</v>
      </c>
      <c r="O94" s="9004" t="e">
        <f>+IF(VLOOKUP(MATCH(B94,tid,0),tao,'12(id)'!$DE$20,FALSE)="","",ROUND(VLOOKUP(MATCH(B94,tid,0),tao,'12(id)'!$DE$20,FALSE),0)&amp;" yrs")</f>
        <v>#N/A</v>
      </c>
      <c r="P94" s="9001" t="e">
        <f>+IF(VLOOKUP(MATCH(B94,tid,0),tao,'12(id)'!$FR$20,FALSE)="","",VLOOKUP(MATCH(B94,tid,0),tao,'12(id)'!$FR$20,FALSE))</f>
        <v>#N/A</v>
      </c>
      <c r="Q94" s="9004" t="e">
        <f>+IF(VLOOKUP(MATCH(B94,tid,0),tao,'12(id)'!$DI$20,FALSE)="","",VLOOKUP(MATCH(B94,tid,0),tao,'12(id)'!$DI$20,FALSE))&amp;";  "&amp;IF(VLOOKUP(MATCH(B94,tid,0),tao,'12(id)'!$DQ$20,FALSE)="","",VLOOKUP(MATCH(B94,tid,0),tao,'12(id)'!$DQ$20,FALSE))</f>
        <v>#N/A</v>
      </c>
      <c r="R94" s="8981"/>
      <c r="S94" s="8819"/>
      <c r="T94" s="7590">
        <f>+IF(VLOOKUP(MATCH(E90,c_id,0),ca,'13(an)'!$HF$34,FALSE)="","",VLOOKUP(MATCH(E90,c_id,0),ca,'13(an)'!$HF$34,FALSE))</f>
        <v>43744</v>
      </c>
      <c r="U94" s="8896" t="str">
        <f>IF(T94="","","$ /ton "&amp;"NOx(R)")</f>
        <v>$ /ton NOx(R)</v>
      </c>
      <c r="V94" s="8896"/>
      <c r="W94" s="7591"/>
      <c r="X94" s="8819"/>
      <c r="Y94" s="7590">
        <f>+IF(VLOOKUP(MATCH(E90,c_id,0),ca,'13(an)'!$JE$34,FALSE)="","",VLOOKUP(MATCH(E90,c_id,0),ca,'13(an)'!$JE$34,FALSE))</f>
        <v>116276.00475759606</v>
      </c>
      <c r="Z94" s="8896" t="str">
        <f>IF(Y94="","","$ /ton "&amp;"NOx(R)")</f>
        <v>$ /ton NOx(R)</v>
      </c>
      <c r="AA94" s="8896"/>
      <c r="AB94" s="7592"/>
      <c r="AC94" s="8819"/>
      <c r="AD94" s="7590">
        <f>+IF(VLOOKUP(MATCH(E90,c_id,0),ca,'13(an)'!$LB$34,FALSE)="","",VLOOKUP(MATCH(E90,c_id,0),ca,'13(an)'!$LB$34,FALSE))</f>
        <v>217627.00325527927</v>
      </c>
      <c r="AE94" s="8896" t="str">
        <f>IF(AD94="","","$ /ton "&amp;"NOx(R)")</f>
        <v>$ /ton NOx(R)</v>
      </c>
      <c r="AF94" s="8896"/>
      <c r="AG94" s="7593"/>
      <c r="AH94" s="5962"/>
      <c r="AI94" s="5959"/>
      <c r="AJ94" s="5959"/>
      <c r="AK94" s="5959"/>
      <c r="AL94" s="5959"/>
      <c r="AM94" s="5959"/>
    </row>
    <row r="95" spans="1:39" ht="12.75" customHeight="1">
      <c r="A95" s="5952"/>
      <c r="B95" s="8990"/>
      <c r="C95" s="8994" t="str">
        <f>+IF(B95="","",VLOOKUP(MATCH(B95,tid,0),tao,'12(id)'!$J$20,FALSE))</f>
        <v/>
      </c>
      <c r="D95" s="9008"/>
      <c r="E95" s="9045" t="str">
        <f>+IF(B66="","",B66&amp;IF(ISERR(VALUE(1+R90)),"-01",IF(1+R90&lt;10,"-0"&amp;1+R90,"-"&amp;1+R90)))</f>
        <v>8303-01-06</v>
      </c>
      <c r="F95" s="5952"/>
      <c r="G95" s="5959"/>
      <c r="H95" s="5952"/>
      <c r="I95" s="9051"/>
      <c r="J95" s="9055"/>
      <c r="K95" s="9013" t="e">
        <f>+IF(VLOOKUP(MATCH(B95,tid,0),tao,'12(id)'!$K$20,FALSE)="","",VLOOKUP(MATCH(B95,tid,0),tao,'12(id)'!$K$20,FALSE))</f>
        <v>#N/A</v>
      </c>
      <c r="L95" s="9013" t="e">
        <f>+IF(VLOOKUP(MATCH(B95,tid,0),tao,'12(id)'!$L$20,FALSE)="","",VLOOKUP(MATCH(B95,tid,0),tao,'12(id)'!$L$20,FALSE))</f>
        <v>#N/A</v>
      </c>
      <c r="M95" s="9038" t="e">
        <f>+IF(VLOOKUP(MATCH(B95,tid,0),tao,'12(id)'!$Q$20,FALSE)="","",VLOOKUP(MATCH(B95,tid,0),tao,'12(id)'!$Q$20,FALSE))</f>
        <v>#N/A</v>
      </c>
      <c r="N95" s="9042" t="e">
        <f>+IF(VLOOKUP(MATCH(B95,tid,0),tao,'12(id)'!$CT$20,FALSE)="","",VLOOKUP(MATCH(B95,tid,0),tao,'12(id)'!$CT$20,FALSE))</f>
        <v>#N/A</v>
      </c>
      <c r="O95" s="9004" t="e">
        <f>+IF(VLOOKUP(MATCH(B95,tid,0),tao,'12(id)'!$DE$20,FALSE)="","",ROUND(VLOOKUP(MATCH(B95,tid,0),tao,'12(id)'!$DE$20,FALSE),0)&amp;" yrs")</f>
        <v>#N/A</v>
      </c>
      <c r="P95" s="9001" t="e">
        <f>+IF(VLOOKUP(MATCH(B95,tid,0),tao,'12(id)'!$FR$20,FALSE)="","",VLOOKUP(MATCH(B95,tid,0),tao,'12(id)'!$FR$20,FALSE))</f>
        <v>#N/A</v>
      </c>
      <c r="Q95" s="9004" t="e">
        <f>+IF(VLOOKUP(MATCH(B95,tid,0),tao,'12(id)'!$DI$20,FALSE)="","",VLOOKUP(MATCH(B95,tid,0),tao,'12(id)'!$DI$20,FALSE))&amp;";  "&amp;IF(VLOOKUP(MATCH(B95,tid,0),tao,'12(id)'!$DQ$20,FALSE)="","",VLOOKUP(MATCH(B95,tid,0),tao,'12(id)'!$DQ$20,FALSE))</f>
        <v>#N/A</v>
      </c>
      <c r="R95" s="8982">
        <f>+IF(B66="","",1+R90)</f>
        <v>6</v>
      </c>
      <c r="S95" s="8859"/>
      <c r="T95" s="8983" t="str">
        <f>+IF(VLOOKUP(MATCH(E95,c_id,0),ca,'13(an)'!$BD$34,FALSE)="","",VLOOKUP(MATCH(E95,c_id,0),ca,'13(an)'!$BD$34,FALSE))</f>
        <v>Dual Fuel (Natural Gas with Liquid Backup)</v>
      </c>
      <c r="U95" s="8983"/>
      <c r="V95" s="8983"/>
      <c r="W95" s="7553"/>
      <c r="X95" s="8859"/>
      <c r="Y95" s="8871" t="str">
        <f>+IF(T95="","",T95)</f>
        <v>Dual Fuel (Natural Gas with Liquid Backup)</v>
      </c>
      <c r="Z95" s="8871"/>
      <c r="AA95" s="8871"/>
      <c r="AB95" s="7554"/>
      <c r="AC95" s="8859"/>
      <c r="AD95" s="8874" t="str">
        <f>+IF(Y95="","",Y95)</f>
        <v>Dual Fuel (Natural Gas with Liquid Backup)</v>
      </c>
      <c r="AE95" s="8874"/>
      <c r="AF95" s="8874"/>
      <c r="AG95" s="7555"/>
      <c r="AH95" s="5962"/>
      <c r="AI95" s="5959"/>
      <c r="AJ95" s="5959"/>
      <c r="AK95" s="5959"/>
      <c r="AL95" s="5959"/>
      <c r="AM95" s="5959"/>
    </row>
    <row r="96" spans="1:39" ht="12.75" customHeight="1">
      <c r="A96" s="5952"/>
      <c r="B96" s="8990"/>
      <c r="C96" s="8994" t="str">
        <f>+IF(B96="","",VLOOKUP(MATCH(B96,tid,0),tao,'12(id)'!$J$20,FALSE))</f>
        <v/>
      </c>
      <c r="D96" s="9008"/>
      <c r="E96" s="9024"/>
      <c r="F96" s="5952"/>
      <c r="G96" s="5959"/>
      <c r="H96" s="5952"/>
      <c r="I96" s="9051"/>
      <c r="J96" s="9055"/>
      <c r="K96" s="9013" t="e">
        <f>+IF(VLOOKUP(MATCH(B96,tid,0),tao,'12(id)'!$K$20,FALSE)="","",VLOOKUP(MATCH(B96,tid,0),tao,'12(id)'!$K$20,FALSE))</f>
        <v>#N/A</v>
      </c>
      <c r="L96" s="9013" t="e">
        <f>+IF(VLOOKUP(MATCH(B96,tid,0),tao,'12(id)'!$L$20,FALSE)="","",VLOOKUP(MATCH(B96,tid,0),tao,'12(id)'!$L$20,FALSE))</f>
        <v>#N/A</v>
      </c>
      <c r="M96" s="9038" t="e">
        <f>+IF(VLOOKUP(MATCH(B96,tid,0),tao,'12(id)'!$Q$20,FALSE)="","",VLOOKUP(MATCH(B96,tid,0),tao,'12(id)'!$Q$20,FALSE))</f>
        <v>#N/A</v>
      </c>
      <c r="N96" s="9042" t="e">
        <f>+IF(VLOOKUP(MATCH(B96,tid,0),tao,'12(id)'!$CT$20,FALSE)="","",VLOOKUP(MATCH(B96,tid,0),tao,'12(id)'!$CT$20,FALSE))</f>
        <v>#N/A</v>
      </c>
      <c r="O96" s="9004" t="e">
        <f>+IF(VLOOKUP(MATCH(B96,tid,0),tao,'12(id)'!$DE$20,FALSE)="","",ROUND(VLOOKUP(MATCH(B96,tid,0),tao,'12(id)'!$DE$20,FALSE),0)&amp;" yrs")</f>
        <v>#N/A</v>
      </c>
      <c r="P96" s="9001" t="e">
        <f>+IF(VLOOKUP(MATCH(B96,tid,0),tao,'12(id)'!$FR$20,FALSE)="","",VLOOKUP(MATCH(B96,tid,0),tao,'12(id)'!$FR$20,FALSE))</f>
        <v>#N/A</v>
      </c>
      <c r="Q96" s="9004" t="e">
        <f>+IF(VLOOKUP(MATCH(B96,tid,0),tao,'12(id)'!$DI$20,FALSE)="","",VLOOKUP(MATCH(B96,tid,0),tao,'12(id)'!$DI$20,FALSE))&amp;";  "&amp;IF(VLOOKUP(MATCH(B96,tid,0),tao,'12(id)'!$DQ$20,FALSE)="","",VLOOKUP(MATCH(B96,tid,0),tao,'12(id)'!$DQ$20,FALSE))</f>
        <v>#N/A</v>
      </c>
      <c r="R96" s="8906"/>
      <c r="S96" s="8988"/>
      <c r="T96" s="7600" t="str">
        <f>+IF(E95="","",IF(VLOOKUP(MATCH(E95,c_id,0),ca,'13(an)'!$CC$34,FALSE)="",IF(VLOOKUP(MATCH(E95,c_id,0),ca,'13(an)'!$CD$34,FALSE)="",IF(VLOOKUP(MATCH(E95,c_id,0),ca,'13(an)'!$CE$34,FALSE)="","η ≈ N/A","η ≈ "&amp;ROUND(VLOOKUP(MATCH(E95,c_id,0),ca,'13(an)'!$CE$34,FALSE)*100,0)&amp;"%"),"η ≈ "&amp;ROUND(VLOOKUP(MATCH(E95,c_id,0),ca,'13(an)'!$CD$34,FALSE)*100,0)&amp;"%"),"η ≈ "&amp;ROUND(VLOOKUP(MATCH(E95,c_id,0),ca,'13(an)'!$CC$34,FALSE)*100,0)&amp;"%"))</f>
        <v>η ≈ 36%</v>
      </c>
      <c r="U96" s="7601" t="str">
        <f>+IF($U$110="ppmvd",IF(VLOOKUP(MATCH(E95,c_id,0),ca,'13(an)'!$BV$34,FALSE)="","",ROUND(VLOOKUP(MATCH(E95,c_id,0),ca,'13(an)'!$BV$34,FALSE),1)&amp;" ppmvd"),IF(VLOOKUP(MATCH(E95,c_id,0),ca,'13(an)'!$BU$34,FALSE)="","",IF(LEN(ROUND(VLOOKUP(MATCH(E95,c_id,0),ca,'13(an)'!$BU$34,FALSE),3))=3,ROUND(VLOOKUP(MATCH(E95,c_id,0),ca,'13(an)'!$BU$34,FALSE),3)&amp;"00 lb/MMBtu",IF(LEN(ROUND(VLOOKUP(MATCH(E95,c_id,0),ca,'13(an)'!$BU$34,FALSE),3))=4,ROUND(VLOOKUP(MATCH(E95,c_id,0),ca,'13(an)'!$BU$34,FALSE),3)&amp;"0 lb/MMBtu",ROUND(VLOOKUP(MATCH(E95,c_id,0),ca,'13(an)'!$BU$34,FALSE),3)&amp;" lb/MMBtu"))))</f>
        <v>120 ppmvd</v>
      </c>
      <c r="V96" s="7602">
        <f>+IF(E95="","",IF(VLOOKUP(MATCH(E95,c_id,0),ca,'13(an)'!$CB$34,FALSE)="","NOx(R) = N/A",ROUND(VLOOKUP(MATCH(E95,c_id,0),ca,'13(an)'!$CB$34,FALSE),1)))</f>
        <v>1.6</v>
      </c>
      <c r="W96" s="7534"/>
      <c r="X96" s="8818"/>
      <c r="Y96" s="7603" t="str">
        <f>+IF(E95="","",IF(VLOOKUP(MATCH(E95,c_id,0),ca,'13(an)'!$CM$34,FALSE)="",IF(VLOOKUP(MATCH(E95,c_id,0),ca,'13(an)'!$CN$34,FALSE)="",IF(VLOOKUP(MATCH(E95,c_id,0),ca,'13(an)'!$CO$34,FALSE)="","η ≈ N/A","η ≈ "&amp;ROUND(VLOOKUP(MATCH(E95,c_id,0),ca,'13(an)'!$CO$34,FALSE)*100,0)&amp;"%"),"η ≈ "&amp;ROUND(VLOOKUP(MATCH(E95,c_id,0),ca,'13(an)'!$CN$34,FALSE)*100,0)&amp;"%"),"η ≈ "&amp;ROUND(VLOOKUP(MATCH(E95,c_id,0),ca,'13(an)'!$CM$34,FALSE)*100,0)&amp;"%"))</f>
        <v>η ≈ 36%</v>
      </c>
      <c r="Z96" s="7604" t="str">
        <f>+IF($Z$1136="ppmvd",IF(VLOOKUP(MATCH(E95,c_id,0),ca,'13(an)'!$CJ$34,FALSE)="","",ROUND(VLOOKUP(MATCH(E95,c_id,0),ca,'13(an)'!$CJ$34,FALSE),1)&amp;" ppmvd"),IF(VLOOKUP(MATCH(E95,c_id,0),ca,'13(an)'!$CI$34,FALSE)="","",IF(LEN(ROUND(VLOOKUP(MATCH(E95,c_id,0),ca,'13(an)'!$CI$34,FALSE),3))=3,ROUND(VLOOKUP(MATCH(E95,c_id,0),ca,'13(an)'!$CI$34,FALSE),3)&amp;"00 lb/MMBtu",IF(LEN(ROUND(VLOOKUP(MATCH(E95,c_id,0),ca,'13(an)'!$CI$34,FALSE),3))=4,ROUND(VLOOKUP(MATCH(E95,c_id,0),ca,'13(an)'!$CI$34,FALSE),3)&amp;"0 lb/MMBtu",ROUND(VLOOKUP(MATCH(E95,c_id,0),ca,'13(an)'!$CI$34,FALSE),3)&amp;" lb/MMBtu"))))</f>
        <v>0.478 lb/MMBtu</v>
      </c>
      <c r="AA96" s="7605">
        <f>+IF(E95="","",IF(VLOOKUP(MATCH(E95,c_id,0),ca,'13(an)'!$CL$34,FALSE)="","NOx(R) = N/A",ROUND(VLOOKUP(MATCH(E95,c_id,0),ca,'13(an)'!$CL$34,FALSE),1)))</f>
        <v>0.6</v>
      </c>
      <c r="AB96" s="7535"/>
      <c r="AC96" s="8818"/>
      <c r="AD96" s="7603" t="str">
        <f>+IF(E95="","",IF(VLOOKUP(MATCH(E95,c_id,0),ca,'13(an)'!$CM$34,FALSE)="",IF(VLOOKUP(MATCH(E95,c_id,0),ca,'13(an)'!$CN$34,FALSE)="",IF(VLOOKUP(MATCH(E95,c_id,0),ca,'13(an)'!$CO$34,FALSE)="","η ≈ N/A","η ≈ "&amp;ROUND(VLOOKUP(MATCH(E95,c_id,0),ca,'13(an)'!$CO$34,FALSE)*100,0)&amp;"%"),"η ≈ "&amp;ROUND(VLOOKUP(MATCH(E95,c_id,0),ca,'13(an)'!$CN$34,FALSE)*100,0)&amp;"%"),"η ≈ "&amp;ROUND(VLOOKUP(MATCH(E95,c_id,0),ca,'13(an)'!$CM$34,FALSE)*100,0)&amp;"%"))</f>
        <v>η ≈ 36%</v>
      </c>
      <c r="AE96" s="7604" t="str">
        <f>+IF($AE$110="ppmvd",IF(VLOOKUP(MATCH(E95,c_id,0),ca,'13(an)'!$CJ$34,FALSE)="","",ROUND(VLOOKUP(MATCH(E95,c_id,0),ca,'13(an)'!$CJ$34,FALSE),1)&amp;" ppmvd"),IF(VLOOKUP(MATCH(E95,c_id,0),ca,'13(an)'!$CI$34,FALSE)="","",IF(LEN(ROUND(VLOOKUP(MATCH(E95,c_id,0),ca,'13(an)'!$CI$34,FALSE),3))=3,ROUND(VLOOKUP(MATCH(E95,c_id,0),ca,'13(an)'!$CI$34,FALSE),3)&amp;"00 lb/MMBtu",IF(LEN(ROUND(VLOOKUP(MATCH(E95,c_id,0),ca,'13(an)'!$CI$34,FALSE),3))=4,ROUND(VLOOKUP(MATCH(E95,c_id,0),ca,'13(an)'!$CI$34,FALSE),3)&amp;"0 lb/MMBtu",ROUND(VLOOKUP(MATCH(E95,c_id,0),ca,'13(an)'!$CI$34,FALSE),3)&amp;" lb/MMBtu"))))</f>
        <v>0.478 lb/MMBtu</v>
      </c>
      <c r="AF96" s="7605">
        <f>+IF(E95="","",IF(VLOOKUP(MATCH(E95,c_id,0),ca,'13(an)'!$CL$34,FALSE)="","NOx(R) = N/A",ROUND(VLOOKUP(MATCH(E95,c_id,0),ca,'13(an)'!$CL$34,FALSE),1)))</f>
        <v>0.6</v>
      </c>
      <c r="AG96" s="7536"/>
      <c r="AH96" s="5962"/>
      <c r="AI96" s="5959"/>
      <c r="AJ96" s="5959"/>
      <c r="AK96" s="5959"/>
      <c r="AL96" s="5959"/>
      <c r="AM96" s="5959"/>
    </row>
    <row r="97" spans="1:39" ht="12.75" customHeight="1">
      <c r="A97" s="5952"/>
      <c r="B97" s="8990"/>
      <c r="C97" s="8994" t="str">
        <f>+IF(B97="","",VLOOKUP(MATCH(B97,tid,0),tao,'12(id)'!$J$20,FALSE))</f>
        <v/>
      </c>
      <c r="D97" s="9008"/>
      <c r="E97" s="9024"/>
      <c r="F97" s="5952"/>
      <c r="G97" s="5959"/>
      <c r="H97" s="5952"/>
      <c r="I97" s="9051"/>
      <c r="J97" s="9055"/>
      <c r="K97" s="9013" t="e">
        <f>+IF(VLOOKUP(MATCH(B97,tid,0),tao,'12(id)'!$K$20,FALSE)="","",VLOOKUP(MATCH(B97,tid,0),tao,'12(id)'!$K$20,FALSE))</f>
        <v>#N/A</v>
      </c>
      <c r="L97" s="9013" t="e">
        <f>+IF(VLOOKUP(MATCH(B97,tid,0),tao,'12(id)'!$L$20,FALSE)="","",VLOOKUP(MATCH(B97,tid,0),tao,'12(id)'!$L$20,FALSE))</f>
        <v>#N/A</v>
      </c>
      <c r="M97" s="9038" t="e">
        <f>+IF(VLOOKUP(MATCH(B97,tid,0),tao,'12(id)'!$Q$20,FALSE)="","",VLOOKUP(MATCH(B97,tid,0),tao,'12(id)'!$Q$20,FALSE))</f>
        <v>#N/A</v>
      </c>
      <c r="N97" s="9042" t="e">
        <f>+IF(VLOOKUP(MATCH(B97,tid,0),tao,'12(id)'!$CT$20,FALSE)="","",VLOOKUP(MATCH(B97,tid,0),tao,'12(id)'!$CT$20,FALSE))</f>
        <v>#N/A</v>
      </c>
      <c r="O97" s="9004" t="e">
        <f>+IF(VLOOKUP(MATCH(B97,tid,0),tao,'12(id)'!$DE$20,FALSE)="","",ROUND(VLOOKUP(MATCH(B97,tid,0),tao,'12(id)'!$DE$20,FALSE),0)&amp;" yrs")</f>
        <v>#N/A</v>
      </c>
      <c r="P97" s="9001" t="e">
        <f>+IF(VLOOKUP(MATCH(B97,tid,0),tao,'12(id)'!$FR$20,FALSE)="","",VLOOKUP(MATCH(B97,tid,0),tao,'12(id)'!$FR$20,FALSE))</f>
        <v>#N/A</v>
      </c>
      <c r="Q97" s="9004" t="e">
        <f>+IF(VLOOKUP(MATCH(B97,tid,0),tao,'12(id)'!$DI$20,FALSE)="","",VLOOKUP(MATCH(B97,tid,0),tao,'12(id)'!$DI$20,FALSE))&amp;";  "&amp;IF(VLOOKUP(MATCH(B97,tid,0),tao,'12(id)'!$DQ$20,FALSE)="","",VLOOKUP(MATCH(B97,tid,0),tao,'12(id)'!$DQ$20,FALSE))</f>
        <v>#N/A</v>
      </c>
      <c r="R97" s="8906"/>
      <c r="S97" s="8818"/>
      <c r="T97" s="7537">
        <f>+IF(VLOOKUP(MATCH(E95,c_id,0),ca,'13(an)'!$GF$34,FALSE)="","",VLOOKUP(MATCH(E95,c_id,0),ca,'13(an)'!$GF$34,FALSE))</f>
        <v>2860000</v>
      </c>
      <c r="U97" s="7538" t="str">
        <f>+IF(T97="","","$ TCC/unit")</f>
        <v>$ TCC/unit</v>
      </c>
      <c r="V97" s="7539">
        <f>+IF(VLOOKUP(MATCH(E95,c_id,0),ca,'13(an)'!$HA$34,FALSE)="","",VLOOKUP(MATCH(E95,c_id,0),ca,'13(an)'!$HA$34,FALSE))</f>
        <v>269964</v>
      </c>
      <c r="W97" s="7540"/>
      <c r="X97" s="8818"/>
      <c r="Y97" s="7537">
        <f>+IF(VLOOKUP(MATCH(E95,c_id,0),ca,'13(an)'!$IA$34,FALSE)="","",VLOOKUP(MATCH(E95,c_id,0),ca,'13(an)'!$IA$34,FALSE))</f>
        <v>2860000</v>
      </c>
      <c r="Z97" s="7538" t="str">
        <f>+IF(Y97="","","$ TCC/unit")</f>
        <v>$ TCC/unit</v>
      </c>
      <c r="AA97" s="7539">
        <f>+IF(Y97="","",$AA$14*Y97)</f>
        <v>269963.76762571128</v>
      </c>
      <c r="AB97" s="7541"/>
      <c r="AC97" s="8818"/>
      <c r="AD97" s="7537">
        <f>+IF(VLOOKUP(MATCH(E95,c_id,0),ca,'13(an)'!$JS$34,FALSE)="","",VLOOKUP(MATCH(E95,c_id,0),ca,'13(an)'!$JS$34,FALSE))</f>
        <v>2500000</v>
      </c>
      <c r="AE97" s="7538" t="str">
        <f>+IF(AD97="","","$ TCC/unit")</f>
        <v>$ TCC/unit</v>
      </c>
      <c r="AF97" s="7539">
        <f>+IF(AD97="","",$AF$14*AD97)</f>
        <v>214526.29305166405</v>
      </c>
      <c r="AG97" s="7542"/>
      <c r="AH97" s="5962"/>
      <c r="AI97" s="5959"/>
      <c r="AJ97" s="5959"/>
      <c r="AK97" s="5959"/>
      <c r="AL97" s="5959"/>
      <c r="AM97" s="5959"/>
    </row>
    <row r="98" spans="1:39" ht="12.75" customHeight="1">
      <c r="A98" s="5952"/>
      <c r="B98" s="8990"/>
      <c r="C98" s="8994" t="str">
        <f>+IF(B98="","",VLOOKUP(MATCH(B98,tid,0),tao,'12(id)'!$J$20,FALSE))</f>
        <v/>
      </c>
      <c r="D98" s="9008"/>
      <c r="E98" s="9024"/>
      <c r="F98" s="5952"/>
      <c r="G98" s="5959"/>
      <c r="H98" s="5952"/>
      <c r="I98" s="9051"/>
      <c r="J98" s="9055"/>
      <c r="K98" s="9013" t="e">
        <f>+IF(VLOOKUP(MATCH(B98,tid,0),tao,'12(id)'!$K$20,FALSE)="","",VLOOKUP(MATCH(B98,tid,0),tao,'12(id)'!$K$20,FALSE))</f>
        <v>#N/A</v>
      </c>
      <c r="L98" s="9013" t="e">
        <f>+IF(VLOOKUP(MATCH(B98,tid,0),tao,'12(id)'!$L$20,FALSE)="","",VLOOKUP(MATCH(B98,tid,0),tao,'12(id)'!$L$20,FALSE))</f>
        <v>#N/A</v>
      </c>
      <c r="M98" s="9038" t="e">
        <f>+IF(VLOOKUP(MATCH(B98,tid,0),tao,'12(id)'!$Q$20,FALSE)="","",VLOOKUP(MATCH(B98,tid,0),tao,'12(id)'!$Q$20,FALSE))</f>
        <v>#N/A</v>
      </c>
      <c r="N98" s="9042" t="e">
        <f>+IF(VLOOKUP(MATCH(B98,tid,0),tao,'12(id)'!$CT$20,FALSE)="","",VLOOKUP(MATCH(B98,tid,0),tao,'12(id)'!$CT$20,FALSE))</f>
        <v>#N/A</v>
      </c>
      <c r="O98" s="9004" t="e">
        <f>+IF(VLOOKUP(MATCH(B98,tid,0),tao,'12(id)'!$DE$20,FALSE)="","",ROUND(VLOOKUP(MATCH(B98,tid,0),tao,'12(id)'!$DE$20,FALSE),0)&amp;" yrs")</f>
        <v>#N/A</v>
      </c>
      <c r="P98" s="9001" t="e">
        <f>+IF(VLOOKUP(MATCH(B98,tid,0),tao,'12(id)'!$FR$20,FALSE)="","",VLOOKUP(MATCH(B98,tid,0),tao,'12(id)'!$FR$20,FALSE))</f>
        <v>#N/A</v>
      </c>
      <c r="Q98" s="9004" t="e">
        <f>+IF(VLOOKUP(MATCH(B98,tid,0),tao,'12(id)'!$DI$20,FALSE)="","",VLOOKUP(MATCH(B98,tid,0),tao,'12(id)'!$DI$20,FALSE))&amp;";  "&amp;IF(VLOOKUP(MATCH(B98,tid,0),tao,'12(id)'!$DQ$20,FALSE)="","",VLOOKUP(MATCH(B98,tid,0),tao,'12(id)'!$DQ$20,FALSE))</f>
        <v>#N/A</v>
      </c>
      <c r="R98" s="8906"/>
      <c r="S98" s="8818"/>
      <c r="T98" s="7543">
        <f>+IF(OR(T97="",N66=""),"",T97/N66)</f>
        <v>143000</v>
      </c>
      <c r="U98" s="8820" t="str">
        <f>+IF(T98="","","$ TCC / MW nominal capacity")</f>
        <v>$ TCC / MW nominal capacity</v>
      </c>
      <c r="V98" s="8820"/>
      <c r="W98" s="7544"/>
      <c r="X98" s="8818"/>
      <c r="Y98" s="7543">
        <f>+IF(OR(Y97="",N66=""),"",Y97/N66)</f>
        <v>143000</v>
      </c>
      <c r="Z98" s="8820" t="str">
        <f>+IF(Y98="","","$ TCC / MW nominal capacity")</f>
        <v>$ TCC / MW nominal capacity</v>
      </c>
      <c r="AA98" s="8820"/>
      <c r="AB98" s="7545"/>
      <c r="AC98" s="8818"/>
      <c r="AD98" s="7543">
        <f>+IF(OR(AD97="",N66=""),"",AD97/N66)</f>
        <v>125000</v>
      </c>
      <c r="AE98" s="8820" t="str">
        <f>+IF(AD98="","","$ TCC / MW nominal capacity")</f>
        <v>$ TCC / MW nominal capacity</v>
      </c>
      <c r="AF98" s="8820"/>
      <c r="AG98" s="7546"/>
      <c r="AH98" s="5962"/>
      <c r="AI98" s="5959"/>
      <c r="AJ98" s="5959"/>
      <c r="AK98" s="5959"/>
      <c r="AL98" s="5959"/>
      <c r="AM98" s="5959"/>
    </row>
    <row r="99" spans="1:39" ht="12.75" customHeight="1" thickBot="1">
      <c r="A99" s="5952"/>
      <c r="B99" s="8990"/>
      <c r="C99" s="8994" t="str">
        <f>+IF(B99="","",VLOOKUP(MATCH(B99,tid,0),tao,'12(id)'!$J$20,FALSE))</f>
        <v/>
      </c>
      <c r="D99" s="9008"/>
      <c r="E99" s="9049"/>
      <c r="F99" s="5952"/>
      <c r="G99" s="5959"/>
      <c r="H99" s="5952"/>
      <c r="I99" s="9051"/>
      <c r="J99" s="9055"/>
      <c r="K99" s="9013" t="e">
        <f>+IF(VLOOKUP(MATCH(B99,tid,0),tao,'12(id)'!$K$20,FALSE)="","",VLOOKUP(MATCH(B99,tid,0),tao,'12(id)'!$K$20,FALSE))</f>
        <v>#N/A</v>
      </c>
      <c r="L99" s="9013" t="e">
        <f>+IF(VLOOKUP(MATCH(B99,tid,0),tao,'12(id)'!$L$20,FALSE)="","",VLOOKUP(MATCH(B99,tid,0),tao,'12(id)'!$L$20,FALSE))</f>
        <v>#N/A</v>
      </c>
      <c r="M99" s="9038" t="e">
        <f>+IF(VLOOKUP(MATCH(B99,tid,0),tao,'12(id)'!$Q$20,FALSE)="","",VLOOKUP(MATCH(B99,tid,0),tao,'12(id)'!$Q$20,FALSE))</f>
        <v>#N/A</v>
      </c>
      <c r="N99" s="9042" t="e">
        <f>+IF(VLOOKUP(MATCH(B99,tid,0),tao,'12(id)'!$CT$20,FALSE)="","",VLOOKUP(MATCH(B99,tid,0),tao,'12(id)'!$CT$20,FALSE))</f>
        <v>#N/A</v>
      </c>
      <c r="O99" s="9004" t="e">
        <f>+IF(VLOOKUP(MATCH(B99,tid,0),tao,'12(id)'!$DE$20,FALSE)="","",ROUND(VLOOKUP(MATCH(B99,tid,0),tao,'12(id)'!$DE$20,FALSE),0)&amp;" yrs")</f>
        <v>#N/A</v>
      </c>
      <c r="P99" s="9001" t="e">
        <f>+IF(VLOOKUP(MATCH(B99,tid,0),tao,'12(id)'!$FR$20,FALSE)="","",VLOOKUP(MATCH(B99,tid,0),tao,'12(id)'!$FR$20,FALSE))</f>
        <v>#N/A</v>
      </c>
      <c r="Q99" s="9004" t="e">
        <f>+IF(VLOOKUP(MATCH(B99,tid,0),tao,'12(id)'!$DI$20,FALSE)="","",VLOOKUP(MATCH(B99,tid,0),tao,'12(id)'!$DI$20,FALSE))&amp;";  "&amp;IF(VLOOKUP(MATCH(B99,tid,0),tao,'12(id)'!$DQ$20,FALSE)="","",VLOOKUP(MATCH(B99,tid,0),tao,'12(id)'!$DQ$20,FALSE))</f>
        <v>#N/A</v>
      </c>
      <c r="R99" s="8907"/>
      <c r="S99" s="8860"/>
      <c r="T99" s="7590">
        <f>+IF(VLOOKUP(MATCH(E95,c_id,0),ca,'13(an)'!$HF$34,FALSE)="","",VLOOKUP(MATCH(E95,c_id,0),ca,'13(an)'!$HF$34,FALSE))</f>
        <v>234808</v>
      </c>
      <c r="U99" s="8897" t="str">
        <f>IF(T99="","","$ /ton "&amp;"NOx(R)")</f>
        <v>$ /ton NOx(R)</v>
      </c>
      <c r="V99" s="8897"/>
      <c r="W99" s="7606"/>
      <c r="X99" s="8860"/>
      <c r="Y99" s="7590">
        <f>+IF(VLOOKUP(MATCH(E95,c_id,0),ca,'13(an)'!$JE$34,FALSE)="","",VLOOKUP(MATCH(E95,c_id,0),ca,'13(an)'!$JE$34,FALSE))</f>
        <v>632822.60824391828</v>
      </c>
      <c r="Z99" s="8897" t="str">
        <f>IF(Y99="","","$ /ton "&amp;"NOx(R)")</f>
        <v>$ /ton NOx(R)</v>
      </c>
      <c r="AA99" s="8897"/>
      <c r="AB99" s="7607"/>
      <c r="AC99" s="8860"/>
      <c r="AD99" s="7590">
        <f>+IF(VLOOKUP(MATCH(E95,c_id,0),ca,'13(an)'!$LB$34,FALSE)="","",VLOOKUP(MATCH(E95,c_id,0),ca,'13(an)'!$LB$34,FALSE))</f>
        <v>524979.93086648767</v>
      </c>
      <c r="AE99" s="8896" t="str">
        <f>IF(AD99="","","$ /ton "&amp;"NOx(R)")</f>
        <v>$ /ton NOx(R)</v>
      </c>
      <c r="AF99" s="8896"/>
      <c r="AG99" s="7593"/>
      <c r="AH99" s="5962"/>
      <c r="AI99" s="5959"/>
      <c r="AJ99" s="5959"/>
      <c r="AK99" s="5959"/>
      <c r="AL99" s="5959"/>
      <c r="AM99" s="5959"/>
    </row>
    <row r="100" spans="1:39" ht="12.75" customHeight="1">
      <c r="A100" s="5952"/>
      <c r="B100" s="8991"/>
      <c r="C100" s="8995" t="str">
        <f>+IF(B100="","",VLOOKUP(MATCH(B100,tid,0),tao,'12(id)'!$J$20,FALSE))</f>
        <v/>
      </c>
      <c r="D100" s="9009"/>
      <c r="E100" s="9246" t="str">
        <f>+IF(B66="","",B66&amp;IF(ISERR(VALUE(1+R95)),"-01",IF(1+R95&lt;10,"-0"&amp;1+R95,"-"&amp;1+R95)))</f>
        <v>8303-01-07</v>
      </c>
      <c r="F100" s="5952"/>
      <c r="G100" s="5959"/>
      <c r="H100" s="5952"/>
      <c r="I100" s="9052"/>
      <c r="J100" s="9055"/>
      <c r="K100" s="9014"/>
      <c r="L100" s="9014"/>
      <c r="M100" s="9039"/>
      <c r="N100" s="9043"/>
      <c r="O100" s="9005"/>
      <c r="P100" s="9001" t="e">
        <f>+IF(VLOOKUP(MATCH(B100,tid,0),tao,'12(id)'!$FR$20,FALSE)="","",VLOOKUP(MATCH(B100,tid,0),tao,'12(id)'!$FR$20,FALSE))</f>
        <v>#N/A</v>
      </c>
      <c r="Q100" s="9005"/>
      <c r="R100" s="9022">
        <f>+IF(B66="","",1+R95)</f>
        <v>7</v>
      </c>
      <c r="S100" s="8817"/>
      <c r="T100" s="8987" t="str">
        <f>+IF(VLOOKUP(MATCH(E100,c_id,0),ca,'13(an)'!$BD$34,FALSE)="","",VLOOKUP(MATCH(E100,c_id,0),ca,'13(an)'!$BD$34,FALSE))</f>
        <v>LM2500 DLE - new gas fired GE turbine</v>
      </c>
      <c r="U100" s="8987"/>
      <c r="V100" s="8987"/>
      <c r="W100" s="7579"/>
      <c r="X100" s="8817"/>
      <c r="Y100" s="8875" t="str">
        <f>+IF(T100="","",T100)</f>
        <v>LM2500 DLE - new gas fired GE turbine</v>
      </c>
      <c r="Z100" s="8875"/>
      <c r="AA100" s="8875"/>
      <c r="AB100" s="7580"/>
      <c r="AC100" s="8817"/>
      <c r="AD100" s="8874" t="str">
        <f>+IF(Y100="","",Y100)</f>
        <v>LM2500 DLE - new gas fired GE turbine</v>
      </c>
      <c r="AE100" s="8874"/>
      <c r="AF100" s="8874"/>
      <c r="AG100" s="7555"/>
      <c r="AH100" s="5962"/>
      <c r="AI100" s="5959"/>
      <c r="AJ100" s="5959"/>
      <c r="AK100" s="5959"/>
      <c r="AL100" s="5959"/>
      <c r="AM100" s="5959"/>
    </row>
    <row r="101" spans="1:39" ht="12.75" customHeight="1">
      <c r="A101" s="5952"/>
      <c r="B101" s="8991"/>
      <c r="C101" s="8995" t="str">
        <f>+IF(B101="","",VLOOKUP(MATCH(B101,tid,0),tao,'12(id)'!$J$20,FALSE))</f>
        <v/>
      </c>
      <c r="D101" s="9009"/>
      <c r="E101" s="9247"/>
      <c r="F101" s="5952"/>
      <c r="G101" s="5959"/>
      <c r="H101" s="5952"/>
      <c r="I101" s="9052"/>
      <c r="J101" s="9055"/>
      <c r="K101" s="9014"/>
      <c r="L101" s="9014"/>
      <c r="M101" s="9039"/>
      <c r="N101" s="9043"/>
      <c r="O101" s="9005"/>
      <c r="P101" s="9001" t="e">
        <f>+IF(VLOOKUP(MATCH(B101,tid,0),tao,'12(id)'!$FR$20,FALSE)="","",VLOOKUP(MATCH(B101,tid,0),tao,'12(id)'!$FR$20,FALSE))</f>
        <v>#N/A</v>
      </c>
      <c r="Q101" s="9005"/>
      <c r="R101" s="8906"/>
      <c r="S101" s="8988"/>
      <c r="T101" s="7608" t="str">
        <f>+IF(E100="","",IF(VLOOKUP(MATCH(E100,c_id,0),ca,'13(an)'!$CC$34,FALSE)="",IF(VLOOKUP(MATCH(E100,c_id,0),ca,'13(an)'!$CD$34,FALSE)="",IF(VLOOKUP(MATCH(E100,c_id,0),ca,'13(an)'!$CE$34,FALSE)="","η ≈ N/A","η ≈ "&amp;ROUND(VLOOKUP(MATCH(E100,c_id,0),ca,'13(an)'!$CE$34,FALSE)*100,0)&amp;"%"),"η ≈ "&amp;ROUND(VLOOKUP(MATCH(E100,c_id,0),ca,'13(an)'!$CD$34,FALSE)*100,0)&amp;"%"),"η ≈ "&amp;ROUND(VLOOKUP(MATCH(E100,c_id,0),ca,'13(an)'!$CC$34,FALSE)*100,0)&amp;"%"))</f>
        <v>η ≈ 87%</v>
      </c>
      <c r="U101" s="7609" t="str">
        <f>+IF($U$110="ppmvd",IF(VLOOKUP(MATCH(E100,c_id,0),ca,'13(an)'!$BV$34,FALSE)="","",ROUND(VLOOKUP(MATCH(E100,c_id,0),ca,'13(an)'!$BV$34,FALSE),1)&amp;" ppmvd"),IF(VLOOKUP(MATCH(E100,c_id,0),ca,'13(an)'!$BU$34,FALSE)="","",IF(LEN(ROUND(VLOOKUP(MATCH(E100,c_id,0),ca,'13(an)'!$BU$34,FALSE),3))=3,ROUND(VLOOKUP(MATCH(E100,c_id,0),ca,'13(an)'!$BU$34,FALSE),3)&amp;"00 lb/MMBtu",IF(LEN(ROUND(VLOOKUP(MATCH(E100,c_id,0),ca,'13(an)'!$BU$34,FALSE),3))=4,ROUND(VLOOKUP(MATCH(E100,c_id,0),ca,'13(an)'!$BU$34,FALSE),3)&amp;"0 lb/MMBtu",ROUND(VLOOKUP(MATCH(E100,c_id,0),ca,'13(an)'!$BU$34,FALSE),3)&amp;" lb/MMBtu"))))</f>
        <v>25 ppmvd</v>
      </c>
      <c r="V101" s="7610">
        <f>+IF(E100="","",IF(VLOOKUP(MATCH(E100,c_id,0),ca,'13(an)'!$CB$34,FALSE)="","NOx(R) = N/A",ROUND(VLOOKUP(MATCH(E100,c_id,0),ca,'13(an)'!$CB$34,FALSE),1)))</f>
        <v>4</v>
      </c>
      <c r="W101" s="7534"/>
      <c r="X101" s="8818"/>
      <c r="Y101" s="7611" t="str">
        <f>+IF(E100="","",IF(VLOOKUP(MATCH(E100,c_id,0),ca,'13(an)'!$CM$34,FALSE)="",IF(VLOOKUP(MATCH(E100,c_id,0),ca,'13(an)'!$CN$34,FALSE)="",IF(VLOOKUP(MATCH(E100,c_id,0),ca,'13(an)'!$CO$34,FALSE)="","η ≈ N/A","η ≈ "&amp;ROUND(VLOOKUP(MATCH(E100,c_id,0),ca,'13(an)'!$CO$34,FALSE)*100,0)&amp;"%"),"η ≈ "&amp;ROUND(VLOOKUP(MATCH(E100,c_id,0),ca,'13(an)'!$CN$34,FALSE)*100,0)&amp;"%"),"η ≈ "&amp;ROUND(VLOOKUP(MATCH(E100,c_id,0),ca,'13(an)'!$CM$34,FALSE)*100,0)&amp;"%"))</f>
        <v>η ≈ 87%</v>
      </c>
      <c r="Z101" s="7612" t="str">
        <f>+IF($Z$110="ppmvd",IF(VLOOKUP(MATCH(E100,c_id,0),ca,'13(an)'!$CJ$34,FALSE)="","",ROUND(VLOOKUP(MATCH(E100,c_id,0),ca,'13(an)'!$CJ$34,FALSE),1)&amp;" ppmvd"),IF(VLOOKUP(MATCH(E100,c_id,0),ca,'13(an)'!$CI$34,FALSE)="","",IF(LEN(ROUND(VLOOKUP(MATCH(E100,c_id,0),ca,'13(an)'!$CI$34,FALSE),3))=3,ROUND(VLOOKUP(MATCH(E100,c_id,0),ca,'13(an)'!$CI$34,FALSE),3)&amp;"00 lb/MMBtu",IF(LEN(ROUND(VLOOKUP(MATCH(E100,c_id,0),ca,'13(an)'!$CI$34,FALSE),3))=4,ROUND(VLOOKUP(MATCH(E100,c_id,0),ca,'13(an)'!$CI$34,FALSE),3)&amp;"0 lb/MMBtu",ROUND(VLOOKUP(MATCH(E100,c_id,0),ca,'13(an)'!$CI$34,FALSE),3)&amp;" lb/MMBtu"))))</f>
        <v>0.100 lb/MMBtu</v>
      </c>
      <c r="AA101" s="7613">
        <f>+IF(E100="","",IF(VLOOKUP(MATCH(E100,c_id,0),ca,'13(an)'!$CL$34,FALSE)="","NOx(R) = N/A",ROUND(VLOOKUP(MATCH(E100,c_id,0),ca,'13(an)'!$CL$34,FALSE),1)))</f>
        <v>1.5</v>
      </c>
      <c r="AB101" s="7535"/>
      <c r="AC101" s="8818"/>
      <c r="AD101" s="7611" t="str">
        <f>+IF(E100="","",IF(VLOOKUP(MATCH(E100,c_id,0),ca,'13(an)'!$CM$34,FALSE)="",IF(VLOOKUP(MATCH(E100,c_id,0),ca,'13(an)'!$CN$34,FALSE)="",IF(VLOOKUP(MATCH(E100,c_id,0),ca,'13(an)'!$CO$34,FALSE)="","η ≈ N/A","η ≈ "&amp;ROUND(VLOOKUP(MATCH(E100,c_id,0),ca,'13(an)'!$CO$34,FALSE)*100,0)&amp;"%"),"η ≈ "&amp;ROUND(VLOOKUP(MATCH(E100,c_id,0),ca,'13(an)'!$CN$34,FALSE)*100,0)&amp;"%"),"η ≈ "&amp;ROUND(VLOOKUP(MATCH(E100,c_id,0),ca,'13(an)'!$CM$34,FALSE)*100,0)&amp;"%"))</f>
        <v>η ≈ 87%</v>
      </c>
      <c r="AE101" s="7612" t="str">
        <f>+IF($AE$110="ppmvd",IF(VLOOKUP(MATCH(E100,c_id,0),ca,'13(an)'!$CJ$34,FALSE)="","",ROUND(VLOOKUP(MATCH(E100,c_id,0),ca,'13(an)'!$CJ$34,FALSE),1)&amp;" ppmvd"),IF(VLOOKUP(MATCH(E100,c_id,0),ca,'13(an)'!$CI$34,FALSE)="","",IF(LEN(ROUND(VLOOKUP(MATCH(E100,c_id,0),ca,'13(an)'!$CI$34,FALSE),3))=3,ROUND(VLOOKUP(MATCH(E100,c_id,0),ca,'13(an)'!$CI$34,FALSE),3)&amp;"00 lb/MMBtu",IF(LEN(ROUND(VLOOKUP(MATCH(E100,c_id,0),ca,'13(an)'!$CI$34,FALSE),3))=4,ROUND(VLOOKUP(MATCH(E100,c_id,0),ca,'13(an)'!$CI$34,FALSE),3)&amp;"0 lb/MMBtu",ROUND(VLOOKUP(MATCH(E100,c_id,0),ca,'13(an)'!$CI$34,FALSE),3)&amp;" lb/MMBtu"))))</f>
        <v>0.100 lb/MMBtu</v>
      </c>
      <c r="AF101" s="7613">
        <f>+IF(E100="","",IF(VLOOKUP(MATCH(E100,c_id,0),ca,'13(an)'!$CL$34,FALSE)="","NOx(R) = N/A",ROUND(VLOOKUP(MATCH(E100,c_id,0),ca,'13(an)'!$CL$34,FALSE),1)))</f>
        <v>1.5</v>
      </c>
      <c r="AG101" s="7536"/>
      <c r="AH101" s="5962"/>
      <c r="AI101" s="5959"/>
      <c r="AJ101" s="5959"/>
      <c r="AK101" s="5959"/>
      <c r="AL101" s="5959"/>
      <c r="AM101" s="5959"/>
    </row>
    <row r="102" spans="1:39" ht="12.75" customHeight="1">
      <c r="A102" s="5952"/>
      <c r="B102" s="8991"/>
      <c r="C102" s="8995" t="str">
        <f>+IF(B102="","",VLOOKUP(MATCH(B102,tid,0),tao,'12(id)'!$J$20,FALSE))</f>
        <v/>
      </c>
      <c r="D102" s="9009"/>
      <c r="E102" s="9247"/>
      <c r="F102" s="5952"/>
      <c r="G102" s="5959"/>
      <c r="H102" s="5952"/>
      <c r="I102" s="9052"/>
      <c r="J102" s="9055"/>
      <c r="K102" s="9014"/>
      <c r="L102" s="9014"/>
      <c r="M102" s="9039"/>
      <c r="N102" s="9043"/>
      <c r="O102" s="9005"/>
      <c r="P102" s="9001" t="e">
        <f>+IF(VLOOKUP(MATCH(B102,tid,0),tao,'12(id)'!$FR$20,FALSE)="","",VLOOKUP(MATCH(B102,tid,0),tao,'12(id)'!$FR$20,FALSE))</f>
        <v>#N/A</v>
      </c>
      <c r="Q102" s="9005"/>
      <c r="R102" s="8906"/>
      <c r="S102" s="8818"/>
      <c r="T102" s="7614">
        <f>+IF(VLOOKUP(MATCH(E100,c_id,0),ca,'13(an)'!$GF$34,FALSE)="","",VLOOKUP(MATCH(E100,c_id,0),ca,'13(an)'!$GF$34,FALSE))</f>
        <v>12360000</v>
      </c>
      <c r="U102" s="7538" t="str">
        <f>+IF(T102="","","$ TCC/unit")</f>
        <v>$ TCC/unit</v>
      </c>
      <c r="V102" s="7539">
        <f>+IF(VLOOKUP(MATCH(E100,c_id,0),ca,'13(an)'!$HA$34,FALSE)="","",VLOOKUP(MATCH(E100,c_id,0),ca,'13(an)'!$HA$34,FALSE))</f>
        <v>1166697</v>
      </c>
      <c r="W102" s="7540"/>
      <c r="X102" s="8818"/>
      <c r="Y102" s="7614">
        <f>+IF(VLOOKUP(MATCH(E100,c_id,0),ca,'13(an)'!$IA$34,FALSE)="","",VLOOKUP(MATCH(E100,c_id,0),ca,'13(an)'!$IA$34,FALSE))</f>
        <v>12360000</v>
      </c>
      <c r="Z102" s="7538" t="str">
        <f>+IF(Y102="","","$ TCC/unit")</f>
        <v>$ TCC/unit</v>
      </c>
      <c r="AA102" s="7539">
        <f>+IF(Y102="","",$AA$14*Y102)</f>
        <v>1166696.5621866405</v>
      </c>
      <c r="AB102" s="7541"/>
      <c r="AC102" s="8818"/>
      <c r="AD102" s="7614">
        <f>+IF(VLOOKUP(MATCH(E100,c_id,0),ca,'13(an)'!$JS$34,FALSE)="","",VLOOKUP(MATCH(E100,c_id,0),ca,'13(an)'!$JS$34,FALSE))</f>
        <v>13500000</v>
      </c>
      <c r="AE102" s="7538" t="str">
        <f>+IF(AD102="","","$ TCC/unit")</f>
        <v>$ TCC/unit</v>
      </c>
      <c r="AF102" s="7539">
        <f>+IF(AD102="","",$AF$14*AD102)</f>
        <v>1158441.9824789858</v>
      </c>
      <c r="AG102" s="7542"/>
      <c r="AH102" s="5962"/>
      <c r="AI102" s="5959"/>
      <c r="AJ102" s="5959"/>
      <c r="AK102" s="5959"/>
      <c r="AL102" s="5959"/>
      <c r="AM102" s="5959"/>
    </row>
    <row r="103" spans="1:39" ht="12.75" customHeight="1">
      <c r="A103" s="5952"/>
      <c r="B103" s="8991"/>
      <c r="C103" s="8995" t="str">
        <f>+IF(B103="","",VLOOKUP(MATCH(B103,tid,0),tao,'12(id)'!$J$20,FALSE))</f>
        <v/>
      </c>
      <c r="D103" s="9009"/>
      <c r="E103" s="9247"/>
      <c r="F103" s="5952"/>
      <c r="G103" s="5959"/>
      <c r="H103" s="5952"/>
      <c r="I103" s="9052"/>
      <c r="J103" s="9055"/>
      <c r="K103" s="9014"/>
      <c r="L103" s="9014"/>
      <c r="M103" s="9039"/>
      <c r="N103" s="9043"/>
      <c r="O103" s="9005"/>
      <c r="P103" s="9001" t="e">
        <f>+IF(VLOOKUP(MATCH(B103,tid,0),tao,'12(id)'!$FR$20,FALSE)="","",VLOOKUP(MATCH(B103,tid,0),tao,'12(id)'!$FR$20,FALSE))</f>
        <v>#N/A</v>
      </c>
      <c r="Q103" s="9005"/>
      <c r="R103" s="8906"/>
      <c r="S103" s="8818"/>
      <c r="T103" s="7470">
        <f>+IF(OR(T102="",N66=""),"",T102/N66)</f>
        <v>618000</v>
      </c>
      <c r="U103" s="8820" t="str">
        <f>+IF(T103="","","$ TCC / MW nominal capacity")</f>
        <v>$ TCC / MW nominal capacity</v>
      </c>
      <c r="V103" s="8820"/>
      <c r="W103" s="7544"/>
      <c r="X103" s="8818"/>
      <c r="Y103" s="7470">
        <f>+IF(OR(Y102="",N66=""),"",Y102/N66)</f>
        <v>618000</v>
      </c>
      <c r="Z103" s="8820" t="str">
        <f>+IF(Y103="","","$ TCC / MW nominal capacity")</f>
        <v>$ TCC / MW nominal capacity</v>
      </c>
      <c r="AA103" s="8820"/>
      <c r="AB103" s="7545"/>
      <c r="AC103" s="8818"/>
      <c r="AD103" s="7470">
        <f>+IF(OR(AD102="",N66=""),"",AD102/N66)</f>
        <v>675000</v>
      </c>
      <c r="AE103" s="8820" t="str">
        <f>+IF(AD103="","","$ TCC / MW nominal capacity")</f>
        <v>$ TCC / MW nominal capacity</v>
      </c>
      <c r="AF103" s="8820"/>
      <c r="AG103" s="7546"/>
      <c r="AH103" s="5962"/>
      <c r="AI103" s="5959"/>
      <c r="AJ103" s="5959"/>
      <c r="AK103" s="5959"/>
      <c r="AL103" s="5959"/>
      <c r="AM103" s="5959"/>
    </row>
    <row r="104" spans="1:39" ht="12.75" customHeight="1">
      <c r="A104" s="5952"/>
      <c r="B104" s="8991"/>
      <c r="C104" s="8995" t="str">
        <f>+IF(B104="","",VLOOKUP(MATCH(B104,tid,0),tao,'12(id)'!$J$20,FALSE))</f>
        <v/>
      </c>
      <c r="D104" s="9009"/>
      <c r="E104" s="9247"/>
      <c r="F104" s="5952"/>
      <c r="G104" s="5959"/>
      <c r="H104" s="5952"/>
      <c r="I104" s="9052"/>
      <c r="J104" s="9055"/>
      <c r="K104" s="9014"/>
      <c r="L104" s="9014"/>
      <c r="M104" s="9039"/>
      <c r="N104" s="9043"/>
      <c r="O104" s="9005"/>
      <c r="P104" s="9001" t="e">
        <f>+IF(VLOOKUP(MATCH(B104,tid,0),tao,'12(id)'!$FR$20,FALSE)="","",VLOOKUP(MATCH(B104,tid,0),tao,'12(id)'!$FR$20,FALSE))</f>
        <v>#N/A</v>
      </c>
      <c r="Q104" s="9005"/>
      <c r="R104" s="8981"/>
      <c r="S104" s="8819"/>
      <c r="T104" s="7615">
        <f>+IF(VLOOKUP(MATCH(E100,c_id,0),ca,'13(an)'!$HF$34,FALSE)="","",VLOOKUP(MATCH(E100,c_id,0),ca,'13(an)'!$HF$34,FALSE))</f>
        <v>418610</v>
      </c>
      <c r="U104" s="8896" t="str">
        <f>IF(T104="","","$ /ton "&amp;"NOx(R)")</f>
        <v>$ /ton NOx(R)</v>
      </c>
      <c r="V104" s="8896"/>
      <c r="W104" s="7591"/>
      <c r="X104" s="8819"/>
      <c r="Y104" s="7615">
        <f>+IF(VLOOKUP(MATCH(E100,c_id,0),ca,'13(an)'!$JE$34,FALSE)="","",VLOOKUP(MATCH(E100,c_id,0),ca,'13(an)'!$JE$34,FALSE))</f>
        <v>1128178.1294787631</v>
      </c>
      <c r="Z104" s="8896" t="str">
        <f>IF(Y104="","","$ /ton "&amp;"NOx(R)")</f>
        <v>$ /ton NOx(R)</v>
      </c>
      <c r="AA104" s="8896"/>
      <c r="AB104" s="7592"/>
      <c r="AC104" s="8819"/>
      <c r="AD104" s="7615">
        <f>+IF(VLOOKUP(MATCH(E100,c_id,0),ca,'13(an)'!$LB$34,FALSE)="","",VLOOKUP(MATCH(E100,c_id,0),ca,'13(an)'!$LB$34,FALSE))</f>
        <v>1160956.7283754139</v>
      </c>
      <c r="AE104" s="8896" t="str">
        <f>IF(AD104="","","$ /ton "&amp;"NOx(R)")</f>
        <v>$ /ton NOx(R)</v>
      </c>
      <c r="AF104" s="8896"/>
      <c r="AG104" s="7593"/>
      <c r="AH104" s="5962"/>
      <c r="AI104" s="5959"/>
      <c r="AJ104" s="5959"/>
      <c r="AK104" s="5959"/>
      <c r="AL104" s="5959"/>
      <c r="AM104" s="5959"/>
    </row>
    <row r="105" spans="1:39" ht="12.75" customHeight="1">
      <c r="A105" s="5952"/>
      <c r="B105" s="8990"/>
      <c r="C105" s="8994" t="str">
        <f>+IF(B105="","",VLOOKUP(MATCH(B105,tid,0),tao,'12(id)'!$J$20,FALSE))</f>
        <v/>
      </c>
      <c r="D105" s="9008"/>
      <c r="E105" s="9025" t="str">
        <f>+IF(B66="","",B66&amp;IF(ISERR(VALUE(1+R100)),"-01",IF(1+R100&lt;10,"-0"&amp;1+R100,"-"&amp;1+R100)))</f>
        <v>8303-01-08</v>
      </c>
      <c r="F105" s="5952"/>
      <c r="G105" s="5959"/>
      <c r="H105" s="5952"/>
      <c r="I105" s="9051"/>
      <c r="J105" s="9055"/>
      <c r="K105" s="9013" t="e">
        <f>+IF(VLOOKUP(MATCH(B105,tid,0),tao,'12(id)'!$K$20,FALSE)="","",VLOOKUP(MATCH(B105,tid,0),tao,'12(id)'!$K$20,FALSE))</f>
        <v>#N/A</v>
      </c>
      <c r="L105" s="9013" t="e">
        <f>+IF(VLOOKUP(MATCH(B105,tid,0),tao,'12(id)'!$L$20,FALSE)="","",VLOOKUP(MATCH(B105,tid,0),tao,'12(id)'!$L$20,FALSE))</f>
        <v>#N/A</v>
      </c>
      <c r="M105" s="9038" t="e">
        <f>+IF(VLOOKUP(MATCH(B105,tid,0),tao,'12(id)'!$Q$20,FALSE)="","",VLOOKUP(MATCH(B105,tid,0),tao,'12(id)'!$Q$20,FALSE))</f>
        <v>#N/A</v>
      </c>
      <c r="N105" s="9042" t="e">
        <f>+IF(VLOOKUP(MATCH(B105,tid,0),tao,'12(id)'!$CT$20,FALSE)="","",VLOOKUP(MATCH(B105,tid,0),tao,'12(id)'!$CT$20,FALSE))</f>
        <v>#N/A</v>
      </c>
      <c r="O105" s="9004" t="e">
        <f>+IF(VLOOKUP(MATCH(B105,tid,0),tao,'12(id)'!$DE$20,FALSE)="","",ROUND(VLOOKUP(MATCH(B105,tid,0),tao,'12(id)'!$DE$20,FALSE),0)&amp;" yrs")</f>
        <v>#N/A</v>
      </c>
      <c r="P105" s="9001" t="e">
        <f>+IF(VLOOKUP(MATCH(B105,tid,0),tao,'12(id)'!$FR$20,FALSE)="","",VLOOKUP(MATCH(B105,tid,0),tao,'12(id)'!$FR$20,FALSE))</f>
        <v>#N/A</v>
      </c>
      <c r="Q105" s="9004" t="e">
        <f>+IF(VLOOKUP(MATCH(B105,tid,0),tao,'12(id)'!$DI$20,FALSE)="","",VLOOKUP(MATCH(B105,tid,0),tao,'12(id)'!$DI$20,FALSE))&amp;";  "&amp;IF(VLOOKUP(MATCH(B105,tid,0),tao,'12(id)'!$DQ$20,FALSE)="","",VLOOKUP(MATCH(B105,tid,0),tao,'12(id)'!$DQ$20,FALSE))</f>
        <v>#N/A</v>
      </c>
      <c r="R105" s="8906">
        <f>+IF(B66="","",1+R100)</f>
        <v>8</v>
      </c>
      <c r="S105" s="8818"/>
      <c r="T105" s="9208" t="str">
        <f>+IF(VLOOKUP(MATCH(E105,c_id,0),ca,'13(an)'!$BD$34,FALSE)="","",VLOOKUP(MATCH(E105,c_id,0),ca,'13(an)'!$BD$34,FALSE))</f>
        <v>LM2500 - new oil fired GE turbine</v>
      </c>
      <c r="U105" s="9208"/>
      <c r="V105" s="9208"/>
      <c r="W105" s="7616"/>
      <c r="X105" s="8818"/>
      <c r="Y105" s="8874" t="str">
        <f>+IF(T105="","",T105)</f>
        <v>LM2500 - new oil fired GE turbine</v>
      </c>
      <c r="Z105" s="8874"/>
      <c r="AA105" s="8874"/>
      <c r="AB105" s="7617"/>
      <c r="AC105" s="8818"/>
      <c r="AD105" s="8874" t="str">
        <f>+IF(Y105="","",Y105)</f>
        <v>LM2500 - new oil fired GE turbine</v>
      </c>
      <c r="AE105" s="8874"/>
      <c r="AF105" s="8874"/>
      <c r="AG105" s="7555"/>
      <c r="AH105" s="5962"/>
      <c r="AI105" s="5959"/>
      <c r="AJ105" s="5959"/>
      <c r="AK105" s="5959"/>
      <c r="AL105" s="5959"/>
      <c r="AM105" s="5959"/>
    </row>
    <row r="106" spans="1:39" ht="12.75" customHeight="1">
      <c r="A106" s="5952"/>
      <c r="B106" s="8990"/>
      <c r="C106" s="8994" t="str">
        <f>+IF(B106="","",VLOOKUP(MATCH(B106,tid,0),tao,'12(id)'!$J$20,FALSE))</f>
        <v/>
      </c>
      <c r="D106" s="9008"/>
      <c r="E106" s="9244"/>
      <c r="F106" s="5952"/>
      <c r="G106" s="5959"/>
      <c r="H106" s="5952"/>
      <c r="I106" s="9051"/>
      <c r="J106" s="9055"/>
      <c r="K106" s="9013" t="e">
        <f>+IF(VLOOKUP(MATCH(B106,tid,0),tao,'12(id)'!$K$20,FALSE)="","",VLOOKUP(MATCH(B106,tid,0),tao,'12(id)'!$K$20,FALSE))</f>
        <v>#N/A</v>
      </c>
      <c r="L106" s="9013" t="e">
        <f>+IF(VLOOKUP(MATCH(B106,tid,0),tao,'12(id)'!$L$20,FALSE)="","",VLOOKUP(MATCH(B106,tid,0),tao,'12(id)'!$L$20,FALSE))</f>
        <v>#N/A</v>
      </c>
      <c r="M106" s="9038" t="e">
        <f>+IF(VLOOKUP(MATCH(B106,tid,0),tao,'12(id)'!$Q$20,FALSE)="","",VLOOKUP(MATCH(B106,tid,0),tao,'12(id)'!$Q$20,FALSE))</f>
        <v>#N/A</v>
      </c>
      <c r="N106" s="9042" t="e">
        <f>+IF(VLOOKUP(MATCH(B106,tid,0),tao,'12(id)'!$CT$20,FALSE)="","",VLOOKUP(MATCH(B106,tid,0),tao,'12(id)'!$CT$20,FALSE))</f>
        <v>#N/A</v>
      </c>
      <c r="O106" s="9004" t="e">
        <f>+IF(VLOOKUP(MATCH(B106,tid,0),tao,'12(id)'!$DE$20,FALSE)="","",ROUND(VLOOKUP(MATCH(B106,tid,0),tao,'12(id)'!$DE$20,FALSE),0)&amp;" yrs")</f>
        <v>#N/A</v>
      </c>
      <c r="P106" s="9001" t="e">
        <f>+IF(VLOOKUP(MATCH(B106,tid,0),tao,'12(id)'!$FR$20,FALSE)="","",VLOOKUP(MATCH(B106,tid,0),tao,'12(id)'!$FR$20,FALSE))</f>
        <v>#N/A</v>
      </c>
      <c r="Q106" s="9004" t="e">
        <f>+IF(VLOOKUP(MATCH(B106,tid,0),tao,'12(id)'!$DI$20,FALSE)="","",VLOOKUP(MATCH(B106,tid,0),tao,'12(id)'!$DI$20,FALSE))&amp;";  "&amp;IF(VLOOKUP(MATCH(B106,tid,0),tao,'12(id)'!$DQ$20,FALSE)="","",VLOOKUP(MATCH(B106,tid,0),tao,'12(id)'!$DQ$20,FALSE))</f>
        <v>#N/A</v>
      </c>
      <c r="R106" s="8906"/>
      <c r="S106" s="8988"/>
      <c r="T106" s="7608" t="str">
        <f>+IF(E105="","",IF(VLOOKUP(MATCH(E105,c_id,0),ca,'13(an)'!$CC$34,FALSE)="",IF(VLOOKUP(MATCH(E105,c_id,0),ca,'13(an)'!$CD$34,FALSE)="",IF(VLOOKUP(MATCH(E105,c_id,0),ca,'13(an)'!$CE$34,FALSE)="","η ≈ N/A","η ≈ "&amp;ROUND(VLOOKUP(MATCH(E105,c_id,0),ca,'13(an)'!$CE$34,FALSE)*100,0)&amp;"%"),"η ≈ "&amp;ROUND(VLOOKUP(MATCH(E105,c_id,0),ca,'13(an)'!$CD$34,FALSE)*100,0)&amp;"%"),"η ≈ "&amp;ROUND(VLOOKUP(MATCH(E105,c_id,0),ca,'13(an)'!$CC$34,FALSE)*100,0)&amp;"%"))</f>
        <v>η ≈ 78%</v>
      </c>
      <c r="U106" s="7609" t="str">
        <f>+IF($U$110="ppmvd",IF(VLOOKUP(MATCH(E105,c_id,0),ca,'13(an)'!$BV$34,FALSE)="","",ROUND(VLOOKUP(MATCH(E105,c_id,0),ca,'13(an)'!$BV$34,FALSE),1)&amp;" ppmvd"),IF(VLOOKUP(MATCH(E105,c_id,0),ca,'13(an)'!$BU$34,FALSE)="","",IF(LEN(ROUND(VLOOKUP(MATCH(E105,c_id,0),ca,'13(an)'!$BU$34,FALSE),3))=3,ROUND(VLOOKUP(MATCH(E105,c_id,0),ca,'13(an)'!$BU$34,FALSE),3)&amp;"00 lb/MMBtu",IF(LEN(ROUND(VLOOKUP(MATCH(E105,c_id,0),ca,'13(an)'!$BU$34,FALSE),3))=4,ROUND(VLOOKUP(MATCH(E105,c_id,0),ca,'13(an)'!$BU$34,FALSE),3)&amp;"0 lb/MMBtu",ROUND(VLOOKUP(MATCH(E105,c_id,0),ca,'13(an)'!$BU$34,FALSE),3)&amp;" lb/MMBtu"))))</f>
        <v>42 ppmvd</v>
      </c>
      <c r="V106" s="7610">
        <f>+IF(E105="","",IF(VLOOKUP(MATCH(E105,c_id,0),ca,'13(an)'!$CB$34,FALSE)="","NOx(R) = N/A",ROUND(VLOOKUP(MATCH(E105,c_id,0),ca,'13(an)'!$CB$34,FALSE),1)))</f>
        <v>3.6</v>
      </c>
      <c r="W106" s="7534"/>
      <c r="X106" s="8818"/>
      <c r="Y106" s="7611" t="str">
        <f>+IF(E105="","",IF(VLOOKUP(MATCH(E105,c_id,0),ca,'13(an)'!$CM$34,FALSE)="",IF(VLOOKUP(MATCH(E105,c_id,0),ca,'13(an)'!$CN$34,FALSE)="",IF(VLOOKUP(MATCH(E105,c_id,0),ca,'13(an)'!$CO$34,FALSE)="","η ≈ N/A","η ≈ "&amp;ROUND(VLOOKUP(MATCH(E105,c_id,0),ca,'13(an)'!$CO$34,FALSE)*100,0)&amp;"%"),"η ≈ "&amp;ROUND(VLOOKUP(MATCH(E105,c_id,0),ca,'13(an)'!$CN$34,FALSE)*100,0)&amp;"%"),"η ≈ "&amp;ROUND(VLOOKUP(MATCH(E105,c_id,0),ca,'13(an)'!$CM$34,FALSE)*100,0)&amp;"%"))</f>
        <v>η ≈ 78%</v>
      </c>
      <c r="Z106" s="7612" t="str">
        <f>+IF($Z$110="ppmvd",IF(VLOOKUP(MATCH(E105,c_id,0),ca,'13(an)'!$CJ$34,FALSE)="","",ROUND(VLOOKUP(MATCH(E105,c_id,0),ca,'13(an)'!$CJ$34,FALSE),1)&amp;" ppmvd"),IF(VLOOKUP(MATCH(E105,c_id,0),ca,'13(an)'!$CI$34,FALSE)="","",IF(LEN(ROUND(VLOOKUP(MATCH(E105,c_id,0),ca,'13(an)'!$CI$34,FALSE),3))=3,ROUND(VLOOKUP(MATCH(E105,c_id,0),ca,'13(an)'!$CI$34,FALSE),3)&amp;"00 lb/MMBtu",IF(LEN(ROUND(VLOOKUP(MATCH(E105,c_id,0),ca,'13(an)'!$CI$34,FALSE),3))=4,ROUND(VLOOKUP(MATCH(E105,c_id,0),ca,'13(an)'!$CI$34,FALSE),3)&amp;"0 lb/MMBtu",ROUND(VLOOKUP(MATCH(E105,c_id,0),ca,'13(an)'!$CI$34,FALSE),3)&amp;" lb/MMBtu"))))</f>
        <v>0.167 lb/MMBtu</v>
      </c>
      <c r="AA106" s="7613">
        <f>+IF(E105="","",IF(VLOOKUP(MATCH(E105,c_id,0),ca,'13(an)'!$CL$34,FALSE)="","NOx(R) = N/A",ROUND(VLOOKUP(MATCH(E105,c_id,0),ca,'13(an)'!$CL$34,FALSE),1)))</f>
        <v>1.3</v>
      </c>
      <c r="AB106" s="7535"/>
      <c r="AC106" s="8818"/>
      <c r="AD106" s="7611" t="str">
        <f>+IF(E105="","",IF(VLOOKUP(MATCH(E105,c_id,0),ca,'13(an)'!$CM$34,FALSE)="",IF(VLOOKUP(MATCH(E105,c_id,0),ca,'13(an)'!$CN$34,FALSE)="",IF(VLOOKUP(MATCH(E105,c_id,0),ca,'13(an)'!$CO$34,FALSE)="","η ≈ N/A","η ≈ "&amp;ROUND(VLOOKUP(MATCH(E105,c_id,0),ca,'13(an)'!$CO$34,FALSE)*100,0)&amp;"%"),"η ≈ "&amp;ROUND(VLOOKUP(MATCH(E105,c_id,0),ca,'13(an)'!$CN$34,FALSE)*100,0)&amp;"%"),"η ≈ "&amp;ROUND(VLOOKUP(MATCH(E105,c_id,0),ca,'13(an)'!$CM$34,FALSE)*100,0)&amp;"%"))</f>
        <v>η ≈ 78%</v>
      </c>
      <c r="AE106" s="7612" t="str">
        <f>+IF($AE$110="ppmvd",IF(VLOOKUP(MATCH(E105,c_id,0),ca,'13(an)'!$CJ$34,FALSE)="","",ROUND(VLOOKUP(MATCH(E105,c_id,0),ca,'13(an)'!$CJ$34,FALSE),1)&amp;" ppmvd"),IF(VLOOKUP(MATCH(E105,c_id,0),ca,'13(an)'!$CI$34,FALSE)="","",IF(LEN(ROUND(VLOOKUP(MATCH(E105,c_id,0),ca,'13(an)'!$CI$34,FALSE),3))=3,ROUND(VLOOKUP(MATCH(E105,c_id,0),ca,'13(an)'!$CI$34,FALSE),3)&amp;"00 lb/MMBtu",IF(LEN(ROUND(VLOOKUP(MATCH(E105,c_id,0),ca,'13(an)'!$CI$34,FALSE),3))=4,ROUND(VLOOKUP(MATCH(E105,c_id,0),ca,'13(an)'!$CI$34,FALSE),3)&amp;"0 lb/MMBtu",ROUND(VLOOKUP(MATCH(E105,c_id,0),ca,'13(an)'!$CI$34,FALSE),3)&amp;" lb/MMBtu"))))</f>
        <v>0.167 lb/MMBtu</v>
      </c>
      <c r="AF106" s="7613">
        <f>+IF(E105="","",IF(VLOOKUP(MATCH(E105,c_id,0),ca,'13(an)'!$CL$34,FALSE)="","NOx(R) = N/A",ROUND(VLOOKUP(MATCH(E105,c_id,0),ca,'13(an)'!$CL$34,FALSE),1)))</f>
        <v>1.3</v>
      </c>
      <c r="AG106" s="7536"/>
      <c r="AH106" s="5962"/>
      <c r="AI106" s="5959"/>
      <c r="AJ106" s="5959"/>
      <c r="AK106" s="5959"/>
      <c r="AL106" s="5959"/>
      <c r="AM106" s="5959"/>
    </row>
    <row r="107" spans="1:39" ht="12.75" customHeight="1">
      <c r="A107" s="5952"/>
      <c r="B107" s="8990"/>
      <c r="C107" s="8994" t="str">
        <f>+IF(B107="","",VLOOKUP(MATCH(B107,tid,0),tao,'12(id)'!$J$20,FALSE))</f>
        <v/>
      </c>
      <c r="D107" s="9008"/>
      <c r="E107" s="9244"/>
      <c r="F107" s="5952"/>
      <c r="G107" s="5959"/>
      <c r="H107" s="5952"/>
      <c r="I107" s="9051"/>
      <c r="J107" s="9055"/>
      <c r="K107" s="9013" t="e">
        <f>+IF(VLOOKUP(MATCH(B107,tid,0),tao,'12(id)'!$K$20,FALSE)="","",VLOOKUP(MATCH(B107,tid,0),tao,'12(id)'!$K$20,FALSE))</f>
        <v>#N/A</v>
      </c>
      <c r="L107" s="9013" t="e">
        <f>+IF(VLOOKUP(MATCH(B107,tid,0),tao,'12(id)'!$L$20,FALSE)="","",VLOOKUP(MATCH(B107,tid,0),tao,'12(id)'!$L$20,FALSE))</f>
        <v>#N/A</v>
      </c>
      <c r="M107" s="9038" t="e">
        <f>+IF(VLOOKUP(MATCH(B107,tid,0),tao,'12(id)'!$Q$20,FALSE)="","",VLOOKUP(MATCH(B107,tid,0),tao,'12(id)'!$Q$20,FALSE))</f>
        <v>#N/A</v>
      </c>
      <c r="N107" s="9042" t="e">
        <f>+IF(VLOOKUP(MATCH(B107,tid,0),tao,'12(id)'!$CT$20,FALSE)="","",VLOOKUP(MATCH(B107,tid,0),tao,'12(id)'!$CT$20,FALSE))</f>
        <v>#N/A</v>
      </c>
      <c r="O107" s="9004" t="e">
        <f>+IF(VLOOKUP(MATCH(B107,tid,0),tao,'12(id)'!$DE$20,FALSE)="","",ROUND(VLOOKUP(MATCH(B107,tid,0),tao,'12(id)'!$DE$20,FALSE),0)&amp;" yrs")</f>
        <v>#N/A</v>
      </c>
      <c r="P107" s="9001" t="e">
        <f>+IF(VLOOKUP(MATCH(B107,tid,0),tao,'12(id)'!$FR$20,FALSE)="","",VLOOKUP(MATCH(B107,tid,0),tao,'12(id)'!$FR$20,FALSE))</f>
        <v>#N/A</v>
      </c>
      <c r="Q107" s="9004" t="e">
        <f>+IF(VLOOKUP(MATCH(B107,tid,0),tao,'12(id)'!$DI$20,FALSE)="","",VLOOKUP(MATCH(B107,tid,0),tao,'12(id)'!$DI$20,FALSE))&amp;";  "&amp;IF(VLOOKUP(MATCH(B107,tid,0),tao,'12(id)'!$DQ$20,FALSE)="","",VLOOKUP(MATCH(B107,tid,0),tao,'12(id)'!$DQ$20,FALSE))</f>
        <v>#N/A</v>
      </c>
      <c r="R107" s="8906"/>
      <c r="S107" s="8818"/>
      <c r="T107" s="7614">
        <f>+IF(VLOOKUP(MATCH(E105,c_id,0),ca,'13(an)'!$GF$34,FALSE)="","",VLOOKUP(MATCH(E105,c_id,0),ca,'13(an)'!$GF$34,FALSE))</f>
        <v>10860000</v>
      </c>
      <c r="U107" s="7538" t="str">
        <f>+IF(T107="","","$ TCC/unit")</f>
        <v>$ TCC/unit</v>
      </c>
      <c r="V107" s="7618">
        <f>+IF(VLOOKUP(MATCH(E105,c_id,0),ca,'13(an)'!$HA$34,FALSE)="","",VLOOKUP(MATCH(E105,c_id,0),ca,'13(an)'!$HA$34,FALSE))</f>
        <v>1025107</v>
      </c>
      <c r="W107" s="7540"/>
      <c r="X107" s="8818"/>
      <c r="Y107" s="7614">
        <f>+IF(VLOOKUP(MATCH(E105,c_id,0),ca,'13(an)'!$IA$34,FALSE)="","",VLOOKUP(MATCH(E105,c_id,0),ca,'13(an)'!$IA$34,FALSE))</f>
        <v>10860000</v>
      </c>
      <c r="Z107" s="7538" t="str">
        <f>+IF(Y107="","","$ TCC/unit")</f>
        <v>$ TCC/unit</v>
      </c>
      <c r="AA107" s="7539">
        <f>+IF(Y107="","",$AA$14*Y107)</f>
        <v>1025107.1735717568</v>
      </c>
      <c r="AB107" s="7541"/>
      <c r="AC107" s="8818"/>
      <c r="AD107" s="7614">
        <f>+IF(VLOOKUP(MATCH(E105,c_id,0),ca,'13(an)'!$JS$34,FALSE)="","",VLOOKUP(MATCH(E105,c_id,0),ca,'13(an)'!$JS$34,FALSE))</f>
        <v>12000000</v>
      </c>
      <c r="AE107" s="7538" t="str">
        <f>+IF(AD107="","","$ TCC/unit")</f>
        <v>$ TCC/unit</v>
      </c>
      <c r="AF107" s="7539">
        <f>+IF(AD107="","",$AF$14*AD107)</f>
        <v>1029726.2066479874</v>
      </c>
      <c r="AG107" s="7542"/>
      <c r="AH107" s="5962"/>
      <c r="AI107" s="5959"/>
      <c r="AJ107" s="5959"/>
      <c r="AK107" s="5959"/>
      <c r="AL107" s="5959"/>
      <c r="AM107" s="5959"/>
    </row>
    <row r="108" spans="1:39" ht="12.75" customHeight="1">
      <c r="A108" s="5952"/>
      <c r="B108" s="8990"/>
      <c r="C108" s="8994" t="str">
        <f>+IF(B108="","",VLOOKUP(MATCH(B108,tid,0),tao,'12(id)'!$J$20,FALSE))</f>
        <v/>
      </c>
      <c r="D108" s="9008"/>
      <c r="E108" s="9244"/>
      <c r="F108" s="5952"/>
      <c r="G108" s="5959"/>
      <c r="H108" s="5952"/>
      <c r="I108" s="9051"/>
      <c r="J108" s="9055"/>
      <c r="K108" s="9013" t="e">
        <f>+IF(VLOOKUP(MATCH(B108,tid,0),tao,'12(id)'!$K$20,FALSE)="","",VLOOKUP(MATCH(B108,tid,0),tao,'12(id)'!$K$20,FALSE))</f>
        <v>#N/A</v>
      </c>
      <c r="L108" s="9013" t="e">
        <f>+IF(VLOOKUP(MATCH(B108,tid,0),tao,'12(id)'!$L$20,FALSE)="","",VLOOKUP(MATCH(B108,tid,0),tao,'12(id)'!$L$20,FALSE))</f>
        <v>#N/A</v>
      </c>
      <c r="M108" s="9038" t="e">
        <f>+IF(VLOOKUP(MATCH(B108,tid,0),tao,'12(id)'!$Q$20,FALSE)="","",VLOOKUP(MATCH(B108,tid,0),tao,'12(id)'!$Q$20,FALSE))</f>
        <v>#N/A</v>
      </c>
      <c r="N108" s="9042" t="e">
        <f>+IF(VLOOKUP(MATCH(B108,tid,0),tao,'12(id)'!$CT$20,FALSE)="","",VLOOKUP(MATCH(B108,tid,0),tao,'12(id)'!$CT$20,FALSE))</f>
        <v>#N/A</v>
      </c>
      <c r="O108" s="9004" t="e">
        <f>+IF(VLOOKUP(MATCH(B108,tid,0),tao,'12(id)'!$DE$20,FALSE)="","",ROUND(VLOOKUP(MATCH(B108,tid,0),tao,'12(id)'!$DE$20,FALSE),0)&amp;" yrs")</f>
        <v>#N/A</v>
      </c>
      <c r="P108" s="9001" t="e">
        <f>+IF(VLOOKUP(MATCH(B108,tid,0),tao,'12(id)'!$FR$20,FALSE)="","",VLOOKUP(MATCH(B108,tid,0),tao,'12(id)'!$FR$20,FALSE))</f>
        <v>#N/A</v>
      </c>
      <c r="Q108" s="9004" t="e">
        <f>+IF(VLOOKUP(MATCH(B108,tid,0),tao,'12(id)'!$DI$20,FALSE)="","",VLOOKUP(MATCH(B108,tid,0),tao,'12(id)'!$DI$20,FALSE))&amp;";  "&amp;IF(VLOOKUP(MATCH(B108,tid,0),tao,'12(id)'!$DQ$20,FALSE)="","",VLOOKUP(MATCH(B108,tid,0),tao,'12(id)'!$DQ$20,FALSE))</f>
        <v>#N/A</v>
      </c>
      <c r="R108" s="8906"/>
      <c r="S108" s="8818"/>
      <c r="T108" s="7470">
        <f>+IF(OR(T107="",N66=""),"",T107/N66)</f>
        <v>543000</v>
      </c>
      <c r="U108" s="8820" t="str">
        <f>+IF(T108="","","$ TCC / MW nominal capacity")</f>
        <v>$ TCC / MW nominal capacity</v>
      </c>
      <c r="V108" s="8820"/>
      <c r="W108" s="7544"/>
      <c r="X108" s="8818"/>
      <c r="Y108" s="7470">
        <f>+IF(OR(Y107="",N66=""),"",Y107/N66)</f>
        <v>543000</v>
      </c>
      <c r="Z108" s="8820" t="str">
        <f>+IF(Y108="","","$ TCC / MW nominal capacity")</f>
        <v>$ TCC / MW nominal capacity</v>
      </c>
      <c r="AA108" s="8820"/>
      <c r="AB108" s="7545"/>
      <c r="AC108" s="8818"/>
      <c r="AD108" s="7470">
        <f>+IF(OR(AD107="",N66=""),"",AD107/N66)</f>
        <v>600000</v>
      </c>
      <c r="AE108" s="8820" t="str">
        <f>+IF(AD108="","","$ TCC / MW nominal capacity")</f>
        <v>$ TCC / MW nominal capacity</v>
      </c>
      <c r="AF108" s="8820"/>
      <c r="AG108" s="7546"/>
      <c r="AH108" s="5962"/>
      <c r="AI108" s="5959"/>
      <c r="AJ108" s="5959"/>
      <c r="AK108" s="5959"/>
      <c r="AL108" s="5959"/>
      <c r="AM108" s="5959"/>
    </row>
    <row r="109" spans="1:39" ht="12.75" customHeight="1" thickBot="1">
      <c r="A109" s="5952"/>
      <c r="B109" s="8992"/>
      <c r="C109" s="8996" t="str">
        <f>+IF(B109="","",VLOOKUP(MATCH(B109,tid,0),tao,'12(id)'!$J$20,FALSE))</f>
        <v/>
      </c>
      <c r="D109" s="9010"/>
      <c r="E109" s="9245"/>
      <c r="F109" s="5952"/>
      <c r="G109" s="5959"/>
      <c r="H109" s="5952"/>
      <c r="I109" s="9053"/>
      <c r="J109" s="9056"/>
      <c r="K109" s="9015" t="e">
        <f>+IF(VLOOKUP(MATCH(B109,tid,0),tao,'12(id)'!$K$20,FALSE)="","",VLOOKUP(MATCH(B109,tid,0),tao,'12(id)'!$K$20,FALSE))</f>
        <v>#N/A</v>
      </c>
      <c r="L109" s="9015" t="e">
        <f>+IF(VLOOKUP(MATCH(B109,tid,0),tao,'12(id)'!$L$20,FALSE)="","",VLOOKUP(MATCH(B109,tid,0),tao,'12(id)'!$L$20,FALSE))</f>
        <v>#N/A</v>
      </c>
      <c r="M109" s="9040" t="e">
        <f>+IF(VLOOKUP(MATCH(B109,tid,0),tao,'12(id)'!$Q$20,FALSE)="","",VLOOKUP(MATCH(B109,tid,0),tao,'12(id)'!$Q$20,FALSE))</f>
        <v>#N/A</v>
      </c>
      <c r="N109" s="9044" t="e">
        <f>+IF(VLOOKUP(MATCH(B109,tid,0),tao,'12(id)'!$CT$20,FALSE)="","",VLOOKUP(MATCH(B109,tid,0),tao,'12(id)'!$CT$20,FALSE))</f>
        <v>#N/A</v>
      </c>
      <c r="O109" s="9006" t="e">
        <f>+IF(VLOOKUP(MATCH(B109,tid,0),tao,'12(id)'!$DE$20,FALSE)="","",ROUND(VLOOKUP(MATCH(B109,tid,0),tao,'12(id)'!$DE$20,FALSE),0)&amp;" yrs")</f>
        <v>#N/A</v>
      </c>
      <c r="P109" s="9002" t="e">
        <f>+IF(VLOOKUP(MATCH(B109,tid,0),tao,'12(id)'!$FR$20,FALSE)="","",VLOOKUP(MATCH(B109,tid,0),tao,'12(id)'!$FR$20,FALSE))</f>
        <v>#N/A</v>
      </c>
      <c r="Q109" s="9006" t="e">
        <f>+IF(VLOOKUP(MATCH(B109,tid,0),tao,'12(id)'!$DI$20,FALSE)="","",VLOOKUP(MATCH(B109,tid,0),tao,'12(id)'!$DI$20,FALSE))&amp;";  "&amp;IF(VLOOKUP(MATCH(B109,tid,0),tao,'12(id)'!$DQ$20,FALSE)="","",VLOOKUP(MATCH(B109,tid,0),tao,'12(id)'!$DQ$20,FALSE))</f>
        <v>#N/A</v>
      </c>
      <c r="R109" s="8907"/>
      <c r="S109" s="8860"/>
      <c r="T109" s="7619">
        <f>+IF(VLOOKUP(MATCH(E105,c_id,0),ca,'13(an)'!$HF$34,FALSE)="","",VLOOKUP(MATCH(E105,c_id,0),ca,'13(an)'!$HF$34,FALSE))</f>
        <v>411017</v>
      </c>
      <c r="U109" s="8897" t="str">
        <f>IF(T109="","","$ /ton "&amp;"NOx(R)")</f>
        <v>$ /ton NOx(R)</v>
      </c>
      <c r="V109" s="8897"/>
      <c r="W109" s="7606"/>
      <c r="X109" s="8860"/>
      <c r="Y109" s="7619">
        <f>+IF(VLOOKUP(MATCH(E105,c_id,0),ca,'13(an)'!$JE$34,FALSE)="","",VLOOKUP(MATCH(E105,c_id,0),ca,'13(an)'!$JE$34,FALSE))</f>
        <v>1107715.5601050283</v>
      </c>
      <c r="Z109" s="8897" t="str">
        <f>IF(Y109="","","$ /ton "&amp;"NOx(R)")</f>
        <v>$ /ton NOx(R)</v>
      </c>
      <c r="AA109" s="8897"/>
      <c r="AB109" s="7607"/>
      <c r="AC109" s="8860"/>
      <c r="AD109" s="7619">
        <f>+IF(VLOOKUP(MATCH(E105,c_id,0),ca,'13(an)'!$LB$34,FALSE)="","",VLOOKUP(MATCH(E105,c_id,0),ca,'13(an)'!$LB$34,FALSE))</f>
        <v>1153856.7279461883</v>
      </c>
      <c r="AE109" s="8897" t="str">
        <f>IF(AD109="","","$ /ton "&amp;"NOx(R)")</f>
        <v>$ /ton NOx(R)</v>
      </c>
      <c r="AF109" s="8897"/>
      <c r="AG109" s="7620"/>
      <c r="AH109" s="5962"/>
      <c r="AI109" s="5959"/>
      <c r="AJ109" s="5959"/>
      <c r="AK109" s="5959"/>
      <c r="AL109" s="5959"/>
      <c r="AM109" s="5959"/>
    </row>
    <row r="110" spans="1:39" ht="14.1" customHeight="1">
      <c r="A110" s="5952"/>
      <c r="B110" s="7561"/>
      <c r="C110" s="7430"/>
      <c r="D110" s="7430"/>
      <c r="E110" s="7561"/>
      <c r="F110" s="5952"/>
      <c r="G110" s="5959"/>
      <c r="H110" s="5952"/>
      <c r="I110" s="7562"/>
      <c r="J110" s="7562"/>
      <c r="K110" s="7562"/>
      <c r="L110" s="7562"/>
      <c r="M110" s="7621"/>
      <c r="N110" s="7622"/>
      <c r="O110" s="7623"/>
      <c r="P110" s="7561"/>
      <c r="Q110" s="7562"/>
      <c r="R110" s="7624"/>
      <c r="S110" s="7562"/>
      <c r="T110" s="7566" t="s">
        <v>1896</v>
      </c>
      <c r="U110" s="7766" t="s">
        <v>480</v>
      </c>
      <c r="V110" s="8692"/>
      <c r="W110" s="8692"/>
      <c r="X110" s="7519"/>
      <c r="Y110" s="7566" t="s">
        <v>1896</v>
      </c>
      <c r="Z110" s="7766" t="s">
        <v>486</v>
      </c>
      <c r="AA110" s="8692"/>
      <c r="AB110" s="8692"/>
      <c r="AC110" s="7519"/>
      <c r="AD110" s="7566" t="s">
        <v>1896</v>
      </c>
      <c r="AE110" s="7767" t="s">
        <v>486</v>
      </c>
      <c r="AF110" s="7470"/>
      <c r="AG110" s="7470"/>
      <c r="AH110" s="5962"/>
      <c r="AI110" s="5959"/>
      <c r="AJ110" s="5959"/>
      <c r="AK110" s="5959"/>
      <c r="AL110" s="5959"/>
      <c r="AM110" s="5959"/>
    </row>
    <row r="111" spans="1:39" ht="14.1" customHeight="1">
      <c r="A111" s="5952"/>
      <c r="B111" s="7516"/>
      <c r="C111" s="7430"/>
      <c r="D111" s="7430"/>
      <c r="E111" s="7516"/>
      <c r="F111" s="5952"/>
      <c r="G111" s="5959"/>
      <c r="H111" s="5952"/>
      <c r="I111" s="7519"/>
      <c r="J111" s="7519"/>
      <c r="K111" s="7519"/>
      <c r="L111" s="7519"/>
      <c r="M111" s="7625"/>
      <c r="N111" s="7626"/>
      <c r="O111" s="7574"/>
      <c r="P111" s="7516"/>
      <c r="Q111" s="7519"/>
      <c r="R111" s="7627"/>
      <c r="S111" s="7519"/>
      <c r="T111" s="7566"/>
      <c r="U111" s="7470"/>
      <c r="V111" s="7470"/>
      <c r="W111" s="7470"/>
      <c r="X111" s="7519"/>
      <c r="Y111" s="7566"/>
      <c r="Z111" s="7470"/>
      <c r="AA111" s="7470"/>
      <c r="AB111" s="7470"/>
      <c r="AC111" s="7519"/>
      <c r="AD111" s="7566"/>
      <c r="AE111" s="7470"/>
      <c r="AF111" s="7470"/>
      <c r="AG111" s="7470"/>
      <c r="AH111" s="5962"/>
      <c r="AI111" s="5959"/>
      <c r="AJ111" s="5959"/>
      <c r="AK111" s="5959"/>
      <c r="AL111" s="5959"/>
      <c r="AM111" s="5959"/>
    </row>
    <row r="112" spans="1:39">
      <c r="A112" s="5952"/>
      <c r="B112" s="7628"/>
      <c r="C112" s="7430"/>
      <c r="D112" s="7430"/>
      <c r="E112" s="7516"/>
      <c r="F112" s="5952"/>
      <c r="G112" s="5959"/>
      <c r="H112" s="5952"/>
      <c r="I112" s="5952"/>
      <c r="J112" s="7629"/>
      <c r="K112" s="7526" t="s">
        <v>1157</v>
      </c>
      <c r="L112" s="7629"/>
      <c r="M112" s="7629"/>
      <c r="N112" s="7629"/>
      <c r="O112" s="7574"/>
      <c r="P112" s="7516"/>
      <c r="Q112" s="7519"/>
      <c r="R112" s="7627"/>
      <c r="S112" s="7519"/>
      <c r="T112" s="7469" t="s">
        <v>912</v>
      </c>
      <c r="U112" s="8830" t="s">
        <v>2709</v>
      </c>
      <c r="V112" s="8830"/>
      <c r="W112" s="8830"/>
      <c r="X112" s="8830"/>
      <c r="Y112" s="8830"/>
      <c r="Z112" s="8830"/>
      <c r="AA112" s="8830"/>
      <c r="AB112" s="7470"/>
      <c r="AC112" s="7519"/>
      <c r="AD112" s="7469" t="s">
        <v>912</v>
      </c>
      <c r="AE112" s="8830" t="s">
        <v>2526</v>
      </c>
      <c r="AF112" s="8830"/>
      <c r="AG112" s="7470"/>
      <c r="AH112" s="5962"/>
      <c r="AI112" s="5959"/>
      <c r="AJ112" s="5959"/>
      <c r="AK112" s="5959"/>
      <c r="AL112" s="5959"/>
      <c r="AM112" s="5959"/>
    </row>
    <row r="113" spans="1:39" ht="15" customHeight="1" thickBot="1">
      <c r="A113" s="5952"/>
      <c r="B113" s="7516"/>
      <c r="C113" s="7430"/>
      <c r="D113" s="7430"/>
      <c r="E113" s="7516"/>
      <c r="F113" s="5952"/>
      <c r="G113" s="5959"/>
      <c r="H113" s="5952"/>
      <c r="I113" s="5952"/>
      <c r="J113" s="5952"/>
      <c r="K113" s="7526" t="str">
        <f>+IF(B114="","",IF(VLOOKUP(MATCH(B114,tid,0),tao,'12(id)'!$I$20,FALSE)="","",VLOOKUP(MATCH(B114,tid,0),tao,'12(id)'!$I$20,FALSE)))</f>
        <v>Norwich Public Utilities</v>
      </c>
      <c r="L113" s="5952"/>
      <c r="M113" s="5952"/>
      <c r="N113" s="5952"/>
      <c r="O113" s="5952"/>
      <c r="P113" s="7516"/>
      <c r="Q113" s="7519"/>
      <c r="R113" s="7627"/>
      <c r="S113" s="7519"/>
      <c r="T113" s="8179"/>
      <c r="U113" s="8830"/>
      <c r="V113" s="8830"/>
      <c r="W113" s="8830"/>
      <c r="X113" s="8830"/>
      <c r="Y113" s="8830"/>
      <c r="Z113" s="8830"/>
      <c r="AA113" s="8830"/>
      <c r="AB113" s="7470"/>
      <c r="AC113" s="7519"/>
      <c r="AD113" s="7470"/>
      <c r="AE113" s="8830"/>
      <c r="AF113" s="8830"/>
      <c r="AG113" s="7470"/>
      <c r="AH113" s="5962"/>
      <c r="AI113" s="5959"/>
      <c r="AJ113" s="5959"/>
      <c r="AK113" s="5959"/>
      <c r="AL113" s="5959"/>
      <c r="AM113" s="5959"/>
    </row>
    <row r="114" spans="1:39" ht="14.1" customHeight="1">
      <c r="A114" s="5952"/>
      <c r="B114" s="9034" t="str">
        <f>+IF('12(id)'!A31="","",'12(id)'!A31)</f>
        <v>8304-01</v>
      </c>
      <c r="C114" s="9016" t="str">
        <f>+IF(B114="","",VLOOKUP(MATCH(B114,tid,0),tao,'12(id)'!$J$20,FALSE))</f>
        <v>NPU</v>
      </c>
      <c r="D114" s="9019" t="str">
        <f>+IF(B114="","",M114)</f>
        <v>TRBINE</v>
      </c>
      <c r="E114" s="9180" t="str">
        <f>+IF(B114="","",B114&amp;IF(ISERR(VALUE(R114)),"-01",IF(R114&lt;10,"-0"&amp;R114,"-"&amp;R114)))</f>
        <v>8304-01-01</v>
      </c>
      <c r="F114" s="5952"/>
      <c r="G114" s="5959"/>
      <c r="H114" s="5952"/>
      <c r="I114" s="9069">
        <f>1+I66</f>
        <v>11</v>
      </c>
      <c r="J114" s="9060" t="str">
        <f>+IF(VLOOKUP(MATCH(B114,tid,0),tao,'12(id)'!$I$20,FALSE)="","",VLOOKUP(MATCH(B114,tid,0),tao,'12(id)'!$I$20,FALSE))</f>
        <v>Norwich Public Utilities</v>
      </c>
      <c r="K114" s="9063">
        <f>+IF(B114="","",IF(VLOOKUP(MATCH(B114,tid,0),tao,'12(id)'!$K$20,FALSE)="","",VLOOKUP(MATCH(B114,tid,0),tao,'12(id)'!$K$20,FALSE)))</f>
        <v>8304</v>
      </c>
      <c r="L114" s="9060" t="str">
        <f>+IF(B114="","",IF(VLOOKUP(MATCH(B114,tid,0),tao,'12(id)'!$L$20,FALSE)="","",VLOOKUP(MATCH(B114,tid,0),tao,'12(id)'!$L$20,FALSE)))</f>
        <v>Norwich</v>
      </c>
      <c r="M114" s="9057" t="str">
        <f>+IF(B114="","",IF(VLOOKUP(MATCH(B114,tid,0),tao,'12(id)'!$Q$20,FALSE)="","",VLOOKUP(MATCH(B114,tid,0),tao,'12(id)'!$Q$20,FALSE)))</f>
        <v>TRBINE</v>
      </c>
      <c r="N114" s="9066">
        <f>+IF(B114="","",IF(VLOOKUP(MATCH(B114,tid,0),tao,'12(id)'!$CT$20,FALSE)="","",VLOOKUP(MATCH(B114,tid,0),tao,'12(id)'!$CT$20,FALSE)))</f>
        <v>18.8</v>
      </c>
      <c r="O114" s="8984" t="str">
        <f ca="1">+IF(B114="","",IF(VLOOKUP(MATCH(B114,tid,0),tao,'12(id)'!$DE$20,FALSE)="","",ROUND(VLOOKUP(MATCH(B114,tid,0),tao,'12(id)'!$DE$20,FALSE),0)&amp;" yrs"))</f>
        <v>43 yrs</v>
      </c>
      <c r="P114" s="9000" t="str">
        <f>+IF(B114="","",IF(VLOOKUP(MATCH(B114,tid,0),tao,'12(id)'!$FR$20,FALSE)="","",VLOOKUP(MATCH(B114,tid,0),tao,'12(id)'!$FR$20,FALSE)))</f>
        <v>None</v>
      </c>
      <c r="Q114" s="9000" t="str">
        <f>+IF(B114="","",IF(VLOOKUP(MATCH(B114,tid,0),tao,'12(id)'!$DI$20,FALSE)="","",VLOOKUP(MATCH(B114,tid,0),tao,'12(id)'!$DI$20,FALSE))&amp;";  "&amp;IF(VLOOKUP(MATCH(B114,tid,0),tao,'12(id)'!$DQ$20,FALSE)="","",VLOOKUP(MATCH(B114,tid,0),tao,'12(id)'!$DQ$20,FALSE)))</f>
        <v xml:space="preserve">No. 2 oil;  </v>
      </c>
      <c r="R114" s="9022">
        <f>+IF(B114="","",1)</f>
        <v>1</v>
      </c>
      <c r="S114" s="8817"/>
      <c r="T114" s="8875" t="str">
        <f>+IF(VLOOKUP(MATCH(E114,c_id,0),ca,'13(an)'!$BD$34,FALSE)="","",VLOOKUP(MATCH(E114,c_id,0),ca,'13(an)'!$BD$34,FALSE))</f>
        <v>SCR + HPWI + Dual Fuel (Nat Gas - oil backup)</v>
      </c>
      <c r="U114" s="8875"/>
      <c r="V114" s="8875"/>
      <c r="W114" s="7579"/>
      <c r="X114" s="8817"/>
      <c r="Y114" s="8987" t="str">
        <f>+IF(T114="","",T114)</f>
        <v>SCR + HPWI + Dual Fuel (Nat Gas - oil backup)</v>
      </c>
      <c r="Z114" s="8987"/>
      <c r="AA114" s="8987"/>
      <c r="AB114" s="7580"/>
      <c r="AC114" s="8817"/>
      <c r="AD114" s="8987" t="str">
        <f>+IF(Y114="","",Y114)</f>
        <v>SCR + HPWI + Dual Fuel (Nat Gas - oil backup)</v>
      </c>
      <c r="AE114" s="8987"/>
      <c r="AF114" s="8987"/>
      <c r="AG114" s="7581"/>
      <c r="AH114" s="5962"/>
      <c r="AI114" s="5959"/>
      <c r="AJ114" s="5959"/>
      <c r="AK114" s="5959"/>
      <c r="AL114" s="5959"/>
      <c r="AM114" s="5959"/>
    </row>
    <row r="115" spans="1:39" ht="14.1" customHeight="1">
      <c r="A115" s="5952"/>
      <c r="B115" s="9035"/>
      <c r="C115" s="9017" t="str">
        <f>+IF(B115="","",VLOOKUP(MATCH(B115,tid,0),tao,'12(id)'!$J$20,FALSE))</f>
        <v/>
      </c>
      <c r="D115" s="9020"/>
      <c r="E115" s="9181"/>
      <c r="F115" s="5962"/>
      <c r="G115" s="7527"/>
      <c r="H115" s="5962"/>
      <c r="I115" s="9070"/>
      <c r="J115" s="8971" t="e">
        <f>+IF(VLOOKUP(MATCH(B115,tid,0),tao,'12(id)'!$I$20,FALSE)="","",VLOOKUP(MATCH(B115,tid,0),tao,'12(id)'!$I$20,FALSE))</f>
        <v>#N/A</v>
      </c>
      <c r="K115" s="9064" t="e">
        <f>+IF(VLOOKUP(MATCH(B115,tid,0),tao,'12(id)'!$K$20,FALSE)="","",VLOOKUP(MATCH(B115,tid,0),tao,'12(id)'!$K$20,FALSE))</f>
        <v>#N/A</v>
      </c>
      <c r="L115" s="8971" t="e">
        <f>+IF(VLOOKUP(MATCH(B115,tid,0),tao,'12(id)'!$L$20,FALSE)="","",VLOOKUP(MATCH(B115,tid,0),tao,'12(id)'!$L$20,FALSE))</f>
        <v>#N/A</v>
      </c>
      <c r="M115" s="9058" t="e">
        <f>+IF(VLOOKUP(MATCH(B115,tid,0),tao,'12(id)'!$Q$20,FALSE)="","",VLOOKUP(MATCH(B115,tid,0),tao,'12(id)'!$Q$20,FALSE))</f>
        <v>#N/A</v>
      </c>
      <c r="N115" s="9067" t="e">
        <f>+IF(VLOOKUP(MATCH(B115,tid,0),tao,'12(id)'!$CT$20,FALSE)="","",VLOOKUP(MATCH(B115,tid,0),tao,'12(id)'!$CT$20,FALSE))</f>
        <v>#N/A</v>
      </c>
      <c r="O115" s="8985" t="e">
        <f>+IF(VLOOKUP(MATCH(B115,tid,0),tao,'12(id)'!$DE$20,FALSE)="","",ROUND(VLOOKUP(MATCH(B115,tid,0),tao,'12(id)'!$DE$20,FALSE),0)&amp;" yrs")</f>
        <v>#N/A</v>
      </c>
      <c r="P115" s="9001" t="e">
        <f>+IF(VLOOKUP(MATCH(B115,tid,0),tao,'12(id)'!$FR$20,FALSE)="","",VLOOKUP(MATCH(B115,tid,0),tao,'12(id)'!$FR$20,FALSE))</f>
        <v>#N/A</v>
      </c>
      <c r="Q115" s="9001" t="e">
        <f>+IF(VLOOKUP(MATCH(B115,tid,0),tao,'12(id)'!$DI$20,FALSE)="","",VLOOKUP(MATCH(B115,tid,0),tao,'12(id)'!$DI$20,FALSE))&amp;";  "&amp;IF(VLOOKUP(MATCH(B115,tid,0),tao,'12(id)'!$DQ$20,FALSE)="","",VLOOKUP(MATCH(B115,tid,0),tao,'12(id)'!$DQ$20,FALSE))</f>
        <v>#N/A</v>
      </c>
      <c r="R115" s="8906"/>
      <c r="S115" s="8818"/>
      <c r="T115" s="7584" t="str">
        <f>+IF(E114="","",IF(VLOOKUP(MATCH(E114,c_id,0),ca,'13(an)'!$CC$34,FALSE)="",IF(VLOOKUP(MATCH(E114,c_id,0),ca,'13(an)'!$CD$34,FALSE)="",IF(VLOOKUP(MATCH(E114,c_id,0),ca,'13(an)'!$CE$34,FALSE)="","η ≈ N/A","η ≈ "&amp;ROUND(VLOOKUP(MATCH(E114,c_id,0),ca,'13(an)'!$CE$34,FALSE)*100,0)&amp;"%"),"η ≈ "&amp;ROUND(VLOOKUP(MATCH(E114,c_id,0),ca,'13(an)'!$CD$34,FALSE)*100,0)&amp;"%"),"η ≈ "&amp;ROUND(VLOOKUP(MATCH(E114,c_id,0),ca,'13(an)'!$CC$34,FALSE)*100,0)&amp;"%"))</f>
        <v>η ≈ 96%</v>
      </c>
      <c r="U115" s="7585" t="str">
        <f>+IF($U$154="ppmvd",IF(VLOOKUP(MATCH(E114,c_id,0),ca,'13(an)'!$BV$34,FALSE)="","",ROUND(VLOOKUP(MATCH(E114,c_id,0),ca,'13(an)'!$BV$34,FALSE),1)&amp;" ppmvd"),IF(VLOOKUP(MATCH(E114,c_id,0),ca,'13(an)'!$BU$34,FALSE)="","",IF(LEN(ROUND(VLOOKUP(MATCH(E114,c_id,0),ca,'13(an)'!$BU$34,FALSE),3))=3,ROUND(VLOOKUP(MATCH(E114,c_id,0),ca,'13(an)'!$BU$34,FALSE),3)&amp;"00 lb/MMBtu",IF(LEN(ROUND(VLOOKUP(MATCH(E114,c_id,0),ca,'13(an)'!$BU$34,FALSE),3))=4,ROUND(VLOOKUP(MATCH(E114,c_id,0),ca,'13(an)'!$BU$34,FALSE),3)&amp;"0 lb/MMBtu",ROUND(VLOOKUP(MATCH(E114,c_id,0),ca,'13(an)'!$BU$34,FALSE),3)&amp;" lb/MMBtu"))))</f>
        <v>0.023 lb/MMBtu</v>
      </c>
      <c r="V115" s="7586">
        <f>+IF(E114="","",IF(VLOOKUP(MATCH(E114,c_id,0),ca,'13(an)'!$CB$34,FALSE)="","NOx(R) = N/A",ROUND(VLOOKUP(MATCH(E114,c_id,0),ca,'13(an)'!$CB$34,FALSE),1)))</f>
        <v>2.6</v>
      </c>
      <c r="W115" s="7534"/>
      <c r="X115" s="8818"/>
      <c r="Y115" s="7584" t="str">
        <f>+IF(E114="","",IF(VLOOKUP(MATCH(E114,c_id,0),ca,'13(an)'!$CM$34,FALSE)="",IF(VLOOKUP(MATCH(E114,c_id,0),ca,'13(an)'!$CN$34,FALSE)="",IF(VLOOKUP(MATCH(E114,c_id,0),ca,'13(an)'!$CO$34,FALSE)="","η ≈ N/A","η ≈ "&amp;ROUND(VLOOKUP(MATCH(E114,c_id,0),ca,'13(an)'!$CO$34,FALSE)*100,0)&amp;"%"),"η ≈ "&amp;ROUND(VLOOKUP(MATCH(E114,c_id,0),ca,'13(an)'!$CN$34,FALSE)*100,0)&amp;"%"),"η ≈ "&amp;ROUND(VLOOKUP(MATCH(E114,c_id,0),ca,'13(an)'!$CM$34,FALSE)*100,0)&amp;"%"))</f>
        <v>η ≈ 96%</v>
      </c>
      <c r="Z115" s="7585" t="str">
        <f>+IF($Z$154="ppmvd",IF(VLOOKUP(MATCH(E114,c_id,0),ca,'13(an)'!$CJ$34,FALSE)="","",ROUND(VLOOKUP(MATCH(E114,c_id,0),ca,'13(an)'!$CJ$34,FALSE),1)&amp;" ppmvd"),IF(VLOOKUP(MATCH(E114,c_id,0),ca,'13(an)'!$CI$34,FALSE)="","",IF(LEN(ROUND(VLOOKUP(MATCH(E114,c_id,0),ca,'13(an)'!$CI$34,FALSE),3))=3,ROUND(VLOOKUP(MATCH(E114,c_id,0),ca,'13(an)'!$CI$34,FALSE),3)&amp;"00 lb/MMBtu",IF(LEN(ROUND(VLOOKUP(MATCH(E114,c_id,0),ca,'13(an)'!$CI$34,FALSE),3))=4,ROUND(VLOOKUP(MATCH(E114,c_id,0),ca,'13(an)'!$CI$34,FALSE),3)&amp;"0 lb/MMBtu",ROUND(VLOOKUP(MATCH(E114,c_id,0),ca,'13(an)'!$CI$34,FALSE),3)&amp;" lb/MMBtu"))))</f>
        <v>0.026 lb/MMBtu</v>
      </c>
      <c r="AA115" s="7586">
        <f>+IF(E114="","",IF(VLOOKUP(MATCH(E114,c_id,0),ca,'13(an)'!$CL$34,FALSE)="","NOx(R) = N/A",ROUND(VLOOKUP(MATCH(E114,c_id,0),ca,'13(an)'!$CL$34,FALSE),1)))</f>
        <v>1.4</v>
      </c>
      <c r="AB115" s="7535"/>
      <c r="AC115" s="8818"/>
      <c r="AD115" s="7584" t="str">
        <f>+IF(E114="","",IF(VLOOKUP(MATCH(E114,c_id,0),ca,'13(an)'!$CM$34,FALSE)="",IF(VLOOKUP(MATCH(E114,c_id,0),ca,'13(an)'!$CN$34,FALSE)="",IF(VLOOKUP(MATCH(E114,c_id,0),ca,'13(an)'!$CO$34,FALSE)="","η ≈ N/A","η ≈ "&amp;ROUND(VLOOKUP(MATCH(E114,c_id,0),ca,'13(an)'!$CO$34,FALSE)*100,0)&amp;"%"),"η ≈ "&amp;ROUND(VLOOKUP(MATCH(E114,c_id,0),ca,'13(an)'!$CN$34,FALSE)*100,0)&amp;"%"),"η ≈ "&amp;ROUND(VLOOKUP(MATCH(E114,c_id,0),ca,'13(an)'!$CM$34,FALSE)*100,0)&amp;"%"))</f>
        <v>η ≈ 96%</v>
      </c>
      <c r="AE115" s="7585" t="str">
        <f>+IF($AE$154="ppmvd",IF(VLOOKUP(MATCH(E114,c_id,0),ca,'13(an)'!$CJ$34,FALSE)="","",ROUND(VLOOKUP(MATCH(E114,c_id,0),ca,'13(an)'!$CJ$34,FALSE),1)&amp;" ppmvd"),IF(VLOOKUP(MATCH(E114,c_id,0),ca,'13(an)'!$CI$34,FALSE)="","",IF(LEN(ROUND(VLOOKUP(MATCH(E114,c_id,0),ca,'13(an)'!$CI$34,FALSE),3))=3,ROUND(VLOOKUP(MATCH(E114,c_id,0),ca,'13(an)'!$CI$34,FALSE),3)&amp;"00 lb/MMBtu",IF(LEN(ROUND(VLOOKUP(MATCH(E114,c_id,0),ca,'13(an)'!$CI$34,FALSE),3))=4,ROUND(VLOOKUP(MATCH(E114,c_id,0),ca,'13(an)'!$CI$34,FALSE),3)&amp;"0 lb/MMBtu",ROUND(VLOOKUP(MATCH(E114,c_id,0),ca,'13(an)'!$CI$34,FALSE),3)&amp;" lb/MMBtu"))))</f>
        <v>0.026 lb/MMBtu</v>
      </c>
      <c r="AF115" s="7586">
        <f>+IF(E114="","",IF(VLOOKUP(MATCH(E114,c_id,0),ca,'13(an)'!$CL$34,FALSE)="","NOx(R) = N/A",ROUND(VLOOKUP(MATCH(E114,c_id,0),ca,'13(an)'!$CL$34,FALSE),1)))</f>
        <v>1.4</v>
      </c>
      <c r="AG115" s="7536"/>
      <c r="AH115" s="5962"/>
      <c r="AI115" s="5959"/>
      <c r="AJ115" s="5959"/>
      <c r="AK115" s="5959"/>
      <c r="AL115" s="5959"/>
      <c r="AM115" s="5959"/>
    </row>
    <row r="116" spans="1:39" ht="14.1" customHeight="1">
      <c r="A116" s="5952"/>
      <c r="B116" s="9035"/>
      <c r="C116" s="9017" t="str">
        <f>+IF(B116="","",VLOOKUP(MATCH(B116,tid,0),tao,'12(id)'!$J$20,FALSE))</f>
        <v/>
      </c>
      <c r="D116" s="9020"/>
      <c r="E116" s="9181"/>
      <c r="F116" s="5962"/>
      <c r="G116" s="7527"/>
      <c r="H116" s="5962"/>
      <c r="I116" s="9070"/>
      <c r="J116" s="8971" t="e">
        <f>+IF(VLOOKUP(MATCH(B116,tid,0),tao,'12(id)'!$I$20,FALSE)="","",VLOOKUP(MATCH(B116,tid,0),tao,'12(id)'!$I$20,FALSE))</f>
        <v>#N/A</v>
      </c>
      <c r="K116" s="9064" t="e">
        <f>+IF(VLOOKUP(MATCH(B116,tid,0),tao,'12(id)'!$K$20,FALSE)="","",VLOOKUP(MATCH(B116,tid,0),tao,'12(id)'!$K$20,FALSE))</f>
        <v>#N/A</v>
      </c>
      <c r="L116" s="8971" t="e">
        <f>+IF(VLOOKUP(MATCH(B116,tid,0),tao,'12(id)'!$L$20,FALSE)="","",VLOOKUP(MATCH(B116,tid,0),tao,'12(id)'!$L$20,FALSE))</f>
        <v>#N/A</v>
      </c>
      <c r="M116" s="9058" t="e">
        <f>+IF(VLOOKUP(MATCH(B116,tid,0),tao,'12(id)'!$Q$20,FALSE)="","",VLOOKUP(MATCH(B116,tid,0),tao,'12(id)'!$Q$20,FALSE))</f>
        <v>#N/A</v>
      </c>
      <c r="N116" s="9067" t="e">
        <f>+IF(VLOOKUP(MATCH(B116,tid,0),tao,'12(id)'!$CT$20,FALSE)="","",VLOOKUP(MATCH(B116,tid,0),tao,'12(id)'!$CT$20,FALSE))</f>
        <v>#N/A</v>
      </c>
      <c r="O116" s="8985" t="e">
        <f>+IF(VLOOKUP(MATCH(B116,tid,0),tao,'12(id)'!$DE$20,FALSE)="","",ROUND(VLOOKUP(MATCH(B116,tid,0),tao,'12(id)'!$DE$20,FALSE),0)&amp;" yrs")</f>
        <v>#N/A</v>
      </c>
      <c r="P116" s="9001" t="e">
        <f>+IF(VLOOKUP(MATCH(B116,tid,0),tao,'12(id)'!$FR$20,FALSE)="","",VLOOKUP(MATCH(B116,tid,0),tao,'12(id)'!$FR$20,FALSE))</f>
        <v>#N/A</v>
      </c>
      <c r="Q116" s="9001" t="e">
        <f>+IF(VLOOKUP(MATCH(B116,tid,0),tao,'12(id)'!$DI$20,FALSE)="","",VLOOKUP(MATCH(B116,tid,0),tao,'12(id)'!$DI$20,FALSE))&amp;";  "&amp;IF(VLOOKUP(MATCH(B116,tid,0),tao,'12(id)'!$DQ$20,FALSE)="","",VLOOKUP(MATCH(B116,tid,0),tao,'12(id)'!$DQ$20,FALSE))</f>
        <v>#N/A</v>
      </c>
      <c r="R116" s="8906"/>
      <c r="S116" s="8818"/>
      <c r="T116" s="7537">
        <f>+IF(VLOOKUP(MATCH(E114,c_id,0),ca,'13(an)'!$GF$34,FALSE)="","",VLOOKUP(MATCH(E114,c_id,0),ca,'13(an)'!$GF$34,FALSE))</f>
        <v>7319263.4140000008</v>
      </c>
      <c r="U116" s="7538" t="str">
        <f>+IF(T116="","","$ TCC/unit")</f>
        <v>$ TCC/unit</v>
      </c>
      <c r="V116" s="7539">
        <f>+IF(VLOOKUP(MATCH(E114,c_id,0),ca,'13(an)'!$HA$34,FALSE)="","",VLOOKUP(MATCH(E114,c_id,0),ca,'13(an)'!$HA$34,FALSE))</f>
        <v>690887</v>
      </c>
      <c r="W116" s="7540"/>
      <c r="X116" s="8818"/>
      <c r="Y116" s="7537">
        <f>+IF(VLOOKUP(MATCH(E114,c_id,0),ca,'13(an)'!$IA$34,FALSE)="","",VLOOKUP(MATCH(E114,c_id,0),ca,'13(an)'!$IA$34,FALSE))</f>
        <v>7319263.4140000008</v>
      </c>
      <c r="Z116" s="7538" t="str">
        <f>+IF(Y116="","","$ TCC/unit")</f>
        <v>$ TCC/unit</v>
      </c>
      <c r="AA116" s="7539">
        <f>+IF(Y116="","",$AA$14*Y116)</f>
        <v>690886.68793303019</v>
      </c>
      <c r="AB116" s="7541"/>
      <c r="AC116" s="8818"/>
      <c r="AD116" s="7537">
        <f>+IF(VLOOKUP(MATCH(E114,c_id,0),ca,'13(an)'!$JS$34,FALSE)="","",VLOOKUP(MATCH(E114,c_id,0),ca,'13(an)'!$JS$34,FALSE))</f>
        <v>6827843.8360000001</v>
      </c>
      <c r="AE116" s="7538" t="str">
        <f>+IF(AD116="","","$ TCC/unit")</f>
        <v>$ TCC/unit</v>
      </c>
      <c r="AF116" s="7539">
        <f>+IF(AD116="","",$AF$14*AD116)</f>
        <v>585900.81106909353</v>
      </c>
      <c r="AG116" s="7542"/>
      <c r="AH116" s="5962"/>
      <c r="AI116" s="5959"/>
      <c r="AJ116" s="5959"/>
      <c r="AK116" s="5959"/>
      <c r="AL116" s="5959"/>
      <c r="AM116" s="5959"/>
    </row>
    <row r="117" spans="1:39" ht="14.1" customHeight="1">
      <c r="A117" s="5952"/>
      <c r="B117" s="9035"/>
      <c r="C117" s="9017" t="str">
        <f>+IF(B117="","",VLOOKUP(MATCH(B117,tid,0),tao,'12(id)'!$J$20,FALSE))</f>
        <v/>
      </c>
      <c r="D117" s="9020"/>
      <c r="E117" s="9181"/>
      <c r="F117" s="5962"/>
      <c r="G117" s="7527"/>
      <c r="H117" s="5962"/>
      <c r="I117" s="9070"/>
      <c r="J117" s="8971" t="e">
        <f>+IF(VLOOKUP(MATCH(B117,tid,0),tao,'12(id)'!$I$20,FALSE)="","",VLOOKUP(MATCH(B117,tid,0),tao,'12(id)'!$I$20,FALSE))</f>
        <v>#N/A</v>
      </c>
      <c r="K117" s="9064" t="e">
        <f>+IF(VLOOKUP(MATCH(B117,tid,0),tao,'12(id)'!$K$20,FALSE)="","",VLOOKUP(MATCH(B117,tid,0),tao,'12(id)'!$K$20,FALSE))</f>
        <v>#N/A</v>
      </c>
      <c r="L117" s="8971" t="e">
        <f>+IF(VLOOKUP(MATCH(B117,tid,0),tao,'12(id)'!$L$20,FALSE)="","",VLOOKUP(MATCH(B117,tid,0),tao,'12(id)'!$L$20,FALSE))</f>
        <v>#N/A</v>
      </c>
      <c r="M117" s="9058" t="e">
        <f>+IF(VLOOKUP(MATCH(B117,tid,0),tao,'12(id)'!$Q$20,FALSE)="","",VLOOKUP(MATCH(B117,tid,0),tao,'12(id)'!$Q$20,FALSE))</f>
        <v>#N/A</v>
      </c>
      <c r="N117" s="9067" t="e">
        <f>+IF(VLOOKUP(MATCH(B117,tid,0),tao,'12(id)'!$CT$20,FALSE)="","",VLOOKUP(MATCH(B117,tid,0),tao,'12(id)'!$CT$20,FALSE))</f>
        <v>#N/A</v>
      </c>
      <c r="O117" s="8985" t="e">
        <f>+IF(VLOOKUP(MATCH(B117,tid,0),tao,'12(id)'!$DE$20,FALSE)="","",ROUND(VLOOKUP(MATCH(B117,tid,0),tao,'12(id)'!$DE$20,FALSE),0)&amp;" yrs")</f>
        <v>#N/A</v>
      </c>
      <c r="P117" s="9001" t="e">
        <f>+IF(VLOOKUP(MATCH(B117,tid,0),tao,'12(id)'!$FR$20,FALSE)="","",VLOOKUP(MATCH(B117,tid,0),tao,'12(id)'!$FR$20,FALSE))</f>
        <v>#N/A</v>
      </c>
      <c r="Q117" s="9001" t="e">
        <f>+IF(VLOOKUP(MATCH(B117,tid,0),tao,'12(id)'!$DI$20,FALSE)="","",VLOOKUP(MATCH(B117,tid,0),tao,'12(id)'!$DI$20,FALSE))&amp;";  "&amp;IF(VLOOKUP(MATCH(B117,tid,0),tao,'12(id)'!$DQ$20,FALSE)="","",VLOOKUP(MATCH(B117,tid,0),tao,'12(id)'!$DQ$20,FALSE))</f>
        <v>#N/A</v>
      </c>
      <c r="R117" s="8906"/>
      <c r="S117" s="8818"/>
      <c r="T117" s="7543">
        <f>+IF(OR(T116="",N114=""),"",T116/N114)</f>
        <v>389322.52202127664</v>
      </c>
      <c r="U117" s="8820" t="str">
        <f>+IF(T117="","","$ TCC / MW nominal capacity")</f>
        <v>$ TCC / MW nominal capacity</v>
      </c>
      <c r="V117" s="8820"/>
      <c r="W117" s="7544"/>
      <c r="X117" s="8818"/>
      <c r="Y117" s="7543">
        <f>+IF(OR(Y116="",N114=""),"",Y116/N114)</f>
        <v>389322.52202127664</v>
      </c>
      <c r="Z117" s="8820" t="str">
        <f>+IF(Y117="","","$ TCC / MW nominal capacity")</f>
        <v>$ TCC / MW nominal capacity</v>
      </c>
      <c r="AA117" s="8820"/>
      <c r="AB117" s="7545"/>
      <c r="AC117" s="8818"/>
      <c r="AD117" s="7543">
        <f>+IF(OR(AD116="",N114=""),"",AD116/N114)</f>
        <v>363183.18276595743</v>
      </c>
      <c r="AE117" s="8820" t="str">
        <f>+IF(AD117="","","$ TCC / MW nominal capacity")</f>
        <v>$ TCC / MW nominal capacity</v>
      </c>
      <c r="AF117" s="8820"/>
      <c r="AG117" s="7546"/>
      <c r="AH117" s="5962"/>
      <c r="AI117" s="5959"/>
      <c r="AJ117" s="5959"/>
      <c r="AK117" s="5959"/>
      <c r="AL117" s="5959"/>
      <c r="AM117" s="5959"/>
    </row>
    <row r="118" spans="1:39" ht="14.1" customHeight="1">
      <c r="A118" s="5952"/>
      <c r="B118" s="9035"/>
      <c r="C118" s="9017" t="str">
        <f>+IF(B118="","",VLOOKUP(MATCH(B118,tid,0),tao,'12(id)'!$J$20,FALSE))</f>
        <v/>
      </c>
      <c r="D118" s="9020"/>
      <c r="E118" s="9182"/>
      <c r="F118" s="5962"/>
      <c r="G118" s="7527"/>
      <c r="H118" s="5962"/>
      <c r="I118" s="9070"/>
      <c r="J118" s="8971" t="e">
        <f>+IF(VLOOKUP(MATCH(B118,tid,0),tao,'12(id)'!$I$20,FALSE)="","",VLOOKUP(MATCH(B118,tid,0),tao,'12(id)'!$I$20,FALSE))</f>
        <v>#N/A</v>
      </c>
      <c r="K118" s="9064" t="e">
        <f>+IF(VLOOKUP(MATCH(B118,tid,0),tao,'12(id)'!$K$20,FALSE)="","",VLOOKUP(MATCH(B118,tid,0),tao,'12(id)'!$K$20,FALSE))</f>
        <v>#N/A</v>
      </c>
      <c r="L118" s="8971" t="e">
        <f>+IF(VLOOKUP(MATCH(B118,tid,0),tao,'12(id)'!$L$20,FALSE)="","",VLOOKUP(MATCH(B118,tid,0),tao,'12(id)'!$L$20,FALSE))</f>
        <v>#N/A</v>
      </c>
      <c r="M118" s="9058" t="e">
        <f>+IF(VLOOKUP(MATCH(B118,tid,0),tao,'12(id)'!$Q$20,FALSE)="","",VLOOKUP(MATCH(B118,tid,0),tao,'12(id)'!$Q$20,FALSE))</f>
        <v>#N/A</v>
      </c>
      <c r="N118" s="9067" t="e">
        <f>+IF(VLOOKUP(MATCH(B118,tid,0),tao,'12(id)'!$CT$20,FALSE)="","",VLOOKUP(MATCH(B118,tid,0),tao,'12(id)'!$CT$20,FALSE))</f>
        <v>#N/A</v>
      </c>
      <c r="O118" s="8985" t="e">
        <f>+IF(VLOOKUP(MATCH(B118,tid,0),tao,'12(id)'!$DE$20,FALSE)="","",ROUND(VLOOKUP(MATCH(B118,tid,0),tao,'12(id)'!$DE$20,FALSE),0)&amp;" yrs")</f>
        <v>#N/A</v>
      </c>
      <c r="P118" s="9001" t="e">
        <f>+IF(VLOOKUP(MATCH(B118,tid,0),tao,'12(id)'!$FR$20,FALSE)="","",VLOOKUP(MATCH(B118,tid,0),tao,'12(id)'!$FR$20,FALSE))</f>
        <v>#N/A</v>
      </c>
      <c r="Q118" s="9001" t="e">
        <f>+IF(VLOOKUP(MATCH(B118,tid,0),tao,'12(id)'!$DI$20,FALSE)="","",VLOOKUP(MATCH(B118,tid,0),tao,'12(id)'!$DI$20,FALSE))&amp;";  "&amp;IF(VLOOKUP(MATCH(B118,tid,0),tao,'12(id)'!$DQ$20,FALSE)="","",VLOOKUP(MATCH(B118,tid,0),tao,'12(id)'!$DQ$20,FALSE))</f>
        <v>#N/A</v>
      </c>
      <c r="R118" s="8981"/>
      <c r="S118" s="8819"/>
      <c r="T118" s="7590">
        <f>+IF(VLOOKUP(MATCH(E114,c_id,0),ca,'13(an)'!$HF$34,FALSE)="","",VLOOKUP(MATCH(E114,c_id,0),ca,'13(an)'!$HF$34,FALSE))</f>
        <v>347672</v>
      </c>
      <c r="U118" s="8896" t="str">
        <f>IF(T118="","","$ /ton "&amp;"NOx(R)")</f>
        <v>$ /ton NOx(R)</v>
      </c>
      <c r="V118" s="8896"/>
      <c r="W118" s="7591"/>
      <c r="X118" s="8819"/>
      <c r="Y118" s="7590">
        <f>+IF(VLOOKUP(MATCH(E114,c_id,0),ca,'13(an)'!$JE$34,FALSE)="","",VLOOKUP(MATCH(E114,c_id,0),ca,'13(an)'!$JE$34,FALSE))</f>
        <v>684850.10909817019</v>
      </c>
      <c r="Z118" s="8896" t="str">
        <f>IF(Y118="","","$ /ton "&amp;"NOx(R)")</f>
        <v>$ /ton NOx(R)</v>
      </c>
      <c r="AA118" s="8896"/>
      <c r="AB118" s="7592"/>
      <c r="AC118" s="8819"/>
      <c r="AD118" s="7590">
        <f>+IF(VLOOKUP(MATCH(E114,c_id,0),ca,'13(an)'!$LB$34,FALSE)="","",VLOOKUP(MATCH(E114,c_id,0),ca,'13(an)'!$LB$34,FALSE))</f>
        <v>606956.23774229095</v>
      </c>
      <c r="AE118" s="8896" t="str">
        <f>IF(AD118="","","$ /ton "&amp;"NOx(R)")</f>
        <v>$ /ton NOx(R)</v>
      </c>
      <c r="AF118" s="8896"/>
      <c r="AG118" s="7593"/>
      <c r="AH118" s="5962"/>
      <c r="AI118" s="5959"/>
      <c r="AJ118" s="5959"/>
      <c r="AK118" s="5959"/>
      <c r="AL118" s="5959"/>
      <c r="AM118" s="5959"/>
    </row>
    <row r="119" spans="1:39" ht="14.1" customHeight="1">
      <c r="A119" s="5952"/>
      <c r="B119" s="9035"/>
      <c r="C119" s="9017" t="str">
        <f>+IF(B119="","",VLOOKUP(MATCH(B119,tid,0),tao,'12(id)'!$J$20,FALSE))</f>
        <v/>
      </c>
      <c r="D119" s="9020"/>
      <c r="E119" s="9045" t="str">
        <f>+IF(B114="","",B114&amp;IF(ISERR(VALUE(1+R114)),"-01",IF(1+R114&lt;10,"-0"&amp;1+R114,"-"&amp;1+R114)))</f>
        <v>8304-01-02</v>
      </c>
      <c r="F119" s="5962"/>
      <c r="G119" s="7527"/>
      <c r="H119" s="5962"/>
      <c r="I119" s="9070"/>
      <c r="J119" s="8971" t="e">
        <f>+IF(VLOOKUP(MATCH(B119,tid,0),tao,'12(id)'!$I$20,FALSE)="","",VLOOKUP(MATCH(B119,tid,0),tao,'12(id)'!$I$20,FALSE))</f>
        <v>#N/A</v>
      </c>
      <c r="K119" s="9064" t="e">
        <f>+IF(VLOOKUP(MATCH(B119,tid,0),tao,'12(id)'!$K$20,FALSE)="","",VLOOKUP(MATCH(B119,tid,0),tao,'12(id)'!$K$20,FALSE))</f>
        <v>#N/A</v>
      </c>
      <c r="L119" s="8971" t="e">
        <f>+IF(VLOOKUP(MATCH(B119,tid,0),tao,'12(id)'!$L$20,FALSE)="","",VLOOKUP(MATCH(B119,tid,0),tao,'12(id)'!$L$20,FALSE))</f>
        <v>#N/A</v>
      </c>
      <c r="M119" s="9058" t="e">
        <f>+IF(VLOOKUP(MATCH(B119,tid,0),tao,'12(id)'!$Q$20,FALSE)="","",VLOOKUP(MATCH(B119,tid,0),tao,'12(id)'!$Q$20,FALSE))</f>
        <v>#N/A</v>
      </c>
      <c r="N119" s="9067" t="e">
        <f>+IF(VLOOKUP(MATCH(B119,tid,0),tao,'12(id)'!$CT$20,FALSE)="","",VLOOKUP(MATCH(B119,tid,0),tao,'12(id)'!$CT$20,FALSE))</f>
        <v>#N/A</v>
      </c>
      <c r="O119" s="8985" t="e">
        <f>+IF(VLOOKUP(MATCH(B119,tid,0),tao,'12(id)'!$DE$20,FALSE)="","",ROUND(VLOOKUP(MATCH(B119,tid,0),tao,'12(id)'!$DE$20,FALSE),0)&amp;" yrs")</f>
        <v>#N/A</v>
      </c>
      <c r="P119" s="9001" t="e">
        <f>+IF(VLOOKUP(MATCH(B119,tid,0),tao,'12(id)'!$FR$20,FALSE)="","",VLOOKUP(MATCH(B119,tid,0),tao,'12(id)'!$FR$20,FALSE))</f>
        <v>#N/A</v>
      </c>
      <c r="Q119" s="9001" t="e">
        <f>+IF(VLOOKUP(MATCH(B119,tid,0),tao,'12(id)'!$DI$20,FALSE)="","",VLOOKUP(MATCH(B119,tid,0),tao,'12(id)'!$DI$20,FALSE))&amp;";  "&amp;IF(VLOOKUP(MATCH(B119,tid,0),tao,'12(id)'!$DQ$20,FALSE)="","",VLOOKUP(MATCH(B119,tid,0),tao,'12(id)'!$DQ$20,FALSE))</f>
        <v>#N/A</v>
      </c>
      <c r="R119" s="8906">
        <f>+IF(B114="","",1+R114)</f>
        <v>2</v>
      </c>
      <c r="S119" s="8818"/>
      <c r="T119" s="8874" t="str">
        <f>+IF(VLOOKUP(MATCH(E119,c_id,0),ca,'13(an)'!$BD$34,FALSE)="","",VLOOKUP(MATCH(E119,c_id,0),ca,'13(an)'!$BD$34,FALSE))</f>
        <v>SCR + Water Injection (HPWI) - oil # 2</v>
      </c>
      <c r="U119" s="8874"/>
      <c r="V119" s="8874"/>
      <c r="W119" s="7616"/>
      <c r="X119" s="8818"/>
      <c r="Y119" s="9208" t="str">
        <f>+IF(T119="","",T119)</f>
        <v>SCR + Water Injection (HPWI) - oil # 2</v>
      </c>
      <c r="Z119" s="9208"/>
      <c r="AA119" s="9208"/>
      <c r="AB119" s="7617"/>
      <c r="AC119" s="8818"/>
      <c r="AD119" s="9208" t="str">
        <f>+IF(Y119="","",Y119)</f>
        <v>SCR + Water Injection (HPWI) - oil # 2</v>
      </c>
      <c r="AE119" s="9208"/>
      <c r="AF119" s="9208"/>
      <c r="AG119" s="7555"/>
      <c r="AH119" s="5962"/>
      <c r="AI119" s="5959"/>
      <c r="AJ119" s="5959"/>
      <c r="AK119" s="5959"/>
      <c r="AL119" s="5959"/>
      <c r="AM119" s="5959"/>
    </row>
    <row r="120" spans="1:39" ht="14.1" customHeight="1">
      <c r="A120" s="5952"/>
      <c r="B120" s="9035"/>
      <c r="C120" s="9017" t="str">
        <f>+IF(B120="","",VLOOKUP(MATCH(B120,tid,0),tao,'12(id)'!$J$20,FALSE))</f>
        <v/>
      </c>
      <c r="D120" s="9020"/>
      <c r="E120" s="9024"/>
      <c r="F120" s="5962"/>
      <c r="G120" s="7527"/>
      <c r="H120" s="5962"/>
      <c r="I120" s="9070"/>
      <c r="J120" s="8971" t="e">
        <f>+IF(VLOOKUP(MATCH(B120,tid,0),tao,'12(id)'!$I$20,FALSE)="","",VLOOKUP(MATCH(B120,tid,0),tao,'12(id)'!$I$20,FALSE))</f>
        <v>#N/A</v>
      </c>
      <c r="K120" s="9064" t="e">
        <f>+IF(VLOOKUP(MATCH(B120,tid,0),tao,'12(id)'!$K$20,FALSE)="","",VLOOKUP(MATCH(B120,tid,0),tao,'12(id)'!$K$20,FALSE))</f>
        <v>#N/A</v>
      </c>
      <c r="L120" s="8971" t="e">
        <f>+IF(VLOOKUP(MATCH(B120,tid,0),tao,'12(id)'!$L$20,FALSE)="","",VLOOKUP(MATCH(B120,tid,0),tao,'12(id)'!$L$20,FALSE))</f>
        <v>#N/A</v>
      </c>
      <c r="M120" s="9058" t="e">
        <f>+IF(VLOOKUP(MATCH(B120,tid,0),tao,'12(id)'!$Q$20,FALSE)="","",VLOOKUP(MATCH(B120,tid,0),tao,'12(id)'!$Q$20,FALSE))</f>
        <v>#N/A</v>
      </c>
      <c r="N120" s="9067" t="e">
        <f>+IF(VLOOKUP(MATCH(B120,tid,0),tao,'12(id)'!$CT$20,FALSE)="","",VLOOKUP(MATCH(B120,tid,0),tao,'12(id)'!$CT$20,FALSE))</f>
        <v>#N/A</v>
      </c>
      <c r="O120" s="8985" t="e">
        <f>+IF(VLOOKUP(MATCH(B120,tid,0),tao,'12(id)'!$DE$20,FALSE)="","",ROUND(VLOOKUP(MATCH(B120,tid,0),tao,'12(id)'!$DE$20,FALSE),0)&amp;" yrs")</f>
        <v>#N/A</v>
      </c>
      <c r="P120" s="9001" t="e">
        <f>+IF(VLOOKUP(MATCH(B120,tid,0),tao,'12(id)'!$FR$20,FALSE)="","",VLOOKUP(MATCH(B120,tid,0),tao,'12(id)'!$FR$20,FALSE))</f>
        <v>#N/A</v>
      </c>
      <c r="Q120" s="9001" t="e">
        <f>+IF(VLOOKUP(MATCH(B120,tid,0),tao,'12(id)'!$DI$20,FALSE)="","",VLOOKUP(MATCH(B120,tid,0),tao,'12(id)'!$DI$20,FALSE))&amp;";  "&amp;IF(VLOOKUP(MATCH(B120,tid,0),tao,'12(id)'!$DQ$20,FALSE)="","",VLOOKUP(MATCH(B120,tid,0),tao,'12(id)'!$DQ$20,FALSE))</f>
        <v>#N/A</v>
      </c>
      <c r="R120" s="8906"/>
      <c r="S120" s="8818"/>
      <c r="T120" s="7584" t="str">
        <f>+IF(E119="","",IF(VLOOKUP(MATCH(E119,c_id,0),ca,'13(an)'!$CC$34,FALSE)="",IF(VLOOKUP(MATCH(E119,c_id,0),ca,'13(an)'!$CD$34,FALSE)="",IF(VLOOKUP(MATCH(E119,c_id,0),ca,'13(an)'!$CE$34,FALSE)="","η ≈ N/A","η ≈ "&amp;ROUND(VLOOKUP(MATCH(E119,c_id,0),ca,'13(an)'!$CE$34,FALSE)*100,0)&amp;"%"),"η ≈ "&amp;ROUND(VLOOKUP(MATCH(E119,c_id,0),ca,'13(an)'!$CD$34,FALSE)*100,0)&amp;"%"),"η ≈ "&amp;ROUND(VLOOKUP(MATCH(E119,c_id,0),ca,'13(an)'!$CC$34,FALSE)*100,0)&amp;"%"))</f>
        <v>η ≈ 94%</v>
      </c>
      <c r="U120" s="7585" t="str">
        <f>+IF($U$154="ppmvd",IF(VLOOKUP(MATCH(E119,c_id,0),ca,'13(an)'!$BV$34,FALSE)="","",ROUND(VLOOKUP(MATCH(E119,c_id,0),ca,'13(an)'!$BV$34,FALSE),1)&amp;" ppmvd"),IF(VLOOKUP(MATCH(E119,c_id,0),ca,'13(an)'!$BU$34,FALSE)="","",IF(LEN(ROUND(VLOOKUP(MATCH(E119,c_id,0),ca,'13(an)'!$BU$34,FALSE),3))=3,ROUND(VLOOKUP(MATCH(E119,c_id,0),ca,'13(an)'!$BU$34,FALSE),3)&amp;"00 lb/MMBtu",IF(LEN(ROUND(VLOOKUP(MATCH(E119,c_id,0),ca,'13(an)'!$BU$34,FALSE),3))=4,ROUND(VLOOKUP(MATCH(E119,c_id,0),ca,'13(an)'!$BU$34,FALSE),3)&amp;"0 lb/MMBtu",ROUND(VLOOKUP(MATCH(E119,c_id,0),ca,'13(an)'!$BU$34,FALSE),3)&amp;" lb/MMBtu"))))</f>
        <v>0.035 lb/MMBtu</v>
      </c>
      <c r="V120" s="7586">
        <f>+IF(E119="","",IF(VLOOKUP(MATCH(E119,c_id,0),ca,'13(an)'!$CB$34,FALSE)="","NOx(R) = N/A",ROUND(VLOOKUP(MATCH(E119,c_id,0),ca,'13(an)'!$CB$34,FALSE),1)))</f>
        <v>2.6</v>
      </c>
      <c r="W120" s="7534"/>
      <c r="X120" s="8818"/>
      <c r="Y120" s="7584" t="str">
        <f>+IF(E119="","",IF(VLOOKUP(MATCH(E119,c_id,0),ca,'13(an)'!$CM$34,FALSE)="",IF(VLOOKUP(MATCH(E119,c_id,0),ca,'13(an)'!$CN$34,FALSE)="",IF(VLOOKUP(MATCH(E119,c_id,0),ca,'13(an)'!$CO$34,FALSE)="","η ≈ N/A","η ≈ "&amp;ROUND(VLOOKUP(MATCH(E119,c_id,0),ca,'13(an)'!$CO$34,FALSE)*100,0)&amp;"%"),"η ≈ "&amp;ROUND(VLOOKUP(MATCH(E119,c_id,0),ca,'13(an)'!$CN$34,FALSE)*100,0)&amp;"%"),"η ≈ "&amp;ROUND(VLOOKUP(MATCH(E119,c_id,0),ca,'13(an)'!$CM$34,FALSE)*100,0)&amp;"%"))</f>
        <v>η ≈ 94%</v>
      </c>
      <c r="Z120" s="7585" t="str">
        <f>+IF($Z$154="ppmvd",IF(VLOOKUP(MATCH(E119,c_id,0),ca,'13(an)'!$CJ$34,FALSE)="","",ROUND(VLOOKUP(MATCH(E119,c_id,0),ca,'13(an)'!$CJ$34,FALSE),1)&amp;" ppmvd"),IF(VLOOKUP(MATCH(E119,c_id,0),ca,'13(an)'!$CI$34,FALSE)="","",IF(LEN(ROUND(VLOOKUP(MATCH(E119,c_id,0),ca,'13(an)'!$CI$34,FALSE),3))=3,ROUND(VLOOKUP(MATCH(E119,c_id,0),ca,'13(an)'!$CI$34,FALSE),3)&amp;"00 lb/MMBtu",IF(LEN(ROUND(VLOOKUP(MATCH(E119,c_id,0),ca,'13(an)'!$CI$34,FALSE),3))=4,ROUND(VLOOKUP(MATCH(E119,c_id,0),ca,'13(an)'!$CI$34,FALSE),3)&amp;"0 lb/MMBtu",ROUND(VLOOKUP(MATCH(E119,c_id,0),ca,'13(an)'!$CI$34,FALSE),3)&amp;" lb/MMBtu"))))</f>
        <v>0.040 lb/MMBtu</v>
      </c>
      <c r="AA120" s="7586">
        <f>+IF(E119="","",IF(VLOOKUP(MATCH(E119,c_id,0),ca,'13(an)'!$CL$34,FALSE)="","NOx(R) = N/A",ROUND(VLOOKUP(MATCH(E119,c_id,0),ca,'13(an)'!$CL$34,FALSE),1)))</f>
        <v>1.4</v>
      </c>
      <c r="AB120" s="7535"/>
      <c r="AC120" s="8818"/>
      <c r="AD120" s="7584" t="str">
        <f>+IF(E119="","",IF(VLOOKUP(MATCH(E119,c_id,0),ca,'13(an)'!$CM$34,FALSE)="",IF(VLOOKUP(MATCH(E119,c_id,0),ca,'13(an)'!$CN$34,FALSE)="",IF(VLOOKUP(MATCH(E119,c_id,0),ca,'13(an)'!$CO$34,FALSE)="","η ≈ N/A","η ≈ "&amp;ROUND(VLOOKUP(MATCH(E119,c_id,0),ca,'13(an)'!$CO$34,FALSE)*100,0)&amp;"%"),"η ≈ "&amp;ROUND(VLOOKUP(MATCH(E119,c_id,0),ca,'13(an)'!$CN$34,FALSE)*100,0)&amp;"%"),"η ≈ "&amp;ROUND(VLOOKUP(MATCH(E119,c_id,0),ca,'13(an)'!$CM$34,FALSE)*100,0)&amp;"%"))</f>
        <v>η ≈ 94%</v>
      </c>
      <c r="AE120" s="7585" t="str">
        <f>+IF($AE$154="ppmvd",IF(VLOOKUP(MATCH(E119,c_id,0),ca,'13(an)'!$CJ$34,FALSE)="","",ROUND(VLOOKUP(MATCH(E119,c_id,0),ca,'13(an)'!$CJ$34,FALSE),1)&amp;" ppmvd"),IF(VLOOKUP(MATCH(E119,c_id,0),ca,'13(an)'!$CI$34,FALSE)="","",IF(LEN(ROUND(VLOOKUP(MATCH(E119,c_id,0),ca,'13(an)'!$CI$34,FALSE),3))=3,ROUND(VLOOKUP(MATCH(E119,c_id,0),ca,'13(an)'!$CI$34,FALSE),3)&amp;"00 lb/MMBtu",IF(LEN(ROUND(VLOOKUP(MATCH(E119,c_id,0),ca,'13(an)'!$CI$34,FALSE),3))=4,ROUND(VLOOKUP(MATCH(E119,c_id,0),ca,'13(an)'!$CI$34,FALSE),3)&amp;"0 lb/MMBtu",ROUND(VLOOKUP(MATCH(E119,c_id,0),ca,'13(an)'!$CI$34,FALSE),3)&amp;" lb/MMBtu"))))</f>
        <v>0.040 lb/MMBtu</v>
      </c>
      <c r="AF120" s="7586">
        <f>+IF(E119="","",IF(VLOOKUP(MATCH(E119,c_id,0),ca,'13(an)'!$CL$34,FALSE)="","NOx(R) = N/A",ROUND(VLOOKUP(MATCH(E119,c_id,0),ca,'13(an)'!$CL$34,FALSE),1)))</f>
        <v>1.4</v>
      </c>
      <c r="AG120" s="7536"/>
      <c r="AH120" s="5962"/>
      <c r="AI120" s="5959"/>
      <c r="AJ120" s="5959"/>
      <c r="AK120" s="5959"/>
      <c r="AL120" s="5959"/>
      <c r="AM120" s="5959"/>
    </row>
    <row r="121" spans="1:39" ht="14.1" customHeight="1">
      <c r="A121" s="5952"/>
      <c r="B121" s="9035"/>
      <c r="C121" s="9017" t="str">
        <f>+IF(B121="","",VLOOKUP(MATCH(B121,tid,0),tao,'12(id)'!$J$20,FALSE))</f>
        <v/>
      </c>
      <c r="D121" s="9020"/>
      <c r="E121" s="9024"/>
      <c r="F121" s="5962"/>
      <c r="G121" s="7527"/>
      <c r="H121" s="5962"/>
      <c r="I121" s="9070"/>
      <c r="J121" s="8971" t="e">
        <f>+IF(VLOOKUP(MATCH(B121,tid,0),tao,'12(id)'!$I$20,FALSE)="","",VLOOKUP(MATCH(B121,tid,0),tao,'12(id)'!$I$20,FALSE))</f>
        <v>#N/A</v>
      </c>
      <c r="K121" s="9064" t="e">
        <f>+IF(VLOOKUP(MATCH(B121,tid,0),tao,'12(id)'!$K$20,FALSE)="","",VLOOKUP(MATCH(B121,tid,0),tao,'12(id)'!$K$20,FALSE))</f>
        <v>#N/A</v>
      </c>
      <c r="L121" s="8971" t="e">
        <f>+IF(VLOOKUP(MATCH(B121,tid,0),tao,'12(id)'!$L$20,FALSE)="","",VLOOKUP(MATCH(B121,tid,0),tao,'12(id)'!$L$20,FALSE))</f>
        <v>#N/A</v>
      </c>
      <c r="M121" s="9058" t="e">
        <f>+IF(VLOOKUP(MATCH(B121,tid,0),tao,'12(id)'!$Q$20,FALSE)="","",VLOOKUP(MATCH(B121,tid,0),tao,'12(id)'!$Q$20,FALSE))</f>
        <v>#N/A</v>
      </c>
      <c r="N121" s="9067" t="e">
        <f>+IF(VLOOKUP(MATCH(B121,tid,0),tao,'12(id)'!$CT$20,FALSE)="","",VLOOKUP(MATCH(B121,tid,0),tao,'12(id)'!$CT$20,FALSE))</f>
        <v>#N/A</v>
      </c>
      <c r="O121" s="8985" t="e">
        <f>+IF(VLOOKUP(MATCH(B121,tid,0),tao,'12(id)'!$DE$20,FALSE)="","",ROUND(VLOOKUP(MATCH(B121,tid,0),tao,'12(id)'!$DE$20,FALSE),0)&amp;" yrs")</f>
        <v>#N/A</v>
      </c>
      <c r="P121" s="9001" t="e">
        <f>+IF(VLOOKUP(MATCH(B121,tid,0),tao,'12(id)'!$FR$20,FALSE)="","",VLOOKUP(MATCH(B121,tid,0),tao,'12(id)'!$FR$20,FALSE))</f>
        <v>#N/A</v>
      </c>
      <c r="Q121" s="9001" t="e">
        <f>+IF(VLOOKUP(MATCH(B121,tid,0),tao,'12(id)'!$DI$20,FALSE)="","",VLOOKUP(MATCH(B121,tid,0),tao,'12(id)'!$DI$20,FALSE))&amp;";  "&amp;IF(VLOOKUP(MATCH(B121,tid,0),tao,'12(id)'!$DQ$20,FALSE)="","",VLOOKUP(MATCH(B121,tid,0),tao,'12(id)'!$DQ$20,FALSE))</f>
        <v>#N/A</v>
      </c>
      <c r="R121" s="8906"/>
      <c r="S121" s="8818"/>
      <c r="T121" s="7537">
        <f>+IF(VLOOKUP(MATCH(E119,c_id,0),ca,'13(an)'!$GF$34,FALSE)="","",VLOOKUP(MATCH(E119,c_id,0),ca,'13(an)'!$GF$34,FALSE))</f>
        <v>4554324.5779999997</v>
      </c>
      <c r="U121" s="7538" t="str">
        <f>+IF(T121="","","$ TCC/unit")</f>
        <v>$ TCC/unit</v>
      </c>
      <c r="V121" s="7539">
        <f>+IF(VLOOKUP(MATCH(E119,c_id,0),ca,'13(an)'!$HA$34,FALSE)="","",VLOOKUP(MATCH(E119,c_id,0),ca,'13(an)'!$HA$34,FALSE))</f>
        <v>429896</v>
      </c>
      <c r="W121" s="7540"/>
      <c r="X121" s="8818"/>
      <c r="Y121" s="7537">
        <f>+IF(VLOOKUP(MATCH(E119,c_id,0),ca,'13(an)'!$IA$34,FALSE)="","",VLOOKUP(MATCH(E119,c_id,0),ca,'13(an)'!$IA$34,FALSE))</f>
        <v>4554324.5779999997</v>
      </c>
      <c r="Z121" s="7538" t="str">
        <f>+IF(Y121="","","$ TCC/unit")</f>
        <v>$ TCC/unit</v>
      </c>
      <c r="AA121" s="7539">
        <f>+IF(Y121="","",$AA$14*Y121)</f>
        <v>429896.0217018383</v>
      </c>
      <c r="AB121" s="7541"/>
      <c r="AC121" s="8818"/>
      <c r="AD121" s="7537">
        <f>+IF(VLOOKUP(MATCH(E119,c_id,0),ca,'13(an)'!$JS$34,FALSE)="","",VLOOKUP(MATCH(E119,c_id,0),ca,'13(an)'!$JS$34,FALSE))</f>
        <v>4062905</v>
      </c>
      <c r="AE121" s="7538" t="str">
        <f>+IF(AD121="","","$ TCC/unit")</f>
        <v>$ TCC/unit</v>
      </c>
      <c r="AF121" s="7539">
        <f>+IF(AD121="","",$AF$14*AD121)</f>
        <v>348639.97946842841</v>
      </c>
      <c r="AG121" s="7542"/>
      <c r="AH121" s="5962"/>
      <c r="AI121" s="5959"/>
      <c r="AJ121" s="5959"/>
      <c r="AK121" s="5959"/>
      <c r="AL121" s="5959"/>
      <c r="AM121" s="5959"/>
    </row>
    <row r="122" spans="1:39" ht="14.1" customHeight="1">
      <c r="A122" s="5952"/>
      <c r="B122" s="9035"/>
      <c r="C122" s="9017" t="str">
        <f>+IF(B122="","",VLOOKUP(MATCH(B122,tid,0),tao,'12(id)'!$J$20,FALSE))</f>
        <v/>
      </c>
      <c r="D122" s="9020"/>
      <c r="E122" s="9024"/>
      <c r="F122" s="5962"/>
      <c r="G122" s="7527"/>
      <c r="H122" s="5962"/>
      <c r="I122" s="9070"/>
      <c r="J122" s="8971" t="e">
        <f>+IF(VLOOKUP(MATCH(B122,tid,0),tao,'12(id)'!$I$20,FALSE)="","",VLOOKUP(MATCH(B122,tid,0),tao,'12(id)'!$I$20,FALSE))</f>
        <v>#N/A</v>
      </c>
      <c r="K122" s="9064" t="e">
        <f>+IF(VLOOKUP(MATCH(B122,tid,0),tao,'12(id)'!$K$20,FALSE)="","",VLOOKUP(MATCH(B122,tid,0),tao,'12(id)'!$K$20,FALSE))</f>
        <v>#N/A</v>
      </c>
      <c r="L122" s="8971" t="e">
        <f>+IF(VLOOKUP(MATCH(B122,tid,0),tao,'12(id)'!$L$20,FALSE)="","",VLOOKUP(MATCH(B122,tid,0),tao,'12(id)'!$L$20,FALSE))</f>
        <v>#N/A</v>
      </c>
      <c r="M122" s="9058" t="e">
        <f>+IF(VLOOKUP(MATCH(B122,tid,0),tao,'12(id)'!$Q$20,FALSE)="","",VLOOKUP(MATCH(B122,tid,0),tao,'12(id)'!$Q$20,FALSE))</f>
        <v>#N/A</v>
      </c>
      <c r="N122" s="9067" t="e">
        <f>+IF(VLOOKUP(MATCH(B122,tid,0),tao,'12(id)'!$CT$20,FALSE)="","",VLOOKUP(MATCH(B122,tid,0),tao,'12(id)'!$CT$20,FALSE))</f>
        <v>#N/A</v>
      </c>
      <c r="O122" s="8985" t="e">
        <f>+IF(VLOOKUP(MATCH(B122,tid,0),tao,'12(id)'!$DE$20,FALSE)="","",ROUND(VLOOKUP(MATCH(B122,tid,0),tao,'12(id)'!$DE$20,FALSE),0)&amp;" yrs")</f>
        <v>#N/A</v>
      </c>
      <c r="P122" s="9001" t="e">
        <f>+IF(VLOOKUP(MATCH(B122,tid,0),tao,'12(id)'!$FR$20,FALSE)="","",VLOOKUP(MATCH(B122,tid,0),tao,'12(id)'!$FR$20,FALSE))</f>
        <v>#N/A</v>
      </c>
      <c r="Q122" s="9001" t="e">
        <f>+IF(VLOOKUP(MATCH(B122,tid,0),tao,'12(id)'!$DI$20,FALSE)="","",VLOOKUP(MATCH(B122,tid,0),tao,'12(id)'!$DI$20,FALSE))&amp;";  "&amp;IF(VLOOKUP(MATCH(B122,tid,0),tao,'12(id)'!$DQ$20,FALSE)="","",VLOOKUP(MATCH(B122,tid,0),tao,'12(id)'!$DQ$20,FALSE))</f>
        <v>#N/A</v>
      </c>
      <c r="R122" s="8906"/>
      <c r="S122" s="8818"/>
      <c r="T122" s="7543">
        <f>+IF(OR(T121="",N114=""),"",T121/N114)</f>
        <v>242251.3073404255</v>
      </c>
      <c r="U122" s="8820" t="str">
        <f>+IF(T122="","","$ TCC / MW nominal capacity")</f>
        <v>$ TCC / MW nominal capacity</v>
      </c>
      <c r="V122" s="8820"/>
      <c r="W122" s="7544"/>
      <c r="X122" s="8818"/>
      <c r="Y122" s="7543">
        <f>+IF(OR(Y121="",N114=""),"",Y121/N114)</f>
        <v>242251.3073404255</v>
      </c>
      <c r="Z122" s="8820" t="str">
        <f>+IF(Y122="","","$ TCC / MW nominal capacity")</f>
        <v>$ TCC / MW nominal capacity</v>
      </c>
      <c r="AA122" s="8820"/>
      <c r="AB122" s="7545"/>
      <c r="AC122" s="8818"/>
      <c r="AD122" s="7543">
        <f>+IF(OR(AD121="",N114=""),"",AD121/N114)</f>
        <v>216111.96808510637</v>
      </c>
      <c r="AE122" s="8820" t="str">
        <f>+IF(AD122="","","$ TCC / MW nominal capacity")</f>
        <v>$ TCC / MW nominal capacity</v>
      </c>
      <c r="AF122" s="8820"/>
      <c r="AG122" s="7546"/>
      <c r="AH122" s="5962"/>
      <c r="AI122" s="5959"/>
      <c r="AJ122" s="5959"/>
      <c r="AK122" s="5959"/>
      <c r="AL122" s="5959"/>
      <c r="AM122" s="5959"/>
    </row>
    <row r="123" spans="1:39" ht="14.1" customHeight="1">
      <c r="A123" s="5952"/>
      <c r="B123" s="9035"/>
      <c r="C123" s="9017" t="str">
        <f>+IF(B123="","",VLOOKUP(MATCH(B123,tid,0),tao,'12(id)'!$J$20,FALSE))</f>
        <v/>
      </c>
      <c r="D123" s="9020"/>
      <c r="E123" s="9025"/>
      <c r="F123" s="5962"/>
      <c r="G123" s="7527"/>
      <c r="H123" s="5962"/>
      <c r="I123" s="9070"/>
      <c r="J123" s="8971" t="e">
        <f>+IF(VLOOKUP(MATCH(B123,tid,0),tao,'12(id)'!$I$20,FALSE)="","",VLOOKUP(MATCH(B123,tid,0),tao,'12(id)'!$I$20,FALSE))</f>
        <v>#N/A</v>
      </c>
      <c r="K123" s="9064" t="e">
        <f>+IF(VLOOKUP(MATCH(B123,tid,0),tao,'12(id)'!$K$20,FALSE)="","",VLOOKUP(MATCH(B123,tid,0),tao,'12(id)'!$K$20,FALSE))</f>
        <v>#N/A</v>
      </c>
      <c r="L123" s="8971" t="e">
        <f>+IF(VLOOKUP(MATCH(B123,tid,0),tao,'12(id)'!$L$20,FALSE)="","",VLOOKUP(MATCH(B123,tid,0),tao,'12(id)'!$L$20,FALSE))</f>
        <v>#N/A</v>
      </c>
      <c r="M123" s="9058" t="e">
        <f>+IF(VLOOKUP(MATCH(B123,tid,0),tao,'12(id)'!$Q$20,FALSE)="","",VLOOKUP(MATCH(B123,tid,0),tao,'12(id)'!$Q$20,FALSE))</f>
        <v>#N/A</v>
      </c>
      <c r="N123" s="9067" t="e">
        <f>+IF(VLOOKUP(MATCH(B123,tid,0),tao,'12(id)'!$CT$20,FALSE)="","",VLOOKUP(MATCH(B123,tid,0),tao,'12(id)'!$CT$20,FALSE))</f>
        <v>#N/A</v>
      </c>
      <c r="O123" s="8985" t="e">
        <f>+IF(VLOOKUP(MATCH(B123,tid,0),tao,'12(id)'!$DE$20,FALSE)="","",ROUND(VLOOKUP(MATCH(B123,tid,0),tao,'12(id)'!$DE$20,FALSE),0)&amp;" yrs")</f>
        <v>#N/A</v>
      </c>
      <c r="P123" s="9001" t="e">
        <f>+IF(VLOOKUP(MATCH(B123,tid,0),tao,'12(id)'!$FR$20,FALSE)="","",VLOOKUP(MATCH(B123,tid,0),tao,'12(id)'!$FR$20,FALSE))</f>
        <v>#N/A</v>
      </c>
      <c r="Q123" s="9001" t="e">
        <f>+IF(VLOOKUP(MATCH(B123,tid,0),tao,'12(id)'!$DI$20,FALSE)="","",VLOOKUP(MATCH(B123,tid,0),tao,'12(id)'!$DI$20,FALSE))&amp;";  "&amp;IF(VLOOKUP(MATCH(B123,tid,0),tao,'12(id)'!$DQ$20,FALSE)="","",VLOOKUP(MATCH(B123,tid,0),tao,'12(id)'!$DQ$20,FALSE))</f>
        <v>#N/A</v>
      </c>
      <c r="R123" s="8981"/>
      <c r="S123" s="8819"/>
      <c r="T123" s="7590">
        <f>+IF(VLOOKUP(MATCH(E119,c_id,0),ca,'13(an)'!$HF$34,FALSE)="","",VLOOKUP(MATCH(E119,c_id,0),ca,'13(an)'!$HF$34,FALSE))</f>
        <v>221348</v>
      </c>
      <c r="U123" s="8896" t="str">
        <f>IF(T123="","","$ /ton "&amp;"NOx(R)")</f>
        <v>$ /ton NOx(R)</v>
      </c>
      <c r="V123" s="8896"/>
      <c r="W123" s="7591"/>
      <c r="X123" s="8819"/>
      <c r="Y123" s="7590">
        <f>+IF(VLOOKUP(MATCH(E119,c_id,0),ca,'13(an)'!$JE$34,FALSE)="","",VLOOKUP(MATCH(E119,c_id,0),ca,'13(an)'!$JE$34,FALSE))</f>
        <v>435802.13675647584</v>
      </c>
      <c r="Z123" s="8896" t="str">
        <f>IF(Y123="","","$ /ton "&amp;"NOx(R)")</f>
        <v>$ /ton NOx(R)</v>
      </c>
      <c r="AA123" s="8896"/>
      <c r="AB123" s="7592"/>
      <c r="AC123" s="8819"/>
      <c r="AD123" s="7590">
        <f>+IF(VLOOKUP(MATCH(E119,c_id,0),ca,'13(an)'!$LB$34,FALSE)="","",VLOOKUP(MATCH(E119,c_id,0),ca,'13(an)'!$LB$34,FALSE))</f>
        <v>372790.0691451446</v>
      </c>
      <c r="AE123" s="8896" t="str">
        <f>IF(AD123="","","$ /ton "&amp;"NOx(R)")</f>
        <v>$ /ton NOx(R)</v>
      </c>
      <c r="AF123" s="8896"/>
      <c r="AG123" s="7593"/>
      <c r="AH123" s="5962"/>
      <c r="AI123" s="5959"/>
      <c r="AJ123" s="5959"/>
      <c r="AK123" s="5959"/>
      <c r="AL123" s="5959"/>
      <c r="AM123" s="5959"/>
    </row>
    <row r="124" spans="1:39" ht="14.1" customHeight="1">
      <c r="A124" s="5952"/>
      <c r="B124" s="9035"/>
      <c r="C124" s="9017" t="str">
        <f>+IF(B124="","",VLOOKUP(MATCH(B124,tid,0),tao,'12(id)'!$J$20,FALSE))</f>
        <v/>
      </c>
      <c r="D124" s="9020"/>
      <c r="E124" s="9045" t="str">
        <f>+IF(B114="","",B114&amp;IF(ISERR(VALUE(1+R119)),"-01",IF(1+R119&lt;10,"-0"&amp;1+R119,"-"&amp;1+R119)))</f>
        <v>8304-01-03</v>
      </c>
      <c r="F124" s="5962"/>
      <c r="G124" s="7527"/>
      <c r="H124" s="5962"/>
      <c r="I124" s="9070"/>
      <c r="J124" s="8971" t="e">
        <f>+IF(VLOOKUP(MATCH(B124,tid,0),tao,'12(id)'!$I$20,FALSE)="","",VLOOKUP(MATCH(B124,tid,0),tao,'12(id)'!$I$20,FALSE))</f>
        <v>#N/A</v>
      </c>
      <c r="K124" s="9064" t="e">
        <f>+IF(VLOOKUP(MATCH(B124,tid,0),tao,'12(id)'!$K$20,FALSE)="","",VLOOKUP(MATCH(B124,tid,0),tao,'12(id)'!$K$20,FALSE))</f>
        <v>#N/A</v>
      </c>
      <c r="L124" s="8971" t="e">
        <f>+IF(VLOOKUP(MATCH(B124,tid,0),tao,'12(id)'!$L$20,FALSE)="","",VLOOKUP(MATCH(B124,tid,0),tao,'12(id)'!$L$20,FALSE))</f>
        <v>#N/A</v>
      </c>
      <c r="M124" s="9058" t="e">
        <f>+IF(VLOOKUP(MATCH(B124,tid,0),tao,'12(id)'!$Q$20,FALSE)="","",VLOOKUP(MATCH(B124,tid,0),tao,'12(id)'!$Q$20,FALSE))</f>
        <v>#N/A</v>
      </c>
      <c r="N124" s="9067" t="e">
        <f>+IF(VLOOKUP(MATCH(B124,tid,0),tao,'12(id)'!$CT$20,FALSE)="","",VLOOKUP(MATCH(B124,tid,0),tao,'12(id)'!$CT$20,FALSE))</f>
        <v>#N/A</v>
      </c>
      <c r="O124" s="8985" t="e">
        <f>+IF(VLOOKUP(MATCH(B124,tid,0),tao,'12(id)'!$DE$20,FALSE)="","",ROUND(VLOOKUP(MATCH(B124,tid,0),tao,'12(id)'!$DE$20,FALSE),0)&amp;" yrs")</f>
        <v>#N/A</v>
      </c>
      <c r="P124" s="9001" t="e">
        <f>+IF(VLOOKUP(MATCH(B124,tid,0),tao,'12(id)'!$FR$20,FALSE)="","",VLOOKUP(MATCH(B124,tid,0),tao,'12(id)'!$FR$20,FALSE))</f>
        <v>#N/A</v>
      </c>
      <c r="Q124" s="9001" t="e">
        <f>+IF(VLOOKUP(MATCH(B124,tid,0),tao,'12(id)'!$DI$20,FALSE)="","",VLOOKUP(MATCH(B124,tid,0),tao,'12(id)'!$DI$20,FALSE))&amp;";  "&amp;IF(VLOOKUP(MATCH(B124,tid,0),tao,'12(id)'!$DQ$20,FALSE)="","",VLOOKUP(MATCH(B124,tid,0),tao,'12(id)'!$DQ$20,FALSE))</f>
        <v>#N/A</v>
      </c>
      <c r="R124" s="8982">
        <f>+IF(B114="","",1+R119)</f>
        <v>3</v>
      </c>
      <c r="S124" s="8859"/>
      <c r="T124" s="8871" t="str">
        <f>+IF(VLOOKUP(MATCH(E124,c_id,0),ca,'13(an)'!$BD$34,FALSE)="","",VLOOKUP(MATCH(E124,c_id,0),ca,'13(an)'!$BD$34,FALSE))</f>
        <v>Selective Catalytic Reduction (SCR)</v>
      </c>
      <c r="U124" s="8871"/>
      <c r="V124" s="8871"/>
      <c r="W124" s="7553"/>
      <c r="X124" s="8859"/>
      <c r="Y124" s="8871" t="str">
        <f>+IF(T124="","",T124)</f>
        <v>Selective Catalytic Reduction (SCR)</v>
      </c>
      <c r="Z124" s="8871"/>
      <c r="AA124" s="8871"/>
      <c r="AB124" s="7554"/>
      <c r="AC124" s="8859"/>
      <c r="AD124" s="8871" t="str">
        <f>+IF(Y124="","",Y124)</f>
        <v>Selective Catalytic Reduction (SCR)</v>
      </c>
      <c r="AE124" s="8871"/>
      <c r="AF124" s="8871"/>
      <c r="AG124" s="7555"/>
      <c r="AH124" s="5962"/>
      <c r="AI124" s="5959"/>
      <c r="AJ124" s="5959"/>
      <c r="AK124" s="5959"/>
      <c r="AL124" s="5959"/>
      <c r="AM124" s="5959"/>
    </row>
    <row r="125" spans="1:39" ht="11.45" customHeight="1">
      <c r="A125" s="5952"/>
      <c r="B125" s="9035"/>
      <c r="C125" s="9017" t="str">
        <f>+IF(B125="","",VLOOKUP(MATCH(B125,tid,0),tao,'12(id)'!$J$20,FALSE))</f>
        <v/>
      </c>
      <c r="D125" s="9020"/>
      <c r="E125" s="9024"/>
      <c r="F125" s="5962"/>
      <c r="G125" s="7527"/>
      <c r="H125" s="5962"/>
      <c r="I125" s="9070"/>
      <c r="J125" s="8971" t="e">
        <f>+IF(VLOOKUP(MATCH(B125,tid,0),tao,'12(id)'!$I$20,FALSE)="","",VLOOKUP(MATCH(B125,tid,0),tao,'12(id)'!$I$20,FALSE))</f>
        <v>#N/A</v>
      </c>
      <c r="K125" s="9064" t="e">
        <f>+IF(VLOOKUP(MATCH(B125,tid,0),tao,'12(id)'!$K$20,FALSE)="","",VLOOKUP(MATCH(B125,tid,0),tao,'12(id)'!$K$20,FALSE))</f>
        <v>#N/A</v>
      </c>
      <c r="L125" s="8971" t="e">
        <f>+IF(VLOOKUP(MATCH(B125,tid,0),tao,'12(id)'!$L$20,FALSE)="","",VLOOKUP(MATCH(B125,tid,0),tao,'12(id)'!$L$20,FALSE))</f>
        <v>#N/A</v>
      </c>
      <c r="M125" s="9058" t="e">
        <f>+IF(VLOOKUP(MATCH(B125,tid,0),tao,'12(id)'!$Q$20,FALSE)="","",VLOOKUP(MATCH(B125,tid,0),tao,'12(id)'!$Q$20,FALSE))</f>
        <v>#N/A</v>
      </c>
      <c r="N125" s="9067" t="e">
        <f>+IF(VLOOKUP(MATCH(B125,tid,0),tao,'12(id)'!$CT$20,FALSE)="","",VLOOKUP(MATCH(B125,tid,0),tao,'12(id)'!$CT$20,FALSE))</f>
        <v>#N/A</v>
      </c>
      <c r="O125" s="8985" t="e">
        <f>+IF(VLOOKUP(MATCH(B125,tid,0),tao,'12(id)'!$DE$20,FALSE)="","",ROUND(VLOOKUP(MATCH(B125,tid,0),tao,'12(id)'!$DE$20,FALSE),0)&amp;" yrs")</f>
        <v>#N/A</v>
      </c>
      <c r="P125" s="9001" t="e">
        <f>+IF(VLOOKUP(MATCH(B125,tid,0),tao,'12(id)'!$FR$20,FALSE)="","",VLOOKUP(MATCH(B125,tid,0),tao,'12(id)'!$FR$20,FALSE))</f>
        <v>#N/A</v>
      </c>
      <c r="Q125" s="9001" t="e">
        <f>+IF(VLOOKUP(MATCH(B125,tid,0),tao,'12(id)'!$DI$20,FALSE)="","",VLOOKUP(MATCH(B125,tid,0),tao,'12(id)'!$DI$20,FALSE))&amp;";  "&amp;IF(VLOOKUP(MATCH(B125,tid,0),tao,'12(id)'!$DQ$20,FALSE)="","",VLOOKUP(MATCH(B125,tid,0),tao,'12(id)'!$DQ$20,FALSE))</f>
        <v>#N/A</v>
      </c>
      <c r="R125" s="8906"/>
      <c r="S125" s="8818"/>
      <c r="T125" s="8820" t="str">
        <f>+IF(VLOOKUP(MATCH(E124,c_id,0),ca,'13(an)'!$BG$34,FALSE)="","","("&amp;VLOOKUP(MATCH(E124,c_id,0),ca,'13(an)'!$BG$34,FALSE)&amp;")")</f>
        <v>(Primary fuel No. 2 oil)</v>
      </c>
      <c r="U125" s="9206"/>
      <c r="V125" s="9206"/>
      <c r="W125" s="7582"/>
      <c r="X125" s="8818"/>
      <c r="Y125" s="8976" t="str">
        <f>+IF(T125="","",T125)</f>
        <v>(Primary fuel No. 2 oil)</v>
      </c>
      <c r="Z125" s="8977"/>
      <c r="AA125" s="8977"/>
      <c r="AB125" s="5962"/>
      <c r="AC125" s="8818"/>
      <c r="AD125" s="8976" t="str">
        <f>+IF(Y125="","",Y125)</f>
        <v>(Primary fuel No. 2 oil)</v>
      </c>
      <c r="AE125" s="8977"/>
      <c r="AF125" s="8977"/>
      <c r="AG125" s="7583"/>
      <c r="AH125" s="5962"/>
      <c r="AI125" s="5959"/>
      <c r="AJ125" s="5959"/>
      <c r="AK125" s="5959"/>
      <c r="AL125" s="5959"/>
      <c r="AM125" s="5959"/>
    </row>
    <row r="126" spans="1:39" ht="15.95" customHeight="1">
      <c r="A126" s="5952"/>
      <c r="B126" s="9035"/>
      <c r="C126" s="9017" t="str">
        <f>+IF(B126="","",VLOOKUP(MATCH(B126,tid,0),tao,'12(id)'!$J$20,FALSE))</f>
        <v/>
      </c>
      <c r="D126" s="9020"/>
      <c r="E126" s="9024"/>
      <c r="F126" s="5962"/>
      <c r="G126" s="7527"/>
      <c r="H126" s="5962"/>
      <c r="I126" s="9070"/>
      <c r="J126" s="8971" t="e">
        <f>+IF(VLOOKUP(MATCH(B126,tid,0),tao,'12(id)'!$I$20,FALSE)="","",VLOOKUP(MATCH(B126,tid,0),tao,'12(id)'!$I$20,FALSE))</f>
        <v>#N/A</v>
      </c>
      <c r="K126" s="9064" t="e">
        <f>+IF(VLOOKUP(MATCH(B126,tid,0),tao,'12(id)'!$K$20,FALSE)="","",VLOOKUP(MATCH(B126,tid,0),tao,'12(id)'!$K$20,FALSE))</f>
        <v>#N/A</v>
      </c>
      <c r="L126" s="8971" t="e">
        <f>+IF(VLOOKUP(MATCH(B126,tid,0),tao,'12(id)'!$L$20,FALSE)="","",VLOOKUP(MATCH(B126,tid,0),tao,'12(id)'!$L$20,FALSE))</f>
        <v>#N/A</v>
      </c>
      <c r="M126" s="9058" t="e">
        <f>+IF(VLOOKUP(MATCH(B126,tid,0),tao,'12(id)'!$Q$20,FALSE)="","",VLOOKUP(MATCH(B126,tid,0),tao,'12(id)'!$Q$20,FALSE))</f>
        <v>#N/A</v>
      </c>
      <c r="N126" s="9067" t="e">
        <f>+IF(VLOOKUP(MATCH(B126,tid,0),tao,'12(id)'!$CT$20,FALSE)="","",VLOOKUP(MATCH(B126,tid,0),tao,'12(id)'!$CT$20,FALSE))</f>
        <v>#N/A</v>
      </c>
      <c r="O126" s="8985" t="e">
        <f>+IF(VLOOKUP(MATCH(B126,tid,0),tao,'12(id)'!$DE$20,FALSE)="","",ROUND(VLOOKUP(MATCH(B126,tid,0),tao,'12(id)'!$DE$20,FALSE),0)&amp;" yrs")</f>
        <v>#N/A</v>
      </c>
      <c r="P126" s="9001" t="e">
        <f>+IF(VLOOKUP(MATCH(B126,tid,0),tao,'12(id)'!$FR$20,FALSE)="","",VLOOKUP(MATCH(B126,tid,0),tao,'12(id)'!$FR$20,FALSE))</f>
        <v>#N/A</v>
      </c>
      <c r="Q126" s="9001" t="e">
        <f>+IF(VLOOKUP(MATCH(B126,tid,0),tao,'12(id)'!$DI$20,FALSE)="","",VLOOKUP(MATCH(B126,tid,0),tao,'12(id)'!$DI$20,FALSE))&amp;";  "&amp;IF(VLOOKUP(MATCH(B126,tid,0),tao,'12(id)'!$DQ$20,FALSE)="","",VLOOKUP(MATCH(B126,tid,0),tao,'12(id)'!$DQ$20,FALSE))</f>
        <v>#N/A</v>
      </c>
      <c r="R126" s="8906"/>
      <c r="S126" s="8818"/>
      <c r="T126" s="7584" t="str">
        <f>+IF(E124="","",IF(VLOOKUP(MATCH(E124,c_id,0),ca,'13(an)'!$CC$34,FALSE)="",IF(VLOOKUP(MATCH(E124,c_id,0),ca,'13(an)'!$CD$34,FALSE)="",IF(VLOOKUP(MATCH(E124,c_id,0),ca,'13(an)'!$CE$34,FALSE)="","η ≈ N/A","η ≈ "&amp;ROUND(VLOOKUP(MATCH(E124,c_id,0),ca,'13(an)'!$CE$34,FALSE)*100,0)&amp;"%"),"η ≈ "&amp;ROUND(VLOOKUP(MATCH(E124,c_id,0),ca,'13(an)'!$CD$34,FALSE)*100,0)&amp;"%"),"η ≈ "&amp;ROUND(VLOOKUP(MATCH(E124,c_id,0),ca,'13(an)'!$CC$34,FALSE)*100,0)&amp;"%"))</f>
        <v>η ≈ 82%</v>
      </c>
      <c r="U126" s="7585" t="str">
        <f>+IF($U$154="ppmvd",IF(VLOOKUP(MATCH(E124,c_id,0),ca,'13(an)'!$BV$34,FALSE)="","",ROUND(VLOOKUP(MATCH(E124,c_id,0),ca,'13(an)'!$BV$34,FALSE),1)&amp;" ppmvd"),IF(VLOOKUP(MATCH(E124,c_id,0),ca,'13(an)'!$BU$34,FALSE)="","",IF(LEN(ROUND(VLOOKUP(MATCH(E124,c_id,0),ca,'13(an)'!$BU$34,FALSE),3))=3,ROUND(VLOOKUP(MATCH(E124,c_id,0),ca,'13(an)'!$BU$34,FALSE),3)&amp;"00 lb/MMBtu",IF(LEN(ROUND(VLOOKUP(MATCH(E124,c_id,0),ca,'13(an)'!$BU$34,FALSE),3))=4,ROUND(VLOOKUP(MATCH(E124,c_id,0),ca,'13(an)'!$BU$34,FALSE),3)&amp;"0 lb/MMBtu",ROUND(VLOOKUP(MATCH(E124,c_id,0),ca,'13(an)'!$BU$34,FALSE),3)&amp;" lb/MMBtu"))))</f>
        <v>0.098 lb/MMBtu</v>
      </c>
      <c r="V126" s="7586">
        <f>+IF(E124="","",IF(VLOOKUP(MATCH(E124,c_id,0),ca,'13(an)'!$CB$34,FALSE)="","NOx(R) = N/A",ROUND(VLOOKUP(MATCH(E124,c_id,0),ca,'13(an)'!$CB$34,FALSE),1)))</f>
        <v>2.2999999999999998</v>
      </c>
      <c r="W126" s="7534"/>
      <c r="X126" s="8818"/>
      <c r="Y126" s="7584" t="str">
        <f>+IF(E124="","",IF(VLOOKUP(MATCH(E124,c_id,0),ca,'13(an)'!$CM$34,FALSE)="",IF(VLOOKUP(MATCH(E124,c_id,0),ca,'13(an)'!$CN$34,FALSE)="",IF(VLOOKUP(MATCH(E124,c_id,0),ca,'13(an)'!$CO$34,FALSE)="","η ≈ N/A","η ≈ "&amp;ROUND(VLOOKUP(MATCH(E124,c_id,0),ca,'13(an)'!$CO$34,FALSE)*100,0)&amp;"%"),"η ≈ "&amp;ROUND(VLOOKUP(MATCH(E124,c_id,0),ca,'13(an)'!$CN$34,FALSE)*100,0)&amp;"%"),"η ≈ "&amp;ROUND(VLOOKUP(MATCH(E124,c_id,0),ca,'13(an)'!$CM$34,FALSE)*100,0)&amp;"%"))</f>
        <v>η ≈ 90%</v>
      </c>
      <c r="Z126" s="7585" t="str">
        <f>+IF($Z$154="ppmvd",IF(VLOOKUP(MATCH(E124,c_id,0),ca,'13(an)'!$CJ$34,FALSE)="","",ROUND(VLOOKUP(MATCH(E124,c_id,0),ca,'13(an)'!$CJ$34,FALSE),1)&amp;" ppmvd"),IF(VLOOKUP(MATCH(E124,c_id,0),ca,'13(an)'!$CI$34,FALSE)="","",IF(LEN(ROUND(VLOOKUP(MATCH(E124,c_id,0),ca,'13(an)'!$CI$34,FALSE),3))=3,ROUND(VLOOKUP(MATCH(E124,c_id,0),ca,'13(an)'!$CI$34,FALSE),3)&amp;"00 lb/MMBtu",IF(LEN(ROUND(VLOOKUP(MATCH(E124,c_id,0),ca,'13(an)'!$CI$34,FALSE),3))=4,ROUND(VLOOKUP(MATCH(E124,c_id,0),ca,'13(an)'!$CI$34,FALSE),3)&amp;"0 lb/MMBtu",ROUND(VLOOKUP(MATCH(E124,c_id,0),ca,'13(an)'!$CI$34,FALSE),3)&amp;" lb/MMBtu"))))</f>
        <v>0.062 lb/MMBtu</v>
      </c>
      <c r="AA126" s="7586">
        <f>+IF(E124="","",IF(VLOOKUP(MATCH(E124,c_id,0),ca,'13(an)'!$CL$34,FALSE)="","NOx(R) = N/A",ROUND(VLOOKUP(MATCH(E124,c_id,0),ca,'13(an)'!$CL$34,FALSE),1)))</f>
        <v>1.4</v>
      </c>
      <c r="AB126" s="7535"/>
      <c r="AC126" s="8818"/>
      <c r="AD126" s="7584" t="str">
        <f>+IF(E124="","",IF(VLOOKUP(MATCH(E124,c_id,0),ca,'13(an)'!$CM$34,FALSE)="",IF(VLOOKUP(MATCH(E124,c_id,0),ca,'13(an)'!$CN$34,FALSE)="",IF(VLOOKUP(MATCH(E124,c_id,0),ca,'13(an)'!$CO$34,FALSE)="","η ≈ N/A","η ≈ "&amp;ROUND(VLOOKUP(MATCH(E124,c_id,0),ca,'13(an)'!$CO$34,FALSE)*100,0)&amp;"%"),"η ≈ "&amp;ROUND(VLOOKUP(MATCH(E124,c_id,0),ca,'13(an)'!$CN$34,FALSE)*100,0)&amp;"%"),"η ≈ "&amp;ROUND(VLOOKUP(MATCH(E124,c_id,0),ca,'13(an)'!$CM$34,FALSE)*100,0)&amp;"%"))</f>
        <v>η ≈ 90%</v>
      </c>
      <c r="AE126" s="7585" t="str">
        <f>+IF($AE$154="ppmvd",IF(VLOOKUP(MATCH(E124,c_id,0),ca,'13(an)'!$CJ$34,FALSE)="","",ROUND(VLOOKUP(MATCH(E124,c_id,0),ca,'13(an)'!$CJ$34,FALSE),1)&amp;" ppmvd"),IF(VLOOKUP(MATCH(E124,c_id,0),ca,'13(an)'!$CI$34,FALSE)="","",IF(LEN(ROUND(VLOOKUP(MATCH(E124,c_id,0),ca,'13(an)'!$CI$34,FALSE),3))=3,ROUND(VLOOKUP(MATCH(E124,c_id,0),ca,'13(an)'!$CI$34,FALSE),3)&amp;"00 lb/MMBtu",IF(LEN(ROUND(VLOOKUP(MATCH(E124,c_id,0),ca,'13(an)'!$CI$34,FALSE),3))=4,ROUND(VLOOKUP(MATCH(E124,c_id,0),ca,'13(an)'!$CI$34,FALSE),3)&amp;"0 lb/MMBtu",ROUND(VLOOKUP(MATCH(E124,c_id,0),ca,'13(an)'!$CI$34,FALSE),3)&amp;" lb/MMBtu"))))</f>
        <v>0.062 lb/MMBtu</v>
      </c>
      <c r="AF126" s="7586">
        <f>+IF(E124="","",IF(VLOOKUP(MATCH(E124,c_id,0),ca,'13(an)'!$CL$34,FALSE)="","NOx(R) = N/A",ROUND(VLOOKUP(MATCH(E124,c_id,0),ca,'13(an)'!$CL$34,FALSE),1)))</f>
        <v>1.4</v>
      </c>
      <c r="AG126" s="7536"/>
      <c r="AH126" s="5962"/>
      <c r="AI126" s="5959"/>
      <c r="AJ126" s="5959"/>
      <c r="AK126" s="5959"/>
      <c r="AL126" s="5959"/>
      <c r="AM126" s="5959"/>
    </row>
    <row r="127" spans="1:39" ht="15.95" customHeight="1">
      <c r="A127" s="5952"/>
      <c r="B127" s="9035"/>
      <c r="C127" s="9017" t="str">
        <f>+IF(B127="","",VLOOKUP(MATCH(B127,tid,0),tao,'12(id)'!$J$20,FALSE))</f>
        <v/>
      </c>
      <c r="D127" s="9020"/>
      <c r="E127" s="9024"/>
      <c r="F127" s="5962"/>
      <c r="G127" s="7527"/>
      <c r="H127" s="5962"/>
      <c r="I127" s="9070"/>
      <c r="J127" s="8971" t="e">
        <f>+IF(VLOOKUP(MATCH(B127,tid,0),tao,'12(id)'!$I$20,FALSE)="","",VLOOKUP(MATCH(B127,tid,0),tao,'12(id)'!$I$20,FALSE))</f>
        <v>#N/A</v>
      </c>
      <c r="K127" s="9064" t="e">
        <f>+IF(VLOOKUP(MATCH(B127,tid,0),tao,'12(id)'!$K$20,FALSE)="","",VLOOKUP(MATCH(B127,tid,0),tao,'12(id)'!$K$20,FALSE))</f>
        <v>#N/A</v>
      </c>
      <c r="L127" s="8971" t="e">
        <f>+IF(VLOOKUP(MATCH(B127,tid,0),tao,'12(id)'!$L$20,FALSE)="","",VLOOKUP(MATCH(B127,tid,0),tao,'12(id)'!$L$20,FALSE))</f>
        <v>#N/A</v>
      </c>
      <c r="M127" s="9058" t="e">
        <f>+IF(VLOOKUP(MATCH(B127,tid,0),tao,'12(id)'!$Q$20,FALSE)="","",VLOOKUP(MATCH(B127,tid,0),tao,'12(id)'!$Q$20,FALSE))</f>
        <v>#N/A</v>
      </c>
      <c r="N127" s="9067" t="e">
        <f>+IF(VLOOKUP(MATCH(B127,tid,0),tao,'12(id)'!$CT$20,FALSE)="","",VLOOKUP(MATCH(B127,tid,0),tao,'12(id)'!$CT$20,FALSE))</f>
        <v>#N/A</v>
      </c>
      <c r="O127" s="8985" t="e">
        <f>+IF(VLOOKUP(MATCH(B127,tid,0),tao,'12(id)'!$DE$20,FALSE)="","",ROUND(VLOOKUP(MATCH(B127,tid,0),tao,'12(id)'!$DE$20,FALSE),0)&amp;" yrs")</f>
        <v>#N/A</v>
      </c>
      <c r="P127" s="9001" t="e">
        <f>+IF(VLOOKUP(MATCH(B127,tid,0),tao,'12(id)'!$FR$20,FALSE)="","",VLOOKUP(MATCH(B127,tid,0),tao,'12(id)'!$FR$20,FALSE))</f>
        <v>#N/A</v>
      </c>
      <c r="Q127" s="9001" t="e">
        <f>+IF(VLOOKUP(MATCH(B127,tid,0),tao,'12(id)'!$DI$20,FALSE)="","",VLOOKUP(MATCH(B127,tid,0),tao,'12(id)'!$DI$20,FALSE))&amp;";  "&amp;IF(VLOOKUP(MATCH(B127,tid,0),tao,'12(id)'!$DQ$20,FALSE)="","",VLOOKUP(MATCH(B127,tid,0),tao,'12(id)'!$DQ$20,FALSE))</f>
        <v>#N/A</v>
      </c>
      <c r="R127" s="8906"/>
      <c r="S127" s="8818"/>
      <c r="T127" s="7537">
        <f>+IF(VLOOKUP(MATCH(E124,c_id,0),ca,'13(an)'!$GF$34,FALSE)="","",VLOOKUP(MATCH(E124,c_id,0),ca,'13(an)'!$GF$34,FALSE))</f>
        <v>3386772.9959999998</v>
      </c>
      <c r="U127" s="7538" t="str">
        <f>+IF(T127="","","$ TCC/unit")</f>
        <v>$ TCC/unit</v>
      </c>
      <c r="V127" s="7539">
        <f>+IF(VLOOKUP(MATCH(E124,c_id,0),ca,'13(an)'!$HA$34,FALSE)="","",VLOOKUP(MATCH(E124,c_id,0),ca,'13(an)'!$HA$34,FALSE))</f>
        <v>319687</v>
      </c>
      <c r="W127" s="7540"/>
      <c r="X127" s="8818"/>
      <c r="Y127" s="7537">
        <f>+IF(VLOOKUP(MATCH(E124,c_id,0),ca,'13(an)'!$IA$34,FALSE)="","",VLOOKUP(MATCH(E124,c_id,0),ca,'13(an)'!$IA$34,FALSE))</f>
        <v>3386772.9959999998</v>
      </c>
      <c r="Z127" s="7538" t="str">
        <f>+IF(Y127="","","$ TCC/unit")</f>
        <v>$ TCC/unit</v>
      </c>
      <c r="AA127" s="7539">
        <f>+IF(Y127="","",$AA$14*Y127)</f>
        <v>319687.41192069161</v>
      </c>
      <c r="AB127" s="7541"/>
      <c r="AC127" s="8818"/>
      <c r="AD127" s="7537">
        <f>+IF(VLOOKUP(MATCH(E124,c_id,0),ca,'13(an)'!$JS$34,FALSE)="","",VLOOKUP(MATCH(E124,c_id,0),ca,'13(an)'!$JS$34,FALSE))</f>
        <v>2410512.7999999998</v>
      </c>
      <c r="AE127" s="7538" t="str">
        <f>+IF(AD127="","","$ TCC/unit")</f>
        <v>$ TCC/unit</v>
      </c>
      <c r="AF127" s="7539">
        <f>+IF(AD127="","",$AF$14*AD127)</f>
        <v>206847.35013503488</v>
      </c>
      <c r="AG127" s="7542"/>
      <c r="AH127" s="5962"/>
      <c r="AI127" s="5959"/>
      <c r="AJ127" s="5959"/>
      <c r="AK127" s="5959"/>
      <c r="AL127" s="5959"/>
      <c r="AM127" s="5959"/>
    </row>
    <row r="128" spans="1:39" ht="15.95" customHeight="1">
      <c r="A128" s="5952"/>
      <c r="B128" s="9035"/>
      <c r="C128" s="9017" t="str">
        <f>+IF(B128="","",VLOOKUP(MATCH(B128,tid,0),tao,'12(id)'!$J$20,FALSE))</f>
        <v/>
      </c>
      <c r="D128" s="9020"/>
      <c r="E128" s="9024"/>
      <c r="F128" s="5962"/>
      <c r="G128" s="7527"/>
      <c r="H128" s="5962"/>
      <c r="I128" s="9070"/>
      <c r="J128" s="8971" t="e">
        <f>+IF(VLOOKUP(MATCH(B128,tid,0),tao,'12(id)'!$I$20,FALSE)="","",VLOOKUP(MATCH(B128,tid,0),tao,'12(id)'!$I$20,FALSE))</f>
        <v>#N/A</v>
      </c>
      <c r="K128" s="9064" t="e">
        <f>+IF(VLOOKUP(MATCH(B128,tid,0),tao,'12(id)'!$K$20,FALSE)="","",VLOOKUP(MATCH(B128,tid,0),tao,'12(id)'!$K$20,FALSE))</f>
        <v>#N/A</v>
      </c>
      <c r="L128" s="8971" t="e">
        <f>+IF(VLOOKUP(MATCH(B128,tid,0),tao,'12(id)'!$L$20,FALSE)="","",VLOOKUP(MATCH(B128,tid,0),tao,'12(id)'!$L$20,FALSE))</f>
        <v>#N/A</v>
      </c>
      <c r="M128" s="9058" t="e">
        <f>+IF(VLOOKUP(MATCH(B128,tid,0),tao,'12(id)'!$Q$20,FALSE)="","",VLOOKUP(MATCH(B128,tid,0),tao,'12(id)'!$Q$20,FALSE))</f>
        <v>#N/A</v>
      </c>
      <c r="N128" s="9067" t="e">
        <f>+IF(VLOOKUP(MATCH(B128,tid,0),tao,'12(id)'!$CT$20,FALSE)="","",VLOOKUP(MATCH(B128,tid,0),tao,'12(id)'!$CT$20,FALSE))</f>
        <v>#N/A</v>
      </c>
      <c r="O128" s="8985" t="e">
        <f>+IF(VLOOKUP(MATCH(B128,tid,0),tao,'12(id)'!$DE$20,FALSE)="","",ROUND(VLOOKUP(MATCH(B128,tid,0),tao,'12(id)'!$DE$20,FALSE),0)&amp;" yrs")</f>
        <v>#N/A</v>
      </c>
      <c r="P128" s="9001" t="e">
        <f>+IF(VLOOKUP(MATCH(B128,tid,0),tao,'12(id)'!$FR$20,FALSE)="","",VLOOKUP(MATCH(B128,tid,0),tao,'12(id)'!$FR$20,FALSE))</f>
        <v>#N/A</v>
      </c>
      <c r="Q128" s="9001" t="e">
        <f>+IF(VLOOKUP(MATCH(B128,tid,0),tao,'12(id)'!$DI$20,FALSE)="","",VLOOKUP(MATCH(B128,tid,0),tao,'12(id)'!$DI$20,FALSE))&amp;";  "&amp;IF(VLOOKUP(MATCH(B128,tid,0),tao,'12(id)'!$DQ$20,FALSE)="","",VLOOKUP(MATCH(B128,tid,0),tao,'12(id)'!$DQ$20,FALSE))</f>
        <v>#N/A</v>
      </c>
      <c r="R128" s="8906"/>
      <c r="S128" s="8818"/>
      <c r="T128" s="7543">
        <f>+IF(OR(T127="",N114=""),"",T127/N114)</f>
        <v>180147.49978723403</v>
      </c>
      <c r="U128" s="8820" t="str">
        <f>+IF(T128="","","$ TCC / MW nominal capacity")</f>
        <v>$ TCC / MW nominal capacity</v>
      </c>
      <c r="V128" s="8820"/>
      <c r="W128" s="7544"/>
      <c r="X128" s="8818"/>
      <c r="Y128" s="7543">
        <f>+IF(OR(Y127="",N114=""),"",Y127/N114)</f>
        <v>180147.49978723403</v>
      </c>
      <c r="Z128" s="8820" t="str">
        <f>+IF(Y128="","","$ TCC / MW nominal capacity")</f>
        <v>$ TCC / MW nominal capacity</v>
      </c>
      <c r="AA128" s="8820"/>
      <c r="AB128" s="7545"/>
      <c r="AC128" s="8818"/>
      <c r="AD128" s="7543">
        <f>+IF(OR(AD127="",N114=""),"",AD127/N114)</f>
        <v>128218.7659574468</v>
      </c>
      <c r="AE128" s="8820" t="str">
        <f>+IF(AD128="","","$ TCC / MW nominal capacity")</f>
        <v>$ TCC / MW nominal capacity</v>
      </c>
      <c r="AF128" s="8820"/>
      <c r="AG128" s="7546"/>
      <c r="AH128" s="5962"/>
      <c r="AI128" s="5959"/>
      <c r="AJ128" s="5959"/>
      <c r="AK128" s="5959"/>
      <c r="AL128" s="5959"/>
      <c r="AM128" s="5959"/>
    </row>
    <row r="129" spans="1:39" ht="15.95" customHeight="1">
      <c r="A129" s="5952"/>
      <c r="B129" s="9035"/>
      <c r="C129" s="9017" t="str">
        <f>+IF(B129="","",VLOOKUP(MATCH(B129,tid,0),tao,'12(id)'!$J$20,FALSE))</f>
        <v/>
      </c>
      <c r="D129" s="9020"/>
      <c r="E129" s="9025"/>
      <c r="F129" s="5962"/>
      <c r="G129" s="7527"/>
      <c r="H129" s="5962"/>
      <c r="I129" s="9070"/>
      <c r="J129" s="8971" t="e">
        <f>+IF(VLOOKUP(MATCH(B129,tid,0),tao,'12(id)'!$I$20,FALSE)="","",VLOOKUP(MATCH(B129,tid,0),tao,'12(id)'!$I$20,FALSE))</f>
        <v>#N/A</v>
      </c>
      <c r="K129" s="9064" t="e">
        <f>+IF(VLOOKUP(MATCH(B129,tid,0),tao,'12(id)'!$K$20,FALSE)="","",VLOOKUP(MATCH(B129,tid,0),tao,'12(id)'!$K$20,FALSE))</f>
        <v>#N/A</v>
      </c>
      <c r="L129" s="8971" t="e">
        <f>+IF(VLOOKUP(MATCH(B129,tid,0),tao,'12(id)'!$L$20,FALSE)="","",VLOOKUP(MATCH(B129,tid,0),tao,'12(id)'!$L$20,FALSE))</f>
        <v>#N/A</v>
      </c>
      <c r="M129" s="9058" t="e">
        <f>+IF(VLOOKUP(MATCH(B129,tid,0),tao,'12(id)'!$Q$20,FALSE)="","",VLOOKUP(MATCH(B129,tid,0),tao,'12(id)'!$Q$20,FALSE))</f>
        <v>#N/A</v>
      </c>
      <c r="N129" s="9067" t="e">
        <f>+IF(VLOOKUP(MATCH(B129,tid,0),tao,'12(id)'!$CT$20,FALSE)="","",VLOOKUP(MATCH(B129,tid,0),tao,'12(id)'!$CT$20,FALSE))</f>
        <v>#N/A</v>
      </c>
      <c r="O129" s="8985" t="e">
        <f>+IF(VLOOKUP(MATCH(B129,tid,0),tao,'12(id)'!$DE$20,FALSE)="","",ROUND(VLOOKUP(MATCH(B129,tid,0),tao,'12(id)'!$DE$20,FALSE),0)&amp;" yrs")</f>
        <v>#N/A</v>
      </c>
      <c r="P129" s="9001" t="e">
        <f>+IF(VLOOKUP(MATCH(B129,tid,0),tao,'12(id)'!$FR$20,FALSE)="","",VLOOKUP(MATCH(B129,tid,0),tao,'12(id)'!$FR$20,FALSE))</f>
        <v>#N/A</v>
      </c>
      <c r="Q129" s="9001" t="e">
        <f>+IF(VLOOKUP(MATCH(B129,tid,0),tao,'12(id)'!$DI$20,FALSE)="","",VLOOKUP(MATCH(B129,tid,0),tao,'12(id)'!$DI$20,FALSE))&amp;";  "&amp;IF(VLOOKUP(MATCH(B129,tid,0),tao,'12(id)'!$DQ$20,FALSE)="","",VLOOKUP(MATCH(B129,tid,0),tao,'12(id)'!$DQ$20,FALSE))</f>
        <v>#N/A</v>
      </c>
      <c r="R129" s="8906"/>
      <c r="S129" s="8819"/>
      <c r="T129" s="7590">
        <f>+IF(VLOOKUP(MATCH(E124,c_id,0),ca,'13(an)'!$HF$34,FALSE)="","",VLOOKUP(MATCH(E124,c_id,0),ca,'13(an)'!$HF$34,FALSE))</f>
        <v>187812</v>
      </c>
      <c r="U129" s="8896" t="str">
        <f>IF(T129="","","$ /ton "&amp;"NOx(R)")</f>
        <v>$ /ton NOx(R)</v>
      </c>
      <c r="V129" s="8896"/>
      <c r="W129" s="7591"/>
      <c r="X129" s="8819"/>
      <c r="Y129" s="7590">
        <f>+IF(VLOOKUP(MATCH(E124,c_id,0),ca,'13(an)'!$JE$34,FALSE)="","",VLOOKUP(MATCH(E124,c_id,0),ca,'13(an)'!$JE$34,FALSE))</f>
        <v>337154.31982273451</v>
      </c>
      <c r="Z129" s="8896" t="str">
        <f>IF(Y129="","","$ /ton "&amp;"NOx(R)")</f>
        <v>$ /ton NOx(R)</v>
      </c>
      <c r="AA129" s="8896"/>
      <c r="AB129" s="7592"/>
      <c r="AC129" s="8819"/>
      <c r="AD129" s="7590">
        <f>+IF(VLOOKUP(MATCH(E124,c_id,0),ca,'13(an)'!$LB$34,FALSE)="","",VLOOKUP(MATCH(E124,c_id,0),ca,'13(an)'!$LB$34,FALSE))</f>
        <v>231294.96416150426</v>
      </c>
      <c r="AE129" s="8896" t="str">
        <f>IF(AD129="","","$ /ton "&amp;"NOx(R)")</f>
        <v>$ /ton NOx(R)</v>
      </c>
      <c r="AF129" s="8896"/>
      <c r="AG129" s="7593"/>
      <c r="AH129" s="5962"/>
      <c r="AI129" s="5959"/>
      <c r="AJ129" s="5959"/>
      <c r="AK129" s="5959"/>
      <c r="AL129" s="5959"/>
      <c r="AM129" s="5959"/>
    </row>
    <row r="130" spans="1:39" ht="15.95" customHeight="1">
      <c r="A130" s="5952"/>
      <c r="B130" s="9035"/>
      <c r="C130" s="9017" t="str">
        <f>+IF(B130="","",VLOOKUP(MATCH(B130,tid,0),tao,'12(id)'!$J$20,FALSE))</f>
        <v/>
      </c>
      <c r="D130" s="9020"/>
      <c r="E130" s="9045" t="str">
        <f>+IF(B114="","",B114&amp;IF(ISERR(VALUE(1+R124)),"-01",IF(1+R124&lt;10,"-0"&amp;1+R124,"-"&amp;1+R124)))</f>
        <v>8304-01-04</v>
      </c>
      <c r="F130" s="5962"/>
      <c r="G130" s="7527"/>
      <c r="H130" s="5962"/>
      <c r="I130" s="9070"/>
      <c r="J130" s="8971" t="e">
        <f>+IF(VLOOKUP(MATCH(B130,tid,0),tao,'12(id)'!$I$20,FALSE)="","",VLOOKUP(MATCH(B130,tid,0),tao,'12(id)'!$I$20,FALSE))</f>
        <v>#N/A</v>
      </c>
      <c r="K130" s="9064" t="e">
        <f>+IF(VLOOKUP(MATCH(B130,tid,0),tao,'12(id)'!$K$20,FALSE)="","",VLOOKUP(MATCH(B130,tid,0),tao,'12(id)'!$K$20,FALSE))</f>
        <v>#N/A</v>
      </c>
      <c r="L130" s="8971" t="e">
        <f>+IF(VLOOKUP(MATCH(B130,tid,0),tao,'12(id)'!$L$20,FALSE)="","",VLOOKUP(MATCH(B130,tid,0),tao,'12(id)'!$L$20,FALSE))</f>
        <v>#N/A</v>
      </c>
      <c r="M130" s="9058" t="e">
        <f>+IF(VLOOKUP(MATCH(B130,tid,0),tao,'12(id)'!$Q$20,FALSE)="","",VLOOKUP(MATCH(B130,tid,0),tao,'12(id)'!$Q$20,FALSE))</f>
        <v>#N/A</v>
      </c>
      <c r="N130" s="9067" t="e">
        <f>+IF(VLOOKUP(MATCH(B130,tid,0),tao,'12(id)'!$CT$20,FALSE)="","",VLOOKUP(MATCH(B130,tid,0),tao,'12(id)'!$CT$20,FALSE))</f>
        <v>#N/A</v>
      </c>
      <c r="O130" s="8985" t="e">
        <f>+IF(VLOOKUP(MATCH(B130,tid,0),tao,'12(id)'!$DE$20,FALSE)="","",ROUND(VLOOKUP(MATCH(B130,tid,0),tao,'12(id)'!$DE$20,FALSE),0)&amp;" yrs")</f>
        <v>#N/A</v>
      </c>
      <c r="P130" s="9001" t="e">
        <f>+IF(VLOOKUP(MATCH(B130,tid,0),tao,'12(id)'!$FR$20,FALSE)="","",VLOOKUP(MATCH(B130,tid,0),tao,'12(id)'!$FR$20,FALSE))</f>
        <v>#N/A</v>
      </c>
      <c r="Q130" s="9001" t="e">
        <f>+IF(VLOOKUP(MATCH(B130,tid,0),tao,'12(id)'!$DI$20,FALSE)="","",VLOOKUP(MATCH(B130,tid,0),tao,'12(id)'!$DI$20,FALSE))&amp;";  "&amp;IF(VLOOKUP(MATCH(B130,tid,0),tao,'12(id)'!$DQ$20,FALSE)="","",VLOOKUP(MATCH(B130,tid,0),tao,'12(id)'!$DQ$20,FALSE))</f>
        <v>#N/A</v>
      </c>
      <c r="R130" s="8982">
        <f>+IF(B114="","",1+R124)</f>
        <v>4</v>
      </c>
      <c r="S130" s="8859"/>
      <c r="T130" s="8871" t="str">
        <f>+IF(VLOOKUP(MATCH(E130,c_id,0),ca,'13(an)'!$BD$34,FALSE)="","",VLOOKUP(MATCH(E130,c_id,0),ca,'13(an)'!$BD$34,FALSE))</f>
        <v>High Pressure Water Injection (HPWI)</v>
      </c>
      <c r="U130" s="8871"/>
      <c r="V130" s="8871"/>
      <c r="W130" s="7553"/>
      <c r="X130" s="8859"/>
      <c r="Y130" s="8871" t="str">
        <f>+IF(T130="","",T130)</f>
        <v>High Pressure Water Injection (HPWI)</v>
      </c>
      <c r="Z130" s="8871"/>
      <c r="AA130" s="8871"/>
      <c r="AB130" s="7554"/>
      <c r="AC130" s="8859"/>
      <c r="AD130" s="8871" t="str">
        <f>+IF(Y130="","",Y130)</f>
        <v>High Pressure Water Injection (HPWI)</v>
      </c>
      <c r="AE130" s="8871"/>
      <c r="AF130" s="8871"/>
      <c r="AG130" s="7555"/>
      <c r="AH130" s="5962"/>
      <c r="AI130" s="5959"/>
      <c r="AJ130" s="5959"/>
      <c r="AK130" s="5959"/>
      <c r="AL130" s="5959"/>
      <c r="AM130" s="5959"/>
    </row>
    <row r="131" spans="1:39" ht="11.45" customHeight="1">
      <c r="A131" s="5952"/>
      <c r="B131" s="9035"/>
      <c r="C131" s="9017" t="str">
        <f>+IF(B131="","",VLOOKUP(MATCH(B131,tid,0),tao,'12(id)'!$J$20,FALSE))</f>
        <v/>
      </c>
      <c r="D131" s="9020"/>
      <c r="E131" s="9024"/>
      <c r="F131" s="5962"/>
      <c r="G131" s="7527"/>
      <c r="H131" s="5962"/>
      <c r="I131" s="9070"/>
      <c r="J131" s="8971" t="e">
        <f>+IF(VLOOKUP(MATCH(B131,tid,0),tao,'12(id)'!$I$20,FALSE)="","",VLOOKUP(MATCH(B131,tid,0),tao,'12(id)'!$I$20,FALSE))</f>
        <v>#N/A</v>
      </c>
      <c r="K131" s="9064" t="e">
        <f>+IF(VLOOKUP(MATCH(B131,tid,0),tao,'12(id)'!$K$20,FALSE)="","",VLOOKUP(MATCH(B131,tid,0),tao,'12(id)'!$K$20,FALSE))</f>
        <v>#N/A</v>
      </c>
      <c r="L131" s="8971" t="e">
        <f>+IF(VLOOKUP(MATCH(B131,tid,0),tao,'12(id)'!$L$20,FALSE)="","",VLOOKUP(MATCH(B131,tid,0),tao,'12(id)'!$L$20,FALSE))</f>
        <v>#N/A</v>
      </c>
      <c r="M131" s="9058" t="e">
        <f>+IF(VLOOKUP(MATCH(B131,tid,0),tao,'12(id)'!$Q$20,FALSE)="","",VLOOKUP(MATCH(B131,tid,0),tao,'12(id)'!$Q$20,FALSE))</f>
        <v>#N/A</v>
      </c>
      <c r="N131" s="9067" t="e">
        <f>+IF(VLOOKUP(MATCH(B131,tid,0),tao,'12(id)'!$CT$20,FALSE)="","",VLOOKUP(MATCH(B131,tid,0),tao,'12(id)'!$CT$20,FALSE))</f>
        <v>#N/A</v>
      </c>
      <c r="O131" s="8985" t="e">
        <f>+IF(VLOOKUP(MATCH(B131,tid,0),tao,'12(id)'!$DE$20,FALSE)="","",ROUND(VLOOKUP(MATCH(B131,tid,0),tao,'12(id)'!$DE$20,FALSE),0)&amp;" yrs")</f>
        <v>#N/A</v>
      </c>
      <c r="P131" s="9001" t="e">
        <f>+IF(VLOOKUP(MATCH(B131,tid,0),tao,'12(id)'!$FR$20,FALSE)="","",VLOOKUP(MATCH(B131,tid,0),tao,'12(id)'!$FR$20,FALSE))</f>
        <v>#N/A</v>
      </c>
      <c r="Q131" s="9001" t="e">
        <f>+IF(VLOOKUP(MATCH(B131,tid,0),tao,'12(id)'!$DI$20,FALSE)="","",VLOOKUP(MATCH(B131,tid,0),tao,'12(id)'!$DI$20,FALSE))&amp;";  "&amp;IF(VLOOKUP(MATCH(B131,tid,0),tao,'12(id)'!$DQ$20,FALSE)="","",VLOOKUP(MATCH(B131,tid,0),tao,'12(id)'!$DQ$20,FALSE))</f>
        <v>#N/A</v>
      </c>
      <c r="R131" s="8906"/>
      <c r="S131" s="8818"/>
      <c r="T131" s="8820" t="str">
        <f>+IF(VLOOKUP(MATCH(E130,c_id,0),ca,'13(an)'!$BG$34,FALSE)="","","("&amp;VLOOKUP(MATCH(E130,c_id,0),ca,'13(an)'!$BG$34,FALSE)&amp;")")</f>
        <v>(Natural Gas with Oil backup)</v>
      </c>
      <c r="U131" s="9206"/>
      <c r="V131" s="9206"/>
      <c r="W131" s="7582"/>
      <c r="X131" s="8818"/>
      <c r="Y131" s="8976" t="str">
        <f>+IF(T131="","",T131)</f>
        <v>(Natural Gas with Oil backup)</v>
      </c>
      <c r="Z131" s="8977"/>
      <c r="AA131" s="8977"/>
      <c r="AB131" s="5962"/>
      <c r="AC131" s="8818"/>
      <c r="AD131" s="8976" t="str">
        <f>+IF(Y131="","",Y131)</f>
        <v>(Natural Gas with Oil backup)</v>
      </c>
      <c r="AE131" s="8977"/>
      <c r="AF131" s="8977"/>
      <c r="AG131" s="7583"/>
      <c r="AH131" s="5962"/>
      <c r="AI131" s="5959"/>
      <c r="AJ131" s="5959"/>
      <c r="AK131" s="5959"/>
      <c r="AL131" s="5959"/>
      <c r="AM131" s="5959"/>
    </row>
    <row r="132" spans="1:39" ht="15.95" customHeight="1">
      <c r="A132" s="5952"/>
      <c r="B132" s="9035"/>
      <c r="C132" s="9017" t="str">
        <f>+IF(B132="","",VLOOKUP(MATCH(B132,tid,0),tao,'12(id)'!$J$20,FALSE))</f>
        <v/>
      </c>
      <c r="D132" s="9020"/>
      <c r="E132" s="9024"/>
      <c r="F132" s="5962"/>
      <c r="G132" s="7527"/>
      <c r="H132" s="5962"/>
      <c r="I132" s="9070"/>
      <c r="J132" s="8971" t="e">
        <f>+IF(VLOOKUP(MATCH(B132,tid,0),tao,'12(id)'!$I$20,FALSE)="","",VLOOKUP(MATCH(B132,tid,0),tao,'12(id)'!$I$20,FALSE))</f>
        <v>#N/A</v>
      </c>
      <c r="K132" s="9064" t="e">
        <f>+IF(VLOOKUP(MATCH(B132,tid,0),tao,'12(id)'!$K$20,FALSE)="","",VLOOKUP(MATCH(B132,tid,0),tao,'12(id)'!$K$20,FALSE))</f>
        <v>#N/A</v>
      </c>
      <c r="L132" s="8971" t="e">
        <f>+IF(VLOOKUP(MATCH(B132,tid,0),tao,'12(id)'!$L$20,FALSE)="","",VLOOKUP(MATCH(B132,tid,0),tao,'12(id)'!$L$20,FALSE))</f>
        <v>#N/A</v>
      </c>
      <c r="M132" s="9058" t="e">
        <f>+IF(VLOOKUP(MATCH(B132,tid,0),tao,'12(id)'!$Q$20,FALSE)="","",VLOOKUP(MATCH(B132,tid,0),tao,'12(id)'!$Q$20,FALSE))</f>
        <v>#N/A</v>
      </c>
      <c r="N132" s="9067" t="e">
        <f>+IF(VLOOKUP(MATCH(B132,tid,0),tao,'12(id)'!$CT$20,FALSE)="","",VLOOKUP(MATCH(B132,tid,0),tao,'12(id)'!$CT$20,FALSE))</f>
        <v>#N/A</v>
      </c>
      <c r="O132" s="8985" t="e">
        <f>+IF(VLOOKUP(MATCH(B132,tid,0),tao,'12(id)'!$DE$20,FALSE)="","",ROUND(VLOOKUP(MATCH(B132,tid,0),tao,'12(id)'!$DE$20,FALSE),0)&amp;" yrs")</f>
        <v>#N/A</v>
      </c>
      <c r="P132" s="9001" t="e">
        <f>+IF(VLOOKUP(MATCH(B132,tid,0),tao,'12(id)'!$FR$20,FALSE)="","",VLOOKUP(MATCH(B132,tid,0),tao,'12(id)'!$FR$20,FALSE))</f>
        <v>#N/A</v>
      </c>
      <c r="Q132" s="9001" t="e">
        <f>+IF(VLOOKUP(MATCH(B132,tid,0),tao,'12(id)'!$DI$20,FALSE)="","",VLOOKUP(MATCH(B132,tid,0),tao,'12(id)'!$DI$20,FALSE))&amp;";  "&amp;IF(VLOOKUP(MATCH(B132,tid,0),tao,'12(id)'!$DQ$20,FALSE)="","",VLOOKUP(MATCH(B132,tid,0),tao,'12(id)'!$DQ$20,FALSE))</f>
        <v>#N/A</v>
      </c>
      <c r="R132" s="8906"/>
      <c r="S132" s="8818"/>
      <c r="T132" s="7594" t="str">
        <f>+IF(E130="","",IF(VLOOKUP(MATCH(E130,c_id,0),ca,'13(an)'!$CC$34,FALSE)="",IF(VLOOKUP(MATCH(E130,c_id,0),ca,'13(an)'!$CD$34,FALSE)="",IF(VLOOKUP(MATCH(E130,c_id,0),ca,'13(an)'!$CE$34,FALSE)="","η ≈ N/A","η ≈ "&amp;ROUND(VLOOKUP(MATCH(E130,c_id,0),ca,'13(an)'!$CE$34,FALSE)*100,0)&amp;"%"),"η ≈ "&amp;ROUND(VLOOKUP(MATCH(E130,c_id,0),ca,'13(an)'!$CD$34,FALSE)*100,0)&amp;"%"),"η ≈ "&amp;ROUND(VLOOKUP(MATCH(E130,c_id,0),ca,'13(an)'!$CC$34,FALSE)*100,0)&amp;"%"))</f>
        <v>η ≈ 67%</v>
      </c>
      <c r="U132" s="7595" t="str">
        <f>+IF($U$154="ppmvd",IF(VLOOKUP(MATCH(E130,c_id,0),ca,'13(an)'!$BV$34,FALSE)="","",ROUND(VLOOKUP(MATCH(E130,c_id,0),ca,'13(an)'!$BV$34,FALSE),1)&amp;" ppmvd"),IF(VLOOKUP(MATCH(E130,c_id,0),ca,'13(an)'!$BU$34,FALSE)="","",IF(LEN(ROUND(VLOOKUP(MATCH(E130,c_id,0),ca,'13(an)'!$BU$34,FALSE),3))=3,ROUND(VLOOKUP(MATCH(E130,c_id,0),ca,'13(an)'!$BU$34,FALSE),3)&amp;"00 lb/MMBtu",IF(LEN(ROUND(VLOOKUP(MATCH(E130,c_id,0),ca,'13(an)'!$BU$34,FALSE),3))=4,ROUND(VLOOKUP(MATCH(E130,c_id,0),ca,'13(an)'!$BU$34,FALSE),3)&amp;"0 lb/MMBtu",ROUND(VLOOKUP(MATCH(E130,c_id,0),ca,'13(an)'!$BU$34,FALSE),3)&amp;" lb/MMBtu"))))</f>
        <v>0.184 lb/MMBtu</v>
      </c>
      <c r="V132" s="7596">
        <f>+IF(E130="","",IF(VLOOKUP(MATCH(E130,c_id,0),ca,'13(an)'!$CB$34,FALSE)="","NOx(R) = N/A",ROUND(VLOOKUP(MATCH(E130,c_id,0),ca,'13(an)'!$CB$34,FALSE),1)))</f>
        <v>1.8</v>
      </c>
      <c r="W132" s="7534"/>
      <c r="X132" s="8818"/>
      <c r="Y132" s="7594" t="str">
        <f>+IF(E130="","",IF(VLOOKUP(MATCH(E130,c_id,0),ca,'13(an)'!$CM$34,FALSE)="",IF(VLOOKUP(MATCH(E130,c_id,0),ca,'13(an)'!$CN$34,FALSE)="",IF(VLOOKUP(MATCH(E130,c_id,0),ca,'13(an)'!$CO$34,FALSE)="","η ≈ N/A","η ≈ "&amp;ROUND(VLOOKUP(MATCH(E130,c_id,0),ca,'13(an)'!$CO$34,FALSE)*100,0)&amp;"%"),"η ≈ "&amp;ROUND(VLOOKUP(MATCH(E130,c_id,0),ca,'13(an)'!$CN$34,FALSE)*100,0)&amp;"%"),"η ≈ "&amp;ROUND(VLOOKUP(MATCH(E130,c_id,0),ca,'13(an)'!$CM$34,FALSE)*100,0)&amp;"%"))</f>
        <v>η ≈ 67%</v>
      </c>
      <c r="Z132" s="7595" t="str">
        <f>+IF($Z$154="ppmvd",IF(VLOOKUP(MATCH(E130,c_id,0),ca,'13(an)'!$CJ$34,FALSE)="","",ROUND(VLOOKUP(MATCH(E130,c_id,0),ca,'13(an)'!$CJ$34,FALSE),1)&amp;" ppmvd"),IF(VLOOKUP(MATCH(E130,c_id,0),ca,'13(an)'!$CI$34,FALSE)="","",IF(LEN(ROUND(VLOOKUP(MATCH(E130,c_id,0),ca,'13(an)'!$CI$34,FALSE),3))=3,ROUND(VLOOKUP(MATCH(E130,c_id,0),ca,'13(an)'!$CI$34,FALSE),3)&amp;"00 lb/MMBtu",IF(LEN(ROUND(VLOOKUP(MATCH(E130,c_id,0),ca,'13(an)'!$CI$34,FALSE),3))=4,ROUND(VLOOKUP(MATCH(E130,c_id,0),ca,'13(an)'!$CI$34,FALSE),3)&amp;"0 lb/MMBtu",ROUND(VLOOKUP(MATCH(E130,c_id,0),ca,'13(an)'!$CI$34,FALSE),3)&amp;" lb/MMBtu"))))</f>
        <v>0.207 lb/MMBtu</v>
      </c>
      <c r="AA132" s="7596">
        <f>+IF(E130="","",IF(VLOOKUP(MATCH(E130,c_id,0),ca,'13(an)'!$CL$34,FALSE)="","NOx(R) = N/A",ROUND(VLOOKUP(MATCH(E130,c_id,0),ca,'13(an)'!$CL$34,FALSE),1)))</f>
        <v>1</v>
      </c>
      <c r="AB132" s="7535"/>
      <c r="AC132" s="8818"/>
      <c r="AD132" s="7594" t="str">
        <f>+IF(E130="","",IF(VLOOKUP(MATCH(E130,c_id,0),ca,'13(an)'!$CM$34,FALSE)="",IF(VLOOKUP(MATCH(E130,c_id,0),ca,'13(an)'!$CN$34,FALSE)="",IF(VLOOKUP(MATCH(E130,c_id,0),ca,'13(an)'!$CO$34,FALSE)="","η ≈ N/A","η ≈ "&amp;ROUND(VLOOKUP(MATCH(E130,c_id,0),ca,'13(an)'!$CO$34,FALSE)*100,0)&amp;"%"),"η ≈ "&amp;ROUND(VLOOKUP(MATCH(E130,c_id,0),ca,'13(an)'!$CN$34,FALSE)*100,0)&amp;"%"),"η ≈ "&amp;ROUND(VLOOKUP(MATCH(E130,c_id,0),ca,'13(an)'!$CM$34,FALSE)*100,0)&amp;"%"))</f>
        <v>η ≈ 67%</v>
      </c>
      <c r="AE132" s="7595" t="str">
        <f>+IF($AE$154="ppmvd",IF(VLOOKUP(MATCH(E130,c_id,0),ca,'13(an)'!$CJ$34,FALSE)="","",ROUND(VLOOKUP(MATCH(E130,c_id,0),ca,'13(an)'!$CJ$34,FALSE),1)&amp;" ppmvd"),IF(VLOOKUP(MATCH(E130,c_id,0),ca,'13(an)'!$CI$34,FALSE)="","",IF(LEN(ROUND(VLOOKUP(MATCH(E130,c_id,0),ca,'13(an)'!$CI$34,FALSE),3))=3,ROUND(VLOOKUP(MATCH(E130,c_id,0),ca,'13(an)'!$CI$34,FALSE),3)&amp;"00 lb/MMBtu",IF(LEN(ROUND(VLOOKUP(MATCH(E130,c_id,0),ca,'13(an)'!$CI$34,FALSE),3))=4,ROUND(VLOOKUP(MATCH(E130,c_id,0),ca,'13(an)'!$CI$34,FALSE),3)&amp;"0 lb/MMBtu",ROUND(VLOOKUP(MATCH(E130,c_id,0),ca,'13(an)'!$CI$34,FALSE),3)&amp;" lb/MMBtu"))))</f>
        <v>0.207 lb/MMBtu</v>
      </c>
      <c r="AF132" s="7596">
        <f>+IF(E130="","",IF(VLOOKUP(MATCH(E130,c_id,0),ca,'13(an)'!$CL$34,FALSE)="","NOx(R) = N/A",ROUND(VLOOKUP(MATCH(E130,c_id,0),ca,'13(an)'!$CL$34,FALSE),1)))</f>
        <v>1</v>
      </c>
      <c r="AG132" s="7536"/>
      <c r="AH132" s="5962"/>
      <c r="AI132" s="5959"/>
      <c r="AJ132" s="5959"/>
      <c r="AK132" s="5959"/>
      <c r="AL132" s="5959"/>
      <c r="AM132" s="5959"/>
    </row>
    <row r="133" spans="1:39" ht="15.95" customHeight="1">
      <c r="A133" s="5952"/>
      <c r="B133" s="9035"/>
      <c r="C133" s="9017" t="str">
        <f>+IF(B133="","",VLOOKUP(MATCH(B133,tid,0),tao,'12(id)'!$J$20,FALSE))</f>
        <v/>
      </c>
      <c r="D133" s="9020"/>
      <c r="E133" s="9024"/>
      <c r="F133" s="5962"/>
      <c r="G133" s="7527"/>
      <c r="H133" s="5962"/>
      <c r="I133" s="9070"/>
      <c r="J133" s="8971" t="e">
        <f>+IF(VLOOKUP(MATCH(B133,tid,0),tao,'12(id)'!$I$20,FALSE)="","",VLOOKUP(MATCH(B133,tid,0),tao,'12(id)'!$I$20,FALSE))</f>
        <v>#N/A</v>
      </c>
      <c r="K133" s="9064" t="e">
        <f>+IF(VLOOKUP(MATCH(B133,tid,0),tao,'12(id)'!$K$20,FALSE)="","",VLOOKUP(MATCH(B133,tid,0),tao,'12(id)'!$K$20,FALSE))</f>
        <v>#N/A</v>
      </c>
      <c r="L133" s="8971" t="e">
        <f>+IF(VLOOKUP(MATCH(B133,tid,0),tao,'12(id)'!$L$20,FALSE)="","",VLOOKUP(MATCH(B133,tid,0),tao,'12(id)'!$L$20,FALSE))</f>
        <v>#N/A</v>
      </c>
      <c r="M133" s="9058" t="e">
        <f>+IF(VLOOKUP(MATCH(B133,tid,0),tao,'12(id)'!$Q$20,FALSE)="","",VLOOKUP(MATCH(B133,tid,0),tao,'12(id)'!$Q$20,FALSE))</f>
        <v>#N/A</v>
      </c>
      <c r="N133" s="9067" t="e">
        <f>+IF(VLOOKUP(MATCH(B133,tid,0),tao,'12(id)'!$CT$20,FALSE)="","",VLOOKUP(MATCH(B133,tid,0),tao,'12(id)'!$CT$20,FALSE))</f>
        <v>#N/A</v>
      </c>
      <c r="O133" s="8985" t="e">
        <f>+IF(VLOOKUP(MATCH(B133,tid,0),tao,'12(id)'!$DE$20,FALSE)="","",ROUND(VLOOKUP(MATCH(B133,tid,0),tao,'12(id)'!$DE$20,FALSE),0)&amp;" yrs")</f>
        <v>#N/A</v>
      </c>
      <c r="P133" s="9001" t="e">
        <f>+IF(VLOOKUP(MATCH(B133,tid,0),tao,'12(id)'!$FR$20,FALSE)="","",VLOOKUP(MATCH(B133,tid,0),tao,'12(id)'!$FR$20,FALSE))</f>
        <v>#N/A</v>
      </c>
      <c r="Q133" s="9001" t="e">
        <f>+IF(VLOOKUP(MATCH(B133,tid,0),tao,'12(id)'!$DI$20,FALSE)="","",VLOOKUP(MATCH(B133,tid,0),tao,'12(id)'!$DI$20,FALSE))&amp;";  "&amp;IF(VLOOKUP(MATCH(B133,tid,0),tao,'12(id)'!$DQ$20,FALSE)="","",VLOOKUP(MATCH(B133,tid,0),tao,'12(id)'!$DQ$20,FALSE))</f>
        <v>#N/A</v>
      </c>
      <c r="R133" s="8906"/>
      <c r="S133" s="8818"/>
      <c r="T133" s="7537">
        <f>+IF(VLOOKUP(MATCH(E130,c_id,0),ca,'13(an)'!$GF$34,FALSE)="","",VLOOKUP(MATCH(E130,c_id,0),ca,'13(an)'!$GF$34,FALSE))</f>
        <v>1191551.5819999999</v>
      </c>
      <c r="U133" s="7538" t="str">
        <f>+IF(T133="","","$ TCC/unit")</f>
        <v>$ TCC/unit</v>
      </c>
      <c r="V133" s="7539">
        <f>+IF(VLOOKUP(MATCH(E130,c_id,0),ca,'13(an)'!$HA$34,FALSE)="","",VLOOKUP(MATCH(E130,c_id,0),ca,'13(an)'!$HA$34,FALSE))</f>
        <v>112474</v>
      </c>
      <c r="W133" s="7540"/>
      <c r="X133" s="8818"/>
      <c r="Y133" s="7537">
        <f>+IF(VLOOKUP(MATCH(E130,c_id,0),ca,'13(an)'!$IA$34,FALSE)="","",VLOOKUP(MATCH(E130,c_id,0),ca,'13(an)'!$IA$34,FALSE))</f>
        <v>1191551.5819999999</v>
      </c>
      <c r="Z133" s="7538" t="str">
        <f>+IF(Y133="","","$ TCC/unit")</f>
        <v>$ TCC/unit</v>
      </c>
      <c r="AA133" s="7539">
        <f>+IF(Y133="","",$AA$14*Y133)</f>
        <v>112474.03999898484</v>
      </c>
      <c r="AB133" s="7541"/>
      <c r="AC133" s="8818"/>
      <c r="AD133" s="7537">
        <f>+IF(VLOOKUP(MATCH(E130,c_id,0),ca,'13(an)'!$JS$34,FALSE)="","",VLOOKUP(MATCH(E130,c_id,0),ca,'13(an)'!$JS$34,FALSE))</f>
        <v>1652392.2</v>
      </c>
      <c r="AE133" s="7538" t="str">
        <f>+IF(AD133="","","$ TCC/unit")</f>
        <v>$ TCC/unit</v>
      </c>
      <c r="AF133" s="7539">
        <f>+IF(AD133="","",$AF$14*AD133)</f>
        <v>141792.62933339353</v>
      </c>
      <c r="AG133" s="7542"/>
      <c r="AH133" s="5962"/>
      <c r="AI133" s="5959"/>
      <c r="AJ133" s="5959"/>
      <c r="AK133" s="5959"/>
      <c r="AL133" s="5959"/>
      <c r="AM133" s="5959"/>
    </row>
    <row r="134" spans="1:39" ht="15.95" customHeight="1">
      <c r="A134" s="5952"/>
      <c r="B134" s="9035"/>
      <c r="C134" s="9017" t="str">
        <f>+IF(B134="","",VLOOKUP(MATCH(B134,tid,0),tao,'12(id)'!$J$20,FALSE))</f>
        <v/>
      </c>
      <c r="D134" s="9020"/>
      <c r="E134" s="9024"/>
      <c r="F134" s="5962"/>
      <c r="G134" s="7527"/>
      <c r="H134" s="5962"/>
      <c r="I134" s="9070"/>
      <c r="J134" s="8971" t="e">
        <f>+IF(VLOOKUP(MATCH(B134,tid,0),tao,'12(id)'!$I$20,FALSE)="","",VLOOKUP(MATCH(B134,tid,0),tao,'12(id)'!$I$20,FALSE))</f>
        <v>#N/A</v>
      </c>
      <c r="K134" s="9064" t="e">
        <f>+IF(VLOOKUP(MATCH(B134,tid,0),tao,'12(id)'!$K$20,FALSE)="","",VLOOKUP(MATCH(B134,tid,0),tao,'12(id)'!$K$20,FALSE))</f>
        <v>#N/A</v>
      </c>
      <c r="L134" s="8971" t="e">
        <f>+IF(VLOOKUP(MATCH(B134,tid,0),tao,'12(id)'!$L$20,FALSE)="","",VLOOKUP(MATCH(B134,tid,0),tao,'12(id)'!$L$20,FALSE))</f>
        <v>#N/A</v>
      </c>
      <c r="M134" s="9058" t="e">
        <f>+IF(VLOOKUP(MATCH(B134,tid,0),tao,'12(id)'!$Q$20,FALSE)="","",VLOOKUP(MATCH(B134,tid,0),tao,'12(id)'!$Q$20,FALSE))</f>
        <v>#N/A</v>
      </c>
      <c r="N134" s="9067" t="e">
        <f>+IF(VLOOKUP(MATCH(B134,tid,0),tao,'12(id)'!$CT$20,FALSE)="","",VLOOKUP(MATCH(B134,tid,0),tao,'12(id)'!$CT$20,FALSE))</f>
        <v>#N/A</v>
      </c>
      <c r="O134" s="8985" t="e">
        <f>+IF(VLOOKUP(MATCH(B134,tid,0),tao,'12(id)'!$DE$20,FALSE)="","",ROUND(VLOOKUP(MATCH(B134,tid,0),tao,'12(id)'!$DE$20,FALSE),0)&amp;" yrs")</f>
        <v>#N/A</v>
      </c>
      <c r="P134" s="9001" t="e">
        <f>+IF(VLOOKUP(MATCH(B134,tid,0),tao,'12(id)'!$FR$20,FALSE)="","",VLOOKUP(MATCH(B134,tid,0),tao,'12(id)'!$FR$20,FALSE))</f>
        <v>#N/A</v>
      </c>
      <c r="Q134" s="9001" t="e">
        <f>+IF(VLOOKUP(MATCH(B134,tid,0),tao,'12(id)'!$DI$20,FALSE)="","",VLOOKUP(MATCH(B134,tid,0),tao,'12(id)'!$DI$20,FALSE))&amp;";  "&amp;IF(VLOOKUP(MATCH(B134,tid,0),tao,'12(id)'!$DQ$20,FALSE)="","",VLOOKUP(MATCH(B134,tid,0),tao,'12(id)'!$DQ$20,FALSE))</f>
        <v>#N/A</v>
      </c>
      <c r="R134" s="8906"/>
      <c r="S134" s="8818"/>
      <c r="T134" s="7543">
        <f>+IF(OR(T133="",N114=""),"",T133/N114)</f>
        <v>63380.403297872333</v>
      </c>
      <c r="U134" s="8820" t="str">
        <f>+IF(T134="","","$ TCC / MW nominal capacity")</f>
        <v>$ TCC / MW nominal capacity</v>
      </c>
      <c r="V134" s="8820"/>
      <c r="W134" s="7544"/>
      <c r="X134" s="8818"/>
      <c r="Y134" s="7543">
        <f>+IF(OR(Y133="",N114=""),"",Y133/N114)</f>
        <v>63380.403297872333</v>
      </c>
      <c r="Z134" s="8820" t="str">
        <f>+IF(Y134="","","$ TCC / MW nominal capacity")</f>
        <v>$ TCC / MW nominal capacity</v>
      </c>
      <c r="AA134" s="8820"/>
      <c r="AB134" s="7545"/>
      <c r="AC134" s="8818"/>
      <c r="AD134" s="7543">
        <f>+IF(OR(AD133="",N114=""),"",AD133/N114)</f>
        <v>87893.202127659562</v>
      </c>
      <c r="AE134" s="8820" t="str">
        <f>+IF(AD134="","","$ TCC / MW nominal capacity")</f>
        <v>$ TCC / MW nominal capacity</v>
      </c>
      <c r="AF134" s="8820"/>
      <c r="AG134" s="7546"/>
      <c r="AH134" s="5962"/>
      <c r="AI134" s="5959"/>
      <c r="AJ134" s="5959"/>
      <c r="AK134" s="5959"/>
      <c r="AL134" s="5959"/>
      <c r="AM134" s="5959"/>
    </row>
    <row r="135" spans="1:39" ht="15.95" customHeight="1">
      <c r="A135" s="5952"/>
      <c r="B135" s="9035"/>
      <c r="C135" s="9017" t="str">
        <f>+IF(B135="","",VLOOKUP(MATCH(B135,tid,0),tao,'12(id)'!$J$20,FALSE))</f>
        <v/>
      </c>
      <c r="D135" s="9020"/>
      <c r="E135" s="9024"/>
      <c r="F135" s="5962"/>
      <c r="G135" s="7527"/>
      <c r="H135" s="5962"/>
      <c r="I135" s="9070"/>
      <c r="J135" s="8971" t="e">
        <f>+IF(VLOOKUP(MATCH(B135,tid,0),tao,'12(id)'!$I$20,FALSE)="","",VLOOKUP(MATCH(B135,tid,0),tao,'12(id)'!$I$20,FALSE))</f>
        <v>#N/A</v>
      </c>
      <c r="K135" s="9064" t="e">
        <f>+IF(VLOOKUP(MATCH(B135,tid,0),tao,'12(id)'!$K$20,FALSE)="","",VLOOKUP(MATCH(B135,tid,0),tao,'12(id)'!$K$20,FALSE))</f>
        <v>#N/A</v>
      </c>
      <c r="L135" s="8971" t="e">
        <f>+IF(VLOOKUP(MATCH(B135,tid,0),tao,'12(id)'!$L$20,FALSE)="","",VLOOKUP(MATCH(B135,tid,0),tao,'12(id)'!$L$20,FALSE))</f>
        <v>#N/A</v>
      </c>
      <c r="M135" s="9058" t="e">
        <f>+IF(VLOOKUP(MATCH(B135,tid,0),tao,'12(id)'!$Q$20,FALSE)="","",VLOOKUP(MATCH(B135,tid,0),tao,'12(id)'!$Q$20,FALSE))</f>
        <v>#N/A</v>
      </c>
      <c r="N135" s="9067" t="e">
        <f>+IF(VLOOKUP(MATCH(B135,tid,0),tao,'12(id)'!$CT$20,FALSE)="","",VLOOKUP(MATCH(B135,tid,0),tao,'12(id)'!$CT$20,FALSE))</f>
        <v>#N/A</v>
      </c>
      <c r="O135" s="8985" t="e">
        <f>+IF(VLOOKUP(MATCH(B135,tid,0),tao,'12(id)'!$DE$20,FALSE)="","",ROUND(VLOOKUP(MATCH(B135,tid,0),tao,'12(id)'!$DE$20,FALSE),0)&amp;" yrs")</f>
        <v>#N/A</v>
      </c>
      <c r="P135" s="9001" t="e">
        <f>+IF(VLOOKUP(MATCH(B135,tid,0),tao,'12(id)'!$FR$20,FALSE)="","",VLOOKUP(MATCH(B135,tid,0),tao,'12(id)'!$FR$20,FALSE))</f>
        <v>#N/A</v>
      </c>
      <c r="Q135" s="9001" t="e">
        <f>+IF(VLOOKUP(MATCH(B135,tid,0),tao,'12(id)'!$DI$20,FALSE)="","",VLOOKUP(MATCH(B135,tid,0),tao,'12(id)'!$DI$20,FALSE))&amp;";  "&amp;IF(VLOOKUP(MATCH(B135,tid,0),tao,'12(id)'!$DQ$20,FALSE)="","",VLOOKUP(MATCH(B135,tid,0),tao,'12(id)'!$DQ$20,FALSE))</f>
        <v>#N/A</v>
      </c>
      <c r="R135" s="8906"/>
      <c r="S135" s="8818"/>
      <c r="T135" s="7590">
        <f>+IF(VLOOKUP(MATCH(E130,c_id,0),ca,'13(an)'!$HF$34,FALSE)="","",VLOOKUP(MATCH(E130,c_id,0),ca,'13(an)'!$HF$34,FALSE))</f>
        <v>81969</v>
      </c>
      <c r="U135" s="8896" t="str">
        <f>IF(T135="","","$ /ton "&amp;"NOx(R)")</f>
        <v>$ /ton NOx(R)</v>
      </c>
      <c r="V135" s="8896"/>
      <c r="W135" s="7630"/>
      <c r="X135" s="8818"/>
      <c r="Y135" s="7590">
        <f>+IF(VLOOKUP(MATCH(E130,c_id,0),ca,'13(an)'!$JE$34,FALSE)="","",VLOOKUP(MATCH(E130,c_id,0),ca,'13(an)'!$JE$34,FALSE))</f>
        <v>159960.64577353658</v>
      </c>
      <c r="Z135" s="8896" t="str">
        <f>IF(Y135="","","$ /ton "&amp;"NOx(R)")</f>
        <v>$ /ton NOx(R)</v>
      </c>
      <c r="AA135" s="8896"/>
      <c r="AB135" s="7570"/>
      <c r="AC135" s="8818"/>
      <c r="AD135" s="7590">
        <f>+IF(VLOOKUP(MATCH(E130,c_id,0),ca,'13(an)'!$LB$34,FALSE)="","",VLOOKUP(MATCH(E130,c_id,0),ca,'13(an)'!$LB$34,FALSE))</f>
        <v>211708.20719967168</v>
      </c>
      <c r="AE135" s="8896" t="str">
        <f>IF(AD135="","","$ /ton "&amp;"NOx(R)")</f>
        <v>$ /ton NOx(R)</v>
      </c>
      <c r="AF135" s="8896"/>
      <c r="AG135" s="7593"/>
      <c r="AH135" s="5962"/>
      <c r="AI135" s="5959"/>
      <c r="AJ135" s="5959"/>
      <c r="AK135" s="5959"/>
      <c r="AL135" s="5959"/>
      <c r="AM135" s="5959"/>
    </row>
    <row r="136" spans="1:39" ht="15.95" customHeight="1">
      <c r="A136" s="5952"/>
      <c r="B136" s="9035"/>
      <c r="C136" s="9017" t="str">
        <f>+IF(B136="","",VLOOKUP(MATCH(B136,tid,0),tao,'12(id)'!$J$20,FALSE))</f>
        <v/>
      </c>
      <c r="D136" s="9020"/>
      <c r="E136" s="9045" t="str">
        <f>+IF(B114="","",B114&amp;IF(ISERR(VALUE(1+R130)),"-01",IF(1+R130&lt;10,"-0"&amp;1+R130,"-"&amp;1+R130)))</f>
        <v>8304-01-05</v>
      </c>
      <c r="F136" s="5962"/>
      <c r="G136" s="7527"/>
      <c r="H136" s="5962"/>
      <c r="I136" s="9070"/>
      <c r="J136" s="8971"/>
      <c r="K136" s="9064"/>
      <c r="L136" s="8971"/>
      <c r="M136" s="9058"/>
      <c r="N136" s="9067"/>
      <c r="O136" s="8985"/>
      <c r="P136" s="9001" t="e">
        <f>+IF(VLOOKUP(MATCH(B136,tid,0),tao,'12(id)'!$FR$20,FALSE)="","",VLOOKUP(MATCH(B136,tid,0),tao,'12(id)'!$FR$20,FALSE))</f>
        <v>#N/A</v>
      </c>
      <c r="Q136" s="9001"/>
      <c r="R136" s="8982">
        <f>+IF(B114="","",1+R130)</f>
        <v>5</v>
      </c>
      <c r="S136" s="8859"/>
      <c r="T136" s="8871" t="str">
        <f>+IF(VLOOKUP(MATCH(E136,c_id,0),ca,'13(an)'!$BD$34,FALSE)="","",VLOOKUP(MATCH(E136,c_id,0),ca,'13(an)'!$BD$34,FALSE))</f>
        <v>Dual Fuel (Natural Gas with Liquid Backup)</v>
      </c>
      <c r="U136" s="8871"/>
      <c r="V136" s="8871"/>
      <c r="W136" s="7553"/>
      <c r="X136" s="8859"/>
      <c r="Y136" s="8871" t="str">
        <f>+IF(T136="","",T136)</f>
        <v>Dual Fuel (Natural Gas with Liquid Backup)</v>
      </c>
      <c r="Z136" s="8871"/>
      <c r="AA136" s="8871"/>
      <c r="AB136" s="7554"/>
      <c r="AC136" s="8859"/>
      <c r="AD136" s="8871" t="str">
        <f>+IF(Y136="","",Y136)</f>
        <v>Dual Fuel (Natural Gas with Liquid Backup)</v>
      </c>
      <c r="AE136" s="8871"/>
      <c r="AF136" s="8871"/>
      <c r="AG136" s="7555"/>
      <c r="AH136" s="5962"/>
      <c r="AI136" s="5959"/>
      <c r="AJ136" s="5959"/>
      <c r="AK136" s="5959"/>
      <c r="AL136" s="5959"/>
      <c r="AM136" s="5959"/>
    </row>
    <row r="137" spans="1:39" ht="11.45" customHeight="1">
      <c r="A137" s="5952"/>
      <c r="B137" s="9035"/>
      <c r="C137" s="9017" t="str">
        <f>+IF(B137="","",VLOOKUP(MATCH(B137,tid,0),tao,'12(id)'!$J$20,FALSE))</f>
        <v/>
      </c>
      <c r="D137" s="9020"/>
      <c r="E137" s="9024"/>
      <c r="F137" s="5962"/>
      <c r="G137" s="7527"/>
      <c r="H137" s="5962"/>
      <c r="I137" s="9070"/>
      <c r="J137" s="8971"/>
      <c r="K137" s="9064"/>
      <c r="L137" s="8971"/>
      <c r="M137" s="9058"/>
      <c r="N137" s="9067"/>
      <c r="O137" s="8985"/>
      <c r="P137" s="9001" t="e">
        <f>+IF(VLOOKUP(MATCH(B137,tid,0),tao,'12(id)'!$FR$20,FALSE)="","",VLOOKUP(MATCH(B137,tid,0),tao,'12(id)'!$FR$20,FALSE))</f>
        <v>#N/A</v>
      </c>
      <c r="Q137" s="9001"/>
      <c r="R137" s="8906"/>
      <c r="S137" s="8818"/>
      <c r="T137" s="8820" t="str">
        <f>+IF(VLOOKUP(MATCH(E136,c_id,0),ca,'13(an)'!$BG$34,FALSE)="","","("&amp;VLOOKUP(MATCH(E136,c_id,0),ca,'13(an)'!$BG$34,FALSE)&amp;")")</f>
        <v>(Natural Gas with Oil backup)</v>
      </c>
      <c r="U137" s="9206"/>
      <c r="V137" s="9206"/>
      <c r="W137" s="7582"/>
      <c r="X137" s="8818"/>
      <c r="Y137" s="8976" t="str">
        <f>+IF(T137="","",T137)</f>
        <v>(Natural Gas with Oil backup)</v>
      </c>
      <c r="Z137" s="8977"/>
      <c r="AA137" s="8977"/>
      <c r="AB137" s="5962"/>
      <c r="AC137" s="8818"/>
      <c r="AD137" s="8976" t="str">
        <f>+IF(Y137="","",Y137)</f>
        <v>(Natural Gas with Oil backup)</v>
      </c>
      <c r="AE137" s="8977"/>
      <c r="AF137" s="8977"/>
      <c r="AG137" s="7583"/>
      <c r="AH137" s="5962"/>
      <c r="AI137" s="5959"/>
      <c r="AJ137" s="5959"/>
      <c r="AK137" s="5959"/>
      <c r="AL137" s="5959"/>
      <c r="AM137" s="5959"/>
    </row>
    <row r="138" spans="1:39" ht="15.95" customHeight="1">
      <c r="A138" s="5952"/>
      <c r="B138" s="9035"/>
      <c r="C138" s="9017" t="str">
        <f>+IF(B138="","",VLOOKUP(MATCH(B138,tid,0),tao,'12(id)'!$J$20,FALSE))</f>
        <v/>
      </c>
      <c r="D138" s="9020"/>
      <c r="E138" s="9024"/>
      <c r="F138" s="5962"/>
      <c r="G138" s="7527"/>
      <c r="H138" s="5962"/>
      <c r="I138" s="9070"/>
      <c r="J138" s="8971"/>
      <c r="K138" s="9064"/>
      <c r="L138" s="8971"/>
      <c r="M138" s="9058"/>
      <c r="N138" s="9067"/>
      <c r="O138" s="8985"/>
      <c r="P138" s="9001" t="e">
        <f>+IF(VLOOKUP(MATCH(B138,tid,0),tao,'12(id)'!$FR$20,FALSE)="","",VLOOKUP(MATCH(B138,tid,0),tao,'12(id)'!$FR$20,FALSE))</f>
        <v>#N/A</v>
      </c>
      <c r="Q138" s="9001"/>
      <c r="R138" s="8906"/>
      <c r="S138" s="8818"/>
      <c r="T138" s="7600" t="str">
        <f>+IF(E136="","",IF(VLOOKUP(MATCH(E136,c_id,0),ca,'13(an)'!$CC$34,FALSE)="",IF(VLOOKUP(MATCH(E136,c_id,0),ca,'13(an)'!$CD$34,FALSE)="",IF(VLOOKUP(MATCH(E136,c_id,0),ca,'13(an)'!$CE$34,FALSE)="","η ≈ N/A","η ≈ "&amp;ROUND(VLOOKUP(MATCH(E136,c_id,0),ca,'13(an)'!$CE$34,FALSE)*100,0)&amp;"%"),"η ≈ "&amp;ROUND(VLOOKUP(MATCH(E136,c_id,0),ca,'13(an)'!$CD$34,FALSE)*100,0)&amp;"%"),"η ≈ "&amp;ROUND(VLOOKUP(MATCH(E136,c_id,0),ca,'13(an)'!$CC$34,FALSE)*100,0)&amp;"%"))</f>
        <v>η ≈ 36%</v>
      </c>
      <c r="U138" s="7601" t="str">
        <f>+IF($U$154="ppmvd",IF(VLOOKUP(MATCH(E136,c_id,0),ca,'13(an)'!$BV$34,FALSE)="","",ROUND(VLOOKUP(MATCH(E136,c_id,0),ca,'13(an)'!$BV$34,FALSE),1)&amp;" ppmvd"),IF(VLOOKUP(MATCH(E136,c_id,0),ca,'13(an)'!$BU$34,FALSE)="","",IF(LEN(ROUND(VLOOKUP(MATCH(E136,c_id,0),ca,'13(an)'!$BU$34,FALSE),3))=3,ROUND(VLOOKUP(MATCH(E136,c_id,0),ca,'13(an)'!$BU$34,FALSE),3)&amp;"00 lb/MMBtu",IF(LEN(ROUND(VLOOKUP(MATCH(E136,c_id,0),ca,'13(an)'!$BU$34,FALSE),3))=4,ROUND(VLOOKUP(MATCH(E136,c_id,0),ca,'13(an)'!$BU$34,FALSE),3)&amp;"0 lb/MMBtu",ROUND(VLOOKUP(MATCH(E136,c_id,0),ca,'13(an)'!$BU$34,FALSE),3)&amp;" lb/MMBtu"))))</f>
        <v>0.352 lb/MMBtu</v>
      </c>
      <c r="V138" s="7602">
        <f>+IF(E136="","",IF(VLOOKUP(MATCH(E136,c_id,0),ca,'13(an)'!$CB$34,FALSE)="","NOx(R) = N/A",ROUND(VLOOKUP(MATCH(E136,c_id,0),ca,'13(an)'!$CB$34,FALSE),1)))</f>
        <v>1</v>
      </c>
      <c r="W138" s="7534"/>
      <c r="X138" s="8818"/>
      <c r="Y138" s="7600" t="str">
        <f>+IF(E136="","",IF(VLOOKUP(MATCH(E136,c_id,0),ca,'13(an)'!$CM$34,FALSE)="",IF(VLOOKUP(MATCH(E136,c_id,0),ca,'13(an)'!$CN$34,FALSE)="",IF(VLOOKUP(MATCH(E136,c_id,0),ca,'13(an)'!$CO$34,FALSE)="","η ≈ N/A","η ≈ "&amp;ROUND(VLOOKUP(MATCH(E136,c_id,0),ca,'13(an)'!$CO$34,FALSE)*100,0)&amp;"%"),"η ≈ "&amp;ROUND(VLOOKUP(MATCH(E136,c_id,0),ca,'13(an)'!$CN$34,FALSE)*100,0)&amp;"%"),"η ≈ "&amp;ROUND(VLOOKUP(MATCH(E136,c_id,0),ca,'13(an)'!$CM$34,FALSE)*100,0)&amp;"%"))</f>
        <v>η ≈ 36%</v>
      </c>
      <c r="Z138" s="7601" t="str">
        <f>+IF($Z$154="ppmvd",IF(VLOOKUP(MATCH(E136,c_id,0),ca,'13(an)'!$CJ$34,FALSE)="","",ROUND(VLOOKUP(MATCH(E136,c_id,0),ca,'13(an)'!$CJ$34,FALSE),1)&amp;" ppmvd"),IF(VLOOKUP(MATCH(E136,c_id,0),ca,'13(an)'!$CI$34,FALSE)="","",IF(LEN(ROUND(VLOOKUP(MATCH(E136,c_id,0),ca,'13(an)'!$CI$34,FALSE),3))=3,ROUND(VLOOKUP(MATCH(E136,c_id,0),ca,'13(an)'!$CI$34,FALSE),3)&amp;"00 lb/MMBtu",IF(LEN(ROUND(VLOOKUP(MATCH(E136,c_id,0),ca,'13(an)'!$CI$34,FALSE),3))=4,ROUND(VLOOKUP(MATCH(E136,c_id,0),ca,'13(an)'!$CI$34,FALSE),3)&amp;"0 lb/MMBtu",ROUND(VLOOKUP(MATCH(E136,c_id,0),ca,'13(an)'!$CI$34,FALSE),3)&amp;" lb/MMBtu"))))</f>
        <v>0.397 lb/MMBtu</v>
      </c>
      <c r="AA138" s="7602">
        <f>+IF(E136="","",IF(VLOOKUP(MATCH(E136,c_id,0),ca,'13(an)'!$CL$34,FALSE)="","NOx(R) = N/A",ROUND(VLOOKUP(MATCH(E136,c_id,0),ca,'13(an)'!$CL$34,FALSE),1)))</f>
        <v>0.5</v>
      </c>
      <c r="AB138" s="7535"/>
      <c r="AC138" s="8818"/>
      <c r="AD138" s="7600" t="str">
        <f>+IF(E136="","",IF(VLOOKUP(MATCH(E136,c_id,0),ca,'13(an)'!$CM$34,FALSE)="",IF(VLOOKUP(MATCH(E136,c_id,0),ca,'13(an)'!$CN$34,FALSE)="",IF(VLOOKUP(MATCH(E136,c_id,0),ca,'13(an)'!$CO$34,FALSE)="","η ≈ N/A","η ≈ "&amp;ROUND(VLOOKUP(MATCH(E136,c_id,0),ca,'13(an)'!$CO$34,FALSE)*100,0)&amp;"%"),"η ≈ "&amp;ROUND(VLOOKUP(MATCH(E136,c_id,0),ca,'13(an)'!$CN$34,FALSE)*100,0)&amp;"%"),"η ≈ "&amp;ROUND(VLOOKUP(MATCH(E136,c_id,0),ca,'13(an)'!$CM$34,FALSE)*100,0)&amp;"%"))</f>
        <v>η ≈ 36%</v>
      </c>
      <c r="AE138" s="7601" t="str">
        <f>+IF($AE$154="ppmvd",IF(VLOOKUP(MATCH(E136,c_id,0),ca,'13(an)'!$CJ$34,FALSE)="","",ROUND(VLOOKUP(MATCH(E136,c_id,0),ca,'13(an)'!$CJ$34,FALSE),1)&amp;" ppmvd"),IF(VLOOKUP(MATCH(E136,c_id,0),ca,'13(an)'!$CI$34,FALSE)="","",IF(LEN(ROUND(VLOOKUP(MATCH(E136,c_id,0),ca,'13(an)'!$CI$34,FALSE),3))=3,ROUND(VLOOKUP(MATCH(E136,c_id,0),ca,'13(an)'!$CI$34,FALSE),3)&amp;"00 lb/MMBtu",IF(LEN(ROUND(VLOOKUP(MATCH(E136,c_id,0),ca,'13(an)'!$CI$34,FALSE),3))=4,ROUND(VLOOKUP(MATCH(E136,c_id,0),ca,'13(an)'!$CI$34,FALSE),3)&amp;"0 lb/MMBtu",ROUND(VLOOKUP(MATCH(E136,c_id,0),ca,'13(an)'!$CI$34,FALSE),3)&amp;" lb/MMBtu"))))</f>
        <v>0.397 lb/MMBtu</v>
      </c>
      <c r="AF138" s="7602">
        <f>+IF(E136="","",IF(VLOOKUP(MATCH(E136,c_id,0),ca,'13(an)'!$CL$34,FALSE)="","NOx(R) = N/A",ROUND(VLOOKUP(MATCH(E136,c_id,0),ca,'13(an)'!$CL$34,FALSE),1)))</f>
        <v>0.5</v>
      </c>
      <c r="AG138" s="7536"/>
      <c r="AH138" s="5962"/>
      <c r="AI138" s="5959"/>
      <c r="AJ138" s="5959"/>
      <c r="AK138" s="5959"/>
      <c r="AL138" s="5959"/>
      <c r="AM138" s="5959"/>
    </row>
    <row r="139" spans="1:39" ht="15.95" customHeight="1">
      <c r="A139" s="5952"/>
      <c r="B139" s="9035"/>
      <c r="C139" s="9017" t="str">
        <f>+IF(B139="","",VLOOKUP(MATCH(B139,tid,0),tao,'12(id)'!$J$20,FALSE))</f>
        <v/>
      </c>
      <c r="D139" s="9020"/>
      <c r="E139" s="9024"/>
      <c r="F139" s="5962"/>
      <c r="G139" s="7527"/>
      <c r="H139" s="5962"/>
      <c r="I139" s="9070"/>
      <c r="J139" s="8971"/>
      <c r="K139" s="9064"/>
      <c r="L139" s="8971"/>
      <c r="M139" s="9058"/>
      <c r="N139" s="9067"/>
      <c r="O139" s="8985"/>
      <c r="P139" s="9001" t="e">
        <f>+IF(VLOOKUP(MATCH(B139,tid,0),tao,'12(id)'!$FR$20,FALSE)="","",VLOOKUP(MATCH(B139,tid,0),tao,'12(id)'!$FR$20,FALSE))</f>
        <v>#N/A</v>
      </c>
      <c r="Q139" s="9001"/>
      <c r="R139" s="8906"/>
      <c r="S139" s="8818"/>
      <c r="T139" s="7537">
        <f>+IF(VLOOKUP(MATCH(E136,c_id,0),ca,'13(an)'!$GF$34,FALSE)="","",VLOOKUP(MATCH(E136,c_id,0),ca,'13(an)'!$GF$34,FALSE))</f>
        <v>2908938.8360000001</v>
      </c>
      <c r="U139" s="7538" t="str">
        <f>+IF(T139="","","$ TCC/unit")</f>
        <v>$ TCC/unit</v>
      </c>
      <c r="V139" s="7539">
        <f>+IF(VLOOKUP(MATCH(E136,c_id,0),ca,'13(an)'!$HA$34,FALSE)="","",VLOOKUP(MATCH(E136,c_id,0),ca,'13(an)'!$HA$34,FALSE))</f>
        <v>274583</v>
      </c>
      <c r="W139" s="7540"/>
      <c r="X139" s="8818"/>
      <c r="Y139" s="7537">
        <f>+IF(VLOOKUP(MATCH(E136,c_id,0),ca,'13(an)'!$IA$34,FALSE)="","",VLOOKUP(MATCH(E136,c_id,0),ca,'13(an)'!$IA$34,FALSE))</f>
        <v>2908938.8360000001</v>
      </c>
      <c r="Z139" s="7538" t="str">
        <f>+IF(Y139="","","$ TCC/unit")</f>
        <v>$ TCC/unit</v>
      </c>
      <c r="AA139" s="7539">
        <f>+IF(Y139="","",$AA$14*Y139)</f>
        <v>274583.24753822066</v>
      </c>
      <c r="AB139" s="7541"/>
      <c r="AC139" s="8818"/>
      <c r="AD139" s="7537">
        <f>+IF(VLOOKUP(MATCH(E136,c_id,0),ca,'13(an)'!$JS$34,FALSE)="","",VLOOKUP(MATCH(E136,c_id,0),ca,'13(an)'!$JS$34,FALSE))</f>
        <v>2764938.8360000001</v>
      </c>
      <c r="AE139" s="7538" t="str">
        <f>+IF(AD139="","","$ TCC/unit")</f>
        <v>$ TCC/unit</v>
      </c>
      <c r="AF139" s="7539">
        <f>+IF(AD139="","",$AF$14*AD139)</f>
        <v>237260.83160066514</v>
      </c>
      <c r="AG139" s="7542"/>
      <c r="AH139" s="5962"/>
      <c r="AI139" s="5959"/>
      <c r="AJ139" s="5959"/>
      <c r="AK139" s="5959"/>
      <c r="AL139" s="5959"/>
      <c r="AM139" s="5959"/>
    </row>
    <row r="140" spans="1:39" ht="15.95" customHeight="1">
      <c r="A140" s="5952"/>
      <c r="B140" s="9035"/>
      <c r="C140" s="9017" t="str">
        <f>+IF(B140="","",VLOOKUP(MATCH(B140,tid,0),tao,'12(id)'!$J$20,FALSE))</f>
        <v/>
      </c>
      <c r="D140" s="9020"/>
      <c r="E140" s="9024"/>
      <c r="F140" s="5962"/>
      <c r="G140" s="7527"/>
      <c r="H140" s="5962"/>
      <c r="I140" s="9070"/>
      <c r="J140" s="8971"/>
      <c r="K140" s="9064"/>
      <c r="L140" s="8971"/>
      <c r="M140" s="9058"/>
      <c r="N140" s="9067"/>
      <c r="O140" s="8985"/>
      <c r="P140" s="9001" t="e">
        <f>+IF(VLOOKUP(MATCH(B140,tid,0),tao,'12(id)'!$FR$20,FALSE)="","",VLOOKUP(MATCH(B140,tid,0),tao,'12(id)'!$FR$20,FALSE))</f>
        <v>#N/A</v>
      </c>
      <c r="Q140" s="9001"/>
      <c r="R140" s="8906"/>
      <c r="S140" s="8818"/>
      <c r="T140" s="7543">
        <f>+IF(OR(T139="",N114=""),"",T139/N114)</f>
        <v>154730.78914893616</v>
      </c>
      <c r="U140" s="8820" t="str">
        <f>+IF(T140="","","$ TCC / MW nominal capacity")</f>
        <v>$ TCC / MW nominal capacity</v>
      </c>
      <c r="V140" s="8820"/>
      <c r="W140" s="7544"/>
      <c r="X140" s="8818"/>
      <c r="Y140" s="7543">
        <f>+IF(OR(Y139="",N114=""),"",Y139/N114)</f>
        <v>154730.78914893616</v>
      </c>
      <c r="Z140" s="8820" t="str">
        <f>+IF(Y140="","","$ TCC / MW nominal capacity")</f>
        <v>$ TCC / MW nominal capacity</v>
      </c>
      <c r="AA140" s="8820"/>
      <c r="AB140" s="7545"/>
      <c r="AC140" s="8818"/>
      <c r="AD140" s="7543">
        <f>+IF(OR(AD139="",N114=""),"",AD139/N114)</f>
        <v>147071.21468085106</v>
      </c>
      <c r="AE140" s="8820" t="str">
        <f>+IF(AD140="","","$ TCC / MW nominal capacity")</f>
        <v>$ TCC / MW nominal capacity</v>
      </c>
      <c r="AF140" s="8820"/>
      <c r="AG140" s="7546"/>
      <c r="AH140" s="5962"/>
      <c r="AI140" s="5959"/>
      <c r="AJ140" s="5959"/>
      <c r="AK140" s="5959"/>
      <c r="AL140" s="5959"/>
      <c r="AM140" s="5959"/>
    </row>
    <row r="141" spans="1:39" ht="15.95" customHeight="1" thickBot="1">
      <c r="A141" s="5952"/>
      <c r="B141" s="9035"/>
      <c r="C141" s="9017" t="str">
        <f>+IF(B141="","",VLOOKUP(MATCH(B141,tid,0),tao,'12(id)'!$J$20,FALSE))</f>
        <v/>
      </c>
      <c r="D141" s="9020"/>
      <c r="E141" s="9049"/>
      <c r="F141" s="5962"/>
      <c r="G141" s="7527"/>
      <c r="H141" s="5962"/>
      <c r="I141" s="9070"/>
      <c r="J141" s="8971"/>
      <c r="K141" s="9064"/>
      <c r="L141" s="8971"/>
      <c r="M141" s="9058"/>
      <c r="N141" s="9067"/>
      <c r="O141" s="8985"/>
      <c r="P141" s="9001" t="e">
        <f>+IF(VLOOKUP(MATCH(B141,tid,0),tao,'12(id)'!$FR$20,FALSE)="","",VLOOKUP(MATCH(B141,tid,0),tao,'12(id)'!$FR$20,FALSE))</f>
        <v>#N/A</v>
      </c>
      <c r="Q141" s="9001"/>
      <c r="R141" s="8907"/>
      <c r="S141" s="8860"/>
      <c r="T141" s="7631">
        <f>+IF(VLOOKUP(MATCH(E136,c_id,0),ca,'13(an)'!$HF$34,FALSE)="","",VLOOKUP(MATCH(E136,c_id,0),ca,'13(an)'!$HF$34,FALSE))</f>
        <v>364103</v>
      </c>
      <c r="U141" s="8897" t="str">
        <f>IF(T141="","","$ /ton "&amp;"NOx(R)")</f>
        <v>$ /ton NOx(R)</v>
      </c>
      <c r="V141" s="8897"/>
      <c r="W141" s="7606"/>
      <c r="X141" s="8860"/>
      <c r="Y141" s="7631">
        <f>+IF(VLOOKUP(MATCH(E136,c_id,0),ca,'13(an)'!$JE$34,FALSE)="","",VLOOKUP(MATCH(E136,c_id,0),ca,'13(an)'!$JE$34,FALSE))</f>
        <v>717778.79018037254</v>
      </c>
      <c r="Z141" s="8897" t="str">
        <f>IF(Y141="","","$ /ton "&amp;"NOx(R)")</f>
        <v>$ /ton NOx(R)</v>
      </c>
      <c r="AA141" s="8897"/>
      <c r="AB141" s="7607"/>
      <c r="AC141" s="8860"/>
      <c r="AD141" s="7590">
        <f>+IF(VLOOKUP(MATCH(E136,c_id,0),ca,'13(an)'!$LB$34,FALSE)="","",VLOOKUP(MATCH(E136,c_id,0),ca,'13(an)'!$LB$34,FALSE))</f>
        <v>646350.86326565687</v>
      </c>
      <c r="AE141" s="8896" t="str">
        <f>IF(AD141="","","$ /ton "&amp;"NOx(R)")</f>
        <v>$ /ton NOx(R)</v>
      </c>
      <c r="AF141" s="8896"/>
      <c r="AG141" s="7593"/>
      <c r="AH141" s="5962"/>
      <c r="AI141" s="5959"/>
      <c r="AJ141" s="5959"/>
      <c r="AK141" s="5959"/>
      <c r="AL141" s="5959"/>
      <c r="AM141" s="5959"/>
    </row>
    <row r="142" spans="1:39" ht="15.95" customHeight="1">
      <c r="A142" s="5952"/>
      <c r="B142" s="9035"/>
      <c r="C142" s="9017" t="str">
        <f>+IF(B142="","",VLOOKUP(MATCH(B142,tid,0),tao,'12(id)'!$J$20,FALSE))</f>
        <v/>
      </c>
      <c r="D142" s="9020"/>
      <c r="E142" s="9023" t="str">
        <f>+IF(B114="","",B114&amp;IF(ISERR(VALUE(1+R136)),"-01",IF(1+R136&lt;10,"-0"&amp;1+R136,"-"&amp;1+R136)))</f>
        <v>8304-01-06</v>
      </c>
      <c r="F142" s="5962"/>
      <c r="G142" s="7527"/>
      <c r="H142" s="5962"/>
      <c r="I142" s="9070"/>
      <c r="J142" s="8971"/>
      <c r="K142" s="9064"/>
      <c r="L142" s="8971"/>
      <c r="M142" s="9058"/>
      <c r="N142" s="9067"/>
      <c r="O142" s="8985"/>
      <c r="P142" s="9001" t="e">
        <f>+IF(VLOOKUP(MATCH(B142,tid,0),tao,'12(id)'!$FR$20,FALSE)="","",VLOOKUP(MATCH(B142,tid,0),tao,'12(id)'!$FR$20,FALSE))</f>
        <v>#N/A</v>
      </c>
      <c r="Q142" s="9001"/>
      <c r="R142" s="9022">
        <f>+IF(B114="","",1+R136)</f>
        <v>6</v>
      </c>
      <c r="S142" s="8817"/>
      <c r="T142" s="8875" t="str">
        <f>+IF(VLOOKUP(MATCH(E142,c_id,0),ca,'13(an)'!$BD$34,FALSE)="","",VLOOKUP(MATCH(E142,c_id,0),ca,'13(an)'!$BD$34,FALSE))</f>
        <v>Solar Titan 130 - new dual fuel w/ SoLoNOx</v>
      </c>
      <c r="U142" s="8875"/>
      <c r="V142" s="8875"/>
      <c r="W142" s="7579"/>
      <c r="X142" s="8817"/>
      <c r="Y142" s="8875" t="str">
        <f>+IF(T142="","",T142)</f>
        <v>Solar Titan 130 - new dual fuel w/ SoLoNOx</v>
      </c>
      <c r="Z142" s="8875"/>
      <c r="AA142" s="8875"/>
      <c r="AB142" s="7580"/>
      <c r="AC142" s="8817"/>
      <c r="AD142" s="8875" t="str">
        <f>+IF(Y142="","",Y142)</f>
        <v>Solar Titan 130 - new dual fuel w/ SoLoNOx</v>
      </c>
      <c r="AE142" s="8875"/>
      <c r="AF142" s="8875"/>
      <c r="AG142" s="7581"/>
      <c r="AH142" s="5962"/>
      <c r="AI142" s="5959"/>
      <c r="AJ142" s="5959"/>
      <c r="AK142" s="5959"/>
      <c r="AL142" s="5959"/>
      <c r="AM142" s="5959"/>
    </row>
    <row r="143" spans="1:39" ht="11.45" customHeight="1">
      <c r="A143" s="5952"/>
      <c r="B143" s="9035"/>
      <c r="C143" s="9017" t="str">
        <f>+IF(B143="","",VLOOKUP(MATCH(B143,tid,0),tao,'12(id)'!$J$20,FALSE))</f>
        <v/>
      </c>
      <c r="D143" s="9020"/>
      <c r="E143" s="9024"/>
      <c r="F143" s="5962"/>
      <c r="G143" s="7527"/>
      <c r="H143" s="5962"/>
      <c r="I143" s="9070"/>
      <c r="J143" s="8971"/>
      <c r="K143" s="9064"/>
      <c r="L143" s="8971"/>
      <c r="M143" s="9058"/>
      <c r="N143" s="9067"/>
      <c r="O143" s="8985"/>
      <c r="P143" s="9001" t="e">
        <f>+IF(VLOOKUP(MATCH(B143,tid,0),tao,'12(id)'!$FR$20,FALSE)="","",VLOOKUP(MATCH(B143,tid,0),tao,'12(id)'!$FR$20,FALSE))</f>
        <v>#N/A</v>
      </c>
      <c r="Q143" s="9001"/>
      <c r="R143" s="8906"/>
      <c r="S143" s="8818"/>
      <c r="T143" s="8820" t="str">
        <f>+IF(VLOOKUP(MATCH(E142,c_id,0),ca,'13(an)'!$BG$34,FALSE)="","","("&amp;VLOOKUP(MATCH(E142,c_id,0),ca,'13(an)'!$BG$34,FALSE)&amp;")")</f>
        <v>(Natural Gas with Oil backup)</v>
      </c>
      <c r="U143" s="9206"/>
      <c r="V143" s="9206"/>
      <c r="W143" s="7582"/>
      <c r="X143" s="8818"/>
      <c r="Y143" s="8976" t="str">
        <f>+IF(T143="","",T143)</f>
        <v>(Natural Gas with Oil backup)</v>
      </c>
      <c r="Z143" s="8977"/>
      <c r="AA143" s="8977"/>
      <c r="AB143" s="5962"/>
      <c r="AC143" s="8818"/>
      <c r="AD143" s="8976" t="str">
        <f>+IF(Y143="","",Y143)</f>
        <v>(Natural Gas with Oil backup)</v>
      </c>
      <c r="AE143" s="8977"/>
      <c r="AF143" s="8977"/>
      <c r="AG143" s="7583"/>
      <c r="AH143" s="5962"/>
      <c r="AI143" s="5959"/>
      <c r="AJ143" s="5959"/>
      <c r="AK143" s="5959"/>
      <c r="AL143" s="5959"/>
      <c r="AM143" s="5959"/>
    </row>
    <row r="144" spans="1:39" ht="15.95" customHeight="1">
      <c r="A144" s="5952"/>
      <c r="B144" s="9035"/>
      <c r="C144" s="9017" t="str">
        <f>+IF(B144="","",VLOOKUP(MATCH(B144,tid,0),tao,'12(id)'!$J$20,FALSE))</f>
        <v/>
      </c>
      <c r="D144" s="9020"/>
      <c r="E144" s="9024"/>
      <c r="F144" s="5962"/>
      <c r="G144" s="7527"/>
      <c r="H144" s="5962"/>
      <c r="I144" s="9070"/>
      <c r="J144" s="8971"/>
      <c r="K144" s="9064"/>
      <c r="L144" s="8971"/>
      <c r="M144" s="9058"/>
      <c r="N144" s="9067"/>
      <c r="O144" s="8985"/>
      <c r="P144" s="9001" t="e">
        <f>+IF(VLOOKUP(MATCH(B144,tid,0),tao,'12(id)'!$FR$20,FALSE)="","",VLOOKUP(MATCH(B144,tid,0),tao,'12(id)'!$FR$20,FALSE))</f>
        <v>#N/A</v>
      </c>
      <c r="Q144" s="9001"/>
      <c r="R144" s="8906"/>
      <c r="S144" s="8818"/>
      <c r="T144" s="7608" t="str">
        <f>+IF(E142="","",IF(VLOOKUP(MATCH(E142,c_id,0),ca,'13(an)'!$CC$34,FALSE)="",IF(VLOOKUP(MATCH(E142,c_id,0),ca,'13(an)'!$CD$34,FALSE)="",IF(VLOOKUP(MATCH(E142,c_id,0),ca,'13(an)'!$CE$34,FALSE)="","η ≈ N/A","η ≈ "&amp;ROUND(VLOOKUP(MATCH(E142,c_id,0),ca,'13(an)'!$CE$34,FALSE)*100,0)&amp;"%"),"η ≈ "&amp;ROUND(VLOOKUP(MATCH(E142,c_id,0),ca,'13(an)'!$CD$34,FALSE)*100,0)&amp;"%"),"η ≈ "&amp;ROUND(VLOOKUP(MATCH(E142,c_id,0),ca,'13(an)'!$CC$34,FALSE)*100,0)&amp;"%"))</f>
        <v>η ≈ 89%</v>
      </c>
      <c r="U144" s="7609" t="str">
        <f>+IF($U$154="ppmvd",IF(VLOOKUP(MATCH(E142,c_id,0),ca,'13(an)'!$BV$34,FALSE)="","",ROUND(VLOOKUP(MATCH(E142,c_id,0),ca,'13(an)'!$BV$34,FALSE),1)&amp;" ppmvd"),IF(VLOOKUP(MATCH(E142,c_id,0),ca,'13(an)'!$BU$34,FALSE)="","",IF(LEN(ROUND(VLOOKUP(MATCH(E142,c_id,0),ca,'13(an)'!$BU$34,FALSE),3))=3,ROUND(VLOOKUP(MATCH(E142,c_id,0),ca,'13(an)'!$BU$34,FALSE),3)&amp;"00 lb/MMBtu",IF(LEN(ROUND(VLOOKUP(MATCH(E142,c_id,0),ca,'13(an)'!$BU$34,FALSE),3))=4,ROUND(VLOOKUP(MATCH(E142,c_id,0),ca,'13(an)'!$BU$34,FALSE),3)&amp;"0 lb/MMBtu",ROUND(VLOOKUP(MATCH(E142,c_id,0),ca,'13(an)'!$BU$34,FALSE),3)&amp;" lb/MMBtu"))))</f>
        <v>0.059 lb/MMBtu</v>
      </c>
      <c r="V144" s="7610">
        <f>+IF(E142="","",IF(VLOOKUP(MATCH(E142,c_id,0),ca,'13(an)'!$CB$34,FALSE)="","NOx(R) = N/A",ROUND(VLOOKUP(MATCH(E142,c_id,0),ca,'13(an)'!$CB$34,FALSE),1)))</f>
        <v>2.4</v>
      </c>
      <c r="W144" s="7534"/>
      <c r="X144" s="8818"/>
      <c r="Y144" s="7608" t="str">
        <f>+IF(E142="","",IF(VLOOKUP(MATCH(E142,c_id,0),ca,'13(an)'!$CM$34,FALSE)="",IF(VLOOKUP(MATCH(E142,c_id,0),ca,'13(an)'!$CN$34,FALSE)="",IF(VLOOKUP(MATCH(E142,c_id,0),ca,'13(an)'!$CO$34,FALSE)="","η ≈ N/A","η ≈ "&amp;ROUND(VLOOKUP(MATCH(E142,c_id,0),ca,'13(an)'!$CO$34,FALSE)*100,0)&amp;"%"),"η ≈ "&amp;ROUND(VLOOKUP(MATCH(E142,c_id,0),ca,'13(an)'!$CN$34,FALSE)*100,0)&amp;"%"),"η ≈ "&amp;ROUND(VLOOKUP(MATCH(E142,c_id,0),ca,'13(an)'!$CM$34,FALSE)*100,0)&amp;"%"))</f>
        <v>η ≈ 89%</v>
      </c>
      <c r="Z144" s="7609" t="str">
        <f>+IF($Z$154="ppmvd",IF(VLOOKUP(MATCH(E142,c_id,0),ca,'13(an)'!$CJ$34,FALSE)="","",ROUND(VLOOKUP(MATCH(E142,c_id,0),ca,'13(an)'!$CJ$34,FALSE),1)&amp;" ppmvd"),IF(VLOOKUP(MATCH(E142,c_id,0),ca,'13(an)'!$CI$34,FALSE)="","",IF(LEN(ROUND(VLOOKUP(MATCH(E142,c_id,0),ca,'13(an)'!$CI$34,FALSE),3))=3,ROUND(VLOOKUP(MATCH(E142,c_id,0),ca,'13(an)'!$CI$34,FALSE),3)&amp;"00 lb/MMBtu",IF(LEN(ROUND(VLOOKUP(MATCH(E142,c_id,0),ca,'13(an)'!$CI$34,FALSE),3))=4,ROUND(VLOOKUP(MATCH(E142,c_id,0),ca,'13(an)'!$CI$34,FALSE),3)&amp;"0 lb/MMBtu",ROUND(VLOOKUP(MATCH(E142,c_id,0),ca,'13(an)'!$CI$34,FALSE),3)&amp;" lb/MMBtu"))))</f>
        <v>0.066 lb/MMBtu</v>
      </c>
      <c r="AA144" s="7610">
        <f>+IF(E142="","",IF(VLOOKUP(MATCH(E142,c_id,0),ca,'13(an)'!$CL$34,FALSE)="","NOx(R) = N/A",ROUND(VLOOKUP(MATCH(E142,c_id,0),ca,'13(an)'!$CL$34,FALSE),1)))</f>
        <v>1.3</v>
      </c>
      <c r="AB144" s="7535"/>
      <c r="AC144" s="8818"/>
      <c r="AD144" s="7608" t="str">
        <f>+IF(E142="","",IF(VLOOKUP(MATCH(E142,c_id,0),ca,'13(an)'!$CM$34,FALSE)="",IF(VLOOKUP(MATCH(E142,c_id,0),ca,'13(an)'!$CN$34,FALSE)="",IF(VLOOKUP(MATCH(E142,c_id,0),ca,'13(an)'!$CO$34,FALSE)="","η ≈ N/A","η ≈ "&amp;ROUND(VLOOKUP(MATCH(E142,c_id,0),ca,'13(an)'!$CO$34,FALSE)*100,0)&amp;"%"),"η ≈ "&amp;ROUND(VLOOKUP(MATCH(E142,c_id,0),ca,'13(an)'!$CN$34,FALSE)*100,0)&amp;"%"),"η ≈ "&amp;ROUND(VLOOKUP(MATCH(E142,c_id,0),ca,'13(an)'!$CM$34,FALSE)*100,0)&amp;"%"))</f>
        <v>η ≈ 89%</v>
      </c>
      <c r="AE144" s="7609" t="str">
        <f>+IF($AE$154="ppmvd",IF(VLOOKUP(MATCH(E142,c_id,0),ca,'13(an)'!$CJ$34,FALSE)="","",ROUND(VLOOKUP(MATCH(E142,c_id,0),ca,'13(an)'!$CJ$34,FALSE),1)&amp;" ppmvd"),IF(VLOOKUP(MATCH(E142,c_id,0),ca,'13(an)'!$CI$34,FALSE)="","",IF(LEN(ROUND(VLOOKUP(MATCH(E142,c_id,0),ca,'13(an)'!$CI$34,FALSE),3))=3,ROUND(VLOOKUP(MATCH(E142,c_id,0),ca,'13(an)'!$CI$34,FALSE),3)&amp;"00 lb/MMBtu",IF(LEN(ROUND(VLOOKUP(MATCH(E142,c_id,0),ca,'13(an)'!$CI$34,FALSE),3))=4,ROUND(VLOOKUP(MATCH(E142,c_id,0),ca,'13(an)'!$CI$34,FALSE),3)&amp;"0 lb/MMBtu",ROUND(VLOOKUP(MATCH(E142,c_id,0),ca,'13(an)'!$CI$34,FALSE),3)&amp;" lb/MMBtu"))))</f>
        <v>0.066 lb/MMBtu</v>
      </c>
      <c r="AF144" s="7610">
        <f>+IF(E142="","",IF(VLOOKUP(MATCH(E142,c_id,0),ca,'13(an)'!$CL$34,FALSE)="","NOx(R) = N/A",ROUND(VLOOKUP(MATCH(E142,c_id,0),ca,'13(an)'!$CL$34,FALSE),1)))</f>
        <v>1.3</v>
      </c>
      <c r="AG144" s="7536"/>
      <c r="AH144" s="5962"/>
      <c r="AI144" s="5959"/>
      <c r="AJ144" s="5959"/>
      <c r="AK144" s="5959"/>
      <c r="AL144" s="5959"/>
      <c r="AM144" s="5959"/>
    </row>
    <row r="145" spans="1:39" ht="15.95" customHeight="1">
      <c r="A145" s="5952"/>
      <c r="B145" s="9035"/>
      <c r="C145" s="9017" t="str">
        <f>+IF(B145="","",VLOOKUP(MATCH(B145,tid,0),tao,'12(id)'!$J$20,FALSE))</f>
        <v/>
      </c>
      <c r="D145" s="9020"/>
      <c r="E145" s="9024"/>
      <c r="F145" s="5962"/>
      <c r="G145" s="7527"/>
      <c r="H145" s="5962"/>
      <c r="I145" s="9070"/>
      <c r="J145" s="8971"/>
      <c r="K145" s="9064"/>
      <c r="L145" s="8971"/>
      <c r="M145" s="9058"/>
      <c r="N145" s="9067"/>
      <c r="O145" s="8985"/>
      <c r="P145" s="9001" t="e">
        <f>+IF(VLOOKUP(MATCH(B145,tid,0),tao,'12(id)'!$FR$20,FALSE)="","",VLOOKUP(MATCH(B145,tid,0),tao,'12(id)'!$FR$20,FALSE))</f>
        <v>#N/A</v>
      </c>
      <c r="Q145" s="9001"/>
      <c r="R145" s="8906"/>
      <c r="S145" s="8818"/>
      <c r="T145" s="7614">
        <f>+IF(VLOOKUP(MATCH(E142,c_id,0),ca,'13(an)'!$GF$34,FALSE)="","",VLOOKUP(MATCH(E142,c_id,0),ca,'13(an)'!$GF$34,FALSE))</f>
        <v>13622600</v>
      </c>
      <c r="U145" s="7538" t="str">
        <f>+IF(T145="","","$ TCC/unit")</f>
        <v>$ TCC/unit</v>
      </c>
      <c r="V145" s="7539">
        <f>+IF(VLOOKUP(MATCH(E142,c_id,0),ca,'13(an)'!$HA$34,FALSE)="","",VLOOKUP(MATCH(E142,c_id,0),ca,'13(an)'!$HA$34,FALSE))</f>
        <v>1285877</v>
      </c>
      <c r="W145" s="7540"/>
      <c r="X145" s="8818"/>
      <c r="Y145" s="7614">
        <f>+IF(VLOOKUP(MATCH(E142,c_id,0),ca,'13(an)'!$IA$34,FALSE)="","",VLOOKUP(MATCH(E142,c_id,0),ca,'13(an)'!$IA$34,FALSE))</f>
        <v>13622600</v>
      </c>
      <c r="Z145" s="7538" t="str">
        <f>+IF(Y145="","","$ TCC/unit")</f>
        <v>$ TCC/unit</v>
      </c>
      <c r="AA145" s="7539">
        <f>+IF(Y145="","",$AA$14*Y145)</f>
        <v>1285877.0702300749</v>
      </c>
      <c r="AB145" s="7541"/>
      <c r="AC145" s="8818"/>
      <c r="AD145" s="7614">
        <f>+IF(VLOOKUP(MATCH(E142,c_id,0),ca,'13(an)'!$JS$34,FALSE)="","",VLOOKUP(MATCH(E142,c_id,0),ca,'13(an)'!$JS$34,FALSE))</f>
        <v>14834600</v>
      </c>
      <c r="AE145" s="7538" t="str">
        <f>+IF(AD145="","","$ TCC/unit")</f>
        <v>$ TCC/unit</v>
      </c>
      <c r="AF145" s="7539">
        <f>+IF(AD145="","",$AF$14*AD145)</f>
        <v>1272964.6987616862</v>
      </c>
      <c r="AG145" s="7542"/>
      <c r="AH145" s="5962"/>
      <c r="AI145" s="5959"/>
      <c r="AJ145" s="5959"/>
      <c r="AK145" s="5959"/>
      <c r="AL145" s="5959"/>
      <c r="AM145" s="5959"/>
    </row>
    <row r="146" spans="1:39" ht="15.95" customHeight="1">
      <c r="A146" s="5952"/>
      <c r="B146" s="9035"/>
      <c r="C146" s="9017" t="str">
        <f>+IF(B146="","",VLOOKUP(MATCH(B146,tid,0),tao,'12(id)'!$J$20,FALSE))</f>
        <v/>
      </c>
      <c r="D146" s="9020"/>
      <c r="E146" s="9024"/>
      <c r="F146" s="5962"/>
      <c r="G146" s="7527"/>
      <c r="H146" s="5962"/>
      <c r="I146" s="9070"/>
      <c r="J146" s="8971"/>
      <c r="K146" s="9064"/>
      <c r="L146" s="8971"/>
      <c r="M146" s="9058"/>
      <c r="N146" s="9067"/>
      <c r="O146" s="8985"/>
      <c r="P146" s="9001" t="e">
        <f>+IF(VLOOKUP(MATCH(B146,tid,0),tao,'12(id)'!$FR$20,FALSE)="","",VLOOKUP(MATCH(B146,tid,0),tao,'12(id)'!$FR$20,FALSE))</f>
        <v>#N/A</v>
      </c>
      <c r="Q146" s="9001"/>
      <c r="R146" s="8906"/>
      <c r="S146" s="8818"/>
      <c r="T146" s="7470">
        <f>+IF(OR(T145="",N114=""),"",T145/N114)</f>
        <v>724606.38297872338</v>
      </c>
      <c r="U146" s="8820" t="str">
        <f>+IF(T146="","","$ TCC / MW nominal capacity")</f>
        <v>$ TCC / MW nominal capacity</v>
      </c>
      <c r="V146" s="8820"/>
      <c r="W146" s="7544"/>
      <c r="X146" s="8818"/>
      <c r="Y146" s="7470">
        <f>+IF(OR(Y145="",N114=""),"",Y145/N114)</f>
        <v>724606.38297872338</v>
      </c>
      <c r="Z146" s="8820" t="str">
        <f>+IF(Y146="","","$ TCC / MW nominal capacity")</f>
        <v>$ TCC / MW nominal capacity</v>
      </c>
      <c r="AA146" s="8820"/>
      <c r="AB146" s="7545"/>
      <c r="AC146" s="8818"/>
      <c r="AD146" s="7470">
        <f>+IF(OR(AD145="",N114=""),"",AD145/N114)</f>
        <v>789074.46808510635</v>
      </c>
      <c r="AE146" s="8820" t="str">
        <f>+IF(AD146="","","$ TCC / MW nominal capacity")</f>
        <v>$ TCC / MW nominal capacity</v>
      </c>
      <c r="AF146" s="8820"/>
      <c r="AG146" s="7546"/>
      <c r="AH146" s="5962"/>
      <c r="AI146" s="5959"/>
      <c r="AJ146" s="5959"/>
      <c r="AK146" s="5959"/>
      <c r="AL146" s="5959"/>
      <c r="AM146" s="5959"/>
    </row>
    <row r="147" spans="1:39" ht="15.95" customHeight="1">
      <c r="A147" s="5952"/>
      <c r="B147" s="9035"/>
      <c r="C147" s="9017" t="str">
        <f>+IF(B147="","",VLOOKUP(MATCH(B147,tid,0),tao,'12(id)'!$J$20,FALSE))</f>
        <v/>
      </c>
      <c r="D147" s="9020"/>
      <c r="E147" s="9025"/>
      <c r="F147" s="5962"/>
      <c r="G147" s="7527"/>
      <c r="H147" s="5962"/>
      <c r="I147" s="9070"/>
      <c r="J147" s="8971"/>
      <c r="K147" s="9064"/>
      <c r="L147" s="8971"/>
      <c r="M147" s="9058"/>
      <c r="N147" s="9067"/>
      <c r="O147" s="8985"/>
      <c r="P147" s="9001" t="e">
        <f>+IF(VLOOKUP(MATCH(B147,tid,0),tao,'12(id)'!$FR$20,FALSE)="","",VLOOKUP(MATCH(B147,tid,0),tao,'12(id)'!$FR$20,FALSE))</f>
        <v>#N/A</v>
      </c>
      <c r="Q147" s="9001"/>
      <c r="R147" s="8981"/>
      <c r="S147" s="8819"/>
      <c r="T147" s="7615">
        <f>+IF(VLOOKUP(MATCH(E142,c_id,0),ca,'13(an)'!$HF$34,FALSE)="","",VLOOKUP(MATCH(E142,c_id,0),ca,'13(an)'!$HF$34,FALSE))</f>
        <v>692571</v>
      </c>
      <c r="U147" s="8896" t="str">
        <f>IF(T147="","","$ /ton "&amp;"NOx(R)")</f>
        <v>$ /ton NOx(R)</v>
      </c>
      <c r="V147" s="8896"/>
      <c r="W147" s="7591"/>
      <c r="X147" s="8819"/>
      <c r="Y147" s="7615">
        <f>+IF(VLOOKUP(MATCH(E142,c_id,0),ca,'13(an)'!$JE$34,FALSE)="","",VLOOKUP(MATCH(E142,c_id,0),ca,'13(an)'!$JE$34,FALSE))</f>
        <v>1365464.1914560045</v>
      </c>
      <c r="Z147" s="8896" t="str">
        <f>IF(Y147="","","$ /ton "&amp;"NOx(R)")</f>
        <v>$ /ton NOx(R)</v>
      </c>
      <c r="AA147" s="8896"/>
      <c r="AB147" s="7592"/>
      <c r="AC147" s="8819"/>
      <c r="AD147" s="7615">
        <f>+IF(VLOOKUP(MATCH(E142,c_id,0),ca,'13(an)'!$LB$34,FALSE)="","",VLOOKUP(MATCH(E142,c_id,0),ca,'13(an)'!$LB$34,FALSE))</f>
        <v>1399738.9175976748</v>
      </c>
      <c r="AE147" s="8896" t="str">
        <f>IF(AD147="","","$ /ton "&amp;"NOx(R)")</f>
        <v>$ /ton NOx(R)</v>
      </c>
      <c r="AF147" s="8896"/>
      <c r="AG147" s="7593"/>
      <c r="AH147" s="5962"/>
      <c r="AI147" s="5959"/>
      <c r="AJ147" s="5959"/>
      <c r="AK147" s="5959"/>
      <c r="AL147" s="5959"/>
      <c r="AM147" s="5959"/>
    </row>
    <row r="148" spans="1:39" ht="15.95" customHeight="1">
      <c r="A148" s="5952"/>
      <c r="B148" s="9035"/>
      <c r="C148" s="9017" t="str">
        <f>+IF(B148="","",VLOOKUP(MATCH(B148,tid,0),tao,'12(id)'!$J$20,FALSE))</f>
        <v/>
      </c>
      <c r="D148" s="9020"/>
      <c r="E148" s="9024" t="str">
        <f>+IF(B114="","",B114&amp;IF(ISERR(VALUE(1+R142)),"-01",IF(1+R142&lt;10,"-0"&amp;1+R142,"-"&amp;1+R142)))</f>
        <v>8304-01-07</v>
      </c>
      <c r="F148" s="5962"/>
      <c r="G148" s="7527"/>
      <c r="H148" s="5962"/>
      <c r="I148" s="9070"/>
      <c r="J148" s="8971" t="e">
        <f>+IF(VLOOKUP(MATCH(B148,tid,0),tao,'12(id)'!$I$20,FALSE)="","",VLOOKUP(MATCH(B148,tid,0),tao,'12(id)'!$I$20,FALSE))</f>
        <v>#N/A</v>
      </c>
      <c r="K148" s="9064" t="e">
        <f>+IF(VLOOKUP(MATCH(B148,tid,0),tao,'12(id)'!$K$20,FALSE)="","",VLOOKUP(MATCH(B148,tid,0),tao,'12(id)'!$K$20,FALSE))</f>
        <v>#N/A</v>
      </c>
      <c r="L148" s="8971" t="e">
        <f>+IF(VLOOKUP(MATCH(B148,tid,0),tao,'12(id)'!$L$20,FALSE)="","",VLOOKUP(MATCH(B148,tid,0),tao,'12(id)'!$L$20,FALSE))</f>
        <v>#N/A</v>
      </c>
      <c r="M148" s="9058" t="e">
        <f>+IF(VLOOKUP(MATCH(B148,tid,0),tao,'12(id)'!$Q$20,FALSE)="","",VLOOKUP(MATCH(B148,tid,0),tao,'12(id)'!$Q$20,FALSE))</f>
        <v>#N/A</v>
      </c>
      <c r="N148" s="9067" t="e">
        <f>+IF(VLOOKUP(MATCH(B148,tid,0),tao,'12(id)'!$CT$20,FALSE)="","",VLOOKUP(MATCH(B148,tid,0),tao,'12(id)'!$CT$20,FALSE))</f>
        <v>#N/A</v>
      </c>
      <c r="O148" s="8985" t="e">
        <f>+IF(VLOOKUP(MATCH(B148,tid,0),tao,'12(id)'!$DE$20,FALSE)="","",ROUND(VLOOKUP(MATCH(B148,tid,0),tao,'12(id)'!$DE$20,FALSE),0)&amp;" yrs")</f>
        <v>#N/A</v>
      </c>
      <c r="P148" s="9001" t="e">
        <f>+IF(VLOOKUP(MATCH(B148,tid,0),tao,'12(id)'!$FR$20,FALSE)="","",VLOOKUP(MATCH(B148,tid,0),tao,'12(id)'!$FR$20,FALSE))</f>
        <v>#N/A</v>
      </c>
      <c r="Q148" s="9001" t="e">
        <f>+IF(VLOOKUP(MATCH(B148,tid,0),tao,'12(id)'!$DI$20,FALSE)="","",VLOOKUP(MATCH(B148,tid,0),tao,'12(id)'!$DI$20,FALSE))&amp;";  "&amp;IF(VLOOKUP(MATCH(B148,tid,0),tao,'12(id)'!$DQ$20,FALSE)="","",VLOOKUP(MATCH(B148,tid,0),tao,'12(id)'!$DQ$20,FALSE))</f>
        <v>#N/A</v>
      </c>
      <c r="R148" s="8906">
        <f>+IF(B114="","",1+R142)</f>
        <v>7</v>
      </c>
      <c r="S148" s="8818"/>
      <c r="T148" s="8874" t="str">
        <f>+IF(VLOOKUP(MATCH(E148,c_id,0),ca,'13(an)'!$BD$34,FALSE)="","",VLOOKUP(MATCH(E148,c_id,0),ca,'13(an)'!$BD$34,FALSE))</f>
        <v>Solar Titan 130 - new oil fired turbine</v>
      </c>
      <c r="U148" s="8874"/>
      <c r="V148" s="8874"/>
      <c r="W148" s="7616"/>
      <c r="X148" s="8818"/>
      <c r="Y148" s="8874" t="str">
        <f>+IF(T148="","",T148)</f>
        <v>Solar Titan 130 - new oil fired turbine</v>
      </c>
      <c r="Z148" s="8874"/>
      <c r="AA148" s="8874"/>
      <c r="AB148" s="7617"/>
      <c r="AC148" s="8818"/>
      <c r="AD148" s="8874" t="str">
        <f>+IF(Y148="","",Y148)</f>
        <v>Solar Titan 130 - new oil fired turbine</v>
      </c>
      <c r="AE148" s="8874"/>
      <c r="AF148" s="8874"/>
      <c r="AG148" s="7555"/>
      <c r="AH148" s="5962"/>
      <c r="AI148" s="5959"/>
      <c r="AJ148" s="5959"/>
      <c r="AK148" s="5959"/>
      <c r="AL148" s="5959"/>
      <c r="AM148" s="5959"/>
    </row>
    <row r="149" spans="1:39" ht="11.45" customHeight="1">
      <c r="A149" s="5952"/>
      <c r="B149" s="9035"/>
      <c r="C149" s="9017" t="str">
        <f>+IF(B149="","",VLOOKUP(MATCH(B149,tid,0),tao,'12(id)'!$J$20,FALSE))</f>
        <v/>
      </c>
      <c r="D149" s="9020"/>
      <c r="E149" s="9024"/>
      <c r="F149" s="5962"/>
      <c r="G149" s="7527"/>
      <c r="H149" s="5962"/>
      <c r="I149" s="9070"/>
      <c r="J149" s="8971" t="e">
        <f>+IF(VLOOKUP(MATCH(B149,tid,0),tao,'12(id)'!$I$20,FALSE)="","",VLOOKUP(MATCH(B149,tid,0),tao,'12(id)'!$I$20,FALSE))</f>
        <v>#N/A</v>
      </c>
      <c r="K149" s="9064" t="e">
        <f>+IF(VLOOKUP(MATCH(B149,tid,0),tao,'12(id)'!$K$20,FALSE)="","",VLOOKUP(MATCH(B149,tid,0),tao,'12(id)'!$K$20,FALSE))</f>
        <v>#N/A</v>
      </c>
      <c r="L149" s="8971" t="e">
        <f>+IF(VLOOKUP(MATCH(B149,tid,0),tao,'12(id)'!$L$20,FALSE)="","",VLOOKUP(MATCH(B149,tid,0),tao,'12(id)'!$L$20,FALSE))</f>
        <v>#N/A</v>
      </c>
      <c r="M149" s="9058" t="e">
        <f>+IF(VLOOKUP(MATCH(B149,tid,0),tao,'12(id)'!$Q$20,FALSE)="","",VLOOKUP(MATCH(B149,tid,0),tao,'12(id)'!$Q$20,FALSE))</f>
        <v>#N/A</v>
      </c>
      <c r="N149" s="9067" t="e">
        <f>+IF(VLOOKUP(MATCH(B149,tid,0),tao,'12(id)'!$CT$20,FALSE)="","",VLOOKUP(MATCH(B149,tid,0),tao,'12(id)'!$CT$20,FALSE))</f>
        <v>#N/A</v>
      </c>
      <c r="O149" s="8985" t="e">
        <f>+IF(VLOOKUP(MATCH(B149,tid,0),tao,'12(id)'!$DE$20,FALSE)="","",ROUND(VLOOKUP(MATCH(B149,tid,0),tao,'12(id)'!$DE$20,FALSE),0)&amp;" yrs")</f>
        <v>#N/A</v>
      </c>
      <c r="P149" s="9001" t="e">
        <f>+IF(VLOOKUP(MATCH(B149,tid,0),tao,'12(id)'!$FR$20,FALSE)="","",VLOOKUP(MATCH(B149,tid,0),tao,'12(id)'!$FR$20,FALSE))</f>
        <v>#N/A</v>
      </c>
      <c r="Q149" s="9001" t="e">
        <f>+IF(VLOOKUP(MATCH(B149,tid,0),tao,'12(id)'!$DI$20,FALSE)="","",VLOOKUP(MATCH(B149,tid,0),tao,'12(id)'!$DI$20,FALSE))&amp;";  "&amp;IF(VLOOKUP(MATCH(B149,tid,0),tao,'12(id)'!$DQ$20,FALSE)="","",VLOOKUP(MATCH(B149,tid,0),tao,'12(id)'!$DQ$20,FALSE))</f>
        <v>#N/A</v>
      </c>
      <c r="R149" s="8906"/>
      <c r="S149" s="8818"/>
      <c r="T149" s="8820" t="str">
        <f>+IF(VLOOKUP(MATCH(E148,c_id,0),ca,'13(an)'!$BG$34,FALSE)="","","("&amp;VLOOKUP(MATCH(E148,c_id,0),ca,'13(an)'!$BG$34,FALSE)&amp;")")</f>
        <v>(Primary fuel No. 2 oil)</v>
      </c>
      <c r="U149" s="9206"/>
      <c r="V149" s="9206"/>
      <c r="W149" s="7582"/>
      <c r="X149" s="8818"/>
      <c r="Y149" s="8976" t="str">
        <f>+IF(T149="","",T149)</f>
        <v>(Primary fuel No. 2 oil)</v>
      </c>
      <c r="Z149" s="8977"/>
      <c r="AA149" s="8977"/>
      <c r="AB149" s="5962"/>
      <c r="AC149" s="8818"/>
      <c r="AD149" s="8976" t="str">
        <f>+IF(Y149="","",Y149)</f>
        <v>(Primary fuel No. 2 oil)</v>
      </c>
      <c r="AE149" s="8977"/>
      <c r="AF149" s="8977"/>
      <c r="AG149" s="7583"/>
      <c r="AH149" s="5962"/>
      <c r="AI149" s="5959"/>
      <c r="AJ149" s="5959"/>
      <c r="AK149" s="5959"/>
      <c r="AL149" s="5959"/>
      <c r="AM149" s="5959"/>
    </row>
    <row r="150" spans="1:39" ht="15.95" customHeight="1">
      <c r="A150" s="5952"/>
      <c r="B150" s="9035"/>
      <c r="C150" s="9017" t="str">
        <f>+IF(B150="","",VLOOKUP(MATCH(B150,tid,0),tao,'12(id)'!$J$20,FALSE))</f>
        <v/>
      </c>
      <c r="D150" s="9020"/>
      <c r="E150" s="9024"/>
      <c r="F150" s="5962"/>
      <c r="G150" s="7527"/>
      <c r="H150" s="5962"/>
      <c r="I150" s="9070"/>
      <c r="J150" s="8971" t="e">
        <f>+IF(VLOOKUP(MATCH(B150,tid,0),tao,'12(id)'!$I$20,FALSE)="","",VLOOKUP(MATCH(B150,tid,0),tao,'12(id)'!$I$20,FALSE))</f>
        <v>#N/A</v>
      </c>
      <c r="K150" s="9064" t="e">
        <f>+IF(VLOOKUP(MATCH(B150,tid,0),tao,'12(id)'!$K$20,FALSE)="","",VLOOKUP(MATCH(B150,tid,0),tao,'12(id)'!$K$20,FALSE))</f>
        <v>#N/A</v>
      </c>
      <c r="L150" s="8971" t="e">
        <f>+IF(VLOOKUP(MATCH(B150,tid,0),tao,'12(id)'!$L$20,FALSE)="","",VLOOKUP(MATCH(B150,tid,0),tao,'12(id)'!$L$20,FALSE))</f>
        <v>#N/A</v>
      </c>
      <c r="M150" s="9058" t="e">
        <f>+IF(VLOOKUP(MATCH(B150,tid,0),tao,'12(id)'!$Q$20,FALSE)="","",VLOOKUP(MATCH(B150,tid,0),tao,'12(id)'!$Q$20,FALSE))</f>
        <v>#N/A</v>
      </c>
      <c r="N150" s="9067" t="e">
        <f>+IF(VLOOKUP(MATCH(B150,tid,0),tao,'12(id)'!$CT$20,FALSE)="","",VLOOKUP(MATCH(B150,tid,0),tao,'12(id)'!$CT$20,FALSE))</f>
        <v>#N/A</v>
      </c>
      <c r="O150" s="8985" t="e">
        <f>+IF(VLOOKUP(MATCH(B150,tid,0),tao,'12(id)'!$DE$20,FALSE)="","",ROUND(VLOOKUP(MATCH(B150,tid,0),tao,'12(id)'!$DE$20,FALSE),0)&amp;" yrs")</f>
        <v>#N/A</v>
      </c>
      <c r="P150" s="9001" t="e">
        <f>+IF(VLOOKUP(MATCH(B150,tid,0),tao,'12(id)'!$FR$20,FALSE)="","",VLOOKUP(MATCH(B150,tid,0),tao,'12(id)'!$FR$20,FALSE))</f>
        <v>#N/A</v>
      </c>
      <c r="Q150" s="9001" t="e">
        <f>+IF(VLOOKUP(MATCH(B150,tid,0),tao,'12(id)'!$DI$20,FALSE)="","",VLOOKUP(MATCH(B150,tid,0),tao,'12(id)'!$DI$20,FALSE))&amp;";  "&amp;IF(VLOOKUP(MATCH(B150,tid,0),tao,'12(id)'!$DQ$20,FALSE)="","",VLOOKUP(MATCH(B150,tid,0),tao,'12(id)'!$DQ$20,FALSE))</f>
        <v>#N/A</v>
      </c>
      <c r="R150" s="8906"/>
      <c r="S150" s="8818"/>
      <c r="T150" s="7632" t="str">
        <f>+IF(E148="","",IF(VLOOKUP(MATCH(E148,c_id,0),ca,'13(an)'!$CC$34,FALSE)="",IF(VLOOKUP(MATCH(E148,c_id,0),ca,'13(an)'!$CD$34,FALSE)="",IF(VLOOKUP(MATCH(E148,c_id,0),ca,'13(an)'!$CE$34,FALSE)="","η ≈ N/A","η ≈ "&amp;ROUND(VLOOKUP(MATCH(E148,c_id,0),ca,'13(an)'!$CE$34,FALSE)*100,0)&amp;"%"),"η ≈ "&amp;ROUND(VLOOKUP(MATCH(E148,c_id,0),ca,'13(an)'!$CD$34,FALSE)*100,0)&amp;"%"),"η ≈ "&amp;ROUND(VLOOKUP(MATCH(E148,c_id,0),ca,'13(an)'!$CC$34,FALSE)*100,0)&amp;"%"))</f>
        <v>η ≈ 54%</v>
      </c>
      <c r="U150" s="7609" t="str">
        <f>+IF($U$154="ppmvd",IF(VLOOKUP(MATCH(E148,c_id,0),ca,'13(an)'!$BV$34,FALSE)="","",ROUND(VLOOKUP(MATCH(E148,c_id,0),ca,'13(an)'!$BV$34,FALSE),1)&amp;" ppmvd"),IF(VLOOKUP(MATCH(E148,c_id,0),ca,'13(an)'!$BU$34,FALSE)="","",IF(LEN(ROUND(VLOOKUP(MATCH(E148,c_id,0),ca,'13(an)'!$BU$34,FALSE),3))=3,ROUND(VLOOKUP(MATCH(E148,c_id,0),ca,'13(an)'!$BU$34,FALSE),3)&amp;"00 lb/MMBtu",IF(LEN(ROUND(VLOOKUP(MATCH(E148,c_id,0),ca,'13(an)'!$BU$34,FALSE),3))=4,ROUND(VLOOKUP(MATCH(E148,c_id,0),ca,'13(an)'!$BU$34,FALSE),3)&amp;"0 lb/MMBtu",ROUND(VLOOKUP(MATCH(E148,c_id,0),ca,'13(an)'!$BU$34,FALSE),3)&amp;" lb/MMBtu"))))</f>
        <v>0.254 lb/MMBtu</v>
      </c>
      <c r="V150" s="7610">
        <f>+IF(E148="","",IF(VLOOKUP(MATCH(E148,c_id,0),ca,'13(an)'!$CB$34,FALSE)="","NOx(R) = N/A",ROUND(VLOOKUP(MATCH(E148,c_id,0),ca,'13(an)'!$CB$34,FALSE),1)))</f>
        <v>1.5</v>
      </c>
      <c r="W150" s="7534"/>
      <c r="X150" s="8818"/>
      <c r="Y150" s="7632" t="str">
        <f>+IF(E148="","",IF(VLOOKUP(MATCH(E148,c_id,0),ca,'13(an)'!$CM$34,FALSE)="",IF(VLOOKUP(MATCH(E148,c_id,0),ca,'13(an)'!$CN$34,FALSE)="",IF(VLOOKUP(MATCH(E148,c_id,0),ca,'13(an)'!$CO$34,FALSE)="","η ≈ N/A","η ≈ "&amp;ROUND(VLOOKUP(MATCH(E148,c_id,0),ca,'13(an)'!$CO$34,FALSE)*100,0)&amp;"%"),"η ≈ "&amp;ROUND(VLOOKUP(MATCH(E148,c_id,0),ca,'13(an)'!$CN$34,FALSE)*100,0)&amp;"%"),"η ≈ "&amp;ROUND(VLOOKUP(MATCH(E148,c_id,0),ca,'13(an)'!$CM$34,FALSE)*100,0)&amp;"%"))</f>
        <v>η ≈ 54%</v>
      </c>
      <c r="Z150" s="7609" t="str">
        <f>+IF($Z$154="ppmvd",IF(VLOOKUP(MATCH(E148,c_id,0),ca,'13(an)'!$CJ$34,FALSE)="","",ROUND(VLOOKUP(MATCH(E148,c_id,0),ca,'13(an)'!$CJ$34,FALSE),1)&amp;" ppmvd"),IF(VLOOKUP(MATCH(E148,c_id,0),ca,'13(an)'!$CI$34,FALSE)="","",IF(LEN(ROUND(VLOOKUP(MATCH(E148,c_id,0),ca,'13(an)'!$CI$34,FALSE),3))=3,ROUND(VLOOKUP(MATCH(E148,c_id,0),ca,'13(an)'!$CI$34,FALSE),3)&amp;"00 lb/MMBtu",IF(LEN(ROUND(VLOOKUP(MATCH(E148,c_id,0),ca,'13(an)'!$CI$34,FALSE),3))=4,ROUND(VLOOKUP(MATCH(E148,c_id,0),ca,'13(an)'!$CI$34,FALSE),3)&amp;"0 lb/MMBtu",ROUND(VLOOKUP(MATCH(E148,c_id,0),ca,'13(an)'!$CI$34,FALSE),3)&amp;" lb/MMBtu"))))</f>
        <v>0.287 lb/MMBtu</v>
      </c>
      <c r="AA150" s="7610">
        <f>+IF(E148="","",IF(VLOOKUP(MATCH(E148,c_id,0),ca,'13(an)'!$CL$34,FALSE)="","NOx(R) = N/A",ROUND(VLOOKUP(MATCH(E148,c_id,0),ca,'13(an)'!$CL$34,FALSE),1)))</f>
        <v>0.8</v>
      </c>
      <c r="AB150" s="7535"/>
      <c r="AC150" s="8818"/>
      <c r="AD150" s="7632" t="str">
        <f>+IF(E148="","",IF(VLOOKUP(MATCH(E148,c_id,0),ca,'13(an)'!$CM$34,FALSE)="",IF(VLOOKUP(MATCH(E148,c_id,0),ca,'13(an)'!$CN$34,FALSE)="",IF(VLOOKUP(MATCH(E148,c_id,0),ca,'13(an)'!$CO$34,FALSE)="","η ≈ N/A","η ≈ "&amp;ROUND(VLOOKUP(MATCH(E148,c_id,0),ca,'13(an)'!$CO$34,FALSE)*100,0)&amp;"%"),"η ≈ "&amp;ROUND(VLOOKUP(MATCH(E148,c_id,0),ca,'13(an)'!$CN$34,FALSE)*100,0)&amp;"%"),"η ≈ "&amp;ROUND(VLOOKUP(MATCH(E148,c_id,0),ca,'13(an)'!$CM$34,FALSE)*100,0)&amp;"%"))</f>
        <v>η ≈ 54%</v>
      </c>
      <c r="AE150" s="7609" t="str">
        <f>+IF($AE$154="ppmvd",IF(VLOOKUP(MATCH(E148,c_id,0),ca,'13(an)'!$CJ$34,FALSE)="","",ROUND(VLOOKUP(MATCH(E148,c_id,0),ca,'13(an)'!$CJ$34,FALSE),1)&amp;" ppmvd"),IF(VLOOKUP(MATCH(E148,c_id,0),ca,'13(an)'!$CI$34,FALSE)="","",IF(LEN(ROUND(VLOOKUP(MATCH(E148,c_id,0),ca,'13(an)'!$CI$34,FALSE),3))=3,ROUND(VLOOKUP(MATCH(E148,c_id,0),ca,'13(an)'!$CI$34,FALSE),3)&amp;"00 lb/MMBtu",IF(LEN(ROUND(VLOOKUP(MATCH(E148,c_id,0),ca,'13(an)'!$CI$34,FALSE),3))=4,ROUND(VLOOKUP(MATCH(E148,c_id,0),ca,'13(an)'!$CI$34,FALSE),3)&amp;"0 lb/MMBtu",ROUND(VLOOKUP(MATCH(E148,c_id,0),ca,'13(an)'!$CI$34,FALSE),3)&amp;" lb/MMBtu"))))</f>
        <v>0.287 lb/MMBtu</v>
      </c>
      <c r="AF150" s="7610">
        <f>+IF(E148="","",IF(VLOOKUP(MATCH(E148,c_id,0),ca,'13(an)'!$CL$34,FALSE)="","NOx(R) = N/A",ROUND(VLOOKUP(MATCH(E148,c_id,0),ca,'13(an)'!$CL$34,FALSE),1)))</f>
        <v>0.8</v>
      </c>
      <c r="AG150" s="7536"/>
      <c r="AH150" s="5962"/>
      <c r="AI150" s="5959"/>
      <c r="AJ150" s="5959"/>
      <c r="AK150" s="5959"/>
      <c r="AL150" s="5959"/>
      <c r="AM150" s="5959"/>
    </row>
    <row r="151" spans="1:39" ht="15.95" customHeight="1">
      <c r="A151" s="5952"/>
      <c r="B151" s="9035"/>
      <c r="C151" s="9017" t="str">
        <f>+IF(B151="","",VLOOKUP(MATCH(B151,tid,0),tao,'12(id)'!$J$20,FALSE))</f>
        <v/>
      </c>
      <c r="D151" s="9020"/>
      <c r="E151" s="9024"/>
      <c r="F151" s="5962"/>
      <c r="G151" s="7527"/>
      <c r="H151" s="5962"/>
      <c r="I151" s="9070"/>
      <c r="J151" s="8971" t="e">
        <f>+IF(VLOOKUP(MATCH(B151,tid,0),tao,'12(id)'!$I$20,FALSE)="","",VLOOKUP(MATCH(B151,tid,0),tao,'12(id)'!$I$20,FALSE))</f>
        <v>#N/A</v>
      </c>
      <c r="K151" s="9064" t="e">
        <f>+IF(VLOOKUP(MATCH(B151,tid,0),tao,'12(id)'!$K$20,FALSE)="","",VLOOKUP(MATCH(B151,tid,0),tao,'12(id)'!$K$20,FALSE))</f>
        <v>#N/A</v>
      </c>
      <c r="L151" s="8971" t="e">
        <f>+IF(VLOOKUP(MATCH(B151,tid,0),tao,'12(id)'!$L$20,FALSE)="","",VLOOKUP(MATCH(B151,tid,0),tao,'12(id)'!$L$20,FALSE))</f>
        <v>#N/A</v>
      </c>
      <c r="M151" s="9058" t="e">
        <f>+IF(VLOOKUP(MATCH(B151,tid,0),tao,'12(id)'!$Q$20,FALSE)="","",VLOOKUP(MATCH(B151,tid,0),tao,'12(id)'!$Q$20,FALSE))</f>
        <v>#N/A</v>
      </c>
      <c r="N151" s="9067" t="e">
        <f>+IF(VLOOKUP(MATCH(B151,tid,0),tao,'12(id)'!$CT$20,FALSE)="","",VLOOKUP(MATCH(B151,tid,0),tao,'12(id)'!$CT$20,FALSE))</f>
        <v>#N/A</v>
      </c>
      <c r="O151" s="8985" t="e">
        <f>+IF(VLOOKUP(MATCH(B151,tid,0),tao,'12(id)'!$DE$20,FALSE)="","",ROUND(VLOOKUP(MATCH(B151,tid,0),tao,'12(id)'!$DE$20,FALSE),0)&amp;" yrs")</f>
        <v>#N/A</v>
      </c>
      <c r="P151" s="9001" t="e">
        <f>+IF(VLOOKUP(MATCH(B151,tid,0),tao,'12(id)'!$FR$20,FALSE)="","",VLOOKUP(MATCH(B151,tid,0),tao,'12(id)'!$FR$20,FALSE))</f>
        <v>#N/A</v>
      </c>
      <c r="Q151" s="9001" t="e">
        <f>+IF(VLOOKUP(MATCH(B151,tid,0),tao,'12(id)'!$DI$20,FALSE)="","",VLOOKUP(MATCH(B151,tid,0),tao,'12(id)'!$DI$20,FALSE))&amp;";  "&amp;IF(VLOOKUP(MATCH(B151,tid,0),tao,'12(id)'!$DQ$20,FALSE)="","",VLOOKUP(MATCH(B151,tid,0),tao,'12(id)'!$DQ$20,FALSE))</f>
        <v>#N/A</v>
      </c>
      <c r="R151" s="8906"/>
      <c r="S151" s="8818"/>
      <c r="T151" s="7537">
        <f>+IF(VLOOKUP(MATCH(E148,c_id,0),ca,'13(an)'!$GF$34,FALSE)="","",VLOOKUP(MATCH(E148,c_id,0),ca,'13(an)'!$GF$34,FALSE))</f>
        <v>9997874.9619999994</v>
      </c>
      <c r="U151" s="7538" t="str">
        <f>+IF(T151="","","$ TCC/unit")</f>
        <v>$ TCC/unit</v>
      </c>
      <c r="V151" s="7539">
        <f>+IF(VLOOKUP(MATCH(E148,c_id,0),ca,'13(an)'!$HA$34,FALSE)="","",VLOOKUP(MATCH(E148,c_id,0),ca,'13(an)'!$HA$34,FALSE))</f>
        <v>943729</v>
      </c>
      <c r="W151" s="7540"/>
      <c r="X151" s="8818"/>
      <c r="Y151" s="7537">
        <f>+IF(VLOOKUP(MATCH(E148,c_id,0),ca,'13(an)'!$IA$34,FALSE)="","",VLOOKUP(MATCH(E148,c_id,0),ca,'13(an)'!$IA$34,FALSE))</f>
        <v>9997874.9619999994</v>
      </c>
      <c r="Z151" s="7538" t="str">
        <f>+IF(Y151="","","$ TCC/unit")</f>
        <v>$ TCC/unit</v>
      </c>
      <c r="AA151" s="7539">
        <f>+IF(Y151="","",$AA$14*Y151)</f>
        <v>943728.6688784213</v>
      </c>
      <c r="AB151" s="7541"/>
      <c r="AC151" s="8818"/>
      <c r="AD151" s="7537">
        <f>+IF(VLOOKUP(MATCH(E148,c_id,0),ca,'13(an)'!$JS$34,FALSE)="","",VLOOKUP(MATCH(E148,c_id,0),ca,'13(an)'!$JS$34,FALSE))</f>
        <v>11209874.961999999</v>
      </c>
      <c r="AE151" s="7538" t="str">
        <f>+IF(AD151="","","$ TCC/unit")</f>
        <v>$ TCC/unit</v>
      </c>
      <c r="AF151" s="7539">
        <f>+IF(AD151="","",$AF$14*AD151)</f>
        <v>961925.16846820922</v>
      </c>
      <c r="AG151" s="7542"/>
      <c r="AH151" s="5962"/>
      <c r="AI151" s="5959"/>
      <c r="AJ151" s="5959"/>
      <c r="AK151" s="5959"/>
      <c r="AL151" s="5959"/>
      <c r="AM151" s="5959"/>
    </row>
    <row r="152" spans="1:39" ht="15.95" customHeight="1">
      <c r="A152" s="5952"/>
      <c r="B152" s="9035"/>
      <c r="C152" s="9017" t="str">
        <f>+IF(B152="","",VLOOKUP(MATCH(B152,tid,0),tao,'12(id)'!$J$20,FALSE))</f>
        <v/>
      </c>
      <c r="D152" s="9020"/>
      <c r="E152" s="9024"/>
      <c r="F152" s="5962"/>
      <c r="G152" s="7527"/>
      <c r="H152" s="5962"/>
      <c r="I152" s="9070"/>
      <c r="J152" s="8971" t="e">
        <f>+IF(VLOOKUP(MATCH(B152,tid,0),tao,'12(id)'!$I$20,FALSE)="","",VLOOKUP(MATCH(B152,tid,0),tao,'12(id)'!$I$20,FALSE))</f>
        <v>#N/A</v>
      </c>
      <c r="K152" s="9064" t="e">
        <f>+IF(VLOOKUP(MATCH(B152,tid,0),tao,'12(id)'!$K$20,FALSE)="","",VLOOKUP(MATCH(B152,tid,0),tao,'12(id)'!$K$20,FALSE))</f>
        <v>#N/A</v>
      </c>
      <c r="L152" s="8971" t="e">
        <f>+IF(VLOOKUP(MATCH(B152,tid,0),tao,'12(id)'!$L$20,FALSE)="","",VLOOKUP(MATCH(B152,tid,0),tao,'12(id)'!$L$20,FALSE))</f>
        <v>#N/A</v>
      </c>
      <c r="M152" s="9058" t="e">
        <f>+IF(VLOOKUP(MATCH(B152,tid,0),tao,'12(id)'!$Q$20,FALSE)="","",VLOOKUP(MATCH(B152,tid,0),tao,'12(id)'!$Q$20,FALSE))</f>
        <v>#N/A</v>
      </c>
      <c r="N152" s="9067" t="e">
        <f>+IF(VLOOKUP(MATCH(B152,tid,0),tao,'12(id)'!$CT$20,FALSE)="","",VLOOKUP(MATCH(B152,tid,0),tao,'12(id)'!$CT$20,FALSE))</f>
        <v>#N/A</v>
      </c>
      <c r="O152" s="8985" t="e">
        <f>+IF(VLOOKUP(MATCH(B152,tid,0),tao,'12(id)'!$DE$20,FALSE)="","",ROUND(VLOOKUP(MATCH(B152,tid,0),tao,'12(id)'!$DE$20,FALSE),0)&amp;" yrs")</f>
        <v>#N/A</v>
      </c>
      <c r="P152" s="9001" t="e">
        <f>+IF(VLOOKUP(MATCH(B152,tid,0),tao,'12(id)'!$FR$20,FALSE)="","",VLOOKUP(MATCH(B152,tid,0),tao,'12(id)'!$FR$20,FALSE))</f>
        <v>#N/A</v>
      </c>
      <c r="Q152" s="9001" t="e">
        <f>+IF(VLOOKUP(MATCH(B152,tid,0),tao,'12(id)'!$DI$20,FALSE)="","",VLOOKUP(MATCH(B152,tid,0),tao,'12(id)'!$DI$20,FALSE))&amp;";  "&amp;IF(VLOOKUP(MATCH(B152,tid,0),tao,'12(id)'!$DQ$20,FALSE)="","",VLOOKUP(MATCH(B152,tid,0),tao,'12(id)'!$DQ$20,FALSE))</f>
        <v>#N/A</v>
      </c>
      <c r="R152" s="8906"/>
      <c r="S152" s="8818"/>
      <c r="T152" s="7543">
        <f>+IF(OR(T151="",N114=""),"",T151/N114)</f>
        <v>531801.85968085099</v>
      </c>
      <c r="U152" s="8820" t="str">
        <f>+IF(T152="","","$ TCC / MW nominal capacity")</f>
        <v>$ TCC / MW nominal capacity</v>
      </c>
      <c r="V152" s="8820"/>
      <c r="W152" s="7544"/>
      <c r="X152" s="8818"/>
      <c r="Y152" s="7543">
        <f>+IF(OR(Y151="",N114=""),"",Y151/N114)</f>
        <v>531801.85968085099</v>
      </c>
      <c r="Z152" s="8820" t="str">
        <f>+IF(Y152="","","$ TCC / MW nominal capacity")</f>
        <v>$ TCC / MW nominal capacity</v>
      </c>
      <c r="AA152" s="8820"/>
      <c r="AB152" s="7545"/>
      <c r="AC152" s="8818"/>
      <c r="AD152" s="7543">
        <f>+IF(OR(AD151="",N114=""),"",AD151/N114)</f>
        <v>596269.94478723395</v>
      </c>
      <c r="AE152" s="8820" t="str">
        <f>+IF(AD152="","","$ TCC / MW nominal capacity")</f>
        <v>$ TCC / MW nominal capacity</v>
      </c>
      <c r="AF152" s="8820"/>
      <c r="AG152" s="7546"/>
      <c r="AH152" s="5962"/>
      <c r="AI152" s="5959"/>
      <c r="AJ152" s="5959"/>
      <c r="AK152" s="5959"/>
      <c r="AL152" s="5959"/>
      <c r="AM152" s="5959"/>
    </row>
    <row r="153" spans="1:39" ht="15.95" customHeight="1" thickBot="1">
      <c r="A153" s="5952"/>
      <c r="B153" s="9036"/>
      <c r="C153" s="9018" t="str">
        <f>+IF(B153="","",VLOOKUP(MATCH(B153,tid,0),tao,'12(id)'!$J$20,FALSE))</f>
        <v/>
      </c>
      <c r="D153" s="9021"/>
      <c r="E153" s="9049"/>
      <c r="F153" s="5962"/>
      <c r="G153" s="7527"/>
      <c r="H153" s="5962"/>
      <c r="I153" s="9073"/>
      <c r="J153" s="9061" t="e">
        <f>+IF(VLOOKUP(MATCH(B153,tid,0),tao,'12(id)'!$I$20,FALSE)="","",VLOOKUP(MATCH(B153,tid,0),tao,'12(id)'!$I$20,FALSE))</f>
        <v>#N/A</v>
      </c>
      <c r="K153" s="9065" t="e">
        <f>+IF(VLOOKUP(MATCH(B153,tid,0),tao,'12(id)'!$K$20,FALSE)="","",VLOOKUP(MATCH(B153,tid,0),tao,'12(id)'!$K$20,FALSE))</f>
        <v>#N/A</v>
      </c>
      <c r="L153" s="9061" t="e">
        <f>+IF(VLOOKUP(MATCH(B153,tid,0),tao,'12(id)'!$L$20,FALSE)="","",VLOOKUP(MATCH(B153,tid,0),tao,'12(id)'!$L$20,FALSE))</f>
        <v>#N/A</v>
      </c>
      <c r="M153" s="9059" t="e">
        <f>+IF(VLOOKUP(MATCH(B153,tid,0),tao,'12(id)'!$Q$20,FALSE)="","",VLOOKUP(MATCH(B153,tid,0),tao,'12(id)'!$Q$20,FALSE))</f>
        <v>#N/A</v>
      </c>
      <c r="N153" s="9068" t="e">
        <f>+IF(VLOOKUP(MATCH(B153,tid,0),tao,'12(id)'!$CT$20,FALSE)="","",VLOOKUP(MATCH(B153,tid,0),tao,'12(id)'!$CT$20,FALSE))</f>
        <v>#N/A</v>
      </c>
      <c r="O153" s="8986" t="e">
        <f>+IF(VLOOKUP(MATCH(B153,tid,0),tao,'12(id)'!$DE$20,FALSE)="","",ROUND(VLOOKUP(MATCH(B153,tid,0),tao,'12(id)'!$DE$20,FALSE),0)&amp;" yrs")</f>
        <v>#N/A</v>
      </c>
      <c r="P153" s="9002" t="e">
        <f>+IF(VLOOKUP(MATCH(B153,tid,0),tao,'12(id)'!$FR$20,FALSE)="","",VLOOKUP(MATCH(B153,tid,0),tao,'12(id)'!$FR$20,FALSE))</f>
        <v>#N/A</v>
      </c>
      <c r="Q153" s="9002" t="e">
        <f>+IF(VLOOKUP(MATCH(B153,tid,0),tao,'12(id)'!$DI$20,FALSE)="","",VLOOKUP(MATCH(B153,tid,0),tao,'12(id)'!$DI$20,FALSE))&amp;";  "&amp;IF(VLOOKUP(MATCH(B153,tid,0),tao,'12(id)'!$DQ$20,FALSE)="","",VLOOKUP(MATCH(B153,tid,0),tao,'12(id)'!$DQ$20,FALSE))</f>
        <v>#N/A</v>
      </c>
      <c r="R153" s="8907"/>
      <c r="S153" s="8860"/>
      <c r="T153" s="7631">
        <f>+IF(VLOOKUP(MATCH(E148,c_id,0),ca,'13(an)'!$HF$34,FALSE)="","",VLOOKUP(MATCH(E148,c_id,0),ca,'13(an)'!$HF$34,FALSE))</f>
        <v>841377</v>
      </c>
      <c r="U153" s="8897" t="str">
        <f>IF(T153="","","$ /ton "&amp;"NOx(R)")</f>
        <v>$ /ton NOx(R)</v>
      </c>
      <c r="V153" s="8897"/>
      <c r="W153" s="7606"/>
      <c r="X153" s="8860"/>
      <c r="Y153" s="7631">
        <f>+IF(VLOOKUP(MATCH(E148,c_id,0),ca,'13(an)'!$JE$34,FALSE)="","",VLOOKUP(MATCH(E148,c_id,0),ca,'13(an)'!$JE$34,FALSE))</f>
        <v>1658762.8238712142</v>
      </c>
      <c r="Z153" s="8897" t="str">
        <f>IF(Y153="","","$ /ton "&amp;"NOx(R)")</f>
        <v>$ /ton NOx(R)</v>
      </c>
      <c r="AA153" s="8897"/>
      <c r="AB153" s="7607"/>
      <c r="AC153" s="8860"/>
      <c r="AD153" s="7631">
        <f>+IF(VLOOKUP(MATCH(E148,c_id,0),ca,'13(an)'!$LB$34,FALSE)="","",VLOOKUP(MATCH(E148,c_id,0),ca,'13(an)'!$LB$34,FALSE))</f>
        <v>1752707.9638978445</v>
      </c>
      <c r="AE153" s="8897" t="str">
        <f>IF(AD153="","","$ /ton "&amp;"NOx(R)")</f>
        <v>$ /ton NOx(R)</v>
      </c>
      <c r="AF153" s="8897"/>
      <c r="AG153" s="7620"/>
      <c r="AH153" s="5962"/>
      <c r="AI153" s="5959"/>
      <c r="AJ153" s="5959"/>
      <c r="AK153" s="5959"/>
      <c r="AL153" s="5959"/>
      <c r="AM153" s="5959"/>
    </row>
    <row r="154" spans="1:39" s="7637" customFormat="1" ht="15.95" customHeight="1">
      <c r="A154" s="8762"/>
      <c r="B154" s="7516"/>
      <c r="C154" s="7430"/>
      <c r="D154" s="7430"/>
      <c r="E154" s="7633"/>
      <c r="F154" s="5962"/>
      <c r="G154" s="7527"/>
      <c r="H154" s="5962"/>
      <c r="I154" s="7519"/>
      <c r="J154" s="7569"/>
      <c r="K154" s="7519"/>
      <c r="L154" s="7569"/>
      <c r="M154" s="7634"/>
      <c r="N154" s="7635"/>
      <c r="O154" s="7574"/>
      <c r="P154" s="7524"/>
      <c r="Q154" s="7524"/>
      <c r="R154" s="7627"/>
      <c r="S154" s="7519"/>
      <c r="T154" s="7566" t="s">
        <v>1896</v>
      </c>
      <c r="U154" s="7766" t="s">
        <v>486</v>
      </c>
      <c r="V154" s="7470"/>
      <c r="W154" s="7567"/>
      <c r="X154" s="7519"/>
      <c r="Y154" s="7566" t="s">
        <v>1896</v>
      </c>
      <c r="Z154" s="7766" t="s">
        <v>486</v>
      </c>
      <c r="AA154" s="7470"/>
      <c r="AB154" s="7470"/>
      <c r="AC154" s="7519"/>
      <c r="AD154" s="7566" t="s">
        <v>1896</v>
      </c>
      <c r="AE154" s="7767" t="s">
        <v>486</v>
      </c>
      <c r="AF154" s="7636"/>
      <c r="AG154" s="7470"/>
      <c r="AH154" s="5962"/>
      <c r="AI154" s="7527"/>
      <c r="AJ154" s="7527"/>
      <c r="AK154" s="7527"/>
      <c r="AL154" s="7527"/>
      <c r="AM154" s="7527"/>
    </row>
    <row r="155" spans="1:39" s="7637" customFormat="1" ht="17.25" customHeight="1">
      <c r="A155" s="8762"/>
      <c r="B155" s="7628"/>
      <c r="C155" s="7430"/>
      <c r="D155" s="7430"/>
      <c r="E155" s="7633"/>
      <c r="F155" s="5962"/>
      <c r="G155" s="7527"/>
      <c r="H155" s="5962"/>
      <c r="I155" s="5962"/>
      <c r="J155" s="7629"/>
      <c r="L155" s="7629"/>
      <c r="M155" s="7629"/>
      <c r="N155" s="7629"/>
      <c r="O155" s="7629"/>
      <c r="P155" s="7629"/>
      <c r="Q155" s="7629"/>
      <c r="R155" s="7627"/>
      <c r="S155" s="7519"/>
      <c r="T155" s="7543"/>
      <c r="U155" s="7570"/>
      <c r="V155" s="7519"/>
      <c r="W155" s="7638"/>
      <c r="X155" s="7519"/>
      <c r="Y155" s="7543"/>
      <c r="Z155" s="7570"/>
      <c r="AA155" s="7519"/>
      <c r="AB155" s="7519"/>
      <c r="AC155" s="7519"/>
      <c r="AD155" s="7543"/>
      <c r="AE155" s="7570"/>
      <c r="AF155" s="7519"/>
      <c r="AG155" s="7519"/>
      <c r="AH155" s="5962"/>
      <c r="AI155" s="7527"/>
      <c r="AJ155" s="7527"/>
      <c r="AK155" s="7527"/>
      <c r="AL155" s="7527"/>
      <c r="AM155" s="7527"/>
    </row>
    <row r="156" spans="1:39" s="7637" customFormat="1" ht="17.25" customHeight="1">
      <c r="A156" s="8762"/>
      <c r="B156" s="7628"/>
      <c r="C156" s="7430"/>
      <c r="D156" s="7430"/>
      <c r="E156" s="7633"/>
      <c r="F156" s="5962"/>
      <c r="G156" s="7527"/>
      <c r="H156" s="5962"/>
      <c r="I156" s="5962"/>
      <c r="J156" s="7629"/>
      <c r="K156" s="7496" t="s">
        <v>1157</v>
      </c>
      <c r="L156" s="7629"/>
      <c r="M156" s="7629"/>
      <c r="N156" s="7629"/>
      <c r="O156" s="7629"/>
      <c r="P156" s="7629"/>
      <c r="Q156" s="7629"/>
      <c r="R156" s="7627"/>
      <c r="S156" s="7519"/>
      <c r="T156" s="7543"/>
      <c r="U156" s="7570"/>
      <c r="V156" s="7519"/>
      <c r="W156" s="7638"/>
      <c r="X156" s="7519"/>
      <c r="Y156" s="7543"/>
      <c r="Z156" s="7570"/>
      <c r="AA156" s="7519"/>
      <c r="AB156" s="7519"/>
      <c r="AC156" s="7519"/>
      <c r="AD156" s="7469" t="s">
        <v>912</v>
      </c>
      <c r="AE156" s="8830" t="s">
        <v>2526</v>
      </c>
      <c r="AF156" s="8830"/>
      <c r="AG156" s="7519"/>
      <c r="AH156" s="5962"/>
      <c r="AI156" s="7527"/>
      <c r="AJ156" s="7527"/>
      <c r="AK156" s="7527"/>
      <c r="AL156" s="7527"/>
      <c r="AM156" s="7527"/>
    </row>
    <row r="157" spans="1:39" s="7637" customFormat="1" ht="20.100000000000001" customHeight="1" thickBot="1">
      <c r="A157" s="8762"/>
      <c r="B157" s="7516"/>
      <c r="C157" s="7430"/>
      <c r="D157" s="7430"/>
      <c r="E157" s="7633"/>
      <c r="F157" s="5962"/>
      <c r="G157" s="7527"/>
      <c r="H157" s="5962"/>
      <c r="I157" s="7495"/>
      <c r="J157" s="7495"/>
      <c r="K157" s="7526" t="str">
        <f>+IF(B158="","",IF(VLOOKUP(MATCH(B158,tid,0),tao,'12(id)'!$I$20,FALSE)="","",VLOOKUP(MATCH(B158,tid,0),tao,'12(id)'!$I$20,FALSE)))</f>
        <v>PSEG Power LLC, PSEG Fossil LLC, PSEG Power Connecticut</v>
      </c>
      <c r="L157" s="7569"/>
      <c r="M157" s="7634"/>
      <c r="N157" s="7635"/>
      <c r="O157" s="7574"/>
      <c r="P157" s="7524"/>
      <c r="Q157" s="7524"/>
      <c r="R157" s="7627"/>
      <c r="S157" s="7519"/>
      <c r="T157" s="7543"/>
      <c r="U157" s="7570"/>
      <c r="V157" s="7519"/>
      <c r="W157" s="7638"/>
      <c r="X157" s="7519"/>
      <c r="Y157" s="7543"/>
      <c r="Z157" s="7570"/>
      <c r="AA157" s="7519"/>
      <c r="AB157" s="7519"/>
      <c r="AC157" s="7519"/>
      <c r="AD157" s="7470"/>
      <c r="AE157" s="8830"/>
      <c r="AF157" s="8830"/>
      <c r="AG157" s="7519"/>
      <c r="AH157" s="5962"/>
      <c r="AI157" s="7527"/>
      <c r="AJ157" s="7527"/>
      <c r="AK157" s="7527"/>
      <c r="AL157" s="7527"/>
      <c r="AM157" s="7527"/>
    </row>
    <row r="158" spans="1:39" ht="9.9499999999999993" customHeight="1">
      <c r="A158" s="5952"/>
      <c r="B158" s="9034" t="str">
        <f>+IF('12(id)'!A32="","",'12(id)'!A32)</f>
        <v>8301-01</v>
      </c>
      <c r="C158" s="9016" t="str">
        <f>+IF(B158="","",VLOOKUP(MATCH(B158,tid,0),tao,'12(id)'!$J$20,FALSE))</f>
        <v>PSEG</v>
      </c>
      <c r="D158" s="9125" t="str">
        <f>+IF(B158="","",M158)</f>
        <v>BHB4 </v>
      </c>
      <c r="E158" s="9034" t="str">
        <f>+IF(B158="","",B158&amp;IF(ISERR(VALUE(R158)),"-01",IF(R158&lt;10,"-0"&amp;R158,"-"&amp;R158)))</f>
        <v>8301-01-01</v>
      </c>
      <c r="F158" s="5962"/>
      <c r="G158" s="7527"/>
      <c r="H158" s="5962"/>
      <c r="I158" s="9069">
        <f>1+I114</f>
        <v>12</v>
      </c>
      <c r="J158" s="9060" t="str">
        <f>+IF(VLOOKUP(MATCH(B158,tid,0),tao,'12(id)'!$I$20,FALSE)="","",VLOOKUP(MATCH(B158,tid,0),tao,'12(id)'!$I$20,FALSE))</f>
        <v>PSEG Power LLC, PSEG Fossil LLC, PSEG Power Connecticut</v>
      </c>
      <c r="K158" s="9063">
        <f>+IF(B158="","",IF(VLOOKUP(MATCH(B158,tid,0),tao,'12(id)'!$K$20,FALSE)="","",VLOOKUP(MATCH(B158,tid,0),tao,'12(id)'!$K$20,FALSE)))</f>
        <v>8301</v>
      </c>
      <c r="L158" s="9060" t="str">
        <f>+IF(B158="","",IF(VLOOKUP(MATCH(B158,tid,0),tao,'12(id)'!$L$20,FALSE)="","",VLOOKUP(MATCH(B158,tid,0),tao,'12(id)'!$L$20,FALSE)))</f>
        <v>Bridgeport Harbor Station</v>
      </c>
      <c r="M158" s="9264" t="str">
        <f>+IF(B158="","",IF(VLOOKUP(MATCH(B158,tid,0),tao,'12(id)'!$Q$20,FALSE)="","",VLOOKUP(MATCH(B158,tid,0),tao,'12(id)'!$Q$20,FALSE)))</f>
        <v>BHB4 </v>
      </c>
      <c r="N158" s="9084">
        <f>+IF(B158="","",IF(VLOOKUP(MATCH(B158,tid,0),tao,'12(id)'!$CT$20,FALSE)="","",VLOOKUP(MATCH(B158,tid,0),tao,'12(id)'!$CT$20,FALSE)))</f>
        <v>22</v>
      </c>
      <c r="O158" s="8984" t="str">
        <f ca="1">+IF(B158="","",IF(VLOOKUP(MATCH(B158,tid,0),tao,'12(id)'!$DE$20,FALSE)="","",ROUND(VLOOKUP(MATCH(B158,tid,0),tao,'12(id)'!$DE$20,FALSE),0)&amp;" yrs"))</f>
        <v>47 yrs</v>
      </c>
      <c r="P158" s="9000" t="str">
        <f>+IF(B158="","",IF(VLOOKUP(MATCH(B158,tid,0),tao,'12(id)'!$FR$20,FALSE)="","",VLOOKUP(MATCH(B158,tid,0),tao,'12(id)'!$FR$20,FALSE)))</f>
        <v>None</v>
      </c>
      <c r="Q158" s="9147" t="str">
        <f>+IF(B158="","",IF(VLOOKUP(MATCH(B158,tid,0),tao,'12(id)'!$DI$20,FALSE)="","",VLOOKUP(MATCH(B158,tid,0),tao,'12(id)'!$DI$20,FALSE))&amp;";  "&amp;IF(VLOOKUP(MATCH(B158,tid,0),tao,'12(id)'!$DQ$20,FALSE)="","",VLOOKUP(MATCH(B158,tid,0),tao,'12(id)'!$DQ$20,FALSE)))</f>
        <v xml:space="preserve">Jet Fuel A (Kerosene K1);  </v>
      </c>
      <c r="R158" s="9022">
        <f>+IF(B158="","",1)</f>
        <v>1</v>
      </c>
      <c r="S158" s="8978"/>
      <c r="T158" s="8875" t="str">
        <f>+IF(VLOOKUP(MATCH(E158,c_id,0),ca,'13(an)'!$BD$34,FALSE)="","",VLOOKUP(MATCH(E158,c_id,0),ca,'13(an)'!$BD$34,FALSE))</f>
        <v>Selective Catalytic Reduction (SCR)</v>
      </c>
      <c r="U158" s="8875"/>
      <c r="V158" s="8875"/>
      <c r="W158" s="7579"/>
      <c r="X158" s="8817"/>
      <c r="Y158" s="8875" t="str">
        <f>+IF(T158="","",T158)</f>
        <v>Selective Catalytic Reduction (SCR)</v>
      </c>
      <c r="Z158" s="8875"/>
      <c r="AA158" s="8875"/>
      <c r="AB158" s="7580"/>
      <c r="AC158" s="8817"/>
      <c r="AD158" s="8875" t="str">
        <f>+IF(Y158="","",Y158)</f>
        <v>Selective Catalytic Reduction (SCR)</v>
      </c>
      <c r="AE158" s="8875"/>
      <c r="AF158" s="8875"/>
      <c r="AG158" s="7581"/>
      <c r="AH158" s="5962"/>
      <c r="AI158" s="5959"/>
      <c r="AJ158" s="5959"/>
      <c r="AK158" s="5959"/>
      <c r="AL158" s="5959"/>
      <c r="AM158" s="5959"/>
    </row>
    <row r="159" spans="1:39" ht="9.9499999999999993" customHeight="1">
      <c r="A159" s="5952"/>
      <c r="B159" s="9035"/>
      <c r="C159" s="9017" t="str">
        <f>+IF(B159="","",VLOOKUP(MATCH(B159,tid,0),tao,'12(id)'!$J$20,FALSE))</f>
        <v/>
      </c>
      <c r="D159" s="9126" t="e">
        <f>+IF(VLOOKUP(MATCH(#REF!,tid,0),tao,'12(id)'!$Q$20,FALSE)="","",VLOOKUP(MATCH(#REF!,tid,0),tao,'12(id)'!$Q$20,FALSE))</f>
        <v>#REF!</v>
      </c>
      <c r="E159" s="9035"/>
      <c r="F159" s="5962"/>
      <c r="G159" s="7527"/>
      <c r="H159" s="5962"/>
      <c r="I159" s="9070"/>
      <c r="J159" s="8971" t="e">
        <f>+IF(VLOOKUP(MATCH(B159,tid,0),tao,'12(id)'!$I$20,FALSE)="","",VLOOKUP(MATCH(B159,tid,0),tao,'12(id)'!$I$20,FALSE))</f>
        <v>#N/A</v>
      </c>
      <c r="K159" s="9064" t="e">
        <f>+IF(VLOOKUP(MATCH(B159,tid,0),tao,'12(id)'!$K$20,FALSE)="","",VLOOKUP(MATCH(B159,tid,0),tao,'12(id)'!$K$20,FALSE))</f>
        <v>#N/A</v>
      </c>
      <c r="L159" s="8971" t="e">
        <f>+IF(VLOOKUP(MATCH(B159,tid,0),tao,'12(id)'!$L$20,FALSE)="","",VLOOKUP(MATCH(B159,tid,0),tao,'12(id)'!$L$20,FALSE))</f>
        <v>#N/A</v>
      </c>
      <c r="M159" s="9265" t="e">
        <f>+IF(VLOOKUP(MATCH(B159,tid,0),tao,'12(id)'!$Q$20,FALSE)="","",VLOOKUP(MATCH(B159,tid,0),tao,'12(id)'!$Q$20,FALSE))</f>
        <v>#N/A</v>
      </c>
      <c r="N159" s="9085" t="e">
        <f>+IF(VLOOKUP(MATCH(B159,tid,0),tao,'12(id)'!$CT$20,FALSE)="","",VLOOKUP(MATCH(B159,tid,0),tao,'12(id)'!$CT$20,FALSE))</f>
        <v>#N/A</v>
      </c>
      <c r="O159" s="8985" t="e">
        <f>+IF(VLOOKUP(MATCH(B159,tid,0),tao,'12(id)'!$DE$20,FALSE)="","",ROUND(VLOOKUP(MATCH(B159,tid,0),tao,'12(id)'!$DE$20,FALSE),0)&amp;" yrs")</f>
        <v>#N/A</v>
      </c>
      <c r="P159" s="9001" t="e">
        <f>+IF(VLOOKUP(MATCH(B159,tid,0),tao,'12(id)'!$FR$20,FALSE)="","",VLOOKUP(MATCH(B159,tid,0),tao,'12(id)'!$FR$20,FALSE))</f>
        <v>#N/A</v>
      </c>
      <c r="Q159" s="8974" t="e">
        <f>+IF(VLOOKUP(MATCH(B159,tid,0),tao,'12(id)'!$DI$20,FALSE)="","",VLOOKUP(MATCH(B159,tid,0),tao,'12(id)'!$DI$20,FALSE))&amp;";  "&amp;IF(VLOOKUP(MATCH(B159,tid,0),tao,'12(id)'!$DQ$20,FALSE)="","",VLOOKUP(MATCH(B159,tid,0),tao,'12(id)'!$DQ$20,FALSE))</f>
        <v>#N/A</v>
      </c>
      <c r="R159" s="8906"/>
      <c r="S159" s="8979"/>
      <c r="T159" s="8874"/>
      <c r="U159" s="8874"/>
      <c r="V159" s="8874"/>
      <c r="W159" s="7616"/>
      <c r="X159" s="8818"/>
      <c r="Y159" s="8874"/>
      <c r="Z159" s="8874"/>
      <c r="AA159" s="8874"/>
      <c r="AB159" s="7617"/>
      <c r="AC159" s="8818"/>
      <c r="AD159" s="8874"/>
      <c r="AE159" s="8874"/>
      <c r="AF159" s="8874"/>
      <c r="AG159" s="7555"/>
      <c r="AH159" s="5962"/>
      <c r="AI159" s="5959"/>
      <c r="AJ159" s="5959"/>
      <c r="AK159" s="5959"/>
      <c r="AL159" s="5959"/>
      <c r="AM159" s="5959"/>
    </row>
    <row r="160" spans="1:39" ht="18" customHeight="1">
      <c r="A160" s="5952"/>
      <c r="B160" s="9035"/>
      <c r="C160" s="9017" t="str">
        <f>+IF(B160="","",VLOOKUP(MATCH(B160,tid,0),tao,'12(id)'!$J$20,FALSE))</f>
        <v/>
      </c>
      <c r="D160" s="9126" t="e">
        <f>+IF(VLOOKUP(MATCH(#REF!,tid,0),tao,'12(id)'!$Q$20,FALSE)="","",VLOOKUP(MATCH(#REF!,tid,0),tao,'12(id)'!$Q$20,FALSE))</f>
        <v>#REF!</v>
      </c>
      <c r="E160" s="9035"/>
      <c r="F160" s="5962"/>
      <c r="G160" s="7527"/>
      <c r="H160" s="5962"/>
      <c r="I160" s="9070"/>
      <c r="J160" s="8971" t="e">
        <f>+IF(VLOOKUP(MATCH(B160,tid,0),tao,'12(id)'!$I$20,FALSE)="","",VLOOKUP(MATCH(B160,tid,0),tao,'12(id)'!$I$20,FALSE))</f>
        <v>#N/A</v>
      </c>
      <c r="K160" s="9064" t="e">
        <f>+IF(VLOOKUP(MATCH(B160,tid,0),tao,'12(id)'!$K$20,FALSE)="","",VLOOKUP(MATCH(B160,tid,0),tao,'12(id)'!$K$20,FALSE))</f>
        <v>#N/A</v>
      </c>
      <c r="L160" s="8971" t="e">
        <f>+IF(VLOOKUP(MATCH(B160,tid,0),tao,'12(id)'!$L$20,FALSE)="","",VLOOKUP(MATCH(B160,tid,0),tao,'12(id)'!$L$20,FALSE))</f>
        <v>#N/A</v>
      </c>
      <c r="M160" s="9265" t="e">
        <f>+IF(VLOOKUP(MATCH(B160,tid,0),tao,'12(id)'!$Q$20,FALSE)="","",VLOOKUP(MATCH(B160,tid,0),tao,'12(id)'!$Q$20,FALSE))</f>
        <v>#N/A</v>
      </c>
      <c r="N160" s="9085" t="e">
        <f>+IF(VLOOKUP(MATCH(B160,tid,0),tao,'12(id)'!$CT$20,FALSE)="","",VLOOKUP(MATCH(B160,tid,0),tao,'12(id)'!$CT$20,FALSE))</f>
        <v>#N/A</v>
      </c>
      <c r="O160" s="8985" t="e">
        <f>+IF(VLOOKUP(MATCH(B160,tid,0),tao,'12(id)'!$DE$20,FALSE)="","",ROUND(VLOOKUP(MATCH(B160,tid,0),tao,'12(id)'!$DE$20,FALSE),0)&amp;" yrs")</f>
        <v>#N/A</v>
      </c>
      <c r="P160" s="9001" t="e">
        <f>+IF(VLOOKUP(MATCH(B160,tid,0),tao,'12(id)'!$FR$20,FALSE)="","",VLOOKUP(MATCH(B160,tid,0),tao,'12(id)'!$FR$20,FALSE))</f>
        <v>#N/A</v>
      </c>
      <c r="Q160" s="8974" t="e">
        <f>+IF(VLOOKUP(MATCH(B160,tid,0),tao,'12(id)'!$DI$20,FALSE)="","",VLOOKUP(MATCH(B160,tid,0),tao,'12(id)'!$DI$20,FALSE))&amp;";  "&amp;IF(VLOOKUP(MATCH(B160,tid,0),tao,'12(id)'!$DQ$20,FALSE)="","",VLOOKUP(MATCH(B160,tid,0),tao,'12(id)'!$DQ$20,FALSE))</f>
        <v>#N/A</v>
      </c>
      <c r="R160" s="8906"/>
      <c r="S160" s="8979"/>
      <c r="T160" s="7584" t="str">
        <f>+IF(E158="","",IF(VLOOKUP(MATCH(E158,c_id,0),ca,'13(an)'!$CC$34,FALSE)="",IF(VLOOKUP(MATCH(E158,c_id,0),ca,'13(an)'!$CD$34,FALSE)="",IF(VLOOKUP(MATCH(E158,c_id,0),ca,'13(an)'!$CE$34,FALSE)="","η ≈ N/A","η ≈ "&amp;ROUND(VLOOKUP(MATCH(E158,c_id,0),ca,'13(an)'!$CE$34,FALSE)*100,0)&amp;"%"),"η ≈ "&amp;ROUND(VLOOKUP(MATCH(E158,c_id,0),ca,'13(an)'!$CD$34,FALSE)*100,0)&amp;"%"),"η ≈ "&amp;ROUND(VLOOKUP(MATCH(E158,c_id,0),ca,'13(an)'!$CC$34,FALSE)*100,0)&amp;"%"))</f>
        <v>η ≈ 90%</v>
      </c>
      <c r="U160" s="7585" t="str">
        <f>+IF($U$170="ppmvd",IF(VLOOKUP(MATCH(E158,c_id,0),ca,'13(an)'!$BV$34,FALSE)="","",ROUND(VLOOKUP(MATCH(E158,c_id,0),ca,'13(an)'!$BV$34,FALSE),1)&amp;" ppmvd"),IF(VLOOKUP(MATCH(E158,c_id,0),ca,'13(an)'!$BU$34,FALSE)="","",IF(LEN(ROUND(VLOOKUP(MATCH(E158,c_id,0),ca,'13(an)'!$BU$34,FALSE),3))=3,ROUND(VLOOKUP(MATCH(E158,c_id,0),ca,'13(an)'!$BU$34,FALSE),3)&amp;"00 lb/MMBtu",IF(LEN(ROUND(VLOOKUP(MATCH(E158,c_id,0),ca,'13(an)'!$BU$34,FALSE),3))=4,ROUND(VLOOKUP(MATCH(E158,c_id,0),ca,'13(an)'!$BU$34,FALSE),3)&amp;"0 lb/MMBtu",ROUND(VLOOKUP(MATCH(E158,c_id,0),ca,'13(an)'!$BU$34,FALSE),3)&amp;" lb/MMBtu"))))</f>
        <v/>
      </c>
      <c r="V160" s="7586" t="str">
        <f>+IF(E158="","",IF(VLOOKUP(MATCH(E158,c_id,0),ca,'13(an)'!$CB$34,FALSE)="","NOx(R) = N/A",ROUND(VLOOKUP(MATCH(E158,c_id,0),ca,'13(an)'!$CB$34,FALSE),1)))</f>
        <v>NOx(R) = N/A</v>
      </c>
      <c r="W160" s="7534"/>
      <c r="X160" s="8818"/>
      <c r="Y160" s="7639" t="str">
        <f>+IF(E158="","",IF(VLOOKUP(MATCH(E158,c_id,0),ca,'13(an)'!$CM$34,FALSE)="",IF(VLOOKUP(MATCH(E158,c_id,0),ca,'13(an)'!$CN$34,FALSE)="",IF(VLOOKUP(MATCH(E158,c_id,0),ca,'13(an)'!$CO$34,FALSE)="","η ≈ N/A","η ≈ "&amp;ROUND(VLOOKUP(MATCH(E158,c_id,0),ca,'13(an)'!$CO$34,FALSE)*100,0)&amp;"%"),"η ≈ "&amp;ROUND(VLOOKUP(MATCH(E158,c_id,0),ca,'13(an)'!$CN$34,FALSE)*100,0)&amp;"%"),"η ≈ "&amp;ROUND(VLOOKUP(MATCH(E158,c_id,0),ca,'13(an)'!$CM$34,FALSE)*100,0)&amp;"%"))</f>
        <v>η ≈ 90%</v>
      </c>
      <c r="Z160" s="7640" t="str">
        <f>+IF($Z$170="ppmvd",IF(VLOOKUP(MATCH(E158,c_id,0),ca,'13(an)'!$CJ$34,FALSE)="","",ROUND(VLOOKUP(MATCH(E158,c_id,0),ca,'13(an)'!$CJ$34,FALSE),1)&amp;" ppmvd"),IF(VLOOKUP(MATCH(E158,c_id,0),ca,'13(an)'!$CI$34,FALSE)="","",IF(LEN(ROUND(VLOOKUP(MATCH(E158,c_id,0),ca,'13(an)'!$CI$34,FALSE),3))=3,ROUND(VLOOKUP(MATCH(E158,c_id,0),ca,'13(an)'!$CI$34,FALSE),3)&amp;"00 lb/MMBtu",IF(LEN(ROUND(VLOOKUP(MATCH(E158,c_id,0),ca,'13(an)'!$CI$34,FALSE),3))=4,ROUND(VLOOKUP(MATCH(E158,c_id,0),ca,'13(an)'!$CI$34,FALSE),3)&amp;"0 lb/MMBtu",ROUND(VLOOKUP(MATCH(E158,c_id,0),ca,'13(an)'!$CI$34,FALSE),3)&amp;" lb/MMBtu"))))</f>
        <v>0.068 lb/MMBtu</v>
      </c>
      <c r="AA160" s="7641">
        <f>+IF(E158="","",IF(VLOOKUP(MATCH(E158,c_id,0),ca,'13(an)'!$CL$34,FALSE)="","NOx(R) = N/A",ROUND(VLOOKUP(MATCH(E158,c_id,0),ca,'13(an)'!$CL$34,FALSE),1)))</f>
        <v>0.7</v>
      </c>
      <c r="AB160" s="7535"/>
      <c r="AC160" s="8818"/>
      <c r="AD160" s="7639" t="str">
        <f>+IF(E158="","",IF(VLOOKUP(MATCH(E158,c_id,0),ca,'13(an)'!$CM$34,FALSE)="",IF(VLOOKUP(MATCH(E158,c_id,0),ca,'13(an)'!$CN$34,FALSE)="",IF(VLOOKUP(MATCH(E158,c_id,0),ca,'13(an)'!$CO$34,FALSE)="","η ≈ N/A","η ≈ "&amp;ROUND(VLOOKUP(MATCH(E158,c_id,0),ca,'13(an)'!$CO$34,FALSE)*100,0)&amp;"%"),"η ≈ "&amp;ROUND(VLOOKUP(MATCH(E158,c_id,0),ca,'13(an)'!$CN$34,FALSE)*100,0)&amp;"%"),"η ≈ "&amp;ROUND(VLOOKUP(MATCH(E158,c_id,0),ca,'13(an)'!$CM$34,FALSE)*100,0)&amp;"%"))</f>
        <v>η ≈ 90%</v>
      </c>
      <c r="AE160" s="7642" t="str">
        <f>+IF($AE$170="ppmvd",IF(VLOOKUP(MATCH(E158,c_id,0),ca,'13(an)'!$CJ$34,FALSE)="","",ROUND(VLOOKUP(MATCH(E158,c_id,0),ca,'13(an)'!$CJ$34,FALSE),1)&amp;" ppmvd"),IF(VLOOKUP(MATCH(E158,c_id,0),ca,'13(an)'!$CI$34,FALSE)="","",IF(LEN(ROUND(VLOOKUP(MATCH(E158,c_id,0),ca,'13(an)'!$CI$34,FALSE),3))=3,ROUND(VLOOKUP(MATCH(E158,c_id,0),ca,'13(an)'!$CI$34,FALSE),3)&amp;"00 lb/MMBtu",IF(LEN(ROUND(VLOOKUP(MATCH(E158,c_id,0),ca,'13(an)'!$CI$34,FALSE),3))=4,ROUND(VLOOKUP(MATCH(E158,c_id,0),ca,'13(an)'!$CI$34,FALSE),3)&amp;"0 lb/MMBtu",ROUND(VLOOKUP(MATCH(E158,c_id,0),ca,'13(an)'!$CI$34,FALSE),3)&amp;" lb/MMBtu"))))</f>
        <v>0.068 lb/MMBtu</v>
      </c>
      <c r="AF160" s="7641">
        <f>+IF(E158="","",IF(VLOOKUP(MATCH(E158,c_id,0),ca,'13(an)'!$CL$34,FALSE)="","NOx(R) = N/A",ROUND(VLOOKUP(MATCH(E158,c_id,0),ca,'13(an)'!$CL$34,FALSE),1)))</f>
        <v>0.7</v>
      </c>
      <c r="AG160" s="7536"/>
      <c r="AH160" s="5962"/>
      <c r="AI160" s="5959"/>
      <c r="AJ160" s="5959"/>
      <c r="AK160" s="5959"/>
      <c r="AL160" s="5959"/>
      <c r="AM160" s="5959"/>
    </row>
    <row r="161" spans="1:39" ht="18" customHeight="1">
      <c r="A161" s="5952"/>
      <c r="B161" s="9035"/>
      <c r="C161" s="9017" t="str">
        <f>+IF(B161="","",VLOOKUP(MATCH(B161,tid,0),tao,'12(id)'!$J$20,FALSE))</f>
        <v/>
      </c>
      <c r="D161" s="9126" t="e">
        <f>+IF(VLOOKUP(MATCH(#REF!,tid,0),tao,'12(id)'!$Q$20,FALSE)="","",VLOOKUP(MATCH(#REF!,tid,0),tao,'12(id)'!$Q$20,FALSE))</f>
        <v>#REF!</v>
      </c>
      <c r="E161" s="9035"/>
      <c r="F161" s="5962"/>
      <c r="G161" s="7527"/>
      <c r="H161" s="5962"/>
      <c r="I161" s="9070"/>
      <c r="J161" s="8971" t="e">
        <f>+IF(VLOOKUP(MATCH(B161,tid,0),tao,'12(id)'!$I$20,FALSE)="","",VLOOKUP(MATCH(B161,tid,0),tao,'12(id)'!$I$20,FALSE))</f>
        <v>#N/A</v>
      </c>
      <c r="K161" s="9064" t="e">
        <f>+IF(VLOOKUP(MATCH(B161,tid,0),tao,'12(id)'!$K$20,FALSE)="","",VLOOKUP(MATCH(B161,tid,0),tao,'12(id)'!$K$20,FALSE))</f>
        <v>#N/A</v>
      </c>
      <c r="L161" s="8971" t="e">
        <f>+IF(VLOOKUP(MATCH(B161,tid,0),tao,'12(id)'!$L$20,FALSE)="","",VLOOKUP(MATCH(B161,tid,0),tao,'12(id)'!$L$20,FALSE))</f>
        <v>#N/A</v>
      </c>
      <c r="M161" s="9265" t="e">
        <f>+IF(VLOOKUP(MATCH(B161,tid,0),tao,'12(id)'!$Q$20,FALSE)="","",VLOOKUP(MATCH(B161,tid,0),tao,'12(id)'!$Q$20,FALSE))</f>
        <v>#N/A</v>
      </c>
      <c r="N161" s="9085" t="e">
        <f>+IF(VLOOKUP(MATCH(B161,tid,0),tao,'12(id)'!$CT$20,FALSE)="","",VLOOKUP(MATCH(B161,tid,0),tao,'12(id)'!$CT$20,FALSE))</f>
        <v>#N/A</v>
      </c>
      <c r="O161" s="8985" t="e">
        <f>+IF(VLOOKUP(MATCH(B161,tid,0),tao,'12(id)'!$DE$20,FALSE)="","",ROUND(VLOOKUP(MATCH(B161,tid,0),tao,'12(id)'!$DE$20,FALSE),0)&amp;" yrs")</f>
        <v>#N/A</v>
      </c>
      <c r="P161" s="9001" t="e">
        <f>+IF(VLOOKUP(MATCH(B161,tid,0),tao,'12(id)'!$FR$20,FALSE)="","",VLOOKUP(MATCH(B161,tid,0),tao,'12(id)'!$FR$20,FALSE))</f>
        <v>#N/A</v>
      </c>
      <c r="Q161" s="8974" t="e">
        <f>+IF(VLOOKUP(MATCH(B161,tid,0),tao,'12(id)'!$DI$20,FALSE)="","",VLOOKUP(MATCH(B161,tid,0),tao,'12(id)'!$DI$20,FALSE))&amp;";  "&amp;IF(VLOOKUP(MATCH(B161,tid,0),tao,'12(id)'!$DQ$20,FALSE)="","",VLOOKUP(MATCH(B161,tid,0),tao,'12(id)'!$DQ$20,FALSE))</f>
        <v>#N/A</v>
      </c>
      <c r="R161" s="8906"/>
      <c r="S161" s="8979"/>
      <c r="T161" s="7537">
        <f>+IF(VLOOKUP(MATCH(E158,c_id,0),ca,'13(an)'!$GF$34,FALSE)="","",VLOOKUP(MATCH(E158,c_id,0),ca,'13(an)'!$GF$34,FALSE))</f>
        <v>8895118</v>
      </c>
      <c r="U161" s="7538" t="str">
        <f>+IF(T161="","","$ TCC/unit")</f>
        <v>$ TCC/unit</v>
      </c>
      <c r="V161" s="7539" t="str">
        <f>+IF(VLOOKUP(MATCH(E158,c_id,0),ca,'13(an)'!$HA$34,FALSE)="","",VLOOKUP(MATCH(E158,c_id,0),ca,'13(an)'!$HA$34,FALSE))</f>
        <v/>
      </c>
      <c r="W161" s="7540"/>
      <c r="X161" s="8818"/>
      <c r="Y161" s="7537">
        <f>+IF(VLOOKUP(MATCH(E158,c_id,0),ca,'13(an)'!$IA$34,FALSE)="","",VLOOKUP(MATCH(E158,c_id,0),ca,'13(an)'!$IA$34,FALSE))</f>
        <v>8895118</v>
      </c>
      <c r="Z161" s="7538" t="str">
        <f>+IF(Y161="","","$ TCC/unit")</f>
        <v>$ TCC/unit</v>
      </c>
      <c r="AA161" s="7539">
        <f>+IF(Y161="","",$AA$14*Y161)</f>
        <v>839636.21285149711</v>
      </c>
      <c r="AB161" s="7541"/>
      <c r="AC161" s="8818"/>
      <c r="AD161" s="7537">
        <f>+IF(VLOOKUP(MATCH(E158,c_id,0),ca,'13(an)'!$JS$34,FALSE)="","",VLOOKUP(MATCH(E158,c_id,0),ca,'13(an)'!$JS$34,FALSE))</f>
        <v>2685652</v>
      </c>
      <c r="AE161" s="7538" t="str">
        <f>+IF(AD161="","","$ TCC/unit")</f>
        <v>$ TCC/unit</v>
      </c>
      <c r="AF161" s="7539">
        <f>+IF(AD161="","",$AF$14*AD161)</f>
        <v>230457.18719471505</v>
      </c>
      <c r="AG161" s="7542"/>
      <c r="AH161" s="5962"/>
      <c r="AI161" s="5959"/>
      <c r="AJ161" s="5959"/>
      <c r="AK161" s="5959"/>
      <c r="AL161" s="5959"/>
      <c r="AM161" s="5959"/>
    </row>
    <row r="162" spans="1:39" ht="18" customHeight="1">
      <c r="A162" s="5952"/>
      <c r="B162" s="9035"/>
      <c r="C162" s="9017" t="str">
        <f>+IF(B162="","",VLOOKUP(MATCH(B162,tid,0),tao,'12(id)'!$J$20,FALSE))</f>
        <v/>
      </c>
      <c r="D162" s="9126" t="e">
        <f>+IF(VLOOKUP(MATCH(#REF!,tid,0),tao,'12(id)'!$Q$20,FALSE)="","",VLOOKUP(MATCH(#REF!,tid,0),tao,'12(id)'!$Q$20,FALSE))</f>
        <v>#REF!</v>
      </c>
      <c r="E162" s="9035"/>
      <c r="F162" s="5962"/>
      <c r="G162" s="7527"/>
      <c r="H162" s="5962"/>
      <c r="I162" s="9070"/>
      <c r="J162" s="8971" t="e">
        <f>+IF(VLOOKUP(MATCH(B162,tid,0),tao,'12(id)'!$I$20,FALSE)="","",VLOOKUP(MATCH(B162,tid,0),tao,'12(id)'!$I$20,FALSE))</f>
        <v>#N/A</v>
      </c>
      <c r="K162" s="9064" t="e">
        <f>+IF(VLOOKUP(MATCH(B162,tid,0),tao,'12(id)'!$K$20,FALSE)="","",VLOOKUP(MATCH(B162,tid,0),tao,'12(id)'!$K$20,FALSE))</f>
        <v>#N/A</v>
      </c>
      <c r="L162" s="8971" t="e">
        <f>+IF(VLOOKUP(MATCH(B162,tid,0),tao,'12(id)'!$L$20,FALSE)="","",VLOOKUP(MATCH(B162,tid,0),tao,'12(id)'!$L$20,FALSE))</f>
        <v>#N/A</v>
      </c>
      <c r="M162" s="9265" t="e">
        <f>+IF(VLOOKUP(MATCH(B162,tid,0),tao,'12(id)'!$Q$20,FALSE)="","",VLOOKUP(MATCH(B162,tid,0),tao,'12(id)'!$Q$20,FALSE))</f>
        <v>#N/A</v>
      </c>
      <c r="N162" s="9085" t="e">
        <f>+IF(VLOOKUP(MATCH(B162,tid,0),tao,'12(id)'!$CT$20,FALSE)="","",VLOOKUP(MATCH(B162,tid,0),tao,'12(id)'!$CT$20,FALSE))</f>
        <v>#N/A</v>
      </c>
      <c r="O162" s="8985" t="e">
        <f>+IF(VLOOKUP(MATCH(B162,tid,0),tao,'12(id)'!$DE$20,FALSE)="","",ROUND(VLOOKUP(MATCH(B162,tid,0),tao,'12(id)'!$DE$20,FALSE),0)&amp;" yrs")</f>
        <v>#N/A</v>
      </c>
      <c r="P162" s="9001" t="e">
        <f>+IF(VLOOKUP(MATCH(B162,tid,0),tao,'12(id)'!$FR$20,FALSE)="","",VLOOKUP(MATCH(B162,tid,0),tao,'12(id)'!$FR$20,FALSE))</f>
        <v>#N/A</v>
      </c>
      <c r="Q162" s="8974" t="e">
        <f>+IF(VLOOKUP(MATCH(B162,tid,0),tao,'12(id)'!$DI$20,FALSE)="","",VLOOKUP(MATCH(B162,tid,0),tao,'12(id)'!$DI$20,FALSE))&amp;";  "&amp;IF(VLOOKUP(MATCH(B162,tid,0),tao,'12(id)'!$DQ$20,FALSE)="","",VLOOKUP(MATCH(B162,tid,0),tao,'12(id)'!$DQ$20,FALSE))</f>
        <v>#N/A</v>
      </c>
      <c r="R162" s="8906"/>
      <c r="S162" s="8979"/>
      <c r="T162" s="7543">
        <f>+IF(OR(T161="",N158=""),"",T161/N158)</f>
        <v>404323.54545454547</v>
      </c>
      <c r="U162" s="8820" t="str">
        <f>+IF(T162="","","$ TCC / MW nominal capacity")</f>
        <v>$ TCC / MW nominal capacity</v>
      </c>
      <c r="V162" s="8820"/>
      <c r="W162" s="7544"/>
      <c r="X162" s="8818"/>
      <c r="Y162" s="7543">
        <f>+IF(OR(Y161="",N158=""),"",Y161/N158)</f>
        <v>404323.54545454547</v>
      </c>
      <c r="Z162" s="8820" t="str">
        <f>+IF(Y162="","","$ TCC / MW nominal capacity")</f>
        <v>$ TCC / MW nominal capacity</v>
      </c>
      <c r="AA162" s="8820"/>
      <c r="AB162" s="7545"/>
      <c r="AC162" s="8818"/>
      <c r="AD162" s="7543">
        <f>+IF(OR(AD161="",N158=""),"",AD161/N158)</f>
        <v>122075.09090909091</v>
      </c>
      <c r="AE162" s="8820" t="str">
        <f>+IF(AD162="","","$ TCC / MW nominal capacity")</f>
        <v>$ TCC / MW nominal capacity</v>
      </c>
      <c r="AF162" s="8820"/>
      <c r="AG162" s="7546"/>
      <c r="AH162" s="5962"/>
      <c r="AI162" s="5959"/>
      <c r="AJ162" s="5959"/>
      <c r="AK162" s="5959"/>
      <c r="AL162" s="5959"/>
      <c r="AM162" s="5959"/>
    </row>
    <row r="163" spans="1:39" ht="18" customHeight="1">
      <c r="A163" s="5952"/>
      <c r="B163" s="9035"/>
      <c r="C163" s="9017" t="str">
        <f>+IF(B163="","",VLOOKUP(MATCH(B163,tid,0),tao,'12(id)'!$J$20,FALSE))</f>
        <v/>
      </c>
      <c r="D163" s="9126" t="e">
        <f>+IF(VLOOKUP(MATCH(#REF!,tid,0),tao,'12(id)'!$Q$20,FALSE)="","",VLOOKUP(MATCH(#REF!,tid,0),tao,'12(id)'!$Q$20,FALSE))</f>
        <v>#REF!</v>
      </c>
      <c r="E163" s="9062"/>
      <c r="F163" s="5962"/>
      <c r="G163" s="7527"/>
      <c r="H163" s="5962"/>
      <c r="I163" s="9070"/>
      <c r="J163" s="8971" t="e">
        <f>+IF(VLOOKUP(MATCH(B163,tid,0),tao,'12(id)'!$I$20,FALSE)="","",VLOOKUP(MATCH(B163,tid,0),tao,'12(id)'!$I$20,FALSE))</f>
        <v>#N/A</v>
      </c>
      <c r="K163" s="9064" t="e">
        <f>+IF(VLOOKUP(MATCH(B163,tid,0),tao,'12(id)'!$K$20,FALSE)="","",VLOOKUP(MATCH(B163,tid,0),tao,'12(id)'!$K$20,FALSE))</f>
        <v>#N/A</v>
      </c>
      <c r="L163" s="8971" t="e">
        <f>+IF(VLOOKUP(MATCH(B163,tid,0),tao,'12(id)'!$L$20,FALSE)="","",VLOOKUP(MATCH(B163,tid,0),tao,'12(id)'!$L$20,FALSE))</f>
        <v>#N/A</v>
      </c>
      <c r="M163" s="9265" t="e">
        <f>+IF(VLOOKUP(MATCH(B163,tid,0),tao,'12(id)'!$Q$20,FALSE)="","",VLOOKUP(MATCH(B163,tid,0),tao,'12(id)'!$Q$20,FALSE))</f>
        <v>#N/A</v>
      </c>
      <c r="N163" s="9085" t="e">
        <f>+IF(VLOOKUP(MATCH(B163,tid,0),tao,'12(id)'!$CT$20,FALSE)="","",VLOOKUP(MATCH(B163,tid,0),tao,'12(id)'!$CT$20,FALSE))</f>
        <v>#N/A</v>
      </c>
      <c r="O163" s="8985" t="e">
        <f>+IF(VLOOKUP(MATCH(B163,tid,0),tao,'12(id)'!$DE$20,FALSE)="","",ROUND(VLOOKUP(MATCH(B163,tid,0),tao,'12(id)'!$DE$20,FALSE),0)&amp;" yrs")</f>
        <v>#N/A</v>
      </c>
      <c r="P163" s="9001" t="e">
        <f>+IF(VLOOKUP(MATCH(B163,tid,0),tao,'12(id)'!$FR$20,FALSE)="","",VLOOKUP(MATCH(B163,tid,0),tao,'12(id)'!$FR$20,FALSE))</f>
        <v>#N/A</v>
      </c>
      <c r="Q163" s="8974" t="e">
        <f>+IF(VLOOKUP(MATCH(B163,tid,0),tao,'12(id)'!$DI$20,FALSE)="","",VLOOKUP(MATCH(B163,tid,0),tao,'12(id)'!$DI$20,FALSE))&amp;";  "&amp;IF(VLOOKUP(MATCH(B163,tid,0),tao,'12(id)'!$DQ$20,FALSE)="","",VLOOKUP(MATCH(B163,tid,0),tao,'12(id)'!$DQ$20,FALSE))</f>
        <v>#N/A</v>
      </c>
      <c r="R163" s="8981"/>
      <c r="S163" s="8980"/>
      <c r="T163" s="7590">
        <f>+IF(VLOOKUP(MATCH(E158,c_id,0),ca,'13(an)'!$HF$34,FALSE)="","",VLOOKUP(MATCH(E158,c_id,0),ca,'13(an)'!$HF$34,FALSE))</f>
        <v>118997</v>
      </c>
      <c r="U163" s="8896" t="str">
        <f>IF(T163="","","$ /ton "&amp;"NOx(R)")</f>
        <v>$ /ton NOx(R)</v>
      </c>
      <c r="V163" s="8896"/>
      <c r="W163" s="7591"/>
      <c r="X163" s="8819"/>
      <c r="Y163" s="7590">
        <f>+IF(VLOOKUP(MATCH(E158,c_id,0),ca,'13(an)'!$JE$34,FALSE)="","",VLOOKUP(MATCH(E158,c_id,0),ca,'13(an)'!$JE$34,FALSE))</f>
        <v>1166161.4067381902</v>
      </c>
      <c r="Z163" s="8896" t="str">
        <f>IF(Y163="","","$ /ton "&amp;"NOx(R)")</f>
        <v>$ /ton NOx(R)</v>
      </c>
      <c r="AA163" s="8896"/>
      <c r="AB163" s="7592"/>
      <c r="AC163" s="8819"/>
      <c r="AD163" s="7590">
        <f>+IF(VLOOKUP(MATCH(E158,c_id,0),ca,'13(an)'!$LB$34,FALSE)="","",VLOOKUP(MATCH(E158,c_id,0),ca,'13(an)'!$LB$34,FALSE))</f>
        <v>483568.03751400788</v>
      </c>
      <c r="AE163" s="8896" t="str">
        <f>IF(AD163="","","$ /ton "&amp;"NOx(R)")</f>
        <v>$ /ton NOx(R)</v>
      </c>
      <c r="AF163" s="8896"/>
      <c r="AG163" s="7593"/>
      <c r="AH163" s="5962"/>
      <c r="AI163" s="5959"/>
      <c r="AJ163" s="5959"/>
      <c r="AK163" s="5959"/>
      <c r="AL163" s="5959"/>
      <c r="AM163" s="5959"/>
    </row>
    <row r="164" spans="1:39" ht="9.9499999999999993" customHeight="1">
      <c r="A164" s="5952"/>
      <c r="B164" s="9035"/>
      <c r="C164" s="9017" t="str">
        <f>+IF(B164="","",VLOOKUP(MATCH(B164,tid,0),tao,'12(id)'!$J$20,FALSE))</f>
        <v/>
      </c>
      <c r="D164" s="9126" t="e">
        <f>+IF(VLOOKUP(MATCH(#REF!,tid,0),tao,'12(id)'!$Q$20,FALSE)="","",VLOOKUP(MATCH(#REF!,tid,0),tao,'12(id)'!$Q$20,FALSE))</f>
        <v>#REF!</v>
      </c>
      <c r="E164" s="9024" t="str">
        <f>+IF(B158="","",B158&amp;IF(ISERR(VALUE(1+R158)),"-01",IF(1+R158&lt;10,"-0"&amp;1+R158,"-"&amp;1+R158)))</f>
        <v>8301-01-02</v>
      </c>
      <c r="F164" s="5962"/>
      <c r="G164" s="7527"/>
      <c r="H164" s="5962"/>
      <c r="I164" s="9070"/>
      <c r="J164" s="8971" t="e">
        <f>+IF(VLOOKUP(MATCH(B164,tid,0),tao,'12(id)'!$I$20,FALSE)="","",VLOOKUP(MATCH(B164,tid,0),tao,'12(id)'!$I$20,FALSE))</f>
        <v>#N/A</v>
      </c>
      <c r="K164" s="9064" t="e">
        <f>+IF(VLOOKUP(MATCH(B164,tid,0),tao,'12(id)'!$K$20,FALSE)="","",VLOOKUP(MATCH(B164,tid,0),tao,'12(id)'!$K$20,FALSE))</f>
        <v>#N/A</v>
      </c>
      <c r="L164" s="8971" t="e">
        <f>+IF(VLOOKUP(MATCH(B164,tid,0),tao,'12(id)'!$L$20,FALSE)="","",VLOOKUP(MATCH(B164,tid,0),tao,'12(id)'!$L$20,FALSE))</f>
        <v>#N/A</v>
      </c>
      <c r="M164" s="9265" t="e">
        <f>+IF(VLOOKUP(MATCH(B164,tid,0),tao,'12(id)'!$Q$20,FALSE)="","",VLOOKUP(MATCH(B164,tid,0),tao,'12(id)'!$Q$20,FALSE))</f>
        <v>#N/A</v>
      </c>
      <c r="N164" s="9085" t="e">
        <f>+IF(VLOOKUP(MATCH(B164,tid,0),tao,'12(id)'!$CT$20,FALSE)="","",VLOOKUP(MATCH(B164,tid,0),tao,'12(id)'!$CT$20,FALSE))</f>
        <v>#N/A</v>
      </c>
      <c r="O164" s="8985" t="e">
        <f>+IF(VLOOKUP(MATCH(B164,tid,0),tao,'12(id)'!$DE$20,FALSE)="","",ROUND(VLOOKUP(MATCH(B164,tid,0),tao,'12(id)'!$DE$20,FALSE),0)&amp;" yrs")</f>
        <v>#N/A</v>
      </c>
      <c r="P164" s="9001" t="e">
        <f>+IF(VLOOKUP(MATCH(B164,tid,0),tao,'12(id)'!$FR$20,FALSE)="","",VLOOKUP(MATCH(B164,tid,0),tao,'12(id)'!$FR$20,FALSE))</f>
        <v>#N/A</v>
      </c>
      <c r="Q164" s="8974" t="e">
        <f>+IF(VLOOKUP(MATCH(B164,tid,0),tao,'12(id)'!$DI$20,FALSE)="","",VLOOKUP(MATCH(B164,tid,0),tao,'12(id)'!$DI$20,FALSE))&amp;";  "&amp;IF(VLOOKUP(MATCH(B164,tid,0),tao,'12(id)'!$DQ$20,FALSE)="","",VLOOKUP(MATCH(B164,tid,0),tao,'12(id)'!$DQ$20,FALSE))</f>
        <v>#N/A</v>
      </c>
      <c r="R164" s="8906">
        <f>+IF(B158="","",1+R158)</f>
        <v>2</v>
      </c>
      <c r="S164" s="8818"/>
      <c r="T164" s="8874" t="str">
        <f>+IF(VLOOKUP(MATCH(E164,c_id,0),ca,'13(an)'!$BD$34,FALSE)="","",VLOOKUP(MATCH(E164,c_id,0),ca,'13(an)'!$BD$34,FALSE))</f>
        <v>High Pressure Water Injection (HPWI)</v>
      </c>
      <c r="U164" s="8874"/>
      <c r="V164" s="8874"/>
      <c r="W164" s="7616"/>
      <c r="X164" s="8818"/>
      <c r="Y164" s="8874" t="str">
        <f>+IF(T164="","",T164)</f>
        <v>High Pressure Water Injection (HPWI)</v>
      </c>
      <c r="Z164" s="8874"/>
      <c r="AA164" s="8874"/>
      <c r="AB164" s="7617"/>
      <c r="AC164" s="8818"/>
      <c r="AD164" s="8874" t="str">
        <f>+IF(Y164="","",Y164)</f>
        <v>High Pressure Water Injection (HPWI)</v>
      </c>
      <c r="AE164" s="8874"/>
      <c r="AF164" s="8874"/>
      <c r="AG164" s="7555"/>
      <c r="AH164" s="5962"/>
      <c r="AI164" s="5959"/>
      <c r="AJ164" s="5959"/>
      <c r="AK164" s="5959"/>
      <c r="AL164" s="5959"/>
      <c r="AM164" s="5959"/>
    </row>
    <row r="165" spans="1:39" ht="9.9499999999999993" customHeight="1">
      <c r="A165" s="5952"/>
      <c r="B165" s="9035"/>
      <c r="C165" s="9017" t="str">
        <f>+IF(B165="","",VLOOKUP(MATCH(B165,tid,0),tao,'12(id)'!$J$20,FALSE))</f>
        <v/>
      </c>
      <c r="D165" s="9126" t="e">
        <f>+IF(VLOOKUP(MATCH(#REF!,tid,0),tao,'12(id)'!$Q$20,FALSE)="","",VLOOKUP(MATCH(#REF!,tid,0),tao,'12(id)'!$Q$20,FALSE))</f>
        <v>#REF!</v>
      </c>
      <c r="E165" s="9024"/>
      <c r="F165" s="5962"/>
      <c r="G165" s="7527"/>
      <c r="H165" s="5962"/>
      <c r="I165" s="9070"/>
      <c r="J165" s="8971" t="e">
        <f>+IF(VLOOKUP(MATCH(B165,tid,0),tao,'12(id)'!$I$20,FALSE)="","",VLOOKUP(MATCH(B165,tid,0),tao,'12(id)'!$I$20,FALSE))</f>
        <v>#N/A</v>
      </c>
      <c r="K165" s="9064" t="e">
        <f>+IF(VLOOKUP(MATCH(B165,tid,0),tao,'12(id)'!$K$20,FALSE)="","",VLOOKUP(MATCH(B165,tid,0),tao,'12(id)'!$K$20,FALSE))</f>
        <v>#N/A</v>
      </c>
      <c r="L165" s="8971" t="e">
        <f>+IF(VLOOKUP(MATCH(B165,tid,0),tao,'12(id)'!$L$20,FALSE)="","",VLOOKUP(MATCH(B165,tid,0),tao,'12(id)'!$L$20,FALSE))</f>
        <v>#N/A</v>
      </c>
      <c r="M165" s="9265" t="e">
        <f>+IF(VLOOKUP(MATCH(B165,tid,0),tao,'12(id)'!$Q$20,FALSE)="","",VLOOKUP(MATCH(B165,tid,0),tao,'12(id)'!$Q$20,FALSE))</f>
        <v>#N/A</v>
      </c>
      <c r="N165" s="9085" t="e">
        <f>+IF(VLOOKUP(MATCH(B165,tid,0),tao,'12(id)'!$CT$20,FALSE)="","",VLOOKUP(MATCH(B165,tid,0),tao,'12(id)'!$CT$20,FALSE))</f>
        <v>#N/A</v>
      </c>
      <c r="O165" s="8985" t="e">
        <f>+IF(VLOOKUP(MATCH(B165,tid,0),tao,'12(id)'!$DE$20,FALSE)="","",ROUND(VLOOKUP(MATCH(B165,tid,0),tao,'12(id)'!$DE$20,FALSE),0)&amp;" yrs")</f>
        <v>#N/A</v>
      </c>
      <c r="P165" s="9001" t="e">
        <f>+IF(VLOOKUP(MATCH(B165,tid,0),tao,'12(id)'!$FR$20,FALSE)="","",VLOOKUP(MATCH(B165,tid,0),tao,'12(id)'!$FR$20,FALSE))</f>
        <v>#N/A</v>
      </c>
      <c r="Q165" s="8974" t="e">
        <f>+IF(VLOOKUP(MATCH(B165,tid,0),tao,'12(id)'!$DI$20,FALSE)="","",VLOOKUP(MATCH(B165,tid,0),tao,'12(id)'!$DI$20,FALSE))&amp;";  "&amp;IF(VLOOKUP(MATCH(B165,tid,0),tao,'12(id)'!$DQ$20,FALSE)="","",VLOOKUP(MATCH(B165,tid,0),tao,'12(id)'!$DQ$20,FALSE))</f>
        <v>#N/A</v>
      </c>
      <c r="R165" s="8906"/>
      <c r="S165" s="8818"/>
      <c r="T165" s="8874"/>
      <c r="U165" s="8874"/>
      <c r="V165" s="8874"/>
      <c r="W165" s="7616"/>
      <c r="X165" s="8818"/>
      <c r="Y165" s="8874"/>
      <c r="Z165" s="8874"/>
      <c r="AA165" s="8874"/>
      <c r="AB165" s="7617"/>
      <c r="AC165" s="8818"/>
      <c r="AD165" s="8874"/>
      <c r="AE165" s="8874"/>
      <c r="AF165" s="8874"/>
      <c r="AG165" s="7555"/>
      <c r="AH165" s="5962"/>
      <c r="AI165" s="5959"/>
      <c r="AJ165" s="5959"/>
      <c r="AK165" s="5959"/>
      <c r="AL165" s="5959"/>
      <c r="AM165" s="5959"/>
    </row>
    <row r="166" spans="1:39" ht="18" customHeight="1">
      <c r="A166" s="5952"/>
      <c r="B166" s="9035"/>
      <c r="C166" s="9017" t="str">
        <f>+IF(B166="","",VLOOKUP(MATCH(B166,tid,0),tao,'12(id)'!$J$20,FALSE))</f>
        <v/>
      </c>
      <c r="D166" s="9126" t="e">
        <f>+IF(VLOOKUP(MATCH(#REF!,tid,0),tao,'12(id)'!$Q$20,FALSE)="","",VLOOKUP(MATCH(#REF!,tid,0),tao,'12(id)'!$Q$20,FALSE))</f>
        <v>#REF!</v>
      </c>
      <c r="E166" s="9024"/>
      <c r="F166" s="5962"/>
      <c r="G166" s="7527"/>
      <c r="H166" s="5962"/>
      <c r="I166" s="9070"/>
      <c r="J166" s="8971" t="e">
        <f>+IF(VLOOKUP(MATCH(B166,tid,0),tao,'12(id)'!$I$20,FALSE)="","",VLOOKUP(MATCH(B166,tid,0),tao,'12(id)'!$I$20,FALSE))</f>
        <v>#N/A</v>
      </c>
      <c r="K166" s="9064" t="e">
        <f>+IF(VLOOKUP(MATCH(B166,tid,0),tao,'12(id)'!$K$20,FALSE)="","",VLOOKUP(MATCH(B166,tid,0),tao,'12(id)'!$K$20,FALSE))</f>
        <v>#N/A</v>
      </c>
      <c r="L166" s="8971" t="e">
        <f>+IF(VLOOKUP(MATCH(B166,tid,0),tao,'12(id)'!$L$20,FALSE)="","",VLOOKUP(MATCH(B166,tid,0),tao,'12(id)'!$L$20,FALSE))</f>
        <v>#N/A</v>
      </c>
      <c r="M166" s="9265" t="e">
        <f>+IF(VLOOKUP(MATCH(B166,tid,0),tao,'12(id)'!$Q$20,FALSE)="","",VLOOKUP(MATCH(B166,tid,0),tao,'12(id)'!$Q$20,FALSE))</f>
        <v>#N/A</v>
      </c>
      <c r="N166" s="9085" t="e">
        <f>+IF(VLOOKUP(MATCH(B166,tid,0),tao,'12(id)'!$CT$20,FALSE)="","",VLOOKUP(MATCH(B166,tid,0),tao,'12(id)'!$CT$20,FALSE))</f>
        <v>#N/A</v>
      </c>
      <c r="O166" s="8985" t="e">
        <f>+IF(VLOOKUP(MATCH(B166,tid,0),tao,'12(id)'!$DE$20,FALSE)="","",ROUND(VLOOKUP(MATCH(B166,tid,0),tao,'12(id)'!$DE$20,FALSE),0)&amp;" yrs")</f>
        <v>#N/A</v>
      </c>
      <c r="P166" s="9001" t="e">
        <f>+IF(VLOOKUP(MATCH(B166,tid,0),tao,'12(id)'!$FR$20,FALSE)="","",VLOOKUP(MATCH(B166,tid,0),tao,'12(id)'!$FR$20,FALSE))</f>
        <v>#N/A</v>
      </c>
      <c r="Q166" s="8974" t="e">
        <f>+IF(VLOOKUP(MATCH(B166,tid,0),tao,'12(id)'!$DI$20,FALSE)="","",VLOOKUP(MATCH(B166,tid,0),tao,'12(id)'!$DI$20,FALSE))&amp;";  "&amp;IF(VLOOKUP(MATCH(B166,tid,0),tao,'12(id)'!$DQ$20,FALSE)="","",VLOOKUP(MATCH(B166,tid,0),tao,'12(id)'!$DQ$20,FALSE))</f>
        <v>#N/A</v>
      </c>
      <c r="R166" s="8906"/>
      <c r="S166" s="8818"/>
      <c r="T166" s="7594" t="str">
        <f>+IF(E164="","",IF(VLOOKUP(MATCH(E164,c_id,0),ca,'13(an)'!$CC$34,FALSE)="",IF(VLOOKUP(MATCH(E164,c_id,0),ca,'13(an)'!$CD$34,FALSE)="",IF(VLOOKUP(MATCH(E164,c_id,0),ca,'13(an)'!$CE$34,FALSE)="","η ≈ N/A","η ≈ "&amp;ROUND(VLOOKUP(MATCH(E164,c_id,0),ca,'13(an)'!$CE$34,FALSE)*100,0)&amp;"%"),"η ≈ "&amp;ROUND(VLOOKUP(MATCH(E164,c_id,0),ca,'13(an)'!$CD$34,FALSE)*100,0)&amp;"%"),"η ≈ "&amp;ROUND(VLOOKUP(MATCH(E164,c_id,0),ca,'13(an)'!$CC$34,FALSE)*100,0)&amp;"%"))</f>
        <v>η ≈ 60%</v>
      </c>
      <c r="U166" s="7595" t="str">
        <f>+IF($U$170="ppmvd",IF(VLOOKUP(MATCH(E164,c_id,0),ca,'13(an)'!$BV$34,FALSE)="","",ROUND(VLOOKUP(MATCH(E164,c_id,0),ca,'13(an)'!$BV$34,FALSE),1)&amp;" ppmvd"),IF(VLOOKUP(MATCH(E164,c_id,0),ca,'13(an)'!$BU$34,FALSE)="","",IF(LEN(ROUND(VLOOKUP(MATCH(E164,c_id,0),ca,'13(an)'!$BU$34,FALSE),3))=3,ROUND(VLOOKUP(MATCH(E164,c_id,0),ca,'13(an)'!$BU$34,FALSE),3)&amp;"00 lb/MMBtu",IF(LEN(ROUND(VLOOKUP(MATCH(E164,c_id,0),ca,'13(an)'!$BU$34,FALSE),3))=4,ROUND(VLOOKUP(MATCH(E164,c_id,0),ca,'13(an)'!$BU$34,FALSE),3)&amp;"0 lb/MMBtu",ROUND(VLOOKUP(MATCH(E164,c_id,0),ca,'13(an)'!$BU$34,FALSE),3)&amp;" lb/MMBtu"))))</f>
        <v/>
      </c>
      <c r="V166" s="7596" t="str">
        <f>+IF(E164="","",IF(VLOOKUP(MATCH(E164,c_id,0),ca,'13(an)'!$CB$34,FALSE)="","NOx(R) = N/A",ROUND(VLOOKUP(MATCH(E164,c_id,0),ca,'13(an)'!$CB$34,FALSE),1)))</f>
        <v>NOx(R) = N/A</v>
      </c>
      <c r="W166" s="7534"/>
      <c r="X166" s="8818"/>
      <c r="Y166" s="7643" t="str">
        <f>+IF(E164="","",IF(VLOOKUP(MATCH(E164,c_id,0),ca,'13(an)'!$CM$34,FALSE)="",IF(VLOOKUP(MATCH(E164,c_id,0),ca,'13(an)'!$CN$34,FALSE)="",IF(VLOOKUP(MATCH(E164,c_id,0),ca,'13(an)'!$CO$34,FALSE)="","η ≈ N/A","η ≈ "&amp;ROUND(VLOOKUP(MATCH(E164,c_id,0),ca,'13(an)'!$CO$34,FALSE)*100,0)&amp;"%"),"η ≈ "&amp;ROUND(VLOOKUP(MATCH(E164,c_id,0),ca,'13(an)'!$CN$34,FALSE)*100,0)&amp;"%"),"η ≈ "&amp;ROUND(VLOOKUP(MATCH(E164,c_id,0),ca,'13(an)'!$CM$34,FALSE)*100,0)&amp;"%"))</f>
        <v>η ≈ 60%</v>
      </c>
      <c r="Z166" s="7644" t="str">
        <f>+IF($Z$170="ppmvd",IF(VLOOKUP(MATCH(E164,c_id,0),ca,'13(an)'!$CJ$34,FALSE)="","",ROUND(VLOOKUP(MATCH(E164,c_id,0),ca,'13(an)'!$CJ$34,FALSE),1)&amp;" ppmvd"),IF(VLOOKUP(MATCH(E164,c_id,0),ca,'13(an)'!$CI$34,FALSE)="","",IF(LEN(ROUND(VLOOKUP(MATCH(E164,c_id,0),ca,'13(an)'!$CI$34,FALSE),3))=3,ROUND(VLOOKUP(MATCH(E164,c_id,0),ca,'13(an)'!$CI$34,FALSE),3)&amp;"00 lb/MMBtu",IF(LEN(ROUND(VLOOKUP(MATCH(E164,c_id,0),ca,'13(an)'!$CI$34,FALSE),3))=4,ROUND(VLOOKUP(MATCH(E164,c_id,0),ca,'13(an)'!$CI$34,FALSE),3)&amp;"0 lb/MMBtu",ROUND(VLOOKUP(MATCH(E164,c_id,0),ca,'13(an)'!$CI$34,FALSE),3)&amp;" lb/MMBtu"))))</f>
        <v>0.270 lb/MMBtu</v>
      </c>
      <c r="AA166" s="7645">
        <f>+IF(E164="","",IF(VLOOKUP(MATCH(E164,c_id,0),ca,'13(an)'!$CL$34,FALSE)="","NOx(R) = N/A",ROUND(VLOOKUP(MATCH(E164,c_id,0),ca,'13(an)'!$CL$34,FALSE),1)))</f>
        <v>0.5</v>
      </c>
      <c r="AB166" s="7535"/>
      <c r="AC166" s="8818"/>
      <c r="AD166" s="7643" t="str">
        <f>+IF(E164="","",IF(VLOOKUP(MATCH(E164,c_id,0),ca,'13(an)'!$CM$34,FALSE)="",IF(VLOOKUP(MATCH(E164,c_id,0),ca,'13(an)'!$CN$34,FALSE)="",IF(VLOOKUP(MATCH(E164,c_id,0),ca,'13(an)'!$CO$34,FALSE)="","η ≈ N/A","η ≈ "&amp;ROUND(VLOOKUP(MATCH(E164,c_id,0),ca,'13(an)'!$CO$34,FALSE)*100,0)&amp;"%"),"η ≈ "&amp;ROUND(VLOOKUP(MATCH(E164,c_id,0),ca,'13(an)'!$CN$34,FALSE)*100,0)&amp;"%"),"η ≈ "&amp;ROUND(VLOOKUP(MATCH(E164,c_id,0),ca,'13(an)'!$CM$34,FALSE)*100,0)&amp;"%"))</f>
        <v>η ≈ 60%</v>
      </c>
      <c r="AE166" s="7646" t="str">
        <f>+IF($AE$170="ppmvd",IF(VLOOKUP(MATCH(E164,c_id,0),ca,'13(an)'!$CJ$34,FALSE)="","",ROUND(VLOOKUP(MATCH(E164,c_id,0),ca,'13(an)'!$CJ$34,FALSE),1)&amp;" ppmvd"),IF(VLOOKUP(MATCH(E164,c_id,0),ca,'13(an)'!$CI$34,FALSE)="","",IF(LEN(ROUND(VLOOKUP(MATCH(E164,c_id,0),ca,'13(an)'!$CI$34,FALSE),3))=3,ROUND(VLOOKUP(MATCH(E164,c_id,0),ca,'13(an)'!$CI$34,FALSE),3)&amp;"00 lb/MMBtu",IF(LEN(ROUND(VLOOKUP(MATCH(E164,c_id,0),ca,'13(an)'!$CI$34,FALSE),3))=4,ROUND(VLOOKUP(MATCH(E164,c_id,0),ca,'13(an)'!$CI$34,FALSE),3)&amp;"0 lb/MMBtu",ROUND(VLOOKUP(MATCH(E164,c_id,0),ca,'13(an)'!$CI$34,FALSE),3)&amp;" lb/MMBtu"))))</f>
        <v>0.270 lb/MMBtu</v>
      </c>
      <c r="AF166" s="7645">
        <f>+IF(E164="","",IF(VLOOKUP(MATCH(E164,c_id,0),ca,'13(an)'!$CL$34,FALSE)="","NOx(R) = N/A",ROUND(VLOOKUP(MATCH(E164,c_id,0),ca,'13(an)'!$CL$34,FALSE),1)))</f>
        <v>0.5</v>
      </c>
      <c r="AG166" s="7536"/>
      <c r="AH166" s="5962"/>
      <c r="AI166" s="5959"/>
      <c r="AJ166" s="5959"/>
      <c r="AK166" s="5959"/>
      <c r="AL166" s="5959"/>
      <c r="AM166" s="5959"/>
    </row>
    <row r="167" spans="1:39" ht="18" customHeight="1">
      <c r="A167" s="5952"/>
      <c r="B167" s="9035"/>
      <c r="C167" s="9017" t="str">
        <f>+IF(B167="","",VLOOKUP(MATCH(B167,tid,0),tao,'12(id)'!$J$20,FALSE))</f>
        <v/>
      </c>
      <c r="D167" s="9126" t="e">
        <f>+IF(VLOOKUP(MATCH(#REF!,tid,0),tao,'12(id)'!$Q$20,FALSE)="","",VLOOKUP(MATCH(#REF!,tid,0),tao,'12(id)'!$Q$20,FALSE))</f>
        <v>#REF!</v>
      </c>
      <c r="E167" s="9024"/>
      <c r="F167" s="5962"/>
      <c r="G167" s="7527"/>
      <c r="H167" s="5962"/>
      <c r="I167" s="9070"/>
      <c r="J167" s="8971" t="e">
        <f>+IF(VLOOKUP(MATCH(B167,tid,0),tao,'12(id)'!$I$20,FALSE)="","",VLOOKUP(MATCH(B167,tid,0),tao,'12(id)'!$I$20,FALSE))</f>
        <v>#N/A</v>
      </c>
      <c r="K167" s="9064" t="e">
        <f>+IF(VLOOKUP(MATCH(B167,tid,0),tao,'12(id)'!$K$20,FALSE)="","",VLOOKUP(MATCH(B167,tid,0),tao,'12(id)'!$K$20,FALSE))</f>
        <v>#N/A</v>
      </c>
      <c r="L167" s="8971" t="e">
        <f>+IF(VLOOKUP(MATCH(B167,tid,0),tao,'12(id)'!$L$20,FALSE)="","",VLOOKUP(MATCH(B167,tid,0),tao,'12(id)'!$L$20,FALSE))</f>
        <v>#N/A</v>
      </c>
      <c r="M167" s="9265" t="e">
        <f>+IF(VLOOKUP(MATCH(B167,tid,0),tao,'12(id)'!$Q$20,FALSE)="","",VLOOKUP(MATCH(B167,tid,0),tao,'12(id)'!$Q$20,FALSE))</f>
        <v>#N/A</v>
      </c>
      <c r="N167" s="9085" t="e">
        <f>+IF(VLOOKUP(MATCH(B167,tid,0),tao,'12(id)'!$CT$20,FALSE)="","",VLOOKUP(MATCH(B167,tid,0),tao,'12(id)'!$CT$20,FALSE))</f>
        <v>#N/A</v>
      </c>
      <c r="O167" s="8985" t="e">
        <f>+IF(VLOOKUP(MATCH(B167,tid,0),tao,'12(id)'!$DE$20,FALSE)="","",ROUND(VLOOKUP(MATCH(B167,tid,0),tao,'12(id)'!$DE$20,FALSE),0)&amp;" yrs")</f>
        <v>#N/A</v>
      </c>
      <c r="P167" s="9001" t="e">
        <f>+IF(VLOOKUP(MATCH(B167,tid,0),tao,'12(id)'!$FR$20,FALSE)="","",VLOOKUP(MATCH(B167,tid,0),tao,'12(id)'!$FR$20,FALSE))</f>
        <v>#N/A</v>
      </c>
      <c r="Q167" s="8974" t="e">
        <f>+IF(VLOOKUP(MATCH(B167,tid,0),tao,'12(id)'!$DI$20,FALSE)="","",VLOOKUP(MATCH(B167,tid,0),tao,'12(id)'!$DI$20,FALSE))&amp;";  "&amp;IF(VLOOKUP(MATCH(B167,tid,0),tao,'12(id)'!$DQ$20,FALSE)="","",VLOOKUP(MATCH(B167,tid,0),tao,'12(id)'!$DQ$20,FALSE))</f>
        <v>#N/A</v>
      </c>
      <c r="R167" s="8906"/>
      <c r="S167" s="8818"/>
      <c r="T167" s="7537">
        <f>+IF(VLOOKUP(MATCH(E164,c_id,0),ca,'13(an)'!$GF$34,FALSE)="","",VLOOKUP(MATCH(E164,c_id,0),ca,'13(an)'!$GF$34,FALSE))</f>
        <v>843728</v>
      </c>
      <c r="U167" s="7538" t="str">
        <f>+IF(T167="","","$ TCC/unit")</f>
        <v>$ TCC/unit</v>
      </c>
      <c r="V167" s="7539" t="str">
        <f>+IF(VLOOKUP(MATCH(E164,c_id,0),ca,'13(an)'!$HA$34,FALSE)="","",VLOOKUP(MATCH(E164,c_id,0),ca,'13(an)'!$HA$34,FALSE))</f>
        <v/>
      </c>
      <c r="W167" s="7540"/>
      <c r="X167" s="8818"/>
      <c r="Y167" s="7537">
        <f>+IF(VLOOKUP(MATCH(E164,c_id,0),ca,'13(an)'!$IA$34,FALSE)="","",VLOOKUP(MATCH(E164,c_id,0),ca,'13(an)'!$IA$34,FALSE))</f>
        <v>843728</v>
      </c>
      <c r="Z167" s="7538" t="str">
        <f>+IF(Y167="","","$ TCC/unit")</f>
        <v>$ TCC/unit</v>
      </c>
      <c r="AA167" s="7539">
        <f>+IF(Y167="","",$AA$14*Y167)</f>
        <v>79641.954451505648</v>
      </c>
      <c r="AB167" s="7541"/>
      <c r="AC167" s="8818"/>
      <c r="AD167" s="7537">
        <f>+IF(VLOOKUP(MATCH(E164,c_id,0),ca,'13(an)'!$JS$34,FALSE)="","",VLOOKUP(MATCH(E164,c_id,0),ca,'13(an)'!$JS$34,FALSE))</f>
        <v>1847812.9999999995</v>
      </c>
      <c r="AE167" s="7538" t="str">
        <f>+IF(AD167="","","$ TCC/unit")</f>
        <v>$ TCC/unit</v>
      </c>
      <c r="AF167" s="7539">
        <f>+IF(AD167="","",$AF$14*AD167)</f>
        <v>158561.78925706976</v>
      </c>
      <c r="AG167" s="7542"/>
      <c r="AH167" s="5962"/>
      <c r="AI167" s="5959"/>
      <c r="AJ167" s="5959"/>
      <c r="AK167" s="5959"/>
      <c r="AL167" s="5959"/>
      <c r="AM167" s="5959"/>
    </row>
    <row r="168" spans="1:39" ht="18" customHeight="1">
      <c r="A168" s="5952"/>
      <c r="B168" s="9035"/>
      <c r="C168" s="9017" t="str">
        <f>+IF(B168="","",VLOOKUP(MATCH(B168,tid,0),tao,'12(id)'!$J$20,FALSE))</f>
        <v/>
      </c>
      <c r="D168" s="9126" t="e">
        <f>+IF(VLOOKUP(MATCH(#REF!,tid,0),tao,'12(id)'!$Q$20,FALSE)="","",VLOOKUP(MATCH(#REF!,tid,0),tao,'12(id)'!$Q$20,FALSE))</f>
        <v>#REF!</v>
      </c>
      <c r="E168" s="9024"/>
      <c r="F168" s="5962"/>
      <c r="G168" s="7527"/>
      <c r="H168" s="5962"/>
      <c r="I168" s="9070"/>
      <c r="J168" s="8971" t="e">
        <f>+IF(VLOOKUP(MATCH(B168,tid,0),tao,'12(id)'!$I$20,FALSE)="","",VLOOKUP(MATCH(B168,tid,0),tao,'12(id)'!$I$20,FALSE))</f>
        <v>#N/A</v>
      </c>
      <c r="K168" s="9064" t="e">
        <f>+IF(VLOOKUP(MATCH(B168,tid,0),tao,'12(id)'!$K$20,FALSE)="","",VLOOKUP(MATCH(B168,tid,0),tao,'12(id)'!$K$20,FALSE))</f>
        <v>#N/A</v>
      </c>
      <c r="L168" s="8971" t="e">
        <f>+IF(VLOOKUP(MATCH(B168,tid,0),tao,'12(id)'!$L$20,FALSE)="","",VLOOKUP(MATCH(B168,tid,0),tao,'12(id)'!$L$20,FALSE))</f>
        <v>#N/A</v>
      </c>
      <c r="M168" s="9265" t="e">
        <f>+IF(VLOOKUP(MATCH(B168,tid,0),tao,'12(id)'!$Q$20,FALSE)="","",VLOOKUP(MATCH(B168,tid,0),tao,'12(id)'!$Q$20,FALSE))</f>
        <v>#N/A</v>
      </c>
      <c r="N168" s="9085" t="e">
        <f>+IF(VLOOKUP(MATCH(B168,tid,0),tao,'12(id)'!$CT$20,FALSE)="","",VLOOKUP(MATCH(B168,tid,0),tao,'12(id)'!$CT$20,FALSE))</f>
        <v>#N/A</v>
      </c>
      <c r="O168" s="8985" t="e">
        <f>+IF(VLOOKUP(MATCH(B168,tid,0),tao,'12(id)'!$DE$20,FALSE)="","",ROUND(VLOOKUP(MATCH(B168,tid,0),tao,'12(id)'!$DE$20,FALSE),0)&amp;" yrs")</f>
        <v>#N/A</v>
      </c>
      <c r="P168" s="9001" t="e">
        <f>+IF(VLOOKUP(MATCH(B168,tid,0),tao,'12(id)'!$FR$20,FALSE)="","",VLOOKUP(MATCH(B168,tid,0),tao,'12(id)'!$FR$20,FALSE))</f>
        <v>#N/A</v>
      </c>
      <c r="Q168" s="8974" t="e">
        <f>+IF(VLOOKUP(MATCH(B168,tid,0),tao,'12(id)'!$DI$20,FALSE)="","",VLOOKUP(MATCH(B168,tid,0),tao,'12(id)'!$DI$20,FALSE))&amp;";  "&amp;IF(VLOOKUP(MATCH(B168,tid,0),tao,'12(id)'!$DQ$20,FALSE)="","",VLOOKUP(MATCH(B168,tid,0),tao,'12(id)'!$DQ$20,FALSE))</f>
        <v>#N/A</v>
      </c>
      <c r="R168" s="8906"/>
      <c r="S168" s="8818"/>
      <c r="T168" s="7543">
        <f>+IF(OR(T167="",N158=""),"",T167/N158)</f>
        <v>38351.272727272728</v>
      </c>
      <c r="U168" s="8820" t="str">
        <f>+IF(T168="","","$ TCC / MW nominal capacity")</f>
        <v>$ TCC / MW nominal capacity</v>
      </c>
      <c r="V168" s="8820"/>
      <c r="W168" s="7544"/>
      <c r="X168" s="8818"/>
      <c r="Y168" s="7543">
        <f>+IF(OR(Y167="",N158=""),"",Y167/N158)</f>
        <v>38351.272727272728</v>
      </c>
      <c r="Z168" s="8820" t="str">
        <f>+IF(Y168="","","$ TCC / MW nominal capacity")</f>
        <v>$ TCC / MW nominal capacity</v>
      </c>
      <c r="AA168" s="8820"/>
      <c r="AB168" s="7545"/>
      <c r="AC168" s="8818"/>
      <c r="AD168" s="7543">
        <f>+IF(OR(AD167="",N158=""),"",AD167/N158)</f>
        <v>83991.499999999985</v>
      </c>
      <c r="AE168" s="8820" t="str">
        <f>+IF(AD168="","","$ TCC / MW nominal capacity")</f>
        <v>$ TCC / MW nominal capacity</v>
      </c>
      <c r="AF168" s="8820"/>
      <c r="AG168" s="7546"/>
      <c r="AH168" s="5962"/>
      <c r="AI168" s="5959"/>
      <c r="AJ168" s="5959"/>
      <c r="AK168" s="5959"/>
      <c r="AL168" s="5959"/>
      <c r="AM168" s="5959"/>
    </row>
    <row r="169" spans="1:39" ht="18" customHeight="1" thickBot="1">
      <c r="A169" s="5952"/>
      <c r="B169" s="9036"/>
      <c r="C169" s="9018" t="str">
        <f>+IF(B169="","",VLOOKUP(MATCH(B169,tid,0),tao,'12(id)'!$J$20,FALSE))</f>
        <v/>
      </c>
      <c r="D169" s="9127" t="e">
        <f>+IF(VLOOKUP(MATCH(#REF!,tid,0),tao,'12(id)'!$Q$20,FALSE)="","",VLOOKUP(MATCH(#REF!,tid,0),tao,'12(id)'!$Q$20,FALSE))</f>
        <v>#REF!</v>
      </c>
      <c r="E169" s="9049"/>
      <c r="F169" s="5962"/>
      <c r="G169" s="7527"/>
      <c r="H169" s="5962"/>
      <c r="I169" s="9073"/>
      <c r="J169" s="9061" t="e">
        <f>+IF(VLOOKUP(MATCH(B169,tid,0),tao,'12(id)'!$I$20,FALSE)="","",VLOOKUP(MATCH(B169,tid,0),tao,'12(id)'!$I$20,FALSE))</f>
        <v>#N/A</v>
      </c>
      <c r="K169" s="9065" t="e">
        <f>+IF(VLOOKUP(MATCH(B169,tid,0),tao,'12(id)'!$K$20,FALSE)="","",VLOOKUP(MATCH(B169,tid,0),tao,'12(id)'!$K$20,FALSE))</f>
        <v>#N/A</v>
      </c>
      <c r="L169" s="9061" t="e">
        <f>+IF(VLOOKUP(MATCH(B169,tid,0),tao,'12(id)'!$L$20,FALSE)="","",VLOOKUP(MATCH(B169,tid,0),tao,'12(id)'!$L$20,FALSE))</f>
        <v>#N/A</v>
      </c>
      <c r="M169" s="9266" t="e">
        <f>+IF(VLOOKUP(MATCH(B169,tid,0),tao,'12(id)'!$Q$20,FALSE)="","",VLOOKUP(MATCH(B169,tid,0),tao,'12(id)'!$Q$20,FALSE))</f>
        <v>#N/A</v>
      </c>
      <c r="N169" s="9110" t="e">
        <f>+IF(VLOOKUP(MATCH(B169,tid,0),tao,'12(id)'!$CT$20,FALSE)="","",VLOOKUP(MATCH(B169,tid,0),tao,'12(id)'!$CT$20,FALSE))</f>
        <v>#N/A</v>
      </c>
      <c r="O169" s="8986" t="e">
        <f>+IF(VLOOKUP(MATCH(B169,tid,0),tao,'12(id)'!$DE$20,FALSE)="","",ROUND(VLOOKUP(MATCH(B169,tid,0),tao,'12(id)'!$DE$20,FALSE),0)&amp;" yrs")</f>
        <v>#N/A</v>
      </c>
      <c r="P169" s="9002" t="e">
        <f>+IF(VLOOKUP(MATCH(B169,tid,0),tao,'12(id)'!$FR$20,FALSE)="","",VLOOKUP(MATCH(B169,tid,0),tao,'12(id)'!$FR$20,FALSE))</f>
        <v>#N/A</v>
      </c>
      <c r="Q169" s="9267" t="e">
        <f>+IF(VLOOKUP(MATCH(B169,tid,0),tao,'12(id)'!$DI$20,FALSE)="","",VLOOKUP(MATCH(B169,tid,0),tao,'12(id)'!$DI$20,FALSE))&amp;";  "&amp;IF(VLOOKUP(MATCH(B169,tid,0),tao,'12(id)'!$DQ$20,FALSE)="","",VLOOKUP(MATCH(B169,tid,0),tao,'12(id)'!$DQ$20,FALSE))</f>
        <v>#N/A</v>
      </c>
      <c r="R169" s="8907"/>
      <c r="S169" s="8860"/>
      <c r="T169" s="7631">
        <f>+IF(VLOOKUP(MATCH(E164,c_id,0),ca,'13(an)'!$HF$34,FALSE)="","",VLOOKUP(MATCH(E164,c_id,0),ca,'13(an)'!$HF$34,FALSE))</f>
        <v>839358</v>
      </c>
      <c r="U169" s="8897" t="str">
        <f>IF(T169="","","$ /ton "&amp;"NOx(R)")</f>
        <v>$ /ton NOx(R)</v>
      </c>
      <c r="V169" s="8897"/>
      <c r="W169" s="7606"/>
      <c r="X169" s="8860"/>
      <c r="Y169" s="7631">
        <f>+IF(VLOOKUP(MATCH(E164,c_id,0),ca,'13(an)'!$JE$34,FALSE)="","",VLOOKUP(MATCH(E164,c_id,0),ca,'13(an)'!$JE$34,FALSE))</f>
        <v>165920.73844063675</v>
      </c>
      <c r="Z169" s="8897" t="str">
        <f>IF(Y169="","","$ /ton "&amp;"NOx(R)")</f>
        <v>$ /ton NOx(R)</v>
      </c>
      <c r="AA169" s="8897"/>
      <c r="AB169" s="7607"/>
      <c r="AC169" s="8860"/>
      <c r="AD169" s="7631">
        <f>+IF(VLOOKUP(MATCH(E164,c_id,0),ca,'13(an)'!$LB$34,FALSE)="","",VLOOKUP(MATCH(E164,c_id,0),ca,'13(an)'!$LB$34,FALSE))</f>
        <v>494552.11322549987</v>
      </c>
      <c r="AE169" s="8897" t="str">
        <f>IF(AD169="","","$ /ton "&amp;"NOx(R)")</f>
        <v>$ /ton NOx(R)</v>
      </c>
      <c r="AF169" s="8897"/>
      <c r="AG169" s="7620"/>
      <c r="AH169" s="5962"/>
      <c r="AI169" s="5959"/>
      <c r="AJ169" s="5959"/>
      <c r="AK169" s="5959"/>
      <c r="AL169" s="5959"/>
      <c r="AM169" s="5959"/>
    </row>
    <row r="170" spans="1:39" ht="18" customHeight="1">
      <c r="A170" s="5952"/>
      <c r="B170" s="7516"/>
      <c r="C170" s="7430"/>
      <c r="D170" s="7430"/>
      <c r="E170" s="7516"/>
      <c r="F170" s="5962"/>
      <c r="G170" s="7527"/>
      <c r="H170" s="5962"/>
      <c r="I170" s="7562"/>
      <c r="J170" s="7569"/>
      <c r="K170" s="7519"/>
      <c r="L170" s="7569"/>
      <c r="M170" s="7647"/>
      <c r="N170" s="7648"/>
      <c r="O170" s="7574"/>
      <c r="P170" s="7568"/>
      <c r="Q170" s="7569"/>
      <c r="R170" s="7627"/>
      <c r="S170" s="7519"/>
      <c r="T170" s="7566" t="s">
        <v>1896</v>
      </c>
      <c r="U170" s="7766" t="s">
        <v>486</v>
      </c>
      <c r="V170" s="7470"/>
      <c r="W170" s="7567"/>
      <c r="X170" s="7519"/>
      <c r="Y170" s="7566" t="s">
        <v>1896</v>
      </c>
      <c r="Z170" s="7766" t="s">
        <v>486</v>
      </c>
      <c r="AA170" s="7470"/>
      <c r="AB170" s="7470"/>
      <c r="AC170" s="7519"/>
      <c r="AD170" s="7566" t="s">
        <v>1896</v>
      </c>
      <c r="AE170" s="7767" t="s">
        <v>486</v>
      </c>
      <c r="AF170" s="7470"/>
      <c r="AG170" s="7470"/>
      <c r="AH170" s="5962"/>
      <c r="AI170" s="7527"/>
      <c r="AJ170" s="7527"/>
      <c r="AK170" s="7527"/>
      <c r="AL170" s="7527"/>
      <c r="AM170" s="7527"/>
    </row>
    <row r="171" spans="1:39" ht="12.75" customHeight="1">
      <c r="A171" s="5952"/>
      <c r="B171" s="7516"/>
      <c r="C171" s="7430"/>
      <c r="D171" s="7430"/>
      <c r="E171" s="7516"/>
      <c r="F171" s="5962"/>
      <c r="G171" s="7527"/>
      <c r="H171" s="5962"/>
      <c r="I171" s="5952"/>
      <c r="J171" s="7575"/>
      <c r="K171" s="7649" t="s">
        <v>1157</v>
      </c>
      <c r="L171" s="7649"/>
      <c r="M171" s="5952"/>
      <c r="N171" s="5952"/>
      <c r="O171" s="5952"/>
      <c r="P171" s="5952"/>
      <c r="Q171" s="7569"/>
      <c r="R171" s="7627"/>
      <c r="S171" s="7519"/>
      <c r="T171" s="7543"/>
      <c r="U171" s="7543"/>
      <c r="V171" s="7470"/>
      <c r="W171" s="7567"/>
      <c r="X171" s="7519"/>
      <c r="Y171" s="7543"/>
      <c r="Z171" s="7543"/>
      <c r="AA171" s="7470"/>
      <c r="AB171" s="7470"/>
      <c r="AC171" s="7519"/>
      <c r="AD171" s="7543"/>
      <c r="AE171" s="7543"/>
      <c r="AF171" s="7470"/>
      <c r="AG171" s="7470"/>
      <c r="AH171" s="5962"/>
      <c r="AI171" s="7527"/>
      <c r="AJ171" s="7527"/>
      <c r="AK171" s="7527"/>
      <c r="AL171" s="7527"/>
      <c r="AM171" s="7527"/>
    </row>
    <row r="172" spans="1:39" ht="18" customHeight="1" thickBot="1">
      <c r="A172" s="5952"/>
      <c r="B172" s="7516"/>
      <c r="C172" s="7430"/>
      <c r="D172" s="7430"/>
      <c r="E172" s="7516"/>
      <c r="F172" s="5962"/>
      <c r="G172" s="7527"/>
      <c r="H172" s="5962"/>
      <c r="I172" s="7495"/>
      <c r="J172" s="7495"/>
      <c r="K172" s="7649" t="str">
        <f>+IF(B173="","",IF(VLOOKUP(MATCH(B173,tid,0),tao,'12(id)'!$I$20,FALSE)="","",VLOOKUP(MATCH(B173,tid,0),tao,'12(id)'!$I$20,FALSE)))</f>
        <v>NRG Energy, Inc</v>
      </c>
      <c r="L172" s="7649"/>
      <c r="M172" s="5952"/>
      <c r="N172" s="5952"/>
      <c r="O172" s="5952"/>
      <c r="P172" s="5952"/>
      <c r="Q172" s="7569"/>
      <c r="R172" s="7627"/>
      <c r="S172" s="7519"/>
      <c r="T172" s="7543"/>
      <c r="U172" s="7650"/>
      <c r="V172" s="7470"/>
      <c r="W172" s="7567"/>
      <c r="X172" s="7519"/>
      <c r="Y172" s="7543"/>
      <c r="Z172" s="7543"/>
      <c r="AA172" s="7470"/>
      <c r="AB172" s="7470"/>
      <c r="AC172" s="7519"/>
      <c r="AD172" s="7543"/>
      <c r="AE172" s="7543"/>
      <c r="AF172" s="7470"/>
      <c r="AG172" s="7470"/>
      <c r="AH172" s="5962"/>
      <c r="AI172" s="7527"/>
      <c r="AJ172" s="7527"/>
      <c r="AK172" s="7527"/>
      <c r="AL172" s="7527"/>
      <c r="AM172" s="7527"/>
    </row>
    <row r="173" spans="1:39" ht="15" customHeight="1">
      <c r="A173" s="5952"/>
      <c r="B173" s="9034" t="str">
        <f>+IF('12(id)'!A33="","",'12(id)'!A33)</f>
        <v>8300-01</v>
      </c>
      <c r="C173" s="8881" t="str">
        <f>+IF(B173="","",VLOOKUP(MATCH(B173,tid,0),tao,'12(id)'!$J$20,FALSE))</f>
        <v>NRG</v>
      </c>
      <c r="D173" s="9137" t="str">
        <f>+IF(B173="","",M173)</f>
        <v>BR10</v>
      </c>
      <c r="E173" s="9034" t="str">
        <f>+IF(B173="","",B173&amp;IF(ISERR(VALUE(R173)),"-01",IF(R173&lt;10,"-0"&amp;R173,"-"&amp;R173)))</f>
        <v>8300-01-01</v>
      </c>
      <c r="F173" s="5952"/>
      <c r="G173" s="5959"/>
      <c r="H173" s="5952"/>
      <c r="I173" s="9069">
        <f>1+I158</f>
        <v>13</v>
      </c>
      <c r="J173" s="9063" t="str">
        <f>+IF(VLOOKUP(MATCH(B173,tid,0),tao,'12(id)'!$I$20,FALSE)="","",VLOOKUP(MATCH(B173,tid,0),tao,'12(id)'!$I$20,FALSE))</f>
        <v>NRG Energy, Inc</v>
      </c>
      <c r="K173" s="9063">
        <f>+IF(B173="","",IF(VLOOKUP(MATCH(B173,tid,0),tao,'12(id)'!$K$20,FALSE)="","",VLOOKUP(MATCH(B173,tid,0),tao,'12(id)'!$K$20,FALSE)))</f>
        <v>8300</v>
      </c>
      <c r="L173" s="9060" t="str">
        <f>+IF(B173="","",IF(VLOOKUP(MATCH(B173,tid,0),tao,'12(id)'!$L$20,FALSE)="","",VLOOKUP(MATCH(B173,tid,0),tao,'12(id)'!$L$20,FALSE)))</f>
        <v>Branford</v>
      </c>
      <c r="M173" s="9123" t="str">
        <f>+IF(B173="","",IF(VLOOKUP(MATCH(B173,tid,0),tao,'12(id)'!$Q$20,FALSE)="","",VLOOKUP(MATCH(B173,tid,0),tao,'12(id)'!$Q$20,FALSE)))</f>
        <v>BR10</v>
      </c>
      <c r="N173" s="9084">
        <f>+IF(B173="","",IF(VLOOKUP(MATCH(B173,tid,0),tao,'12(id)'!$CT$20,FALSE)="","",VLOOKUP(MATCH(B173,tid,0),tao,'12(id)'!$CT$20,FALSE)))</f>
        <v>20</v>
      </c>
      <c r="O173" s="9000" t="str">
        <f ca="1">+IF(B173="","",IF(VLOOKUP(MATCH(B173,tid,0),tao,'12(id)'!$DE$20,FALSE)="","",ROUND(VLOOKUP(MATCH(B173,tid,0),tao,'12(id)'!$DE$20,FALSE),0)&amp;" yrs"))</f>
        <v>45 yrs</v>
      </c>
      <c r="P173" s="9147" t="str">
        <f>+IF(B173="","",IF(VLOOKUP(MATCH(B173,tid,0),tao,'12(id)'!$FR$20,FALSE)="","",VLOOKUP(MATCH(B173,tid,0),tao,'12(id)'!$FR$20,FALSE)))</f>
        <v>None, per NRG report; 
Water Injection since Jun 2008 per EPA.</v>
      </c>
      <c r="Q173" s="9000" t="str">
        <f>+IF(B173="","",IF(VLOOKUP(MATCH(B173,tid,0),tao,'12(id)'!$DI$20,FALSE)="","",VLOOKUP(MATCH(B173,tid,0),tao,'12(id)'!$DI$20,FALSE))&amp;";  "&amp;IF(VLOOKUP(MATCH(B173,tid,0),tao,'12(id)'!$DQ$20,FALSE)="","",VLOOKUP(MATCH(B173,tid,0),tao,'12(id)'!$DQ$20,FALSE)))</f>
        <v xml:space="preserve">Ultra low sulfur kerosene  oil (ULSD);  </v>
      </c>
      <c r="R173" s="9022">
        <f>+IF(B173="","",1)</f>
        <v>1</v>
      </c>
      <c r="S173" s="8817"/>
      <c r="T173" s="8875" t="str">
        <f>+IF(VLOOKUP(MATCH(E173,op_id,0),op,'7(op)'!$T$18,FALSE)="","",VLOOKUP(MATCH(E173,op_id,0),op,'7(op)'!$T$18,FALSE))</f>
        <v>High Pressure Water Injection (HPWI)</v>
      </c>
      <c r="U173" s="8875"/>
      <c r="V173" s="8875"/>
      <c r="W173" s="7579"/>
      <c r="X173" s="8817"/>
      <c r="Y173" s="8875" t="str">
        <f>+T173</f>
        <v>High Pressure Water Injection (HPWI)</v>
      </c>
      <c r="Z173" s="8875"/>
      <c r="AA173" s="8875"/>
      <c r="AB173" s="7651"/>
      <c r="AC173" s="8817"/>
      <c r="AD173" s="8875" t="str">
        <f>+T173</f>
        <v>High Pressure Water Injection (HPWI)</v>
      </c>
      <c r="AE173" s="8875"/>
      <c r="AF173" s="8875"/>
      <c r="AG173" s="7581"/>
      <c r="AH173" s="5962"/>
      <c r="AI173" s="5959"/>
      <c r="AJ173" s="5959"/>
      <c r="AK173" s="5959"/>
      <c r="AL173" s="5959"/>
      <c r="AM173" s="5959"/>
    </row>
    <row r="174" spans="1:39" ht="15" customHeight="1">
      <c r="A174" s="5952"/>
      <c r="B174" s="9035"/>
      <c r="C174" s="8852" t="str">
        <f>+IF(B174="","",VLOOKUP(MATCH(B174,tid,0),tao,'12(id)'!$J$20,FALSE))</f>
        <v/>
      </c>
      <c r="D174" s="8887"/>
      <c r="E174" s="9035"/>
      <c r="F174" s="5952"/>
      <c r="G174" s="5959"/>
      <c r="H174" s="5952"/>
      <c r="I174" s="9070"/>
      <c r="J174" s="9064" t="e">
        <f>+IF(VLOOKUP(MATCH(B174,tid,0),tao,'12(id)'!$I$20,FALSE)="","",VLOOKUP(MATCH(B174,tid,0),tao,'12(id)'!$I$20,FALSE))</f>
        <v>#N/A</v>
      </c>
      <c r="K174" s="9064"/>
      <c r="L174" s="8971" t="e">
        <f>+IF(VLOOKUP(MATCH(B174,tid,0),tao,'12(id)'!$L$20,FALSE)="","",VLOOKUP(MATCH(B174,tid,0),tao,'12(id)'!$L$20,FALSE))</f>
        <v>#N/A</v>
      </c>
      <c r="M174" s="9077" t="e">
        <f>+IF(VLOOKUP(MATCH(B174,tid,0),tao,'12(id)'!$Q$20,FALSE)="","",VLOOKUP(MATCH(B174,tid,0),tao,'12(id)'!$Q$20,FALSE))</f>
        <v>#N/A</v>
      </c>
      <c r="N174" s="9085" t="e">
        <f>+IF(VLOOKUP(MATCH(B174,tid,0),tao,'12(id)'!$CT$20,FALSE)="","",VLOOKUP(MATCH(B174,tid,0),tao,'12(id)'!$CT$20,FALSE))</f>
        <v>#N/A</v>
      </c>
      <c r="O174" s="9001" t="e">
        <f>+IF(VLOOKUP(MATCH(B174,tid,0),tao,'12(id)'!$DE$20,FALSE)="","",ROUND(VLOOKUP(MATCH(B174,tid,0),tao,'12(id)'!$DE$20,FALSE),0)&amp;" yrs")</f>
        <v>#N/A</v>
      </c>
      <c r="P174" s="8974" t="e">
        <f>+IF(VLOOKUP(MATCH(B174,tid,0),tao,'12(id)'!$FR$20,FALSE)="","",VLOOKUP(MATCH(B174,tid,0),tao,'12(id)'!$FR$20,FALSE))</f>
        <v>#N/A</v>
      </c>
      <c r="Q174" s="9001" t="e">
        <f>+IF(VLOOKUP(MATCH(B174,tid,0),tao,'12(id)'!$DI$20,FALSE)="","",VLOOKUP(MATCH(B174,tid,0),tao,'12(id)'!$DI$20,FALSE))&amp;";  "&amp;IF(VLOOKUP(MATCH(B174,tid,0),tao,'12(id)'!$DQ$20,FALSE)="","",VLOOKUP(MATCH(B174,tid,0),tao,'12(id)'!$DQ$20,FALSE))</f>
        <v>#N/A</v>
      </c>
      <c r="R174" s="8906"/>
      <c r="S174" s="8818"/>
      <c r="T174" s="8874"/>
      <c r="U174" s="8874"/>
      <c r="V174" s="8874"/>
      <c r="W174" s="7616"/>
      <c r="X174" s="8818"/>
      <c r="Y174" s="8900"/>
      <c r="Z174" s="8900"/>
      <c r="AA174" s="8900"/>
      <c r="AB174" s="7652"/>
      <c r="AC174" s="8818"/>
      <c r="AD174" s="8900"/>
      <c r="AE174" s="8900"/>
      <c r="AF174" s="8900"/>
      <c r="AG174" s="7555"/>
      <c r="AH174" s="5962"/>
      <c r="AI174" s="5959"/>
      <c r="AJ174" s="5959"/>
      <c r="AK174" s="5959"/>
      <c r="AL174" s="5959"/>
      <c r="AM174" s="5959"/>
    </row>
    <row r="175" spans="1:39" ht="15" customHeight="1">
      <c r="A175" s="5952"/>
      <c r="B175" s="9035"/>
      <c r="C175" s="8852" t="str">
        <f>+IF(B175="","",VLOOKUP(MATCH(B175,tid,0),tao,'12(id)'!$J$20,FALSE))</f>
        <v/>
      </c>
      <c r="D175" s="8887"/>
      <c r="E175" s="9035"/>
      <c r="F175" s="5952"/>
      <c r="G175" s="5959"/>
      <c r="H175" s="5952"/>
      <c r="I175" s="9070"/>
      <c r="J175" s="9064" t="e">
        <f>+IF(VLOOKUP(MATCH(B175,tid,0),tao,'12(id)'!$I$20,FALSE)="","",VLOOKUP(MATCH(B175,tid,0),tao,'12(id)'!$I$20,FALSE))</f>
        <v>#N/A</v>
      </c>
      <c r="K175" s="9064"/>
      <c r="L175" s="8971" t="e">
        <f>+IF(VLOOKUP(MATCH(B175,tid,0),tao,'12(id)'!$L$20,FALSE)="","",VLOOKUP(MATCH(B175,tid,0),tao,'12(id)'!$L$20,FALSE))</f>
        <v>#N/A</v>
      </c>
      <c r="M175" s="9077" t="e">
        <f>+IF(VLOOKUP(MATCH(B175,tid,0),tao,'12(id)'!$Q$20,FALSE)="","",VLOOKUP(MATCH(B175,tid,0),tao,'12(id)'!$Q$20,FALSE))</f>
        <v>#N/A</v>
      </c>
      <c r="N175" s="9085" t="e">
        <f>+IF(VLOOKUP(MATCH(B175,tid,0),tao,'12(id)'!$CT$20,FALSE)="","",VLOOKUP(MATCH(B175,tid,0),tao,'12(id)'!$CT$20,FALSE))</f>
        <v>#N/A</v>
      </c>
      <c r="O175" s="9001" t="e">
        <f>+IF(VLOOKUP(MATCH(B175,tid,0),tao,'12(id)'!$DE$20,FALSE)="","",ROUND(VLOOKUP(MATCH(B175,tid,0),tao,'12(id)'!$DE$20,FALSE),0)&amp;" yrs")</f>
        <v>#N/A</v>
      </c>
      <c r="P175" s="8974" t="e">
        <f>+IF(VLOOKUP(MATCH(B175,tid,0),tao,'12(id)'!$FR$20,FALSE)="","",VLOOKUP(MATCH(B175,tid,0),tao,'12(id)'!$FR$20,FALSE))</f>
        <v>#N/A</v>
      </c>
      <c r="Q175" s="9001" t="e">
        <f>+IF(VLOOKUP(MATCH(B175,tid,0),tao,'12(id)'!$DI$20,FALSE)="","",VLOOKUP(MATCH(B175,tid,0),tao,'12(id)'!$DI$20,FALSE))&amp;";  "&amp;IF(VLOOKUP(MATCH(B175,tid,0),tao,'12(id)'!$DQ$20,FALSE)="","",VLOOKUP(MATCH(B175,tid,0),tao,'12(id)'!$DQ$20,FALSE))</f>
        <v>#N/A</v>
      </c>
      <c r="R175" s="8906"/>
      <c r="S175" s="8818"/>
      <c r="T175" s="7594" t="str">
        <f>+IF(E173="","",IF(VLOOKUP(MATCH(E173,c_id,0),ca,'13(an)'!$CC$34,FALSE)="",IF(VLOOKUP(MATCH(E173,c_id,0),ca,'13(an)'!$CD$34,FALSE)="",IF(VLOOKUP(MATCH(E173,c_id,0),ca,'13(an)'!$CE$34,FALSE)="","η ≈ N/A","η ≈ "&amp;ROUND(VLOOKUP(MATCH(E173,c_id,0),ca,'13(an)'!$CE$34,FALSE)*100,0)&amp;"%"),"η ≈ "&amp;ROUND(VLOOKUP(MATCH(E173,c_id,0),ca,'13(an)'!$CD$34,FALSE)*100,0)&amp;"%"),"η ≈ "&amp;ROUND(VLOOKUP(MATCH(E173,c_id,0),ca,'13(an)'!$CC$34,FALSE)*100,0)&amp;"%"))</f>
        <v>η ≈ 74%</v>
      </c>
      <c r="U175" s="7595" t="str">
        <f>+IF($U$196="ppmvd",IF(VLOOKUP(MATCH(E173,c_id,0),ca,'13(an)'!$BV$34,FALSE)="","",ROUND(VLOOKUP(MATCH(E173,c_id,0),ca,'13(an)'!$BV$34,FALSE),1)&amp;" ppmvd"),IF(VLOOKUP(MATCH(E173,c_id,0),ca,'13(an)'!$BU$34,FALSE)="","",IF(LEN(ROUND(VLOOKUP(MATCH(E173,c_id,0),ca,'13(an)'!$BU$34,FALSE),3))=3,ROUND(VLOOKUP(MATCH(E173,c_id,0),ca,'13(an)'!$BU$34,FALSE),3)&amp;"00 lb/MMBtu",IF(LEN(ROUND(VLOOKUP(MATCH(E173,c_id,0),ca,'13(an)'!$BU$34,FALSE),3))=4,ROUND(VLOOKUP(MATCH(E173,c_id,0),ca,'13(an)'!$BU$34,FALSE),3)&amp;"0 lb/MMBtu",ROUND(VLOOKUP(MATCH(E173,c_id,0),ca,'13(an)'!$BU$34,FALSE),3)&amp;" lb/MMBtu"))))</f>
        <v>0.220 lb/MMBtu</v>
      </c>
      <c r="V175" s="7596">
        <f>+IF(E173="","",IF(VLOOKUP(MATCH(E173,c_id,0),ca,'13(an)'!$CB$34,FALSE)="","NOx(R) = N/A",ROUND(VLOOKUP(MATCH(E173,c_id,0),ca,'13(an)'!$CB$34,FALSE),1)))</f>
        <v>2.5</v>
      </c>
      <c r="W175" s="7534"/>
      <c r="X175" s="8818"/>
      <c r="Y175" s="7594" t="str">
        <f>+IF(E173="","",IF(VLOOKUP(MATCH(E173,c_id,0),ca,'13(an)'!$CM$34,FALSE)="",IF(VLOOKUP(MATCH(E173,c_id,0),ca,'13(an)'!$CN$34,FALSE)="",IF(VLOOKUP(MATCH(E173,c_id,0),ca,'13(an)'!$CO$34,FALSE)="","η ≈ N/A","η ≈ "&amp;ROUND(VLOOKUP(MATCH(E173,c_id,0),ca,'13(an)'!$CO$34,FALSE)*100,0)&amp;"%"),"η ≈ "&amp;ROUND(VLOOKUP(MATCH(E173,c_id,0),ca,'13(an)'!$CN$34,FALSE)*100,0)&amp;"%"),"η ≈ "&amp;ROUND(VLOOKUP(MATCH(E173,c_id,0),ca,'13(an)'!$CM$34,FALSE)*100,0)&amp;"%"))</f>
        <v>η ≈ 73%</v>
      </c>
      <c r="Z175" s="7653" t="str">
        <f>+IF($Z$196="ppmvd",IF(VLOOKUP(MATCH(E173,c_id,0),ca,'13(an)'!$CJ$34,FALSE)="","",ROUND(VLOOKUP(MATCH(E173,c_id,0),ca,'13(an)'!$CJ$34,FALSE),1)&amp;" ppmvd"),IF(VLOOKUP(MATCH(E173,c_id,0),ca,'13(an)'!$CI$34,FALSE)="","",IF(LEN(ROUND(VLOOKUP(MATCH(E173,c_id,0),ca,'13(an)'!$CI$34,FALSE),3))=3,ROUND(VLOOKUP(MATCH(E173,c_id,0),ca,'13(an)'!$CI$34,FALSE),3)&amp;"00 lb/MMBtu",IF(LEN(ROUND(VLOOKUP(MATCH(E173,c_id,0),ca,'13(an)'!$CI$34,FALSE),3))=4,ROUND(VLOOKUP(MATCH(E173,c_id,0),ca,'13(an)'!$CI$34,FALSE),3)&amp;"0 lb/MMBtu",ROUND(VLOOKUP(MATCH(E173,c_id,0),ca,'13(an)'!$CI$34,FALSE),3)&amp;" lb/MMBtu"))))</f>
        <v>0.200 lb/MMBtu</v>
      </c>
      <c r="AA175" s="7596">
        <f>+IF(E173="","",IF(VLOOKUP(MATCH(E173,c_id,0),ca,'13(an)'!$CL$34,FALSE)="","NOx(R) = N/A",ROUND(VLOOKUP(MATCH(E173,c_id,0),ca,'13(an)'!$CL$34,FALSE),1)))</f>
        <v>2.6</v>
      </c>
      <c r="AB175" s="7654"/>
      <c r="AC175" s="8818"/>
      <c r="AD175" s="7594" t="str">
        <f>+IF(E173="","",IF(VLOOKUP(MATCH(E173,c_id,0),ca,'13(an)'!$CM$34,FALSE)="",IF(VLOOKUP(MATCH(E173,c_id,0),ca,'13(an)'!$CN$34,FALSE)="",IF(VLOOKUP(MATCH(E173,c_id,0),ca,'13(an)'!$CO$34,FALSE)="","η ≈ N/A","η ≈ "&amp;ROUND(VLOOKUP(MATCH(E173,c_id,0),ca,'13(an)'!$CO$34,FALSE)*100,0)&amp;"%"),"η ≈ "&amp;ROUND(VLOOKUP(MATCH(E173,c_id,0),ca,'13(an)'!$CN$34,FALSE)*100,0)&amp;"%"),"η ≈ "&amp;ROUND(VLOOKUP(MATCH(E173,c_id,0),ca,'13(an)'!$CM$34,FALSE)*100,0)&amp;"%"))</f>
        <v>η ≈ 73%</v>
      </c>
      <c r="AE175" s="7595" t="str">
        <f>+IF($AE$196="ppmvd",IF(VLOOKUP(MATCH(E173,c_id,0),ca,'13(an)'!$CJ$34,FALSE)="","",ROUND(VLOOKUP(MATCH(E173,c_id,0),ca,'13(an)'!$CJ$34,FALSE),1)&amp;" ppmvd"),IF(VLOOKUP(MATCH(E173,c_id,0),ca,'13(an)'!$CI$34,FALSE)="","",IF(LEN(ROUND(VLOOKUP(MATCH(E173,c_id,0),ca,'13(an)'!$CI$34,FALSE),3))=3,ROUND(VLOOKUP(MATCH(E173,c_id,0),ca,'13(an)'!$CI$34,FALSE),3)&amp;"00 lb/MMBtu",IF(LEN(ROUND(VLOOKUP(MATCH(E173,c_id,0),ca,'13(an)'!$CI$34,FALSE),3))=4,ROUND(VLOOKUP(MATCH(E173,c_id,0),ca,'13(an)'!$CI$34,FALSE),3)&amp;"0 lb/MMBtu",ROUND(VLOOKUP(MATCH(E173,c_id,0),ca,'13(an)'!$CI$34,FALSE),3)&amp;" lb/MMBtu"))))</f>
        <v>0.200 lb/MMBtu</v>
      </c>
      <c r="AF175" s="7596">
        <f>+IF(E173="","",IF(VLOOKUP(MATCH(E173,c_id,0),ca,'13(an)'!$CL$34,FALSE)="","NOx(R) = N/A",ROUND(VLOOKUP(MATCH(E173,c_id,0),ca,'13(an)'!$CL$34,FALSE),1)))</f>
        <v>2.6</v>
      </c>
      <c r="AG175" s="7536"/>
      <c r="AH175" s="5962"/>
      <c r="AI175" s="5959"/>
      <c r="AJ175" s="5959"/>
      <c r="AK175" s="5959"/>
      <c r="AL175" s="5959"/>
      <c r="AM175" s="5959"/>
    </row>
    <row r="176" spans="1:39" ht="15" customHeight="1">
      <c r="A176" s="5952"/>
      <c r="B176" s="9035"/>
      <c r="C176" s="8852" t="str">
        <f>+IF(B176="","",VLOOKUP(MATCH(B176,tid,0),tao,'12(id)'!$J$20,FALSE))</f>
        <v/>
      </c>
      <c r="D176" s="8887"/>
      <c r="E176" s="9035"/>
      <c r="F176" s="5952"/>
      <c r="G176" s="5959"/>
      <c r="H176" s="5952"/>
      <c r="I176" s="9070"/>
      <c r="J176" s="9064" t="e">
        <f>+IF(VLOOKUP(MATCH(B176,tid,0),tao,'12(id)'!$I$20,FALSE)="","",VLOOKUP(MATCH(B176,tid,0),tao,'12(id)'!$I$20,FALSE))</f>
        <v>#N/A</v>
      </c>
      <c r="K176" s="9064"/>
      <c r="L176" s="8971" t="e">
        <f>+IF(VLOOKUP(MATCH(B176,tid,0),tao,'12(id)'!$L$20,FALSE)="","",VLOOKUP(MATCH(B176,tid,0),tao,'12(id)'!$L$20,FALSE))</f>
        <v>#N/A</v>
      </c>
      <c r="M176" s="9077" t="e">
        <f>+IF(VLOOKUP(MATCH(B176,tid,0),tao,'12(id)'!$Q$20,FALSE)="","",VLOOKUP(MATCH(B176,tid,0),tao,'12(id)'!$Q$20,FALSE))</f>
        <v>#N/A</v>
      </c>
      <c r="N176" s="9085" t="e">
        <f>+IF(VLOOKUP(MATCH(B176,tid,0),tao,'12(id)'!$CT$20,FALSE)="","",VLOOKUP(MATCH(B176,tid,0),tao,'12(id)'!$CT$20,FALSE))</f>
        <v>#N/A</v>
      </c>
      <c r="O176" s="9001" t="e">
        <f>+IF(VLOOKUP(MATCH(B176,tid,0),tao,'12(id)'!$DE$20,FALSE)="","",ROUND(VLOOKUP(MATCH(B176,tid,0),tao,'12(id)'!$DE$20,FALSE),0)&amp;" yrs")</f>
        <v>#N/A</v>
      </c>
      <c r="P176" s="8974" t="e">
        <f>+IF(VLOOKUP(MATCH(B176,tid,0),tao,'12(id)'!$FR$20,FALSE)="","",VLOOKUP(MATCH(B176,tid,0),tao,'12(id)'!$FR$20,FALSE))</f>
        <v>#N/A</v>
      </c>
      <c r="Q176" s="9001" t="e">
        <f>+IF(VLOOKUP(MATCH(B176,tid,0),tao,'12(id)'!$DI$20,FALSE)="","",VLOOKUP(MATCH(B176,tid,0),tao,'12(id)'!$DI$20,FALSE))&amp;";  "&amp;IF(VLOOKUP(MATCH(B176,tid,0),tao,'12(id)'!$DQ$20,FALSE)="","",VLOOKUP(MATCH(B176,tid,0),tao,'12(id)'!$DQ$20,FALSE))</f>
        <v>#N/A</v>
      </c>
      <c r="R176" s="8906"/>
      <c r="S176" s="8818"/>
      <c r="T176" s="7537">
        <f>+IF(VLOOKUP(MATCH(E173,c_id,0),ca,'13(an)'!$GF$34,FALSE)="","",VLOOKUP(MATCH(E173,c_id,0),ca,'13(an)'!$GF$34,FALSE))</f>
        <v>2409779</v>
      </c>
      <c r="U176" s="7538" t="str">
        <f>+IF(T176="","","$ TCC/unit")</f>
        <v>$ TCC/unit</v>
      </c>
      <c r="V176" s="7539">
        <f>+IF(VLOOKUP(MATCH(E173,c_id,0),ca,'13(an)'!$HA$34,FALSE)="","",VLOOKUP(MATCH(E173,c_id,0),ca,'13(an)'!$HA$34,FALSE))</f>
        <v>299054</v>
      </c>
      <c r="W176" s="7540"/>
      <c r="X176" s="8818"/>
      <c r="Y176" s="7537">
        <f>+IF(VLOOKUP(MATCH(E173,c_id,0),ca,'13(an)'!$IA$34,FALSE)="","",VLOOKUP(MATCH(E173,c_id,0),ca,'13(an)'!$IA$34,FALSE))</f>
        <v>2259168.12</v>
      </c>
      <c r="Z176" s="7538" t="str">
        <f>+IF(Y176="","","$ TCC/unit")</f>
        <v>$ TCC/unit</v>
      </c>
      <c r="AA176" s="7539">
        <f>+IF(Y176="","",$AA$14*Y176)</f>
        <v>213249.48859269058</v>
      </c>
      <c r="AB176" s="7655"/>
      <c r="AC176" s="8818"/>
      <c r="AD176" s="7537">
        <f>+IF(VLOOKUP(MATCH(E173,c_id,0),ca,'13(an)'!$JS$34,FALSE)="","",VLOOKUP(MATCH(E173,c_id,0),ca,'13(an)'!$JS$34,FALSE))</f>
        <v>1725675</v>
      </c>
      <c r="AE176" s="7538" t="str">
        <f>+IF(AD176="","","$ TCC/unit")</f>
        <v>$ TCC/unit</v>
      </c>
      <c r="AF176" s="7539">
        <f>+IF(AD176="","",$AF$14*AD176)</f>
        <v>148081.06430477212</v>
      </c>
      <c r="AG176" s="7542"/>
      <c r="AH176" s="5962"/>
      <c r="AI176" s="5959"/>
      <c r="AJ176" s="5959"/>
      <c r="AK176" s="5959"/>
      <c r="AL176" s="5959"/>
      <c r="AM176" s="5959"/>
    </row>
    <row r="177" spans="1:39" ht="15" customHeight="1">
      <c r="A177" s="5952"/>
      <c r="B177" s="9035"/>
      <c r="C177" s="8852" t="str">
        <f>+IF(B177="","",VLOOKUP(MATCH(B177,tid,0),tao,'12(id)'!$J$20,FALSE))</f>
        <v/>
      </c>
      <c r="D177" s="8887"/>
      <c r="E177" s="9035"/>
      <c r="F177" s="5952"/>
      <c r="G177" s="5959"/>
      <c r="H177" s="5952"/>
      <c r="I177" s="9070"/>
      <c r="J177" s="9064" t="e">
        <f>+IF(VLOOKUP(MATCH(B177,tid,0),tao,'12(id)'!$I$20,FALSE)="","",VLOOKUP(MATCH(B177,tid,0),tao,'12(id)'!$I$20,FALSE))</f>
        <v>#N/A</v>
      </c>
      <c r="K177" s="9064"/>
      <c r="L177" s="8971" t="e">
        <f>+IF(VLOOKUP(MATCH(B177,tid,0),tao,'12(id)'!$L$20,FALSE)="","",VLOOKUP(MATCH(B177,tid,0),tao,'12(id)'!$L$20,FALSE))</f>
        <v>#N/A</v>
      </c>
      <c r="M177" s="9077" t="e">
        <f>+IF(VLOOKUP(MATCH(B177,tid,0),tao,'12(id)'!$Q$20,FALSE)="","",VLOOKUP(MATCH(B177,tid,0),tao,'12(id)'!$Q$20,FALSE))</f>
        <v>#N/A</v>
      </c>
      <c r="N177" s="9085" t="e">
        <f>+IF(VLOOKUP(MATCH(B177,tid,0),tao,'12(id)'!$CT$20,FALSE)="","",VLOOKUP(MATCH(B177,tid,0),tao,'12(id)'!$CT$20,FALSE))</f>
        <v>#N/A</v>
      </c>
      <c r="O177" s="9001" t="e">
        <f>+IF(VLOOKUP(MATCH(B177,tid,0),tao,'12(id)'!$DE$20,FALSE)="","",ROUND(VLOOKUP(MATCH(B177,tid,0),tao,'12(id)'!$DE$20,FALSE),0)&amp;" yrs")</f>
        <v>#N/A</v>
      </c>
      <c r="P177" s="8974" t="e">
        <f>+IF(VLOOKUP(MATCH(B177,tid,0),tao,'12(id)'!$FR$20,FALSE)="","",VLOOKUP(MATCH(B177,tid,0),tao,'12(id)'!$FR$20,FALSE))</f>
        <v>#N/A</v>
      </c>
      <c r="Q177" s="9001" t="e">
        <f>+IF(VLOOKUP(MATCH(B177,tid,0),tao,'12(id)'!$DI$20,FALSE)="","",VLOOKUP(MATCH(B177,tid,0),tao,'12(id)'!$DI$20,FALSE))&amp;";  "&amp;IF(VLOOKUP(MATCH(B177,tid,0),tao,'12(id)'!$DQ$20,FALSE)="","",VLOOKUP(MATCH(B177,tid,0),tao,'12(id)'!$DQ$20,FALSE))</f>
        <v>#N/A</v>
      </c>
      <c r="R177" s="8906"/>
      <c r="S177" s="8818"/>
      <c r="T177" s="7543">
        <f>+IF(OR(T176="",N173=""),"",T176/N173)</f>
        <v>120488.95</v>
      </c>
      <c r="U177" s="7566" t="str">
        <f>+IF(T177="","","$ TCC/MW nom")</f>
        <v>$ TCC/MW nom</v>
      </c>
      <c r="V177" s="7566"/>
      <c r="W177" s="7544"/>
      <c r="X177" s="8818"/>
      <c r="Y177" s="7543">
        <f>+IF(OR(Y176="",N173=""),"",Y176/N173)</f>
        <v>112958.406</v>
      </c>
      <c r="Z177" s="8820" t="str">
        <f>+IF(Y177="","","$ TCC / MW nominal capacity")</f>
        <v>$ TCC / MW nominal capacity</v>
      </c>
      <c r="AA177" s="8820"/>
      <c r="AB177" s="7463"/>
      <c r="AC177" s="8818"/>
      <c r="AD177" s="7543">
        <f>+IF(OR(AD176="",N173=""),"",AD176/N173)</f>
        <v>86283.75</v>
      </c>
      <c r="AE177" s="8820" t="str">
        <f>+IF(AD177="","","$ TCC / MW nominal capacity")</f>
        <v>$ TCC / MW nominal capacity</v>
      </c>
      <c r="AF177" s="8820"/>
      <c r="AG177" s="7546"/>
      <c r="AH177" s="5962"/>
      <c r="AI177" s="5959"/>
      <c r="AJ177" s="5959"/>
      <c r="AK177" s="5959"/>
      <c r="AL177" s="5959"/>
      <c r="AM177" s="5959"/>
    </row>
    <row r="178" spans="1:39" ht="15" customHeight="1">
      <c r="A178" s="5952"/>
      <c r="B178" s="9062"/>
      <c r="C178" s="8852" t="str">
        <f>+IF(B178="","",VLOOKUP(MATCH(B178,tid,0),tao,'12(id)'!$J$20,FALSE))</f>
        <v/>
      </c>
      <c r="D178" s="8889"/>
      <c r="E178" s="9062"/>
      <c r="F178" s="5952"/>
      <c r="G178" s="5959"/>
      <c r="H178" s="5952"/>
      <c r="I178" s="9071"/>
      <c r="J178" s="9064" t="e">
        <f>+IF(VLOOKUP(MATCH(B178,tid,0),tao,'12(id)'!$I$20,FALSE)="","",VLOOKUP(MATCH(B178,tid,0),tao,'12(id)'!$I$20,FALSE))</f>
        <v>#N/A</v>
      </c>
      <c r="K178" s="9064"/>
      <c r="L178" s="8972" t="e">
        <f>+IF(VLOOKUP(MATCH(B178,tid,0),tao,'12(id)'!$L$20,FALSE)="","",VLOOKUP(MATCH(B178,tid,0),tao,'12(id)'!$L$20,FALSE))</f>
        <v>#N/A</v>
      </c>
      <c r="M178" s="9124" t="e">
        <f>+IF(VLOOKUP(MATCH(B178,tid,0),tao,'12(id)'!$Q$20,FALSE)="","",VLOOKUP(MATCH(B178,tid,0),tao,'12(id)'!$Q$20,FALSE))</f>
        <v>#N/A</v>
      </c>
      <c r="N178" s="9091" t="e">
        <f>+IF(VLOOKUP(MATCH(B178,tid,0),tao,'12(id)'!$CT$20,FALSE)="","",VLOOKUP(MATCH(B178,tid,0),tao,'12(id)'!$CT$20,FALSE))</f>
        <v>#N/A</v>
      </c>
      <c r="O178" s="9027" t="e">
        <f>+IF(VLOOKUP(MATCH(B178,tid,0),tao,'12(id)'!$DE$20,FALSE)="","",ROUND(VLOOKUP(MATCH(B178,tid,0),tao,'12(id)'!$DE$20,FALSE),0)&amp;" yrs")</f>
        <v>#N/A</v>
      </c>
      <c r="P178" s="8975" t="e">
        <f>+IF(VLOOKUP(MATCH(B178,tid,0),tao,'12(id)'!$FR$20,FALSE)="","",VLOOKUP(MATCH(B178,tid,0),tao,'12(id)'!$FR$20,FALSE))</f>
        <v>#N/A</v>
      </c>
      <c r="Q178" s="9027" t="e">
        <f>+IF(VLOOKUP(MATCH(B178,tid,0),tao,'12(id)'!$DI$20,FALSE)="","",VLOOKUP(MATCH(B178,tid,0),tao,'12(id)'!$DI$20,FALSE))&amp;";  "&amp;IF(VLOOKUP(MATCH(B178,tid,0),tao,'12(id)'!$DQ$20,FALSE)="","",VLOOKUP(MATCH(B178,tid,0),tao,'12(id)'!$DQ$20,FALSE))</f>
        <v>#N/A</v>
      </c>
      <c r="R178" s="8981"/>
      <c r="S178" s="8819"/>
      <c r="T178" s="7590">
        <f>+IF(VLOOKUP(MATCH(E173,c_id,0),ca,'13(an)'!$HF$34,FALSE)="","",VLOOKUP(MATCH(E173,c_id,0),ca,'13(an)'!$HF$34,FALSE))</f>
        <v>162782</v>
      </c>
      <c r="U178" s="8896" t="str">
        <f>IF(T178="","","$ /ton "&amp;"NOx(R)")</f>
        <v>$ /ton NOx(R)</v>
      </c>
      <c r="V178" s="8896"/>
      <c r="W178" s="7591"/>
      <c r="X178" s="8819"/>
      <c r="Y178" s="7590">
        <f>+IF(VLOOKUP(MATCH(E173,c_id,0),ca,'13(an)'!$JE$34,FALSE)="","",VLOOKUP(MATCH(E173,c_id,0),ca,'13(an)'!$JE$34,FALSE))</f>
        <v>140368.80534993167</v>
      </c>
      <c r="Z178" s="8896" t="str">
        <f>IF(Y178="","","$ /ton "&amp;"NOx(R)")</f>
        <v>$ /ton NOx(R)</v>
      </c>
      <c r="AA178" s="8896"/>
      <c r="AB178" s="7656"/>
      <c r="AC178" s="8819"/>
      <c r="AD178" s="7590">
        <f>+IF(VLOOKUP(MATCH(E173,c_id,0),ca,'13(an)'!$LB$34,FALSE)="","",VLOOKUP(MATCH(E173,c_id,0),ca,'13(an)'!$LB$34,FALSE))</f>
        <v>87856.033745117646</v>
      </c>
      <c r="AE178" s="8896" t="str">
        <f>IF(AD178="","","$ /ton "&amp;"NOx(R)")</f>
        <v>$ /ton NOx(R)</v>
      </c>
      <c r="AF178" s="8896"/>
      <c r="AG178" s="7593"/>
      <c r="AH178" s="5962"/>
      <c r="AI178" s="5959"/>
      <c r="AJ178" s="5959"/>
      <c r="AK178" s="5959"/>
      <c r="AL178" s="5959"/>
      <c r="AM178" s="5959"/>
    </row>
    <row r="179" spans="1:39" ht="18.95" customHeight="1">
      <c r="A179" s="5952"/>
      <c r="B179" s="7657" t="str">
        <f>+IF('12(id)'!A34="","",'12(id)'!A34)</f>
        <v>8300-02</v>
      </c>
      <c r="C179" s="8852" t="str">
        <f>+IF(B179="","",VLOOKUP(MATCH(B179,tid,0),tao,'12(id)'!$J$20,FALSE))</f>
        <v>NRG</v>
      </c>
      <c r="D179" s="7658" t="str">
        <f>+IF(B179="","",M179)</f>
        <v>CC10</v>
      </c>
      <c r="E179" s="9138" t="str">
        <f>+IF(B179="","",B179&amp;IF(ISERR(VALUE(R179)),"-01",IF(R179&lt;10,"-0"&amp;R179,"-"&amp;R179)))</f>
        <v>8300-02-01</v>
      </c>
      <c r="F179" s="5952"/>
      <c r="G179" s="5959"/>
      <c r="H179" s="5952"/>
      <c r="I179" s="7659">
        <f>1+I173</f>
        <v>14</v>
      </c>
      <c r="J179" s="9064" t="str">
        <f>+IF(VLOOKUP(MATCH(B179,tid,0),tao,'12(id)'!$I$20,FALSE)="","",VLOOKUP(MATCH(B179,tid,0),tao,'12(id)'!$I$20,FALSE))</f>
        <v/>
      </c>
      <c r="K179" s="9064"/>
      <c r="L179" s="8970" t="str">
        <f>+IF(B179="","",IF(VLOOKUP(MATCH(B179,tid,0),tao,'12(id)'!$L$20,FALSE)="","",VLOOKUP(MATCH(B179,tid,0),tao,'12(id)'!$L$20,FALSE)))</f>
        <v>Cos Cob</v>
      </c>
      <c r="M179" s="7660" t="str">
        <f>+IF(B179="","",IF(VLOOKUP(MATCH(B179,tid,0),tao,'12(id)'!$Q$20,FALSE)="","",VLOOKUP(MATCH(B179,tid,0),tao,'12(id)'!$Q$20,FALSE)))</f>
        <v>CC10</v>
      </c>
      <c r="N179" s="7661">
        <f>+IF(B179="","",IF(VLOOKUP(MATCH(B179,tid,0),tao,'12(id)'!$CT$20,FALSE)="","",VLOOKUP(MATCH(B179,tid,0),tao,'12(id)'!$CT$20,FALSE)))</f>
        <v>20</v>
      </c>
      <c r="O179" s="7662" t="str">
        <f ca="1">+IF(B179="","",IF(VLOOKUP(MATCH(B179,tid,0),tao,'12(id)'!$DE$20,FALSE)="","",ROUND(VLOOKUP(MATCH(B179,tid,0),tao,'12(id)'!$DE$20,FALSE),0)&amp;" yrs"))</f>
        <v>45 yrs</v>
      </c>
      <c r="P179" s="8973" t="str">
        <f>+IF(B179="","",IF(VLOOKUP(MATCH(B179,tid,0),tao,'12(id)'!$FR$20,FALSE)="","",VLOOKUP(MATCH(B179,tid,0),tao,'12(id)'!$FR$20,FALSE)))</f>
        <v>Water Injection</v>
      </c>
      <c r="Q179" s="9139" t="str">
        <f>+IF(B179="","",IF(VLOOKUP(MATCH(B179,tid,0),tao,'12(id)'!$DI$20,FALSE)="","",VLOOKUP(MATCH(B179,tid,0),tao,'12(id)'!$DI$20,FALSE))&amp;";  "&amp;IF(VLOOKUP(MATCH(B179,tid,0),tao,'12(id)'!$DQ$20,FALSE)="","",VLOOKUP(MATCH(B179,tid,0),tao,'12(id)'!$DQ$20,FALSE)))</f>
        <v xml:space="preserve">Ultra low sulfur kerosene  oil (ULSD);  </v>
      </c>
      <c r="R179" s="9129" t="str">
        <f>+IF(B179="","","No option proposed")</f>
        <v>No option proposed</v>
      </c>
      <c r="S179" s="8859"/>
      <c r="T179" s="9254" t="str">
        <f>+IF(VLOOKUP(MATCH(E179,op_id,0),op,'7(op)'!$T$18,FALSE)="","",VLOOKUP(MATCH(E179,op_id,0),op,'7(op)'!$T$18,FALSE))</f>
        <v>Control option data not provided - No additional NOx controls are feasible, per NRG.</v>
      </c>
      <c r="U179" s="9254"/>
      <c r="V179" s="9254"/>
      <c r="W179" s="7663"/>
      <c r="X179" s="8859"/>
      <c r="Y179" s="9254" t="str">
        <f>+T179</f>
        <v>Control option data not provided - No additional NOx controls are feasible, per NRG.</v>
      </c>
      <c r="Z179" s="9254"/>
      <c r="AA179" s="9254"/>
      <c r="AB179" s="7664"/>
      <c r="AC179" s="8818"/>
      <c r="AD179" s="8969" t="str">
        <f>+Y179</f>
        <v>Control option data not provided - No additional NOx controls are feasible, per NRG.</v>
      </c>
      <c r="AE179" s="8969"/>
      <c r="AF179" s="8969"/>
      <c r="AG179" s="7665"/>
      <c r="AH179" s="5962"/>
      <c r="AI179" s="5959"/>
      <c r="AJ179" s="5959"/>
      <c r="AK179" s="5959"/>
      <c r="AL179" s="5959"/>
      <c r="AM179" s="5959"/>
    </row>
    <row r="180" spans="1:39" ht="18.95" customHeight="1">
      <c r="A180" s="5952"/>
      <c r="B180" s="7657" t="str">
        <f>+IF('12(id)'!A35="","",'12(id)'!A35)</f>
        <v>8300-03</v>
      </c>
      <c r="C180" s="8852" t="str">
        <f>+IF(B180="","",VLOOKUP(MATCH(B180,tid,0),tao,'12(id)'!$J$20,FALSE))</f>
        <v>NRG</v>
      </c>
      <c r="D180" s="7658" t="str">
        <f>+IF(B179="","",M180)</f>
        <v>CC11</v>
      </c>
      <c r="E180" s="9035"/>
      <c r="F180" s="5952"/>
      <c r="G180" s="5959"/>
      <c r="H180" s="5952"/>
      <c r="I180" s="7659">
        <f>1+I179</f>
        <v>15</v>
      </c>
      <c r="J180" s="9064" t="str">
        <f>+IF(VLOOKUP(MATCH(B180,tid,0),tao,'12(id)'!$I$20,FALSE)="","",VLOOKUP(MATCH(B180,tid,0),tao,'12(id)'!$I$20,FALSE))</f>
        <v/>
      </c>
      <c r="K180" s="9064"/>
      <c r="L180" s="8971" t="str">
        <f>+IF(VLOOKUP(MATCH(B180,tid,0),tao,'12(id)'!$L$20,FALSE)="","",VLOOKUP(MATCH(B180,tid,0),tao,'12(id)'!$L$20,FALSE))</f>
        <v>Cos Cob</v>
      </c>
      <c r="M180" s="7660" t="str">
        <f>+IF(B180="","",IF(VLOOKUP(MATCH(B180,tid,0),tao,'12(id)'!$Q$20,FALSE)="","",VLOOKUP(MATCH(B180,tid,0),tao,'12(id)'!$Q$20,FALSE)))</f>
        <v>CC11</v>
      </c>
      <c r="N180" s="7661">
        <f>+IF(B180="","",IF(VLOOKUP(MATCH(B180,tid,0),tao,'12(id)'!$CT$20,FALSE)="","",VLOOKUP(MATCH(B180,tid,0),tao,'12(id)'!$CT$20,FALSE)))</f>
        <v>20</v>
      </c>
      <c r="O180" s="7662" t="str">
        <f ca="1">+IF(B180="","",IF(VLOOKUP(MATCH(B180,tid,0),tao,'12(id)'!$DE$20,FALSE)="","",ROUND(VLOOKUP(MATCH(B180,tid,0),tao,'12(id)'!$DE$20,FALSE),0)&amp;" yrs"))</f>
        <v>45 yrs</v>
      </c>
      <c r="P180" s="8974" t="str">
        <f>+IF(VLOOKUP(MATCH(B180,tid,0),tao,'12(id)'!$FR$20,FALSE)="","",VLOOKUP(MATCH(B180,tid,0),tao,'12(id)'!$FR$20,FALSE))</f>
        <v>Water Injection</v>
      </c>
      <c r="Q180" s="9140"/>
      <c r="R180" s="8985"/>
      <c r="S180" s="8818"/>
      <c r="T180" s="8969"/>
      <c r="U180" s="8969"/>
      <c r="V180" s="8969"/>
      <c r="W180" s="7666"/>
      <c r="X180" s="8818"/>
      <c r="Y180" s="8969"/>
      <c r="Z180" s="8969"/>
      <c r="AA180" s="8969"/>
      <c r="AB180" s="7667"/>
      <c r="AC180" s="8818"/>
      <c r="AD180" s="8969"/>
      <c r="AE180" s="8969"/>
      <c r="AF180" s="8969"/>
      <c r="AG180" s="7665"/>
      <c r="AH180" s="5962"/>
      <c r="AI180" s="5959"/>
      <c r="AJ180" s="5959"/>
      <c r="AK180" s="5959"/>
      <c r="AL180" s="5959"/>
      <c r="AM180" s="5959"/>
    </row>
    <row r="181" spans="1:39" ht="18.95" customHeight="1">
      <c r="A181" s="5952"/>
      <c r="B181" s="7657" t="str">
        <f>+IF('12(id)'!A36="","",'12(id)'!A36)</f>
        <v>8300-04</v>
      </c>
      <c r="C181" s="8852" t="str">
        <f>+IF(B181="","",VLOOKUP(MATCH(B181,tid,0),tao,'12(id)'!$J$20,FALSE))</f>
        <v>NRG</v>
      </c>
      <c r="D181" s="7658" t="str">
        <f>+IF(B179="","",M181)</f>
        <v>CC12</v>
      </c>
      <c r="E181" s="9062"/>
      <c r="F181" s="5952"/>
      <c r="G181" s="5959"/>
      <c r="H181" s="5952"/>
      <c r="I181" s="7659">
        <f>1+I180</f>
        <v>16</v>
      </c>
      <c r="J181" s="9064" t="str">
        <f>+IF(VLOOKUP(MATCH(B181,tid,0),tao,'12(id)'!$I$20,FALSE)="","",VLOOKUP(MATCH(B181,tid,0),tao,'12(id)'!$I$20,FALSE))</f>
        <v/>
      </c>
      <c r="K181" s="9064"/>
      <c r="L181" s="8971" t="str">
        <f>+IF(VLOOKUP(MATCH(B181,tid,0),tao,'12(id)'!$L$20,FALSE)="","",VLOOKUP(MATCH(B181,tid,0),tao,'12(id)'!$L$20,FALSE))</f>
        <v>Cos Cob</v>
      </c>
      <c r="M181" s="7660" t="str">
        <f>+IF(B181="","",IF(VLOOKUP(MATCH(B181,tid,0),tao,'12(id)'!$Q$20,FALSE)="","",VLOOKUP(MATCH(B181,tid,0),tao,'12(id)'!$Q$20,FALSE)))</f>
        <v>CC12</v>
      </c>
      <c r="N181" s="7661">
        <f>+IF(B181="","",IF(VLOOKUP(MATCH(B181,tid,0),tao,'12(id)'!$CT$20,FALSE)="","",VLOOKUP(MATCH(B181,tid,0),tao,'12(id)'!$CT$20,FALSE)))</f>
        <v>20</v>
      </c>
      <c r="O181" s="7662" t="str">
        <f ca="1">+IF(B181="","",IF(VLOOKUP(MATCH(B181,tid,0),tao,'12(id)'!$DE$20,FALSE)="","",ROUND(VLOOKUP(MATCH(B181,tid,0),tao,'12(id)'!$DE$20,FALSE),0)&amp;" yrs"))</f>
        <v>45 yrs</v>
      </c>
      <c r="P181" s="8974" t="str">
        <f>+IF(VLOOKUP(MATCH(B181,tid,0),tao,'12(id)'!$FR$20,FALSE)="","",VLOOKUP(MATCH(B181,tid,0),tao,'12(id)'!$FR$20,FALSE))</f>
        <v>Water Injection</v>
      </c>
      <c r="Q181" s="9141"/>
      <c r="R181" s="8985"/>
      <c r="S181" s="8818"/>
      <c r="T181" s="8898" t="str">
        <f>+IF(VLOOKUP(MATCH(E179,op_id,0),op,'7(op)'!$W$18,FALSE)="","",VLOOKUP(MATCH(E179,op_id,0),op,'7(op)'!$W$18,FALSE))</f>
        <v>These units Stack Test data (FLER= 0.22 lb/MMBtu) is taken as reference for other facilities as Controlled NOx Rate estimate if HPWI technology is applied.</v>
      </c>
      <c r="U181" s="8898"/>
      <c r="V181" s="8898"/>
      <c r="W181" s="7668"/>
      <c r="X181" s="8818"/>
      <c r="Y181" s="8898" t="str">
        <f>+T181</f>
        <v>These units Stack Test data (FLER= 0.22 lb/MMBtu) is taken as reference for other facilities as Controlled NOx Rate estimate if HPWI technology is applied.</v>
      </c>
      <c r="Z181" s="8898"/>
      <c r="AA181" s="8898"/>
      <c r="AB181" s="7465"/>
      <c r="AC181" s="8818"/>
      <c r="AD181" s="8898" t="str">
        <f>+Y181</f>
        <v>These units Stack Test data (FLER= 0.22 lb/MMBtu) is taken as reference for other facilities as Controlled NOx Rate estimate if HPWI technology is applied.</v>
      </c>
      <c r="AE181" s="8898"/>
      <c r="AF181" s="8898"/>
      <c r="AG181" s="7669"/>
      <c r="AH181" s="5962"/>
      <c r="AI181" s="5959"/>
      <c r="AJ181" s="5959"/>
      <c r="AK181" s="5959"/>
      <c r="AL181" s="5959"/>
      <c r="AM181" s="5959"/>
    </row>
    <row r="182" spans="1:39" ht="24" customHeight="1">
      <c r="A182" s="5952"/>
      <c r="B182" s="7657" t="str">
        <f>+IF('12(id)'!A37="","",'12(id)'!A37)</f>
        <v>8300-05</v>
      </c>
      <c r="C182" s="8852" t="str">
        <f>+IF(B182="","",VLOOKUP(MATCH(B182,tid,0),tao,'12(id)'!$J$20,FALSE))</f>
        <v>NRG</v>
      </c>
      <c r="D182" s="7658" t="str">
        <f>+IF(B182="","",M182)</f>
        <v>CC13</v>
      </c>
      <c r="E182" s="9138" t="str">
        <f>+IF(B182="","",B182&amp;IF(ISERR(VALUE(R182)),"-01",IF(R182&lt;10,"-0"&amp;IF(R182="",1,R182),"-"&amp;R182)))</f>
        <v>8300-05-01</v>
      </c>
      <c r="F182" s="5952"/>
      <c r="G182" s="5959"/>
      <c r="H182" s="5952"/>
      <c r="I182" s="7659">
        <f>1+I181</f>
        <v>17</v>
      </c>
      <c r="J182" s="9064" t="str">
        <f>+IF(VLOOKUP(MATCH(B182,tid,0),tao,'12(id)'!$I$20,FALSE)="","",VLOOKUP(MATCH(B182,tid,0),tao,'12(id)'!$I$20,FALSE))</f>
        <v/>
      </c>
      <c r="K182" s="9064"/>
      <c r="L182" s="8971" t="str">
        <f>+IF(VLOOKUP(MATCH(B182,tid,0),tao,'12(id)'!$L$20,FALSE)="","",VLOOKUP(MATCH(B182,tid,0),tao,'12(id)'!$L$20,FALSE))</f>
        <v>Cos Cob</v>
      </c>
      <c r="M182" s="7660" t="str">
        <f>+IF(B182="","",IF(VLOOKUP(MATCH(B182,tid,0),tao,'12(id)'!$Q$20,FALSE)="","",VLOOKUP(MATCH(B182,tid,0),tao,'12(id)'!$Q$20,FALSE)))</f>
        <v>CC13</v>
      </c>
      <c r="N182" s="7670">
        <f>+IF(B182="","",IF(VLOOKUP(MATCH(B182,tid,0),tao,'12(id)'!$CT$20,FALSE)="","",VLOOKUP(MATCH(B182,tid,0),tao,'12(id)'!$CT$20,FALSE)))</f>
        <v>20</v>
      </c>
      <c r="O182" s="7662" t="str">
        <f ca="1">+IF(B182="","",IF(VLOOKUP(MATCH(B182,tid,0),tao,'12(id)'!$DE$20,FALSE)="","",ROUND(VLOOKUP(MATCH(B182,tid,0),tao,'12(id)'!$DE$20,FALSE),0)&amp;" yrs"))</f>
        <v>45 yrs</v>
      </c>
      <c r="P182" s="8974" t="str">
        <f>+IF(VLOOKUP(MATCH(B182,tid,0),tao,'12(id)'!$FR$20,FALSE)="","",VLOOKUP(MATCH(B182,tid,0),tao,'12(id)'!$FR$20,FALSE))</f>
        <v>Water Injection</v>
      </c>
      <c r="Q182" s="9139" t="str">
        <f>+IF(B182="","",IF(VLOOKUP(MATCH(B182,tid,0),tao,'12(id)'!$DI$20,FALSE)="","",VLOOKUP(MATCH(B182,tid,0),tao,'12(id)'!$DI$20,FALSE))&amp;";  "&amp;IF(VLOOKUP(MATCH(B182,tid,0),tao,'12(id)'!$DQ$20,FALSE)="","",VLOOKUP(MATCH(B182,tid,0),tao,'12(id)'!$DQ$20,FALSE)))</f>
        <v>Ultra low sulfur kerosene  oil (ULSD);  Natural Gas</v>
      </c>
      <c r="R182" s="8985"/>
      <c r="S182" s="8818"/>
      <c r="T182" s="8898"/>
      <c r="U182" s="8898"/>
      <c r="V182" s="8898"/>
      <c r="W182" s="7668"/>
      <c r="X182" s="8818"/>
      <c r="Y182" s="8898"/>
      <c r="Z182" s="8898"/>
      <c r="AA182" s="8898"/>
      <c r="AB182" s="7465"/>
      <c r="AC182" s="8818"/>
      <c r="AD182" s="8898"/>
      <c r="AE182" s="8898"/>
      <c r="AF182" s="8898"/>
      <c r="AG182" s="7669"/>
      <c r="AH182" s="5962"/>
      <c r="AI182" s="5959"/>
      <c r="AJ182" s="5959"/>
      <c r="AK182" s="5959"/>
      <c r="AL182" s="5959"/>
      <c r="AM182" s="5959"/>
    </row>
    <row r="183" spans="1:39" ht="24" customHeight="1">
      <c r="A183" s="5952"/>
      <c r="B183" s="7657" t="str">
        <f>+IF('12(id)'!A38="","",'12(id)'!A38)</f>
        <v>8300-06</v>
      </c>
      <c r="C183" s="8852" t="str">
        <f>+IF(B183="","",VLOOKUP(MATCH(B183,tid,0),tao,'12(id)'!$J$20,FALSE))</f>
        <v>NRG</v>
      </c>
      <c r="D183" s="7658" t="str">
        <f>+IF(B182="","",M183)</f>
        <v>CC14</v>
      </c>
      <c r="E183" s="9062"/>
      <c r="F183" s="5952"/>
      <c r="G183" s="5959"/>
      <c r="H183" s="5952"/>
      <c r="I183" s="7659">
        <f>1+I182</f>
        <v>18</v>
      </c>
      <c r="J183" s="9064" t="str">
        <f>+IF(VLOOKUP(MATCH(B183,tid,0),tao,'12(id)'!$I$20,FALSE)="","",VLOOKUP(MATCH(B183,tid,0),tao,'12(id)'!$I$20,FALSE))</f>
        <v/>
      </c>
      <c r="K183" s="9064"/>
      <c r="L183" s="8972" t="str">
        <f>+IF(VLOOKUP(MATCH(B183,tid,0),tao,'12(id)'!$L$20,FALSE)="","",VLOOKUP(MATCH(B183,tid,0),tao,'12(id)'!$L$20,FALSE))</f>
        <v>Cos Cob</v>
      </c>
      <c r="M183" s="7660" t="str">
        <f>+IF(B183="","",IF(VLOOKUP(MATCH(B183,tid,0),tao,'12(id)'!$Q$20,FALSE)="","",VLOOKUP(MATCH(B183,tid,0),tao,'12(id)'!$Q$20,FALSE)))</f>
        <v>CC14</v>
      </c>
      <c r="N183" s="7661">
        <f>+IF(B183="","",IF(VLOOKUP(MATCH(B183,tid,0),tao,'12(id)'!$CT$20,FALSE)="","",VLOOKUP(MATCH(B183,tid,0),tao,'12(id)'!$CT$20,FALSE)))</f>
        <v>20</v>
      </c>
      <c r="O183" s="7662" t="str">
        <f ca="1">+IF(B183="","",IF(VLOOKUP(MATCH(B183,tid,0),tao,'12(id)'!$DE$20,FALSE)="","",ROUND(VLOOKUP(MATCH(B183,tid,0),tao,'12(id)'!$DE$20,FALSE),0)&amp;" yrs"))</f>
        <v>45 yrs</v>
      </c>
      <c r="P183" s="8975" t="str">
        <f>+IF(VLOOKUP(MATCH(B183,tid,0),tao,'12(id)'!$FR$20,FALSE)="","",VLOOKUP(MATCH(B183,tid,0),tao,'12(id)'!$FR$20,FALSE))</f>
        <v>Water Injection</v>
      </c>
      <c r="Q183" s="9141"/>
      <c r="R183" s="9130"/>
      <c r="S183" s="8818"/>
      <c r="T183" s="8899"/>
      <c r="U183" s="8899"/>
      <c r="V183" s="8899"/>
      <c r="W183" s="7671"/>
      <c r="X183" s="8819"/>
      <c r="Y183" s="8899"/>
      <c r="Z183" s="8899"/>
      <c r="AA183" s="8899"/>
      <c r="AB183" s="7672"/>
      <c r="AC183" s="8819"/>
      <c r="AD183" s="8899"/>
      <c r="AE183" s="8899"/>
      <c r="AF183" s="8899"/>
      <c r="AG183" s="7673"/>
      <c r="AH183" s="5962"/>
      <c r="AI183" s="5959"/>
      <c r="AJ183" s="5959"/>
      <c r="AK183" s="5959"/>
      <c r="AL183" s="5959"/>
      <c r="AM183" s="5959"/>
    </row>
    <row r="184" spans="1:39" ht="9.9499999999999993" customHeight="1">
      <c r="A184" s="5952"/>
      <c r="B184" s="9088" t="str">
        <f>+IF('12(id)'!A39="","",'12(id)'!A39)</f>
        <v>8300-07</v>
      </c>
      <c r="C184" s="8852" t="str">
        <f>+IF(B184="","",VLOOKUP(MATCH(B184,tid,0),tao,'12(id)'!$J$20,FALSE))</f>
        <v>NRG</v>
      </c>
      <c r="D184" s="8886" t="str">
        <f>+IF(B184="","",M184)</f>
        <v>FD10</v>
      </c>
      <c r="E184" s="9074" t="str">
        <f>+IF(B184="","",B184&amp;IF(ISERR(VALUE(R184)),"-01",IF(R184&lt;10,"-0"&amp;R184,"-"&amp;R184)))</f>
        <v>8300-07-01</v>
      </c>
      <c r="F184" s="5952"/>
      <c r="G184" s="5959"/>
      <c r="H184" s="5952"/>
      <c r="I184" s="9081">
        <f>1+I183</f>
        <v>19</v>
      </c>
      <c r="J184" s="9064" t="str">
        <f>+IF(VLOOKUP(MATCH(B184,tid,0),tao,'12(id)'!$I$20,FALSE)="","",VLOOKUP(MATCH(B184,tid,0),tao,'12(id)'!$I$20,FALSE))</f>
        <v/>
      </c>
      <c r="K184" s="9064"/>
      <c r="L184" s="8970" t="str">
        <f>+IF(B184="","",IF(VLOOKUP(MATCH(B184,tid,0),tao,'12(id)'!$L$20,FALSE)="","",VLOOKUP(MATCH(B184,tid,0),tao,'12(id)'!$L$20,FALSE)))</f>
        <v>Franklin Drive</v>
      </c>
      <c r="M184" s="9089" t="str">
        <f>+IF(B184="","",IF(VLOOKUP(MATCH(B184,tid,0),tao,'12(id)'!$Q$20,FALSE)="","",VLOOKUP(MATCH(B184,tid,0),tao,'12(id)'!$Q$20,FALSE)))</f>
        <v>FD10</v>
      </c>
      <c r="N184" s="9090">
        <f>+IF(B184="","",IF(VLOOKUP(MATCH(B184,tid,0),tao,'12(id)'!$CT$20,FALSE)="","",VLOOKUP(MATCH(B184,tid,0),tao,'12(id)'!$CT$20,FALSE)))</f>
        <v>20</v>
      </c>
      <c r="O184" s="9026" t="str">
        <f ca="1">+IF(B184="","",IF(VLOOKUP(MATCH(B184,tid,0),tao,'12(id)'!$DE$20,FALSE)="","",ROUND(VLOOKUP(MATCH(B184,tid,0),tao,'12(id)'!$DE$20,FALSE),0)&amp;" yrs"))</f>
        <v>46 yrs</v>
      </c>
      <c r="P184" s="9026" t="str">
        <f>+IF(B184="","",IF(VLOOKUP(MATCH(B184,tid,0),tao,'12(id)'!$FR$20,FALSE)="","",VLOOKUP(MATCH(B184,tid,0),tao,'12(id)'!$FR$20,FALSE)))</f>
        <v>None</v>
      </c>
      <c r="Q184" s="9142" t="str">
        <f>+IF(B184="","",IF(VLOOKUP(MATCH(B184,tid,0),tao,'12(id)'!$DI$20,FALSE)="","",VLOOKUP(MATCH(B184,tid,0),tao,'12(id)'!$DI$20,FALSE))&amp;";  "&amp;IF(VLOOKUP(MATCH(B184,tid,0),tao,'12(id)'!$DQ$20,FALSE)="","",VLOOKUP(MATCH(B184,tid,0),tao,'12(id)'!$DQ$20,FALSE)))</f>
        <v xml:space="preserve">Ultra low sulfur kerosene  oil (ULSD);  </v>
      </c>
      <c r="R184" s="8982">
        <f>+IF(B184="","",1)</f>
        <v>1</v>
      </c>
      <c r="S184" s="8859"/>
      <c r="T184" s="8871" t="str">
        <f>+IF(VLOOKUP(MATCH(E184,c_id,0),ca,'13(an)'!$BD$34,FALSE)="","",VLOOKUP(MATCH(E184,c_id,0),ca,'13(an)'!$BD$34,FALSE))</f>
        <v>High Pressure Water Injection (HPWI)</v>
      </c>
      <c r="U184" s="8871"/>
      <c r="V184" s="8871"/>
      <c r="W184" s="7553"/>
      <c r="X184" s="8859"/>
      <c r="Y184" s="8871" t="str">
        <f>+T184</f>
        <v>High Pressure Water Injection (HPWI)</v>
      </c>
      <c r="Z184" s="8871"/>
      <c r="AA184" s="8871"/>
      <c r="AB184" s="7674"/>
      <c r="AC184" s="8859"/>
      <c r="AD184" s="8874" t="str">
        <f>+T184</f>
        <v>High Pressure Water Injection (HPWI)</v>
      </c>
      <c r="AE184" s="8874"/>
      <c r="AF184" s="8874"/>
      <c r="AG184" s="7555"/>
      <c r="AH184" s="5962"/>
      <c r="AI184" s="5959"/>
      <c r="AJ184" s="5959"/>
      <c r="AK184" s="5959"/>
      <c r="AL184" s="5959"/>
      <c r="AM184" s="5959"/>
    </row>
    <row r="185" spans="1:39" ht="9.9499999999999993" customHeight="1">
      <c r="A185" s="5952"/>
      <c r="B185" s="9035" t="str">
        <f>+IF('12(id)'!A40="","",'12(id)'!A40)</f>
        <v>8300-08</v>
      </c>
      <c r="C185" s="8852" t="str">
        <f>+IF(B185="","",VLOOKUP(MATCH(B185,tid,0),tao,'12(id)'!$J$20,FALSE))</f>
        <v>NRG</v>
      </c>
      <c r="D185" s="8887" t="str">
        <f t="shared" ref="D185:D211" si="1">+M185</f>
        <v>TT10</v>
      </c>
      <c r="E185" s="9035"/>
      <c r="F185" s="5952"/>
      <c r="G185" s="5959"/>
      <c r="H185" s="5952"/>
      <c r="I185" s="9070"/>
      <c r="J185" s="9064" t="str">
        <f>+IF(VLOOKUP(MATCH(B185,tid,0),tao,'12(id)'!$I$20,FALSE)="","",VLOOKUP(MATCH(B185,tid,0),tao,'12(id)'!$I$20,FALSE))</f>
        <v/>
      </c>
      <c r="K185" s="9064"/>
      <c r="L185" s="8971" t="str">
        <f>+IF(VLOOKUP(MATCH(B185,tid,0),tao,'12(id)'!$L$20,FALSE)="","",VLOOKUP(MATCH(B185,tid,0),tao,'12(id)'!$L$20,FALSE))</f>
        <v>Torrington Terminal</v>
      </c>
      <c r="M185" s="9077" t="str">
        <f>+IF(B185="","",IF(VLOOKUP(MATCH(B185,tid,0),tao,'12(id)'!$Q$20,FALSE)="","",VLOOKUP(MATCH(B185,tid,0),tao,'12(id)'!$Q$20,FALSE)))</f>
        <v>TT10</v>
      </c>
      <c r="N185" s="9085">
        <f>+IF(B185="","",IF(VLOOKUP(MATCH(B185,tid,0),tao,'12(id)'!$CT$20,FALSE)="","",VLOOKUP(MATCH(B185,tid,0),tao,'12(id)'!$CT$20,FALSE)))</f>
        <v>20</v>
      </c>
      <c r="O185" s="9001" t="str">
        <f ca="1">+IF(B185="","",IF(VLOOKUP(MATCH(B185,tid,0),tao,'12(id)'!$DE$20,FALSE)="","",ROUND(VLOOKUP(MATCH(B185,tid,0),tao,'12(id)'!$DE$20,FALSE),0)&amp;" yrs"))</f>
        <v>46 yrs</v>
      </c>
      <c r="P185" s="9001" t="str">
        <f>+IF(VLOOKUP(MATCH(B185,tid,0),tao,'12(id)'!$FR$20,FALSE)="","",VLOOKUP(MATCH(B185,tid,0),tao,'12(id)'!$FR$20,FALSE))</f>
        <v>None</v>
      </c>
      <c r="Q185" s="9140" t="str">
        <f>+IF(VLOOKUP(MATCH(B185,tid,0),tao,'12(id)'!$DI$20,FALSE)="","",VLOOKUP(MATCH(B185,tid,0),tao,'12(id)'!$DI$20,FALSE))&amp;";  "&amp;IF(VLOOKUP(MATCH(B185,tid,0),tao,'12(id)'!$DQ$20,FALSE)="","",VLOOKUP(MATCH(B185,tid,0),tao,'12(id)'!$DQ$20,FALSE))</f>
        <v xml:space="preserve">Ultra low sulfur kerosene  oil (ULSD);  </v>
      </c>
      <c r="R185" s="8906"/>
      <c r="S185" s="8818"/>
      <c r="T185" s="8874"/>
      <c r="U185" s="8874"/>
      <c r="V185" s="8874"/>
      <c r="W185" s="7616"/>
      <c r="X185" s="8818"/>
      <c r="Y185" s="8900"/>
      <c r="Z185" s="8900"/>
      <c r="AA185" s="8900"/>
      <c r="AB185" s="7652"/>
      <c r="AC185" s="8818"/>
      <c r="AD185" s="8900"/>
      <c r="AE185" s="8900"/>
      <c r="AF185" s="8900"/>
      <c r="AG185" s="7555"/>
      <c r="AH185" s="5962"/>
      <c r="AI185" s="5959"/>
      <c r="AJ185" s="5959"/>
      <c r="AK185" s="5959"/>
      <c r="AL185" s="5959"/>
      <c r="AM185" s="5959"/>
    </row>
    <row r="186" spans="1:39" ht="15" customHeight="1">
      <c r="A186" s="5952"/>
      <c r="B186" s="9035" t="str">
        <f>+IF('12(id)'!A41="","",'12(id)'!A41)</f>
        <v>8300-09</v>
      </c>
      <c r="C186" s="8852" t="str">
        <f>+IF(B186="","",VLOOKUP(MATCH(B186,tid,0),tao,'12(id)'!$J$20,FALSE))</f>
        <v>NRG</v>
      </c>
      <c r="D186" s="8887" t="str">
        <f t="shared" si="1"/>
        <v>MD10</v>
      </c>
      <c r="E186" s="9035"/>
      <c r="F186" s="5952"/>
      <c r="G186" s="5959"/>
      <c r="H186" s="5952"/>
      <c r="I186" s="9070"/>
      <c r="J186" s="9064" t="str">
        <f>+IF(VLOOKUP(MATCH(B186,tid,0),tao,'12(id)'!$I$20,FALSE)="","",VLOOKUP(MATCH(B186,tid,0),tao,'12(id)'!$I$20,FALSE))</f>
        <v/>
      </c>
      <c r="K186" s="9064"/>
      <c r="L186" s="8971" t="str">
        <f>+IF(VLOOKUP(MATCH(B186,tid,0),tao,'12(id)'!$L$20,FALSE)="","",VLOOKUP(MATCH(B186,tid,0),tao,'12(id)'!$L$20,FALSE))</f>
        <v>Middletown</v>
      </c>
      <c r="M186" s="9077" t="str">
        <f>+IF(B186="","",IF(VLOOKUP(MATCH(B186,tid,0),tao,'12(id)'!$Q$20,FALSE)="","",VLOOKUP(MATCH(B186,tid,0),tao,'12(id)'!$Q$20,FALSE)))</f>
        <v>MD10</v>
      </c>
      <c r="N186" s="9085">
        <f>+IF(B186="","",IF(VLOOKUP(MATCH(B186,tid,0),tao,'12(id)'!$CT$20,FALSE)="","",VLOOKUP(MATCH(B186,tid,0),tao,'12(id)'!$CT$20,FALSE)))</f>
        <v>20</v>
      </c>
      <c r="O186" s="9001" t="str">
        <f ca="1">+IF(B186="","",IF(VLOOKUP(MATCH(B186,tid,0),tao,'12(id)'!$DE$20,FALSE)="","",ROUND(VLOOKUP(MATCH(B186,tid,0),tao,'12(id)'!$DE$20,FALSE),0)&amp;" yrs"))</f>
        <v>48 yrs</v>
      </c>
      <c r="P186" s="9001" t="str">
        <f>+IF(VLOOKUP(MATCH(B186,tid,0),tao,'12(id)'!$FR$20,FALSE)="","",VLOOKUP(MATCH(B186,tid,0),tao,'12(id)'!$FR$20,FALSE))</f>
        <v>None</v>
      </c>
      <c r="Q186" s="9140" t="str">
        <f>+IF(VLOOKUP(MATCH(B186,tid,0),tao,'12(id)'!$DI$20,FALSE)="","",VLOOKUP(MATCH(B186,tid,0),tao,'12(id)'!$DI$20,FALSE))&amp;";  "&amp;IF(VLOOKUP(MATCH(B186,tid,0),tao,'12(id)'!$DQ$20,FALSE)="","",VLOOKUP(MATCH(B186,tid,0),tao,'12(id)'!$DQ$20,FALSE))</f>
        <v xml:space="preserve">Ultra low sulfur kerosene  oil (ULSD);  </v>
      </c>
      <c r="R186" s="8906"/>
      <c r="S186" s="8818"/>
      <c r="T186" s="7594" t="str">
        <f>+IF(E184="","",IF(VLOOKUP(MATCH(E184,c_id,0),ca,'13(an)'!$CC$34,FALSE)="",IF(VLOOKUP(MATCH(E184,c_id,0),ca,'13(an)'!$CD$34,FALSE)="",IF(VLOOKUP(MATCH(E184,c_id,0),ca,'13(an)'!$CE$34,FALSE)="","η ≈ N/A","η ≈ "&amp;ROUND(VLOOKUP(MATCH(E184,c_id,0),ca,'13(an)'!$CE$34,FALSE)*100,0)&amp;"%"),"η ≈ "&amp;ROUND(VLOOKUP(MATCH(E184,c_id,0),ca,'13(an)'!$CD$34,FALSE)*100,0)&amp;"%"),"η ≈ "&amp;ROUND(VLOOKUP(MATCH(E184,c_id,0),ca,'13(an)'!$CC$34,FALSE)*100,0)&amp;"%"))</f>
        <v>η ≈ 71%</v>
      </c>
      <c r="U186" s="7595" t="str">
        <f>+IF($U$196="ppmvd",IF(VLOOKUP(MATCH(E184,c_id,0),ca,'13(an)'!$BV$34,FALSE)="","",ROUND(VLOOKUP(MATCH(E184,c_id,0),ca,'13(an)'!$BV$34,FALSE),1)&amp;" ppmvd"),IF(VLOOKUP(MATCH(E184,c_id,0),ca,'13(an)'!$BU$34,FALSE)="","",IF(LEN(ROUND(VLOOKUP(MATCH(E184,c_id,0),ca,'13(an)'!$BU$34,FALSE),3))=3,ROUND(VLOOKUP(MATCH(E184,c_id,0),ca,'13(an)'!$BU$34,FALSE),3)&amp;"00 lb/MMBtu",IF(LEN(ROUND(VLOOKUP(MATCH(E184,c_id,0),ca,'13(an)'!$BU$34,FALSE),3))=4,ROUND(VLOOKUP(MATCH(E184,c_id,0),ca,'13(an)'!$BU$34,FALSE),3)&amp;"0 lb/MMBtu",ROUND(VLOOKUP(MATCH(E184,c_id,0),ca,'13(an)'!$BU$34,FALSE),3)&amp;" lb/MMBtu"))))</f>
        <v>0.220 lb/MMBtu</v>
      </c>
      <c r="V186" s="7596">
        <f>+IF(E184="","",IF(VLOOKUP(MATCH(E184,c_id,0),ca,'13(an)'!$CB$34,FALSE)="","NOx(R) = N/A",ROUND(VLOOKUP(MATCH(E184,c_id,0),ca,'13(an)'!$CB$34,FALSE),1)))</f>
        <v>3</v>
      </c>
      <c r="W186" s="7534"/>
      <c r="X186" s="8818"/>
      <c r="Y186" s="7594" t="str">
        <f>+IF(E184="","",IF(VLOOKUP(MATCH(E184,c_id,0),ca,'13(an)'!$CM$34,FALSE)="",IF(VLOOKUP(MATCH(E184,c_id,0),ca,'13(an)'!$CN$34,FALSE)="",IF(VLOOKUP(MATCH(E184,c_id,0),ca,'13(an)'!$CO$34,FALSE)="","η ≈ N/A","η ≈ "&amp;ROUND(VLOOKUP(MATCH(E184,c_id,0),ca,'13(an)'!$CO$34,FALSE)*100,0)&amp;"%"),"η ≈ "&amp;ROUND(VLOOKUP(MATCH(E184,c_id,0),ca,'13(an)'!$CN$34,FALSE)*100,0)&amp;"%"),"η ≈ "&amp;ROUND(VLOOKUP(MATCH(E184,c_id,0),ca,'13(an)'!$CM$34,FALSE)*100,0)&amp;"%"))</f>
        <v>η ≈ 73%</v>
      </c>
      <c r="Z186" s="7653" t="str">
        <f>+IF($Z$196="ppmvd",IF(VLOOKUP(MATCH(E184,c_id,0),ca,'13(an)'!$CJ$34,FALSE)="","",ROUND(VLOOKUP(MATCH(E184,c_id,0),ca,'13(an)'!$CJ$34,FALSE),1)&amp;" ppmvd"),IF(VLOOKUP(MATCH(E184,c_id,0),ca,'13(an)'!$CI$34,FALSE)="","",IF(LEN(ROUND(VLOOKUP(MATCH(E184,c_id,0),ca,'13(an)'!$CI$34,FALSE),3))=3,ROUND(VLOOKUP(MATCH(E184,c_id,0),ca,'13(an)'!$CI$34,FALSE),3)&amp;"00 lb/MMBtu",IF(LEN(ROUND(VLOOKUP(MATCH(E184,c_id,0),ca,'13(an)'!$CI$34,FALSE),3))=4,ROUND(VLOOKUP(MATCH(E184,c_id,0),ca,'13(an)'!$CI$34,FALSE),3)&amp;"0 lb/MMBtu",ROUND(VLOOKUP(MATCH(E184,c_id,0),ca,'13(an)'!$CI$34,FALSE),3)&amp;" lb/MMBtu"))))</f>
        <v>0.209 lb/MMBtu</v>
      </c>
      <c r="AA186" s="7596">
        <f>+IF(E184="","",IF(VLOOKUP(MATCH(E184,c_id,0),ca,'13(an)'!$CL$34,FALSE)="","NOx(R) = N/A",ROUND(VLOOKUP(MATCH(E184,c_id,0),ca,'13(an)'!$CL$34,FALSE),1)))</f>
        <v>3.2</v>
      </c>
      <c r="AB186" s="7654"/>
      <c r="AC186" s="8818"/>
      <c r="AD186" s="7594" t="str">
        <f>+IF(E184="","",IF(VLOOKUP(MATCH(E184,c_id,0),ca,'13(an)'!$CM$34,FALSE)="",IF(VLOOKUP(MATCH(E184,c_id,0),ca,'13(an)'!$CN$34,FALSE)="",IF(VLOOKUP(MATCH(E184,c_id,0),ca,'13(an)'!$CO$34,FALSE)="","η ≈ N/A","η ≈ "&amp;ROUND(VLOOKUP(MATCH(E184,c_id,0),ca,'13(an)'!$CO$34,FALSE)*100,0)&amp;"%"),"η ≈ "&amp;ROUND(VLOOKUP(MATCH(E184,c_id,0),ca,'13(an)'!$CN$34,FALSE)*100,0)&amp;"%"),"η ≈ "&amp;ROUND(VLOOKUP(MATCH(E184,c_id,0),ca,'13(an)'!$CM$34,FALSE)*100,0)&amp;"%"))</f>
        <v>η ≈ 73%</v>
      </c>
      <c r="AE186" s="7595" t="str">
        <f>+IF($AE$196="ppmvd",IF(VLOOKUP(MATCH(E184,c_id,0),ca,'13(an)'!$CJ$34,FALSE)="","",ROUND(VLOOKUP(MATCH(E184,c_id,0),ca,'13(an)'!$CJ$34,FALSE),1)&amp;" ppmvd"),IF(VLOOKUP(MATCH(E184,c_id,0),ca,'13(an)'!$CI$34,FALSE)="","",IF(LEN(ROUND(VLOOKUP(MATCH(E184,c_id,0),ca,'13(an)'!$CI$34,FALSE),3))=3,ROUND(VLOOKUP(MATCH(E184,c_id,0),ca,'13(an)'!$CI$34,FALSE),3)&amp;"00 lb/MMBtu",IF(LEN(ROUND(VLOOKUP(MATCH(E184,c_id,0),ca,'13(an)'!$CI$34,FALSE),3))=4,ROUND(VLOOKUP(MATCH(E184,c_id,0),ca,'13(an)'!$CI$34,FALSE),3)&amp;"0 lb/MMBtu",ROUND(VLOOKUP(MATCH(E184,c_id,0),ca,'13(an)'!$CI$34,FALSE),3)&amp;" lb/MMBtu"))))</f>
        <v>0.209 lb/MMBtu</v>
      </c>
      <c r="AF186" s="7596">
        <f>+IF(E184="","",IF(VLOOKUP(MATCH(E184,c_id,0),ca,'13(an)'!$CL$34,FALSE)="","NOx(R) = N/A",ROUND(VLOOKUP(MATCH(E184,c_id,0),ca,'13(an)'!$CL$34,FALSE),1)))</f>
        <v>3.2</v>
      </c>
      <c r="AG186" s="7536"/>
      <c r="AH186" s="5962"/>
      <c r="AI186" s="5959"/>
      <c r="AJ186" s="5959"/>
      <c r="AK186" s="5959"/>
      <c r="AL186" s="5959"/>
      <c r="AM186" s="5959"/>
    </row>
    <row r="187" spans="1:39" ht="17.100000000000001" customHeight="1">
      <c r="A187" s="5952"/>
      <c r="B187" s="9035" t="str">
        <f>+IF('12(id)'!A42="","",'12(id)'!A42)</f>
        <v>8300-10</v>
      </c>
      <c r="C187" s="8852" t="str">
        <f>+IF(B187="","",VLOOKUP(MATCH(B187,tid,0),tao,'12(id)'!$J$20,FALSE))</f>
        <v>NRG</v>
      </c>
      <c r="D187" s="8887" t="str">
        <f t="shared" si="1"/>
        <v>NH10</v>
      </c>
      <c r="E187" s="9035"/>
      <c r="F187" s="5952"/>
      <c r="G187" s="5959"/>
      <c r="H187" s="5952"/>
      <c r="I187" s="9070"/>
      <c r="J187" s="9064" t="str">
        <f>+IF(VLOOKUP(MATCH(B187,tid,0),tao,'12(id)'!$I$20,FALSE)="","",VLOOKUP(MATCH(B187,tid,0),tao,'12(id)'!$I$20,FALSE))</f>
        <v/>
      </c>
      <c r="K187" s="9064"/>
      <c r="L187" s="8971" t="str">
        <f>+IF(VLOOKUP(MATCH(B187,tid,0),tao,'12(id)'!$L$20,FALSE)="","",VLOOKUP(MATCH(B187,tid,0),tao,'12(id)'!$L$20,FALSE))</f>
        <v>Norwalk Harbor Station</v>
      </c>
      <c r="M187" s="9077" t="str">
        <f>+IF(B187="","",IF(VLOOKUP(MATCH(B187,tid,0),tao,'12(id)'!$Q$20,FALSE)="","",VLOOKUP(MATCH(B187,tid,0),tao,'12(id)'!$Q$20,FALSE)))</f>
        <v>NH10</v>
      </c>
      <c r="N187" s="9085">
        <f>+IF(B187="","",IF(VLOOKUP(MATCH(B187,tid,0),tao,'12(id)'!$CT$20,FALSE)="","",VLOOKUP(MATCH(B187,tid,0),tao,'12(id)'!$CT$20,FALSE)))</f>
        <v>17</v>
      </c>
      <c r="O187" s="9001" t="str">
        <f ca="1">+IF(B187="","",IF(VLOOKUP(MATCH(B187,tid,0),tao,'12(id)'!$DE$20,FALSE)="","",ROUND(VLOOKUP(MATCH(B187,tid,0),tao,'12(id)'!$DE$20,FALSE),0)&amp;" yrs"))</f>
        <v>48 yrs</v>
      </c>
      <c r="P187" s="9001" t="str">
        <f>+IF(VLOOKUP(MATCH(B187,tid,0),tao,'12(id)'!$FR$20,FALSE)="","",VLOOKUP(MATCH(B187,tid,0),tao,'12(id)'!$FR$20,FALSE))</f>
        <v>None</v>
      </c>
      <c r="Q187" s="9140" t="str">
        <f>+IF(VLOOKUP(MATCH(B187,tid,0),tao,'12(id)'!$DI$20,FALSE)="","",VLOOKUP(MATCH(B187,tid,0),tao,'12(id)'!$DI$20,FALSE))&amp;";  "&amp;IF(VLOOKUP(MATCH(B187,tid,0),tao,'12(id)'!$DQ$20,FALSE)="","",VLOOKUP(MATCH(B187,tid,0),tao,'12(id)'!$DQ$20,FALSE))</f>
        <v xml:space="preserve">No.2 Oil;  </v>
      </c>
      <c r="R187" s="8906"/>
      <c r="S187" s="8818"/>
      <c r="T187" s="7537">
        <f>+IF(VLOOKUP(MATCH(E184,c_id,0),ca,'13(an)'!$GF$34,FALSE)="","",VLOOKUP(MATCH(E184,c_id,0),ca,'13(an)'!$GF$34,FALSE))</f>
        <v>2409779</v>
      </c>
      <c r="U187" s="7538" t="str">
        <f>+IF(T187="","","$ TCC/unit")</f>
        <v>$ TCC/unit</v>
      </c>
      <c r="V187" s="7539">
        <f>+IF(VLOOKUP(MATCH(E184,c_id,0),ca,'13(an)'!$HA$34,FALSE)="","",VLOOKUP(MATCH(E184,c_id,0),ca,'13(an)'!$HA$34,FALSE))</f>
        <v>299054</v>
      </c>
      <c r="W187" s="7540"/>
      <c r="X187" s="8818"/>
      <c r="Y187" s="7537">
        <f>+IF(VLOOKUP(MATCH(E184,c_id,0),ca,'13(an)'!$IA$34,FALSE)="","",VLOOKUP(MATCH(E184,c_id,0),ca,'13(an)'!$IA$34,FALSE))</f>
        <v>2259168.12</v>
      </c>
      <c r="Z187" s="7538" t="str">
        <f>+IF(Y187="","","$ TCC/unit")</f>
        <v>$ TCC/unit</v>
      </c>
      <c r="AA187" s="7539">
        <f>+IF(Y187="","",$AA$14*Y187)</f>
        <v>213249.48859269058</v>
      </c>
      <c r="AB187" s="7655"/>
      <c r="AC187" s="8818"/>
      <c r="AD187" s="7537">
        <f>+IF(VLOOKUP(MATCH(E184,c_id,0),ca,'13(an)'!$JS$34,FALSE)="","",VLOOKUP(MATCH(E184,c_id,0),ca,'13(an)'!$JS$34,FALSE))</f>
        <v>1725675</v>
      </c>
      <c r="AE187" s="7538" t="str">
        <f>+IF(AD187="","","$ TCC/unit")</f>
        <v>$ TCC/unit</v>
      </c>
      <c r="AF187" s="7539">
        <f>+IF(AD187="","",$AF$14*AD187)</f>
        <v>148081.06430477212</v>
      </c>
      <c r="AG187" s="7542"/>
      <c r="AH187" s="5962"/>
      <c r="AI187" s="5959"/>
      <c r="AJ187" s="5959"/>
      <c r="AK187" s="5959"/>
      <c r="AL187" s="5959"/>
      <c r="AM187" s="5959"/>
    </row>
    <row r="188" spans="1:39" ht="17.100000000000001" customHeight="1">
      <c r="A188" s="5952"/>
      <c r="B188" s="9035" t="str">
        <f>+IF('12(id)'!A43="","",'12(id)'!A43)</f>
        <v>8300-11</v>
      </c>
      <c r="C188" s="8852" t="str">
        <f>+IF(B188="","",VLOOKUP(MATCH(B188,tid,0),tao,'12(id)'!$J$20,FALSE))</f>
        <v>NRG</v>
      </c>
      <c r="D188" s="8887" t="str">
        <f t="shared" si="1"/>
        <v>DV10</v>
      </c>
      <c r="E188" s="9035"/>
      <c r="F188" s="5952"/>
      <c r="G188" s="5959"/>
      <c r="H188" s="5952"/>
      <c r="I188" s="9070"/>
      <c r="J188" s="9064" t="str">
        <f>+IF(VLOOKUP(MATCH(B188,tid,0),tao,'12(id)'!$I$20,FALSE)="","",VLOOKUP(MATCH(B188,tid,0),tao,'12(id)'!$I$20,FALSE))</f>
        <v/>
      </c>
      <c r="K188" s="9064"/>
      <c r="L188" s="8971" t="str">
        <f>+IF(VLOOKUP(MATCH(B188,tid,0),tao,'12(id)'!$L$20,FALSE)="","",VLOOKUP(MATCH(B188,tid,0),tao,'12(id)'!$L$20,FALSE))</f>
        <v>Devon</v>
      </c>
      <c r="M188" s="9077" t="str">
        <f>+IF(B188="","",IF(VLOOKUP(MATCH(B188,tid,0),tao,'12(id)'!$Q$20,FALSE)="","",VLOOKUP(MATCH(B188,tid,0),tao,'12(id)'!$Q$20,FALSE)))</f>
        <v>DV10</v>
      </c>
      <c r="N188" s="9085">
        <f>+IF(B188="","",IF(VLOOKUP(MATCH(B188,tid,0),tao,'12(id)'!$CT$20,FALSE)="","",VLOOKUP(MATCH(B188,tid,0),tao,'12(id)'!$CT$20,FALSE)))</f>
        <v>20</v>
      </c>
      <c r="O188" s="9001" t="str">
        <f ca="1">+IF(B188="","",IF(VLOOKUP(MATCH(B188,tid,0),tao,'12(id)'!$DE$20,FALSE)="","",ROUND(VLOOKUP(MATCH(B188,tid,0),tao,'12(id)'!$DE$20,FALSE),0)&amp;" yrs"))</f>
        <v>26 yrs</v>
      </c>
      <c r="P188" s="9001" t="str">
        <f>+IF(VLOOKUP(MATCH(B188,tid,0),tao,'12(id)'!$FR$20,FALSE)="","",VLOOKUP(MATCH(B188,tid,0),tao,'12(id)'!$FR$20,FALSE))</f>
        <v>None</v>
      </c>
      <c r="Q188" s="9140" t="str">
        <f>+IF(VLOOKUP(MATCH(B188,tid,0),tao,'12(id)'!$DI$20,FALSE)="","",VLOOKUP(MATCH(B188,tid,0),tao,'12(id)'!$DI$20,FALSE))&amp;";  "&amp;IF(VLOOKUP(MATCH(B188,tid,0),tao,'12(id)'!$DQ$20,FALSE)="","",VLOOKUP(MATCH(B188,tid,0),tao,'12(id)'!$DQ$20,FALSE))</f>
        <v xml:space="preserve">Ultra low sulfur kerosene  oil (ULSD);  </v>
      </c>
      <c r="R188" s="8906"/>
      <c r="S188" s="8818"/>
      <c r="T188" s="7543">
        <f>+IF(OR(T187="",N184=""),"",T187/N184)</f>
        <v>120488.95</v>
      </c>
      <c r="U188" s="8820" t="str">
        <f>+IF(T188="","","$ TCC / MW nominal capacity")</f>
        <v>$ TCC / MW nominal capacity</v>
      </c>
      <c r="V188" s="8820"/>
      <c r="W188" s="7544"/>
      <c r="X188" s="8818"/>
      <c r="Y188" s="7543">
        <f>+IF(OR(Y187="",N184=""),"",Y187/N184)</f>
        <v>112958.406</v>
      </c>
      <c r="Z188" s="8820" t="str">
        <f>+IF(Y188="","","$ TCC / MW nominal capacity")</f>
        <v>$ TCC / MW nominal capacity</v>
      </c>
      <c r="AA188" s="8820"/>
      <c r="AB188" s="7463"/>
      <c r="AC188" s="8818"/>
      <c r="AD188" s="7543">
        <f>+IF(OR(AD187="",N184=""),"",AD187/N184)</f>
        <v>86283.75</v>
      </c>
      <c r="AE188" s="8820" t="str">
        <f>+IF(AD188="","","$ TCC / MW nominal capacity")</f>
        <v>$ TCC / MW nominal capacity</v>
      </c>
      <c r="AF188" s="8820"/>
      <c r="AG188" s="7546"/>
      <c r="AH188" s="5962"/>
      <c r="AI188" s="5959"/>
      <c r="AJ188" s="5959"/>
      <c r="AK188" s="5959"/>
      <c r="AL188" s="5959"/>
      <c r="AM188" s="5959"/>
    </row>
    <row r="189" spans="1:39" ht="17.100000000000001" customHeight="1">
      <c r="A189" s="5952"/>
      <c r="B189" s="9062" t="str">
        <f>+IF('12(id)'!A44="","",'12(id)'!A44)</f>
        <v>8300-12</v>
      </c>
      <c r="C189" s="8852" t="str">
        <f>+IF(B189="","",VLOOKUP(MATCH(B189,tid,0),tao,'12(id)'!$J$20,FALSE))</f>
        <v>NRG</v>
      </c>
      <c r="D189" s="8887" t="str">
        <f t="shared" si="1"/>
        <v>DV11</v>
      </c>
      <c r="E189" s="9062"/>
      <c r="F189" s="5952"/>
      <c r="G189" s="5959"/>
      <c r="H189" s="5952"/>
      <c r="I189" s="9071"/>
      <c r="J189" s="9064" t="str">
        <f>+IF(VLOOKUP(MATCH(B189,tid,0),tao,'12(id)'!$I$20,FALSE)="","",VLOOKUP(MATCH(B189,tid,0),tao,'12(id)'!$I$20,FALSE))</f>
        <v/>
      </c>
      <c r="K189" s="9064"/>
      <c r="L189" s="8972" t="str">
        <f>+IF(VLOOKUP(MATCH(B189,tid,0),tao,'12(id)'!$L$20,FALSE)="","",VLOOKUP(MATCH(B189,tid,0),tao,'12(id)'!$L$20,FALSE))</f>
        <v>Devon</v>
      </c>
      <c r="M189" s="9077" t="str">
        <f>+IF(B189="","",IF(VLOOKUP(MATCH(B189,tid,0),tao,'12(id)'!$Q$20,FALSE)="","",VLOOKUP(MATCH(B189,tid,0),tao,'12(id)'!$Q$20,FALSE)))</f>
        <v>DV11</v>
      </c>
      <c r="N189" s="9091">
        <f>+IF(B189="","",IF(VLOOKUP(MATCH(B189,tid,0),tao,'12(id)'!$CT$20,FALSE)="","",VLOOKUP(MATCH(B189,tid,0),tao,'12(id)'!$CT$20,FALSE)))</f>
        <v>40</v>
      </c>
      <c r="O189" s="9027" t="str">
        <f ca="1">+IF(B189="","",IF(VLOOKUP(MATCH(B189,tid,0),tao,'12(id)'!$DE$20,FALSE)="","",ROUND(VLOOKUP(MATCH(B189,tid,0),tao,'12(id)'!$DE$20,FALSE),0)&amp;" yrs"))</f>
        <v>18 yrs</v>
      </c>
      <c r="P189" s="9027" t="str">
        <f>+IF(VLOOKUP(MATCH(B189,tid,0),tao,'12(id)'!$FR$20,FALSE)="","",VLOOKUP(MATCH(B189,tid,0),tao,'12(id)'!$FR$20,FALSE))</f>
        <v>HPWI</v>
      </c>
      <c r="Q189" s="9141" t="str">
        <f>+IF(VLOOKUP(MATCH(B189,tid,0),tao,'12(id)'!$DI$20,FALSE)="","",VLOOKUP(MATCH(B189,tid,0),tao,'12(id)'!$DI$20,FALSE))&amp;";  "&amp;IF(VLOOKUP(MATCH(B189,tid,0),tao,'12(id)'!$DQ$20,FALSE)="","",VLOOKUP(MATCH(B189,tid,0),tao,'12(id)'!$DQ$20,FALSE))</f>
        <v>ULSD oil;  Natural Gas</v>
      </c>
      <c r="R189" s="8981"/>
      <c r="S189" s="8819"/>
      <c r="T189" s="7590">
        <f>+IF(VLOOKUP(MATCH(E184,c_id,0),ca,'13(an)'!$HF$34,FALSE)="","",VLOOKUP(MATCH(E184,c_id,0),ca,'13(an)'!$HF$34,FALSE))</f>
        <v>131838</v>
      </c>
      <c r="U189" s="8896" t="str">
        <f>IF(T189="","","$ /ton "&amp;"NOx(R)")</f>
        <v>$ /ton NOx(R)</v>
      </c>
      <c r="V189" s="8896"/>
      <c r="W189" s="7591"/>
      <c r="X189" s="8819"/>
      <c r="Y189" s="7590">
        <f>+IF(VLOOKUP(MATCH(E184,c_id,0),ca,'13(an)'!$JE$34,FALSE)="","",VLOOKUP(MATCH(E184,c_id,0),ca,'13(an)'!$JE$34,FALSE))</f>
        <v>113596.2367062265</v>
      </c>
      <c r="Z189" s="8896" t="str">
        <f>IF(Y189="","","$ /ton "&amp;"NOx(R)")</f>
        <v>$ /ton NOx(R)</v>
      </c>
      <c r="AA189" s="8896"/>
      <c r="AB189" s="7656"/>
      <c r="AC189" s="8819"/>
      <c r="AD189" s="7590">
        <f>+IF(VLOOKUP(MATCH(E184,c_id,0),ca,'13(an)'!$LB$34,FALSE)="","",VLOOKUP(MATCH(E184,c_id,0),ca,'13(an)'!$LB$34,FALSE))</f>
        <v>71533.058727447264</v>
      </c>
      <c r="AE189" s="8896" t="str">
        <f>IF(AD189="","","$ /ton "&amp;"NOx(R)")</f>
        <v>$ /ton NOx(R)</v>
      </c>
      <c r="AF189" s="8896"/>
      <c r="AG189" s="7593"/>
      <c r="AH189" s="5962"/>
      <c r="AI189" s="5959"/>
      <c r="AJ189" s="5959"/>
      <c r="AK189" s="5959"/>
      <c r="AL189" s="5959"/>
      <c r="AM189" s="5959"/>
    </row>
    <row r="190" spans="1:39" ht="9.9499999999999993" customHeight="1">
      <c r="A190" s="5952"/>
      <c r="B190" s="9088" t="str">
        <f>+IF('12(id)'!A40="","",'12(id)'!A40)</f>
        <v>8300-08</v>
      </c>
      <c r="C190" s="8852" t="str">
        <f>+IF(B190="","",VLOOKUP(MATCH(B190,tid,0),tao,'12(id)'!$J$20,FALSE))</f>
        <v>NRG</v>
      </c>
      <c r="D190" s="8888" t="str">
        <f>+IF(B190="","",M190)</f>
        <v>TT10</v>
      </c>
      <c r="E190" s="9074" t="str">
        <f>+IF(B190="","",B190&amp;IF(ISERR(VALUE(R190)),"-01",IF(R190&lt;10,"-0"&amp;R190,"-"&amp;R190)))</f>
        <v>8300-08-01</v>
      </c>
      <c r="F190" s="5952"/>
      <c r="G190" s="5959"/>
      <c r="H190" s="5952"/>
      <c r="I190" s="9072">
        <f>1+I184</f>
        <v>20</v>
      </c>
      <c r="J190" s="9064" t="str">
        <f>+IF(VLOOKUP(MATCH(B190,tid,0),tao,'12(id)'!$I$20,FALSE)="","",VLOOKUP(MATCH(B190,tid,0),tao,'12(id)'!$I$20,FALSE))</f>
        <v/>
      </c>
      <c r="K190" s="9064"/>
      <c r="L190" s="9116" t="str">
        <f>+IF(B190="","",IF(VLOOKUP(MATCH(B190,tid,0),tao,'12(id)'!$L$20,FALSE)="","",VLOOKUP(MATCH(B190,tid,0),tao,'12(id)'!$L$20,FALSE)))</f>
        <v>Torrington Terminal</v>
      </c>
      <c r="M190" s="9076" t="str">
        <f>+IF(B190="","",IF(VLOOKUP(MATCH(B190,tid,0),tao,'12(id)'!$Q$20,FALSE)="","",VLOOKUP(MATCH(B190,tid,0),tao,'12(id)'!$Q$20,FALSE)))</f>
        <v>TT10</v>
      </c>
      <c r="N190" s="9095">
        <f>+IF(B190="","",IF(VLOOKUP(MATCH(B190,tid,0),tao,'12(id)'!$CT$20,FALSE)="","",VLOOKUP(MATCH(B190,tid,0),tao,'12(id)'!$CT$20,FALSE)))</f>
        <v>20</v>
      </c>
      <c r="O190" s="9131" t="str">
        <f ca="1">+IF(B190="","",IF(VLOOKUP(MATCH(B190,tid,0),tao,'12(id)'!$DE$20,FALSE)="","",ROUND(VLOOKUP(MATCH(B190,tid,0),tao,'12(id)'!$DE$20,FALSE),0)&amp;" yrs"))</f>
        <v>46 yrs</v>
      </c>
      <c r="P190" s="9131" t="str">
        <f>+IF(B190="","",IF(VLOOKUP(MATCH(B190,tid,0),tao,'12(id)'!$FR$20,FALSE)="","",VLOOKUP(MATCH(B190,tid,0),tao,'12(id)'!$FR$20,FALSE)))</f>
        <v>None</v>
      </c>
      <c r="Q190" s="9143" t="str">
        <f>+IF(B190="","",IF(VLOOKUP(MATCH(B190,tid,0),tao,'12(id)'!$DI$20,FALSE)="","",VLOOKUP(MATCH(B190,tid,0),tao,'12(id)'!$DI$20,FALSE))&amp;";  "&amp;IF(VLOOKUP(MATCH(B190,tid,0),tao,'12(id)'!$DQ$20,FALSE)="","",VLOOKUP(MATCH(B190,tid,0),tao,'12(id)'!$DQ$20,FALSE)))</f>
        <v xml:space="preserve">Ultra low sulfur kerosene  oil (ULSD);  </v>
      </c>
      <c r="R190" s="9205">
        <f>+IF(B190="","",1)</f>
        <v>1</v>
      </c>
      <c r="S190" s="8859"/>
      <c r="T190" s="8871" t="str">
        <f>+IF(VLOOKUP(MATCH(E190,c_id,0),ca,'13(an)'!$BD$34,FALSE)="","",VLOOKUP(MATCH(E190,c_id,0),ca,'13(an)'!$BD$34,FALSE))</f>
        <v>High Pressure Water Injection (HPWI)</v>
      </c>
      <c r="U190" s="8871"/>
      <c r="V190" s="8871"/>
      <c r="W190" s="7553"/>
      <c r="X190" s="8859"/>
      <c r="Y190" s="8871" t="str">
        <f>+T190</f>
        <v>High Pressure Water Injection (HPWI)</v>
      </c>
      <c r="Z190" s="8871"/>
      <c r="AA190" s="8871"/>
      <c r="AB190" s="7674"/>
      <c r="AC190" s="8859"/>
      <c r="AD190" s="8871" t="str">
        <f>+T190</f>
        <v>High Pressure Water Injection (HPWI)</v>
      </c>
      <c r="AE190" s="8871"/>
      <c r="AF190" s="8871"/>
      <c r="AG190" s="7675"/>
      <c r="AH190" s="5962"/>
      <c r="AI190" s="5959"/>
      <c r="AJ190" s="5959"/>
      <c r="AK190" s="5959"/>
      <c r="AL190" s="5959"/>
      <c r="AM190" s="5959"/>
    </row>
    <row r="191" spans="1:39" ht="9.9499999999999993" customHeight="1">
      <c r="A191" s="5952"/>
      <c r="B191" s="9035"/>
      <c r="C191" s="8852" t="str">
        <f>+IF(B191="","",VLOOKUP(MATCH(B191,tid,0),tao,'12(id)'!$J$20,FALSE))</f>
        <v/>
      </c>
      <c r="D191" s="8887" t="str">
        <f t="shared" si="1"/>
        <v/>
      </c>
      <c r="E191" s="9035"/>
      <c r="F191" s="5952"/>
      <c r="G191" s="5959"/>
      <c r="H191" s="5952"/>
      <c r="I191" s="9070"/>
      <c r="J191" s="9064" t="e">
        <f>+IF(VLOOKUP(MATCH(B191,tid,0),tao,'12(id)'!$I$20,FALSE)="","",VLOOKUP(MATCH(B191,tid,0),tao,'12(id)'!$I$20,FALSE))</f>
        <v>#N/A</v>
      </c>
      <c r="K191" s="9064"/>
      <c r="L191" s="8971" t="e">
        <f>+IF(VLOOKUP(MATCH(B191,tid,0),tao,'12(id)'!$L$20,FALSE)="","",VLOOKUP(MATCH(B191,tid,0),tao,'12(id)'!$L$20,FALSE))</f>
        <v>#N/A</v>
      </c>
      <c r="M191" s="9077" t="str">
        <f>+IF(B191="","",IF(VLOOKUP(MATCH(B191,tid,0),tao,'12(id)'!$Q$20,FALSE)="","",VLOOKUP(MATCH(B191,tid,0),tao,'12(id)'!$Q$20,FALSE)))</f>
        <v/>
      </c>
      <c r="N191" s="9085" t="str">
        <f>+IF(B191="","",IF(VLOOKUP(MATCH(B191,tid,0),tao,'12(id)'!$CT$20,FALSE)="","",VLOOKUP(MATCH(B191,tid,0),tao,'12(id)'!$CT$20,FALSE)))</f>
        <v/>
      </c>
      <c r="O191" s="9001" t="str">
        <f>+IF(B191="","",IF(VLOOKUP(MATCH(B191,tid,0),tao,'12(id)'!$DE$20,FALSE)="","",ROUND(VLOOKUP(MATCH(B191,tid,0),tao,'12(id)'!$DE$20,FALSE),0)&amp;" yrs"))</f>
        <v/>
      </c>
      <c r="P191" s="9001" t="e">
        <f>+IF(VLOOKUP(MATCH(B191,tid,0),tao,'12(id)'!$FR$20,FALSE)="","",VLOOKUP(MATCH(B191,tid,0),tao,'12(id)'!$FR$20,FALSE))</f>
        <v>#N/A</v>
      </c>
      <c r="Q191" s="9140" t="e">
        <f>+IF(VLOOKUP(MATCH(B191,tid,0),tao,'12(id)'!$DI$20,FALSE)="","",VLOOKUP(MATCH(B191,tid,0),tao,'12(id)'!$DI$20,FALSE))&amp;";  "&amp;IF(VLOOKUP(MATCH(B191,tid,0),tao,'12(id)'!$DQ$20,FALSE)="","",VLOOKUP(MATCH(B191,tid,0),tao,'12(id)'!$DQ$20,FALSE))</f>
        <v>#N/A</v>
      </c>
      <c r="R191" s="8906"/>
      <c r="S191" s="8818"/>
      <c r="T191" s="8874"/>
      <c r="U191" s="8874"/>
      <c r="V191" s="8874"/>
      <c r="W191" s="7616"/>
      <c r="X191" s="8818"/>
      <c r="Y191" s="8900"/>
      <c r="Z191" s="8900"/>
      <c r="AA191" s="8900"/>
      <c r="AB191" s="7652"/>
      <c r="AC191" s="8818"/>
      <c r="AD191" s="8900"/>
      <c r="AE191" s="8900"/>
      <c r="AF191" s="8900"/>
      <c r="AG191" s="7555"/>
      <c r="AH191" s="5962"/>
      <c r="AI191" s="5959"/>
      <c r="AJ191" s="5959"/>
      <c r="AK191" s="5959"/>
      <c r="AL191" s="5959"/>
      <c r="AM191" s="5959"/>
    </row>
    <row r="192" spans="1:39" ht="15" customHeight="1">
      <c r="A192" s="5952"/>
      <c r="B192" s="9035"/>
      <c r="C192" s="8852" t="str">
        <f>+IF(B192="","",VLOOKUP(MATCH(B192,tid,0),tao,'12(id)'!$J$20,FALSE))</f>
        <v/>
      </c>
      <c r="D192" s="8887" t="str">
        <f t="shared" si="1"/>
        <v/>
      </c>
      <c r="E192" s="9035"/>
      <c r="F192" s="5952"/>
      <c r="G192" s="5959"/>
      <c r="H192" s="5952"/>
      <c r="I192" s="9070"/>
      <c r="J192" s="9064" t="e">
        <f>+IF(VLOOKUP(MATCH(B192,tid,0),tao,'12(id)'!$I$20,FALSE)="","",VLOOKUP(MATCH(B192,tid,0),tao,'12(id)'!$I$20,FALSE))</f>
        <v>#N/A</v>
      </c>
      <c r="K192" s="9064"/>
      <c r="L192" s="8971" t="e">
        <f>+IF(VLOOKUP(MATCH(B192,tid,0),tao,'12(id)'!$L$20,FALSE)="","",VLOOKUP(MATCH(B192,tid,0),tao,'12(id)'!$L$20,FALSE))</f>
        <v>#N/A</v>
      </c>
      <c r="M192" s="9077" t="str">
        <f>+IF(B192="","",IF(VLOOKUP(MATCH(B192,tid,0),tao,'12(id)'!$Q$20,FALSE)="","",VLOOKUP(MATCH(B192,tid,0),tao,'12(id)'!$Q$20,FALSE)))</f>
        <v/>
      </c>
      <c r="N192" s="9085" t="str">
        <f>+IF(B192="","",IF(VLOOKUP(MATCH(B192,tid,0),tao,'12(id)'!$CT$20,FALSE)="","",VLOOKUP(MATCH(B192,tid,0),tao,'12(id)'!$CT$20,FALSE)))</f>
        <v/>
      </c>
      <c r="O192" s="9001" t="str">
        <f>+IF(B192="","",IF(VLOOKUP(MATCH(B192,tid,0),tao,'12(id)'!$DE$20,FALSE)="","",ROUND(VLOOKUP(MATCH(B192,tid,0),tao,'12(id)'!$DE$20,FALSE),0)&amp;" yrs"))</f>
        <v/>
      </c>
      <c r="P192" s="9001" t="e">
        <f>+IF(VLOOKUP(MATCH(B192,tid,0),tao,'12(id)'!$FR$20,FALSE)="","",VLOOKUP(MATCH(B192,tid,0),tao,'12(id)'!$FR$20,FALSE))</f>
        <v>#N/A</v>
      </c>
      <c r="Q192" s="9140" t="e">
        <f>+IF(VLOOKUP(MATCH(B192,tid,0),tao,'12(id)'!$DI$20,FALSE)="","",VLOOKUP(MATCH(B192,tid,0),tao,'12(id)'!$DI$20,FALSE))&amp;";  "&amp;IF(VLOOKUP(MATCH(B192,tid,0),tao,'12(id)'!$DQ$20,FALSE)="","",VLOOKUP(MATCH(B192,tid,0),tao,'12(id)'!$DQ$20,FALSE))</f>
        <v>#N/A</v>
      </c>
      <c r="R192" s="8906"/>
      <c r="S192" s="8818"/>
      <c r="T192" s="7594" t="str">
        <f>+IF(E190="","",IF(VLOOKUP(MATCH(E190,c_id,0),ca,'13(an)'!$CC$34,FALSE)="",IF(VLOOKUP(MATCH(E190,c_id,0),ca,'13(an)'!$CD$34,FALSE)="",IF(VLOOKUP(MATCH(E190,c_id,0),ca,'13(an)'!$CE$34,FALSE)="","η ≈ N/A","η ≈ "&amp;ROUND(VLOOKUP(MATCH(E190,c_id,0),ca,'13(an)'!$CE$34,FALSE)*100,0)&amp;"%"),"η ≈ "&amp;ROUND(VLOOKUP(MATCH(E190,c_id,0),ca,'13(an)'!$CD$34,FALSE)*100,0)&amp;"%"),"η ≈ "&amp;ROUND(VLOOKUP(MATCH(E190,c_id,0),ca,'13(an)'!$CC$34,FALSE)*100,0)&amp;"%"))</f>
        <v>η ≈ 72%</v>
      </c>
      <c r="U192" s="7595" t="str">
        <f>+IF($U$196="ppmvd",IF(VLOOKUP(MATCH(E190,c_id,0),ca,'13(an)'!$BV$34,FALSE)="","",ROUND(VLOOKUP(MATCH(E190,c_id,0),ca,'13(an)'!$BV$34,FALSE),1)&amp;" ppmvd"),IF(VLOOKUP(MATCH(E190,c_id,0),ca,'13(an)'!$BU$34,FALSE)="","",IF(LEN(ROUND(VLOOKUP(MATCH(E190,c_id,0),ca,'13(an)'!$BU$34,FALSE),3))=3,ROUND(VLOOKUP(MATCH(E190,c_id,0),ca,'13(an)'!$BU$34,FALSE),3)&amp;"00 lb/MMBtu",IF(LEN(ROUND(VLOOKUP(MATCH(E190,c_id,0),ca,'13(an)'!$BU$34,FALSE),3))=4,ROUND(VLOOKUP(MATCH(E190,c_id,0),ca,'13(an)'!$BU$34,FALSE),3)&amp;"0 lb/MMBtu",ROUND(VLOOKUP(MATCH(E190,c_id,0),ca,'13(an)'!$BU$34,FALSE),3)&amp;" lb/MMBtu"))))</f>
        <v>0.220 lb/MMBtu</v>
      </c>
      <c r="V192" s="7596">
        <f>+IF(E190="","",IF(VLOOKUP(MATCH(E190,c_id,0),ca,'13(an)'!$CB$34,FALSE)="","NOx(R) = N/A",ROUND(VLOOKUP(MATCH(E190,c_id,0),ca,'13(an)'!$CB$34,FALSE),1)))</f>
        <v>2.2999999999999998</v>
      </c>
      <c r="W192" s="7534"/>
      <c r="X192" s="8818"/>
      <c r="Y192" s="7594" t="str">
        <f>+IF(E190="","",IF(VLOOKUP(MATCH(E190,c_id,0),ca,'13(an)'!$CM$34,FALSE)="",IF(VLOOKUP(MATCH(E190,c_id,0),ca,'13(an)'!$CN$34,FALSE)="",IF(VLOOKUP(MATCH(E190,c_id,0),ca,'13(an)'!$CO$34,FALSE)="","η ≈ N/A","η ≈ "&amp;ROUND(VLOOKUP(MATCH(E190,c_id,0),ca,'13(an)'!$CO$34,FALSE)*100,0)&amp;"%"),"η ≈ "&amp;ROUND(VLOOKUP(MATCH(E190,c_id,0),ca,'13(an)'!$CN$34,FALSE)*100,0)&amp;"%"),"η ≈ "&amp;ROUND(VLOOKUP(MATCH(E190,c_id,0),ca,'13(an)'!$CM$34,FALSE)*100,0)&amp;"%"))</f>
        <v>η ≈ 73%</v>
      </c>
      <c r="Z192" s="7653" t="str">
        <f>+IF($Z$196="ppmvd",IF(VLOOKUP(MATCH(E190,c_id,0),ca,'13(an)'!$CJ$34,FALSE)="","",ROUND(VLOOKUP(MATCH(E190,c_id,0),ca,'13(an)'!$CJ$34,FALSE),1)&amp;" ppmvd"),IF(VLOOKUP(MATCH(E190,c_id,0),ca,'13(an)'!$CI$34,FALSE)="","",IF(LEN(ROUND(VLOOKUP(MATCH(E190,c_id,0),ca,'13(an)'!$CI$34,FALSE),3))=3,ROUND(VLOOKUP(MATCH(E190,c_id,0),ca,'13(an)'!$CI$34,FALSE),3)&amp;"00 lb/MMBtu",IF(LEN(ROUND(VLOOKUP(MATCH(E190,c_id,0),ca,'13(an)'!$CI$34,FALSE),3))=4,ROUND(VLOOKUP(MATCH(E190,c_id,0),ca,'13(an)'!$CI$34,FALSE),3)&amp;"0 lb/MMBtu",ROUND(VLOOKUP(MATCH(E190,c_id,0),ca,'13(an)'!$CI$34,FALSE),3)&amp;" lb/MMBtu"))))</f>
        <v>0.187 lb/MMBtu</v>
      </c>
      <c r="AA192" s="7596">
        <f>+IF(E190="","",IF(VLOOKUP(MATCH(E190,c_id,0),ca,'13(an)'!$CL$34,FALSE)="","NOx(R) = N/A",ROUND(VLOOKUP(MATCH(E190,c_id,0),ca,'13(an)'!$CL$34,FALSE),1)))</f>
        <v>2.2000000000000002</v>
      </c>
      <c r="AB192" s="7654"/>
      <c r="AC192" s="8818"/>
      <c r="AD192" s="7594" t="str">
        <f>+IF(E190="","",IF(VLOOKUP(MATCH(E190,c_id,0),ca,'13(an)'!$CM$34,FALSE)="",IF(VLOOKUP(MATCH(E190,c_id,0),ca,'13(an)'!$CN$34,FALSE)="",IF(VLOOKUP(MATCH(E190,c_id,0),ca,'13(an)'!$CO$34,FALSE)="","η ≈ N/A","η ≈ "&amp;ROUND(VLOOKUP(MATCH(E190,c_id,0),ca,'13(an)'!$CO$34,FALSE)*100,0)&amp;"%"),"η ≈ "&amp;ROUND(VLOOKUP(MATCH(E190,c_id,0),ca,'13(an)'!$CN$34,FALSE)*100,0)&amp;"%"),"η ≈ "&amp;ROUND(VLOOKUP(MATCH(E190,c_id,0),ca,'13(an)'!$CM$34,FALSE)*100,0)&amp;"%"))</f>
        <v>η ≈ 73%</v>
      </c>
      <c r="AE192" s="7595" t="str">
        <f>+IF($AE$196="ppmvd",IF(VLOOKUP(MATCH(E190,c_id,0),ca,'13(an)'!$CJ$34,FALSE)="","",ROUND(VLOOKUP(MATCH(E190,c_id,0),ca,'13(an)'!$CJ$34,FALSE),1)&amp;" ppmvd"),IF(VLOOKUP(MATCH(E190,c_id,0),ca,'13(an)'!$CI$34,FALSE)="","",IF(LEN(ROUND(VLOOKUP(MATCH(E190,c_id,0),ca,'13(an)'!$CI$34,FALSE),3))=3,ROUND(VLOOKUP(MATCH(E190,c_id,0),ca,'13(an)'!$CI$34,FALSE),3)&amp;"00 lb/MMBtu",IF(LEN(ROUND(VLOOKUP(MATCH(E190,c_id,0),ca,'13(an)'!$CI$34,FALSE),3))=4,ROUND(VLOOKUP(MATCH(E190,c_id,0),ca,'13(an)'!$CI$34,FALSE),3)&amp;"0 lb/MMBtu",ROUND(VLOOKUP(MATCH(E190,c_id,0),ca,'13(an)'!$CI$34,FALSE),3)&amp;" lb/MMBtu"))))</f>
        <v>0.187 lb/MMBtu</v>
      </c>
      <c r="AF192" s="7596">
        <f>+IF(E190="","",IF(VLOOKUP(MATCH(E190,c_id,0),ca,'13(an)'!$CL$34,FALSE)="","NOx(R) = N/A",ROUND(VLOOKUP(MATCH(E190,c_id,0),ca,'13(an)'!$CL$34,FALSE),1)))</f>
        <v>2.2000000000000002</v>
      </c>
      <c r="AG192" s="7536"/>
      <c r="AH192" s="5962"/>
      <c r="AI192" s="5959"/>
      <c r="AJ192" s="5959"/>
      <c r="AK192" s="5959"/>
      <c r="AL192" s="5959"/>
      <c r="AM192" s="5959"/>
    </row>
    <row r="193" spans="1:39" ht="15" customHeight="1">
      <c r="A193" s="5952"/>
      <c r="B193" s="9035"/>
      <c r="C193" s="8852" t="str">
        <f>+IF(B193="","",VLOOKUP(MATCH(B193,tid,0),tao,'12(id)'!$J$20,FALSE))</f>
        <v/>
      </c>
      <c r="D193" s="8887" t="str">
        <f t="shared" si="1"/>
        <v/>
      </c>
      <c r="E193" s="9035"/>
      <c r="F193" s="5952"/>
      <c r="G193" s="5959"/>
      <c r="H193" s="5952"/>
      <c r="I193" s="9070"/>
      <c r="J193" s="9064" t="e">
        <f>+IF(VLOOKUP(MATCH(B193,tid,0),tao,'12(id)'!$I$20,FALSE)="","",VLOOKUP(MATCH(B193,tid,0),tao,'12(id)'!$I$20,FALSE))</f>
        <v>#N/A</v>
      </c>
      <c r="K193" s="9064"/>
      <c r="L193" s="8971" t="e">
        <f>+IF(VLOOKUP(MATCH(B193,tid,0),tao,'12(id)'!$L$20,FALSE)="","",VLOOKUP(MATCH(B193,tid,0),tao,'12(id)'!$L$20,FALSE))</f>
        <v>#N/A</v>
      </c>
      <c r="M193" s="9077" t="str">
        <f>+IF(B193="","",IF(VLOOKUP(MATCH(B193,tid,0),tao,'12(id)'!$Q$20,FALSE)="","",VLOOKUP(MATCH(B193,tid,0),tao,'12(id)'!$Q$20,FALSE)))</f>
        <v/>
      </c>
      <c r="N193" s="9085" t="str">
        <f>+IF(B193="","",IF(VLOOKUP(MATCH(B193,tid,0),tao,'12(id)'!$CT$20,FALSE)="","",VLOOKUP(MATCH(B193,tid,0),tao,'12(id)'!$CT$20,FALSE)))</f>
        <v/>
      </c>
      <c r="O193" s="9001" t="str">
        <f>+IF(B193="","",IF(VLOOKUP(MATCH(B193,tid,0),tao,'12(id)'!$DE$20,FALSE)="","",ROUND(VLOOKUP(MATCH(B193,tid,0),tao,'12(id)'!$DE$20,FALSE),0)&amp;" yrs"))</f>
        <v/>
      </c>
      <c r="P193" s="9001" t="e">
        <f>+IF(VLOOKUP(MATCH(B193,tid,0),tao,'12(id)'!$FR$20,FALSE)="","",VLOOKUP(MATCH(B193,tid,0),tao,'12(id)'!$FR$20,FALSE))</f>
        <v>#N/A</v>
      </c>
      <c r="Q193" s="9140" t="e">
        <f>+IF(VLOOKUP(MATCH(B193,tid,0),tao,'12(id)'!$DI$20,FALSE)="","",VLOOKUP(MATCH(B193,tid,0),tao,'12(id)'!$DI$20,FALSE))&amp;";  "&amp;IF(VLOOKUP(MATCH(B193,tid,0),tao,'12(id)'!$DQ$20,FALSE)="","",VLOOKUP(MATCH(B193,tid,0),tao,'12(id)'!$DQ$20,FALSE))</f>
        <v>#N/A</v>
      </c>
      <c r="R193" s="8906"/>
      <c r="S193" s="8818"/>
      <c r="T193" s="7537">
        <f>+IF(VLOOKUP(MATCH(E190,c_id,0),ca,'13(an)'!$GF$34,FALSE)="","",VLOOKUP(MATCH(E190,c_id,0),ca,'13(an)'!$GF$34,FALSE))</f>
        <v>2409779</v>
      </c>
      <c r="U193" s="7538" t="str">
        <f>+IF(T193="","","$ TCC/unit")</f>
        <v>$ TCC/unit</v>
      </c>
      <c r="V193" s="7539">
        <f>+IF(VLOOKUP(MATCH(E190,c_id,0),ca,'13(an)'!$HA$34,FALSE)="","",VLOOKUP(MATCH(E190,c_id,0),ca,'13(an)'!$HA$34,FALSE))</f>
        <v>299054</v>
      </c>
      <c r="W193" s="7540"/>
      <c r="X193" s="8818"/>
      <c r="Y193" s="7537">
        <f>+IF(VLOOKUP(MATCH(E190,c_id,0),ca,'13(an)'!$IA$34,FALSE)="","",VLOOKUP(MATCH(E190,c_id,0),ca,'13(an)'!$IA$34,FALSE))</f>
        <v>2259168.12</v>
      </c>
      <c r="Z193" s="7538" t="str">
        <f>+IF(Y193="","","$ TCC/unit")</f>
        <v>$ TCC/unit</v>
      </c>
      <c r="AA193" s="7539">
        <f>+IF(Y193="","",$AA$14*Y193)</f>
        <v>213249.48859269058</v>
      </c>
      <c r="AB193" s="7655"/>
      <c r="AC193" s="8818"/>
      <c r="AD193" s="7537">
        <f>+IF(VLOOKUP(MATCH(E190,c_id,0),ca,'13(an)'!$JS$34,FALSE)="","",VLOOKUP(MATCH(E190,c_id,0),ca,'13(an)'!$JS$34,FALSE))</f>
        <v>1725675</v>
      </c>
      <c r="AE193" s="7538" t="str">
        <f>+IF(AD193="","","$ TCC/unit")</f>
        <v>$ TCC/unit</v>
      </c>
      <c r="AF193" s="7539">
        <f>+IF(AD193="","",$AF$14*AD193)</f>
        <v>148081.06430477212</v>
      </c>
      <c r="AG193" s="7542"/>
      <c r="AH193" s="5962"/>
      <c r="AI193" s="5959"/>
      <c r="AJ193" s="5959"/>
      <c r="AK193" s="5959"/>
      <c r="AL193" s="5959"/>
      <c r="AM193" s="5959"/>
    </row>
    <row r="194" spans="1:39" ht="15" customHeight="1">
      <c r="A194" s="5952"/>
      <c r="B194" s="9035"/>
      <c r="C194" s="8852" t="str">
        <f>+IF(B194="","",VLOOKUP(MATCH(B194,tid,0),tao,'12(id)'!$J$20,FALSE))</f>
        <v/>
      </c>
      <c r="D194" s="8887" t="str">
        <f t="shared" si="1"/>
        <v/>
      </c>
      <c r="E194" s="9035"/>
      <c r="F194" s="5952"/>
      <c r="G194" s="5959"/>
      <c r="H194" s="5952"/>
      <c r="I194" s="9070"/>
      <c r="J194" s="9064" t="e">
        <f>+IF(VLOOKUP(MATCH(B194,tid,0),tao,'12(id)'!$I$20,FALSE)="","",VLOOKUP(MATCH(B194,tid,0),tao,'12(id)'!$I$20,FALSE))</f>
        <v>#N/A</v>
      </c>
      <c r="K194" s="9064"/>
      <c r="L194" s="8971" t="e">
        <f>+IF(VLOOKUP(MATCH(B194,tid,0),tao,'12(id)'!$L$20,FALSE)="","",VLOOKUP(MATCH(B194,tid,0),tao,'12(id)'!$L$20,FALSE))</f>
        <v>#N/A</v>
      </c>
      <c r="M194" s="9077" t="str">
        <f>+IF(B194="","",IF(VLOOKUP(MATCH(B194,tid,0),tao,'12(id)'!$Q$20,FALSE)="","",VLOOKUP(MATCH(B194,tid,0),tao,'12(id)'!$Q$20,FALSE)))</f>
        <v/>
      </c>
      <c r="N194" s="9085" t="str">
        <f>+IF(B194="","",IF(VLOOKUP(MATCH(B194,tid,0),tao,'12(id)'!$CT$20,FALSE)="","",VLOOKUP(MATCH(B194,tid,0),tao,'12(id)'!$CT$20,FALSE)))</f>
        <v/>
      </c>
      <c r="O194" s="9001" t="str">
        <f>+IF(B194="","",IF(VLOOKUP(MATCH(B194,tid,0),tao,'12(id)'!$DE$20,FALSE)="","",ROUND(VLOOKUP(MATCH(B194,tid,0),tao,'12(id)'!$DE$20,FALSE),0)&amp;" yrs"))</f>
        <v/>
      </c>
      <c r="P194" s="9001" t="e">
        <f>+IF(VLOOKUP(MATCH(B194,tid,0),tao,'12(id)'!$FR$20,FALSE)="","",VLOOKUP(MATCH(B194,tid,0),tao,'12(id)'!$FR$20,FALSE))</f>
        <v>#N/A</v>
      </c>
      <c r="Q194" s="9140" t="e">
        <f>+IF(VLOOKUP(MATCH(B194,tid,0),tao,'12(id)'!$DI$20,FALSE)="","",VLOOKUP(MATCH(B194,tid,0),tao,'12(id)'!$DI$20,FALSE))&amp;";  "&amp;IF(VLOOKUP(MATCH(B194,tid,0),tao,'12(id)'!$DQ$20,FALSE)="","",VLOOKUP(MATCH(B194,tid,0),tao,'12(id)'!$DQ$20,FALSE))</f>
        <v>#N/A</v>
      </c>
      <c r="R194" s="8906"/>
      <c r="S194" s="8818"/>
      <c r="T194" s="7543">
        <f>+IF(OR(T193="",N190=""),"",T193/N190)</f>
        <v>120488.95</v>
      </c>
      <c r="U194" s="8820" t="str">
        <f>+IF(T194="","","$ TCC / MW nominal capacity")</f>
        <v>$ TCC / MW nominal capacity</v>
      </c>
      <c r="V194" s="8820"/>
      <c r="W194" s="7544"/>
      <c r="X194" s="8818"/>
      <c r="Y194" s="7543">
        <f>+IF(OR(Y193="",N190=""),"",Y193/N190)</f>
        <v>112958.406</v>
      </c>
      <c r="Z194" s="8820" t="str">
        <f>+IF(Y194="","","$ TCC / MW nominal capacity")</f>
        <v>$ TCC / MW nominal capacity</v>
      </c>
      <c r="AA194" s="8820"/>
      <c r="AB194" s="7463"/>
      <c r="AC194" s="8818"/>
      <c r="AD194" s="7543">
        <f>+IF(OR(AD193="",N190=""),"",AD193/N190)</f>
        <v>86283.75</v>
      </c>
      <c r="AE194" s="8820" t="str">
        <f>+IF(AD194="","","$ TCC / MW nominal capacity")</f>
        <v>$ TCC / MW nominal capacity</v>
      </c>
      <c r="AF194" s="8820"/>
      <c r="AG194" s="7546"/>
      <c r="AH194" s="5962"/>
      <c r="AI194" s="5959"/>
      <c r="AJ194" s="5959"/>
      <c r="AK194" s="5959"/>
      <c r="AL194" s="5959"/>
      <c r="AM194" s="5959"/>
    </row>
    <row r="195" spans="1:39" ht="15" customHeight="1" thickBot="1">
      <c r="A195" s="5952"/>
      <c r="B195" s="9062"/>
      <c r="C195" s="8852" t="str">
        <f>+IF(B195="","",VLOOKUP(MATCH(B195,tid,0),tao,'12(id)'!$J$20,FALSE))</f>
        <v/>
      </c>
      <c r="D195" s="8889" t="str">
        <f t="shared" si="1"/>
        <v/>
      </c>
      <c r="E195" s="9062"/>
      <c r="F195" s="5952"/>
      <c r="G195" s="5959"/>
      <c r="H195" s="5952"/>
      <c r="I195" s="9073"/>
      <c r="J195" s="9064" t="e">
        <f>+IF(VLOOKUP(MATCH(B195,tid,0),tao,'12(id)'!$I$20,FALSE)="","",VLOOKUP(MATCH(B195,tid,0),tao,'12(id)'!$I$20,FALSE))</f>
        <v>#N/A</v>
      </c>
      <c r="K195" s="9065"/>
      <c r="L195" s="9061" t="e">
        <f>+IF(VLOOKUP(MATCH(B195,tid,0),tao,'12(id)'!$L$20,FALSE)="","",VLOOKUP(MATCH(B195,tid,0),tao,'12(id)'!$L$20,FALSE))</f>
        <v>#N/A</v>
      </c>
      <c r="M195" s="9078" t="str">
        <f>+IF(B195="","",IF(VLOOKUP(MATCH(B195,tid,0),tao,'12(id)'!$Q$20,FALSE)="","",VLOOKUP(MATCH(B195,tid,0),tao,'12(id)'!$Q$20,FALSE)))</f>
        <v/>
      </c>
      <c r="N195" s="9110" t="str">
        <f>+IF(B195="","",IF(VLOOKUP(MATCH(B195,tid,0),tao,'12(id)'!$CT$20,FALSE)="","",VLOOKUP(MATCH(B195,tid,0),tao,'12(id)'!$CT$20,FALSE)))</f>
        <v/>
      </c>
      <c r="O195" s="9002" t="str">
        <f>+IF(B195="","",IF(VLOOKUP(MATCH(B195,tid,0),tao,'12(id)'!$DE$20,FALSE)="","",ROUND(VLOOKUP(MATCH(B195,tid,0),tao,'12(id)'!$DE$20,FALSE),0)&amp;" yrs"))</f>
        <v/>
      </c>
      <c r="P195" s="9002" t="e">
        <f>+IF(VLOOKUP(MATCH(B195,tid,0),tao,'12(id)'!$FR$20,FALSE)="","",VLOOKUP(MATCH(B195,tid,0),tao,'12(id)'!$FR$20,FALSE))</f>
        <v>#N/A</v>
      </c>
      <c r="Q195" s="9148" t="e">
        <f>+IF(VLOOKUP(MATCH(B195,tid,0),tao,'12(id)'!$DI$20,FALSE)="","",VLOOKUP(MATCH(B195,tid,0),tao,'12(id)'!$DI$20,FALSE))&amp;";  "&amp;IF(VLOOKUP(MATCH(B195,tid,0),tao,'12(id)'!$DQ$20,FALSE)="","",VLOOKUP(MATCH(B195,tid,0),tao,'12(id)'!$DQ$20,FALSE))</f>
        <v>#N/A</v>
      </c>
      <c r="R195" s="8907"/>
      <c r="S195" s="8860"/>
      <c r="T195" s="7631">
        <f>+IF(VLOOKUP(MATCH(E190,c_id,0),ca,'13(an)'!$HF$34,FALSE)="","",VLOOKUP(MATCH(E190,c_id,0),ca,'13(an)'!$HF$34,FALSE))</f>
        <v>172961</v>
      </c>
      <c r="U195" s="8897" t="str">
        <f>IF(T195="","","$ /ton "&amp;"NOx(R)")</f>
        <v>$ /ton NOx(R)</v>
      </c>
      <c r="V195" s="8897"/>
      <c r="W195" s="7606"/>
      <c r="X195" s="8860"/>
      <c r="Y195" s="7631">
        <f>+IF(VLOOKUP(MATCH(E190,c_id,0),ca,'13(an)'!$JE$34,FALSE)="","",VLOOKUP(MATCH(E190,c_id,0),ca,'13(an)'!$JE$34,FALSE))</f>
        <v>161104.95711412502</v>
      </c>
      <c r="Z195" s="8897" t="str">
        <f>IF(Y195="","","$ /ton "&amp;"NOx(R)")</f>
        <v>$ /ton NOx(R)</v>
      </c>
      <c r="AA195" s="8897"/>
      <c r="AB195" s="7676"/>
      <c r="AC195" s="8860"/>
      <c r="AD195" s="7631">
        <f>+IF(VLOOKUP(MATCH(E190,c_id,0),ca,'13(an)'!$LB$34,FALSE)="","",VLOOKUP(MATCH(E190,c_id,0),ca,'13(an)'!$LB$34,FALSE))</f>
        <v>100547.09702664198</v>
      </c>
      <c r="AE195" s="8897" t="str">
        <f>IF(AD195="","","$ /ton "&amp;"NOx(R)")</f>
        <v>$ /ton NOx(R)</v>
      </c>
      <c r="AF195" s="8897"/>
      <c r="AG195" s="7620"/>
      <c r="AH195" s="5962"/>
      <c r="AI195" s="5959"/>
      <c r="AJ195" s="5959"/>
      <c r="AK195" s="5959"/>
      <c r="AL195" s="5959"/>
      <c r="AM195" s="5959"/>
    </row>
    <row r="196" spans="1:39" ht="18" customHeight="1">
      <c r="A196" s="5952"/>
      <c r="B196" s="7677"/>
      <c r="C196" s="8852"/>
      <c r="D196" s="7678"/>
      <c r="E196" s="7677"/>
      <c r="F196" s="5952"/>
      <c r="G196" s="5959"/>
      <c r="H196" s="5952"/>
      <c r="I196" s="7562"/>
      <c r="J196" s="9102"/>
      <c r="K196" s="7562"/>
      <c r="L196" s="7563"/>
      <c r="M196" s="7679"/>
      <c r="N196" s="7680"/>
      <c r="O196" s="7681"/>
      <c r="P196" s="7681"/>
      <c r="Q196" s="7682"/>
      <c r="R196" s="7624"/>
      <c r="S196" s="7562"/>
      <c r="T196" s="7683" t="s">
        <v>1896</v>
      </c>
      <c r="U196" s="7768" t="s">
        <v>486</v>
      </c>
      <c r="V196" s="7684"/>
      <c r="W196" s="7685"/>
      <c r="X196" s="7562"/>
      <c r="Y196" s="7683" t="s">
        <v>1896</v>
      </c>
      <c r="Z196" s="7768" t="s">
        <v>486</v>
      </c>
      <c r="AA196" s="7684"/>
      <c r="AB196" s="7684"/>
      <c r="AC196" s="7562"/>
      <c r="AD196" s="7683" t="s">
        <v>1896</v>
      </c>
      <c r="AE196" s="7768" t="s">
        <v>486</v>
      </c>
      <c r="AF196" s="7686"/>
      <c r="AG196" s="7565"/>
      <c r="AH196" s="5962"/>
      <c r="AI196" s="5959"/>
      <c r="AJ196" s="5959"/>
      <c r="AK196" s="5959"/>
      <c r="AL196" s="5959"/>
      <c r="AM196" s="5959"/>
    </row>
    <row r="197" spans="1:39" ht="18" customHeight="1">
      <c r="A197" s="5952"/>
      <c r="B197" s="7677"/>
      <c r="C197" s="8852"/>
      <c r="D197" s="7678"/>
      <c r="E197" s="7677"/>
      <c r="F197" s="5952"/>
      <c r="G197" s="5959"/>
      <c r="H197" s="5952"/>
      <c r="I197" s="7519"/>
      <c r="J197" s="9102"/>
      <c r="L197" s="7569"/>
      <c r="M197" s="7486"/>
      <c r="N197" s="7648"/>
      <c r="O197" s="7524"/>
      <c r="P197" s="7524"/>
      <c r="Q197" s="7568"/>
      <c r="R197" s="7627"/>
      <c r="S197" s="7519"/>
      <c r="T197" s="7543"/>
      <c r="U197" s="7570"/>
      <c r="V197" s="7570"/>
      <c r="W197" s="7570"/>
      <c r="X197" s="7519"/>
      <c r="Y197" s="7543"/>
      <c r="Z197" s="7570"/>
      <c r="AA197" s="7570"/>
      <c r="AB197" s="7570"/>
      <c r="AC197" s="7519"/>
      <c r="AD197" s="7543"/>
      <c r="AE197" s="7570"/>
      <c r="AF197" s="7570"/>
      <c r="AG197" s="7570"/>
      <c r="AH197" s="5962"/>
      <c r="AI197" s="5959"/>
      <c r="AJ197" s="5959"/>
      <c r="AK197" s="5959"/>
      <c r="AL197" s="5959"/>
      <c r="AM197" s="5959"/>
    </row>
    <row r="198" spans="1:39" ht="18" customHeight="1">
      <c r="A198" s="5952"/>
      <c r="B198" s="7677"/>
      <c r="C198" s="8852"/>
      <c r="D198" s="7678"/>
      <c r="E198" s="7677"/>
      <c r="F198" s="5952"/>
      <c r="G198" s="5959"/>
      <c r="H198" s="5952"/>
      <c r="I198" s="7519"/>
      <c r="J198" s="9102"/>
      <c r="K198" s="7502" t="str">
        <f>+K171</f>
        <v>TURBINES</v>
      </c>
      <c r="L198" s="7569"/>
      <c r="M198" s="7486"/>
      <c r="N198" s="7648"/>
      <c r="O198" s="7524"/>
      <c r="P198" s="7524"/>
      <c r="Q198" s="7568"/>
      <c r="R198" s="7627"/>
      <c r="S198" s="7519"/>
      <c r="T198" s="7543"/>
      <c r="U198" s="7570"/>
      <c r="V198" s="7570"/>
      <c r="W198" s="7570"/>
      <c r="X198" s="7519"/>
      <c r="Y198" s="7543"/>
      <c r="Z198" s="7570"/>
      <c r="AA198" s="7570"/>
      <c r="AB198" s="7570"/>
      <c r="AC198" s="7519"/>
      <c r="AD198" s="7469" t="s">
        <v>912</v>
      </c>
      <c r="AE198" s="8830" t="s">
        <v>2526</v>
      </c>
      <c r="AF198" s="8830"/>
      <c r="AG198" s="7570"/>
      <c r="AH198" s="5962"/>
      <c r="AI198" s="5959"/>
      <c r="AJ198" s="5959"/>
      <c r="AK198" s="5959"/>
      <c r="AL198" s="5959"/>
      <c r="AM198" s="5959"/>
    </row>
    <row r="199" spans="1:39" ht="18" customHeight="1" thickBot="1">
      <c r="A199" s="5952"/>
      <c r="B199" s="7677"/>
      <c r="C199" s="8852"/>
      <c r="D199" s="7678"/>
      <c r="E199" s="7677"/>
      <c r="F199" s="5952"/>
      <c r="G199" s="5959"/>
      <c r="H199" s="5952"/>
      <c r="I199" s="7687"/>
      <c r="J199" s="9102"/>
      <c r="K199" s="7688" t="str">
        <f>+IF(B224="","",IF(VLOOKUP(MATCH(B173,tid,0),tao,'12(id)'!$I$20,FALSE)="","",VLOOKUP(MATCH(B173,tid,0),tao,'12(id)'!$I$20,FALSE)))</f>
        <v>NRG Energy, Inc</v>
      </c>
      <c r="L199" s="7689"/>
      <c r="M199" s="7690"/>
      <c r="N199" s="7691"/>
      <c r="O199" s="7692"/>
      <c r="P199" s="7692"/>
      <c r="Q199" s="7693"/>
      <c r="R199" s="7694"/>
      <c r="S199" s="7687"/>
      <c r="T199" s="7631"/>
      <c r="U199" s="7607"/>
      <c r="V199" s="7607"/>
      <c r="W199" s="7607"/>
      <c r="X199" s="7687"/>
      <c r="Y199" s="7631"/>
      <c r="Z199" s="7607"/>
      <c r="AA199" s="7607"/>
      <c r="AB199" s="7607"/>
      <c r="AC199" s="7687"/>
      <c r="AD199" s="7470"/>
      <c r="AE199" s="8830"/>
      <c r="AF199" s="8830"/>
      <c r="AG199" s="7607"/>
      <c r="AH199" s="5962"/>
      <c r="AI199" s="5959"/>
      <c r="AJ199" s="5959"/>
      <c r="AK199" s="5959"/>
      <c r="AL199" s="5959"/>
      <c r="AM199" s="5959"/>
    </row>
    <row r="200" spans="1:39" ht="9.9499999999999993" customHeight="1">
      <c r="A200" s="5952"/>
      <c r="B200" s="9088" t="str">
        <f>+IF('12(id)'!A41="","",'12(id)'!A41)</f>
        <v>8300-09</v>
      </c>
      <c r="C200" s="8852" t="str">
        <f>+IF(B200="","",VLOOKUP(MATCH(B200,tid,0),tao,'12(id)'!$J$20,FALSE))</f>
        <v>NRG</v>
      </c>
      <c r="D200" s="8888" t="str">
        <f>+IF(B200="","",M200)</f>
        <v>MD10</v>
      </c>
      <c r="E200" s="9074" t="str">
        <f>+IF(B200="","",B200&amp;IF(ISERR(VALUE(R200)),"-01",IF(R200&lt;10,"-0"&amp;R200,"-"&amp;R200)))</f>
        <v>8300-09-01</v>
      </c>
      <c r="F200" s="5952"/>
      <c r="G200" s="5959"/>
      <c r="H200" s="5952"/>
      <c r="I200" s="9069">
        <f>1+I190</f>
        <v>21</v>
      </c>
      <c r="J200" s="8818" t="str">
        <f>+IF(VLOOKUP(MATCH(B200,tid,0),tao,'12(id)'!$I$20,FALSE)="","",VLOOKUP(MATCH(B200,tid,0),tao,'12(id)'!$I$20,FALSE))</f>
        <v/>
      </c>
      <c r="K200" s="9063">
        <f>+K173</f>
        <v>8300</v>
      </c>
      <c r="L200" s="9060" t="str">
        <f>+IF(B200="","",IF(VLOOKUP(MATCH(B200,tid,0),tao,'12(id)'!$L$20,FALSE)="","",VLOOKUP(MATCH(B200,tid,0),tao,'12(id)'!$L$20,FALSE)))</f>
        <v>Middletown</v>
      </c>
      <c r="M200" s="9123" t="str">
        <f>+IF(B200="","",IF(VLOOKUP(MATCH(B200,tid,0),tao,'12(id)'!$Q$20,FALSE)="","",VLOOKUP(MATCH(B200,tid,0),tao,'12(id)'!$Q$20,FALSE)))</f>
        <v>MD10</v>
      </c>
      <c r="N200" s="9084">
        <f>+IF(B200="","",IF(VLOOKUP(MATCH(B200,tid,0),tao,'12(id)'!$CT$20,FALSE)="","",VLOOKUP(MATCH(B200,tid,0),tao,'12(id)'!$CT$20,FALSE)))</f>
        <v>20</v>
      </c>
      <c r="O200" s="9028" t="str">
        <f ca="1">+IF(B200="","",IF(VLOOKUP(MATCH(B200,tid,0),tao,'12(id)'!$DE$20,FALSE)="","",ROUND(VLOOKUP(MATCH(B200,tid,0),tao,'12(id)'!$DE$20,FALSE),0)&amp;" yrs"))</f>
        <v>48 yrs</v>
      </c>
      <c r="P200" s="9028" t="str">
        <f>+IF(B200="","",IF(VLOOKUP(MATCH(B200,tid,0),tao,'12(id)'!$FR$20,FALSE)="","",VLOOKUP(MATCH(B200,tid,0),tao,'12(id)'!$FR$20,FALSE)))</f>
        <v>None</v>
      </c>
      <c r="Q200" s="9144" t="str">
        <f>+IF(B200="","",IF(VLOOKUP(MATCH(B200,tid,0),tao,'12(id)'!$DI$20,FALSE)="","",VLOOKUP(MATCH(B200,tid,0),tao,'12(id)'!$DI$20,FALSE))&amp;";  "&amp;IF(VLOOKUP(MATCH(B200,tid,0),tao,'12(id)'!$DQ$20,FALSE)="","",VLOOKUP(MATCH(B200,tid,0),tao,'12(id)'!$DQ$20,FALSE)))</f>
        <v xml:space="preserve">Ultra low sulfur kerosene  oil (ULSD);  </v>
      </c>
      <c r="R200" s="9198">
        <f>+IF(B200="","",1)</f>
        <v>1</v>
      </c>
      <c r="S200" s="8978"/>
      <c r="T200" s="8875" t="str">
        <f>+IF(VLOOKUP(MATCH(E200,c_id,0),ca,'13(an)'!$BD$34,FALSE)="","",VLOOKUP(MATCH(E200,c_id,0),ca,'13(an)'!$BD$34,FALSE))</f>
        <v>High Pressure Water Injection (HPWI)</v>
      </c>
      <c r="U200" s="8875"/>
      <c r="V200" s="8875"/>
      <c r="W200" s="7579"/>
      <c r="X200" s="8978"/>
      <c r="Y200" s="8875" t="str">
        <f>+T200</f>
        <v>High Pressure Water Injection (HPWI)</v>
      </c>
      <c r="Z200" s="8875"/>
      <c r="AA200" s="8875"/>
      <c r="AB200" s="7651"/>
      <c r="AC200" s="8978"/>
      <c r="AD200" s="8875" t="str">
        <f>+T200</f>
        <v>High Pressure Water Injection (HPWI)</v>
      </c>
      <c r="AE200" s="8875"/>
      <c r="AF200" s="8875"/>
      <c r="AG200" s="7581"/>
      <c r="AH200" s="5962"/>
      <c r="AI200" s="5959"/>
      <c r="AJ200" s="5959"/>
      <c r="AK200" s="5959"/>
      <c r="AL200" s="5959"/>
      <c r="AM200" s="5959"/>
    </row>
    <row r="201" spans="1:39" ht="9.9499999999999993" customHeight="1">
      <c r="A201" s="5952"/>
      <c r="B201" s="9035"/>
      <c r="C201" s="8852" t="str">
        <f>+IF(B201="","",VLOOKUP(MATCH(B201,tid,0),tao,'12(id)'!$J$20,FALSE))</f>
        <v/>
      </c>
      <c r="D201" s="8887" t="str">
        <f t="shared" si="1"/>
        <v/>
      </c>
      <c r="E201" s="9035"/>
      <c r="F201" s="5952"/>
      <c r="G201" s="5959"/>
      <c r="H201" s="5952"/>
      <c r="I201" s="9070"/>
      <c r="J201" s="8818" t="e">
        <f>+IF(VLOOKUP(MATCH(B201,tid,0),tao,'12(id)'!$I$20,FALSE)="","",VLOOKUP(MATCH(B201,tid,0),tao,'12(id)'!$I$20,FALSE))</f>
        <v>#N/A</v>
      </c>
      <c r="K201" s="9064"/>
      <c r="L201" s="8971" t="e">
        <f>+IF(VLOOKUP(MATCH(B201,tid,0),tao,'12(id)'!$L$20,FALSE)="","",VLOOKUP(MATCH(B201,tid,0),tao,'12(id)'!$L$20,FALSE))</f>
        <v>#N/A</v>
      </c>
      <c r="M201" s="9077" t="str">
        <f>+IF(B201="","",IF(VLOOKUP(MATCH(B201,tid,0),tao,'12(id)'!$Q$20,FALSE)="","",VLOOKUP(MATCH(B201,tid,0),tao,'12(id)'!$Q$20,FALSE)))</f>
        <v/>
      </c>
      <c r="N201" s="9085" t="str">
        <f>+IF(B201="","",IF(VLOOKUP(MATCH(B201,tid,0),tao,'12(id)'!$CT$20,FALSE)="","",VLOOKUP(MATCH(B201,tid,0),tao,'12(id)'!$CT$20,FALSE)))</f>
        <v/>
      </c>
      <c r="O201" s="9029" t="str">
        <f>+IF(B201="","",IF(VLOOKUP(MATCH(B201,tid,0),tao,'12(id)'!$DE$20,FALSE)="","",ROUND(VLOOKUP(MATCH(B201,tid,0),tao,'12(id)'!$DE$20,FALSE),0)&amp;" yrs"))</f>
        <v/>
      </c>
      <c r="P201" s="9029" t="e">
        <f>+IF(VLOOKUP(MATCH(B201,tid,0),tao,'12(id)'!$FR$20,FALSE)="","",VLOOKUP(MATCH(B201,tid,0),tao,'12(id)'!$FR$20,FALSE))</f>
        <v>#N/A</v>
      </c>
      <c r="Q201" s="9145" t="e">
        <f>+IF(VLOOKUP(MATCH(B201,tid,0),tao,'12(id)'!$DI$20,FALSE)="","",VLOOKUP(MATCH(B201,tid,0),tao,'12(id)'!$DI$20,FALSE))&amp;";  "&amp;IF(VLOOKUP(MATCH(B201,tid,0),tao,'12(id)'!$DQ$20,FALSE)="","",VLOOKUP(MATCH(B201,tid,0),tao,'12(id)'!$DQ$20,FALSE))</f>
        <v>#N/A</v>
      </c>
      <c r="R201" s="9199"/>
      <c r="S201" s="8979"/>
      <c r="T201" s="8874"/>
      <c r="U201" s="8874"/>
      <c r="V201" s="8874"/>
      <c r="W201" s="7616"/>
      <c r="X201" s="8979"/>
      <c r="Y201" s="8900"/>
      <c r="Z201" s="8900"/>
      <c r="AA201" s="8900"/>
      <c r="AB201" s="7652"/>
      <c r="AC201" s="8979"/>
      <c r="AD201" s="8900"/>
      <c r="AE201" s="8900"/>
      <c r="AF201" s="8900"/>
      <c r="AG201" s="7555"/>
      <c r="AH201" s="5962"/>
      <c r="AI201" s="5959"/>
      <c r="AJ201" s="5959"/>
      <c r="AK201" s="5959"/>
      <c r="AL201" s="5959"/>
      <c r="AM201" s="5959"/>
    </row>
    <row r="202" spans="1:39" ht="15" customHeight="1">
      <c r="A202" s="5952"/>
      <c r="B202" s="9035"/>
      <c r="C202" s="8852" t="str">
        <f>+IF(B202="","",VLOOKUP(MATCH(B202,tid,0),tao,'12(id)'!$J$20,FALSE))</f>
        <v/>
      </c>
      <c r="D202" s="8887" t="str">
        <f t="shared" si="1"/>
        <v/>
      </c>
      <c r="E202" s="9035"/>
      <c r="F202" s="5952"/>
      <c r="G202" s="5959"/>
      <c r="H202" s="5952"/>
      <c r="I202" s="9070"/>
      <c r="J202" s="8818" t="e">
        <f>+IF(VLOOKUP(MATCH(B202,tid,0),tao,'12(id)'!$I$20,FALSE)="","",VLOOKUP(MATCH(B202,tid,0),tao,'12(id)'!$I$20,FALSE))</f>
        <v>#N/A</v>
      </c>
      <c r="K202" s="9064"/>
      <c r="L202" s="8971" t="e">
        <f>+IF(VLOOKUP(MATCH(B202,tid,0),tao,'12(id)'!$L$20,FALSE)="","",VLOOKUP(MATCH(B202,tid,0),tao,'12(id)'!$L$20,FALSE))</f>
        <v>#N/A</v>
      </c>
      <c r="M202" s="9077" t="str">
        <f>+IF(B202="","",IF(VLOOKUP(MATCH(B202,tid,0),tao,'12(id)'!$Q$20,FALSE)="","",VLOOKUP(MATCH(B202,tid,0),tao,'12(id)'!$Q$20,FALSE)))</f>
        <v/>
      </c>
      <c r="N202" s="9085" t="str">
        <f>+IF(B202="","",IF(VLOOKUP(MATCH(B202,tid,0),tao,'12(id)'!$CT$20,FALSE)="","",VLOOKUP(MATCH(B202,tid,0),tao,'12(id)'!$CT$20,FALSE)))</f>
        <v/>
      </c>
      <c r="O202" s="9029" t="str">
        <f>+IF(B202="","",IF(VLOOKUP(MATCH(B202,tid,0),tao,'12(id)'!$DE$20,FALSE)="","",ROUND(VLOOKUP(MATCH(B202,tid,0),tao,'12(id)'!$DE$20,FALSE),0)&amp;" yrs"))</f>
        <v/>
      </c>
      <c r="P202" s="9029" t="e">
        <f>+IF(VLOOKUP(MATCH(B202,tid,0),tao,'12(id)'!$FR$20,FALSE)="","",VLOOKUP(MATCH(B202,tid,0),tao,'12(id)'!$FR$20,FALSE))</f>
        <v>#N/A</v>
      </c>
      <c r="Q202" s="9145" t="e">
        <f>+IF(VLOOKUP(MATCH(B202,tid,0),tao,'12(id)'!$DI$20,FALSE)="","",VLOOKUP(MATCH(B202,tid,0),tao,'12(id)'!$DI$20,FALSE))&amp;";  "&amp;IF(VLOOKUP(MATCH(B202,tid,0),tao,'12(id)'!$DQ$20,FALSE)="","",VLOOKUP(MATCH(B202,tid,0),tao,'12(id)'!$DQ$20,FALSE))</f>
        <v>#N/A</v>
      </c>
      <c r="R202" s="9199"/>
      <c r="S202" s="8979"/>
      <c r="T202" s="7594" t="str">
        <f>+IF(E200="","",IF(VLOOKUP(MATCH(E200,c_id,0),ca,'13(an)'!$CC$34,FALSE)="",IF(VLOOKUP(MATCH(E200,c_id,0),ca,'13(an)'!$CD$34,FALSE)="",IF(VLOOKUP(MATCH(E200,c_id,0),ca,'13(an)'!$CE$34,FALSE)="","η ≈ N/A","η ≈ "&amp;ROUND(VLOOKUP(MATCH(E200,c_id,0),ca,'13(an)'!$CE$34,FALSE)*100,0)&amp;"%"),"η ≈ "&amp;ROUND(VLOOKUP(MATCH(E200,c_id,0),ca,'13(an)'!$CD$34,FALSE)*100,0)&amp;"%"),"η ≈ "&amp;ROUND(VLOOKUP(MATCH(E200,c_id,0),ca,'13(an)'!$CC$34,FALSE)*100,0)&amp;"%"))</f>
        <v>η ≈ 68%</v>
      </c>
      <c r="U202" s="7595" t="str">
        <f>+IF($U$196="ppmvd",IF(VLOOKUP(MATCH(E200,c_id,0),ca,'13(an)'!$BV$34,FALSE)="","",ROUND(VLOOKUP(MATCH(E200,c_id,0),ca,'13(an)'!$BV$34,FALSE),1)&amp;" ppmvd"),IF(VLOOKUP(MATCH(E200,c_id,0),ca,'13(an)'!$BU$34,FALSE)="","",IF(LEN(ROUND(VLOOKUP(MATCH(E200,c_id,0),ca,'13(an)'!$BU$34,FALSE),3))=3,ROUND(VLOOKUP(MATCH(E200,c_id,0),ca,'13(an)'!$BU$34,FALSE),3)&amp;"00 lb/MMBtu",IF(LEN(ROUND(VLOOKUP(MATCH(E200,c_id,0),ca,'13(an)'!$BU$34,FALSE),3))=4,ROUND(VLOOKUP(MATCH(E200,c_id,0),ca,'13(an)'!$BU$34,FALSE),3)&amp;"0 lb/MMBtu",ROUND(VLOOKUP(MATCH(E200,c_id,0),ca,'13(an)'!$BU$34,FALSE),3)&amp;" lb/MMBtu"))))</f>
        <v>0.220 lb/MMBtu</v>
      </c>
      <c r="V202" s="7596">
        <f>+IF(E200="","",IF(VLOOKUP(MATCH(E200,c_id,0),ca,'13(an)'!$CB$34,FALSE)="","NOx(R) = N/A",ROUND(VLOOKUP(MATCH(E200,c_id,0),ca,'13(an)'!$CB$34,FALSE),1)))</f>
        <v>4.2</v>
      </c>
      <c r="W202" s="7534"/>
      <c r="X202" s="8979"/>
      <c r="Y202" s="7594" t="str">
        <f>+IF(E200="","",IF(VLOOKUP(MATCH(E200,c_id,0),ca,'13(an)'!$CM$34,FALSE)="",IF(VLOOKUP(MATCH(E200,c_id,0),ca,'13(an)'!$CN$34,FALSE)="",IF(VLOOKUP(MATCH(E200,c_id,0),ca,'13(an)'!$CO$34,FALSE)="","η ≈ N/A","η ≈ "&amp;ROUND(VLOOKUP(MATCH(E200,c_id,0),ca,'13(an)'!$CO$34,FALSE)*100,0)&amp;"%"),"η ≈ "&amp;ROUND(VLOOKUP(MATCH(E200,c_id,0),ca,'13(an)'!$CN$34,FALSE)*100,0)&amp;"%"),"η ≈ "&amp;ROUND(VLOOKUP(MATCH(E200,c_id,0),ca,'13(an)'!$CM$34,FALSE)*100,0)&amp;"%"))</f>
        <v>η ≈ 67%</v>
      </c>
      <c r="Z202" s="7653" t="str">
        <f>+IF($Z$196="ppmvd",IF(VLOOKUP(MATCH(E200,c_id,0),ca,'13(an)'!$CJ$34,FALSE)="","",ROUND(VLOOKUP(MATCH(E200,c_id,0),ca,'13(an)'!$CJ$34,FALSE),1)&amp;" ppmvd"),IF(VLOOKUP(MATCH(E200,c_id,0),ca,'13(an)'!$CI$34,FALSE)="","",IF(LEN(ROUND(VLOOKUP(MATCH(E200,c_id,0),ca,'13(an)'!$CI$34,FALSE),3))=3,ROUND(VLOOKUP(MATCH(E200,c_id,0),ca,'13(an)'!$CI$34,FALSE),3)&amp;"00 lb/MMBtu",IF(LEN(ROUND(VLOOKUP(MATCH(E200,c_id,0),ca,'13(an)'!$CI$34,FALSE),3))=4,ROUND(VLOOKUP(MATCH(E200,c_id,0),ca,'13(an)'!$CI$34,FALSE),3)&amp;"0 lb/MMBtu",ROUND(VLOOKUP(MATCH(E200,c_id,0),ca,'13(an)'!$CI$34,FALSE),3)&amp;" lb/MMBtu"))))</f>
        <v>0.187 lb/MMBtu</v>
      </c>
      <c r="AA202" s="7596">
        <f>+IF(E200="","",IF(VLOOKUP(MATCH(E200,c_id,0),ca,'13(an)'!$CL$34,FALSE)="","NOx(R) = N/A",ROUND(VLOOKUP(MATCH(E200,c_id,0),ca,'13(an)'!$CL$34,FALSE),1)))</f>
        <v>4.5</v>
      </c>
      <c r="AB202" s="7654"/>
      <c r="AC202" s="8979"/>
      <c r="AD202" s="7594" t="str">
        <f>+IF(E200="","",IF(VLOOKUP(MATCH(E200,c_id,0),ca,'13(an)'!$CM$34,FALSE)="",IF(VLOOKUP(MATCH(E200,c_id,0),ca,'13(an)'!$CN$34,FALSE)="",IF(VLOOKUP(MATCH(E200,c_id,0),ca,'13(an)'!$CO$34,FALSE)="","η ≈ N/A","η ≈ "&amp;ROUND(VLOOKUP(MATCH(E200,c_id,0),ca,'13(an)'!$CO$34,FALSE)*100,0)&amp;"%"),"η ≈ "&amp;ROUND(VLOOKUP(MATCH(E200,c_id,0),ca,'13(an)'!$CN$34,FALSE)*100,0)&amp;"%"),"η ≈ "&amp;ROUND(VLOOKUP(MATCH(E200,c_id,0),ca,'13(an)'!$CM$34,FALSE)*100,0)&amp;"%"))</f>
        <v>η ≈ 67%</v>
      </c>
      <c r="AE202" s="7595" t="str">
        <f>+IF($AE$196="ppmvd",IF(VLOOKUP(MATCH(E200,c_id,0),ca,'13(an)'!$CJ$34,FALSE)="","",ROUND(VLOOKUP(MATCH(E200,c_id,0),ca,'13(an)'!$CJ$34,FALSE),1)&amp;" ppmvd"),IF(VLOOKUP(MATCH(E200,c_id,0),ca,'13(an)'!$CI$34,FALSE)="","",IF(LEN(ROUND(VLOOKUP(MATCH(E200,c_id,0),ca,'13(an)'!$CI$34,FALSE),3))=3,ROUND(VLOOKUP(MATCH(E200,c_id,0),ca,'13(an)'!$CI$34,FALSE),3)&amp;"00 lb/MMBtu",IF(LEN(ROUND(VLOOKUP(MATCH(E200,c_id,0),ca,'13(an)'!$CI$34,FALSE),3))=4,ROUND(VLOOKUP(MATCH(E200,c_id,0),ca,'13(an)'!$CI$34,FALSE),3)&amp;"0 lb/MMBtu",ROUND(VLOOKUP(MATCH(E200,c_id,0),ca,'13(an)'!$CI$34,FALSE),3)&amp;" lb/MMBtu"))))</f>
        <v>0.187 lb/MMBtu</v>
      </c>
      <c r="AF202" s="7596">
        <f>+IF(E200="","",IF(VLOOKUP(MATCH(E200,c_id,0),ca,'13(an)'!$CL$34,FALSE)="","NOx(R) = N/A",ROUND(VLOOKUP(MATCH(E200,c_id,0),ca,'13(an)'!$CL$34,FALSE),1)))</f>
        <v>4.5</v>
      </c>
      <c r="AG202" s="7536"/>
      <c r="AH202" s="5962"/>
      <c r="AI202" s="5959"/>
      <c r="AJ202" s="5959"/>
      <c r="AK202" s="5959"/>
      <c r="AL202" s="5959"/>
      <c r="AM202" s="5959"/>
    </row>
    <row r="203" spans="1:39" ht="15" customHeight="1">
      <c r="A203" s="5952"/>
      <c r="B203" s="9035"/>
      <c r="C203" s="8852" t="str">
        <f>+IF(B203="","",VLOOKUP(MATCH(B203,tid,0),tao,'12(id)'!$J$20,FALSE))</f>
        <v/>
      </c>
      <c r="D203" s="8887" t="str">
        <f t="shared" si="1"/>
        <v/>
      </c>
      <c r="E203" s="9035"/>
      <c r="F203" s="5952"/>
      <c r="G203" s="5959"/>
      <c r="H203" s="5952"/>
      <c r="I203" s="9070"/>
      <c r="J203" s="8818" t="e">
        <f>+IF(VLOOKUP(MATCH(B203,tid,0),tao,'12(id)'!$I$20,FALSE)="","",VLOOKUP(MATCH(B203,tid,0),tao,'12(id)'!$I$20,FALSE))</f>
        <v>#N/A</v>
      </c>
      <c r="K203" s="9064"/>
      <c r="L203" s="8971" t="e">
        <f>+IF(VLOOKUP(MATCH(B203,tid,0),tao,'12(id)'!$L$20,FALSE)="","",VLOOKUP(MATCH(B203,tid,0),tao,'12(id)'!$L$20,FALSE))</f>
        <v>#N/A</v>
      </c>
      <c r="M203" s="9077" t="str">
        <f>+IF(B203="","",IF(VLOOKUP(MATCH(B203,tid,0),tao,'12(id)'!$Q$20,FALSE)="","",VLOOKUP(MATCH(B203,tid,0),tao,'12(id)'!$Q$20,FALSE)))</f>
        <v/>
      </c>
      <c r="N203" s="9085" t="str">
        <f>+IF(B203="","",IF(VLOOKUP(MATCH(B203,tid,0),tao,'12(id)'!$CT$20,FALSE)="","",VLOOKUP(MATCH(B203,tid,0),tao,'12(id)'!$CT$20,FALSE)))</f>
        <v/>
      </c>
      <c r="O203" s="9029" t="str">
        <f>+IF(B203="","",IF(VLOOKUP(MATCH(B203,tid,0),tao,'12(id)'!$DE$20,FALSE)="","",ROUND(VLOOKUP(MATCH(B203,tid,0),tao,'12(id)'!$DE$20,FALSE),0)&amp;" yrs"))</f>
        <v/>
      </c>
      <c r="P203" s="9029" t="e">
        <f>+IF(VLOOKUP(MATCH(B203,tid,0),tao,'12(id)'!$FR$20,FALSE)="","",VLOOKUP(MATCH(B203,tid,0),tao,'12(id)'!$FR$20,FALSE))</f>
        <v>#N/A</v>
      </c>
      <c r="Q203" s="9145" t="e">
        <f>+IF(VLOOKUP(MATCH(B203,tid,0),tao,'12(id)'!$DI$20,FALSE)="","",VLOOKUP(MATCH(B203,tid,0),tao,'12(id)'!$DI$20,FALSE))&amp;";  "&amp;IF(VLOOKUP(MATCH(B203,tid,0),tao,'12(id)'!$DQ$20,FALSE)="","",VLOOKUP(MATCH(B203,tid,0),tao,'12(id)'!$DQ$20,FALSE))</f>
        <v>#N/A</v>
      </c>
      <c r="R203" s="9199"/>
      <c r="S203" s="8979"/>
      <c r="T203" s="7537">
        <f>+IF(VLOOKUP(MATCH(E200,c_id,0),ca,'13(an)'!$GF$34,FALSE)="","",VLOOKUP(MATCH(E200,c_id,0),ca,'13(an)'!$GF$34,FALSE))</f>
        <v>2304179</v>
      </c>
      <c r="U203" s="7538" t="str">
        <f>+IF(T203="","","$ TCC/unit")</f>
        <v>$ TCC/unit</v>
      </c>
      <c r="V203" s="7539">
        <f>+IF(VLOOKUP(MATCH(E200,c_id,0),ca,'13(an)'!$HA$34,FALSE)="","",VLOOKUP(MATCH(E200,c_id,0),ca,'13(an)'!$HA$34,FALSE))</f>
        <v>285949</v>
      </c>
      <c r="W203" s="7540"/>
      <c r="X203" s="8979"/>
      <c r="Y203" s="7537">
        <f>+IF(VLOOKUP(MATCH(E200,c_id,0),ca,'13(an)'!$IA$34,FALSE)="","",VLOOKUP(MATCH(E200,c_id,0),ca,'13(an)'!$IA$34,FALSE))</f>
        <v>2160168.12</v>
      </c>
      <c r="Z203" s="7538" t="str">
        <f>+IF(Y203="","","$ TCC/unit")</f>
        <v>$ TCC/unit</v>
      </c>
      <c r="AA203" s="7539">
        <f>+IF(Y203="","",$AA$14*Y203)</f>
        <v>203904.58894410828</v>
      </c>
      <c r="AB203" s="7655"/>
      <c r="AC203" s="8979"/>
      <c r="AD203" s="7537">
        <f>+IF(VLOOKUP(MATCH(E200,c_id,0),ca,'13(an)'!$JS$34,FALSE)="","",VLOOKUP(MATCH(E200,c_id,0),ca,'13(an)'!$JS$34,FALSE))</f>
        <v>1725675</v>
      </c>
      <c r="AE203" s="7538" t="str">
        <f>+IF(AD203="","","$ TCC/unit")</f>
        <v>$ TCC/unit</v>
      </c>
      <c r="AF203" s="7539">
        <f>+IF(AD203="","",$AF$14*AD203)</f>
        <v>148081.06430477212</v>
      </c>
      <c r="AG203" s="7542"/>
      <c r="AH203" s="5962"/>
      <c r="AI203" s="5959"/>
      <c r="AJ203" s="5959"/>
      <c r="AK203" s="5959"/>
      <c r="AL203" s="5959"/>
      <c r="AM203" s="5959"/>
    </row>
    <row r="204" spans="1:39" ht="15" customHeight="1">
      <c r="A204" s="5952"/>
      <c r="B204" s="9035"/>
      <c r="C204" s="8852" t="str">
        <f>+IF(B204="","",VLOOKUP(MATCH(B204,tid,0),tao,'12(id)'!$J$20,FALSE))</f>
        <v/>
      </c>
      <c r="D204" s="8887" t="str">
        <f t="shared" si="1"/>
        <v/>
      </c>
      <c r="E204" s="9035"/>
      <c r="F204" s="5952"/>
      <c r="G204" s="5959"/>
      <c r="H204" s="5952"/>
      <c r="I204" s="9070"/>
      <c r="J204" s="8818" t="e">
        <f>+IF(VLOOKUP(MATCH(B204,tid,0),tao,'12(id)'!$I$20,FALSE)="","",VLOOKUP(MATCH(B204,tid,0),tao,'12(id)'!$I$20,FALSE))</f>
        <v>#N/A</v>
      </c>
      <c r="K204" s="9064"/>
      <c r="L204" s="8971" t="e">
        <f>+IF(VLOOKUP(MATCH(B204,tid,0),tao,'12(id)'!$L$20,FALSE)="","",VLOOKUP(MATCH(B204,tid,0),tao,'12(id)'!$L$20,FALSE))</f>
        <v>#N/A</v>
      </c>
      <c r="M204" s="9077" t="str">
        <f>+IF(B204="","",IF(VLOOKUP(MATCH(B204,tid,0),tao,'12(id)'!$Q$20,FALSE)="","",VLOOKUP(MATCH(B204,tid,0),tao,'12(id)'!$Q$20,FALSE)))</f>
        <v/>
      </c>
      <c r="N204" s="9085" t="str">
        <f>+IF(B204="","",IF(VLOOKUP(MATCH(B204,tid,0),tao,'12(id)'!$CT$20,FALSE)="","",VLOOKUP(MATCH(B204,tid,0),tao,'12(id)'!$CT$20,FALSE)))</f>
        <v/>
      </c>
      <c r="O204" s="9029" t="str">
        <f>+IF(B204="","",IF(VLOOKUP(MATCH(B204,tid,0),tao,'12(id)'!$DE$20,FALSE)="","",ROUND(VLOOKUP(MATCH(B204,tid,0),tao,'12(id)'!$DE$20,FALSE),0)&amp;" yrs"))</f>
        <v/>
      </c>
      <c r="P204" s="9029" t="e">
        <f>+IF(VLOOKUP(MATCH(B204,tid,0),tao,'12(id)'!$FR$20,FALSE)="","",VLOOKUP(MATCH(B204,tid,0),tao,'12(id)'!$FR$20,FALSE))</f>
        <v>#N/A</v>
      </c>
      <c r="Q204" s="9145" t="e">
        <f>+IF(VLOOKUP(MATCH(B204,tid,0),tao,'12(id)'!$DI$20,FALSE)="","",VLOOKUP(MATCH(B204,tid,0),tao,'12(id)'!$DI$20,FALSE))&amp;";  "&amp;IF(VLOOKUP(MATCH(B204,tid,0),tao,'12(id)'!$DQ$20,FALSE)="","",VLOOKUP(MATCH(B204,tid,0),tao,'12(id)'!$DQ$20,FALSE))</f>
        <v>#N/A</v>
      </c>
      <c r="R204" s="9199"/>
      <c r="S204" s="8979"/>
      <c r="T204" s="7543">
        <f>+IF(OR(T203="",N200=""),"",T203/N200)</f>
        <v>115208.95</v>
      </c>
      <c r="U204" s="8820" t="str">
        <f>+IF(T204="","","$ TCC / MW nominal capacity")</f>
        <v>$ TCC / MW nominal capacity</v>
      </c>
      <c r="V204" s="8820"/>
      <c r="W204" s="7544"/>
      <c r="X204" s="8979"/>
      <c r="Y204" s="7543">
        <f>+IF(OR(Y203="",N200=""),"",Y203/N200)</f>
        <v>108008.406</v>
      </c>
      <c r="Z204" s="8820" t="str">
        <f>+IF(Y204="","","$ TCC / MW nominal capacity")</f>
        <v>$ TCC / MW nominal capacity</v>
      </c>
      <c r="AA204" s="8820"/>
      <c r="AB204" s="7463"/>
      <c r="AC204" s="8979"/>
      <c r="AD204" s="7543">
        <f>+IF(OR(AD203="",N200=""),"",AD203/N200)</f>
        <v>86283.75</v>
      </c>
      <c r="AE204" s="8820" t="str">
        <f>+IF(AD204="","","$ TCC / MW nominal capacity")</f>
        <v>$ TCC / MW nominal capacity</v>
      </c>
      <c r="AF204" s="8820"/>
      <c r="AG204" s="7546"/>
      <c r="AH204" s="5962"/>
      <c r="AI204" s="5959"/>
      <c r="AJ204" s="5959"/>
      <c r="AK204" s="5959"/>
      <c r="AL204" s="5959"/>
      <c r="AM204" s="5959"/>
    </row>
    <row r="205" spans="1:39" ht="18" customHeight="1">
      <c r="A205" s="5952"/>
      <c r="B205" s="9062"/>
      <c r="C205" s="8852" t="str">
        <f>+IF(B205="","",VLOOKUP(MATCH(B205,tid,0),tao,'12(id)'!$J$20,FALSE))</f>
        <v/>
      </c>
      <c r="D205" s="8889" t="str">
        <f t="shared" si="1"/>
        <v/>
      </c>
      <c r="E205" s="9062"/>
      <c r="F205" s="5952"/>
      <c r="G205" s="5959"/>
      <c r="H205" s="5952"/>
      <c r="I205" s="9071"/>
      <c r="J205" s="8818" t="e">
        <f>+IF(VLOOKUP(MATCH(B205,tid,0),tao,'12(id)'!$I$20,FALSE)="","",VLOOKUP(MATCH(B205,tid,0),tao,'12(id)'!$I$20,FALSE))</f>
        <v>#N/A</v>
      </c>
      <c r="K205" s="9064"/>
      <c r="L205" s="8972" t="e">
        <f>+IF(VLOOKUP(MATCH(B205,tid,0),tao,'12(id)'!$L$20,FALSE)="","",VLOOKUP(MATCH(B205,tid,0),tao,'12(id)'!$L$20,FALSE))</f>
        <v>#N/A</v>
      </c>
      <c r="M205" s="9124" t="str">
        <f>+IF(B205="","",IF(VLOOKUP(MATCH(B205,tid,0),tao,'12(id)'!$Q$20,FALSE)="","",VLOOKUP(MATCH(B205,tid,0),tao,'12(id)'!$Q$20,FALSE)))</f>
        <v/>
      </c>
      <c r="N205" s="9091" t="str">
        <f>+IF(B205="","",IF(VLOOKUP(MATCH(B205,tid,0),tao,'12(id)'!$CT$20,FALSE)="","",VLOOKUP(MATCH(B205,tid,0),tao,'12(id)'!$CT$20,FALSE)))</f>
        <v/>
      </c>
      <c r="O205" s="9030" t="str">
        <f>+IF(B205="","",IF(VLOOKUP(MATCH(B205,tid,0),tao,'12(id)'!$DE$20,FALSE)="","",ROUND(VLOOKUP(MATCH(B205,tid,0),tao,'12(id)'!$DE$20,FALSE),0)&amp;" yrs"))</f>
        <v/>
      </c>
      <c r="P205" s="9030" t="e">
        <f>+IF(VLOOKUP(MATCH(B205,tid,0),tao,'12(id)'!$FR$20,FALSE)="","",VLOOKUP(MATCH(B205,tid,0),tao,'12(id)'!$FR$20,FALSE))</f>
        <v>#N/A</v>
      </c>
      <c r="Q205" s="9146" t="e">
        <f>+IF(VLOOKUP(MATCH(B205,tid,0),tao,'12(id)'!$DI$20,FALSE)="","",VLOOKUP(MATCH(B205,tid,0),tao,'12(id)'!$DI$20,FALSE))&amp;";  "&amp;IF(VLOOKUP(MATCH(B205,tid,0),tao,'12(id)'!$DQ$20,FALSE)="","",VLOOKUP(MATCH(B205,tid,0),tao,'12(id)'!$DQ$20,FALSE))</f>
        <v>#N/A</v>
      </c>
      <c r="R205" s="9256"/>
      <c r="S205" s="8980"/>
      <c r="T205" s="7590">
        <f>+IF(VLOOKUP(MATCH(E200,c_id,0),ca,'13(an)'!$HF$34,FALSE)="","",VLOOKUP(MATCH(E200,c_id,0),ca,'13(an)'!$HF$34,FALSE))</f>
        <v>92830</v>
      </c>
      <c r="U205" s="8896" t="str">
        <f>IF(T205="","","$ /ton "&amp;"NOx(R)")</f>
        <v>$ /ton NOx(R)</v>
      </c>
      <c r="V205" s="8896"/>
      <c r="W205" s="7591"/>
      <c r="X205" s="8980"/>
      <c r="Y205" s="7590">
        <f>+IF(VLOOKUP(MATCH(E200,c_id,0),ca,'13(an)'!$JE$34,FALSE)="","",VLOOKUP(MATCH(E200,c_id,0),ca,'13(an)'!$JE$34,FALSE))</f>
        <v>76390.324886361763</v>
      </c>
      <c r="Z205" s="8896" t="str">
        <f>IF(Y205="","","$ /ton "&amp;"NOx(R)")</f>
        <v>$ /ton NOx(R)</v>
      </c>
      <c r="AA205" s="8896"/>
      <c r="AB205" s="7656"/>
      <c r="AC205" s="8980"/>
      <c r="AD205" s="7590">
        <f>+IF(VLOOKUP(MATCH(E200,c_id,0),ca,'13(an)'!$LB$34,FALSE)="","",VLOOKUP(MATCH(E200,c_id,0),ca,'13(an)'!$LB$34,FALSE))</f>
        <v>52217.736908188999</v>
      </c>
      <c r="AE205" s="8896" t="str">
        <f>IF(AD205="","","$ /ton "&amp;"NOx(R)")</f>
        <v>$ /ton NOx(R)</v>
      </c>
      <c r="AF205" s="8896"/>
      <c r="AG205" s="7593"/>
      <c r="AH205" s="5962"/>
      <c r="AI205" s="5959"/>
      <c r="AJ205" s="5959"/>
      <c r="AK205" s="5959"/>
      <c r="AL205" s="5959"/>
      <c r="AM205" s="5959"/>
    </row>
    <row r="206" spans="1:39" ht="9.9499999999999993" customHeight="1">
      <c r="A206" s="5952"/>
      <c r="B206" s="9074" t="str">
        <f>+IF('12(id)'!A42="","",'12(id)'!A42)</f>
        <v>8300-10</v>
      </c>
      <c r="C206" s="8852" t="str">
        <f>+IF(B206="","",VLOOKUP(MATCH(B206,tid,0),tao,'12(id)'!$J$20,FALSE))</f>
        <v>NRG</v>
      </c>
      <c r="D206" s="8886" t="str">
        <f>+IF(B206="","",M206)</f>
        <v>NH10</v>
      </c>
      <c r="E206" s="9074" t="str">
        <f>+IF(B206="","",B206&amp;IF(ISERR(VALUE(R206)),"-01",IF(R206&lt;10,"-0"&amp;R206,"-"&amp;R206)))</f>
        <v>8300-10-01</v>
      </c>
      <c r="F206" s="5952"/>
      <c r="G206" s="5959"/>
      <c r="H206" s="5952"/>
      <c r="I206" s="9072">
        <f>1+I200</f>
        <v>22</v>
      </c>
      <c r="J206" s="9102" t="str">
        <f>+IF(VLOOKUP(MATCH(B206,tid,0),tao,'12(id)'!$I$20,FALSE)="","",VLOOKUP(MATCH(B206,tid,0),tao,'12(id)'!$I$20,FALSE))</f>
        <v/>
      </c>
      <c r="K206" s="9064"/>
      <c r="L206" s="9093" t="str">
        <f>+IF(B206="","",IF(VLOOKUP(MATCH(B206,tid,0),tao,'12(id)'!$L$20,FALSE)="","",VLOOKUP(MATCH(B206,tid,0),tao,'12(id)'!$L$20,FALSE)))</f>
        <v>Norwalk Harbor Station</v>
      </c>
      <c r="M206" s="9076" t="str">
        <f>+IF(B206="","",IF(VLOOKUP(MATCH(B206,tid,0),tao,'12(id)'!$Q$20,FALSE)="","",VLOOKUP(MATCH(B206,tid,0),tao,'12(id)'!$Q$20,FALSE)))</f>
        <v>NH10</v>
      </c>
      <c r="N206" s="9095">
        <f>+IF(B206="","",IF(VLOOKUP(MATCH(B206,tid,0),tao,'12(id)'!$CT$20,FALSE)="","",VLOOKUP(MATCH(B206,tid,0),tao,'12(id)'!$CT$20,FALSE)))</f>
        <v>17</v>
      </c>
      <c r="O206" s="9131" t="str">
        <f ca="1">+IF(B206="","",IF(VLOOKUP(MATCH(B206,tid,0),tao,'12(id)'!$DE$20,FALSE)="","",ROUND(VLOOKUP(MATCH(B206,tid,0),tao,'12(id)'!$DE$20,FALSE),0)&amp;" yrs"))</f>
        <v>48 yrs</v>
      </c>
      <c r="P206" s="9131" t="str">
        <f>+IF(B206="","",IF(VLOOKUP(MATCH(B206,tid,0),tao,'12(id)'!$FR$20,FALSE)="","",VLOOKUP(MATCH(B206,tid,0),tao,'12(id)'!$FR$20,FALSE)))</f>
        <v>None</v>
      </c>
      <c r="Q206" s="9143" t="str">
        <f>+IF(B206="","",IF(VLOOKUP(MATCH(B206,tid,0),tao,'12(id)'!$DI$20,FALSE)="","",VLOOKUP(MATCH(B206,tid,0),tao,'12(id)'!$DI$20,FALSE))&amp;";  "&amp;IF(VLOOKUP(MATCH(B206,tid,0),tao,'12(id)'!$DQ$20,FALSE)="","",VLOOKUP(MATCH(B206,tid,0),tao,'12(id)'!$DQ$20,FALSE)))</f>
        <v xml:space="preserve">No.2 Oil;  </v>
      </c>
      <c r="R206" s="9255">
        <f>+IF(B206="","",1)</f>
        <v>1</v>
      </c>
      <c r="S206" s="9257"/>
      <c r="T206" s="8871" t="str">
        <f>+IF(VLOOKUP(MATCH(E206,c_id,0),ca,'13(an)'!$BD$34,FALSE)="","",VLOOKUP(MATCH(E206,c_id,0),ca,'13(an)'!$BD$34,FALSE))</f>
        <v>High Pressure Water Injection (HPWI)</v>
      </c>
      <c r="U206" s="8871"/>
      <c r="V206" s="8871"/>
      <c r="W206" s="7553"/>
      <c r="X206" s="9257"/>
      <c r="Y206" s="8871" t="str">
        <f>+T206</f>
        <v>High Pressure Water Injection (HPWI)</v>
      </c>
      <c r="Z206" s="8871"/>
      <c r="AA206" s="8871"/>
      <c r="AB206" s="7674"/>
      <c r="AC206" s="9257"/>
      <c r="AD206" s="8967" t="str">
        <f>+T206</f>
        <v>High Pressure Water Injection (HPWI)</v>
      </c>
      <c r="AE206" s="8967"/>
      <c r="AF206" s="8967"/>
      <c r="AG206" s="7675"/>
      <c r="AH206" s="5962"/>
      <c r="AI206" s="5959"/>
      <c r="AJ206" s="5959"/>
      <c r="AK206" s="5959"/>
      <c r="AL206" s="5959"/>
      <c r="AM206" s="5959"/>
    </row>
    <row r="207" spans="1:39" ht="9.9499999999999993" customHeight="1">
      <c r="A207" s="5952"/>
      <c r="B207" s="9035"/>
      <c r="C207" s="8852" t="str">
        <f>+IF(B207="","",VLOOKUP(MATCH(B207,tid,0),tao,'12(id)'!$J$20,FALSE))</f>
        <v/>
      </c>
      <c r="D207" s="8887" t="str">
        <f t="shared" si="1"/>
        <v/>
      </c>
      <c r="E207" s="9035"/>
      <c r="F207" s="5952"/>
      <c r="G207" s="5959"/>
      <c r="H207" s="5952"/>
      <c r="I207" s="9070"/>
      <c r="J207" s="9102" t="e">
        <f>+IF(VLOOKUP(MATCH(B207,tid,0),tao,'12(id)'!$I$20,FALSE)="","",VLOOKUP(MATCH(B207,tid,0),tao,'12(id)'!$I$20,FALSE))</f>
        <v>#N/A</v>
      </c>
      <c r="K207" s="9064"/>
      <c r="L207" s="9094" t="e">
        <f>+IF(VLOOKUP(MATCH(B207,tid,0),tao,'12(id)'!$L$20,FALSE)="","",VLOOKUP(MATCH(B207,tid,0),tao,'12(id)'!$L$20,FALSE))</f>
        <v>#N/A</v>
      </c>
      <c r="M207" s="9077" t="str">
        <f>+IF(B207="","",IF(VLOOKUP(MATCH(B207,tid,0),tao,'12(id)'!$Q$20,FALSE)="","",VLOOKUP(MATCH(B207,tid,0),tao,'12(id)'!$Q$20,FALSE)))</f>
        <v/>
      </c>
      <c r="N207" s="9085" t="str">
        <f>+IF(B207="","",IF(VLOOKUP(MATCH(B207,tid,0),tao,'12(id)'!$CT$20,FALSE)="","",VLOOKUP(MATCH(B207,tid,0),tao,'12(id)'!$CT$20,FALSE)))</f>
        <v/>
      </c>
      <c r="O207" s="9001" t="str">
        <f>+IF(B207="","",IF(VLOOKUP(MATCH(B207,tid,0),tao,'12(id)'!$DE$20,FALSE)="","",ROUND(VLOOKUP(MATCH(B207,tid,0),tao,'12(id)'!$DE$20,FALSE),0)&amp;" yrs"))</f>
        <v/>
      </c>
      <c r="P207" s="9001" t="e">
        <f>+IF(VLOOKUP(MATCH(B207,tid,0),tao,'12(id)'!$FR$20,FALSE)="","",VLOOKUP(MATCH(B207,tid,0),tao,'12(id)'!$FR$20,FALSE))</f>
        <v>#N/A</v>
      </c>
      <c r="Q207" s="9140" t="e">
        <f>+IF(VLOOKUP(MATCH(B207,tid,0),tao,'12(id)'!$DI$20,FALSE)="","",VLOOKUP(MATCH(B207,tid,0),tao,'12(id)'!$DI$20,FALSE))&amp;";  "&amp;IF(VLOOKUP(MATCH(B207,tid,0),tao,'12(id)'!$DQ$20,FALSE)="","",VLOOKUP(MATCH(B207,tid,0),tao,'12(id)'!$DQ$20,FALSE))</f>
        <v>#N/A</v>
      </c>
      <c r="R207" s="9199"/>
      <c r="S207" s="8979"/>
      <c r="T207" s="8874"/>
      <c r="U207" s="8874"/>
      <c r="V207" s="8874"/>
      <c r="W207" s="7616"/>
      <c r="X207" s="8979"/>
      <c r="Y207" s="8900"/>
      <c r="Z207" s="8900"/>
      <c r="AA207" s="8900"/>
      <c r="AB207" s="7652"/>
      <c r="AC207" s="8979"/>
      <c r="AD207" s="8968"/>
      <c r="AE207" s="8968"/>
      <c r="AF207" s="8968"/>
      <c r="AG207" s="7555"/>
      <c r="AH207" s="5962"/>
      <c r="AI207" s="5959"/>
      <c r="AJ207" s="5959"/>
      <c r="AK207" s="5959"/>
      <c r="AL207" s="5959"/>
      <c r="AM207" s="5959"/>
    </row>
    <row r="208" spans="1:39" ht="15" customHeight="1">
      <c r="A208" s="5952"/>
      <c r="B208" s="9035"/>
      <c r="C208" s="8852" t="str">
        <f>+IF(B208="","",VLOOKUP(MATCH(B208,tid,0),tao,'12(id)'!$J$20,FALSE))</f>
        <v/>
      </c>
      <c r="D208" s="8887" t="str">
        <f t="shared" si="1"/>
        <v/>
      </c>
      <c r="E208" s="9035"/>
      <c r="F208" s="5952"/>
      <c r="G208" s="5959"/>
      <c r="H208" s="5952"/>
      <c r="I208" s="9070"/>
      <c r="J208" s="9102" t="e">
        <f>+IF(VLOOKUP(MATCH(B208,tid,0),tao,'12(id)'!$I$20,FALSE)="","",VLOOKUP(MATCH(B208,tid,0),tao,'12(id)'!$I$20,FALSE))</f>
        <v>#N/A</v>
      </c>
      <c r="K208" s="9064"/>
      <c r="L208" s="9094" t="e">
        <f>+IF(VLOOKUP(MATCH(B208,tid,0),tao,'12(id)'!$L$20,FALSE)="","",VLOOKUP(MATCH(B208,tid,0),tao,'12(id)'!$L$20,FALSE))</f>
        <v>#N/A</v>
      </c>
      <c r="M208" s="9077" t="str">
        <f>+IF(B208="","",IF(VLOOKUP(MATCH(B208,tid,0),tao,'12(id)'!$Q$20,FALSE)="","",VLOOKUP(MATCH(B208,tid,0),tao,'12(id)'!$Q$20,FALSE)))</f>
        <v/>
      </c>
      <c r="N208" s="9085" t="str">
        <f>+IF(B208="","",IF(VLOOKUP(MATCH(B208,tid,0),tao,'12(id)'!$CT$20,FALSE)="","",VLOOKUP(MATCH(B208,tid,0),tao,'12(id)'!$CT$20,FALSE)))</f>
        <v/>
      </c>
      <c r="O208" s="9001" t="str">
        <f>+IF(B208="","",IF(VLOOKUP(MATCH(B208,tid,0),tao,'12(id)'!$DE$20,FALSE)="","",ROUND(VLOOKUP(MATCH(B208,tid,0),tao,'12(id)'!$DE$20,FALSE),0)&amp;" yrs"))</f>
        <v/>
      </c>
      <c r="P208" s="9001" t="e">
        <f>+IF(VLOOKUP(MATCH(B208,tid,0),tao,'12(id)'!$FR$20,FALSE)="","",VLOOKUP(MATCH(B208,tid,0),tao,'12(id)'!$FR$20,FALSE))</f>
        <v>#N/A</v>
      </c>
      <c r="Q208" s="9140" t="e">
        <f>+IF(VLOOKUP(MATCH(B208,tid,0),tao,'12(id)'!$DI$20,FALSE)="","",VLOOKUP(MATCH(B208,tid,0),tao,'12(id)'!$DI$20,FALSE))&amp;";  "&amp;IF(VLOOKUP(MATCH(B208,tid,0),tao,'12(id)'!$DQ$20,FALSE)="","",VLOOKUP(MATCH(B208,tid,0),tao,'12(id)'!$DQ$20,FALSE))</f>
        <v>#N/A</v>
      </c>
      <c r="R208" s="9199"/>
      <c r="S208" s="8979"/>
      <c r="T208" s="7594" t="str">
        <f>+IF(E206="","",IF(VLOOKUP(MATCH(E206,c_id,0),ca,'13(an)'!$CC$34,FALSE)="",IF(VLOOKUP(MATCH(E206,c_id,0),ca,'13(an)'!$CD$34,FALSE)="",IF(VLOOKUP(MATCH(E206,c_id,0),ca,'13(an)'!$CE$34,FALSE)="","η ≈ N/A","η ≈ "&amp;ROUND(VLOOKUP(MATCH(E206,c_id,0),ca,'13(an)'!$CE$34,FALSE)*100,0)&amp;"%"),"η ≈ "&amp;ROUND(VLOOKUP(MATCH(E206,c_id,0),ca,'13(an)'!$CD$34,FALSE)*100,0)&amp;"%"),"η ≈ "&amp;ROUND(VLOOKUP(MATCH(E206,c_id,0),ca,'13(an)'!$CC$34,FALSE)*100,0)&amp;"%"))</f>
        <v>η ≈ 50%</v>
      </c>
      <c r="U208" s="7595" t="str">
        <f>+IF($U$196="ppmvd",IF(VLOOKUP(MATCH(E206,c_id,0),ca,'13(an)'!$BV$34,FALSE)="","",ROUND(VLOOKUP(MATCH(E206,c_id,0),ca,'13(an)'!$BV$34,FALSE),1)&amp;" ppmvd"),IF(VLOOKUP(MATCH(E206,c_id,0),ca,'13(an)'!$BU$34,FALSE)="","",IF(LEN(ROUND(VLOOKUP(MATCH(E206,c_id,0),ca,'13(an)'!$BU$34,FALSE),3))=3,ROUND(VLOOKUP(MATCH(E206,c_id,0),ca,'13(an)'!$BU$34,FALSE),3)&amp;"00 lb/MMBtu",IF(LEN(ROUND(VLOOKUP(MATCH(E206,c_id,0),ca,'13(an)'!$BU$34,FALSE),3))=4,ROUND(VLOOKUP(MATCH(E206,c_id,0),ca,'13(an)'!$BU$34,FALSE),3)&amp;"0 lb/MMBtu",ROUND(VLOOKUP(MATCH(E206,c_id,0),ca,'13(an)'!$BU$34,FALSE),3)&amp;" lb/MMBtu"))))</f>
        <v>0.260 lb/MMBtu</v>
      </c>
      <c r="V208" s="7596">
        <f>+IF(E206="","",IF(VLOOKUP(MATCH(E206,c_id,0),ca,'13(an)'!$CB$34,FALSE)="","NOx(R) = N/A",ROUND(VLOOKUP(MATCH(E206,c_id,0),ca,'13(an)'!$CB$34,FALSE),1)))</f>
        <v>0.5</v>
      </c>
      <c r="W208" s="7534"/>
      <c r="X208" s="8979"/>
      <c r="Y208" s="7594" t="str">
        <f>+IF(E206="","",IF(VLOOKUP(MATCH(E206,c_id,0),ca,'13(an)'!$CM$34,FALSE)="",IF(VLOOKUP(MATCH(E206,c_id,0),ca,'13(an)'!$CN$34,FALSE)="",IF(VLOOKUP(MATCH(E206,c_id,0),ca,'13(an)'!$CO$34,FALSE)="","η ≈ N/A","η ≈ "&amp;ROUND(VLOOKUP(MATCH(E206,c_id,0),ca,'13(an)'!$CO$34,FALSE)*100,0)&amp;"%"),"η ≈ "&amp;ROUND(VLOOKUP(MATCH(E206,c_id,0),ca,'13(an)'!$CN$34,FALSE)*100,0)&amp;"%"),"η ≈ "&amp;ROUND(VLOOKUP(MATCH(E206,c_id,0),ca,'13(an)'!$CM$34,FALSE)*100,0)&amp;"%"))</f>
        <v>η ≈ 50%</v>
      </c>
      <c r="Z208" s="7653" t="str">
        <f>+IF($Z$196="ppmvd",IF(VLOOKUP(MATCH(E206,c_id,0),ca,'13(an)'!$CJ$34,FALSE)="","",ROUND(VLOOKUP(MATCH(E206,c_id,0),ca,'13(an)'!$CJ$34,FALSE),1)&amp;" ppmvd"),IF(VLOOKUP(MATCH(E206,c_id,0),ca,'13(an)'!$CI$34,FALSE)="","",IF(LEN(ROUND(VLOOKUP(MATCH(E206,c_id,0),ca,'13(an)'!$CI$34,FALSE),3))=3,ROUND(VLOOKUP(MATCH(E206,c_id,0),ca,'13(an)'!$CI$34,FALSE),3)&amp;"00 lb/MMBtu",IF(LEN(ROUND(VLOOKUP(MATCH(E206,c_id,0),ca,'13(an)'!$CI$34,FALSE),3))=4,ROUND(VLOOKUP(MATCH(E206,c_id,0),ca,'13(an)'!$CI$34,FALSE),3)&amp;"0 lb/MMBtu",ROUND(VLOOKUP(MATCH(E206,c_id,0),ca,'13(an)'!$CI$34,FALSE),3)&amp;" lb/MMBtu"))))</f>
        <v>0.257 lb/MMBtu</v>
      </c>
      <c r="AA208" s="7596">
        <f>+IF(E206="","",IF(VLOOKUP(MATCH(E206,c_id,0),ca,'13(an)'!$CL$34,FALSE)="","NOx(R) = N/A",ROUND(VLOOKUP(MATCH(E206,c_id,0),ca,'13(an)'!$CL$34,FALSE),1)))</f>
        <v>0.6</v>
      </c>
      <c r="AB208" s="7654"/>
      <c r="AC208" s="8979"/>
      <c r="AD208" s="7594" t="str">
        <f>+IF(E206="","",IF(VLOOKUP(MATCH(E206,c_id,0),ca,'13(an)'!$CM$34,FALSE)="",IF(VLOOKUP(MATCH(E206,c_id,0),ca,'13(an)'!$CN$34,FALSE)="",IF(VLOOKUP(MATCH(E206,c_id,0),ca,'13(an)'!$CO$34,FALSE)="","η ≈ N/A","η ≈ "&amp;ROUND(VLOOKUP(MATCH(E206,c_id,0),ca,'13(an)'!$CO$34,FALSE)*100,0)&amp;"%"),"η ≈ "&amp;ROUND(VLOOKUP(MATCH(E206,c_id,0),ca,'13(an)'!$CN$34,FALSE)*100,0)&amp;"%"),"η ≈ "&amp;ROUND(VLOOKUP(MATCH(E206,c_id,0),ca,'13(an)'!$CM$34,FALSE)*100,0)&amp;"%"))</f>
        <v>η ≈ 50%</v>
      </c>
      <c r="AE208" s="7595" t="str">
        <f>+IF($AE$196="ppmvd",IF(VLOOKUP(MATCH(E206,c_id,0),ca,'13(an)'!$CJ$34,FALSE)="","",ROUND(VLOOKUP(MATCH(E206,c_id,0),ca,'13(an)'!$CJ$34,FALSE),1)&amp;" ppmvd"),IF(VLOOKUP(MATCH(E206,c_id,0),ca,'13(an)'!$CI$34,FALSE)="","",IF(LEN(ROUND(VLOOKUP(MATCH(E206,c_id,0),ca,'13(an)'!$CI$34,FALSE),3))=3,ROUND(VLOOKUP(MATCH(E206,c_id,0),ca,'13(an)'!$CI$34,FALSE),3)&amp;"00 lb/MMBtu",IF(LEN(ROUND(VLOOKUP(MATCH(E206,c_id,0),ca,'13(an)'!$CI$34,FALSE),3))=4,ROUND(VLOOKUP(MATCH(E206,c_id,0),ca,'13(an)'!$CI$34,FALSE),3)&amp;"0 lb/MMBtu",ROUND(VLOOKUP(MATCH(E206,c_id,0),ca,'13(an)'!$CI$34,FALSE),3)&amp;" lb/MMBtu"))))</f>
        <v>0.257 lb/MMBtu</v>
      </c>
      <c r="AF208" s="7596">
        <f>+IF(E206="","",IF(VLOOKUP(MATCH(E206,c_id,0),ca,'13(an)'!$CL$34,FALSE)="","NOx(R) = N/A",ROUND(VLOOKUP(MATCH(E206,c_id,0),ca,'13(an)'!$CL$34,FALSE),1)))</f>
        <v>0.6</v>
      </c>
      <c r="AG208" s="7536"/>
      <c r="AH208" s="5962"/>
      <c r="AI208" s="5959"/>
      <c r="AJ208" s="5959"/>
      <c r="AK208" s="5959"/>
      <c r="AL208" s="5959"/>
      <c r="AM208" s="5959"/>
    </row>
    <row r="209" spans="1:39" ht="15" customHeight="1">
      <c r="A209" s="5952"/>
      <c r="B209" s="9035"/>
      <c r="C209" s="8852" t="str">
        <f>+IF(B209="","",VLOOKUP(MATCH(B209,tid,0),tao,'12(id)'!$J$20,FALSE))</f>
        <v/>
      </c>
      <c r="D209" s="8887" t="str">
        <f t="shared" si="1"/>
        <v/>
      </c>
      <c r="E209" s="9035"/>
      <c r="F209" s="5952"/>
      <c r="G209" s="5959"/>
      <c r="H209" s="5952"/>
      <c r="I209" s="9070"/>
      <c r="J209" s="9102" t="e">
        <f>+IF(VLOOKUP(MATCH(B209,tid,0),tao,'12(id)'!$I$20,FALSE)="","",VLOOKUP(MATCH(B209,tid,0),tao,'12(id)'!$I$20,FALSE))</f>
        <v>#N/A</v>
      </c>
      <c r="K209" s="9064"/>
      <c r="L209" s="9094" t="e">
        <f>+IF(VLOOKUP(MATCH(B209,tid,0),tao,'12(id)'!$L$20,FALSE)="","",VLOOKUP(MATCH(B209,tid,0),tao,'12(id)'!$L$20,FALSE))</f>
        <v>#N/A</v>
      </c>
      <c r="M209" s="9077" t="str">
        <f>+IF(B209="","",IF(VLOOKUP(MATCH(B209,tid,0),tao,'12(id)'!$Q$20,FALSE)="","",VLOOKUP(MATCH(B209,tid,0),tao,'12(id)'!$Q$20,FALSE)))</f>
        <v/>
      </c>
      <c r="N209" s="9085" t="str">
        <f>+IF(B209="","",IF(VLOOKUP(MATCH(B209,tid,0),tao,'12(id)'!$CT$20,FALSE)="","",VLOOKUP(MATCH(B209,tid,0),tao,'12(id)'!$CT$20,FALSE)))</f>
        <v/>
      </c>
      <c r="O209" s="9001" t="str">
        <f>+IF(B209="","",IF(VLOOKUP(MATCH(B209,tid,0),tao,'12(id)'!$DE$20,FALSE)="","",ROUND(VLOOKUP(MATCH(B209,tid,0),tao,'12(id)'!$DE$20,FALSE),0)&amp;" yrs"))</f>
        <v/>
      </c>
      <c r="P209" s="9001" t="e">
        <f>+IF(VLOOKUP(MATCH(B209,tid,0),tao,'12(id)'!$FR$20,FALSE)="","",VLOOKUP(MATCH(B209,tid,0),tao,'12(id)'!$FR$20,FALSE))</f>
        <v>#N/A</v>
      </c>
      <c r="Q209" s="9140" t="e">
        <f>+IF(VLOOKUP(MATCH(B209,tid,0),tao,'12(id)'!$DI$20,FALSE)="","",VLOOKUP(MATCH(B209,tid,0),tao,'12(id)'!$DI$20,FALSE))&amp;";  "&amp;IF(VLOOKUP(MATCH(B209,tid,0),tao,'12(id)'!$DQ$20,FALSE)="","",VLOOKUP(MATCH(B209,tid,0),tao,'12(id)'!$DQ$20,FALSE))</f>
        <v>#N/A</v>
      </c>
      <c r="R209" s="9199"/>
      <c r="S209" s="8979"/>
      <c r="T209" s="7537">
        <f>+IF(VLOOKUP(MATCH(E206,c_id,0),ca,'13(an)'!$GF$34,FALSE)="","",VLOOKUP(MATCH(E206,c_id,0),ca,'13(an)'!$GF$34,FALSE))</f>
        <v>1592321</v>
      </c>
      <c r="U209" s="7538" t="str">
        <f>+IF(T209="","","$ TCC/unit")</f>
        <v>$ TCC/unit</v>
      </c>
      <c r="V209" s="7539">
        <f>+IF(VLOOKUP(MATCH(E206,c_id,0),ca,'13(an)'!$HA$34,FALSE)="","",VLOOKUP(MATCH(E206,c_id,0),ca,'13(an)'!$HA$34,FALSE))</f>
        <v>409374</v>
      </c>
      <c r="W209" s="7540"/>
      <c r="X209" s="8979"/>
      <c r="Y209" s="7537">
        <f>+IF(VLOOKUP(MATCH(E206,c_id,0),ca,'13(an)'!$IA$34,FALSE)="","",VLOOKUP(MATCH(E206,c_id,0),ca,'13(an)'!$IA$34,FALSE))</f>
        <v>1468823.4</v>
      </c>
      <c r="Z209" s="7538" t="str">
        <f>+IF(Y209="","","$ TCC/unit")</f>
        <v>$ TCC/unit</v>
      </c>
      <c r="AA209" s="7539">
        <f>+IF(Y209="","",$AA$14*Y209)</f>
        <v>138646.53812615635</v>
      </c>
      <c r="AB209" s="7655"/>
      <c r="AC209" s="8979"/>
      <c r="AD209" s="7537">
        <f>+IF(VLOOKUP(MATCH(E206,c_id,0),ca,'13(an)'!$JS$34,FALSE)="","",VLOOKUP(MATCH(E206,c_id,0),ca,'13(an)'!$JS$34,FALSE))</f>
        <v>1542468</v>
      </c>
      <c r="AE209" s="7538" t="str">
        <f>+IF(AD209="","","$ TCC/unit")</f>
        <v>$ TCC/unit</v>
      </c>
      <c r="AF209" s="7539">
        <f>+IF(AD209="","",$AF$14*AD209)</f>
        <v>132359.97687632564</v>
      </c>
      <c r="AG209" s="7542"/>
      <c r="AH209" s="5962"/>
      <c r="AI209" s="5959"/>
      <c r="AJ209" s="5959"/>
      <c r="AK209" s="5959"/>
      <c r="AL209" s="5959"/>
      <c r="AM209" s="5959"/>
    </row>
    <row r="210" spans="1:39" ht="15" customHeight="1">
      <c r="A210" s="5952"/>
      <c r="B210" s="9035"/>
      <c r="C210" s="8852" t="str">
        <f>+IF(B210="","",VLOOKUP(MATCH(B210,tid,0),tao,'12(id)'!$J$20,FALSE))</f>
        <v/>
      </c>
      <c r="D210" s="8887" t="str">
        <f t="shared" si="1"/>
        <v/>
      </c>
      <c r="E210" s="9035"/>
      <c r="F210" s="5952"/>
      <c r="G210" s="5959"/>
      <c r="H210" s="5952"/>
      <c r="I210" s="9070"/>
      <c r="J210" s="9102" t="e">
        <f>+IF(VLOOKUP(MATCH(B210,tid,0),tao,'12(id)'!$I$20,FALSE)="","",VLOOKUP(MATCH(B210,tid,0),tao,'12(id)'!$I$20,FALSE))</f>
        <v>#N/A</v>
      </c>
      <c r="K210" s="9064"/>
      <c r="L210" s="9094" t="e">
        <f>+IF(VLOOKUP(MATCH(B210,tid,0),tao,'12(id)'!$L$20,FALSE)="","",VLOOKUP(MATCH(B210,tid,0),tao,'12(id)'!$L$20,FALSE))</f>
        <v>#N/A</v>
      </c>
      <c r="M210" s="9077" t="str">
        <f>+IF(B210="","",IF(VLOOKUP(MATCH(B210,tid,0),tao,'12(id)'!$Q$20,FALSE)="","",VLOOKUP(MATCH(B210,tid,0),tao,'12(id)'!$Q$20,FALSE)))</f>
        <v/>
      </c>
      <c r="N210" s="9085" t="str">
        <f>+IF(B210="","",IF(VLOOKUP(MATCH(B210,tid,0),tao,'12(id)'!$CT$20,FALSE)="","",VLOOKUP(MATCH(B210,tid,0),tao,'12(id)'!$CT$20,FALSE)))</f>
        <v/>
      </c>
      <c r="O210" s="9001" t="str">
        <f>+IF(B210="","",IF(VLOOKUP(MATCH(B210,tid,0),tao,'12(id)'!$DE$20,FALSE)="","",ROUND(VLOOKUP(MATCH(B210,tid,0),tao,'12(id)'!$DE$20,FALSE),0)&amp;" yrs"))</f>
        <v/>
      </c>
      <c r="P210" s="9001" t="e">
        <f>+IF(VLOOKUP(MATCH(B210,tid,0),tao,'12(id)'!$FR$20,FALSE)="","",VLOOKUP(MATCH(B210,tid,0),tao,'12(id)'!$FR$20,FALSE))</f>
        <v>#N/A</v>
      </c>
      <c r="Q210" s="9140" t="e">
        <f>+IF(VLOOKUP(MATCH(B210,tid,0),tao,'12(id)'!$DI$20,FALSE)="","",VLOOKUP(MATCH(B210,tid,0),tao,'12(id)'!$DI$20,FALSE))&amp;";  "&amp;IF(VLOOKUP(MATCH(B210,tid,0),tao,'12(id)'!$DQ$20,FALSE)="","",VLOOKUP(MATCH(B210,tid,0),tao,'12(id)'!$DQ$20,FALSE))</f>
        <v>#N/A</v>
      </c>
      <c r="R210" s="9199"/>
      <c r="S210" s="8979"/>
      <c r="T210" s="7543">
        <f>+IF(OR(T209="",N206=""),"",T209/N206)</f>
        <v>93665.941176470587</v>
      </c>
      <c r="U210" s="8820" t="str">
        <f>+IF(T210="","","$ TCC / MW nominal capacity")</f>
        <v>$ TCC / MW nominal capacity</v>
      </c>
      <c r="V210" s="8820"/>
      <c r="W210" s="7544"/>
      <c r="X210" s="8979"/>
      <c r="Y210" s="7543">
        <f>+IF(OR(Y209="",N206=""),"",Y209/N206)</f>
        <v>86401.376470588235</v>
      </c>
      <c r="Z210" s="8820" t="str">
        <f>+IF(Y210="","","$ TCC / MW nominal capacity")</f>
        <v>$ TCC / MW nominal capacity</v>
      </c>
      <c r="AA210" s="8820"/>
      <c r="AB210" s="7463"/>
      <c r="AC210" s="8979"/>
      <c r="AD210" s="7543">
        <f>+IF(OR(AD209="",N206=""),"",AD209/N206)</f>
        <v>90733.411764705888</v>
      </c>
      <c r="AE210" s="8820" t="str">
        <f>+IF(AD210="","","$ TCC / MW nominal capacity")</f>
        <v>$ TCC / MW nominal capacity</v>
      </c>
      <c r="AF210" s="8820"/>
      <c r="AG210" s="7546"/>
      <c r="AH210" s="5962"/>
      <c r="AI210" s="5959"/>
      <c r="AJ210" s="5959"/>
      <c r="AK210" s="5959"/>
      <c r="AL210" s="5959"/>
      <c r="AM210" s="5959"/>
    </row>
    <row r="211" spans="1:39" ht="15" customHeight="1">
      <c r="A211" s="5952"/>
      <c r="B211" s="9035"/>
      <c r="C211" s="8852" t="str">
        <f>+IF(B211="","",VLOOKUP(MATCH(B211,tid,0),tao,'12(id)'!$J$20,FALSE))</f>
        <v/>
      </c>
      <c r="D211" s="8887" t="str">
        <f t="shared" si="1"/>
        <v/>
      </c>
      <c r="E211" s="9035"/>
      <c r="F211" s="5952"/>
      <c r="G211" s="5959"/>
      <c r="H211" s="5952"/>
      <c r="I211" s="9070"/>
      <c r="J211" s="9102" t="e">
        <f>+IF(VLOOKUP(MATCH(B211,tid,0),tao,'12(id)'!$I$20,FALSE)="","",VLOOKUP(MATCH(B211,tid,0),tao,'12(id)'!$I$20,FALSE))</f>
        <v>#N/A</v>
      </c>
      <c r="K211" s="9064"/>
      <c r="L211" s="9094" t="e">
        <f>+IF(VLOOKUP(MATCH(B211,tid,0),tao,'12(id)'!$L$20,FALSE)="","",VLOOKUP(MATCH(B211,tid,0),tao,'12(id)'!$L$20,FALSE))</f>
        <v>#N/A</v>
      </c>
      <c r="M211" s="9077" t="str">
        <f>+IF(B211="","",IF(VLOOKUP(MATCH(B211,tid,0),tao,'12(id)'!$Q$20,FALSE)="","",VLOOKUP(MATCH(B211,tid,0),tao,'12(id)'!$Q$20,FALSE)))</f>
        <v/>
      </c>
      <c r="N211" s="9085" t="str">
        <f>+IF(B211="","",IF(VLOOKUP(MATCH(B211,tid,0),tao,'12(id)'!$CT$20,FALSE)="","",VLOOKUP(MATCH(B211,tid,0),tao,'12(id)'!$CT$20,FALSE)))</f>
        <v/>
      </c>
      <c r="O211" s="9001" t="str">
        <f>+IF(B211="","",IF(VLOOKUP(MATCH(B211,tid,0),tao,'12(id)'!$DE$20,FALSE)="","",ROUND(VLOOKUP(MATCH(B211,tid,0),tao,'12(id)'!$DE$20,FALSE),0)&amp;" yrs"))</f>
        <v/>
      </c>
      <c r="P211" s="9001" t="e">
        <f>+IF(VLOOKUP(MATCH(B211,tid,0),tao,'12(id)'!$FR$20,FALSE)="","",VLOOKUP(MATCH(B211,tid,0),tao,'12(id)'!$FR$20,FALSE))</f>
        <v>#N/A</v>
      </c>
      <c r="Q211" s="9140" t="e">
        <f>+IF(VLOOKUP(MATCH(B211,tid,0),tao,'12(id)'!$DI$20,FALSE)="","",VLOOKUP(MATCH(B211,tid,0),tao,'12(id)'!$DI$20,FALSE))&amp;";  "&amp;IF(VLOOKUP(MATCH(B211,tid,0),tao,'12(id)'!$DQ$20,FALSE)="","",VLOOKUP(MATCH(B211,tid,0),tao,'12(id)'!$DQ$20,FALSE))</f>
        <v>#N/A</v>
      </c>
      <c r="R211" s="9199"/>
      <c r="S211" s="8979"/>
      <c r="T211" s="7543">
        <f>+IF(VLOOKUP(MATCH(E206,c_id,0),ca,'13(an)'!$HF$34,FALSE)="","",VLOOKUP(MATCH(E206,c_id,0),ca,'13(an)'!$HF$34,FALSE))</f>
        <v>990785</v>
      </c>
      <c r="U211" s="8876" t="str">
        <f>IF(T211="","","$ /ton "&amp;"NOx(R)")</f>
        <v>$ /ton NOx(R)</v>
      </c>
      <c r="V211" s="8876"/>
      <c r="W211" s="7630"/>
      <c r="X211" s="8979"/>
      <c r="Y211" s="7543">
        <f>+IF(VLOOKUP(MATCH(E206,c_id,0),ca,'13(an)'!$JE$34,FALSE)="","",VLOOKUP(MATCH(E206,c_id,0),ca,'13(an)'!$JE$34,FALSE))</f>
        <v>406515.81944643118</v>
      </c>
      <c r="Z211" s="8876" t="str">
        <f>IF(Y211="","","$ /ton "&amp;"NOx(R)")</f>
        <v>$ /ton NOx(R)</v>
      </c>
      <c r="AA211" s="8876"/>
      <c r="AB211" s="7451"/>
      <c r="AC211" s="8979"/>
      <c r="AD211" s="7543">
        <f>+IF(VLOOKUP(MATCH(E206,c_id,0),ca,'13(an)'!$LB$34,FALSE)="","",VLOOKUP(MATCH(E206,c_id,0),ca,'13(an)'!$LB$34,FALSE))</f>
        <v>318608.64521004399</v>
      </c>
      <c r="AE211" s="8876" t="str">
        <f>IF(AD211="","","$ /ton "&amp;"NOx(R)")</f>
        <v>$ /ton NOx(R)</v>
      </c>
      <c r="AF211" s="8876"/>
      <c r="AG211" s="7695"/>
      <c r="AH211" s="5962"/>
      <c r="AI211" s="5959"/>
      <c r="AJ211" s="5959"/>
      <c r="AK211" s="5959"/>
      <c r="AL211" s="5959"/>
      <c r="AM211" s="5959"/>
    </row>
    <row r="212" spans="1:39" ht="9.9499999999999993" customHeight="1">
      <c r="A212" s="5952"/>
      <c r="B212" s="9075" t="str">
        <f>+IF('12(id)'!A43="","",'12(id)'!A43)</f>
        <v>8300-11</v>
      </c>
      <c r="C212" s="8851" t="str">
        <f>+IF(B212="","",VLOOKUP(MATCH(B212,tid,0),tao,'12(id)'!$J$20,FALSE))</f>
        <v>NRG</v>
      </c>
      <c r="D212" s="8890" t="str">
        <f>+IF(B212="","",M212)</f>
        <v>DV10</v>
      </c>
      <c r="E212" s="9075" t="str">
        <f>+IF(B224="","",B212&amp;IF(ISERR(VALUE(R212)),"-01",IF(R212&lt;10,"-0"&amp;R212,"-"&amp;R212)))</f>
        <v>8300-11-01</v>
      </c>
      <c r="F212" s="5952"/>
      <c r="G212" s="5959"/>
      <c r="H212" s="5952"/>
      <c r="I212" s="9072">
        <f>1+I206</f>
        <v>23</v>
      </c>
      <c r="J212" s="9114" t="str">
        <f>+IF(VLOOKUP(MATCH(B173,tid,0),tao,'12(id)'!$I$20,FALSE)="","",VLOOKUP(MATCH(B173,tid,0),tao,'12(id)'!$I$20,FALSE))</f>
        <v>NRG Energy, Inc</v>
      </c>
      <c r="K212" s="9064"/>
      <c r="L212" s="9116" t="str">
        <f>+IF(B224="","",IF(VLOOKUP(MATCH(B212,tid,0),tao,'12(id)'!$L$20,FALSE)="","",VLOOKUP(MATCH(B212,tid,0),tao,'12(id)'!$L$20,FALSE)))</f>
        <v>Devon</v>
      </c>
      <c r="M212" s="9076" t="str">
        <f>+IF(B224="","",IF(VLOOKUP(MATCH(B212,tid,0),tao,'12(id)'!$Q$20,FALSE)="","",VLOOKUP(MATCH(B212,tid,0),tao,'12(id)'!$Q$20,FALSE)))</f>
        <v>DV10</v>
      </c>
      <c r="N212" s="9095">
        <f>+IF(B224="","",IF(VLOOKUP(MATCH(B212,tid,0),tao,'12(id)'!$CT$20,FALSE)="","",VLOOKUP(MATCH(B212,tid,0),tao,'12(id)'!$CT$20,FALSE)))</f>
        <v>20</v>
      </c>
      <c r="O212" s="9134" t="str">
        <f ca="1">+IF(B224="","",IF(VLOOKUP(MATCH(B212,tid,0),tao,'12(id)'!$DE$20,FALSE)="","",ROUND(VLOOKUP(MATCH(B212,tid,0),tao,'12(id)'!$DE$20,FALSE),0)&amp;" yrs"))</f>
        <v>26 yrs</v>
      </c>
      <c r="P212" s="9131" t="str">
        <f>+IF(B224="","",IF(VLOOKUP(MATCH(B212,tid,0),tao,'12(id)'!$FR$20,FALSE)="","",VLOOKUP(MATCH(B212,tid,0),tao,'12(id)'!$FR$20,FALSE)))</f>
        <v>None</v>
      </c>
      <c r="Q212" s="9143" t="str">
        <f>+IF(B224="","",IF(VLOOKUP(MATCH(B212,tid,0),tao,'12(id)'!$DI$20,FALSE)="","",VLOOKUP(MATCH(B212,tid,0),tao,'12(id)'!$DI$20,FALSE))&amp;";  "&amp;IF(VLOOKUP(MATCH(B212,tid,0),tao,'12(id)'!$DQ$20,FALSE)="","",VLOOKUP(MATCH(B212,tid,0),tao,'12(id)'!$DQ$20,FALSE)))</f>
        <v xml:space="preserve">Ultra low sulfur kerosene  oil (ULSD);  </v>
      </c>
      <c r="R212" s="9205">
        <f>+IF(B224="","",1)</f>
        <v>1</v>
      </c>
      <c r="S212" s="8859"/>
      <c r="T212" s="8871" t="str">
        <f>+IF(VLOOKUP(MATCH(E212,c_id,0),ca,'13(an)'!$BD$34,FALSE)="","",VLOOKUP(MATCH(E212,c_id,0),ca,'13(an)'!$BD$34,FALSE))</f>
        <v>Selective Catalytic Reduction (SCR)</v>
      </c>
      <c r="U212" s="8871"/>
      <c r="V212" s="8871"/>
      <c r="W212" s="7553"/>
      <c r="X212" s="8859"/>
      <c r="Y212" s="8871" t="str">
        <f>+T212</f>
        <v>Selective Catalytic Reduction (SCR)</v>
      </c>
      <c r="Z212" s="8871"/>
      <c r="AA212" s="8871"/>
      <c r="AB212" s="7554"/>
      <c r="AC212" s="8859"/>
      <c r="AD212" s="8871" t="str">
        <f>+T212</f>
        <v>Selective Catalytic Reduction (SCR)</v>
      </c>
      <c r="AE212" s="8871"/>
      <c r="AF212" s="8871"/>
      <c r="AG212" s="7675"/>
      <c r="AH212" s="5962"/>
      <c r="AI212" s="5959"/>
      <c r="AJ212" s="5959"/>
      <c r="AK212" s="5959"/>
      <c r="AL212" s="5959"/>
      <c r="AM212" s="5959"/>
    </row>
    <row r="213" spans="1:39" ht="9.9499999999999993" customHeight="1">
      <c r="A213" s="5952"/>
      <c r="B213" s="9035"/>
      <c r="C213" s="8852" t="str">
        <f>+IF(B213="","",VLOOKUP(MATCH(B213,tid,0),tao,'12(id)'!$J$20,FALSE))</f>
        <v/>
      </c>
      <c r="D213" s="8887" t="e">
        <f t="shared" ref="D213:D235" si="2">+M213</f>
        <v>#N/A</v>
      </c>
      <c r="E213" s="9035"/>
      <c r="F213" s="5952"/>
      <c r="G213" s="5959"/>
      <c r="H213" s="5952"/>
      <c r="I213" s="9070"/>
      <c r="J213" s="9064" t="e">
        <f>+IF(VLOOKUP(MATCH(B213,tid,0),tao,'12(id)'!$I$20,FALSE)="","",VLOOKUP(MATCH(B213,tid,0),tao,'12(id)'!$I$20,FALSE))</f>
        <v>#N/A</v>
      </c>
      <c r="K213" s="9064"/>
      <c r="L213" s="9117" t="e">
        <f>+IF(VLOOKUP(MATCH(B213,tid,0),tao,'12(id)'!$L$20,FALSE)="","",VLOOKUP(MATCH(B213,tid,0),tao,'12(id)'!$L$20,FALSE))</f>
        <v>#N/A</v>
      </c>
      <c r="M213" s="9077" t="e">
        <f>+IF(VLOOKUP(MATCH(B213,tid,0),tao,'12(id)'!$Q$20,FALSE)="","",VLOOKUP(MATCH(B213,tid,0),tao,'12(id)'!$Q$20,FALSE))</f>
        <v>#N/A</v>
      </c>
      <c r="N213" s="9085" t="e">
        <f>+IF(VLOOKUP(MATCH(B213,tid,0),tao,'12(id)'!$CT$20,FALSE)="","",VLOOKUP(MATCH(B213,tid,0),tao,'12(id)'!$CT$20,FALSE))</f>
        <v>#N/A</v>
      </c>
      <c r="O213" s="8985" t="e">
        <f>+IF(VLOOKUP(MATCH(B213,tid,0),tao,'12(id)'!$DE$20,FALSE)="","",ROUND(VLOOKUP(MATCH(B213,tid,0),tao,'12(id)'!$DE$20,FALSE),0)&amp;" yrs")</f>
        <v>#N/A</v>
      </c>
      <c r="P213" s="9001" t="e">
        <f>+IF(VLOOKUP(MATCH(B213,tid,0),tao,'12(id)'!$FR$20,FALSE)="","",VLOOKUP(MATCH(B213,tid,0),tao,'12(id)'!$FR$20,FALSE))</f>
        <v>#N/A</v>
      </c>
      <c r="Q213" s="9140" t="e">
        <f>+IF(VLOOKUP(MATCH(B213,tid,0),tao,'12(id)'!$DI$20,FALSE)="","",VLOOKUP(MATCH(B213,tid,0),tao,'12(id)'!$DI$20,FALSE))&amp;";  "&amp;IF(VLOOKUP(MATCH(B213,tid,0),tao,'12(id)'!$DQ$20,FALSE)="","",VLOOKUP(MATCH(B213,tid,0),tao,'12(id)'!$DQ$20,FALSE))</f>
        <v>#N/A</v>
      </c>
      <c r="R213" s="8906"/>
      <c r="S213" s="8818"/>
      <c r="T213" s="8874"/>
      <c r="U213" s="8874"/>
      <c r="V213" s="8874"/>
      <c r="W213" s="7616"/>
      <c r="X213" s="8818"/>
      <c r="Y213" s="8874"/>
      <c r="Z213" s="8874"/>
      <c r="AA213" s="8874"/>
      <c r="AB213" s="7617"/>
      <c r="AC213" s="8818"/>
      <c r="AD213" s="8874"/>
      <c r="AE213" s="8874"/>
      <c r="AF213" s="8874"/>
      <c r="AG213" s="7555"/>
      <c r="AH213" s="5962"/>
      <c r="AI213" s="5959"/>
      <c r="AJ213" s="5959"/>
      <c r="AK213" s="5959"/>
      <c r="AL213" s="5959"/>
      <c r="AM213" s="5959"/>
    </row>
    <row r="214" spans="1:39" ht="15.95" customHeight="1">
      <c r="A214" s="5952"/>
      <c r="B214" s="9035"/>
      <c r="C214" s="8852" t="str">
        <f>+IF(B214="","",VLOOKUP(MATCH(B214,tid,0),tao,'12(id)'!$J$20,FALSE))</f>
        <v/>
      </c>
      <c r="D214" s="8887" t="e">
        <f t="shared" si="2"/>
        <v>#N/A</v>
      </c>
      <c r="E214" s="9035"/>
      <c r="F214" s="5952"/>
      <c r="G214" s="5959"/>
      <c r="H214" s="5952"/>
      <c r="I214" s="9070"/>
      <c r="J214" s="9064" t="e">
        <f>+IF(VLOOKUP(MATCH(B214,tid,0),tao,'12(id)'!$I$20,FALSE)="","",VLOOKUP(MATCH(B214,tid,0),tao,'12(id)'!$I$20,FALSE))</f>
        <v>#N/A</v>
      </c>
      <c r="K214" s="9064"/>
      <c r="L214" s="9117" t="e">
        <f>+IF(VLOOKUP(MATCH(B214,tid,0),tao,'12(id)'!$L$20,FALSE)="","",VLOOKUP(MATCH(B214,tid,0),tao,'12(id)'!$L$20,FALSE))</f>
        <v>#N/A</v>
      </c>
      <c r="M214" s="9077" t="e">
        <f>+IF(VLOOKUP(MATCH(B214,tid,0),tao,'12(id)'!$Q$20,FALSE)="","",VLOOKUP(MATCH(B214,tid,0),tao,'12(id)'!$Q$20,FALSE))</f>
        <v>#N/A</v>
      </c>
      <c r="N214" s="9085" t="e">
        <f>+IF(VLOOKUP(MATCH(B214,tid,0),tao,'12(id)'!$CT$20,FALSE)="","",VLOOKUP(MATCH(B214,tid,0),tao,'12(id)'!$CT$20,FALSE))</f>
        <v>#N/A</v>
      </c>
      <c r="O214" s="8985" t="e">
        <f>+IF(VLOOKUP(MATCH(B214,tid,0),tao,'12(id)'!$DE$20,FALSE)="","",ROUND(VLOOKUP(MATCH(B214,tid,0),tao,'12(id)'!$DE$20,FALSE),0)&amp;" yrs")</f>
        <v>#N/A</v>
      </c>
      <c r="P214" s="9001" t="e">
        <f>+IF(VLOOKUP(MATCH(B214,tid,0),tao,'12(id)'!$FR$20,FALSE)="","",VLOOKUP(MATCH(B214,tid,0),tao,'12(id)'!$FR$20,FALSE))</f>
        <v>#N/A</v>
      </c>
      <c r="Q214" s="9140" t="e">
        <f>+IF(VLOOKUP(MATCH(B214,tid,0),tao,'12(id)'!$DI$20,FALSE)="","",VLOOKUP(MATCH(B214,tid,0),tao,'12(id)'!$DI$20,FALSE))&amp;";  "&amp;IF(VLOOKUP(MATCH(B214,tid,0),tao,'12(id)'!$DQ$20,FALSE)="","",VLOOKUP(MATCH(B214,tid,0),tao,'12(id)'!$DQ$20,FALSE))</f>
        <v>#N/A</v>
      </c>
      <c r="R214" s="8906"/>
      <c r="S214" s="9201"/>
      <c r="T214" s="7584" t="str">
        <f>+IF(E212="","",IF(VLOOKUP(MATCH(E212,c_id,0),ca,'13(an)'!$CC$34,FALSE)="",IF(VLOOKUP(MATCH(E212,c_id,0),ca,'13(an)'!$CD$34,FALSE)="",IF(VLOOKUP(MATCH(E212,c_id,0),ca,'13(an)'!$CE$34,FALSE)="","η ≈ N/A","η ≈ "&amp;ROUND(VLOOKUP(MATCH(E212,c_id,0),ca,'13(an)'!$CE$34,FALSE)*100,0)&amp;"%"),"η ≈ "&amp;ROUND(VLOOKUP(MATCH(E212,c_id,0),ca,'13(an)'!$CD$34,FALSE)*100,0)&amp;"%"),"η ≈ "&amp;ROUND(VLOOKUP(MATCH(E212,c_id,0),ca,'13(an)'!$CC$34,FALSE)*100,0)&amp;"%"))</f>
        <v>η ≈ 87%</v>
      </c>
      <c r="U214" s="7585" t="str">
        <f>+IF($U$236="ppmvd",IF(VLOOKUP(MATCH(E212,c_id,0),ca,'13(an)'!$BV$34,FALSE)="","",ROUND(VLOOKUP(MATCH(E212,c_id,0),ca,'13(an)'!$BV$34,FALSE),1)&amp;" ppmvd"),IF(VLOOKUP(MATCH(E212,c_id,0),ca,'13(an)'!$BU$34,FALSE)="","",IF(LEN(ROUND(VLOOKUP(MATCH(E212,c_id,0),ca,'13(an)'!$BU$34,FALSE),3))=3,ROUND(VLOOKUP(MATCH(E212,c_id,0),ca,'13(an)'!$BU$34,FALSE),3)&amp;"00 lb/MMBtu",IF(LEN(ROUND(VLOOKUP(MATCH(E212,c_id,0),ca,'13(an)'!$BU$34,FALSE),3))=4,ROUND(VLOOKUP(MATCH(E212,c_id,0),ca,'13(an)'!$BU$34,FALSE),3)&amp;"0 lb/MMBtu",ROUND(VLOOKUP(MATCH(E212,c_id,0),ca,'13(an)'!$BU$34,FALSE),3)&amp;" lb/MMBtu"))))</f>
        <v>0.100 lb/MMBtu</v>
      </c>
      <c r="V214" s="7586">
        <f>+IF(E212="","",IF(VLOOKUP(MATCH(E212,c_id,0),ca,'13(an)'!$CB$34,FALSE)="","NOx(R) = N/A",ROUND(VLOOKUP(MATCH(E212,c_id,0),ca,'13(an)'!$CB$34,FALSE),1)))</f>
        <v>1.6</v>
      </c>
      <c r="W214" s="7534"/>
      <c r="X214" s="8818"/>
      <c r="Y214" s="7587" t="str">
        <f>+IF(E212="","",IF(VLOOKUP(MATCH(E212,c_id,0),ca,'13(an)'!$CM$34,FALSE)="",IF(VLOOKUP(MATCH(E212,c_id,0),ca,'13(an)'!$CN$34,FALSE)="",IF(VLOOKUP(MATCH(E212,c_id,0),ca,'13(an)'!$CO$34,FALSE)="","η ≈ N/A","η ≈ "&amp;ROUND(VLOOKUP(MATCH(E212,c_id,0),ca,'13(an)'!$CO$34,FALSE)*100,0)&amp;"%"),"η ≈ "&amp;ROUND(VLOOKUP(MATCH(E212,c_id,0),ca,'13(an)'!$CN$34,FALSE)*100,0)&amp;"%"),"η ≈ "&amp;ROUND(VLOOKUP(MATCH(E212,c_id,0),ca,'13(an)'!$CM$34,FALSE)*100,0)&amp;"%"))</f>
        <v>η ≈ 90%</v>
      </c>
      <c r="Z214" s="7696" t="str">
        <f>+IF($Z$236="ppmvd",IF(VLOOKUP(MATCH(E212,c_id,0),ca,'13(an)'!$CJ$34,FALSE)="","",ROUND(VLOOKUP(MATCH(E212,c_id,0),ca,'13(an)'!$CJ$34,FALSE),1)&amp;" ppmvd"),IF(VLOOKUP(MATCH(E212,c_id,0),ca,'13(an)'!$CI$34,FALSE)="","",IF(LEN(ROUND(VLOOKUP(MATCH(E212,c_id,0),ca,'13(an)'!$CI$34,FALSE),3))=3,ROUND(VLOOKUP(MATCH(E212,c_id,0),ca,'13(an)'!$CI$34,FALSE),3)&amp;"00 lb/MMBtu",IF(LEN(ROUND(VLOOKUP(MATCH(E212,c_id,0),ca,'13(an)'!$CI$34,FALSE),3))=4,ROUND(VLOOKUP(MATCH(E212,c_id,0),ca,'13(an)'!$CI$34,FALSE),3)&amp;"0 lb/MMBtu",ROUND(VLOOKUP(MATCH(E212,c_id,0),ca,'13(an)'!$CI$34,FALSE),3)&amp;" lb/MMBtu"))))</f>
        <v>0.067 lb/MMBtu</v>
      </c>
      <c r="AA214" s="7589">
        <f>+IF(E212="","",IF(VLOOKUP(MATCH(E212,c_id,0),ca,'13(an)'!$CL$34,FALSE)="","NOx(R) = N/A",ROUND(VLOOKUP(MATCH(E212,c_id,0),ca,'13(an)'!$CL$34,FALSE),1)))</f>
        <v>1.7</v>
      </c>
      <c r="AB214" s="7535"/>
      <c r="AC214" s="8818"/>
      <c r="AD214" s="7587" t="str">
        <f>+IF(E212="","",IF(VLOOKUP(MATCH(E212,c_id,0),ca,'13(an)'!$CM$34,FALSE)="",IF(VLOOKUP(MATCH(E212,c_id,0),ca,'13(an)'!$CN$34,FALSE)="",IF(VLOOKUP(MATCH(E212,c_id,0),ca,'13(an)'!$CO$34,FALSE)="","η ≈ N/A","η ≈ "&amp;ROUND(VLOOKUP(MATCH(E212,c_id,0),ca,'13(an)'!$CO$34,FALSE)*100,0)&amp;"%"),"η ≈ "&amp;ROUND(VLOOKUP(MATCH(E212,c_id,0),ca,'13(an)'!$CN$34,FALSE)*100,0)&amp;"%"),"η ≈ "&amp;ROUND(VLOOKUP(MATCH(E212,c_id,0),ca,'13(an)'!$CM$34,FALSE)*100,0)&amp;"%"))</f>
        <v>η ≈ 90%</v>
      </c>
      <c r="AE214" s="7588" t="str">
        <f>+IF($AE$236="ppmvd",IF(VLOOKUP(MATCH(E212,c_id,0),ca,'13(an)'!$CJ$34,FALSE)="","",ROUND(VLOOKUP(MATCH(E212,c_id,0),ca,'13(an)'!$CJ$34,FALSE),1)&amp;" ppmvd"),IF(VLOOKUP(MATCH(E212,c_id,0),ca,'13(an)'!$CI$34,FALSE)="","",IF(LEN(ROUND(VLOOKUP(MATCH(E212,c_id,0),ca,'13(an)'!$CI$34,FALSE),3))=3,ROUND(VLOOKUP(MATCH(E212,c_id,0),ca,'13(an)'!$CI$34,FALSE),3)&amp;"00 lb/MMBtu",IF(LEN(ROUND(VLOOKUP(MATCH(E212,c_id,0),ca,'13(an)'!$CI$34,FALSE),3))=4,ROUND(VLOOKUP(MATCH(E212,c_id,0),ca,'13(an)'!$CI$34,FALSE),3)&amp;"0 lb/MMBtu",ROUND(VLOOKUP(MATCH(E212,c_id,0),ca,'13(an)'!$CI$34,FALSE),3)&amp;" lb/MMBtu"))))</f>
        <v>0.067 lb/MMBtu</v>
      </c>
      <c r="AF214" s="7589">
        <f>+IF(E212="","",IF(VLOOKUP(MATCH(E212,c_id,0),ca,'13(an)'!$CL$34,FALSE)="","NOx(R) = N/A",ROUND(VLOOKUP(MATCH(E212,c_id,0),ca,'13(an)'!$CL$34,FALSE),1)))</f>
        <v>1.7</v>
      </c>
      <c r="AG214" s="7536"/>
      <c r="AH214" s="5962"/>
      <c r="AI214" s="5959"/>
      <c r="AJ214" s="5959"/>
      <c r="AK214" s="5959"/>
      <c r="AL214" s="5959"/>
      <c r="AM214" s="5959"/>
    </row>
    <row r="215" spans="1:39" ht="15.95" customHeight="1">
      <c r="A215" s="5952"/>
      <c r="B215" s="9035"/>
      <c r="C215" s="8852" t="str">
        <f>+IF(B215="","",VLOOKUP(MATCH(B215,tid,0),tao,'12(id)'!$J$20,FALSE))</f>
        <v/>
      </c>
      <c r="D215" s="8887" t="e">
        <f t="shared" si="2"/>
        <v>#N/A</v>
      </c>
      <c r="E215" s="9035"/>
      <c r="F215" s="5952"/>
      <c r="G215" s="5959"/>
      <c r="H215" s="5952"/>
      <c r="I215" s="9070"/>
      <c r="J215" s="9064" t="e">
        <f>+IF(VLOOKUP(MATCH(B215,tid,0),tao,'12(id)'!$I$20,FALSE)="","",VLOOKUP(MATCH(B215,tid,0),tao,'12(id)'!$I$20,FALSE))</f>
        <v>#N/A</v>
      </c>
      <c r="K215" s="9064"/>
      <c r="L215" s="9117" t="e">
        <f>+IF(VLOOKUP(MATCH(B215,tid,0),tao,'12(id)'!$L$20,FALSE)="","",VLOOKUP(MATCH(B215,tid,0),tao,'12(id)'!$L$20,FALSE))</f>
        <v>#N/A</v>
      </c>
      <c r="M215" s="9077" t="e">
        <f>+IF(VLOOKUP(MATCH(B215,tid,0),tao,'12(id)'!$Q$20,FALSE)="","",VLOOKUP(MATCH(B215,tid,0),tao,'12(id)'!$Q$20,FALSE))</f>
        <v>#N/A</v>
      </c>
      <c r="N215" s="9085" t="e">
        <f>+IF(VLOOKUP(MATCH(B215,tid,0),tao,'12(id)'!$CT$20,FALSE)="","",VLOOKUP(MATCH(B215,tid,0),tao,'12(id)'!$CT$20,FALSE))</f>
        <v>#N/A</v>
      </c>
      <c r="O215" s="8985" t="e">
        <f>+IF(VLOOKUP(MATCH(B215,tid,0),tao,'12(id)'!$DE$20,FALSE)="","",ROUND(VLOOKUP(MATCH(B215,tid,0),tao,'12(id)'!$DE$20,FALSE),0)&amp;" yrs")</f>
        <v>#N/A</v>
      </c>
      <c r="P215" s="9001" t="e">
        <f>+IF(VLOOKUP(MATCH(B215,tid,0),tao,'12(id)'!$FR$20,FALSE)="","",VLOOKUP(MATCH(B215,tid,0),tao,'12(id)'!$FR$20,FALSE))</f>
        <v>#N/A</v>
      </c>
      <c r="Q215" s="9140" t="e">
        <f>+IF(VLOOKUP(MATCH(B215,tid,0),tao,'12(id)'!$DI$20,FALSE)="","",VLOOKUP(MATCH(B215,tid,0),tao,'12(id)'!$DI$20,FALSE))&amp;";  "&amp;IF(VLOOKUP(MATCH(B215,tid,0),tao,'12(id)'!$DQ$20,FALSE)="","",VLOOKUP(MATCH(B215,tid,0),tao,'12(id)'!$DQ$20,FALSE))</f>
        <v>#N/A</v>
      </c>
      <c r="R215" s="8906"/>
      <c r="S215" s="8818"/>
      <c r="T215" s="7537">
        <f>+IF(VLOOKUP(MATCH(E212,c_id,0),ca,'13(an)'!$GF$34,FALSE)="","",VLOOKUP(MATCH(E212,c_id,0),ca,'13(an)'!$GF$34,FALSE))</f>
        <v>6494100</v>
      </c>
      <c r="U215" s="7538" t="str">
        <f>+IF(T215="","","$ TCC/unit")</f>
        <v>$ TCC/unit</v>
      </c>
      <c r="V215" s="7539">
        <f>+IF(VLOOKUP(MATCH(E212,c_id,0),ca,'13(an)'!$HA$34,FALSE)="","",VLOOKUP(MATCH(E212,c_id,0),ca,'13(an)'!$HA$34,FALSE))</f>
        <v>805651</v>
      </c>
      <c r="W215" s="7540"/>
      <c r="X215" s="8818"/>
      <c r="Y215" s="7537">
        <f>+IF(VLOOKUP(MATCH(E212,c_id,0),ca,'13(an)'!$IA$34,FALSE)="","",VLOOKUP(MATCH(E212,c_id,0),ca,'13(an)'!$IA$34,FALSE))</f>
        <v>6076337.9292000001</v>
      </c>
      <c r="Z215" s="7538" t="str">
        <f>+IF(Y215="","","$ TCC/unit")</f>
        <v>$ TCC/unit</v>
      </c>
      <c r="AA215" s="7539">
        <f>+IF(Y215="","",$AA$14*Y215)</f>
        <v>573563.31494190369</v>
      </c>
      <c r="AB215" s="7541"/>
      <c r="AC215" s="8818"/>
      <c r="AD215" s="7537">
        <f>+IF(VLOOKUP(MATCH(E212,c_id,0),ca,'13(an)'!$JS$34,FALSE)="","",VLOOKUP(MATCH(E212,c_id,0),ca,'13(an)'!$JS$34,FALSE))</f>
        <v>2513690</v>
      </c>
      <c r="AE215" s="7538" t="str">
        <f>+IF(AD215="","","$ TCC/unit")</f>
        <v>$ TCC/unit</v>
      </c>
      <c r="AF215" s="7539">
        <f>+IF(AD215="","",$AF$14*AD215)</f>
        <v>215701.03903241493</v>
      </c>
      <c r="AG215" s="7542"/>
      <c r="AH215" s="5962"/>
      <c r="AI215" s="5959"/>
      <c r="AJ215" s="5959"/>
      <c r="AK215" s="5959"/>
      <c r="AL215" s="5959"/>
      <c r="AM215" s="5959"/>
    </row>
    <row r="216" spans="1:39" ht="15.95" customHeight="1">
      <c r="A216" s="5952"/>
      <c r="B216" s="9035"/>
      <c r="C216" s="8852" t="str">
        <f>+IF(B216="","",VLOOKUP(MATCH(B216,tid,0),tao,'12(id)'!$J$20,FALSE))</f>
        <v/>
      </c>
      <c r="D216" s="8887" t="e">
        <f t="shared" si="2"/>
        <v>#N/A</v>
      </c>
      <c r="E216" s="9035"/>
      <c r="F216" s="5952"/>
      <c r="G216" s="5959"/>
      <c r="H216" s="5952"/>
      <c r="I216" s="9070"/>
      <c r="J216" s="9064" t="e">
        <f>+IF(VLOOKUP(MATCH(B216,tid,0),tao,'12(id)'!$I$20,FALSE)="","",VLOOKUP(MATCH(B216,tid,0),tao,'12(id)'!$I$20,FALSE))</f>
        <v>#N/A</v>
      </c>
      <c r="K216" s="9064"/>
      <c r="L216" s="9117" t="e">
        <f>+IF(VLOOKUP(MATCH(B216,tid,0),tao,'12(id)'!$L$20,FALSE)="","",VLOOKUP(MATCH(B216,tid,0),tao,'12(id)'!$L$20,FALSE))</f>
        <v>#N/A</v>
      </c>
      <c r="M216" s="9077" t="e">
        <f>+IF(VLOOKUP(MATCH(B216,tid,0),tao,'12(id)'!$Q$20,FALSE)="","",VLOOKUP(MATCH(B216,tid,0),tao,'12(id)'!$Q$20,FALSE))</f>
        <v>#N/A</v>
      </c>
      <c r="N216" s="9085" t="e">
        <f>+IF(VLOOKUP(MATCH(B216,tid,0),tao,'12(id)'!$CT$20,FALSE)="","",VLOOKUP(MATCH(B216,tid,0),tao,'12(id)'!$CT$20,FALSE))</f>
        <v>#N/A</v>
      </c>
      <c r="O216" s="8985" t="e">
        <f>+IF(VLOOKUP(MATCH(B216,tid,0),tao,'12(id)'!$DE$20,FALSE)="","",ROUND(VLOOKUP(MATCH(B216,tid,0),tao,'12(id)'!$DE$20,FALSE),0)&amp;" yrs")</f>
        <v>#N/A</v>
      </c>
      <c r="P216" s="9001" t="e">
        <f>+IF(VLOOKUP(MATCH(B216,tid,0),tao,'12(id)'!$FR$20,FALSE)="","",VLOOKUP(MATCH(B216,tid,0),tao,'12(id)'!$FR$20,FALSE))</f>
        <v>#N/A</v>
      </c>
      <c r="Q216" s="9140" t="e">
        <f>+IF(VLOOKUP(MATCH(B216,tid,0),tao,'12(id)'!$DI$20,FALSE)="","",VLOOKUP(MATCH(B216,tid,0),tao,'12(id)'!$DI$20,FALSE))&amp;";  "&amp;IF(VLOOKUP(MATCH(B216,tid,0),tao,'12(id)'!$DQ$20,FALSE)="","",VLOOKUP(MATCH(B216,tid,0),tao,'12(id)'!$DQ$20,FALSE))</f>
        <v>#N/A</v>
      </c>
      <c r="R216" s="8906"/>
      <c r="S216" s="8818"/>
      <c r="T216" s="7543">
        <f>+IF(OR(T215="",N212=""),"",T215/N212)</f>
        <v>324705</v>
      </c>
      <c r="U216" s="8820" t="str">
        <f>+IF(T216="","","$ TCC / MW nominal capacity")</f>
        <v>$ TCC / MW nominal capacity</v>
      </c>
      <c r="V216" s="8820"/>
      <c r="W216" s="7544"/>
      <c r="X216" s="8818"/>
      <c r="Y216" s="7543">
        <f>+IF(OR(Y215="",N212=""),"",Y215/N212)</f>
        <v>303816.89646000002</v>
      </c>
      <c r="Z216" s="8820" t="str">
        <f>+IF(Y216="","","$ TCC / MW nominal capacity")</f>
        <v>$ TCC / MW nominal capacity</v>
      </c>
      <c r="AA216" s="8820"/>
      <c r="AB216" s="7545"/>
      <c r="AC216" s="8818"/>
      <c r="AD216" s="7543">
        <f>+IF(OR(AD215="",N212=""),"",AD215/N212)</f>
        <v>125684.5</v>
      </c>
      <c r="AE216" s="8820" t="str">
        <f>+IF(AD216="","","$ TCC / MW nominal capacity")</f>
        <v>$ TCC / MW nominal capacity</v>
      </c>
      <c r="AF216" s="8820"/>
      <c r="AG216" s="7546"/>
      <c r="AH216" s="5962"/>
      <c r="AI216" s="5959"/>
      <c r="AJ216" s="5959"/>
      <c r="AK216" s="5959"/>
      <c r="AL216" s="5959"/>
      <c r="AM216" s="5959"/>
    </row>
    <row r="217" spans="1:39" ht="15.95" customHeight="1">
      <c r="A217" s="5952"/>
      <c r="B217" s="9035"/>
      <c r="C217" s="8852" t="str">
        <f>+IF(B217="","",VLOOKUP(MATCH(B217,tid,0),tao,'12(id)'!$J$20,FALSE))</f>
        <v/>
      </c>
      <c r="D217" s="8887" t="e">
        <f t="shared" si="2"/>
        <v>#N/A</v>
      </c>
      <c r="E217" s="9062"/>
      <c r="F217" s="5952"/>
      <c r="G217" s="5959"/>
      <c r="H217" s="5952"/>
      <c r="I217" s="9070"/>
      <c r="J217" s="9064" t="e">
        <f>+IF(VLOOKUP(MATCH(B217,tid,0),tao,'12(id)'!$I$20,FALSE)="","",VLOOKUP(MATCH(B217,tid,0),tao,'12(id)'!$I$20,FALSE))</f>
        <v>#N/A</v>
      </c>
      <c r="K217" s="9064"/>
      <c r="L217" s="9117" t="e">
        <f>+IF(VLOOKUP(MATCH(B217,tid,0),tao,'12(id)'!$L$20,FALSE)="","",VLOOKUP(MATCH(B217,tid,0),tao,'12(id)'!$L$20,FALSE))</f>
        <v>#N/A</v>
      </c>
      <c r="M217" s="9077" t="e">
        <f>+IF(VLOOKUP(MATCH(B217,tid,0),tao,'12(id)'!$Q$20,FALSE)="","",VLOOKUP(MATCH(B217,tid,0),tao,'12(id)'!$Q$20,FALSE))</f>
        <v>#N/A</v>
      </c>
      <c r="N217" s="9085" t="e">
        <f>+IF(VLOOKUP(MATCH(B217,tid,0),tao,'12(id)'!$CT$20,FALSE)="","",VLOOKUP(MATCH(B217,tid,0),tao,'12(id)'!$CT$20,FALSE))</f>
        <v>#N/A</v>
      </c>
      <c r="O217" s="8985" t="e">
        <f>+IF(VLOOKUP(MATCH(B217,tid,0),tao,'12(id)'!$DE$20,FALSE)="","",ROUND(VLOOKUP(MATCH(B217,tid,0),tao,'12(id)'!$DE$20,FALSE),0)&amp;" yrs")</f>
        <v>#N/A</v>
      </c>
      <c r="P217" s="9001" t="e">
        <f>+IF(VLOOKUP(MATCH(B217,tid,0),tao,'12(id)'!$FR$20,FALSE)="","",VLOOKUP(MATCH(B217,tid,0),tao,'12(id)'!$FR$20,FALSE))</f>
        <v>#N/A</v>
      </c>
      <c r="Q217" s="9140" t="e">
        <f>+IF(VLOOKUP(MATCH(B217,tid,0),tao,'12(id)'!$DI$20,FALSE)="","",VLOOKUP(MATCH(B217,tid,0),tao,'12(id)'!$DI$20,FALSE))&amp;";  "&amp;IF(VLOOKUP(MATCH(B217,tid,0),tao,'12(id)'!$DQ$20,FALSE)="","",VLOOKUP(MATCH(B217,tid,0),tao,'12(id)'!$DQ$20,FALSE))</f>
        <v>#N/A</v>
      </c>
      <c r="R217" s="8981"/>
      <c r="S217" s="8819"/>
      <c r="T217" s="7590">
        <f>+IF(VLOOKUP(MATCH(E212,c_id,0),ca,'13(an)'!$HF$34,FALSE)="","",VLOOKUP(MATCH(E212,c_id,0),ca,'13(an)'!$HF$34,FALSE))</f>
        <v>602932</v>
      </c>
      <c r="U217" s="8896" t="str">
        <f>IF(T217="","","$ /ton "&amp;"NOx(R)")</f>
        <v>$ /ton NOx(R)</v>
      </c>
      <c r="V217" s="8896"/>
      <c r="W217" s="7591"/>
      <c r="X217" s="8819"/>
      <c r="Y217" s="7590">
        <f>+IF(VLOOKUP(MATCH(E212,c_id,0),ca,'13(an)'!$JE$34,FALSE)="","",VLOOKUP(MATCH(E212,c_id,0),ca,'13(an)'!$JE$34,FALSE))</f>
        <v>491765.88335447048</v>
      </c>
      <c r="Z217" s="8896" t="str">
        <f>IF(Y217="","","$ /ton "&amp;"NOx(R)")</f>
        <v>$ /ton NOx(R)</v>
      </c>
      <c r="AA217" s="8896"/>
      <c r="AB217" s="7592"/>
      <c r="AC217" s="8819"/>
      <c r="AD217" s="7590">
        <f>+IF(VLOOKUP(MATCH(E212,c_id,0),ca,'13(an)'!$LB$34,FALSE)="","",VLOOKUP(MATCH(E212,c_id,0),ca,'13(an)'!$LB$34,FALSE))</f>
        <v>194624.09258278631</v>
      </c>
      <c r="AE217" s="8896" t="str">
        <f>IF(AD217="","","$ /ton "&amp;"NOx(R)")</f>
        <v>$ /ton NOx(R)</v>
      </c>
      <c r="AF217" s="8896"/>
      <c r="AG217" s="7593"/>
      <c r="AH217" s="5962"/>
      <c r="AI217" s="5959"/>
      <c r="AJ217" s="5959"/>
      <c r="AK217" s="5959"/>
      <c r="AL217" s="5959"/>
      <c r="AM217" s="5959"/>
    </row>
    <row r="218" spans="1:39" ht="9.9499999999999993" customHeight="1">
      <c r="A218" s="5952"/>
      <c r="B218" s="9035"/>
      <c r="C218" s="8852" t="str">
        <f>+IF(B218="","",VLOOKUP(MATCH(B218,tid,0),tao,'12(id)'!$J$20,FALSE))</f>
        <v/>
      </c>
      <c r="D218" s="8887" t="e">
        <f t="shared" si="2"/>
        <v>#N/A</v>
      </c>
      <c r="E218" s="9156" t="str">
        <f>+IF(B224="","",B212&amp;IF(ISERR(VALUE(1+R212)),"-01",IF(1+R212&lt;10,"-0"&amp;1+R212,"-"&amp;1+R212)))</f>
        <v>8300-11-02</v>
      </c>
      <c r="F218" s="5952"/>
      <c r="G218" s="5959"/>
      <c r="H218" s="5952"/>
      <c r="I218" s="9070"/>
      <c r="J218" s="9064" t="e">
        <f>+IF(VLOOKUP(MATCH(B218,tid,0),tao,'12(id)'!$I$20,FALSE)="","",VLOOKUP(MATCH(B218,tid,0),tao,'12(id)'!$I$20,FALSE))</f>
        <v>#N/A</v>
      </c>
      <c r="K218" s="9064"/>
      <c r="L218" s="9117" t="e">
        <f>+IF(VLOOKUP(MATCH(B218,tid,0),tao,'12(id)'!$L$20,FALSE)="","",VLOOKUP(MATCH(B218,tid,0),tao,'12(id)'!$L$20,FALSE))</f>
        <v>#N/A</v>
      </c>
      <c r="M218" s="9077" t="e">
        <f>+IF(VLOOKUP(MATCH(B218,tid,0),tao,'12(id)'!$Q$20,FALSE)="","",VLOOKUP(MATCH(B218,tid,0),tao,'12(id)'!$Q$20,FALSE))</f>
        <v>#N/A</v>
      </c>
      <c r="N218" s="9085" t="e">
        <f>+IF(VLOOKUP(MATCH(B218,tid,0),tao,'12(id)'!$CT$20,FALSE)="","",VLOOKUP(MATCH(B218,tid,0),tao,'12(id)'!$CT$20,FALSE))</f>
        <v>#N/A</v>
      </c>
      <c r="O218" s="8985" t="e">
        <f>+IF(VLOOKUP(MATCH(B218,tid,0),tao,'12(id)'!$DE$20,FALSE)="","",ROUND(VLOOKUP(MATCH(B218,tid,0),tao,'12(id)'!$DE$20,FALSE),0)&amp;" yrs")</f>
        <v>#N/A</v>
      </c>
      <c r="P218" s="9001" t="e">
        <f>+IF(VLOOKUP(MATCH(B218,tid,0),tao,'12(id)'!$FR$20,FALSE)="","",VLOOKUP(MATCH(B218,tid,0),tao,'12(id)'!$FR$20,FALSE))</f>
        <v>#N/A</v>
      </c>
      <c r="Q218" s="9140" t="e">
        <f>+IF(VLOOKUP(MATCH(B218,tid,0),tao,'12(id)'!$DI$20,FALSE)="","",VLOOKUP(MATCH(B218,tid,0),tao,'12(id)'!$DI$20,FALSE))&amp;";  "&amp;IF(VLOOKUP(MATCH(B218,tid,0),tao,'12(id)'!$DQ$20,FALSE)="","",VLOOKUP(MATCH(B218,tid,0),tao,'12(id)'!$DQ$20,FALSE))</f>
        <v>#N/A</v>
      </c>
      <c r="R218" s="8906">
        <f>+IF(B224="","",1+R212)</f>
        <v>2</v>
      </c>
      <c r="S218" s="8818"/>
      <c r="T218" s="8871" t="str">
        <f>+IF(VLOOKUP(MATCH(E218,c_id,0),ca,'13(an)'!$BD$34,FALSE)="","",VLOOKUP(MATCH(E218,c_id,0),ca,'13(an)'!$BD$34,FALSE))</f>
        <v>High Pressure Water Injection (HPWI)</v>
      </c>
      <c r="U218" s="8871"/>
      <c r="V218" s="8871"/>
      <c r="W218" s="7553"/>
      <c r="X218" s="8859"/>
      <c r="Y218" s="8871" t="str">
        <f>+T218</f>
        <v>High Pressure Water Injection (HPWI)</v>
      </c>
      <c r="Z218" s="8871"/>
      <c r="AA218" s="8871"/>
      <c r="AB218" s="7554"/>
      <c r="AC218" s="8818"/>
      <c r="AD218" s="8871" t="str">
        <f>+T218</f>
        <v>High Pressure Water Injection (HPWI)</v>
      </c>
      <c r="AE218" s="8871"/>
      <c r="AF218" s="8871"/>
      <c r="AG218" s="7555"/>
      <c r="AH218" s="5962"/>
      <c r="AI218" s="5959"/>
      <c r="AJ218" s="5959"/>
      <c r="AK218" s="5959"/>
      <c r="AL218" s="5959"/>
      <c r="AM218" s="5959"/>
    </row>
    <row r="219" spans="1:39" ht="9.9499999999999993" customHeight="1">
      <c r="A219" s="5952"/>
      <c r="B219" s="9035"/>
      <c r="C219" s="8852" t="str">
        <f>+IF(B219="","",VLOOKUP(MATCH(B219,tid,0),tao,'12(id)'!$J$20,FALSE))</f>
        <v/>
      </c>
      <c r="D219" s="8887" t="e">
        <f t="shared" si="2"/>
        <v>#N/A</v>
      </c>
      <c r="E219" s="9079"/>
      <c r="F219" s="5952"/>
      <c r="G219" s="5959"/>
      <c r="H219" s="5952"/>
      <c r="I219" s="9070"/>
      <c r="J219" s="9064" t="e">
        <f>+IF(VLOOKUP(MATCH(B219,tid,0),tao,'12(id)'!$I$20,FALSE)="","",VLOOKUP(MATCH(B219,tid,0),tao,'12(id)'!$I$20,FALSE))</f>
        <v>#N/A</v>
      </c>
      <c r="K219" s="9064"/>
      <c r="L219" s="9117" t="e">
        <f>+IF(VLOOKUP(MATCH(B219,tid,0),tao,'12(id)'!$L$20,FALSE)="","",VLOOKUP(MATCH(B219,tid,0),tao,'12(id)'!$L$20,FALSE))</f>
        <v>#N/A</v>
      </c>
      <c r="M219" s="9077" t="e">
        <f>+IF(VLOOKUP(MATCH(B219,tid,0),tao,'12(id)'!$Q$20,FALSE)="","",VLOOKUP(MATCH(B219,tid,0),tao,'12(id)'!$Q$20,FALSE))</f>
        <v>#N/A</v>
      </c>
      <c r="N219" s="9085" t="e">
        <f>+IF(VLOOKUP(MATCH(B219,tid,0),tao,'12(id)'!$CT$20,FALSE)="","",VLOOKUP(MATCH(B219,tid,0),tao,'12(id)'!$CT$20,FALSE))</f>
        <v>#N/A</v>
      </c>
      <c r="O219" s="8985" t="e">
        <f>+IF(VLOOKUP(MATCH(B219,tid,0),tao,'12(id)'!$DE$20,FALSE)="","",ROUND(VLOOKUP(MATCH(B219,tid,0),tao,'12(id)'!$DE$20,FALSE),0)&amp;" yrs")</f>
        <v>#N/A</v>
      </c>
      <c r="P219" s="9001" t="e">
        <f>+IF(VLOOKUP(MATCH(B219,tid,0),tao,'12(id)'!$FR$20,FALSE)="","",VLOOKUP(MATCH(B219,tid,0),tao,'12(id)'!$FR$20,FALSE))</f>
        <v>#N/A</v>
      </c>
      <c r="Q219" s="9140" t="e">
        <f>+IF(VLOOKUP(MATCH(B219,tid,0),tao,'12(id)'!$DI$20,FALSE)="","",VLOOKUP(MATCH(B219,tid,0),tao,'12(id)'!$DI$20,FALSE))&amp;";  "&amp;IF(VLOOKUP(MATCH(B219,tid,0),tao,'12(id)'!$DQ$20,FALSE)="","",VLOOKUP(MATCH(B219,tid,0),tao,'12(id)'!$DQ$20,FALSE))</f>
        <v>#N/A</v>
      </c>
      <c r="R219" s="8906"/>
      <c r="S219" s="8818"/>
      <c r="T219" s="8874"/>
      <c r="U219" s="8874"/>
      <c r="V219" s="8874"/>
      <c r="W219" s="7616"/>
      <c r="X219" s="8818"/>
      <c r="Y219" s="8874"/>
      <c r="Z219" s="8874"/>
      <c r="AA219" s="8874"/>
      <c r="AB219" s="7617"/>
      <c r="AC219" s="8818"/>
      <c r="AD219" s="9261"/>
      <c r="AE219" s="9261"/>
      <c r="AF219" s="9261"/>
      <c r="AG219" s="7555"/>
      <c r="AH219" s="5962"/>
      <c r="AI219" s="5959"/>
      <c r="AJ219" s="5959"/>
      <c r="AK219" s="5959"/>
      <c r="AL219" s="5959"/>
      <c r="AM219" s="5959"/>
    </row>
    <row r="220" spans="1:39" ht="14.1" customHeight="1">
      <c r="A220" s="5952"/>
      <c r="B220" s="9035"/>
      <c r="C220" s="8852" t="str">
        <f>+IF(B220="","",VLOOKUP(MATCH(B220,tid,0),tao,'12(id)'!$J$20,FALSE))</f>
        <v/>
      </c>
      <c r="D220" s="8887" t="e">
        <f t="shared" si="2"/>
        <v>#N/A</v>
      </c>
      <c r="E220" s="9079"/>
      <c r="F220" s="5952"/>
      <c r="G220" s="5959"/>
      <c r="H220" s="5952"/>
      <c r="I220" s="9070"/>
      <c r="J220" s="9064" t="e">
        <f>+IF(VLOOKUP(MATCH(B220,tid,0),tao,'12(id)'!$I$20,FALSE)="","",VLOOKUP(MATCH(B220,tid,0),tao,'12(id)'!$I$20,FALSE))</f>
        <v>#N/A</v>
      </c>
      <c r="K220" s="9064"/>
      <c r="L220" s="9117" t="e">
        <f>+IF(VLOOKUP(MATCH(B220,tid,0),tao,'12(id)'!$L$20,FALSE)="","",VLOOKUP(MATCH(B220,tid,0),tao,'12(id)'!$L$20,FALSE))</f>
        <v>#N/A</v>
      </c>
      <c r="M220" s="9077" t="e">
        <f>+IF(VLOOKUP(MATCH(B220,tid,0),tao,'12(id)'!$Q$20,FALSE)="","",VLOOKUP(MATCH(B220,tid,0),tao,'12(id)'!$Q$20,FALSE))</f>
        <v>#N/A</v>
      </c>
      <c r="N220" s="9085" t="e">
        <f>+IF(VLOOKUP(MATCH(B220,tid,0),tao,'12(id)'!$CT$20,FALSE)="","",VLOOKUP(MATCH(B220,tid,0),tao,'12(id)'!$CT$20,FALSE))</f>
        <v>#N/A</v>
      </c>
      <c r="O220" s="8985" t="e">
        <f>+IF(VLOOKUP(MATCH(B220,tid,0),tao,'12(id)'!$DE$20,FALSE)="","",ROUND(VLOOKUP(MATCH(B220,tid,0),tao,'12(id)'!$DE$20,FALSE),0)&amp;" yrs")</f>
        <v>#N/A</v>
      </c>
      <c r="P220" s="9001" t="e">
        <f>+IF(VLOOKUP(MATCH(B220,tid,0),tao,'12(id)'!$FR$20,FALSE)="","",VLOOKUP(MATCH(B220,tid,0),tao,'12(id)'!$FR$20,FALSE))</f>
        <v>#N/A</v>
      </c>
      <c r="Q220" s="9140" t="e">
        <f>+IF(VLOOKUP(MATCH(B220,tid,0),tao,'12(id)'!$DI$20,FALSE)="","",VLOOKUP(MATCH(B220,tid,0),tao,'12(id)'!$DI$20,FALSE))&amp;";  "&amp;IF(VLOOKUP(MATCH(B220,tid,0),tao,'12(id)'!$DQ$20,FALSE)="","",VLOOKUP(MATCH(B220,tid,0),tao,'12(id)'!$DQ$20,FALSE))</f>
        <v>#N/A</v>
      </c>
      <c r="R220" s="8906"/>
      <c r="S220" s="9201"/>
      <c r="T220" s="7594" t="str">
        <f>+IF(E218="","",IF(VLOOKUP(MATCH(E218,c_id,0),ca,'13(an)'!$CC$34,FALSE)="",IF(VLOOKUP(MATCH(E218,c_id,0),ca,'13(an)'!$CD$34,FALSE)="",IF(VLOOKUP(MATCH(E218,c_id,0),ca,'13(an)'!$CE$34,FALSE)="","η ≈ N/A","η ≈ "&amp;ROUND(VLOOKUP(MATCH(E218,c_id,0),ca,'13(an)'!$CE$34,FALSE)*100,0)&amp;"%"),"η ≈ "&amp;ROUND(VLOOKUP(MATCH(E218,c_id,0),ca,'13(an)'!$CD$34,FALSE)*100,0)&amp;"%"),"η ≈ "&amp;ROUND(VLOOKUP(MATCH(E218,c_id,0),ca,'13(an)'!$CC$34,FALSE)*100,0)&amp;"%"))</f>
        <v>η ≈ 72%</v>
      </c>
      <c r="U220" s="7595" t="str">
        <f>+IF($U$236="ppmvd",IF(VLOOKUP(MATCH(E218,c_id,0),ca,'13(an)'!$BV$34,FALSE)="","",ROUND(VLOOKUP(MATCH(E218,c_id,0),ca,'13(an)'!$BV$34,FALSE),1)&amp;" ppmvd"),IF(VLOOKUP(MATCH(E218,c_id,0),ca,'13(an)'!$BU$34,FALSE)="","",IF(LEN(ROUND(VLOOKUP(MATCH(E218,c_id,0),ca,'13(an)'!$BU$34,FALSE),3))=3,ROUND(VLOOKUP(MATCH(E218,c_id,0),ca,'13(an)'!$BU$34,FALSE),3)&amp;"00 lb/MMBtu",IF(LEN(ROUND(VLOOKUP(MATCH(E218,c_id,0),ca,'13(an)'!$BU$34,FALSE),3))=4,ROUND(VLOOKUP(MATCH(E218,c_id,0),ca,'13(an)'!$BU$34,FALSE),3)&amp;"0 lb/MMBtu",ROUND(VLOOKUP(MATCH(E218,c_id,0),ca,'13(an)'!$BU$34,FALSE),3)&amp;" lb/MMBtu"))))</f>
        <v>0.220 lb/MMBtu</v>
      </c>
      <c r="V220" s="7596">
        <f>+IF(E218="","",IF(VLOOKUP(MATCH(E218,c_id,0),ca,'13(an)'!$CB$34,FALSE)="","NOx(R) = N/A",ROUND(VLOOKUP(MATCH(E218,c_id,0),ca,'13(an)'!$CB$34,FALSE),1)))</f>
        <v>1.3</v>
      </c>
      <c r="W220" s="7534"/>
      <c r="X220" s="9258"/>
      <c r="Y220" s="7597" t="str">
        <f>+IF(E218="","",IF(VLOOKUP(MATCH(E218,c_id,0),ca,'13(an)'!$CM$34,FALSE)="",IF(VLOOKUP(MATCH(E218,c_id,0),ca,'13(an)'!$CN$34,FALSE)="",IF(VLOOKUP(MATCH(E218,c_id,0),ca,'13(an)'!$CO$34,FALSE)="","η ≈ N/A","η ≈ "&amp;ROUND(VLOOKUP(MATCH(E218,c_id,0),ca,'13(an)'!$CO$34,FALSE)*100,0)&amp;"%"),"η ≈ "&amp;ROUND(VLOOKUP(MATCH(E218,c_id,0),ca,'13(an)'!$CN$34,FALSE)*100,0)&amp;"%"),"η ≈ "&amp;ROUND(VLOOKUP(MATCH(E218,c_id,0),ca,'13(an)'!$CM$34,FALSE)*100,0)&amp;"%"))</f>
        <v>η ≈ 70%</v>
      </c>
      <c r="Z220" s="7598" t="str">
        <f>+IF($Z$236="ppmvd",IF(VLOOKUP(MATCH(E218,c_id,0),ca,'13(an)'!$CJ$34,FALSE)="","",ROUND(VLOOKUP(MATCH(E218,c_id,0),ca,'13(an)'!$CJ$34,FALSE),1)&amp;" ppmvd"),IF(VLOOKUP(MATCH(E218,c_id,0),ca,'13(an)'!$CI$34,FALSE)="","",IF(LEN(ROUND(VLOOKUP(MATCH(E218,c_id,0),ca,'13(an)'!$CI$34,FALSE),3))=3,ROUND(VLOOKUP(MATCH(E218,c_id,0),ca,'13(an)'!$CI$34,FALSE),3)&amp;"00 lb/MMBtu",IF(LEN(ROUND(VLOOKUP(MATCH(E218,c_id,0),ca,'13(an)'!$CI$34,FALSE),3))=4,ROUND(VLOOKUP(MATCH(E218,c_id,0),ca,'13(an)'!$CI$34,FALSE),3)&amp;"0 lb/MMBtu",ROUND(VLOOKUP(MATCH(E218,c_id,0),ca,'13(an)'!$CI$34,FALSE),3)&amp;" lb/MMBtu"))))</f>
        <v>0.199 lb/MMBtu</v>
      </c>
      <c r="AA220" s="7599">
        <f>+IF(E218="","",IF(VLOOKUP(MATCH(E218,c_id,0),ca,'13(an)'!$CL$34,FALSE)="","NOx(R) = N/A",ROUND(VLOOKUP(MATCH(E218,c_id,0),ca,'13(an)'!$CL$34,FALSE),1)))</f>
        <v>1.3</v>
      </c>
      <c r="AB220" s="7535"/>
      <c r="AC220" s="8988"/>
      <c r="AD220" s="7697" t="str">
        <f>+IF(E218="","",IF(VLOOKUP(MATCH(E218,c_id,0),ca,'13(an)'!$CM$34,FALSE)="",IF(VLOOKUP(MATCH(E218,c_id,0),ca,'13(an)'!$CN$34,FALSE)="",IF(VLOOKUP(MATCH(E218,c_id,0),ca,'13(an)'!$CO$34,FALSE)="","η ≈ N/A","η ≈ "&amp;ROUND(VLOOKUP(MATCH(E218,c_id,0),ca,'13(an)'!$CO$34,FALSE)*100,0)&amp;"%"),"η ≈ "&amp;ROUND(VLOOKUP(MATCH(E218,c_id,0),ca,'13(an)'!$CN$34,FALSE)*100,0)&amp;"%"),"η ≈ "&amp;ROUND(VLOOKUP(MATCH(E218,c_id,0),ca,'13(an)'!$CM$34,FALSE)*100,0)&amp;"%"))</f>
        <v>η ≈ 70%</v>
      </c>
      <c r="AE220" s="7698" t="str">
        <f>+IF($AE$236="ppmvd",IF(VLOOKUP(MATCH(E218,c_id,0),ca,'13(an)'!$CJ$34,FALSE)="","",ROUND(VLOOKUP(MATCH(E218,c_id,0),ca,'13(an)'!$CJ$34,FALSE),1)&amp;" ppmvd"),IF(VLOOKUP(MATCH(E218,c_id,0),ca,'13(an)'!$CI$34,FALSE)="","",IF(LEN(ROUND(VLOOKUP(MATCH(E218,c_id,0),ca,'13(an)'!$CI$34,FALSE),3))=3,ROUND(VLOOKUP(MATCH(E218,c_id,0),ca,'13(an)'!$CI$34,FALSE),3)&amp;"00 lb/MMBtu",IF(LEN(ROUND(VLOOKUP(MATCH(E218,c_id,0),ca,'13(an)'!$CI$34,FALSE),3))=4,ROUND(VLOOKUP(MATCH(E218,c_id,0),ca,'13(an)'!$CI$34,FALSE),3)&amp;"0 lb/MMBtu",ROUND(VLOOKUP(MATCH(E218,c_id,0),ca,'13(an)'!$CI$34,FALSE),3)&amp;" lb/MMBtu"))))</f>
        <v>0.199 lb/MMBtu</v>
      </c>
      <c r="AF220" s="7699">
        <f>+IF(E218="","",IF(VLOOKUP(MATCH(E218,c_id,0),ca,'13(an)'!$CL$34,FALSE)="","NOx(R) = N/A",ROUND(VLOOKUP(MATCH(E218,c_id,0),ca,'13(an)'!$CL$34,FALSE),1)))</f>
        <v>1.3</v>
      </c>
      <c r="AG220" s="7536"/>
      <c r="AH220" s="5962"/>
      <c r="AI220" s="5959"/>
      <c r="AJ220" s="5959"/>
      <c r="AK220" s="5959"/>
      <c r="AL220" s="5959"/>
      <c r="AM220" s="5959"/>
    </row>
    <row r="221" spans="1:39" ht="14.1" customHeight="1">
      <c r="A221" s="5952"/>
      <c r="B221" s="9035"/>
      <c r="C221" s="8852" t="str">
        <f>+IF(B221="","",VLOOKUP(MATCH(B221,tid,0),tao,'12(id)'!$J$20,FALSE))</f>
        <v/>
      </c>
      <c r="D221" s="8887" t="e">
        <f t="shared" si="2"/>
        <v>#N/A</v>
      </c>
      <c r="E221" s="9079"/>
      <c r="F221" s="5952"/>
      <c r="G221" s="5959"/>
      <c r="H221" s="5952"/>
      <c r="I221" s="9070"/>
      <c r="J221" s="9064" t="e">
        <f>+IF(VLOOKUP(MATCH(B221,tid,0),tao,'12(id)'!$I$20,FALSE)="","",VLOOKUP(MATCH(B221,tid,0),tao,'12(id)'!$I$20,FALSE))</f>
        <v>#N/A</v>
      </c>
      <c r="K221" s="9064"/>
      <c r="L221" s="9117" t="e">
        <f>+IF(VLOOKUP(MATCH(B221,tid,0),tao,'12(id)'!$L$20,FALSE)="","",VLOOKUP(MATCH(B221,tid,0),tao,'12(id)'!$L$20,FALSE))</f>
        <v>#N/A</v>
      </c>
      <c r="M221" s="9077" t="e">
        <f>+IF(VLOOKUP(MATCH(B221,tid,0),tao,'12(id)'!$Q$20,FALSE)="","",VLOOKUP(MATCH(B221,tid,0),tao,'12(id)'!$Q$20,FALSE))</f>
        <v>#N/A</v>
      </c>
      <c r="N221" s="9085" t="e">
        <f>+IF(VLOOKUP(MATCH(B221,tid,0),tao,'12(id)'!$CT$20,FALSE)="","",VLOOKUP(MATCH(B221,tid,0),tao,'12(id)'!$CT$20,FALSE))</f>
        <v>#N/A</v>
      </c>
      <c r="O221" s="8985" t="e">
        <f>+IF(VLOOKUP(MATCH(B221,tid,0),tao,'12(id)'!$DE$20,FALSE)="","",ROUND(VLOOKUP(MATCH(B221,tid,0),tao,'12(id)'!$DE$20,FALSE),0)&amp;" yrs")</f>
        <v>#N/A</v>
      </c>
      <c r="P221" s="9001" t="e">
        <f>+IF(VLOOKUP(MATCH(B221,tid,0),tao,'12(id)'!$FR$20,FALSE)="","",VLOOKUP(MATCH(B221,tid,0),tao,'12(id)'!$FR$20,FALSE))</f>
        <v>#N/A</v>
      </c>
      <c r="Q221" s="9140" t="e">
        <f>+IF(VLOOKUP(MATCH(B221,tid,0),tao,'12(id)'!$DI$20,FALSE)="","",VLOOKUP(MATCH(B221,tid,0),tao,'12(id)'!$DI$20,FALSE))&amp;";  "&amp;IF(VLOOKUP(MATCH(B221,tid,0),tao,'12(id)'!$DQ$20,FALSE)="","",VLOOKUP(MATCH(B221,tid,0),tao,'12(id)'!$DQ$20,FALSE))</f>
        <v>#N/A</v>
      </c>
      <c r="R221" s="8906"/>
      <c r="S221" s="8818"/>
      <c r="T221" s="7537">
        <f>+IF(VLOOKUP(MATCH(E218,c_id,0),ca,'13(an)'!$GF$34,FALSE)="","",VLOOKUP(MATCH(E218,c_id,0),ca,'13(an)'!$GF$34,FALSE))</f>
        <v>1800467</v>
      </c>
      <c r="U221" s="7538" t="str">
        <f>+IF(T221="","","$ TCC/unit")</f>
        <v>$ TCC/unit</v>
      </c>
      <c r="V221" s="7539">
        <f>+IF(VLOOKUP(MATCH(E218,c_id,0),ca,'13(an)'!$HA$34,FALSE)="","",VLOOKUP(MATCH(E218,c_id,0),ca,'13(an)'!$HA$34,FALSE))</f>
        <v>223438</v>
      </c>
      <c r="W221" s="7540"/>
      <c r="X221" s="8818"/>
      <c r="Y221" s="7537">
        <f>+IF(VLOOKUP(MATCH(E218,c_id,0),ca,'13(an)'!$IA$34,FALSE)="","",VLOOKUP(MATCH(E218,c_id,0),ca,'13(an)'!$IA$34,FALSE))</f>
        <v>1687938.12</v>
      </c>
      <c r="Z221" s="7538" t="str">
        <f>+IF(Y221="","","$ TCC/unit")</f>
        <v>$ TCC/unit</v>
      </c>
      <c r="AA221" s="7539">
        <f>+IF(Y221="","",$AA$14*Y221)</f>
        <v>159329.41762037063</v>
      </c>
      <c r="AB221" s="7541"/>
      <c r="AC221" s="8818"/>
      <c r="AD221" s="7537">
        <f>+IF(VLOOKUP(MATCH(E218,c_id,0),ca,'13(an)'!$JS$34,FALSE)="","",VLOOKUP(MATCH(E218,c_id,0),ca,'13(an)'!$JS$34,FALSE))</f>
        <v>1725675</v>
      </c>
      <c r="AE221" s="7538" t="str">
        <f>+IF(AD221="","","$ TCC/unit")</f>
        <v>$ TCC/unit</v>
      </c>
      <c r="AF221" s="7539">
        <f>+IF(AD221="","",$AF$14*AD221)</f>
        <v>148081.06430477212</v>
      </c>
      <c r="AG221" s="7542"/>
      <c r="AH221" s="5962"/>
      <c r="AI221" s="5959"/>
      <c r="AJ221" s="5959"/>
      <c r="AK221" s="5959"/>
      <c r="AL221" s="5959"/>
      <c r="AM221" s="5959"/>
    </row>
    <row r="222" spans="1:39" ht="14.1" customHeight="1">
      <c r="A222" s="5952"/>
      <c r="B222" s="9035"/>
      <c r="C222" s="8852" t="str">
        <f>+IF(B222="","",VLOOKUP(MATCH(B222,tid,0),tao,'12(id)'!$J$20,FALSE))</f>
        <v/>
      </c>
      <c r="D222" s="8887" t="e">
        <f t="shared" si="2"/>
        <v>#N/A</v>
      </c>
      <c r="E222" s="9079"/>
      <c r="F222" s="5952"/>
      <c r="G222" s="5959"/>
      <c r="H222" s="5952"/>
      <c r="I222" s="9070"/>
      <c r="J222" s="9064" t="e">
        <f>+IF(VLOOKUP(MATCH(B222,tid,0),tao,'12(id)'!$I$20,FALSE)="","",VLOOKUP(MATCH(B222,tid,0),tao,'12(id)'!$I$20,FALSE))</f>
        <v>#N/A</v>
      </c>
      <c r="K222" s="9064"/>
      <c r="L222" s="9117" t="e">
        <f>+IF(VLOOKUP(MATCH(B222,tid,0),tao,'12(id)'!$L$20,FALSE)="","",VLOOKUP(MATCH(B222,tid,0),tao,'12(id)'!$L$20,FALSE))</f>
        <v>#N/A</v>
      </c>
      <c r="M222" s="9077" t="e">
        <f>+IF(VLOOKUP(MATCH(B222,tid,0),tao,'12(id)'!$Q$20,FALSE)="","",VLOOKUP(MATCH(B222,tid,0),tao,'12(id)'!$Q$20,FALSE))</f>
        <v>#N/A</v>
      </c>
      <c r="N222" s="9085" t="e">
        <f>+IF(VLOOKUP(MATCH(B222,tid,0),tao,'12(id)'!$CT$20,FALSE)="","",VLOOKUP(MATCH(B222,tid,0),tao,'12(id)'!$CT$20,FALSE))</f>
        <v>#N/A</v>
      </c>
      <c r="O222" s="8985" t="e">
        <f>+IF(VLOOKUP(MATCH(B222,tid,0),tao,'12(id)'!$DE$20,FALSE)="","",ROUND(VLOOKUP(MATCH(B222,tid,0),tao,'12(id)'!$DE$20,FALSE),0)&amp;" yrs")</f>
        <v>#N/A</v>
      </c>
      <c r="P222" s="9001" t="e">
        <f>+IF(VLOOKUP(MATCH(B222,tid,0),tao,'12(id)'!$FR$20,FALSE)="","",VLOOKUP(MATCH(B222,tid,0),tao,'12(id)'!$FR$20,FALSE))</f>
        <v>#N/A</v>
      </c>
      <c r="Q222" s="9140" t="e">
        <f>+IF(VLOOKUP(MATCH(B222,tid,0),tao,'12(id)'!$DI$20,FALSE)="","",VLOOKUP(MATCH(B222,tid,0),tao,'12(id)'!$DI$20,FALSE))&amp;";  "&amp;IF(VLOOKUP(MATCH(B222,tid,0),tao,'12(id)'!$DQ$20,FALSE)="","",VLOOKUP(MATCH(B222,tid,0),tao,'12(id)'!$DQ$20,FALSE))</f>
        <v>#N/A</v>
      </c>
      <c r="R222" s="8906"/>
      <c r="S222" s="8818"/>
      <c r="T222" s="7543">
        <f>+IF(OR(T221="",N212=""),"",T221/N212)</f>
        <v>90023.35</v>
      </c>
      <c r="U222" s="8820" t="str">
        <f>+IF(T222="","","$ TCC / MW nominal capacity")</f>
        <v>$ TCC / MW nominal capacity</v>
      </c>
      <c r="V222" s="8820"/>
      <c r="W222" s="7544"/>
      <c r="X222" s="8818"/>
      <c r="Y222" s="7543">
        <f>+IF(OR(Y221="",N212=""),"",Y221/N212)</f>
        <v>84396.906000000003</v>
      </c>
      <c r="Z222" s="8820" t="str">
        <f>+IF(Y222="","","$ TCC / MW nominal capacity")</f>
        <v>$ TCC / MW nominal capacity</v>
      </c>
      <c r="AA222" s="8820"/>
      <c r="AB222" s="7545"/>
      <c r="AC222" s="8818"/>
      <c r="AD222" s="7543">
        <f>+IF(OR(AD221="",N212=""),"",AD221/N212)</f>
        <v>86283.75</v>
      </c>
      <c r="AE222" s="8820" t="str">
        <f>+IF(AD222="","","$ TCC / MW nominal capacity")</f>
        <v>$ TCC / MW nominal capacity</v>
      </c>
      <c r="AF222" s="8820"/>
      <c r="AG222" s="7546"/>
      <c r="AH222" s="5962"/>
      <c r="AI222" s="5959"/>
      <c r="AJ222" s="5959"/>
      <c r="AK222" s="5959"/>
      <c r="AL222" s="5959"/>
      <c r="AM222" s="5959"/>
    </row>
    <row r="223" spans="1:39" ht="14.1" customHeight="1">
      <c r="A223" s="5952"/>
      <c r="B223" s="9062"/>
      <c r="C223" s="8852" t="str">
        <f>+IF(B223="","",VLOOKUP(MATCH(B223,tid,0),tao,'12(id)'!$J$20,FALSE))</f>
        <v/>
      </c>
      <c r="D223" s="8889" t="e">
        <f t="shared" si="2"/>
        <v>#N/A</v>
      </c>
      <c r="E223" s="9080"/>
      <c r="F223" s="5952"/>
      <c r="G223" s="5959"/>
      <c r="H223" s="5952"/>
      <c r="I223" s="9071"/>
      <c r="J223" s="9064" t="e">
        <f>+IF(VLOOKUP(MATCH(B223,tid,0),tao,'12(id)'!$I$20,FALSE)="","",VLOOKUP(MATCH(B223,tid,0),tao,'12(id)'!$I$20,FALSE))</f>
        <v>#N/A</v>
      </c>
      <c r="K223" s="9064"/>
      <c r="L223" s="9117" t="e">
        <f>+IF(VLOOKUP(MATCH(B223,tid,0),tao,'12(id)'!$L$20,FALSE)="","",VLOOKUP(MATCH(B223,tid,0),tao,'12(id)'!$L$20,FALSE))</f>
        <v>#N/A</v>
      </c>
      <c r="M223" s="9124" t="e">
        <f>+IF(VLOOKUP(MATCH(B223,tid,0),tao,'12(id)'!$Q$20,FALSE)="","",VLOOKUP(MATCH(B223,tid,0),tao,'12(id)'!$Q$20,FALSE))</f>
        <v>#N/A</v>
      </c>
      <c r="N223" s="9085" t="e">
        <f>+IF(VLOOKUP(MATCH(B223,tid,0),tao,'12(id)'!$CT$20,FALSE)="","",VLOOKUP(MATCH(B223,tid,0),tao,'12(id)'!$CT$20,FALSE))</f>
        <v>#N/A</v>
      </c>
      <c r="O223" s="8985" t="e">
        <f>+IF(VLOOKUP(MATCH(B223,tid,0),tao,'12(id)'!$DE$20,FALSE)="","",ROUND(VLOOKUP(MATCH(B223,tid,0),tao,'12(id)'!$DE$20,FALSE),0)&amp;" yrs")</f>
        <v>#N/A</v>
      </c>
      <c r="P223" s="9001" t="e">
        <f>+IF(VLOOKUP(MATCH(B223,tid,0),tao,'12(id)'!$FR$20,FALSE)="","",VLOOKUP(MATCH(B223,tid,0),tao,'12(id)'!$FR$20,FALSE))</f>
        <v>#N/A</v>
      </c>
      <c r="Q223" s="9140" t="e">
        <f>+IF(VLOOKUP(MATCH(B223,tid,0),tao,'12(id)'!$DI$20,FALSE)="","",VLOOKUP(MATCH(B223,tid,0),tao,'12(id)'!$DI$20,FALSE))&amp;";  "&amp;IF(VLOOKUP(MATCH(B223,tid,0),tao,'12(id)'!$DQ$20,FALSE)="","",VLOOKUP(MATCH(B223,tid,0),tao,'12(id)'!$DQ$20,FALSE))</f>
        <v>#N/A</v>
      </c>
      <c r="R223" s="8981"/>
      <c r="S223" s="8819"/>
      <c r="T223" s="7590">
        <f>+IF(VLOOKUP(MATCH(E218,c_id,0),ca,'13(an)'!$HF$34,FALSE)="","",VLOOKUP(MATCH(E218,c_id,0),ca,'13(an)'!$HF$34,FALSE))</f>
        <v>247900</v>
      </c>
      <c r="U223" s="8896" t="str">
        <f>IF(T223="","","$ /ton "&amp;"NOx(R)")</f>
        <v>$ /ton NOx(R)</v>
      </c>
      <c r="V223" s="8896"/>
      <c r="W223" s="7591"/>
      <c r="X223" s="8819"/>
      <c r="Y223" s="7590">
        <f>+IF(VLOOKUP(MATCH(E218,c_id,0),ca,'13(an)'!$JE$34,FALSE)="","",VLOOKUP(MATCH(E218,c_id,0),ca,'13(an)'!$JE$34,FALSE))</f>
        <v>215538.43825825088</v>
      </c>
      <c r="Z223" s="8896" t="str">
        <f>IF(Y223="","","$ /ton "&amp;"NOx(R)")</f>
        <v>$ /ton NOx(R)</v>
      </c>
      <c r="AA223" s="8896"/>
      <c r="AB223" s="7592"/>
      <c r="AC223" s="8819"/>
      <c r="AD223" s="7590">
        <f>+IF(VLOOKUP(MATCH(E218,c_id,0),ca,'13(an)'!$LB$34,FALSE)="","",VLOOKUP(MATCH(E218,c_id,0),ca,'13(an)'!$LB$34,FALSE))</f>
        <v>169313.98508789841</v>
      </c>
      <c r="AE223" s="8896" t="str">
        <f>IF(AD223="","","$ /ton "&amp;"NOx(R)")</f>
        <v>$ /ton NOx(R)</v>
      </c>
      <c r="AF223" s="8896"/>
      <c r="AG223" s="7593"/>
      <c r="AH223" s="5962"/>
      <c r="AI223" s="5959"/>
      <c r="AJ223" s="5959"/>
      <c r="AK223" s="5959"/>
      <c r="AL223" s="5959"/>
      <c r="AM223" s="5959"/>
    </row>
    <row r="224" spans="1:39" ht="9" customHeight="1">
      <c r="A224" s="5952"/>
      <c r="B224" s="9075" t="str">
        <f>+IF('12(id)'!A44="","",'12(id)'!A44)</f>
        <v>8300-12</v>
      </c>
      <c r="C224" s="8852" t="str">
        <f>+IF(B224="","",VLOOKUP(MATCH(B224,tid,0),tao,'12(id)'!$J$20,FALSE))</f>
        <v>NRG</v>
      </c>
      <c r="D224" s="8891" t="str">
        <f>+IF(B224="","",M224)</f>
        <v>DV11</v>
      </c>
      <c r="E224" s="9075" t="str">
        <f>+IF(B224="","",B224&amp;IF(ISERR(VALUE(R224)),"-01",IF(R224&lt;10,"-0"&amp;R224,"-"&amp;R224)))</f>
        <v>8300-12-01</v>
      </c>
      <c r="F224" s="5952"/>
      <c r="G224" s="5959"/>
      <c r="H224" s="5952"/>
      <c r="I224" s="9072">
        <f>1+I212</f>
        <v>24</v>
      </c>
      <c r="J224" s="9064" t="str">
        <f>+IF(VLOOKUP(MATCH(B224,tid,0),tao,'12(id)'!$I$20,FALSE)="","",VLOOKUP(MATCH(B224,tid,0),tao,'12(id)'!$I$20,FALSE))</f>
        <v/>
      </c>
      <c r="K224" s="9064"/>
      <c r="L224" s="9117" t="str">
        <f>+IF(VLOOKUP(MATCH(B224,tid,0),tao,'12(id)'!$L$20,FALSE)="","",VLOOKUP(MATCH(B224,tid,0),tao,'12(id)'!$L$20,FALSE))</f>
        <v>Devon</v>
      </c>
      <c r="M224" s="9031" t="str">
        <f>+IF(B224="","",IF(VLOOKUP(MATCH(B224,tid,0),tao,'12(id)'!$Q$20,FALSE)="","",VLOOKUP(MATCH(B224,tid,0),tao,'12(id)'!$Q$20,FALSE)))</f>
        <v>DV11</v>
      </c>
      <c r="N224" s="9095">
        <f>+IF(B224="","",IF(VLOOKUP(MATCH(B224,tid,0),tao,'12(id)'!$CT$20,FALSE)="","",VLOOKUP(MATCH(B224,tid,0),tao,'12(id)'!$CT$20,FALSE)))</f>
        <v>40</v>
      </c>
      <c r="O224" s="9134" t="str">
        <f ca="1">+IF(B224="","",IF(VLOOKUP(MATCH(B224,tid,0),tao,'12(id)'!$DE$20,FALSE)="","",ROUND(VLOOKUP(MATCH(B224,tid,0),tao,'12(id)'!$DE$20,FALSE),0)&amp;" yrs"))</f>
        <v>18 yrs</v>
      </c>
      <c r="P224" s="9131" t="str">
        <f>+IF(B224="","",IF(VLOOKUP(MATCH(B224,tid,0),tao,'12(id)'!$FR$20,FALSE)="","",VLOOKUP(MATCH(B224,tid,0),tao,'12(id)'!$FR$20,FALSE)))</f>
        <v>HPWI</v>
      </c>
      <c r="Q224" s="9143" t="str">
        <f>+IF(B224="","",IF(VLOOKUP(MATCH(B224,tid,0),tao,'12(id)'!$DI$20,FALSE)="","",VLOOKUP(MATCH(B224,tid,0),tao,'12(id)'!$DI$20,FALSE))&amp;";  "&amp;IF(VLOOKUP(MATCH(B224,tid,0),tao,'12(id)'!$DQ$20,FALSE)="","",VLOOKUP(MATCH(B224,tid,0),tao,'12(id)'!$DQ$20,FALSE)))</f>
        <v>ULSD oil;  Natural Gas</v>
      </c>
      <c r="R224" s="8906">
        <f>+IF(B224="","",1)</f>
        <v>1</v>
      </c>
      <c r="S224" s="8859"/>
      <c r="T224" s="8872" t="str">
        <f>+IF(VLOOKUP(MATCH(E224,c_id,0),ca,'13(an)'!$BD$34,FALSE)="","",VLOOKUP(MATCH(E224,c_id,0),ca,'13(an)'!$BD$34,FALSE))</f>
        <v>Selective Catalytic Reduction (SCR)</v>
      </c>
      <c r="U224" s="8872"/>
      <c r="V224" s="8872"/>
      <c r="W224" s="7556"/>
      <c r="X224" s="8859"/>
      <c r="Y224" s="8872" t="str">
        <f>+T224</f>
        <v>Selective Catalytic Reduction (SCR)</v>
      </c>
      <c r="Z224" s="8872"/>
      <c r="AA224" s="8872"/>
      <c r="AB224" s="7557"/>
      <c r="AC224" s="8859"/>
      <c r="AD224" s="8870" t="str">
        <f>+T224</f>
        <v>Selective Catalytic Reduction (SCR)</v>
      </c>
      <c r="AE224" s="8870"/>
      <c r="AF224" s="8870"/>
      <c r="AG224" s="7533"/>
      <c r="AH224" s="5962"/>
      <c r="AI224" s="5959"/>
      <c r="AJ224" s="5959"/>
      <c r="AK224" s="5959"/>
      <c r="AL224" s="5959"/>
      <c r="AM224" s="5959"/>
    </row>
    <row r="225" spans="1:39" ht="9" customHeight="1">
      <c r="A225" s="5952"/>
      <c r="B225" s="9079"/>
      <c r="C225" s="8852" t="str">
        <f>+IF(B225="","",VLOOKUP(MATCH(B225,tid,0),tao,'12(id)'!$J$20,FALSE))</f>
        <v/>
      </c>
      <c r="D225" s="8892" t="e">
        <f t="shared" si="2"/>
        <v>#N/A</v>
      </c>
      <c r="E225" s="9035"/>
      <c r="F225" s="5952"/>
      <c r="G225" s="5959"/>
      <c r="H225" s="5952"/>
      <c r="I225" s="9119"/>
      <c r="J225" s="9064" t="e">
        <f>+IF(VLOOKUP(MATCH(B225,tid,0),tao,'12(id)'!$I$20,FALSE)="","",VLOOKUP(MATCH(B225,tid,0),tao,'12(id)'!$I$20,FALSE))</f>
        <v>#N/A</v>
      </c>
      <c r="K225" s="9064"/>
      <c r="L225" s="9117" t="e">
        <f>+IF(VLOOKUP(MATCH(B225,tid,0),tao,'12(id)'!$L$20,FALSE)="","",VLOOKUP(MATCH(B225,tid,0),tao,'12(id)'!$L$20,FALSE))</f>
        <v>#N/A</v>
      </c>
      <c r="M225" s="9032" t="e">
        <f>+IF(VLOOKUP(MATCH(B225,tid,0),tao,'12(id)'!$Q$20,FALSE)="","",VLOOKUP(MATCH(B225,tid,0),tao,'12(id)'!$Q$20,FALSE))</f>
        <v>#N/A</v>
      </c>
      <c r="N225" s="9196" t="e">
        <f>+IF(VLOOKUP(MATCH(B225,tid,0),tao,'12(id)'!$CT$20,FALSE)="","",VLOOKUP(MATCH(B225,tid,0),tao,'12(id)'!$CT$20,FALSE))</f>
        <v>#N/A</v>
      </c>
      <c r="O225" s="9135" t="e">
        <f>+IF(VLOOKUP(MATCH(B225,tid,0),tao,'12(id)'!$DE$20,FALSE)="","",ROUND(VLOOKUP(MATCH(B225,tid,0),tao,'12(id)'!$DE$20,FALSE),0)&amp;" yrs")</f>
        <v>#N/A</v>
      </c>
      <c r="P225" s="9001" t="e">
        <f>+IF(VLOOKUP(MATCH(B225,tid,0),tao,'12(id)'!$FR$20,FALSE)="","",VLOOKUP(MATCH(B225,tid,0),tao,'12(id)'!$FR$20,FALSE))</f>
        <v>#N/A</v>
      </c>
      <c r="Q225" s="9140"/>
      <c r="R225" s="8906"/>
      <c r="S225" s="8818"/>
      <c r="T225" s="8870"/>
      <c r="U225" s="8870"/>
      <c r="V225" s="8870"/>
      <c r="W225" s="7531"/>
      <c r="X225" s="8818"/>
      <c r="Y225" s="8870"/>
      <c r="Z225" s="8870"/>
      <c r="AA225" s="8870"/>
      <c r="AB225" s="7532"/>
      <c r="AC225" s="8818"/>
      <c r="AD225" s="8870"/>
      <c r="AE225" s="8870"/>
      <c r="AF225" s="8870"/>
      <c r="AG225" s="7533"/>
      <c r="AH225" s="5962"/>
      <c r="AI225" s="5959"/>
      <c r="AJ225" s="5959"/>
      <c r="AK225" s="5959"/>
      <c r="AL225" s="5959"/>
      <c r="AM225" s="5959"/>
    </row>
    <row r="226" spans="1:39" ht="9" customHeight="1">
      <c r="A226" s="5952"/>
      <c r="B226" s="9080"/>
      <c r="C226" s="8852" t="str">
        <f>+IF(B226="","",VLOOKUP(MATCH(B226,tid,0),tao,'12(id)'!$J$20,FALSE))</f>
        <v/>
      </c>
      <c r="D226" s="8893" t="e">
        <f t="shared" si="2"/>
        <v>#N/A</v>
      </c>
      <c r="E226" s="9035"/>
      <c r="F226" s="5952"/>
      <c r="G226" s="5959"/>
      <c r="H226" s="5952"/>
      <c r="I226" s="9120"/>
      <c r="J226" s="9064" t="e">
        <f>+IF(VLOOKUP(MATCH(B226,tid,0),tao,'12(id)'!$I$20,FALSE)="","",VLOOKUP(MATCH(B226,tid,0),tao,'12(id)'!$I$20,FALSE))</f>
        <v>#N/A</v>
      </c>
      <c r="K226" s="9064"/>
      <c r="L226" s="9117" t="e">
        <f>+IF(VLOOKUP(MATCH(B226,tid,0),tao,'12(id)'!$L$20,FALSE)="","",VLOOKUP(MATCH(B226,tid,0),tao,'12(id)'!$L$20,FALSE))</f>
        <v>#N/A</v>
      </c>
      <c r="M226" s="9033" t="e">
        <f>+IF(VLOOKUP(MATCH(B226,tid,0),tao,'12(id)'!$Q$20,FALSE)="","",VLOOKUP(MATCH(B226,tid,0),tao,'12(id)'!$Q$20,FALSE))</f>
        <v>#N/A</v>
      </c>
      <c r="N226" s="9197" t="e">
        <f>+IF(VLOOKUP(MATCH(B226,tid,0),tao,'12(id)'!$CT$20,FALSE)="","",VLOOKUP(MATCH(B226,tid,0),tao,'12(id)'!$CT$20,FALSE))</f>
        <v>#N/A</v>
      </c>
      <c r="O226" s="9136" t="e">
        <f>+IF(VLOOKUP(MATCH(B226,tid,0),tao,'12(id)'!$DE$20,FALSE)="","",ROUND(VLOOKUP(MATCH(B226,tid,0),tao,'12(id)'!$DE$20,FALSE),0)&amp;" yrs")</f>
        <v>#N/A</v>
      </c>
      <c r="P226" s="9001" t="e">
        <f>+IF(VLOOKUP(MATCH(B226,tid,0),tao,'12(id)'!$FR$20,FALSE)="","",VLOOKUP(MATCH(B226,tid,0),tao,'12(id)'!$FR$20,FALSE))</f>
        <v>#N/A</v>
      </c>
      <c r="Q226" s="9141"/>
      <c r="R226" s="8906"/>
      <c r="S226" s="8818"/>
      <c r="T226" s="8870"/>
      <c r="U226" s="8870"/>
      <c r="V226" s="8870"/>
      <c r="W226" s="7531"/>
      <c r="X226" s="8818"/>
      <c r="Y226" s="8870"/>
      <c r="Z226" s="8870"/>
      <c r="AA226" s="8870"/>
      <c r="AB226" s="7532"/>
      <c r="AC226" s="8818"/>
      <c r="AD226" s="8870"/>
      <c r="AE226" s="8870"/>
      <c r="AF226" s="8870"/>
      <c r="AG226" s="7533"/>
      <c r="AH226" s="5962"/>
      <c r="AI226" s="5959"/>
      <c r="AJ226" s="5959"/>
      <c r="AK226" s="5959"/>
      <c r="AL226" s="5959"/>
      <c r="AM226" s="5959"/>
    </row>
    <row r="227" spans="1:39" ht="9" customHeight="1">
      <c r="A227" s="5952"/>
      <c r="B227" s="9075" t="str">
        <f>+IF('12(id)'!A45="","",'12(id)'!A45)</f>
        <v>8300-13</v>
      </c>
      <c r="C227" s="8852" t="str">
        <f>+IF(B227="","",VLOOKUP(MATCH(B227,tid,0),tao,'12(id)'!$J$20,FALSE))</f>
        <v>NRG</v>
      </c>
      <c r="D227" s="8891" t="str">
        <f>+IF(B224="","",M227)</f>
        <v>DV12</v>
      </c>
      <c r="E227" s="9035"/>
      <c r="F227" s="5952"/>
      <c r="G227" s="5959"/>
      <c r="H227" s="5952"/>
      <c r="I227" s="9072">
        <f>1+I224</f>
        <v>25</v>
      </c>
      <c r="J227" s="9064" t="str">
        <f>+IF(VLOOKUP(MATCH(B227,tid,0),tao,'12(id)'!$I$20,FALSE)="","",VLOOKUP(MATCH(B227,tid,0),tao,'12(id)'!$I$20,FALSE))</f>
        <v/>
      </c>
      <c r="K227" s="9064"/>
      <c r="L227" s="9117" t="str">
        <f>+IF(VLOOKUP(MATCH(B227,tid,0),tao,'12(id)'!$L$20,FALSE)="","",VLOOKUP(MATCH(B227,tid,0),tao,'12(id)'!$L$20,FALSE))</f>
        <v>Devon</v>
      </c>
      <c r="M227" s="9031" t="str">
        <f>+IF(B224="","",IF(VLOOKUP(MATCH(B227,tid,0),tao,'12(id)'!$Q$20,FALSE)="","",VLOOKUP(MATCH(B227,tid,0),tao,'12(id)'!$Q$20,FALSE)))</f>
        <v>DV12</v>
      </c>
      <c r="N227" s="9095">
        <f>+IF(B227="","",IF(VLOOKUP(MATCH(B227,tid,0),tao,'12(id)'!$CT$20,FALSE)="","",VLOOKUP(MATCH(B227,tid,0),tao,'12(id)'!$CT$20,FALSE)))</f>
        <v>40</v>
      </c>
      <c r="O227" s="9134" t="str">
        <f ca="1">+IF(B227="","",IF(VLOOKUP(MATCH(B227,tid,0),tao,'12(id)'!$DE$20,FALSE)="","",ROUND(VLOOKUP(MATCH(B227,tid,0),tao,'12(id)'!$DE$20,FALSE),0)&amp;" yrs"))</f>
        <v>18 yrs</v>
      </c>
      <c r="P227" s="9001" t="str">
        <f>+IF(VLOOKUP(MATCH(B227,tid,0),tao,'12(id)'!$FR$20,FALSE)="","",VLOOKUP(MATCH(B227,tid,0),tao,'12(id)'!$FR$20,FALSE))</f>
        <v>HPWI</v>
      </c>
      <c r="Q227" s="9143" t="str">
        <f>+IF(B227="","",IF(VLOOKUP(MATCH(B227,tid,0),tao,'12(id)'!$DI$20,FALSE)="","",VLOOKUP(MATCH(B227,tid,0),tao,'12(id)'!$DI$20,FALSE))&amp;";  "&amp;IF(VLOOKUP(MATCH(B227,tid,0),tao,'12(id)'!$DQ$20,FALSE)="","",VLOOKUP(MATCH(B227,tid,0),tao,'12(id)'!$DQ$20,FALSE)))</f>
        <v>ULSD oil;  Natural Gas</v>
      </c>
      <c r="R227" s="8906"/>
      <c r="S227" s="8818"/>
      <c r="T227" s="8922" t="str">
        <f>+IF(E224="","",IF(VLOOKUP(MATCH(E224,c_id,0),ca,'13(an)'!$CC$34,FALSE)="",IF(VLOOKUP(MATCH(E224,c_id,0),ca,'13(an)'!$CD$34,FALSE)="",IF(VLOOKUP(MATCH(E224,c_id,0),ca,'13(an)'!$CE$34,FALSE)="","η ≈ N/A","η ≈ "&amp;ROUND(VLOOKUP(MATCH(E224,c_id,0),ca,'13(an)'!$CE$34,FALSE)*100,0)&amp;"%"),"η ≈ "&amp;ROUND(VLOOKUP(MATCH(E224,c_id,0),ca,'13(an)'!$CD$34,FALSE)*100,0)&amp;"%"),"η ≈ "&amp;ROUND(VLOOKUP(MATCH(E224,c_id,0),ca,'13(an)'!$CC$34,FALSE)*100,0)&amp;"%"))</f>
        <v>η ≈ 71%</v>
      </c>
      <c r="U227" s="9259" t="str">
        <f>+IF($U$236="ppmvd",IF(VLOOKUP(MATCH(E224,c_id,0),ca,'13(an)'!$BV$34,FALSE)="","",ROUND(VLOOKUP(MATCH(E224,c_id,0),ca,'13(an)'!$BV$34,FALSE),1)&amp;" ppmvd"),IF(VLOOKUP(MATCH(E224,c_id,0),ca,'13(an)'!$BU$34,FALSE)="","",IF(LEN(ROUND(VLOOKUP(MATCH(E224,c_id,0),ca,'13(an)'!$BU$34,FALSE),3))=3,ROUND(VLOOKUP(MATCH(E224,c_id,0),ca,'13(an)'!$BU$34,FALSE),3)&amp;"00 lb/MMBtu",IF(LEN(ROUND(VLOOKUP(MATCH(E224,c_id,0),ca,'13(an)'!$BU$34,FALSE),3))=4,ROUND(VLOOKUP(MATCH(E224,c_id,0),ca,'13(an)'!$BU$34,FALSE),3)&amp;"0 lb/MMBtu",ROUND(VLOOKUP(MATCH(E224,c_id,0),ca,'13(an)'!$BU$34,FALSE),3)&amp;" lb/MMBtu"))))</f>
        <v>0.050 lb/MMBtu</v>
      </c>
      <c r="V227" s="8924">
        <f>+IF(E224="","",IF(VLOOKUP(MATCH(E224,c_id,0),ca,'13(an)'!$CB$34,FALSE)="","NOx(R) = N/A",ROUND(VLOOKUP(MATCH(E224,c_id,0),ca,'13(an)'!$CB$34,FALSE),1)))</f>
        <v>1.9</v>
      </c>
      <c r="W227" s="7534"/>
      <c r="X227" s="8818"/>
      <c r="Y227" s="8916" t="str">
        <f>+IF(E224="","",IF(VLOOKUP(MATCH(E224,c_id,0),ca,'13(an)'!$CM$34,FALSE)="",IF(VLOOKUP(MATCH(E224,c_id,0),ca,'13(an)'!$CN$34,FALSE)="",IF(VLOOKUP(MATCH(E224,c_id,0),ca,'13(an)'!$CO$34,FALSE)="","η ≈ N/A","η ≈ "&amp;ROUND(VLOOKUP(MATCH(E224,c_id,0),ca,'13(an)'!$CO$34,FALSE)*100,0)&amp;"%"),"η ≈ "&amp;ROUND(VLOOKUP(MATCH(E224,c_id,0),ca,'13(an)'!$CN$34,FALSE)*100,0)&amp;"%"),"η ≈ "&amp;ROUND(VLOOKUP(MATCH(E224,c_id,0),ca,'13(an)'!$CM$34,FALSE)*100,0)&amp;"%"))</f>
        <v>η ≈ 90%</v>
      </c>
      <c r="Z227" s="8918" t="str">
        <f>+IF($Z$236="ppmvd",IF(VLOOKUP(MATCH(E224,c_id,0),ca,'13(an)'!$CJ$34,FALSE)="","",ROUND(VLOOKUP(MATCH(E224,c_id,0),ca,'13(an)'!$CJ$34,FALSE),1)&amp;" ppmvd"),IF(VLOOKUP(MATCH(E224,c_id,0),ca,'13(an)'!$CI$34,FALSE)="","",IF(LEN(ROUND(VLOOKUP(MATCH(E224,c_id,0),ca,'13(an)'!$CI$34,FALSE),3))=3,ROUND(VLOOKUP(MATCH(E224,c_id,0),ca,'13(an)'!$CI$34,FALSE),3)&amp;"00 lb/MMBtu",IF(LEN(ROUND(VLOOKUP(MATCH(E224,c_id,0),ca,'13(an)'!$CI$34,FALSE),3))=4,ROUND(VLOOKUP(MATCH(E224,c_id,0),ca,'13(an)'!$CI$34,FALSE),3)&amp;"0 lb/MMBtu",ROUND(VLOOKUP(MATCH(E224,c_id,0),ca,'13(an)'!$CI$34,FALSE),3)&amp;" lb/MMBtu"))))</f>
        <v>0.015 lb/MMBtu</v>
      </c>
      <c r="AA227" s="8920">
        <f>+IF(E224="","",IF(VLOOKUP(MATCH(E224,c_id,0),ca,'13(an)'!$CL$34,FALSE)="","NOx(R) = N/A",ROUND(VLOOKUP(MATCH(E224,c_id,0),ca,'13(an)'!$CL$34,FALSE),1)))</f>
        <v>2.1</v>
      </c>
      <c r="AB227" s="7535"/>
      <c r="AC227" s="8818"/>
      <c r="AD227" s="8962" t="str">
        <f>+IF(E224="","",IF(VLOOKUP(MATCH(E224,c_id,0),ca,'13(an)'!$CM$34,FALSE)="",IF(VLOOKUP(MATCH(E224,c_id,0),ca,'13(an)'!$CN$34,FALSE)="",IF(VLOOKUP(MATCH(E224,c_id,0),ca,'13(an)'!$CO$34,FALSE)="","η ≈ N/A","η ≈ "&amp;ROUND(VLOOKUP(MATCH(E224,c_id,0),ca,'13(an)'!$CO$34,FALSE)*100,0)&amp;"%"),"η ≈ "&amp;ROUND(VLOOKUP(MATCH(E224,c_id,0),ca,'13(an)'!$CN$34,FALSE)*100,0)&amp;"%"),"η ≈ "&amp;ROUND(VLOOKUP(MATCH(E224,c_id,0),ca,'13(an)'!$CM$34,FALSE)*100,0)&amp;"%"))</f>
        <v>η ≈ 90%</v>
      </c>
      <c r="AE227" s="8918" t="str">
        <f>+IF($AE$236="ppmvd",IF(VLOOKUP(MATCH(E224,c_id,0),ca,'13(an)'!$CJ$34,FALSE)="","",ROUND(VLOOKUP(MATCH(E224,c_id,0),ca,'13(an)'!$CJ$34,FALSE),1)&amp;" ppmvd"),IF(VLOOKUP(MATCH(E224,c_id,0),ca,'13(an)'!$CI$34,FALSE)="","",IF(LEN(ROUND(VLOOKUP(MATCH(E224,c_id,0),ca,'13(an)'!$CI$34,FALSE),3))=3,ROUND(VLOOKUP(MATCH(E224,c_id,0),ca,'13(an)'!$CI$34,FALSE),3)&amp;"00 lb/MMBtu",IF(LEN(ROUND(VLOOKUP(MATCH(E224,c_id,0),ca,'13(an)'!$CI$34,FALSE),3))=4,ROUND(VLOOKUP(MATCH(E224,c_id,0),ca,'13(an)'!$CI$34,FALSE),3)&amp;"0 lb/MMBtu",ROUND(VLOOKUP(MATCH(E224,c_id,0),ca,'13(an)'!$CI$34,FALSE),3)&amp;" lb/MMBtu"))))</f>
        <v>0.015 lb/MMBtu</v>
      </c>
      <c r="AF227" s="8964">
        <f>+IF(E224="","",IF(VLOOKUP(MATCH(E224,c_id,0),ca,'13(an)'!$CL$34,FALSE)="","NOx(R) = N/A",ROUND(VLOOKUP(MATCH(E224,c_id,0),ca,'13(an)'!$CL$34,FALSE),1)))</f>
        <v>2.1</v>
      </c>
      <c r="AG227" s="7700"/>
      <c r="AH227" s="5962"/>
      <c r="AI227" s="5959"/>
      <c r="AJ227" s="5959"/>
      <c r="AK227" s="5959"/>
      <c r="AL227" s="5959"/>
      <c r="AM227" s="5959"/>
    </row>
    <row r="228" spans="1:39" ht="9" customHeight="1">
      <c r="A228" s="5952"/>
      <c r="B228" s="9079"/>
      <c r="C228" s="8852" t="str">
        <f>+IF(B228="","",VLOOKUP(MATCH(B228,tid,0),tao,'12(id)'!$J$20,FALSE))</f>
        <v/>
      </c>
      <c r="D228" s="8892" t="e">
        <f t="shared" si="2"/>
        <v>#N/A</v>
      </c>
      <c r="E228" s="9035"/>
      <c r="F228" s="5952"/>
      <c r="G228" s="5959"/>
      <c r="H228" s="5952"/>
      <c r="I228" s="9119"/>
      <c r="J228" s="9064" t="e">
        <f>+IF(VLOOKUP(MATCH(B228,tid,0),tao,'12(id)'!$I$20,FALSE)="","",VLOOKUP(MATCH(B228,tid,0),tao,'12(id)'!$I$20,FALSE))</f>
        <v>#N/A</v>
      </c>
      <c r="K228" s="9064"/>
      <c r="L228" s="9117" t="e">
        <f>+IF(VLOOKUP(MATCH(B228,tid,0),tao,'12(id)'!$L$20,FALSE)="","",VLOOKUP(MATCH(B228,tid,0),tao,'12(id)'!$L$20,FALSE))</f>
        <v>#N/A</v>
      </c>
      <c r="M228" s="9032" t="e">
        <f>+IF(VLOOKUP(MATCH(B228,tid,0),tao,'12(id)'!$Q$20,FALSE)="","",VLOOKUP(MATCH(B228,tid,0),tao,'12(id)'!$Q$20,FALSE))</f>
        <v>#N/A</v>
      </c>
      <c r="N228" s="9196" t="e">
        <f>+IF(VLOOKUP(MATCH(B228,tid,0),tao,'12(id)'!$CT$20,FALSE)="","",VLOOKUP(MATCH(B228,tid,0),tao,'12(id)'!$CT$20,FALSE))</f>
        <v>#N/A</v>
      </c>
      <c r="O228" s="9135" t="e">
        <f>+IF(VLOOKUP(MATCH(B228,tid,0),tao,'12(id)'!$DE$20,FALSE)="","",ROUND(VLOOKUP(MATCH(B228,tid,0),tao,'12(id)'!$DE$20,FALSE),0)&amp;" yrs")</f>
        <v>#N/A</v>
      </c>
      <c r="P228" s="9001" t="e">
        <f>+IF(VLOOKUP(MATCH(B228,tid,0),tao,'12(id)'!$FR$20,FALSE)="","",VLOOKUP(MATCH(B228,tid,0),tao,'12(id)'!$FR$20,FALSE))</f>
        <v>#N/A</v>
      </c>
      <c r="Q228" s="9140"/>
      <c r="R228" s="8906"/>
      <c r="S228" s="8818"/>
      <c r="T228" s="8923"/>
      <c r="U228" s="9260"/>
      <c r="V228" s="8925"/>
      <c r="W228" s="7534"/>
      <c r="X228" s="8818"/>
      <c r="Y228" s="8917"/>
      <c r="Z228" s="8919"/>
      <c r="AA228" s="8921"/>
      <c r="AB228" s="7535"/>
      <c r="AC228" s="8818"/>
      <c r="AD228" s="8963"/>
      <c r="AE228" s="8919"/>
      <c r="AF228" s="8965"/>
      <c r="AG228" s="7700"/>
      <c r="AH228" s="5962"/>
      <c r="AI228" s="5959"/>
      <c r="AJ228" s="5959"/>
      <c r="AK228" s="5959"/>
      <c r="AL228" s="5959"/>
      <c r="AM228" s="5959"/>
    </row>
    <row r="229" spans="1:39" ht="9" customHeight="1">
      <c r="A229" s="5952"/>
      <c r="B229" s="9080"/>
      <c r="C229" s="8852" t="str">
        <f>+IF(B229="","",VLOOKUP(MATCH(B229,tid,0),tao,'12(id)'!$J$20,FALSE))</f>
        <v/>
      </c>
      <c r="D229" s="8893" t="e">
        <f t="shared" si="2"/>
        <v>#N/A</v>
      </c>
      <c r="E229" s="9035"/>
      <c r="F229" s="5952"/>
      <c r="G229" s="5959"/>
      <c r="H229" s="5952"/>
      <c r="I229" s="9120"/>
      <c r="J229" s="9064" t="e">
        <f>+IF(VLOOKUP(MATCH(B229,tid,0),tao,'12(id)'!$I$20,FALSE)="","",VLOOKUP(MATCH(B229,tid,0),tao,'12(id)'!$I$20,FALSE))</f>
        <v>#N/A</v>
      </c>
      <c r="K229" s="9064"/>
      <c r="L229" s="9117" t="e">
        <f>+IF(VLOOKUP(MATCH(B229,tid,0),tao,'12(id)'!$L$20,FALSE)="","",VLOOKUP(MATCH(B229,tid,0),tao,'12(id)'!$L$20,FALSE))</f>
        <v>#N/A</v>
      </c>
      <c r="M229" s="9033" t="e">
        <f>+IF(VLOOKUP(MATCH(B229,tid,0),tao,'12(id)'!$Q$20,FALSE)="","",VLOOKUP(MATCH(B229,tid,0),tao,'12(id)'!$Q$20,FALSE))</f>
        <v>#N/A</v>
      </c>
      <c r="N229" s="9197" t="e">
        <f>+IF(VLOOKUP(MATCH(B229,tid,0),tao,'12(id)'!$CT$20,FALSE)="","",VLOOKUP(MATCH(B229,tid,0),tao,'12(id)'!$CT$20,FALSE))</f>
        <v>#N/A</v>
      </c>
      <c r="O229" s="9136" t="e">
        <f>+IF(VLOOKUP(MATCH(B229,tid,0),tao,'12(id)'!$DE$20,FALSE)="","",ROUND(VLOOKUP(MATCH(B229,tid,0),tao,'12(id)'!$DE$20,FALSE),0)&amp;" yrs")</f>
        <v>#N/A</v>
      </c>
      <c r="P229" s="9001" t="e">
        <f>+IF(VLOOKUP(MATCH(B229,tid,0),tao,'12(id)'!$FR$20,FALSE)="","",VLOOKUP(MATCH(B229,tid,0),tao,'12(id)'!$FR$20,FALSE))</f>
        <v>#N/A</v>
      </c>
      <c r="Q229" s="9141"/>
      <c r="R229" s="8906"/>
      <c r="S229" s="8818"/>
      <c r="T229" s="8956">
        <f>+IF(VLOOKUP(MATCH(E224,c_id,0),ca,'13(an)'!$GF$34,FALSE)="","",VLOOKUP(MATCH(E224,c_id,0),ca,'13(an)'!$GF$34,FALSE))</f>
        <v>11462246.5</v>
      </c>
      <c r="U229" s="8913" t="str">
        <f>+IF(T229="","","$ TCC/unit")</f>
        <v>$ TCC/unit</v>
      </c>
      <c r="V229" s="8954">
        <f>+IF(VLOOKUP(MATCH(E224,c_id,0),ca,'13(an)'!$HA$34,FALSE)="","",VLOOKUP(MATCH(E224,c_id,0),ca,'13(an)'!$HA$34,FALSE))</f>
        <v>673515.5</v>
      </c>
      <c r="W229" s="7540"/>
      <c r="X229" s="8818"/>
      <c r="Y229" s="8956">
        <f>+IF(VLOOKUP(MATCH(E224,c_id,0),ca,'13(an)'!$IA$34,FALSE)="","",VLOOKUP(MATCH(E224,c_id,0),ca,'13(an)'!$IA$34,FALSE))</f>
        <v>10741401</v>
      </c>
      <c r="Z229" s="8913" t="str">
        <f>+IF(Y229="","","$ TCC/unit")</f>
        <v>$ TCC/unit</v>
      </c>
      <c r="AA229" s="8954">
        <f>+IF(Y229="","",$AA$14*Y229)</f>
        <v>1013912.2669715325</v>
      </c>
      <c r="AB229" s="7541"/>
      <c r="AC229" s="8818"/>
      <c r="AD229" s="8966">
        <f>+IF(VLOOKUP(MATCH(E224,c_id,0),ca,'13(an)'!$JS$34,FALSE)="","",VLOOKUP(MATCH(E224,c_id,0),ca,'13(an)'!$JS$34,FALSE))</f>
        <v>4233310</v>
      </c>
      <c r="AE229" s="8913" t="str">
        <f>+IF(AD229="","","$ TCC/unit")</f>
        <v>$ TCC/unit</v>
      </c>
      <c r="AF229" s="8954">
        <f>+IF(AD229="","",$AF$14*AD229)</f>
        <v>363262.52065541595</v>
      </c>
      <c r="AG229" s="7542"/>
      <c r="AH229" s="5962"/>
      <c r="AI229" s="5959"/>
      <c r="AJ229" s="5959"/>
      <c r="AK229" s="5959"/>
      <c r="AL229" s="5959"/>
      <c r="AM229" s="5959"/>
    </row>
    <row r="230" spans="1:39" ht="9" customHeight="1">
      <c r="A230" s="5952"/>
      <c r="B230" s="9075" t="str">
        <f>+IF('12(id)'!A46="","",'12(id)'!A46)</f>
        <v>8300-14</v>
      </c>
      <c r="C230" s="8852" t="str">
        <f>+IF(B230="","",VLOOKUP(MATCH(B230,tid,0),tao,'12(id)'!$J$20,FALSE))</f>
        <v>NRG</v>
      </c>
      <c r="D230" s="8891" t="str">
        <f>+IF(B224="","",M230)</f>
        <v>DV13</v>
      </c>
      <c r="E230" s="9035"/>
      <c r="F230" s="5952"/>
      <c r="G230" s="5959"/>
      <c r="H230" s="5952"/>
      <c r="I230" s="9072">
        <f>1+I227</f>
        <v>26</v>
      </c>
      <c r="J230" s="9064" t="str">
        <f>+IF(VLOOKUP(MATCH(B230,tid,0),tao,'12(id)'!$I$20,FALSE)="","",VLOOKUP(MATCH(B230,tid,0),tao,'12(id)'!$I$20,FALSE))</f>
        <v/>
      </c>
      <c r="K230" s="9064"/>
      <c r="L230" s="9117" t="str">
        <f>+IF(VLOOKUP(MATCH(B230,tid,0),tao,'12(id)'!$L$20,FALSE)="","",VLOOKUP(MATCH(B230,tid,0),tao,'12(id)'!$L$20,FALSE))</f>
        <v>Devon</v>
      </c>
      <c r="M230" s="9031" t="str">
        <f>+IF(B224="","",IF(VLOOKUP(MATCH(B230,tid,0),tao,'12(id)'!$Q$20,FALSE)="","",VLOOKUP(MATCH(B230,tid,0),tao,'12(id)'!$Q$20,FALSE)))</f>
        <v>DV13</v>
      </c>
      <c r="N230" s="9095">
        <f>+IF(B230="","",IF(VLOOKUP(MATCH(B230,tid,0),tao,'12(id)'!$CT$20,FALSE)="","",VLOOKUP(MATCH(B230,tid,0),tao,'12(id)'!$CT$20,FALSE)))</f>
        <v>40</v>
      </c>
      <c r="O230" s="9134" t="str">
        <f ca="1">+IF(B230="","",IF(VLOOKUP(MATCH(B230,tid,0),tao,'12(id)'!$DE$20,FALSE)="","",ROUND(VLOOKUP(MATCH(B230,tid,0),tao,'12(id)'!$DE$20,FALSE),0)&amp;" yrs"))</f>
        <v>18 yrs</v>
      </c>
      <c r="P230" s="9001" t="str">
        <f>+IF(VLOOKUP(MATCH(B230,tid,0),tao,'12(id)'!$FR$20,FALSE)="","",VLOOKUP(MATCH(B230,tid,0),tao,'12(id)'!$FR$20,FALSE))</f>
        <v>HPWI</v>
      </c>
      <c r="Q230" s="9143" t="str">
        <f>+IF(B230="","",IF(VLOOKUP(MATCH(B230,tid,0),tao,'12(id)'!$DI$20,FALSE)="","",VLOOKUP(MATCH(B230,tid,0),tao,'12(id)'!$DI$20,FALSE))&amp;";  "&amp;IF(VLOOKUP(MATCH(B230,tid,0),tao,'12(id)'!$DQ$20,FALSE)="","",VLOOKUP(MATCH(B230,tid,0),tao,'12(id)'!$DQ$20,FALSE)))</f>
        <v>ULSD oil;  Natural Gas</v>
      </c>
      <c r="R230" s="8906"/>
      <c r="S230" s="8818"/>
      <c r="T230" s="8957"/>
      <c r="U230" s="8876" t="str">
        <f>+IF(T230="","","$ TCC/unit")</f>
        <v/>
      </c>
      <c r="V230" s="8955"/>
      <c r="W230" s="7540"/>
      <c r="X230" s="8818"/>
      <c r="Y230" s="8957"/>
      <c r="Z230" s="8876" t="str">
        <f>+IF(Y230="","","$ TCC/unit")</f>
        <v/>
      </c>
      <c r="AA230" s="8955"/>
      <c r="AB230" s="7541"/>
      <c r="AC230" s="8818"/>
      <c r="AD230" s="8914"/>
      <c r="AE230" s="8876" t="str">
        <f>+IF(AD230="","","$ TCC/unit")</f>
        <v/>
      </c>
      <c r="AF230" s="8955">
        <f>+$AA$14*AD230</f>
        <v>0</v>
      </c>
      <c r="AG230" s="7542"/>
      <c r="AH230" s="5962"/>
      <c r="AI230" s="5959"/>
      <c r="AJ230" s="5959"/>
      <c r="AK230" s="5959"/>
      <c r="AL230" s="5959"/>
      <c r="AM230" s="5959"/>
    </row>
    <row r="231" spans="1:39" ht="9" customHeight="1">
      <c r="A231" s="5952"/>
      <c r="B231" s="9080"/>
      <c r="C231" s="8852" t="str">
        <f>+IF(B231="","",VLOOKUP(MATCH(B231,tid,0),tao,'12(id)'!$J$20,FALSE))</f>
        <v/>
      </c>
      <c r="D231" s="8893" t="e">
        <f t="shared" si="2"/>
        <v>#N/A</v>
      </c>
      <c r="E231" s="9035"/>
      <c r="F231" s="5952"/>
      <c r="G231" s="5959"/>
      <c r="H231" s="5952"/>
      <c r="I231" s="9071"/>
      <c r="J231" s="9064" t="e">
        <f>+IF(VLOOKUP(MATCH(B231,tid,0),tao,'12(id)'!$I$20,FALSE)="","",VLOOKUP(MATCH(B231,tid,0),tao,'12(id)'!$I$20,FALSE))</f>
        <v>#N/A</v>
      </c>
      <c r="K231" s="9064"/>
      <c r="L231" s="9117" t="e">
        <f>+IF(VLOOKUP(MATCH(B231,tid,0),tao,'12(id)'!$L$20,FALSE)="","",VLOOKUP(MATCH(B231,tid,0),tao,'12(id)'!$L$20,FALSE))</f>
        <v>#N/A</v>
      </c>
      <c r="M231" s="9033" t="e">
        <f>+IF(VLOOKUP(MATCH(B231,tid,0),tao,'12(id)'!$Q$20,FALSE)="","",VLOOKUP(MATCH(B231,tid,0),tao,'12(id)'!$Q$20,FALSE))</f>
        <v>#N/A</v>
      </c>
      <c r="N231" s="9197" t="e">
        <f>+IF(VLOOKUP(MATCH(B231,tid,0),tao,'12(id)'!$CT$20,FALSE)="","",VLOOKUP(MATCH(B231,tid,0),tao,'12(id)'!$CT$20,FALSE))</f>
        <v>#N/A</v>
      </c>
      <c r="O231" s="9136" t="e">
        <f>+IF(VLOOKUP(MATCH(B231,tid,0),tao,'12(id)'!$DE$20,FALSE)="","",ROUND(VLOOKUP(MATCH(B231,tid,0),tao,'12(id)'!$DE$20,FALSE),0)&amp;" yrs")</f>
        <v>#N/A</v>
      </c>
      <c r="P231" s="9001" t="e">
        <f>+IF(VLOOKUP(MATCH(B231,tid,0),tao,'12(id)'!$FR$20,FALSE)="","",VLOOKUP(MATCH(B231,tid,0),tao,'12(id)'!$FR$20,FALSE))</f>
        <v>#N/A</v>
      </c>
      <c r="Q231" s="9140"/>
      <c r="R231" s="8906"/>
      <c r="S231" s="8818"/>
      <c r="T231" s="8957">
        <f>+IF(OR(T229="",N224=""),"",T229/N224)</f>
        <v>286556.16249999998</v>
      </c>
      <c r="U231" s="8876" t="str">
        <f>+IF(T231="","","$ TCC / MW nominal capacity")</f>
        <v>$ TCC / MW nominal capacity</v>
      </c>
      <c r="V231" s="8876"/>
      <c r="W231" s="7630"/>
      <c r="X231" s="8818"/>
      <c r="Y231" s="9207">
        <f>+IF(OR(Y229="",N224=""),"",Y229/N224)</f>
        <v>268535.02500000002</v>
      </c>
      <c r="Z231" s="8876" t="str">
        <f>+IF(Y231="","","$ TCC / MW nominal capacity")</f>
        <v>$ TCC / MW nominal capacity</v>
      </c>
      <c r="AA231" s="8876"/>
      <c r="AB231" s="7570"/>
      <c r="AC231" s="8818"/>
      <c r="AD231" s="9262">
        <f>+IF(OR(AD229="",N224=""),"",AD229/N224)</f>
        <v>105832.75</v>
      </c>
      <c r="AE231" s="8876" t="str">
        <f>+IF(AD231="","","$ TCC / MW nominal capacity")</f>
        <v>$ TCC / MW nominal capacity</v>
      </c>
      <c r="AF231" s="8876"/>
      <c r="AG231" s="7695"/>
      <c r="AH231" s="5962"/>
      <c r="AI231" s="5959"/>
      <c r="AJ231" s="5959"/>
      <c r="AK231" s="5959"/>
      <c r="AL231" s="5959"/>
      <c r="AM231" s="5959"/>
    </row>
    <row r="232" spans="1:39" ht="9" customHeight="1">
      <c r="A232" s="5952"/>
      <c r="B232" s="9062"/>
      <c r="C232" s="8852" t="str">
        <f>+IF(B232="","",VLOOKUP(MATCH(B232,tid,0),tao,'12(id)'!$J$20,FALSE))</f>
        <v/>
      </c>
      <c r="D232" s="8841" t="e">
        <f t="shared" si="2"/>
        <v>#N/A</v>
      </c>
      <c r="E232" s="9035"/>
      <c r="F232" s="5952"/>
      <c r="G232" s="5959"/>
      <c r="H232" s="5952"/>
      <c r="I232" s="9071"/>
      <c r="J232" s="9064" t="e">
        <f>+IF(VLOOKUP(MATCH(B232,tid,0),tao,'12(id)'!$I$20,FALSE)="","",VLOOKUP(MATCH(B232,tid,0),tao,'12(id)'!$I$20,FALSE))</f>
        <v>#N/A</v>
      </c>
      <c r="K232" s="9064"/>
      <c r="L232" s="9117" t="e">
        <f>+IF(VLOOKUP(MATCH(B232,tid,0),tao,'12(id)'!$L$20,FALSE)="","",VLOOKUP(MATCH(B232,tid,0),tao,'12(id)'!$L$20,FALSE))</f>
        <v>#N/A</v>
      </c>
      <c r="M232" s="9184" t="e">
        <f>+IF(VLOOKUP(MATCH(B232,tid,0),tao,'12(id)'!$Q$20,FALSE)="","",VLOOKUP(MATCH(B232,tid,0),tao,'12(id)'!$Q$20,FALSE))</f>
        <v>#N/A</v>
      </c>
      <c r="N232" s="9091" t="e">
        <f>+IF(VLOOKUP(MATCH(B232,tid,0),tao,'12(id)'!$CT$20,FALSE)="","",VLOOKUP(MATCH(B232,tid,0),tao,'12(id)'!$CT$20,FALSE))</f>
        <v>#N/A</v>
      </c>
      <c r="O232" s="9130" t="e">
        <f>+IF(VLOOKUP(MATCH(B232,tid,0),tao,'12(id)'!$DE$20,FALSE)="","",ROUND(VLOOKUP(MATCH(B232,tid,0),tao,'12(id)'!$DE$20,FALSE),0)&amp;" yrs")</f>
        <v>#N/A</v>
      </c>
      <c r="P232" s="9001" t="e">
        <f>+IF(VLOOKUP(MATCH(B232,tid,0),tao,'12(id)'!$FR$20,FALSE)="","",VLOOKUP(MATCH(B232,tid,0),tao,'12(id)'!$FR$20,FALSE))</f>
        <v>#N/A</v>
      </c>
      <c r="Q232" s="9141"/>
      <c r="R232" s="8906"/>
      <c r="S232" s="8818"/>
      <c r="T232" s="8957"/>
      <c r="U232" s="8876" t="str">
        <f>+IF(T232="","","$ TCC / MW nominal capacity")</f>
        <v/>
      </c>
      <c r="V232" s="8876"/>
      <c r="W232" s="7630"/>
      <c r="X232" s="8818"/>
      <c r="Y232" s="9207"/>
      <c r="Z232" s="8876" t="str">
        <f>+IF(Y232="","","$ TCC / MW nominal capacity")</f>
        <v/>
      </c>
      <c r="AA232" s="8876"/>
      <c r="AB232" s="7570"/>
      <c r="AC232" s="8818"/>
      <c r="AD232" s="9262"/>
      <c r="AE232" s="8876" t="str">
        <f>+IF(AD232="","","$ TCC / MW nominal capacity")</f>
        <v/>
      </c>
      <c r="AF232" s="8876"/>
      <c r="AG232" s="7695"/>
      <c r="AH232" s="5962"/>
      <c r="AI232" s="5959"/>
      <c r="AJ232" s="5959"/>
      <c r="AK232" s="5959"/>
      <c r="AL232" s="5959"/>
      <c r="AM232" s="5959"/>
    </row>
    <row r="233" spans="1:39" ht="9" customHeight="1">
      <c r="A233" s="5952"/>
      <c r="B233" s="9075" t="str">
        <f>+IF('12(id)'!A47="","",'12(id)'!A47)</f>
        <v>8300-15</v>
      </c>
      <c r="C233" s="8852" t="str">
        <f>+IF(B233="","",VLOOKUP(MATCH(B233,tid,0),tao,'12(id)'!$J$20,FALSE))</f>
        <v>NRG</v>
      </c>
      <c r="D233" s="8891" t="str">
        <f>+IF(B224="","",M233)</f>
        <v>DV14</v>
      </c>
      <c r="E233" s="9035"/>
      <c r="F233" s="5952"/>
      <c r="G233" s="5959"/>
      <c r="H233" s="5952"/>
      <c r="I233" s="9072">
        <f>1+I230</f>
        <v>27</v>
      </c>
      <c r="J233" s="9064" t="str">
        <f>+IF(VLOOKUP(MATCH(B233,tid,0),tao,'12(id)'!$I$20,FALSE)="","",VLOOKUP(MATCH(B233,tid,0),tao,'12(id)'!$I$20,FALSE))</f>
        <v/>
      </c>
      <c r="K233" s="9064"/>
      <c r="L233" s="9117" t="str">
        <f>+IF(VLOOKUP(MATCH(B233,tid,0),tao,'12(id)'!$L$20,FALSE)="","",VLOOKUP(MATCH(B233,tid,0),tao,'12(id)'!$L$20,FALSE))</f>
        <v>Devon</v>
      </c>
      <c r="M233" s="9031" t="str">
        <f>+IF(B224="","",IF(VLOOKUP(MATCH(B233,tid,0),tao,'12(id)'!$Q$20,FALSE)="","",VLOOKUP(MATCH(B233,tid,0),tao,'12(id)'!$Q$20,FALSE)))</f>
        <v>DV14</v>
      </c>
      <c r="N233" s="9095">
        <f>+IF(B233="","",IF(VLOOKUP(MATCH(B233,tid,0),tao,'12(id)'!$CT$20,FALSE)="","",VLOOKUP(MATCH(B233,tid,0),tao,'12(id)'!$CT$20,FALSE)))</f>
        <v>40</v>
      </c>
      <c r="O233" s="9134" t="str">
        <f ca="1">+IF(B233="","",IF(VLOOKUP(MATCH(B233,tid,0),tao,'12(id)'!$DE$20,FALSE)="","",ROUND(VLOOKUP(MATCH(B233,tid,0),tao,'12(id)'!$DE$20,FALSE),0)&amp;" yrs"))</f>
        <v>18 yrs</v>
      </c>
      <c r="P233" s="9001" t="str">
        <f>+IF(VLOOKUP(MATCH(B233,tid,0),tao,'12(id)'!$FR$20,FALSE)="","",VLOOKUP(MATCH(B233,tid,0),tao,'12(id)'!$FR$20,FALSE))</f>
        <v>HPWI</v>
      </c>
      <c r="Q233" s="9143" t="str">
        <f>+IF(B233="","",IF(VLOOKUP(MATCH(B233,tid,0),tao,'12(id)'!$DI$20,FALSE)="","",VLOOKUP(MATCH(B233,tid,0),tao,'12(id)'!$DI$20,FALSE))&amp;";  "&amp;IF(VLOOKUP(MATCH(B233,tid,0),tao,'12(id)'!$DQ$20,FALSE)="","",VLOOKUP(MATCH(B233,tid,0),tao,'12(id)'!$DQ$20,FALSE)))</f>
        <v>ULSD oil;  Natural Gas</v>
      </c>
      <c r="R233" s="8906"/>
      <c r="S233" s="8818"/>
      <c r="T233" s="8914">
        <f>+IF(VLOOKUP(MATCH(E224,c_id,0),ca,'13(an)'!$HF$34,FALSE)="","",VLOOKUP(MATCH(E224,c_id,0),ca,'13(an)'!$HF$34,FALSE))</f>
        <v>477897</v>
      </c>
      <c r="U233" s="8876" t="str">
        <f>IF(T233="","","$ /ton "&amp;"NOx(R)")</f>
        <v>$ /ton NOx(R)</v>
      </c>
      <c r="V233" s="8876"/>
      <c r="W233" s="7630"/>
      <c r="X233" s="8818"/>
      <c r="Y233" s="8914">
        <f>+IF(VLOOKUP(MATCH(E224,c_id,0),ca,'13(an)'!$JE$34,FALSE)="","",VLOOKUP(MATCH(E224,c_id,0),ca,'13(an)'!$JE$34,FALSE))</f>
        <v>544839.74732924276</v>
      </c>
      <c r="Z233" s="8876" t="str">
        <f>IF(Y233="","","$ /ton "&amp;"NOx(R)")</f>
        <v>$ /ton NOx(R)</v>
      </c>
      <c r="AA233" s="8876"/>
      <c r="AB233" s="7570"/>
      <c r="AC233" s="8818"/>
      <c r="AD233" s="8914">
        <f>+IF(VLOOKUP(MATCH(E224,c_id,0),ca,'13(an)'!$LB$34,FALSE)="","",VLOOKUP(MATCH(E224,c_id,0),ca,'13(an)'!$LB$34,FALSE))</f>
        <v>275837.40979421663</v>
      </c>
      <c r="AE233" s="8876" t="str">
        <f>IF(AD233="","","$ /ton "&amp;"NOx(R)")</f>
        <v>$ /ton NOx(R)</v>
      </c>
      <c r="AF233" s="8876"/>
      <c r="AG233" s="7695"/>
      <c r="AH233" s="5962"/>
      <c r="AI233" s="5959"/>
      <c r="AJ233" s="5959"/>
      <c r="AK233" s="5959"/>
      <c r="AL233" s="5959"/>
      <c r="AM233" s="5959"/>
    </row>
    <row r="234" spans="1:39" ht="9" customHeight="1">
      <c r="A234" s="5952"/>
      <c r="B234" s="9035"/>
      <c r="C234" s="8852" t="str">
        <f>+IF(B234="","",VLOOKUP(MATCH(B234,tid,0),tao,'12(id)'!$J$20,FALSE))</f>
        <v/>
      </c>
      <c r="D234" s="8840" t="e">
        <f t="shared" si="2"/>
        <v>#N/A</v>
      </c>
      <c r="E234" s="9035"/>
      <c r="F234" s="5952"/>
      <c r="G234" s="5959"/>
      <c r="H234" s="5952"/>
      <c r="I234" s="9070"/>
      <c r="J234" s="9064" t="e">
        <f>+IF(VLOOKUP(MATCH(B234,tid,0),tao,'12(id)'!$I$20,FALSE)="","",VLOOKUP(MATCH(B234,tid,0),tao,'12(id)'!$I$20,FALSE))</f>
        <v>#N/A</v>
      </c>
      <c r="K234" s="9064"/>
      <c r="L234" s="9117" t="e">
        <f>+IF(VLOOKUP(MATCH(B234,tid,0),tao,'12(id)'!$L$20,FALSE)="","",VLOOKUP(MATCH(B234,tid,0),tao,'12(id)'!$L$20,FALSE))</f>
        <v>#N/A</v>
      </c>
      <c r="M234" s="9058" t="e">
        <f>+IF(VLOOKUP(MATCH(B234,tid,0),tao,'12(id)'!$Q$20,FALSE)="","",VLOOKUP(MATCH(B234,tid,0),tao,'12(id)'!$Q$20,FALSE))</f>
        <v>#N/A</v>
      </c>
      <c r="N234" s="9085" t="e">
        <f>+IF(VLOOKUP(MATCH(B234,tid,0),tao,'12(id)'!$CT$20,FALSE)="","",VLOOKUP(MATCH(B234,tid,0),tao,'12(id)'!$CT$20,FALSE))</f>
        <v>#N/A</v>
      </c>
      <c r="O234" s="8985" t="e">
        <f>+IF(VLOOKUP(MATCH(B234,tid,0),tao,'12(id)'!$DE$20,FALSE)="","",ROUND(VLOOKUP(MATCH(B234,tid,0),tao,'12(id)'!$DE$20,FALSE),0)&amp;" yrs")</f>
        <v>#N/A</v>
      </c>
      <c r="P234" s="9001" t="e">
        <f>+IF(VLOOKUP(MATCH(B234,tid,0),tao,'12(id)'!$FR$20,FALSE)="","",VLOOKUP(MATCH(B234,tid,0),tao,'12(id)'!$FR$20,FALSE))</f>
        <v>#N/A</v>
      </c>
      <c r="Q234" s="9140"/>
      <c r="R234" s="8906"/>
      <c r="S234" s="8818"/>
      <c r="T234" s="8914"/>
      <c r="U234" s="8876" t="str">
        <f>IF(T234="","","$ /ton "&amp;"NOx(R)")</f>
        <v/>
      </c>
      <c r="V234" s="8876"/>
      <c r="W234" s="7630"/>
      <c r="X234" s="8818"/>
      <c r="Y234" s="8914"/>
      <c r="Z234" s="8876" t="str">
        <f>IF(Y234="","","$ /ton "&amp;"NOx(R)")</f>
        <v/>
      </c>
      <c r="AA234" s="8876"/>
      <c r="AB234" s="7570"/>
      <c r="AC234" s="8818"/>
      <c r="AD234" s="8914"/>
      <c r="AE234" s="8876" t="str">
        <f>IF(AD234="","","$ /ton "&amp;"NOx(R)")</f>
        <v/>
      </c>
      <c r="AF234" s="8876"/>
      <c r="AG234" s="7695"/>
      <c r="AH234" s="5962"/>
      <c r="AI234" s="5959"/>
      <c r="AJ234" s="5959"/>
      <c r="AK234" s="5959"/>
      <c r="AL234" s="5959"/>
      <c r="AM234" s="5959"/>
    </row>
    <row r="235" spans="1:39" ht="9" customHeight="1" thickBot="1">
      <c r="A235" s="5952"/>
      <c r="B235" s="9122"/>
      <c r="C235" s="8882" t="str">
        <f>+IF(B235="","",VLOOKUP(MATCH(B235,tid,0),tao,'12(id)'!$J$20,FALSE))</f>
        <v/>
      </c>
      <c r="D235" s="8894" t="e">
        <f t="shared" si="2"/>
        <v>#N/A</v>
      </c>
      <c r="E235" s="9036"/>
      <c r="F235" s="5952"/>
      <c r="G235" s="5959"/>
      <c r="H235" s="5952"/>
      <c r="I235" s="9121"/>
      <c r="J235" s="9065" t="e">
        <f>+IF(VLOOKUP(MATCH(B235,tid,0),tao,'12(id)'!$I$20,FALSE)="","",VLOOKUP(MATCH(B235,tid,0),tao,'12(id)'!$I$20,FALSE))</f>
        <v>#N/A</v>
      </c>
      <c r="K235" s="9065"/>
      <c r="L235" s="9118" t="e">
        <f>+IF(VLOOKUP(MATCH(B235,tid,0),tao,'12(id)'!$L$20,FALSE)="","",VLOOKUP(MATCH(B235,tid,0),tao,'12(id)'!$L$20,FALSE))</f>
        <v>#N/A</v>
      </c>
      <c r="M235" s="9128" t="e">
        <f>+IF(VLOOKUP(MATCH(B235,tid,0),tao,'12(id)'!$Q$20,FALSE)="","",VLOOKUP(MATCH(B235,tid,0),tao,'12(id)'!$Q$20,FALSE))</f>
        <v>#N/A</v>
      </c>
      <c r="N235" s="9133" t="e">
        <f>+IF(VLOOKUP(MATCH(B235,tid,0),tao,'12(id)'!$CT$20,FALSE)="","",VLOOKUP(MATCH(B235,tid,0),tao,'12(id)'!$CT$20,FALSE))</f>
        <v>#N/A</v>
      </c>
      <c r="O235" s="9268" t="e">
        <f>+IF(VLOOKUP(MATCH(B235,tid,0),tao,'12(id)'!$DE$20,FALSE)="","",ROUND(VLOOKUP(MATCH(B235,tid,0),tao,'12(id)'!$DE$20,FALSE),0)&amp;" yrs")</f>
        <v>#N/A</v>
      </c>
      <c r="P235" s="9002" t="e">
        <f>+IF(VLOOKUP(MATCH(B235,tid,0),tao,'12(id)'!$FR$20,FALSE)="","",VLOOKUP(MATCH(B235,tid,0),tao,'12(id)'!$FR$20,FALSE))</f>
        <v>#N/A</v>
      </c>
      <c r="Q235" s="9148"/>
      <c r="R235" s="8907"/>
      <c r="S235" s="8860"/>
      <c r="T235" s="8915"/>
      <c r="U235" s="8897" t="str">
        <f>IF(T235="","","$ /ton "&amp;"NOx(R)")</f>
        <v/>
      </c>
      <c r="V235" s="8897"/>
      <c r="W235" s="7606"/>
      <c r="X235" s="8860"/>
      <c r="Y235" s="8915"/>
      <c r="Z235" s="8897" t="str">
        <f>IF(Y235="","","$ /ton "&amp;"NOx(R)")</f>
        <v/>
      </c>
      <c r="AA235" s="8897"/>
      <c r="AB235" s="7607"/>
      <c r="AC235" s="8860"/>
      <c r="AD235" s="8915"/>
      <c r="AE235" s="8897" t="str">
        <f>IF(AD235="","","$ /ton "&amp;"NOx(R)")</f>
        <v/>
      </c>
      <c r="AF235" s="8897"/>
      <c r="AG235" s="7620"/>
      <c r="AH235" s="5962"/>
      <c r="AI235" s="5959"/>
      <c r="AJ235" s="5959"/>
      <c r="AK235" s="5959"/>
      <c r="AL235" s="5959"/>
      <c r="AM235" s="5959"/>
    </row>
    <row r="236" spans="1:39" ht="18" customHeight="1">
      <c r="A236" s="5952"/>
      <c r="B236" s="7430"/>
      <c r="C236" s="7430"/>
      <c r="D236" s="7701"/>
      <c r="E236" s="7430"/>
      <c r="F236" s="5962"/>
      <c r="G236" s="7527"/>
      <c r="H236" s="5962"/>
      <c r="I236" s="5962"/>
      <c r="J236" s="7570"/>
      <c r="K236" s="7570"/>
      <c r="L236" s="7702"/>
      <c r="M236" s="7701"/>
      <c r="N236" s="7703"/>
      <c r="O236" s="5962"/>
      <c r="P236" s="7568"/>
      <c r="Q236" s="7704"/>
      <c r="R236" s="7627"/>
      <c r="S236" s="7570"/>
      <c r="T236" s="7566" t="s">
        <v>1896</v>
      </c>
      <c r="U236" s="7766" t="s">
        <v>486</v>
      </c>
      <c r="V236" s="7470"/>
      <c r="W236" s="7567"/>
      <c r="X236" s="7519"/>
      <c r="Y236" s="7566" t="s">
        <v>1896</v>
      </c>
      <c r="Z236" s="7766" t="s">
        <v>486</v>
      </c>
      <c r="AA236" s="7470"/>
      <c r="AB236" s="7470"/>
      <c r="AC236" s="7519"/>
      <c r="AD236" s="7566" t="s">
        <v>1896</v>
      </c>
      <c r="AE236" s="7769" t="s">
        <v>486</v>
      </c>
      <c r="AF236" s="7636"/>
      <c r="AG236" s="7470"/>
      <c r="AH236" s="5962"/>
      <c r="AI236" s="5959"/>
      <c r="AJ236" s="5959"/>
      <c r="AK236" s="5959"/>
      <c r="AL236" s="5959"/>
      <c r="AM236" s="5959"/>
    </row>
    <row r="237" spans="1:39" ht="15.95" customHeight="1">
      <c r="A237" s="5952"/>
      <c r="B237" s="7705"/>
      <c r="C237" s="7430"/>
      <c r="D237" s="7706"/>
      <c r="E237" s="7430"/>
      <c r="F237" s="7502"/>
      <c r="G237" s="7707"/>
      <c r="H237" s="7502"/>
      <c r="I237" s="5952"/>
      <c r="J237" s="7708"/>
      <c r="K237" s="7502" t="s">
        <v>1158</v>
      </c>
      <c r="L237" s="7709"/>
      <c r="M237" s="7706"/>
      <c r="N237" s="7502"/>
      <c r="O237" s="7502"/>
      <c r="P237" s="7568"/>
      <c r="Q237" s="7704"/>
      <c r="R237" s="7627"/>
      <c r="S237" s="7570"/>
      <c r="T237" s="5962" t="s">
        <v>1897</v>
      </c>
      <c r="U237" s="7710"/>
      <c r="V237" s="7711"/>
      <c r="W237" s="7712"/>
      <c r="X237" s="7570"/>
      <c r="Y237" s="7470"/>
      <c r="Z237" s="7470"/>
      <c r="AA237" s="7470"/>
      <c r="AB237" s="7470"/>
      <c r="AC237" s="7570"/>
      <c r="AD237" s="7469" t="s">
        <v>912</v>
      </c>
      <c r="AE237" s="8830" t="s">
        <v>2528</v>
      </c>
      <c r="AF237" s="8830"/>
      <c r="AG237" s="7470"/>
      <c r="AH237" s="5962"/>
      <c r="AI237" s="5959"/>
      <c r="AJ237" s="5959"/>
      <c r="AK237" s="5959"/>
      <c r="AL237" s="5959"/>
      <c r="AM237" s="5959"/>
    </row>
    <row r="238" spans="1:39" ht="20.100000000000001" customHeight="1" thickBot="1">
      <c r="A238" s="5952"/>
      <c r="B238" s="7705"/>
      <c r="C238" s="7430"/>
      <c r="D238" s="7706"/>
      <c r="E238" s="7430"/>
      <c r="F238" s="7502"/>
      <c r="G238" s="7707"/>
      <c r="H238" s="7502"/>
      <c r="I238" s="5952"/>
      <c r="J238" s="5952"/>
      <c r="K238" s="7526" t="str">
        <f>+IF(B239="","",IF(VLOOKUP(MATCH(B239,tid,0),tao,'12(id)'!$I$20,FALSE)="","",VLOOKUP(MATCH(B239,tid,0),tao,'12(id)'!$I$20,FALSE)))</f>
        <v>NRG Energy, Inc</v>
      </c>
      <c r="L238" s="5952"/>
      <c r="M238" s="5952"/>
      <c r="N238" s="5952"/>
      <c r="O238" s="5952"/>
      <c r="P238" s="5952"/>
      <c r="Q238" s="7704"/>
      <c r="R238" s="7627"/>
      <c r="S238" s="7570"/>
      <c r="T238" s="5962" t="s">
        <v>1898</v>
      </c>
      <c r="U238" s="7470"/>
      <c r="V238" s="7470"/>
      <c r="W238" s="7567"/>
      <c r="X238" s="7570"/>
      <c r="Y238" s="7470"/>
      <c r="Z238" s="7470"/>
      <c r="AA238" s="7470"/>
      <c r="AB238" s="7470"/>
      <c r="AC238" s="7570"/>
      <c r="AD238" s="7470"/>
      <c r="AE238" s="8830"/>
      <c r="AF238" s="8830"/>
      <c r="AG238" s="7470"/>
      <c r="AH238" s="5962"/>
      <c r="AI238" s="5959"/>
      <c r="AJ238" s="5959"/>
      <c r="AK238" s="5959"/>
      <c r="AL238" s="5959"/>
      <c r="AM238" s="5959"/>
    </row>
    <row r="239" spans="1:39" ht="18" customHeight="1">
      <c r="A239" s="5952"/>
      <c r="B239" s="8989" t="str">
        <f>+IF('12(id)'!A48="","",'12(id)'!A48)</f>
        <v>8300-16</v>
      </c>
      <c r="C239" s="8881" t="str">
        <f>+IF(B239="","",VLOOKUP(MATCH(B239,tid,0),tao,'12(id)'!$J$20,FALSE))</f>
        <v>NRG</v>
      </c>
      <c r="D239" s="9007" t="str">
        <f>+IF(B239="","",M239)</f>
        <v>MV10</v>
      </c>
      <c r="E239" s="9034" t="str">
        <f>+IF(B239="","",B239&amp;IF(ISERR(VALUE(R239)),"-01",IF(R239&lt;10,"-0"&amp;R239,"-"&amp;R239)))</f>
        <v>8300-16-01</v>
      </c>
      <c r="F239" s="5952"/>
      <c r="G239" s="5959"/>
      <c r="H239" s="5952"/>
      <c r="I239" s="9069">
        <v>1</v>
      </c>
      <c r="J239" s="9063" t="str">
        <f>+IF(VLOOKUP(MATCH(B239,tid,0),tao,'12(id)'!$I$20,FALSE)="","",VLOOKUP(MATCH(B239,tid,0),tao,'12(id)'!$I$20,FALSE))</f>
        <v>NRG Energy, Inc</v>
      </c>
      <c r="K239" s="9063">
        <f>+IF(B239="","",IF(VLOOKUP(MATCH(B239,tid,0),tao,'12(id)'!$K$20,FALSE)="","",VLOOKUP(MATCH(B239,tid,0),tao,'12(id)'!$K$20,FALSE)))</f>
        <v>8300</v>
      </c>
      <c r="L239" s="9012" t="str">
        <f>+IF(B239="","",IF(VLOOKUP(MATCH(B239,tid,0),tao,'12(id)'!$L$20,FALSE)="","",VLOOKUP(MATCH(B239,tid,0),tao,'12(id)'!$L$20,FALSE)))</f>
        <v>Montville</v>
      </c>
      <c r="M239" s="9037" t="str">
        <f>+IF(B239="","",IF(VLOOKUP(MATCH(B239,tid,0),tao,'12(id)'!$Q$20,FALSE)="","",VLOOKUP(MATCH(B239,tid,0),tao,'12(id)'!$Q$20,FALSE)))</f>
        <v>MV10</v>
      </c>
      <c r="N239" s="9111">
        <f>+IF(B239="","",IF(VLOOKUP(MATCH(B239,tid,0),tao,'12(id)'!$CT$20,FALSE)="","",VLOOKUP(MATCH(B239,tid,0),tao,'12(id)'!$CT$20,FALSE)))</f>
        <v>2.75</v>
      </c>
      <c r="O239" s="9003" t="str">
        <f ca="1">+IF(B239="","",IF(VLOOKUP(MATCH(B239,tid,0),tao,'12(id)'!$DE$20,FALSE)="","",ROUND(VLOOKUP(MATCH(B239,tid,0),tao,'12(id)'!$DE$20,FALSE),0)&amp;" yrs"))</f>
        <v>48 yrs</v>
      </c>
      <c r="P239" s="9000" t="str">
        <f>+IF(B239="","",IF(VLOOKUP(MATCH(B239,tid,0),tao,'12(id)'!$FR$20,FALSE)="","",VLOOKUP(MATCH(B239,tid,0),tao,'12(id)'!$FR$20,FALSE)))</f>
        <v>None</v>
      </c>
      <c r="Q239" s="9195" t="str">
        <f>+IF(B239="","",IF(VLOOKUP(MATCH(B239,tid,0),tao,'12(id)'!$DI$20,FALSE)="","",VLOOKUP(MATCH(B239,tid,0),tao,'12(id)'!$DI$20,FALSE))&amp;";  "&amp;IF(VLOOKUP(MATCH(B239,tid,0),tao,'12(id)'!$DQ$20,FALSE)="","",VLOOKUP(MATCH(B239,tid,0),tao,'12(id)'!$DQ$20,FALSE)))</f>
        <v xml:space="preserve">0.05% sulfur distillate oil;  </v>
      </c>
      <c r="R239" s="9198">
        <f>+IF(B239="","",1)</f>
        <v>1</v>
      </c>
      <c r="S239" s="7713"/>
      <c r="T239" s="8861" t="str">
        <f>+IF(VLOOKUP(MATCH(E239,c_id,0),ca,'13(an)'!$BD$34,FALSE)="","",VLOOKUP(MATCH(E239,c_id,0),ca,'13(an)'!$BD$34,FALSE))</f>
        <v>Selective Catalytic Reduction (SCR)</v>
      </c>
      <c r="U239" s="8861"/>
      <c r="V239" s="8861"/>
      <c r="W239" s="7528"/>
      <c r="X239" s="8817"/>
      <c r="Y239" s="8861" t="str">
        <f>+T239</f>
        <v>Selective Catalytic Reduction (SCR)</v>
      </c>
      <c r="Z239" s="8861"/>
      <c r="AA239" s="8861"/>
      <c r="AB239" s="7529"/>
      <c r="AC239" s="8817"/>
      <c r="AD239" s="8861" t="str">
        <f>+T239</f>
        <v>Selective Catalytic Reduction (SCR)</v>
      </c>
      <c r="AE239" s="8861"/>
      <c r="AF239" s="8861"/>
      <c r="AG239" s="7530"/>
      <c r="AH239" s="5962"/>
      <c r="AI239" s="5959"/>
      <c r="AJ239" s="5959"/>
      <c r="AK239" s="5959"/>
      <c r="AL239" s="5959"/>
      <c r="AM239" s="5959"/>
    </row>
    <row r="240" spans="1:39" ht="12" customHeight="1">
      <c r="A240" s="5952"/>
      <c r="B240" s="8991"/>
      <c r="C240" s="8852" t="str">
        <f>+IF(B240="","",VLOOKUP(MATCH(B240,tid,0),tao,'12(id)'!$J$20,FALSE))</f>
        <v/>
      </c>
      <c r="D240" s="9009">
        <f>+M240</f>
        <v>0</v>
      </c>
      <c r="E240" s="9035"/>
      <c r="F240" s="5952"/>
      <c r="G240" s="5959"/>
      <c r="H240" s="5952"/>
      <c r="I240" s="9070"/>
      <c r="J240" s="9064"/>
      <c r="K240" s="9064"/>
      <c r="L240" s="9014"/>
      <c r="M240" s="9039"/>
      <c r="N240" s="9105"/>
      <c r="O240" s="9005"/>
      <c r="P240" s="9001" t="e">
        <f>+IF(VLOOKUP(MATCH(B240,tid,0),tao,'12(id)'!$FR$20,FALSE)="","",VLOOKUP(MATCH(B240,tid,0),tao,'12(id)'!$FR$20,FALSE))</f>
        <v>#N/A</v>
      </c>
      <c r="Q240" s="9140" t="e">
        <f>+IF(VLOOKUP(MATCH(B240,tid,0),tao,'12(id)'!$DI$20,FALSE)="","",VLOOKUP(MATCH(B240,tid,0),tao,'12(id)'!$DI$20,FALSE))&amp;";  "&amp;IF(VLOOKUP(MATCH(B240,tid,0),tao,'12(id)'!$DQ$20,FALSE)="","",VLOOKUP(MATCH(B240,tid,0),tao,'12(id)'!$DQ$20,FALSE))</f>
        <v>#N/A</v>
      </c>
      <c r="R240" s="9199"/>
      <c r="S240" s="7714"/>
      <c r="T240" s="8870"/>
      <c r="U240" s="8870"/>
      <c r="V240" s="8870"/>
      <c r="W240" s="7531"/>
      <c r="X240" s="8818"/>
      <c r="Y240" s="8870"/>
      <c r="Z240" s="8870"/>
      <c r="AA240" s="8870"/>
      <c r="AB240" s="7532"/>
      <c r="AC240" s="8818"/>
      <c r="AD240" s="8870"/>
      <c r="AE240" s="8870"/>
      <c r="AF240" s="8870"/>
      <c r="AG240" s="7533"/>
      <c r="AH240" s="5962"/>
      <c r="AI240" s="5959"/>
      <c r="AJ240" s="5959"/>
      <c r="AK240" s="5959"/>
      <c r="AL240" s="5959"/>
      <c r="AM240" s="5959"/>
    </row>
    <row r="241" spans="1:39" ht="15" customHeight="1">
      <c r="A241" s="5952"/>
      <c r="B241" s="8991"/>
      <c r="C241" s="8852" t="str">
        <f>+IF(B241="","",VLOOKUP(MATCH(B241,tid,0),tao,'12(id)'!$J$20,FALSE))</f>
        <v/>
      </c>
      <c r="D241" s="9009">
        <f>+M241</f>
        <v>0</v>
      </c>
      <c r="E241" s="9035"/>
      <c r="F241" s="5952"/>
      <c r="G241" s="5959"/>
      <c r="H241" s="5952"/>
      <c r="I241" s="9070"/>
      <c r="J241" s="9064"/>
      <c r="K241" s="9064"/>
      <c r="L241" s="9014"/>
      <c r="M241" s="9039"/>
      <c r="N241" s="9105"/>
      <c r="O241" s="9005"/>
      <c r="P241" s="9001" t="e">
        <f>+IF(VLOOKUP(MATCH(B241,tid,0),tao,'12(id)'!$FR$20,FALSE)="","",VLOOKUP(MATCH(B241,tid,0),tao,'12(id)'!$FR$20,FALSE))</f>
        <v>#N/A</v>
      </c>
      <c r="Q241" s="9140" t="e">
        <f>+IF(VLOOKUP(MATCH(B241,tid,0),tao,'12(id)'!$DI$20,FALSE)="","",VLOOKUP(MATCH(B241,tid,0),tao,'12(id)'!$DI$20,FALSE))&amp;";  "&amp;IF(VLOOKUP(MATCH(B241,tid,0),tao,'12(id)'!$DQ$20,FALSE)="","",VLOOKUP(MATCH(B241,tid,0),tao,'12(id)'!$DQ$20,FALSE))</f>
        <v>#N/A</v>
      </c>
      <c r="R241" s="9199"/>
      <c r="S241" s="7714"/>
      <c r="T241" s="7584" t="str">
        <f>+IF(E239="","",IF(VLOOKUP(MATCH(E239,c_id,0),ca,'13(an)'!$CC$34,FALSE)="",IF(VLOOKUP(MATCH(E239,c_id,0),ca,'13(an)'!$CD$34,FALSE)="",IF(VLOOKUP(MATCH(E239,c_id,0),ca,'13(an)'!$CE$34,FALSE)="","η ≈ N/A","η ≈ "&amp;ROUND(VLOOKUP(MATCH(E239,c_id,0),ca,'13(an)'!$CE$34,FALSE)*100,0)&amp;"%"),"η ≈ "&amp;ROUND(VLOOKUP(MATCH(E239,c_id,0),ca,'13(an)'!$CD$34,FALSE)*100,0)&amp;"%"),"η ≈ "&amp;ROUND(VLOOKUP(MATCH(E239,c_id,0),ca,'13(an)'!$CC$34,FALSE)*100,0)&amp;"%"))</f>
        <v>η ≈ 70%</v>
      </c>
      <c r="U241" s="7585" t="str">
        <f>+IF($U$245="ppmvd",IF(VLOOKUP(MATCH(E239,c_id,0),ca,'13(an)'!$BV$34,FALSE)="","",ROUND(VLOOKUP(MATCH(E239,c_id,0),ca,'13(an)'!$BV$34,FALSE),1)&amp;" ppmvd"),IF(VLOOKUP(MATCH(E239,c_id,0),ca,'13(an)'!$BU$34,FALSE)="","",IF(LEN(ROUND(VLOOKUP(MATCH(E239,c_id,0),ca,'13(an)'!$BU$34,FALSE),3))=3,ROUND(VLOOKUP(MATCH(E239,c_id,0),ca,'13(an)'!$BU$34,FALSE),3)&amp;"00 lb/MMBtu",IF(LEN(ROUND(VLOOKUP(MATCH(E239,c_id,0),ca,'13(an)'!$BU$34,FALSE),3))=4,ROUND(VLOOKUP(MATCH(E239,c_id,0),ca,'13(an)'!$BU$34,FALSE),3)&amp;"0 lb/MMBtu",ROUND(VLOOKUP(MATCH(E239,c_id,0),ca,'13(an)'!$BU$34,FALSE),3)&amp;" lb/MMBtu"))))</f>
        <v>0.933 lb/MMBtu</v>
      </c>
      <c r="V241" s="7586">
        <f>+IF(E239="","",IF(VLOOKUP(MATCH(E239,c_id,0),ca,'13(an)'!$CB$34,FALSE)="","NOx(R) = N/A",ROUND(VLOOKUP(MATCH(E239,c_id,0),ca,'13(an)'!$CB$34,FALSE),1)))</f>
        <v>4.2</v>
      </c>
      <c r="W241" s="7534"/>
      <c r="X241" s="8818"/>
      <c r="Y241" s="7587" t="str">
        <f>+IF(E239="","",IF(VLOOKUP(MATCH(E239,c_id,0),ca,'13(an)'!$CM$34,FALSE)="",IF(VLOOKUP(MATCH(E239,c_id,0),ca,'13(an)'!$CN$34,FALSE)="",IF(VLOOKUP(MATCH(E239,c_id,0),ca,'13(an)'!$CO$34,FALSE)="","η ≈ N/A","η ≈ "&amp;ROUND(VLOOKUP(MATCH(E239,c_id,0),ca,'13(an)'!$CO$34,FALSE)*100,0)&amp;"%"),"η ≈ "&amp;ROUND(VLOOKUP(MATCH(E239,c_id,0),ca,'13(an)'!$CN$34,FALSE)*100,0)&amp;"%"),"η ≈ "&amp;ROUND(VLOOKUP(MATCH(E239,c_id,0),ca,'13(an)'!$CM$34,FALSE)*100,0)&amp;"%"))</f>
        <v>η ≈ 90%</v>
      </c>
      <c r="Z241" s="7696" t="str">
        <f>+IF($Z$245="ppmvd",IF(VLOOKUP(MATCH(E239,c_id,0),ca,'13(an)'!$CJ$34,FALSE)="","",ROUND(VLOOKUP(MATCH(E239,c_id,0),ca,'13(an)'!$CJ$34,FALSE),1)&amp;" ppmvd"),IF(VLOOKUP(MATCH(E239,c_id,0),ca,'13(an)'!$CI$34,FALSE)="","",IF(LEN(ROUND(VLOOKUP(MATCH(E239,c_id,0),ca,'13(an)'!$CI$34,FALSE),3))=3,ROUND(VLOOKUP(MATCH(E239,c_id,0),ca,'13(an)'!$CI$34,FALSE),3)&amp;"00 lb/MMBtu",IF(LEN(ROUND(VLOOKUP(MATCH(E239,c_id,0),ca,'13(an)'!$CI$34,FALSE),3))=4,ROUND(VLOOKUP(MATCH(E239,c_id,0),ca,'13(an)'!$CI$34,FALSE),3)&amp;"0 lb/MMBtu",ROUND(VLOOKUP(MATCH(E239,c_id,0),ca,'13(an)'!$CI$34,FALSE),3)&amp;" lb/MMBtu"))))</f>
        <v>0.311 lb/MMBtu</v>
      </c>
      <c r="AA241" s="7589">
        <f>+IF(E239="","",IF(VLOOKUP(MATCH(E239,c_id,0),ca,'13(an)'!$CL$34,FALSE)="","NOx(R) = N/A",ROUND(VLOOKUP(MATCH(E239,c_id,0),ca,'13(an)'!$CL$34,FALSE),1)))</f>
        <v>12.8</v>
      </c>
      <c r="AB241" s="7535"/>
      <c r="AC241" s="8818"/>
      <c r="AD241" s="7587" t="str">
        <f>+IF(E239="","",IF(VLOOKUP(MATCH(E239,c_id,0),ca,'13(an)'!$CM$34,FALSE)="",IF(VLOOKUP(MATCH(E239,c_id,0),ca,'13(an)'!$CN$34,FALSE)="",IF(VLOOKUP(MATCH(E239,c_id,0),ca,'13(an)'!$CO$34,FALSE)="","η ≈ N/A","η ≈ "&amp;ROUND(VLOOKUP(MATCH(E239,c_id,0),ca,'13(an)'!$CO$34,FALSE)*100,0)&amp;"%"),"η ≈ "&amp;ROUND(VLOOKUP(MATCH(E239,c_id,0),ca,'13(an)'!$CN$34,FALSE)*100,0)&amp;"%"),"η ≈ "&amp;ROUND(VLOOKUP(MATCH(E239,c_id,0),ca,'13(an)'!$CM$34,FALSE)*100,0)&amp;"%"))</f>
        <v>η ≈ 90%</v>
      </c>
      <c r="AE241" s="7588" t="str">
        <f>+IF($AE$245="ppmvd",IF(VLOOKUP(MATCH(E239,c_id,0),ca,'13(an)'!$CJ$34,FALSE)="","",ROUND(VLOOKUP(MATCH(E239,c_id,0),ca,'13(an)'!$CJ$34,FALSE),1)&amp;" ppmvd"),IF(VLOOKUP(MATCH(E239,c_id,0),ca,'13(an)'!$CI$34,FALSE)="","",IF(LEN(ROUND(VLOOKUP(MATCH(E239,c_id,0),ca,'13(an)'!$CI$34,FALSE),3))=3,ROUND(VLOOKUP(MATCH(E239,c_id,0),ca,'13(an)'!$CI$34,FALSE),3)&amp;"00 lb/MMBtu",IF(LEN(ROUND(VLOOKUP(MATCH(E239,c_id,0),ca,'13(an)'!$CI$34,FALSE),3))=4,ROUND(VLOOKUP(MATCH(E239,c_id,0),ca,'13(an)'!$CI$34,FALSE),3)&amp;"0 lb/MMBtu",ROUND(VLOOKUP(MATCH(E239,c_id,0),ca,'13(an)'!$CI$34,FALSE),3)&amp;" lb/MMBtu"))))</f>
        <v>0.311 lb/MMBtu</v>
      </c>
      <c r="AF241" s="7589">
        <f>+IF(E239="","",IF(VLOOKUP(MATCH(E239,c_id,0),ca,'13(an)'!$CL$34,FALSE)="","NOx(R) = N/A",ROUND(VLOOKUP(MATCH(E239,c_id,0),ca,'13(an)'!$CL$34,FALSE),1)))</f>
        <v>12.8</v>
      </c>
      <c r="AG241" s="7536"/>
      <c r="AH241" s="5962"/>
      <c r="AI241" s="5959"/>
      <c r="AJ241" s="5959"/>
      <c r="AK241" s="5959"/>
      <c r="AL241" s="5959"/>
      <c r="AM241" s="5959"/>
    </row>
    <row r="242" spans="1:39" ht="15" customHeight="1">
      <c r="A242" s="5952"/>
      <c r="B242" s="8991" t="str">
        <f>+IF('12(id)'!A49="","",'12(id)'!A49)</f>
        <v>8300-17</v>
      </c>
      <c r="C242" s="8852" t="str">
        <f>+IF(B242="","",VLOOKUP(MATCH(B242,tid,0),tao,'12(id)'!$J$20,FALSE))</f>
        <v>NRG</v>
      </c>
      <c r="D242" s="9009" t="str">
        <f>+IF(B239="","",M242)</f>
        <v>MV11</v>
      </c>
      <c r="E242" s="9035"/>
      <c r="F242" s="5952"/>
      <c r="G242" s="5959"/>
      <c r="H242" s="5952"/>
      <c r="I242" s="9070"/>
      <c r="J242" s="9064"/>
      <c r="K242" s="9064"/>
      <c r="L242" s="9014"/>
      <c r="M242" s="9039" t="str">
        <f>+IF(B239="","",IF(VLOOKUP(MATCH(B242,tid,0),tao,'12(id)'!$Q$20,FALSE)="","",VLOOKUP(MATCH(B242,tid,0),tao,'12(id)'!$Q$20,FALSE)))</f>
        <v>MV11</v>
      </c>
      <c r="N242" s="9105">
        <f>+IF(B239="","",IF(VLOOKUP(MATCH(B242,tid,0),tao,'12(id)'!$CT$20,FALSE)="","",VLOOKUP(MATCH(B242,tid,0),tao,'12(id)'!$CT$20,FALSE)))</f>
        <v>2.75</v>
      </c>
      <c r="O242" s="9005" t="str">
        <f ca="1">+IF(B239="","",IF(VLOOKUP(MATCH(B242,tid,0),tao,'12(id)'!$DE$20,FALSE)="","",ROUND(VLOOKUP(MATCH(B242,tid,0),tao,'12(id)'!$DE$20,FALSE),0)&amp;" yrs"))</f>
        <v>48 yrs</v>
      </c>
      <c r="P242" s="9001" t="str">
        <f>+IF(VLOOKUP(MATCH(B242,tid,0),tao,'12(id)'!$FR$20,FALSE)="","",VLOOKUP(MATCH(B242,tid,0),tao,'12(id)'!$FR$20,FALSE))</f>
        <v>None</v>
      </c>
      <c r="Q242" s="9140" t="e">
        <f>+IF(VLOOKUP(MATCH(#REF!,tid,0),tao,'12(id)'!$DI$20,FALSE)="","",VLOOKUP(MATCH(#REF!,tid,0),tao,'12(id)'!$DI$20,FALSE))&amp;";  "&amp;IF(VLOOKUP(MATCH(#REF!,tid,0),tao,'12(id)'!$DQ$20,FALSE)="","",VLOOKUP(MATCH(#REF!,tid,0),tao,'12(id)'!$DQ$20,FALSE))</f>
        <v>#REF!</v>
      </c>
      <c r="R242" s="9199"/>
      <c r="S242" s="7714"/>
      <c r="T242" s="7543">
        <f>+IF(VLOOKUP(MATCH(E239,c_id,0),ca,'13(an)'!$GF$34,FALSE)="","",VLOOKUP(MATCH(E239,c_id,0),ca,'13(an)'!$GF$34,FALSE))</f>
        <v>1129075</v>
      </c>
      <c r="U242" s="7570" t="str">
        <f>+IF(T242="","","$ TCC/unit")</f>
        <v>$ TCC/unit</v>
      </c>
      <c r="V242" s="7541">
        <f>+IF(VLOOKUP(MATCH(E239,c_id,0),ca,'13(an)'!$HA$34,FALSE)="","",VLOOKUP(MATCH(E239,c_id,0),ca,'13(an)'!$HA$34,FALSE))</f>
        <v>290277</v>
      </c>
      <c r="W242" s="7540"/>
      <c r="X242" s="8818"/>
      <c r="Y242" s="7543">
        <f>+IF(VLOOKUP(MATCH(E239,c_id,0),ca,'13(an)'!$IA$34,FALSE)="","",VLOOKUP(MATCH(E239,c_id,0),ca,'13(an)'!$IA$34,FALSE))</f>
        <v>1058508</v>
      </c>
      <c r="Z242" s="7570" t="str">
        <f>+IF(Y242="","","$ TCC/unit")</f>
        <v>$ TCC/unit</v>
      </c>
      <c r="AA242" s="7541">
        <f>+IF(Y242="","",$AA$14*Y242)</f>
        <v>99915.667042642104</v>
      </c>
      <c r="AB242" s="7541"/>
      <c r="AC242" s="8818"/>
      <c r="AD242" s="7543">
        <f>+IF(VLOOKUP(MATCH(E239,c_id,0),ca,'13(an)'!$JS$34,FALSE)="","",VLOOKUP(MATCH(E239,c_id,0),ca,'13(an)'!$JS$34,FALSE))</f>
        <v>1030517.75</v>
      </c>
      <c r="AE242" s="7570" t="str">
        <f>+IF(AD242="","","$ TCC/unit")</f>
        <v>$ TCC/unit</v>
      </c>
      <c r="AF242" s="7541">
        <f>+IF(AD242="","",$AF$14*AD242)</f>
        <v>88429.261132576576</v>
      </c>
      <c r="AG242" s="7542"/>
      <c r="AH242" s="5962"/>
      <c r="AI242" s="5959"/>
      <c r="AJ242" s="5959"/>
      <c r="AK242" s="5959"/>
      <c r="AL242" s="5959"/>
      <c r="AM242" s="5959"/>
    </row>
    <row r="243" spans="1:39" ht="15" customHeight="1">
      <c r="A243" s="5952"/>
      <c r="B243" s="8991"/>
      <c r="C243" s="8852" t="str">
        <f>+IF(B243="","",VLOOKUP(MATCH(B243,tid,0),tao,'12(id)'!$J$20,FALSE))</f>
        <v/>
      </c>
      <c r="D243" s="9009">
        <f>+M243</f>
        <v>0</v>
      </c>
      <c r="E243" s="9035"/>
      <c r="F243" s="5952"/>
      <c r="G243" s="5959"/>
      <c r="H243" s="5952"/>
      <c r="I243" s="9070"/>
      <c r="J243" s="9064"/>
      <c r="K243" s="9064"/>
      <c r="L243" s="9014"/>
      <c r="M243" s="9039"/>
      <c r="N243" s="9105"/>
      <c r="O243" s="9005"/>
      <c r="P243" s="9001" t="e">
        <f>+IF(VLOOKUP(MATCH(B243,tid,0),tao,'12(id)'!$FR$20,FALSE)="","",VLOOKUP(MATCH(B243,tid,0),tao,'12(id)'!$FR$20,FALSE))</f>
        <v>#N/A</v>
      </c>
      <c r="Q243" s="9140" t="e">
        <f>+IF(VLOOKUP(MATCH(B243,tid,0),tao,'12(id)'!$DI$20,FALSE)="","",VLOOKUP(MATCH(B243,tid,0),tao,'12(id)'!$DI$20,FALSE))&amp;";  "&amp;IF(VLOOKUP(MATCH(B243,tid,0),tao,'12(id)'!$DQ$20,FALSE)="","",VLOOKUP(MATCH(B243,tid,0),tao,'12(id)'!$DQ$20,FALSE))</f>
        <v>#N/A</v>
      </c>
      <c r="R243" s="9199"/>
      <c r="S243" s="7714"/>
      <c r="T243" s="7543">
        <f>+IF(OR(T242="",N239=""),"",T242/N239)</f>
        <v>410572.72727272729</v>
      </c>
      <c r="U243" s="8820" t="str">
        <f>+IF(T243="","","$ TCC / MW nominal capacity")</f>
        <v>$ TCC / MW nominal capacity</v>
      </c>
      <c r="V243" s="8820"/>
      <c r="W243" s="7544"/>
      <c r="X243" s="8818"/>
      <c r="Y243" s="7543">
        <f>+IF(OR(Y242="",N239=""),"",Y242/N239)</f>
        <v>384912</v>
      </c>
      <c r="Z243" s="8820" t="str">
        <f>+IF(Y243="","","$ TCC / MW nominal capacity")</f>
        <v>$ TCC / MW nominal capacity</v>
      </c>
      <c r="AA243" s="8820"/>
      <c r="AB243" s="7545"/>
      <c r="AC243" s="8818"/>
      <c r="AD243" s="7543">
        <f>+IF(OR(AD242="",N239=""),"",AD242/N239)</f>
        <v>374733.72727272729</v>
      </c>
      <c r="AE243" s="8820" t="str">
        <f>+IF(AD243="","","$ TCC / MW nominal capacity")</f>
        <v>$ TCC / MW nominal capacity</v>
      </c>
      <c r="AF243" s="8820"/>
      <c r="AG243" s="7546"/>
      <c r="AH243" s="5962"/>
      <c r="AI243" s="5959"/>
      <c r="AJ243" s="5959"/>
      <c r="AK243" s="5959"/>
      <c r="AL243" s="5959"/>
      <c r="AM243" s="5959"/>
    </row>
    <row r="244" spans="1:39" ht="15" customHeight="1" thickBot="1">
      <c r="A244" s="5952"/>
      <c r="B244" s="9086"/>
      <c r="C244" s="8882" t="str">
        <f>+IF(B244="","",VLOOKUP(MATCH(B244,tid,0),tao,'12(id)'!$J$20,FALSE))</f>
        <v/>
      </c>
      <c r="D244" s="9115">
        <f>+M244</f>
        <v>0</v>
      </c>
      <c r="E244" s="9036"/>
      <c r="F244" s="5952"/>
      <c r="G244" s="5959"/>
      <c r="H244" s="5952"/>
      <c r="I244" s="9073"/>
      <c r="J244" s="9065"/>
      <c r="K244" s="9065"/>
      <c r="L244" s="9087"/>
      <c r="M244" s="9179"/>
      <c r="N244" s="9106"/>
      <c r="O244" s="9132"/>
      <c r="P244" s="9002" t="e">
        <f>+IF(VLOOKUP(MATCH(B244,tid,0),tao,'12(id)'!$FR$20,FALSE)="","",VLOOKUP(MATCH(B244,tid,0),tao,'12(id)'!$FR$20,FALSE))</f>
        <v>#N/A</v>
      </c>
      <c r="Q244" s="9148" t="e">
        <f>+IF(VLOOKUP(MATCH(B244,tid,0),tao,'12(id)'!$DI$20,FALSE)="","",VLOOKUP(MATCH(B244,tid,0),tao,'12(id)'!$DI$20,FALSE))&amp;";  "&amp;IF(VLOOKUP(MATCH(B244,tid,0),tao,'12(id)'!$DQ$20,FALSE)="","",VLOOKUP(MATCH(B244,tid,0),tao,'12(id)'!$DQ$20,FALSE))</f>
        <v>#N/A</v>
      </c>
      <c r="R244" s="9200"/>
      <c r="S244" s="7715"/>
      <c r="T244" s="7631">
        <f>+IF(VLOOKUP(MATCH(E239,c_id,0),ca,'13(an)'!$HF$34,FALSE)="","",VLOOKUP(MATCH(E239,c_id,0),ca,'13(an)'!$HF$34,FALSE))</f>
        <v>79606</v>
      </c>
      <c r="U244" s="8828" t="str">
        <f>IF(T244="","","$ /ton "&amp;"NOx(R)")</f>
        <v>$ /ton NOx(R)</v>
      </c>
      <c r="V244" s="8828"/>
      <c r="W244" s="7716"/>
      <c r="X244" s="8860"/>
      <c r="Y244" s="7631">
        <f>+IF(VLOOKUP(MATCH(E239,c_id,0),ca,'13(an)'!$JE$34,FALSE)="","",VLOOKUP(MATCH(E239,c_id,0),ca,'13(an)'!$JE$34,FALSE))</f>
        <v>11200.433686230426</v>
      </c>
      <c r="Z244" s="8828" t="str">
        <f>IF(Y244="","","$ /ton "&amp;"NOx(R)")</f>
        <v>$ /ton NOx(R)</v>
      </c>
      <c r="AA244" s="8828"/>
      <c r="AB244" s="7717"/>
      <c r="AC244" s="8860"/>
      <c r="AD244" s="7631">
        <f>+IF(VLOOKUP(MATCH(E239,c_id,0),ca,'13(an)'!$LB$34,FALSE)="","",VLOOKUP(MATCH(E239,c_id,0),ca,'13(an)'!$LB$34,FALSE))</f>
        <v>16751.933255031941</v>
      </c>
      <c r="AE244" s="8828" t="str">
        <f>IF(AD244="","","$ /ton "&amp;"NOx(R)")</f>
        <v>$ /ton NOx(R)</v>
      </c>
      <c r="AF244" s="8828"/>
      <c r="AG244" s="7718"/>
      <c r="AH244" s="5962"/>
      <c r="AI244" s="5959"/>
      <c r="AJ244" s="5959"/>
      <c r="AK244" s="5959"/>
      <c r="AL244" s="5959"/>
      <c r="AM244" s="5959"/>
    </row>
    <row r="245" spans="1:39" ht="18" customHeight="1">
      <c r="A245" s="5952"/>
      <c r="B245" s="7516"/>
      <c r="C245" s="7430"/>
      <c r="D245" s="7625"/>
      <c r="E245" s="7516"/>
      <c r="F245" s="5952"/>
      <c r="G245" s="5959"/>
      <c r="H245" s="5952"/>
      <c r="I245" s="7519"/>
      <c r="J245" s="7519"/>
      <c r="K245" s="7519"/>
      <c r="L245" s="7519"/>
      <c r="M245" s="7625"/>
      <c r="N245" s="7719"/>
      <c r="O245" s="7574"/>
      <c r="P245" s="7524"/>
      <c r="Q245" s="7568"/>
      <c r="R245" s="7627"/>
      <c r="S245" s="7519"/>
      <c r="T245" s="7566" t="s">
        <v>1896</v>
      </c>
      <c r="U245" s="7766" t="s">
        <v>486</v>
      </c>
      <c r="V245" s="7470"/>
      <c r="W245" s="7567"/>
      <c r="X245" s="7519"/>
      <c r="Y245" s="7566" t="s">
        <v>1896</v>
      </c>
      <c r="Z245" s="7766" t="s">
        <v>486</v>
      </c>
      <c r="AA245" s="7470"/>
      <c r="AB245" s="7470"/>
      <c r="AC245" s="7519"/>
      <c r="AD245" s="7566" t="s">
        <v>1896</v>
      </c>
      <c r="AE245" s="7769" t="s">
        <v>486</v>
      </c>
      <c r="AF245" s="7636"/>
      <c r="AG245" s="7470"/>
      <c r="AH245" s="5962"/>
      <c r="AI245" s="5959"/>
      <c r="AJ245" s="5959"/>
      <c r="AK245" s="5959"/>
      <c r="AL245" s="5959"/>
      <c r="AM245" s="5959"/>
    </row>
    <row r="246" spans="1:39" ht="18" customHeight="1">
      <c r="A246" s="5952"/>
      <c r="B246" s="7450"/>
      <c r="C246" s="7430"/>
      <c r="D246" s="7449"/>
      <c r="E246" s="7450"/>
      <c r="F246" s="5952"/>
      <c r="G246" s="5959"/>
      <c r="H246" s="5952"/>
      <c r="I246" s="5952"/>
      <c r="J246" s="5952"/>
      <c r="K246" s="5952"/>
      <c r="L246" s="5952"/>
      <c r="M246" s="7449"/>
      <c r="N246" s="7720"/>
      <c r="O246" s="5952"/>
      <c r="P246" s="7721"/>
      <c r="Q246" s="5952"/>
      <c r="R246" s="7722"/>
      <c r="S246" s="5962"/>
      <c r="T246" s="5962"/>
      <c r="U246" s="5962"/>
      <c r="V246" s="7431"/>
      <c r="W246" s="7468"/>
      <c r="X246" s="5962"/>
      <c r="Y246" s="7723"/>
      <c r="Z246" s="5962"/>
      <c r="AA246" s="7431"/>
      <c r="AB246" s="7467"/>
      <c r="AC246" s="5952"/>
      <c r="AD246" s="5963"/>
      <c r="AE246" s="5952"/>
      <c r="AF246" s="7467"/>
      <c r="AG246" s="7431"/>
      <c r="AH246" s="5962"/>
      <c r="AI246" s="5959"/>
      <c r="AJ246" s="5959"/>
      <c r="AK246" s="5959"/>
      <c r="AL246" s="5959"/>
      <c r="AM246" s="5959"/>
    </row>
    <row r="247" spans="1:39" ht="15" customHeight="1">
      <c r="A247" s="5952"/>
      <c r="B247" s="7450"/>
      <c r="C247" s="7430"/>
      <c r="D247" s="7449"/>
      <c r="E247" s="7450"/>
      <c r="F247" s="5952"/>
      <c r="G247" s="5959"/>
      <c r="H247" s="5952"/>
      <c r="I247" s="5952"/>
      <c r="J247" s="5952"/>
      <c r="K247" s="5952"/>
      <c r="L247" s="5952"/>
      <c r="M247" s="7449"/>
      <c r="N247" s="7720"/>
      <c r="O247" s="5952"/>
      <c r="P247" s="7721"/>
      <c r="Q247" s="5952"/>
      <c r="R247" s="7722"/>
      <c r="S247" s="8762"/>
      <c r="T247" s="8762"/>
      <c r="U247" s="8762"/>
      <c r="V247" s="7431"/>
      <c r="W247" s="7468"/>
      <c r="X247" s="8762"/>
      <c r="Y247" s="7723"/>
      <c r="Z247" s="8762"/>
      <c r="AA247" s="7431"/>
      <c r="AB247" s="7467"/>
      <c r="AC247" s="5952"/>
      <c r="AD247" s="5963"/>
      <c r="AE247" s="5952"/>
      <c r="AF247" s="7467"/>
      <c r="AG247" s="7431"/>
      <c r="AH247" s="8762"/>
      <c r="AI247" s="5959"/>
      <c r="AJ247" s="5959"/>
      <c r="AK247" s="5959"/>
      <c r="AL247" s="5959"/>
      <c r="AM247" s="5959"/>
    </row>
    <row r="248" spans="1:39">
      <c r="A248" s="5952"/>
      <c r="B248" s="7450"/>
      <c r="C248" s="7430"/>
      <c r="D248" s="7449"/>
      <c r="E248" s="7450"/>
      <c r="F248" s="5952"/>
      <c r="G248" s="5959"/>
      <c r="H248" s="5952"/>
      <c r="I248" s="5952"/>
      <c r="J248" s="5952"/>
      <c r="K248" s="5952"/>
      <c r="L248" s="5952"/>
      <c r="M248" s="7449"/>
      <c r="N248" s="7720"/>
      <c r="O248" s="5952"/>
      <c r="P248" s="7721"/>
      <c r="Q248" s="5952"/>
      <c r="R248" s="7721"/>
      <c r="S248" s="5962"/>
      <c r="T248" s="5962"/>
      <c r="U248" s="5962"/>
      <c r="V248" s="7431"/>
      <c r="W248" s="7468"/>
      <c r="X248" s="5962"/>
      <c r="Y248" s="7724"/>
      <c r="Z248" s="8873" t="s">
        <v>2033</v>
      </c>
      <c r="AA248" s="8873"/>
      <c r="AB248" s="7477"/>
      <c r="AC248" s="5952"/>
      <c r="AD248" s="7464"/>
      <c r="AE248" s="8873" t="s">
        <v>2033</v>
      </c>
      <c r="AF248" s="8873"/>
      <c r="AG248" s="7477"/>
      <c r="AH248" s="5962"/>
      <c r="AI248" s="5959"/>
      <c r="AJ248" s="5959"/>
      <c r="AK248" s="5959"/>
      <c r="AL248" s="5959"/>
      <c r="AM248" s="5959"/>
    </row>
    <row r="249" spans="1:39">
      <c r="A249" s="5952"/>
      <c r="B249" s="7450"/>
      <c r="C249" s="7430"/>
      <c r="D249" s="7449"/>
      <c r="E249" s="7450"/>
      <c r="F249" s="5952"/>
      <c r="G249" s="5959"/>
      <c r="H249" s="5952"/>
      <c r="I249" s="5952"/>
      <c r="J249" s="5952"/>
      <c r="K249" s="5952"/>
      <c r="L249" s="5952"/>
      <c r="M249" s="7449"/>
      <c r="N249" s="7720"/>
      <c r="O249" s="5952"/>
      <c r="P249" s="7721"/>
      <c r="Q249" s="5952"/>
      <c r="R249" s="7721"/>
      <c r="S249" s="5962"/>
      <c r="T249" s="5962"/>
      <c r="U249" s="5962"/>
      <c r="V249" s="7431"/>
      <c r="W249" s="7468"/>
      <c r="X249" s="5962"/>
      <c r="Y249" s="5962"/>
      <c r="Z249" s="7725" t="s">
        <v>1181</v>
      </c>
      <c r="AA249" s="7726">
        <f>+AA17</f>
        <v>40</v>
      </c>
      <c r="AB249" s="7479"/>
      <c r="AC249" s="7467"/>
      <c r="AD249" s="5952"/>
      <c r="AE249" s="7725" t="s">
        <v>1181</v>
      </c>
      <c r="AF249" s="7726">
        <f>+AF17</f>
        <v>40</v>
      </c>
      <c r="AG249" s="7479"/>
      <c r="AH249" s="5962"/>
      <c r="AI249" s="5959"/>
      <c r="AJ249" s="5959"/>
      <c r="AK249" s="5959"/>
      <c r="AL249" s="5959"/>
      <c r="AM249" s="5959"/>
    </row>
    <row r="250" spans="1:39">
      <c r="A250" s="5952"/>
      <c r="B250" s="7450"/>
      <c r="C250" s="7430"/>
      <c r="D250" s="7449"/>
      <c r="E250" s="7450"/>
      <c r="F250" s="5952"/>
      <c r="G250" s="5959"/>
      <c r="H250" s="5952"/>
      <c r="I250" s="5952"/>
      <c r="J250" s="5952"/>
      <c r="K250" s="5952"/>
      <c r="L250" s="5952"/>
      <c r="M250" s="7449"/>
      <c r="N250" s="7720"/>
      <c r="O250" s="5952"/>
      <c r="P250" s="7721"/>
      <c r="Q250" s="5952"/>
      <c r="R250" s="7721"/>
      <c r="S250" s="5962"/>
      <c r="T250" s="5962"/>
      <c r="U250" s="5962"/>
      <c r="V250" s="7431"/>
      <c r="W250" s="7468"/>
      <c r="X250" s="5962"/>
      <c r="Y250" s="5962"/>
      <c r="Z250" s="7725" t="s">
        <v>1182</v>
      </c>
      <c r="AA250" s="7727">
        <f>+AA18</f>
        <v>7.0000000000000007E-2</v>
      </c>
      <c r="AB250" s="7481"/>
      <c r="AC250" s="7467"/>
      <c r="AD250" s="5952"/>
      <c r="AE250" s="7725" t="s">
        <v>1182</v>
      </c>
      <c r="AF250" s="7727">
        <f>+AF18</f>
        <v>7.0000000000000007E-2</v>
      </c>
      <c r="AG250" s="7481"/>
      <c r="AH250" s="5962"/>
      <c r="AI250" s="5959"/>
      <c r="AJ250" s="5959"/>
      <c r="AK250" s="5959"/>
      <c r="AL250" s="5959"/>
      <c r="AM250" s="5959"/>
    </row>
    <row r="251" spans="1:39">
      <c r="A251" s="5952"/>
      <c r="B251" s="7728"/>
      <c r="C251" s="7430"/>
      <c r="D251" s="7449"/>
      <c r="E251" s="7450"/>
      <c r="F251" s="5952"/>
      <c r="G251" s="5959"/>
      <c r="H251" s="5952"/>
      <c r="I251" s="5952"/>
      <c r="J251" s="7526"/>
      <c r="K251" s="7526" t="s">
        <v>1159</v>
      </c>
      <c r="L251" s="7526"/>
      <c r="M251" s="7449"/>
      <c r="N251" s="7720"/>
      <c r="O251" s="5952"/>
      <c r="P251" s="7721"/>
      <c r="Q251" s="5952"/>
      <c r="R251" s="7721"/>
      <c r="S251" s="5962"/>
      <c r="T251" s="5962"/>
      <c r="U251" s="5962"/>
      <c r="V251" s="7431"/>
      <c r="W251" s="7468"/>
      <c r="X251" s="5962"/>
      <c r="Y251" s="5962"/>
      <c r="Z251" s="7725" t="s">
        <v>1094</v>
      </c>
      <c r="AA251" s="7729">
        <f>+(AA250*(1+AA250)^AA249)/((1+AA250)^AA249-1)</f>
        <v>7.5009138873610326E-2</v>
      </c>
      <c r="AB251" s="7484"/>
      <c r="AC251" s="7467"/>
      <c r="AD251" s="5952"/>
      <c r="AE251" s="7725" t="s">
        <v>1094</v>
      </c>
      <c r="AF251" s="7729">
        <f>+(AF250*(1+AF250)^AF249)/((1+AF250)^AF249-1)</f>
        <v>7.5009138873610326E-2</v>
      </c>
      <c r="AG251" s="7484"/>
      <c r="AH251" s="5962"/>
      <c r="AI251" s="5959"/>
      <c r="AJ251" s="5959"/>
      <c r="AK251" s="5959"/>
      <c r="AL251" s="5959"/>
      <c r="AM251" s="5959"/>
    </row>
    <row r="252" spans="1:39" ht="14.1" customHeight="1" thickBot="1">
      <c r="A252" s="5952"/>
      <c r="B252" s="7728"/>
      <c r="C252" s="7430"/>
      <c r="D252" s="7449"/>
      <c r="E252" s="7450"/>
      <c r="F252" s="5952"/>
      <c r="G252" s="5959"/>
      <c r="H252" s="5952"/>
      <c r="I252" s="5952"/>
      <c r="J252" s="5952"/>
      <c r="K252" s="7526" t="str">
        <f>+IF(B253="","",IF(VLOOKUP(MATCH(B253,tid,0),tao,'12(id)'!$I$20,FALSE)="","",VLOOKUP(MATCH(B253,tid,0),tao,'12(id)'!$I$20,FALSE)))</f>
        <v>NRG Energy, Inc</v>
      </c>
      <c r="L252" s="5952"/>
      <c r="M252" s="5952"/>
      <c r="N252" s="5952"/>
      <c r="O252" s="5952"/>
      <c r="P252" s="5952"/>
      <c r="Q252" s="5952"/>
      <c r="R252" s="7721"/>
      <c r="S252" s="5962"/>
      <c r="T252" s="5962"/>
      <c r="U252" s="5962"/>
      <c r="V252" s="7431"/>
      <c r="W252" s="7468"/>
      <c r="X252" s="5962"/>
      <c r="Y252" s="5962"/>
      <c r="Z252" s="5962"/>
      <c r="AA252" s="7431"/>
      <c r="AB252" s="7467"/>
      <c r="AC252" s="5952"/>
      <c r="AD252" s="5952"/>
      <c r="AE252" s="5952"/>
      <c r="AF252" s="7467"/>
      <c r="AG252" s="7431"/>
      <c r="AH252" s="5962"/>
      <c r="AI252" s="5959"/>
      <c r="AJ252" s="5959"/>
      <c r="AK252" s="5959"/>
      <c r="AL252" s="5959"/>
      <c r="AM252" s="5959"/>
    </row>
    <row r="253" spans="1:39" ht="8.1" customHeight="1">
      <c r="A253" s="5952"/>
      <c r="B253" s="9034" t="str">
        <f>+IF('12(id)'!A50="","",'12(id)'!A50)</f>
        <v>8306-01</v>
      </c>
      <c r="C253" s="8881" t="str">
        <f>+IF(B253="","",VLOOKUP(MATCH(B253,tid,0),tao,'12(id)'!$J$20,FALSE))</f>
        <v>NRG</v>
      </c>
      <c r="D253" s="9107" t="str">
        <f>+IF(B253="","",M253)</f>
        <v>MD2</v>
      </c>
      <c r="E253" s="9023" t="str">
        <f>+IF(B253="","",B253&amp;IF(ISERR(VALUE(R253)),"-01",IF(R253&lt;10,"-0"&amp;R253,"-"&amp;R253)))</f>
        <v>8306-01-01</v>
      </c>
      <c r="F253" s="5952"/>
      <c r="G253" s="5959"/>
      <c r="H253" s="5952"/>
      <c r="I253" s="9096">
        <v>1</v>
      </c>
      <c r="J253" s="9098" t="str">
        <f>+IF(VLOOKUP(MATCH(B253,tid,0),tao,'12(id)'!$I$20,FALSE)="","",VLOOKUP(MATCH(B253,tid,0),tao,'12(id)'!$I$20,FALSE))</f>
        <v>NRG Energy, Inc</v>
      </c>
      <c r="K253" s="9063">
        <f>+IF(B253="","",IF(VLOOKUP(MATCH(B253,tid,0),tao,'12(id)'!$K$20,FALSE)="","",VLOOKUP(MATCH(B253,tid,0),tao,'12(id)'!$K$20,FALSE)))</f>
        <v>8306</v>
      </c>
      <c r="L253" s="9101" t="str">
        <f>+IF(B253="","",IF(VLOOKUP(MATCH(B253,tid,0),tao,'12(id)'!$L$20,FALSE)="","",VLOOKUP(MATCH(B253,tid,0),tao,'12(id)'!$L$20,FALSE)))</f>
        <v>Middletown</v>
      </c>
      <c r="M253" s="9082" t="str">
        <f>+IF(B253="","",IF(VLOOKUP(MATCH(B253,tid,0),tao,'12(id)'!$Q$20,FALSE)="","",VLOOKUP(MATCH(B253,tid,0),tao,'12(id)'!$Q$20,FALSE)))</f>
        <v>MD2</v>
      </c>
      <c r="N253" s="9084">
        <f>+IF(B253="","",IF(VLOOKUP(MATCH(B253,tid,0),tao,'12(id)'!$CT$20,FALSE)="","",VLOOKUP(MATCH(B253,tid,0),tao,'12(id)'!$CT$20,FALSE)))</f>
        <v>120</v>
      </c>
      <c r="O253" s="9149" t="str">
        <f>+IF(B253="","",IF(VLOOKUP(MATCH(B253,tid,0),tao,'12(id)'!$DE$20,FALSE)="","",ROUND(VLOOKUP(MATCH(B253,tid,0),tao,'12(id)'!$DE$20,FALSE),0)&amp;" yrs"))</f>
        <v/>
      </c>
      <c r="P253" s="9028" t="str">
        <f>+IF(B253="","",IF(VLOOKUP(MATCH(B253,tid,0),tao,'12(id)'!$FR$20,FALSE)="","",VLOOKUP(MATCH(B253,tid,0),tao,'12(id)'!$FR$20,FALSE)))</f>
        <v>None</v>
      </c>
      <c r="Q253" s="9000" t="str">
        <f>+IF(B253="","",IF(VLOOKUP(MATCH(B253,tid,0),tao,'12(id)'!$DI$20,FALSE)="","",VLOOKUP(MATCH(B253,tid,0),tao,'12(id)'!$DI$20,FALSE))&amp;";  "&amp;IF(VLOOKUP(MATCH(B253,tid,0),tao,'12(id)'!$DQ$20,FALSE)="","",VLOOKUP(MATCH(B253,tid,0),tao,'12(id)'!$DQ$20,FALSE)))</f>
        <v>No. 6 oil;  No. 2 oil</v>
      </c>
      <c r="R253" s="9022">
        <f>+IF(B253="","",1)</f>
        <v>1</v>
      </c>
      <c r="S253" s="8817"/>
      <c r="T253" s="8861" t="str">
        <f>+IF(VLOOKUP(MATCH(E253,c_id,0),ca,'13(an)'!$BD$34,FALSE)="","",VLOOKUP(MATCH(E253,c_id,0),ca,'13(an)'!$BD$34,FALSE))</f>
        <v>Rotating Opposed Fire Air (ROFA)</v>
      </c>
      <c r="U253" s="8861"/>
      <c r="V253" s="8861"/>
      <c r="W253" s="7528"/>
      <c r="X253" s="8817"/>
      <c r="Y253" s="8861" t="str">
        <f>+T253</f>
        <v>Rotating Opposed Fire Air (ROFA)</v>
      </c>
      <c r="Z253" s="8861"/>
      <c r="AA253" s="8861"/>
      <c r="AB253" s="7529"/>
      <c r="AC253" s="8817"/>
      <c r="AD253" s="8861" t="str">
        <f>+T253</f>
        <v>Rotating Opposed Fire Air (ROFA)</v>
      </c>
      <c r="AE253" s="8861"/>
      <c r="AF253" s="8861"/>
      <c r="AG253" s="7530"/>
      <c r="AH253" s="5962"/>
      <c r="AI253" s="5959"/>
      <c r="AJ253" s="5959"/>
      <c r="AK253" s="5959"/>
      <c r="AL253" s="5959"/>
      <c r="AM253" s="5959"/>
    </row>
    <row r="254" spans="1:39" ht="8.1" customHeight="1">
      <c r="A254" s="5952"/>
      <c r="B254" s="9035"/>
      <c r="C254" s="8852" t="str">
        <f>+IF(B254="","",VLOOKUP(MATCH(B254,tid,0),tao,'12(id)'!$J$20,FALSE))</f>
        <v/>
      </c>
      <c r="D254" s="9108" t="e">
        <f t="shared" ref="D254:D294" si="3">+M254</f>
        <v>#N/A</v>
      </c>
      <c r="E254" s="9079"/>
      <c r="F254" s="5952"/>
      <c r="G254" s="5959"/>
      <c r="H254" s="5952"/>
      <c r="I254" s="9097"/>
      <c r="J254" s="9099" t="e">
        <f>+IF(VLOOKUP(MATCH(B254,tid,0),tao,'12(id)'!$I$20,FALSE)="","",VLOOKUP(MATCH(B254,tid,0),tao,'12(id)'!$I$20,FALSE))</f>
        <v>#N/A</v>
      </c>
      <c r="K254" s="9064" t="e">
        <f>+IF(VLOOKUP(MATCH(B254,tid,0),tao,'12(id)'!$K$20,FALSE)="","",VLOOKUP(MATCH(B254,tid,0),tao,'12(id)'!$K$20,FALSE))</f>
        <v>#N/A</v>
      </c>
      <c r="L254" s="9102" t="e">
        <f>+IF(VLOOKUP(MATCH(B254,tid,0),tao,'12(id)'!$L$20,FALSE)="","",VLOOKUP(MATCH(B254,tid,0),tao,'12(id)'!$L$20,FALSE))</f>
        <v>#N/A</v>
      </c>
      <c r="M254" s="9083" t="e">
        <f>+IF(VLOOKUP(MATCH(B254,tid,0),tao,'12(id)'!$Q$20,FALSE)="","",VLOOKUP(MATCH(B254,tid,0),tao,'12(id)'!$Q$20,FALSE))</f>
        <v>#N/A</v>
      </c>
      <c r="N254" s="9085" t="e">
        <f>+IF(VLOOKUP(MATCH(B254,tid,0),tao,'12(id)'!$CT$20,FALSE)="","",VLOOKUP(MATCH(B254,tid,0),tao,'12(id)'!$CT$20,FALSE))</f>
        <v>#N/A</v>
      </c>
      <c r="O254" s="9150" t="e">
        <f>+IF(VLOOKUP(MATCH(B254,tid,0),tao,'12(id)'!$DE$20,FALSE)="","",ROUND(VLOOKUP(MATCH(B254,tid,0),tao,'12(id)'!$DE$20,FALSE),0)&amp;" yrs")</f>
        <v>#N/A</v>
      </c>
      <c r="P254" s="9029"/>
      <c r="Q254" s="9001" t="e">
        <f>+IF(VLOOKUP(MATCH(B254,tid,0),tao,'12(id)'!$DI$20,FALSE)="","",VLOOKUP(MATCH(B254,tid,0),tao,'12(id)'!$DI$20,FALSE))&amp;";  "&amp;IF(VLOOKUP(MATCH(B254,tid,0),tao,'12(id)'!$DQ$20,FALSE)="","",VLOOKUP(MATCH(B254,tid,0),tao,'12(id)'!$DQ$20,FALSE))</f>
        <v>#N/A</v>
      </c>
      <c r="R254" s="8906"/>
      <c r="S254" s="8818"/>
      <c r="T254" s="8870"/>
      <c r="U254" s="8870"/>
      <c r="V254" s="8870"/>
      <c r="W254" s="7531"/>
      <c r="X254" s="8818"/>
      <c r="Y254" s="8870"/>
      <c r="Z254" s="8870"/>
      <c r="AA254" s="8870"/>
      <c r="AB254" s="7532"/>
      <c r="AC254" s="8818"/>
      <c r="AD254" s="8870"/>
      <c r="AE254" s="8870"/>
      <c r="AF254" s="8870"/>
      <c r="AG254" s="7533"/>
      <c r="AH254" s="5962"/>
      <c r="AI254" s="5959"/>
      <c r="AJ254" s="5959"/>
      <c r="AK254" s="5959"/>
      <c r="AL254" s="5959"/>
      <c r="AM254" s="5959"/>
    </row>
    <row r="255" spans="1:39" ht="12.75" customHeight="1">
      <c r="A255" s="5952"/>
      <c r="B255" s="9035"/>
      <c r="C255" s="8852" t="str">
        <f>+IF(B255="","",VLOOKUP(MATCH(B255,tid,0),tao,'12(id)'!$J$20,FALSE))</f>
        <v/>
      </c>
      <c r="D255" s="9108" t="e">
        <f t="shared" si="3"/>
        <v>#N/A</v>
      </c>
      <c r="E255" s="9079"/>
      <c r="F255" s="5952"/>
      <c r="G255" s="5959"/>
      <c r="H255" s="5952"/>
      <c r="I255" s="9097"/>
      <c r="J255" s="9099" t="e">
        <f>+IF(VLOOKUP(MATCH(B255,tid,0),tao,'12(id)'!$I$20,FALSE)="","",VLOOKUP(MATCH(B255,tid,0),tao,'12(id)'!$I$20,FALSE))</f>
        <v>#N/A</v>
      </c>
      <c r="K255" s="9064" t="e">
        <f>+IF(VLOOKUP(MATCH(B255,tid,0),tao,'12(id)'!$K$20,FALSE)="","",VLOOKUP(MATCH(B255,tid,0),tao,'12(id)'!$K$20,FALSE))</f>
        <v>#N/A</v>
      </c>
      <c r="L255" s="9102" t="e">
        <f>+IF(VLOOKUP(MATCH(B255,tid,0),tao,'12(id)'!$L$20,FALSE)="","",VLOOKUP(MATCH(B255,tid,0),tao,'12(id)'!$L$20,FALSE))</f>
        <v>#N/A</v>
      </c>
      <c r="M255" s="9083" t="e">
        <f>+IF(VLOOKUP(MATCH(B255,tid,0),tao,'12(id)'!$Q$20,FALSE)="","",VLOOKUP(MATCH(B255,tid,0),tao,'12(id)'!$Q$20,FALSE))</f>
        <v>#N/A</v>
      </c>
      <c r="N255" s="9085" t="e">
        <f>+IF(VLOOKUP(MATCH(B255,tid,0),tao,'12(id)'!$CT$20,FALSE)="","",VLOOKUP(MATCH(B255,tid,0),tao,'12(id)'!$CT$20,FALSE))</f>
        <v>#N/A</v>
      </c>
      <c r="O255" s="9150" t="e">
        <f>+IF(VLOOKUP(MATCH(B255,tid,0),tao,'12(id)'!$DE$20,FALSE)="","",ROUND(VLOOKUP(MATCH(B255,tid,0),tao,'12(id)'!$DE$20,FALSE),0)&amp;" yrs")</f>
        <v>#N/A</v>
      </c>
      <c r="P255" s="9029"/>
      <c r="Q255" s="9001" t="e">
        <f>+IF(VLOOKUP(MATCH(B255,tid,0),tao,'12(id)'!$DI$20,FALSE)="","",VLOOKUP(MATCH(B255,tid,0),tao,'12(id)'!$DI$20,FALSE))&amp;";  "&amp;IF(VLOOKUP(MATCH(B255,tid,0),tao,'12(id)'!$DQ$20,FALSE)="","",VLOOKUP(MATCH(B255,tid,0),tao,'12(id)'!$DQ$20,FALSE))</f>
        <v>#N/A</v>
      </c>
      <c r="R255" s="8906"/>
      <c r="S255" s="8818"/>
      <c r="T255" s="7600" t="str">
        <f>+IF(E253="","",IF(VLOOKUP(MATCH(E253,c_id,0),ca,'13(an)'!$CC$34,FALSE)="",IF(VLOOKUP(MATCH(E253,c_id,0),ca,'13(an)'!$CD$34,FALSE)="",IF(VLOOKUP(MATCH(E253,c_id,0),ca,'13(an)'!$CE$34,FALSE)="","η ≈ N/A","η ≈ "&amp;ROUND(VLOOKUP(MATCH(E253,c_id,0),ca,'13(an)'!$CE$34,FALSE)*100,0)&amp;"%"),"η ≈ "&amp;ROUND(VLOOKUP(MATCH(E253,c_id,0),ca,'13(an)'!$CD$34,FALSE)*100,0)&amp;"%"),"η ≈ "&amp;ROUND(VLOOKUP(MATCH(E253,c_id,0),ca,'13(an)'!$CC$34,FALSE)*100,0)&amp;"%"))</f>
        <v>η ≈ 17%</v>
      </c>
      <c r="U255" s="7601" t="str">
        <f>+IF($U$295="ppmvd",IF(VLOOKUP(MATCH(E253,c_id,0),ca,'13(an)'!$BV$34,FALSE)="","",ROUND(VLOOKUP(MATCH(E253,c_id,0),ca,'13(an)'!$BV$34,FALSE),1)&amp;" ppmvd"),IF(VLOOKUP(MATCH(E253,c_id,0),ca,'13(an)'!$BU$34,FALSE)="","",IF(LEN(ROUND(VLOOKUP(MATCH(E253,c_id,0),ca,'13(an)'!$BU$34,FALSE),3))=3,ROUND(VLOOKUP(MATCH(E253,c_id,0),ca,'13(an)'!$BU$34,FALSE),3)&amp;"00 lb/MMBtu",IF(LEN(ROUND(VLOOKUP(MATCH(E253,c_id,0),ca,'13(an)'!$BU$34,FALSE),3))=4,ROUND(VLOOKUP(MATCH(E253,c_id,0),ca,'13(an)'!$BU$34,FALSE),3)&amp;"0 lb/MMBtu",ROUND(VLOOKUP(MATCH(E253,c_id,0),ca,'13(an)'!$BU$34,FALSE),3)&amp;" lb/MMBtu"))))</f>
        <v>0.150 lb/MMBtu</v>
      </c>
      <c r="V255" s="7602">
        <f>+IF(E253="","",IF(VLOOKUP(MATCH(E253,c_id,0),ca,'13(an)'!$CB$34,FALSE)="","NOx(R) = N/A",ROUND(VLOOKUP(MATCH(E253,c_id,0),ca,'13(an)'!$CB$34,FALSE),1)))</f>
        <v>15.3</v>
      </c>
      <c r="W255" s="7534"/>
      <c r="X255" s="8818"/>
      <c r="Y255" s="7600" t="str">
        <f>+IF(E253="","",IF(VLOOKUP(MATCH(E253,c_id,0),ca,'13(an)'!$CM$34,FALSE)="",IF(VLOOKUP(MATCH(E253,c_id,0),ca,'13(an)'!$CN$34,FALSE)="",IF(VLOOKUP(MATCH(E253,c_id,0),ca,'13(an)'!$CO$34,FALSE)="","η ≈ N/A","η ≈ "&amp;ROUND(VLOOKUP(MATCH(E253,c_id,0),ca,'13(an)'!$CO$34,FALSE)*100,0)&amp;"%"),"η ≈ "&amp;ROUND(VLOOKUP(MATCH(E253,c_id,0),ca,'13(an)'!$CN$34,FALSE)*100,0)&amp;"%"),"η ≈ "&amp;ROUND(VLOOKUP(MATCH(E253,c_id,0),ca,'13(an)'!$CM$34,FALSE)*100,0)&amp;"%"))</f>
        <v>η ≈ 35%</v>
      </c>
      <c r="Z255" s="7601" t="str">
        <f>+IF($Z$295="ppmvd",IF(VLOOKUP(MATCH(E253,c_id,0),ca,'13(an)'!$CJ$34,FALSE)="","",ROUND(VLOOKUP(MATCH(E253,c_id,0),ca,'13(an)'!$CJ$34,FALSE),1)&amp;" ppmvd"),IF(VLOOKUP(MATCH(E253,c_id,0),ca,'13(an)'!$CI$34,FALSE)="","",IF(LEN(ROUND(VLOOKUP(MATCH(E253,c_id,0),ca,'13(an)'!$CI$34,FALSE),3))=3,ROUND(VLOOKUP(MATCH(E253,c_id,0),ca,'13(an)'!$CI$34,FALSE),3)&amp;"00 lb/MMBtu",IF(LEN(ROUND(VLOOKUP(MATCH(E253,c_id,0),ca,'13(an)'!$CI$34,FALSE),3))=4,ROUND(VLOOKUP(MATCH(E253,c_id,0),ca,'13(an)'!$CI$34,FALSE),3)&amp;"0 lb/MMBtu",ROUND(VLOOKUP(MATCH(E253,c_id,0),ca,'13(an)'!$CI$34,FALSE),3)&amp;" lb/MMBtu"))))</f>
        <v>0.085 lb/MMBtu</v>
      </c>
      <c r="AA255" s="7602">
        <f>+IF(E253="","",IF(VLOOKUP(MATCH(E253,c_id,0),ca,'13(an)'!$CL$34,FALSE)="","NOx(R) = N/A",ROUND(VLOOKUP(MATCH(E253,c_id,0),ca,'13(an)'!$CL$34,FALSE),1)))</f>
        <v>33</v>
      </c>
      <c r="AB255" s="7535"/>
      <c r="AC255" s="8818"/>
      <c r="AD255" s="7600" t="str">
        <f>+IF(E253="","",IF(VLOOKUP(MATCH(E253,c_id,0),ca,'13(an)'!$CM$34,FALSE)="",IF(VLOOKUP(MATCH(E253,c_id,0),ca,'13(an)'!$CN$34,FALSE)="",IF(VLOOKUP(MATCH(E253,c_id,0),ca,'13(an)'!$CO$34,FALSE)="","η ≈ N/A","η ≈ "&amp;ROUND(VLOOKUP(MATCH(E253,c_id,0),ca,'13(an)'!$CO$34,FALSE)*100,0)&amp;"%"),"η ≈ "&amp;ROUND(VLOOKUP(MATCH(E253,c_id,0),ca,'13(an)'!$CN$34,FALSE)*100,0)&amp;"%"),"η ≈ "&amp;ROUND(VLOOKUP(MATCH(E253,c_id,0),ca,'13(an)'!$CM$34,FALSE)*100,0)&amp;"%"))</f>
        <v>η ≈ 35%</v>
      </c>
      <c r="AE255" s="7601" t="str">
        <f>+IF($AE$295="ppmvd",IF(VLOOKUP(MATCH(E253,c_id,0),ca,'13(an)'!$CJ$34,FALSE)="","",ROUND(VLOOKUP(MATCH(E253,c_id,0),ca,'13(an)'!$CJ$34,FALSE),1)&amp;" ppmvd"),IF(VLOOKUP(MATCH(E253,c_id,0),ca,'13(an)'!$CI$34,FALSE)="","",IF(LEN(ROUND(VLOOKUP(MATCH(E253,c_id,0),ca,'13(an)'!$CI$34,FALSE),3))=3,ROUND(VLOOKUP(MATCH(E253,c_id,0),ca,'13(an)'!$CI$34,FALSE),3)&amp;"00 lb/MMBtu",IF(LEN(ROUND(VLOOKUP(MATCH(E253,c_id,0),ca,'13(an)'!$CI$34,FALSE),3))=4,ROUND(VLOOKUP(MATCH(E253,c_id,0),ca,'13(an)'!$CI$34,FALSE),3)&amp;"0 lb/MMBtu",ROUND(VLOOKUP(MATCH(E253,c_id,0),ca,'13(an)'!$CI$34,FALSE),3)&amp;" lb/MMBtu"))))</f>
        <v>0.085 lb/MMBtu</v>
      </c>
      <c r="AF255" s="7602">
        <f>+IF(E253="","",IF(VLOOKUP(MATCH(E253,c_id,0),ca,'13(an)'!$CL$34,FALSE)="","NOx(R) = N/A",ROUND(VLOOKUP(MATCH(E253,c_id,0),ca,'13(an)'!$CL$34,FALSE),1)))</f>
        <v>33</v>
      </c>
      <c r="AG255" s="7536"/>
      <c r="AH255" s="5962"/>
      <c r="AI255" s="5959"/>
      <c r="AJ255" s="5959"/>
      <c r="AK255" s="5959"/>
      <c r="AL255" s="5959"/>
      <c r="AM255" s="5959"/>
    </row>
    <row r="256" spans="1:39" ht="12.75" customHeight="1">
      <c r="A256" s="5952"/>
      <c r="B256" s="9035"/>
      <c r="C256" s="8852" t="str">
        <f>+IF(B256="","",VLOOKUP(MATCH(B256,tid,0),tao,'12(id)'!$J$20,FALSE))</f>
        <v/>
      </c>
      <c r="D256" s="9108" t="e">
        <f t="shared" si="3"/>
        <v>#N/A</v>
      </c>
      <c r="E256" s="9079"/>
      <c r="F256" s="5952"/>
      <c r="G256" s="5959"/>
      <c r="H256" s="5952"/>
      <c r="I256" s="9097"/>
      <c r="J256" s="9099" t="e">
        <f>+IF(VLOOKUP(MATCH(B256,tid,0),tao,'12(id)'!$I$20,FALSE)="","",VLOOKUP(MATCH(B256,tid,0),tao,'12(id)'!$I$20,FALSE))</f>
        <v>#N/A</v>
      </c>
      <c r="K256" s="9064" t="e">
        <f>+IF(VLOOKUP(MATCH(B256,tid,0),tao,'12(id)'!$K$20,FALSE)="","",VLOOKUP(MATCH(B256,tid,0),tao,'12(id)'!$K$20,FALSE))</f>
        <v>#N/A</v>
      </c>
      <c r="L256" s="9102" t="e">
        <f>+IF(VLOOKUP(MATCH(B256,tid,0),tao,'12(id)'!$L$20,FALSE)="","",VLOOKUP(MATCH(B256,tid,0),tao,'12(id)'!$L$20,FALSE))</f>
        <v>#N/A</v>
      </c>
      <c r="M256" s="9083" t="e">
        <f>+IF(VLOOKUP(MATCH(B256,tid,0),tao,'12(id)'!$Q$20,FALSE)="","",VLOOKUP(MATCH(B256,tid,0),tao,'12(id)'!$Q$20,FALSE))</f>
        <v>#N/A</v>
      </c>
      <c r="N256" s="9085" t="e">
        <f>+IF(VLOOKUP(MATCH(B256,tid,0),tao,'12(id)'!$CT$20,FALSE)="","",VLOOKUP(MATCH(B256,tid,0),tao,'12(id)'!$CT$20,FALSE))</f>
        <v>#N/A</v>
      </c>
      <c r="O256" s="9150" t="e">
        <f>+IF(VLOOKUP(MATCH(B256,tid,0),tao,'12(id)'!$DE$20,FALSE)="","",ROUND(VLOOKUP(MATCH(B256,tid,0),tao,'12(id)'!$DE$20,FALSE),0)&amp;" yrs")</f>
        <v>#N/A</v>
      </c>
      <c r="P256" s="9029"/>
      <c r="Q256" s="9001" t="e">
        <f>+IF(VLOOKUP(MATCH(B256,tid,0),tao,'12(id)'!$DI$20,FALSE)="","",VLOOKUP(MATCH(B256,tid,0),tao,'12(id)'!$DI$20,FALSE))&amp;";  "&amp;IF(VLOOKUP(MATCH(B256,tid,0),tao,'12(id)'!$DQ$20,FALSE)="","",VLOOKUP(MATCH(B256,tid,0),tao,'12(id)'!$DQ$20,FALSE))</f>
        <v>#N/A</v>
      </c>
      <c r="R256" s="8906"/>
      <c r="S256" s="8818"/>
      <c r="T256" s="7543">
        <f>+IF(VLOOKUP(MATCH(E253,c_id,0),ca,'13(an)'!$GF$34,FALSE)="","",VLOOKUP(MATCH(E253,c_id,0),ca,'13(an)'!$GF$34,FALSE))</f>
        <v>6191538.8943999996</v>
      </c>
      <c r="U256" s="7570" t="str">
        <f>+IF(T256="","","$ TCC/unit")</f>
        <v>$ TCC/unit</v>
      </c>
      <c r="V256" s="7541">
        <f>+IF(VLOOKUP(MATCH(E253,c_id,0),ca,'13(an)'!$HA$34,FALSE)="","",VLOOKUP(MATCH(E253,c_id,0),ca,'13(an)'!$HA$34,FALSE))</f>
        <v>1591798</v>
      </c>
      <c r="W256" s="7540"/>
      <c r="X256" s="8818"/>
      <c r="Y256" s="7543">
        <f>+IF(VLOOKUP(MATCH(E253,c_id,0),ca,'13(an)'!$IA$34,FALSE)="","",VLOOKUP(MATCH(E253,c_id,0),ca,'13(an)'!$IA$34,FALSE))</f>
        <v>6191538.8455000008</v>
      </c>
      <c r="Z256" s="7570" t="str">
        <f>+IF(Y256="","","$ TCC/unit")</f>
        <v>$ TCC/unit</v>
      </c>
      <c r="AA256" s="7541">
        <f>+IF(Y256="","",$AA$19*Y256)</f>
        <v>464421.99710346252</v>
      </c>
      <c r="AB256" s="7541"/>
      <c r="AC256" s="8818"/>
      <c r="AD256" s="7543">
        <f>+IF(VLOOKUP(MATCH(E253,c_id,0),ca,'13(an)'!$JS$34,FALSE)="","",VLOOKUP(MATCH(E253,c_id,0),ca,'13(an)'!$JS$34,FALSE))</f>
        <v>6191538.8455000008</v>
      </c>
      <c r="AE256" s="7570" t="str">
        <f>+IF(AD256="","","$ TCC/unit")</f>
        <v>$ TCC/unit</v>
      </c>
      <c r="AF256" s="7541">
        <f>+IF(AD256="","",$AF$19*AD256)</f>
        <v>464421.99710346252</v>
      </c>
      <c r="AG256" s="7542"/>
      <c r="AH256" s="5962"/>
      <c r="AI256" s="5959"/>
      <c r="AJ256" s="5959"/>
      <c r="AK256" s="5959"/>
      <c r="AL256" s="5959"/>
      <c r="AM256" s="5959"/>
    </row>
    <row r="257" spans="1:39" ht="12.75" customHeight="1">
      <c r="A257" s="5952"/>
      <c r="B257" s="9035"/>
      <c r="C257" s="8852" t="str">
        <f>+IF(B257="","",VLOOKUP(MATCH(B257,tid,0),tao,'12(id)'!$J$20,FALSE))</f>
        <v/>
      </c>
      <c r="D257" s="9108" t="e">
        <f t="shared" si="3"/>
        <v>#N/A</v>
      </c>
      <c r="E257" s="9079"/>
      <c r="F257" s="5952"/>
      <c r="G257" s="5959"/>
      <c r="H257" s="5952"/>
      <c r="I257" s="9097"/>
      <c r="J257" s="9099" t="e">
        <f>+IF(VLOOKUP(MATCH(B257,tid,0),tao,'12(id)'!$I$20,FALSE)="","",VLOOKUP(MATCH(B257,tid,0),tao,'12(id)'!$I$20,FALSE))</f>
        <v>#N/A</v>
      </c>
      <c r="K257" s="9064" t="e">
        <f>+IF(VLOOKUP(MATCH(B257,tid,0),tao,'12(id)'!$K$20,FALSE)="","",VLOOKUP(MATCH(B257,tid,0),tao,'12(id)'!$K$20,FALSE))</f>
        <v>#N/A</v>
      </c>
      <c r="L257" s="9102" t="e">
        <f>+IF(VLOOKUP(MATCH(B257,tid,0),tao,'12(id)'!$L$20,FALSE)="","",VLOOKUP(MATCH(B257,tid,0),tao,'12(id)'!$L$20,FALSE))</f>
        <v>#N/A</v>
      </c>
      <c r="M257" s="9083" t="e">
        <f>+IF(VLOOKUP(MATCH(B257,tid,0),tao,'12(id)'!$Q$20,FALSE)="","",VLOOKUP(MATCH(B257,tid,0),tao,'12(id)'!$Q$20,FALSE))</f>
        <v>#N/A</v>
      </c>
      <c r="N257" s="9085" t="e">
        <f>+IF(VLOOKUP(MATCH(B257,tid,0),tao,'12(id)'!$CT$20,FALSE)="","",VLOOKUP(MATCH(B257,tid,0),tao,'12(id)'!$CT$20,FALSE))</f>
        <v>#N/A</v>
      </c>
      <c r="O257" s="9150" t="e">
        <f>+IF(VLOOKUP(MATCH(B257,tid,0),tao,'12(id)'!$DE$20,FALSE)="","",ROUND(VLOOKUP(MATCH(B257,tid,0),tao,'12(id)'!$DE$20,FALSE),0)&amp;" yrs")</f>
        <v>#N/A</v>
      </c>
      <c r="P257" s="9029"/>
      <c r="Q257" s="9001" t="e">
        <f>+IF(VLOOKUP(MATCH(B257,tid,0),tao,'12(id)'!$DI$20,FALSE)="","",VLOOKUP(MATCH(B257,tid,0),tao,'12(id)'!$DI$20,FALSE))&amp;";  "&amp;IF(VLOOKUP(MATCH(B257,tid,0),tao,'12(id)'!$DQ$20,FALSE)="","",VLOOKUP(MATCH(B257,tid,0),tao,'12(id)'!$DQ$20,FALSE))</f>
        <v>#N/A</v>
      </c>
      <c r="R257" s="8906"/>
      <c r="S257" s="8818"/>
      <c r="T257" s="7543">
        <f>+IF(OR(T256="",N253=""),"",T256/N253)</f>
        <v>51596.157453333333</v>
      </c>
      <c r="U257" s="8820" t="str">
        <f>+IF(T257="","","$ TCC / MW nominal capacity")</f>
        <v>$ TCC / MW nominal capacity</v>
      </c>
      <c r="V257" s="8820"/>
      <c r="W257" s="7544"/>
      <c r="X257" s="8818"/>
      <c r="Y257" s="7543">
        <f>+IF(OR(Y256="",N253=""),"",Y256/N253)</f>
        <v>51596.157045833337</v>
      </c>
      <c r="Z257" s="8820" t="str">
        <f>+IF(Y257="","","$ TCC / MW nominal capacity")</f>
        <v>$ TCC / MW nominal capacity</v>
      </c>
      <c r="AA257" s="8820"/>
      <c r="AB257" s="7545"/>
      <c r="AC257" s="8818"/>
      <c r="AD257" s="7543">
        <f>+IF(OR(AD256="",N253=""),"",AD256/N253)</f>
        <v>51596.157045833337</v>
      </c>
      <c r="AE257" s="8820" t="str">
        <f>+IF(AD257="","","$ TCC / MW nominal capacity")</f>
        <v>$ TCC / MW nominal capacity</v>
      </c>
      <c r="AF257" s="8820"/>
      <c r="AG257" s="7546"/>
      <c r="AH257" s="5962"/>
      <c r="AI257" s="5959"/>
      <c r="AJ257" s="5959"/>
      <c r="AK257" s="5959"/>
      <c r="AL257" s="5959"/>
      <c r="AM257" s="5959"/>
    </row>
    <row r="258" spans="1:39" ht="12.75" customHeight="1">
      <c r="A258" s="5952"/>
      <c r="B258" s="9035"/>
      <c r="C258" s="8852" t="str">
        <f>+IF(B258="","",VLOOKUP(MATCH(B258,tid,0),tao,'12(id)'!$J$20,FALSE))</f>
        <v/>
      </c>
      <c r="D258" s="9108" t="e">
        <f t="shared" si="3"/>
        <v>#N/A</v>
      </c>
      <c r="E258" s="9080"/>
      <c r="F258" s="5952"/>
      <c r="G258" s="5959"/>
      <c r="H258" s="5952"/>
      <c r="I258" s="9097"/>
      <c r="J258" s="9099" t="e">
        <f>+IF(VLOOKUP(MATCH(B258,tid,0),tao,'12(id)'!$I$20,FALSE)="","",VLOOKUP(MATCH(B258,tid,0),tao,'12(id)'!$I$20,FALSE))</f>
        <v>#N/A</v>
      </c>
      <c r="K258" s="9064" t="e">
        <f>+IF(VLOOKUP(MATCH(B258,tid,0),tao,'12(id)'!$K$20,FALSE)="","",VLOOKUP(MATCH(B258,tid,0),tao,'12(id)'!$K$20,FALSE))</f>
        <v>#N/A</v>
      </c>
      <c r="L258" s="9102" t="e">
        <f>+IF(VLOOKUP(MATCH(B258,tid,0),tao,'12(id)'!$L$20,FALSE)="","",VLOOKUP(MATCH(B258,tid,0),tao,'12(id)'!$L$20,FALSE))</f>
        <v>#N/A</v>
      </c>
      <c r="M258" s="9083" t="e">
        <f>+IF(VLOOKUP(MATCH(B258,tid,0),tao,'12(id)'!$Q$20,FALSE)="","",VLOOKUP(MATCH(B258,tid,0),tao,'12(id)'!$Q$20,FALSE))</f>
        <v>#N/A</v>
      </c>
      <c r="N258" s="9085" t="e">
        <f>+IF(VLOOKUP(MATCH(B258,tid,0),tao,'12(id)'!$CT$20,FALSE)="","",VLOOKUP(MATCH(B258,tid,0),tao,'12(id)'!$CT$20,FALSE))</f>
        <v>#N/A</v>
      </c>
      <c r="O258" s="9150" t="e">
        <f>+IF(VLOOKUP(MATCH(B258,tid,0),tao,'12(id)'!$DE$20,FALSE)="","",ROUND(VLOOKUP(MATCH(B258,tid,0),tao,'12(id)'!$DE$20,FALSE),0)&amp;" yrs")</f>
        <v>#N/A</v>
      </c>
      <c r="P258" s="9029"/>
      <c r="Q258" s="9001" t="e">
        <f>+IF(VLOOKUP(MATCH(B258,tid,0),tao,'12(id)'!$DI$20,FALSE)="","",VLOOKUP(MATCH(B258,tid,0),tao,'12(id)'!$DI$20,FALSE))&amp;";  "&amp;IF(VLOOKUP(MATCH(B258,tid,0),tao,'12(id)'!$DQ$20,FALSE)="","",VLOOKUP(MATCH(B258,tid,0),tao,'12(id)'!$DQ$20,FALSE))</f>
        <v>#N/A</v>
      </c>
      <c r="R258" s="8981"/>
      <c r="S258" s="8819"/>
      <c r="T258" s="7590">
        <f>+IF(VLOOKUP(MATCH(E253,c_id,0),ca,'13(an)'!$HF$34,FALSE)="","",VLOOKUP(MATCH(E253,c_id,0),ca,'13(an)'!$HF$34,FALSE))</f>
        <v>115582</v>
      </c>
      <c r="U258" s="8829" t="str">
        <f>IF(T258="","","$ /ton "&amp;"NOx(R)")</f>
        <v>$ /ton NOx(R)</v>
      </c>
      <c r="V258" s="8829"/>
      <c r="W258" s="7730"/>
      <c r="X258" s="8819"/>
      <c r="Y258" s="7590">
        <f>+IF(VLOOKUP(MATCH(E253,c_id,0),ca,'13(an)'!$JE$34,FALSE)="","",VLOOKUP(MATCH(E253,c_id,0),ca,'13(an)'!$JE$34,FALSE))</f>
        <v>19323.900427766534</v>
      </c>
      <c r="Z258" s="8829" t="str">
        <f>IF(Y258="","","$ /ton "&amp;"NOx(R)")</f>
        <v>$ /ton NOx(R)</v>
      </c>
      <c r="AA258" s="8829"/>
      <c r="AB258" s="7731"/>
      <c r="AC258" s="8819"/>
      <c r="AD258" s="7590">
        <f>+IF(VLOOKUP(MATCH(E253,c_id,0),ca,'13(an)'!$LB$34,FALSE)="","",VLOOKUP(MATCH(E253,c_id,0),ca,'13(an)'!$LB$34,FALSE))</f>
        <v>57787.401600568875</v>
      </c>
      <c r="AE258" s="8829" t="str">
        <f>IF(AD258="","","$ /ton "&amp;"NOx(R)")</f>
        <v>$ /ton NOx(R)</v>
      </c>
      <c r="AF258" s="8829"/>
      <c r="AG258" s="7732"/>
      <c r="AH258" s="5962"/>
      <c r="AI258" s="5959"/>
      <c r="AJ258" s="5959"/>
      <c r="AK258" s="5959"/>
      <c r="AL258" s="5959"/>
      <c r="AM258" s="5959"/>
    </row>
    <row r="259" spans="1:39" ht="12.75" customHeight="1">
      <c r="A259" s="5952"/>
      <c r="B259" s="9035"/>
      <c r="C259" s="8852" t="str">
        <f>+IF(B259="","",VLOOKUP(MATCH(B259,tid,0),tao,'12(id)'!$J$20,FALSE))</f>
        <v/>
      </c>
      <c r="D259" s="9108" t="e">
        <f t="shared" si="3"/>
        <v>#N/A</v>
      </c>
      <c r="E259" s="9045" t="str">
        <f>+IF(B253="","",B253&amp;IF(ISERR(VALUE(1+R253)),"-01",IF(1+R253&lt;10,"-0"&amp;1+R253,"-"&amp;1+R253)))</f>
        <v>8306-01-02</v>
      </c>
      <c r="F259" s="5952"/>
      <c r="G259" s="5959"/>
      <c r="H259" s="5952"/>
      <c r="I259" s="9097"/>
      <c r="J259" s="9099" t="e">
        <f>+IF(VLOOKUP(MATCH(B259,tid,0),tao,'12(id)'!$I$20,FALSE)="","",VLOOKUP(MATCH(B259,tid,0),tao,'12(id)'!$I$20,FALSE))</f>
        <v>#N/A</v>
      </c>
      <c r="K259" s="9064" t="e">
        <f>+IF(VLOOKUP(MATCH(B259,tid,0),tao,'12(id)'!$K$20,FALSE)="","",VLOOKUP(MATCH(B259,tid,0),tao,'12(id)'!$K$20,FALSE))</f>
        <v>#N/A</v>
      </c>
      <c r="L259" s="9102" t="e">
        <f>+IF(VLOOKUP(MATCH(B259,tid,0),tao,'12(id)'!$L$20,FALSE)="","",VLOOKUP(MATCH(B259,tid,0),tao,'12(id)'!$L$20,FALSE))</f>
        <v>#N/A</v>
      </c>
      <c r="M259" s="9083" t="e">
        <f>+IF(VLOOKUP(MATCH(B259,tid,0),tao,'12(id)'!$Q$20,FALSE)="","",VLOOKUP(MATCH(B259,tid,0),tao,'12(id)'!$Q$20,FALSE))</f>
        <v>#N/A</v>
      </c>
      <c r="N259" s="9085" t="e">
        <f>+IF(VLOOKUP(MATCH(B259,tid,0),tao,'12(id)'!$CT$20,FALSE)="","",VLOOKUP(MATCH(B259,tid,0),tao,'12(id)'!$CT$20,FALSE))</f>
        <v>#N/A</v>
      </c>
      <c r="O259" s="9150" t="e">
        <f>+IF(VLOOKUP(MATCH(B259,tid,0),tao,'12(id)'!$DE$20,FALSE)="","",ROUND(VLOOKUP(MATCH(B259,tid,0),tao,'12(id)'!$DE$20,FALSE),0)&amp;" yrs")</f>
        <v>#N/A</v>
      </c>
      <c r="P259" s="9029"/>
      <c r="Q259" s="9001" t="e">
        <f>+IF(VLOOKUP(MATCH(B259,tid,0),tao,'12(id)'!$DI$20,FALSE)="","",VLOOKUP(MATCH(B259,tid,0),tao,'12(id)'!$DI$20,FALSE))&amp;";  "&amp;IF(VLOOKUP(MATCH(B259,tid,0),tao,'12(id)'!$DQ$20,FALSE)="","",VLOOKUP(MATCH(B259,tid,0),tao,'12(id)'!$DQ$20,FALSE))</f>
        <v>#N/A</v>
      </c>
      <c r="R259" s="8906">
        <f>+IF(B253="","",1+R253)</f>
        <v>2</v>
      </c>
      <c r="S259" s="8859"/>
      <c r="T259" s="8870" t="str">
        <f>+IF(VLOOKUP(MATCH(E259,c_id,0),ca,'13(an)'!$BD$34,FALSE)="","",VLOOKUP(MATCH(E259,c_id,0),ca,'13(an)'!$BD$34,FALSE))</f>
        <v>Selective Catalytic Reduction (SCR) with ID fans</v>
      </c>
      <c r="U259" s="8870"/>
      <c r="V259" s="8870"/>
      <c r="W259" s="7531"/>
      <c r="X259" s="8859"/>
      <c r="Y259" s="8870" t="str">
        <f>+T259</f>
        <v>Selective Catalytic Reduction (SCR) with ID fans</v>
      </c>
      <c r="Z259" s="8870"/>
      <c r="AA259" s="8870"/>
      <c r="AB259" s="7532"/>
      <c r="AC259" s="8859"/>
      <c r="AD259" s="8870" t="str">
        <f>+T259</f>
        <v>Selective Catalytic Reduction (SCR) with ID fans</v>
      </c>
      <c r="AE259" s="8870"/>
      <c r="AF259" s="8870"/>
      <c r="AG259" s="7533"/>
      <c r="AH259" s="5962"/>
      <c r="AI259" s="5959"/>
      <c r="AJ259" s="5959"/>
      <c r="AK259" s="5959"/>
      <c r="AL259" s="5959"/>
      <c r="AM259" s="5959"/>
    </row>
    <row r="260" spans="1:39" ht="12.75" customHeight="1">
      <c r="A260" s="5952"/>
      <c r="B260" s="9035"/>
      <c r="C260" s="8852" t="str">
        <f>+IF(B260="","",VLOOKUP(MATCH(B260,tid,0),tao,'12(id)'!$J$20,FALSE))</f>
        <v/>
      </c>
      <c r="D260" s="9108" t="e">
        <f t="shared" si="3"/>
        <v>#N/A</v>
      </c>
      <c r="E260" s="9079"/>
      <c r="F260" s="5952"/>
      <c r="G260" s="5959"/>
      <c r="H260" s="5952"/>
      <c r="I260" s="9097"/>
      <c r="J260" s="9099" t="e">
        <f>+IF(VLOOKUP(MATCH(B260,tid,0),tao,'12(id)'!$I$20,FALSE)="","",VLOOKUP(MATCH(B260,tid,0),tao,'12(id)'!$I$20,FALSE))</f>
        <v>#N/A</v>
      </c>
      <c r="K260" s="9064" t="e">
        <f>+IF(VLOOKUP(MATCH(B260,tid,0),tao,'12(id)'!$K$20,FALSE)="","",VLOOKUP(MATCH(B260,tid,0),tao,'12(id)'!$K$20,FALSE))</f>
        <v>#N/A</v>
      </c>
      <c r="L260" s="9102" t="e">
        <f>+IF(VLOOKUP(MATCH(B260,tid,0),tao,'12(id)'!$L$20,FALSE)="","",VLOOKUP(MATCH(B260,tid,0),tao,'12(id)'!$L$20,FALSE))</f>
        <v>#N/A</v>
      </c>
      <c r="M260" s="9083" t="e">
        <f>+IF(VLOOKUP(MATCH(B260,tid,0),tao,'12(id)'!$Q$20,FALSE)="","",VLOOKUP(MATCH(B260,tid,0),tao,'12(id)'!$Q$20,FALSE))</f>
        <v>#N/A</v>
      </c>
      <c r="N260" s="9085" t="e">
        <f>+IF(VLOOKUP(MATCH(B260,tid,0),tao,'12(id)'!$CT$20,FALSE)="","",VLOOKUP(MATCH(B260,tid,0),tao,'12(id)'!$CT$20,FALSE))</f>
        <v>#N/A</v>
      </c>
      <c r="O260" s="9150" t="e">
        <f>+IF(VLOOKUP(MATCH(B260,tid,0),tao,'12(id)'!$DE$20,FALSE)="","",ROUND(VLOOKUP(MATCH(B260,tid,0),tao,'12(id)'!$DE$20,FALSE),0)&amp;" yrs")</f>
        <v>#N/A</v>
      </c>
      <c r="P260" s="9029"/>
      <c r="Q260" s="9001" t="e">
        <f>+IF(VLOOKUP(MATCH(B260,tid,0),tao,'12(id)'!$DI$20,FALSE)="","",VLOOKUP(MATCH(B260,tid,0),tao,'12(id)'!$DI$20,FALSE))&amp;";  "&amp;IF(VLOOKUP(MATCH(B260,tid,0),tao,'12(id)'!$DQ$20,FALSE)="","",VLOOKUP(MATCH(B260,tid,0),tao,'12(id)'!$DQ$20,FALSE))</f>
        <v>#N/A</v>
      </c>
      <c r="R260" s="8906"/>
      <c r="S260" s="8818"/>
      <c r="T260" s="8870"/>
      <c r="U260" s="8870"/>
      <c r="V260" s="8870"/>
      <c r="W260" s="7531"/>
      <c r="X260" s="8818"/>
      <c r="Y260" s="8870"/>
      <c r="Z260" s="8870"/>
      <c r="AA260" s="8870"/>
      <c r="AB260" s="7532"/>
      <c r="AC260" s="8818"/>
      <c r="AD260" s="8870"/>
      <c r="AE260" s="8870"/>
      <c r="AF260" s="8870"/>
      <c r="AG260" s="7533"/>
      <c r="AH260" s="5962"/>
      <c r="AI260" s="5959"/>
      <c r="AJ260" s="5959"/>
      <c r="AK260" s="5959"/>
      <c r="AL260" s="5959"/>
      <c r="AM260" s="5959"/>
    </row>
    <row r="261" spans="1:39" ht="12.75" customHeight="1">
      <c r="A261" s="5952"/>
      <c r="B261" s="9035"/>
      <c r="C261" s="8852" t="str">
        <f>+IF(B261="","",VLOOKUP(MATCH(B261,tid,0),tao,'12(id)'!$J$20,FALSE))</f>
        <v/>
      </c>
      <c r="D261" s="9108" t="e">
        <f t="shared" si="3"/>
        <v>#N/A</v>
      </c>
      <c r="E261" s="9079"/>
      <c r="F261" s="5952"/>
      <c r="G261" s="5959"/>
      <c r="H261" s="5952"/>
      <c r="I261" s="9097"/>
      <c r="J261" s="9099" t="e">
        <f>+IF(VLOOKUP(MATCH(B261,tid,0),tao,'12(id)'!$I$20,FALSE)="","",VLOOKUP(MATCH(B261,tid,0),tao,'12(id)'!$I$20,FALSE))</f>
        <v>#N/A</v>
      </c>
      <c r="K261" s="9064" t="e">
        <f>+IF(VLOOKUP(MATCH(B261,tid,0),tao,'12(id)'!$K$20,FALSE)="","",VLOOKUP(MATCH(B261,tid,0),tao,'12(id)'!$K$20,FALSE))</f>
        <v>#N/A</v>
      </c>
      <c r="L261" s="9102" t="e">
        <f>+IF(VLOOKUP(MATCH(B261,tid,0),tao,'12(id)'!$L$20,FALSE)="","",VLOOKUP(MATCH(B261,tid,0),tao,'12(id)'!$L$20,FALSE))</f>
        <v>#N/A</v>
      </c>
      <c r="M261" s="9083" t="e">
        <f>+IF(VLOOKUP(MATCH(B261,tid,0),tao,'12(id)'!$Q$20,FALSE)="","",VLOOKUP(MATCH(B261,tid,0),tao,'12(id)'!$Q$20,FALSE))</f>
        <v>#N/A</v>
      </c>
      <c r="N261" s="9085" t="e">
        <f>+IF(VLOOKUP(MATCH(B261,tid,0),tao,'12(id)'!$CT$20,FALSE)="","",VLOOKUP(MATCH(B261,tid,0),tao,'12(id)'!$CT$20,FALSE))</f>
        <v>#N/A</v>
      </c>
      <c r="O261" s="9150" t="e">
        <f>+IF(VLOOKUP(MATCH(B261,tid,0),tao,'12(id)'!$DE$20,FALSE)="","",ROUND(VLOOKUP(MATCH(B261,tid,0),tao,'12(id)'!$DE$20,FALSE),0)&amp;" yrs")</f>
        <v>#N/A</v>
      </c>
      <c r="P261" s="9029"/>
      <c r="Q261" s="9001" t="e">
        <f>+IF(VLOOKUP(MATCH(B261,tid,0),tao,'12(id)'!$DI$20,FALSE)="","",VLOOKUP(MATCH(B261,tid,0),tao,'12(id)'!$DI$20,FALSE))&amp;";  "&amp;IF(VLOOKUP(MATCH(B261,tid,0),tao,'12(id)'!$DQ$20,FALSE)="","",VLOOKUP(MATCH(B261,tid,0),tao,'12(id)'!$DQ$20,FALSE))</f>
        <v>#N/A</v>
      </c>
      <c r="R261" s="8906"/>
      <c r="S261" s="8818"/>
      <c r="T261" s="7584" t="str">
        <f>+IF(E259="","",IF(VLOOKUP(MATCH(E259,c_id,0),ca,'13(an)'!$CC$34,FALSE)="",IF(VLOOKUP(MATCH(E259,c_id,0),ca,'13(an)'!$CD$34,FALSE)="",IF(VLOOKUP(MATCH(E259,c_id,0),ca,'13(an)'!$CE$34,FALSE)="","η ≈ N/A","η ≈ "&amp;ROUND(VLOOKUP(MATCH(E259,c_id,0),ca,'13(an)'!$CE$34,FALSE)*100,0)&amp;"%"),"η ≈ "&amp;ROUND(VLOOKUP(MATCH(E259,c_id,0),ca,'13(an)'!$CD$34,FALSE)*100,0)&amp;"%"),"η ≈ "&amp;ROUND(VLOOKUP(MATCH(E259,c_id,0),ca,'13(an)'!$CC$34,FALSE)*100,0)&amp;"%"))</f>
        <v>η ≈ 44%</v>
      </c>
      <c r="U261" s="7585" t="str">
        <f>+IF($U$295="ppmvd",IF(VLOOKUP(MATCH(E259,c_id,0),ca,'13(an)'!$BV$34,FALSE)="","",ROUND(VLOOKUP(MATCH(E259,c_id,0),ca,'13(an)'!$BV$34,FALSE),1)&amp;" ppmvd"),IF(VLOOKUP(MATCH(E259,c_id,0),ca,'13(an)'!$BU$34,FALSE)="","",IF(LEN(ROUND(VLOOKUP(MATCH(E259,c_id,0),ca,'13(an)'!$BU$34,FALSE),3))=3,ROUND(VLOOKUP(MATCH(E259,c_id,0),ca,'13(an)'!$BU$34,FALSE),3)&amp;"00 lb/MMBtu",IF(LEN(ROUND(VLOOKUP(MATCH(E259,c_id,0),ca,'13(an)'!$BU$34,FALSE),3))=4,ROUND(VLOOKUP(MATCH(E259,c_id,0),ca,'13(an)'!$BU$34,FALSE),3)&amp;"0 lb/MMBtu",ROUND(VLOOKUP(MATCH(E259,c_id,0),ca,'13(an)'!$BU$34,FALSE),3)&amp;" lb/MMBtu"))))</f>
        <v>0.100 lb/MMBtu</v>
      </c>
      <c r="V261" s="7586">
        <f>+IF(E259="","",IF(VLOOKUP(MATCH(E259,c_id,0),ca,'13(an)'!$CB$34,FALSE)="","NOx(R) = N/A",ROUND(VLOOKUP(MATCH(E259,c_id,0),ca,'13(an)'!$CB$34,FALSE),1)))</f>
        <v>40.700000000000003</v>
      </c>
      <c r="W261" s="7534"/>
      <c r="X261" s="8818"/>
      <c r="Y261" s="7584" t="str">
        <f>+IF(E259="","",IF(VLOOKUP(MATCH(E259,c_id,0),ca,'13(an)'!$CM$34,FALSE)="",IF(VLOOKUP(MATCH(E259,c_id,0),ca,'13(an)'!$CN$34,FALSE)="",IF(VLOOKUP(MATCH(E259,c_id,0),ca,'13(an)'!$CO$34,FALSE)="","η ≈ N/A","η ≈ "&amp;ROUND(VLOOKUP(MATCH(E259,c_id,0),ca,'13(an)'!$CO$34,FALSE)*100,0)&amp;"%"),"η ≈ "&amp;ROUND(VLOOKUP(MATCH(E259,c_id,0),ca,'13(an)'!$CN$34,FALSE)*100,0)&amp;"%"),"η ≈ "&amp;ROUND(VLOOKUP(MATCH(E259,c_id,0),ca,'13(an)'!$CM$34,FALSE)*100,0)&amp;"%"))</f>
        <v>η ≈ 90%</v>
      </c>
      <c r="Z261" s="7585" t="str">
        <f>+IF($Z$295="ppmvd",IF(VLOOKUP(MATCH(E259,c_id,0),ca,'13(an)'!$CJ$34,FALSE)="","",ROUND(VLOOKUP(MATCH(E259,c_id,0),ca,'13(an)'!$CJ$34,FALSE),1)&amp;" ppmvd"),IF(VLOOKUP(MATCH(E259,c_id,0),ca,'13(an)'!$CI$34,FALSE)="","",IF(LEN(ROUND(VLOOKUP(MATCH(E259,c_id,0),ca,'13(an)'!$CI$34,FALSE),3))=3,ROUND(VLOOKUP(MATCH(E259,c_id,0),ca,'13(an)'!$CI$34,FALSE),3)&amp;"00 lb/MMBtu",IF(LEN(ROUND(VLOOKUP(MATCH(E259,c_id,0),ca,'13(an)'!$CI$34,FALSE),3))=4,ROUND(VLOOKUP(MATCH(E259,c_id,0),ca,'13(an)'!$CI$34,FALSE),3)&amp;"0 lb/MMBtu",ROUND(VLOOKUP(MATCH(E259,c_id,0),ca,'13(an)'!$CI$34,FALSE),3)&amp;" lb/MMBtu"))))</f>
        <v>0.013 lb/MMBtu</v>
      </c>
      <c r="AA261" s="7586">
        <f>+IF(E259="","",IF(VLOOKUP(MATCH(E259,c_id,0),ca,'13(an)'!$CL$34,FALSE)="","NOx(R) = N/A",ROUND(VLOOKUP(MATCH(E259,c_id,0),ca,'13(an)'!$CL$34,FALSE),1)))</f>
        <v>84.8</v>
      </c>
      <c r="AB261" s="7535"/>
      <c r="AC261" s="8818"/>
      <c r="AD261" s="7584" t="str">
        <f>+IF(E259="","",IF(VLOOKUP(MATCH(E259,c_id,0),ca,'13(an)'!$CM$34,FALSE)="",IF(VLOOKUP(MATCH(E259,c_id,0),ca,'13(an)'!$CN$34,FALSE)="",IF(VLOOKUP(MATCH(E259,c_id,0),ca,'13(an)'!$CO$34,FALSE)="","η ≈ N/A","η ≈ "&amp;ROUND(VLOOKUP(MATCH(E259,c_id,0),ca,'13(an)'!$CO$34,FALSE)*100,0)&amp;"%"),"η ≈ "&amp;ROUND(VLOOKUP(MATCH(E259,c_id,0),ca,'13(an)'!$CN$34,FALSE)*100,0)&amp;"%"),"η ≈ "&amp;ROUND(VLOOKUP(MATCH(E259,c_id,0),ca,'13(an)'!$CM$34,FALSE)*100,0)&amp;"%"))</f>
        <v>η ≈ 90%</v>
      </c>
      <c r="AE261" s="7585" t="str">
        <f>+IF($AE$295="ppmvd",IF(VLOOKUP(MATCH(E259,c_id,0),ca,'13(an)'!$CJ$34,FALSE)="","",ROUND(VLOOKUP(MATCH(E259,c_id,0),ca,'13(an)'!$CJ$34,FALSE),1)&amp;" ppmvd"),IF(VLOOKUP(MATCH(E259,c_id,0),ca,'13(an)'!$CI$34,FALSE)="","",IF(LEN(ROUND(VLOOKUP(MATCH(E259,c_id,0),ca,'13(an)'!$CI$34,FALSE),3))=3,ROUND(VLOOKUP(MATCH(E259,c_id,0),ca,'13(an)'!$CI$34,FALSE),3)&amp;"00 lb/MMBtu",IF(LEN(ROUND(VLOOKUP(MATCH(E259,c_id,0),ca,'13(an)'!$CI$34,FALSE),3))=4,ROUND(VLOOKUP(MATCH(E259,c_id,0),ca,'13(an)'!$CI$34,FALSE),3)&amp;"0 lb/MMBtu",ROUND(VLOOKUP(MATCH(E259,c_id,0),ca,'13(an)'!$CI$34,FALSE),3)&amp;" lb/MMBtu"))))</f>
        <v>0.013 lb/MMBtu</v>
      </c>
      <c r="AF261" s="7586">
        <f>+IF(E259="","",IF(VLOOKUP(MATCH(E259,c_id,0),ca,'13(an)'!$CL$34,FALSE)="","NOx(R) = N/A",ROUND(VLOOKUP(MATCH(E259,c_id,0),ca,'13(an)'!$CL$34,FALSE),1)))</f>
        <v>84.8</v>
      </c>
      <c r="AG261" s="7536"/>
      <c r="AH261" s="5962"/>
      <c r="AI261" s="5959"/>
      <c r="AJ261" s="5959"/>
      <c r="AK261" s="5959"/>
      <c r="AL261" s="5959"/>
      <c r="AM261" s="5959"/>
    </row>
    <row r="262" spans="1:39" ht="12.75" customHeight="1">
      <c r="A262" s="5952"/>
      <c r="B262" s="9035"/>
      <c r="C262" s="8852" t="str">
        <f>+IF(B262="","",VLOOKUP(MATCH(B262,tid,0),tao,'12(id)'!$J$20,FALSE))</f>
        <v/>
      </c>
      <c r="D262" s="9108" t="e">
        <f t="shared" si="3"/>
        <v>#N/A</v>
      </c>
      <c r="E262" s="9079"/>
      <c r="F262" s="5952"/>
      <c r="G262" s="5959"/>
      <c r="H262" s="5952"/>
      <c r="I262" s="9097"/>
      <c r="J262" s="9099" t="e">
        <f>+IF(VLOOKUP(MATCH(B262,tid,0),tao,'12(id)'!$I$20,FALSE)="","",VLOOKUP(MATCH(B262,tid,0),tao,'12(id)'!$I$20,FALSE))</f>
        <v>#N/A</v>
      </c>
      <c r="K262" s="9064" t="e">
        <f>+IF(VLOOKUP(MATCH(B262,tid,0),tao,'12(id)'!$K$20,FALSE)="","",VLOOKUP(MATCH(B262,tid,0),tao,'12(id)'!$K$20,FALSE))</f>
        <v>#N/A</v>
      </c>
      <c r="L262" s="9102" t="e">
        <f>+IF(VLOOKUP(MATCH(B262,tid,0),tao,'12(id)'!$L$20,FALSE)="","",VLOOKUP(MATCH(B262,tid,0),tao,'12(id)'!$L$20,FALSE))</f>
        <v>#N/A</v>
      </c>
      <c r="M262" s="9083" t="e">
        <f>+IF(VLOOKUP(MATCH(B262,tid,0),tao,'12(id)'!$Q$20,FALSE)="","",VLOOKUP(MATCH(B262,tid,0),tao,'12(id)'!$Q$20,FALSE))</f>
        <v>#N/A</v>
      </c>
      <c r="N262" s="9085" t="e">
        <f>+IF(VLOOKUP(MATCH(B262,tid,0),tao,'12(id)'!$CT$20,FALSE)="","",VLOOKUP(MATCH(B262,tid,0),tao,'12(id)'!$CT$20,FALSE))</f>
        <v>#N/A</v>
      </c>
      <c r="O262" s="9150" t="e">
        <f>+IF(VLOOKUP(MATCH(B262,tid,0),tao,'12(id)'!$DE$20,FALSE)="","",ROUND(VLOOKUP(MATCH(B262,tid,0),tao,'12(id)'!$DE$20,FALSE),0)&amp;" yrs")</f>
        <v>#N/A</v>
      </c>
      <c r="P262" s="9029"/>
      <c r="Q262" s="9001" t="e">
        <f>+IF(VLOOKUP(MATCH(B262,tid,0),tao,'12(id)'!$DI$20,FALSE)="","",VLOOKUP(MATCH(B262,tid,0),tao,'12(id)'!$DI$20,FALSE))&amp;";  "&amp;IF(VLOOKUP(MATCH(B262,tid,0),tao,'12(id)'!$DQ$20,FALSE)="","",VLOOKUP(MATCH(B262,tid,0),tao,'12(id)'!$DQ$20,FALSE))</f>
        <v>#N/A</v>
      </c>
      <c r="R262" s="8906"/>
      <c r="S262" s="8818"/>
      <c r="T262" s="7470">
        <f>+IF(VLOOKUP(MATCH(E259,c_id,0),ca,'13(an)'!$GF$34,FALSE)="","",VLOOKUP(MATCH(E259,c_id,0),ca,'13(an)'!$GF$34,FALSE))</f>
        <v>65903462</v>
      </c>
      <c r="U262" s="7570" t="str">
        <f>+IF(T262="","","$ TCC/unit")</f>
        <v>$ TCC/unit</v>
      </c>
      <c r="V262" s="7541">
        <f>+IF(VLOOKUP(MATCH(E259,c_id,0),ca,'13(an)'!$HA$34,FALSE)="","",VLOOKUP(MATCH(E259,c_id,0),ca,'13(an)'!$HA$34,FALSE))</f>
        <v>16943283</v>
      </c>
      <c r="W262" s="7540"/>
      <c r="X262" s="8818"/>
      <c r="Y262" s="7470">
        <f>+IF(VLOOKUP(MATCH(E259,c_id,0),ca,'13(an)'!$IA$34,FALSE)="","",VLOOKUP(MATCH(E259,c_id,0),ca,'13(an)'!$IA$34,FALSE))</f>
        <v>65903462</v>
      </c>
      <c r="Z262" s="7570" t="str">
        <f>+IF(Y262="","","$ TCC/unit")</f>
        <v>$ TCC/unit</v>
      </c>
      <c r="AA262" s="7541">
        <f>+IF(Y262="","",$AA$19*Y262)</f>
        <v>4943361.9334097011</v>
      </c>
      <c r="AB262" s="7541"/>
      <c r="AC262" s="8818"/>
      <c r="AD262" s="7470">
        <f>+IF(VLOOKUP(MATCH(E259,c_id,0),ca,'13(an)'!$JS$34,FALSE)="","",VLOOKUP(MATCH(E259,c_id,0),ca,'13(an)'!$JS$34,FALSE))</f>
        <v>11111790</v>
      </c>
      <c r="AE262" s="7570" t="str">
        <f>+IF(AD262="","","$ TCC/unit")</f>
        <v>$ TCC/unit</v>
      </c>
      <c r="AF262" s="7541">
        <f>+IF(AD262="","",$AF$19*AD262)</f>
        <v>833485.79924439453</v>
      </c>
      <c r="AG262" s="7542"/>
      <c r="AH262" s="5962"/>
      <c r="AI262" s="5959"/>
      <c r="AJ262" s="5959"/>
      <c r="AK262" s="5959"/>
      <c r="AL262" s="5959"/>
      <c r="AM262" s="5959"/>
    </row>
    <row r="263" spans="1:39" ht="12.75" customHeight="1">
      <c r="A263" s="5952"/>
      <c r="B263" s="9035"/>
      <c r="C263" s="8852" t="str">
        <f>+IF(B263="","",VLOOKUP(MATCH(B263,tid,0),tao,'12(id)'!$J$20,FALSE))</f>
        <v/>
      </c>
      <c r="D263" s="9108" t="e">
        <f t="shared" si="3"/>
        <v>#N/A</v>
      </c>
      <c r="E263" s="9079"/>
      <c r="F263" s="5952"/>
      <c r="G263" s="5959"/>
      <c r="H263" s="5952"/>
      <c r="I263" s="9097"/>
      <c r="J263" s="9099" t="e">
        <f>+IF(VLOOKUP(MATCH(B263,tid,0),tao,'12(id)'!$I$20,FALSE)="","",VLOOKUP(MATCH(B263,tid,0),tao,'12(id)'!$I$20,FALSE))</f>
        <v>#N/A</v>
      </c>
      <c r="K263" s="9064" t="e">
        <f>+IF(VLOOKUP(MATCH(B263,tid,0),tao,'12(id)'!$K$20,FALSE)="","",VLOOKUP(MATCH(B263,tid,0),tao,'12(id)'!$K$20,FALSE))</f>
        <v>#N/A</v>
      </c>
      <c r="L263" s="9102" t="e">
        <f>+IF(VLOOKUP(MATCH(B263,tid,0),tao,'12(id)'!$L$20,FALSE)="","",VLOOKUP(MATCH(B263,tid,0),tao,'12(id)'!$L$20,FALSE))</f>
        <v>#N/A</v>
      </c>
      <c r="M263" s="9083" t="e">
        <f>+IF(VLOOKUP(MATCH(B263,tid,0),tao,'12(id)'!$Q$20,FALSE)="","",VLOOKUP(MATCH(B263,tid,0),tao,'12(id)'!$Q$20,FALSE))</f>
        <v>#N/A</v>
      </c>
      <c r="N263" s="9085" t="e">
        <f>+IF(VLOOKUP(MATCH(B263,tid,0),tao,'12(id)'!$CT$20,FALSE)="","",VLOOKUP(MATCH(B263,tid,0),tao,'12(id)'!$CT$20,FALSE))</f>
        <v>#N/A</v>
      </c>
      <c r="O263" s="9150" t="e">
        <f>+IF(VLOOKUP(MATCH(B263,tid,0),tao,'12(id)'!$DE$20,FALSE)="","",ROUND(VLOOKUP(MATCH(B263,tid,0),tao,'12(id)'!$DE$20,FALSE),0)&amp;" yrs")</f>
        <v>#N/A</v>
      </c>
      <c r="P263" s="9029"/>
      <c r="Q263" s="9001" t="e">
        <f>+IF(VLOOKUP(MATCH(B263,tid,0),tao,'12(id)'!$DI$20,FALSE)="","",VLOOKUP(MATCH(B263,tid,0),tao,'12(id)'!$DI$20,FALSE))&amp;";  "&amp;IF(VLOOKUP(MATCH(B263,tid,0),tao,'12(id)'!$DQ$20,FALSE)="","",VLOOKUP(MATCH(B263,tid,0),tao,'12(id)'!$DQ$20,FALSE))</f>
        <v>#N/A</v>
      </c>
      <c r="R263" s="8906"/>
      <c r="S263" s="8818"/>
      <c r="T263" s="7543">
        <f>+IF(OR(T262="",N253=""),"",T262/N253)</f>
        <v>549195.51666666672</v>
      </c>
      <c r="U263" s="8820" t="str">
        <f>+IF(T263="","","$ TCC / MW nominal capacity")</f>
        <v>$ TCC / MW nominal capacity</v>
      </c>
      <c r="V263" s="8820"/>
      <c r="W263" s="7544"/>
      <c r="X263" s="8818"/>
      <c r="Y263" s="7543">
        <f>+IF(OR(Y262="",N253=""),"",Y262/N253)</f>
        <v>549195.51666666672</v>
      </c>
      <c r="Z263" s="8820" t="str">
        <f>+IF(Y263="","","$ TCC / MW nominal capacity")</f>
        <v>$ TCC / MW nominal capacity</v>
      </c>
      <c r="AA263" s="8820"/>
      <c r="AB263" s="7545"/>
      <c r="AC263" s="8818"/>
      <c r="AD263" s="7543">
        <f>+IF(OR(AD262="",N253=""),"",AD262/N253)</f>
        <v>92598.25</v>
      </c>
      <c r="AE263" s="8820" t="str">
        <f>+IF(AD263="","","$ TCC / MW nominal capacity")</f>
        <v>$ TCC / MW nominal capacity</v>
      </c>
      <c r="AF263" s="8820"/>
      <c r="AG263" s="7546"/>
      <c r="AH263" s="5962"/>
      <c r="AI263" s="5959"/>
      <c r="AJ263" s="5959"/>
      <c r="AK263" s="5959"/>
      <c r="AL263" s="5959"/>
      <c r="AM263" s="5959"/>
    </row>
    <row r="264" spans="1:39" ht="12.75" customHeight="1">
      <c r="A264" s="5952"/>
      <c r="B264" s="9035"/>
      <c r="C264" s="8852" t="str">
        <f>+IF(B264="","",VLOOKUP(MATCH(B264,tid,0),tao,'12(id)'!$J$20,FALSE))</f>
        <v/>
      </c>
      <c r="D264" s="9108" t="e">
        <f t="shared" si="3"/>
        <v>#N/A</v>
      </c>
      <c r="E264" s="9080"/>
      <c r="F264" s="5952"/>
      <c r="G264" s="5959"/>
      <c r="H264" s="5952"/>
      <c r="I264" s="9097"/>
      <c r="J264" s="9099" t="e">
        <f>+IF(VLOOKUP(MATCH(B264,tid,0),tao,'12(id)'!$I$20,FALSE)="","",VLOOKUP(MATCH(B264,tid,0),tao,'12(id)'!$I$20,FALSE))</f>
        <v>#N/A</v>
      </c>
      <c r="K264" s="9064" t="e">
        <f>+IF(VLOOKUP(MATCH(B264,tid,0),tao,'12(id)'!$K$20,FALSE)="","",VLOOKUP(MATCH(B264,tid,0),tao,'12(id)'!$K$20,FALSE))</f>
        <v>#N/A</v>
      </c>
      <c r="L264" s="9102" t="e">
        <f>+IF(VLOOKUP(MATCH(B264,tid,0),tao,'12(id)'!$L$20,FALSE)="","",VLOOKUP(MATCH(B264,tid,0),tao,'12(id)'!$L$20,FALSE))</f>
        <v>#N/A</v>
      </c>
      <c r="M264" s="9083" t="e">
        <f>+IF(VLOOKUP(MATCH(B264,tid,0),tao,'12(id)'!$Q$20,FALSE)="","",VLOOKUP(MATCH(B264,tid,0),tao,'12(id)'!$Q$20,FALSE))</f>
        <v>#N/A</v>
      </c>
      <c r="N264" s="9085" t="e">
        <f>+IF(VLOOKUP(MATCH(B264,tid,0),tao,'12(id)'!$CT$20,FALSE)="","",VLOOKUP(MATCH(B264,tid,0),tao,'12(id)'!$CT$20,FALSE))</f>
        <v>#N/A</v>
      </c>
      <c r="O264" s="9150" t="e">
        <f>+IF(VLOOKUP(MATCH(B264,tid,0),tao,'12(id)'!$DE$20,FALSE)="","",ROUND(VLOOKUP(MATCH(B264,tid,0),tao,'12(id)'!$DE$20,FALSE),0)&amp;" yrs")</f>
        <v>#N/A</v>
      </c>
      <c r="P264" s="9030"/>
      <c r="Q264" s="9027" t="e">
        <f>+IF(VLOOKUP(MATCH(B264,tid,0),tao,'12(id)'!$DI$20,FALSE)="","",VLOOKUP(MATCH(B264,tid,0),tao,'12(id)'!$DI$20,FALSE))&amp;";  "&amp;IF(VLOOKUP(MATCH(B264,tid,0),tao,'12(id)'!$DQ$20,FALSE)="","",VLOOKUP(MATCH(B264,tid,0),tao,'12(id)'!$DQ$20,FALSE))</f>
        <v>#N/A</v>
      </c>
      <c r="R264" s="8906"/>
      <c r="S264" s="8819"/>
      <c r="T264" s="7590">
        <f>+IF(VLOOKUP(MATCH(E259,c_id,0),ca,'13(an)'!$HF$34,FALSE)="","",VLOOKUP(MATCH(E259,c_id,0),ca,'13(an)'!$HF$34,FALSE))</f>
        <v>420384</v>
      </c>
      <c r="U264" s="8829" t="str">
        <f>IF(T264="","","$ /ton "&amp;"NOx(R)")</f>
        <v>$ /ton NOx(R)</v>
      </c>
      <c r="V264" s="8829"/>
      <c r="W264" s="7730"/>
      <c r="X264" s="8819"/>
      <c r="Y264" s="7590">
        <f>+IF(VLOOKUP(MATCH(E259,c_id,0),ca,'13(an)'!$JE$34,FALSE)="","",VLOOKUP(MATCH(E259,c_id,0),ca,'13(an)'!$JE$34,FALSE))</f>
        <v>60317.939766568779</v>
      </c>
      <c r="Z264" s="8829" t="str">
        <f>IF(Y264="","","$ /ton "&amp;"NOx(R)")</f>
        <v>$ /ton NOx(R)</v>
      </c>
      <c r="AA264" s="8829"/>
      <c r="AB264" s="7731"/>
      <c r="AC264" s="8819"/>
      <c r="AD264" s="7590">
        <f>+IF(VLOOKUP(MATCH(E259,c_id,0),ca,'13(an)'!$LB$34,FALSE)="","",VLOOKUP(MATCH(E259,c_id,0),ca,'13(an)'!$LB$34,FALSE))</f>
        <v>30364.835031442075</v>
      </c>
      <c r="AE264" s="8829" t="str">
        <f>IF(AD264="","","$ /ton "&amp;"NOx(R)")</f>
        <v>$ /ton NOx(R)</v>
      </c>
      <c r="AF264" s="8829"/>
      <c r="AG264" s="7732"/>
      <c r="AH264" s="5962"/>
      <c r="AI264" s="5959"/>
      <c r="AJ264" s="5959"/>
      <c r="AK264" s="5959"/>
      <c r="AL264" s="5959"/>
      <c r="AM264" s="5959"/>
    </row>
    <row r="265" spans="1:39" ht="12.75" customHeight="1">
      <c r="A265" s="5952"/>
      <c r="B265" s="9092" t="str">
        <f>+IF('12(id)'!A51="","",'12(id)'!A51)</f>
        <v>8306-02</v>
      </c>
      <c r="C265" s="8852" t="str">
        <f>+IF(B265="","",VLOOKUP(MATCH(B265,tid,0),tao,'12(id)'!$J$20,FALSE))</f>
        <v>NRG</v>
      </c>
      <c r="D265" s="9112" t="str">
        <f>+IF(B265="","",M265)</f>
        <v>MD3 </v>
      </c>
      <c r="E265" s="9035" t="str">
        <f>+IF(B265="","",B265&amp;IF(ISERR(VALUE(R265)),"-01",IF(R265&lt;10,"-0"&amp;R265,"-"&amp;R265)))</f>
        <v>8306-02-01</v>
      </c>
      <c r="F265" s="5952"/>
      <c r="G265" s="5959"/>
      <c r="H265" s="5952"/>
      <c r="I265" s="9104">
        <f>1+I253</f>
        <v>2</v>
      </c>
      <c r="J265" s="9099" t="str">
        <f>+IF(VLOOKUP(MATCH(B265,tid,0),tao,'12(id)'!$I$20,FALSE)="","",VLOOKUP(MATCH(B265,tid,0),tao,'12(id)'!$I$20,FALSE))</f>
        <v/>
      </c>
      <c r="K265" s="9064">
        <f>+IF(VLOOKUP(MATCH(B265,tid,0),tao,'12(id)'!$K$20,FALSE)="","",VLOOKUP(MATCH(B265,tid,0),tao,'12(id)'!$K$20,FALSE))</f>
        <v>8306</v>
      </c>
      <c r="L265" s="9102" t="str">
        <f>+IF(VLOOKUP(MATCH(B265,tid,0),tao,'12(id)'!$L$20,FALSE)="","",VLOOKUP(MATCH(B265,tid,0),tao,'12(id)'!$L$20,FALSE))</f>
        <v>Middletown</v>
      </c>
      <c r="M265" s="9151" t="str">
        <f>+IF(B265="","",IF(VLOOKUP(MATCH(B265,tid,0),tao,'12(id)'!$Q$20,FALSE)="","",VLOOKUP(MATCH(B265,tid,0),tao,'12(id)'!$Q$20,FALSE)))</f>
        <v>MD3 </v>
      </c>
      <c r="N265" s="9109">
        <f>+IF(B265="","",IF(VLOOKUP(MATCH(B265,tid,0),tao,'12(id)'!$CT$20,FALSE)="","",VLOOKUP(MATCH(B265,tid,0),tao,'12(id)'!$CT$20,FALSE)))</f>
        <v>236</v>
      </c>
      <c r="O265" s="9153" t="str">
        <f>+IF(B265="","",IF(VLOOKUP(MATCH(B265,tid,0),tao,'12(id)'!$DE$20,FALSE)="","",ROUND(VLOOKUP(MATCH(B265,tid,0),tao,'12(id)'!$DE$20,FALSE),0)&amp;" yrs"))</f>
        <v/>
      </c>
      <c r="P265" s="9155" t="str">
        <f>+IF(B265="","",IF(VLOOKUP(MATCH(B265,tid,0),tao,'12(id)'!$FR$20,FALSE)="","",VLOOKUP(MATCH(B265,tid,0),tao,'12(id)'!$FR$20,FALSE)))</f>
        <v>None</v>
      </c>
      <c r="Q265" s="9190" t="str">
        <f>+IF(B265="","",IF(VLOOKUP(MATCH(B265,tid,0),tao,'12(id)'!$DI$20,FALSE)="","",VLOOKUP(MATCH(B265,tid,0),tao,'12(id)'!$DI$20,FALSE))&amp;";  "&amp;IF(VLOOKUP(MATCH(B265,tid,0),tao,'12(id)'!$DQ$20,FALSE)="","",VLOOKUP(MATCH(B265,tid,0),tao,'12(id)'!$DQ$20,FALSE)))</f>
        <v>No. 6 oil;  No. 2 oil</v>
      </c>
      <c r="R265" s="8982">
        <f>+IF(B265="","",1)</f>
        <v>1</v>
      </c>
      <c r="S265" s="8859"/>
      <c r="T265" s="8871" t="str">
        <f>+IF(VLOOKUP(MATCH(E265,c_id,0),ca,'13(an)'!$BD$34,FALSE)="","",VLOOKUP(MATCH(E265,c_id,0),ca,'13(an)'!$BD$34,FALSE))</f>
        <v>Separated Overfired Air / High Energy Reagent Technology (SOFA/HERT)</v>
      </c>
      <c r="U265" s="8872"/>
      <c r="V265" s="8872"/>
      <c r="W265" s="7556"/>
      <c r="X265" s="8859"/>
      <c r="Y265" s="8871" t="str">
        <f>+T265</f>
        <v>Separated Overfired Air / High Energy Reagent Technology (SOFA/HERT)</v>
      </c>
      <c r="Z265" s="8872"/>
      <c r="AA265" s="8872"/>
      <c r="AB265" s="7557"/>
      <c r="AC265" s="8859"/>
      <c r="AD265" s="8871" t="str">
        <f>+T265</f>
        <v>Separated Overfired Air / High Energy Reagent Technology (SOFA/HERT)</v>
      </c>
      <c r="AE265" s="8872"/>
      <c r="AF265" s="8872"/>
      <c r="AG265" s="7533"/>
      <c r="AH265" s="5962"/>
      <c r="AI265" s="5959"/>
      <c r="AJ265" s="5959"/>
      <c r="AK265" s="5959"/>
      <c r="AL265" s="5959"/>
      <c r="AM265" s="5959"/>
    </row>
    <row r="266" spans="1:39" ht="12.75" customHeight="1">
      <c r="A266" s="5952"/>
      <c r="B266" s="9035"/>
      <c r="C266" s="8852" t="str">
        <f>+IF(B266="","",VLOOKUP(MATCH(B266,tid,0),tao,'12(id)'!$J$20,FALSE))</f>
        <v/>
      </c>
      <c r="D266" s="9108" t="e">
        <f t="shared" si="3"/>
        <v>#N/A</v>
      </c>
      <c r="E266" s="9035"/>
      <c r="F266" s="5952"/>
      <c r="G266" s="5959"/>
      <c r="H266" s="5952"/>
      <c r="I266" s="9070"/>
      <c r="J266" s="9099" t="e">
        <f>+IF(VLOOKUP(MATCH(B266,tid,0),tao,'12(id)'!$I$20,FALSE)="","",VLOOKUP(MATCH(B266,tid,0),tao,'12(id)'!$I$20,FALSE))</f>
        <v>#N/A</v>
      </c>
      <c r="K266" s="9064" t="e">
        <f>+IF(VLOOKUP(MATCH(B266,tid,0),tao,'12(id)'!$K$20,FALSE)="","",VLOOKUP(MATCH(B266,tid,0),tao,'12(id)'!$K$20,FALSE))</f>
        <v>#N/A</v>
      </c>
      <c r="L266" s="9102" t="e">
        <f>+IF(VLOOKUP(MATCH(B266,tid,0),tao,'12(id)'!$L$20,FALSE)="","",VLOOKUP(MATCH(B266,tid,0),tao,'12(id)'!$L$20,FALSE))</f>
        <v>#N/A</v>
      </c>
      <c r="M266" s="9083" t="e">
        <f>+IF(VLOOKUP(MATCH(B266,tid,0),tao,'12(id)'!$Q$20,FALSE)="","",VLOOKUP(MATCH(B266,tid,0),tao,'12(id)'!$Q$20,FALSE))</f>
        <v>#N/A</v>
      </c>
      <c r="N266" s="9085" t="e">
        <f>+IF(VLOOKUP(MATCH(B266,tid,0),tao,'12(id)'!$CT$20,FALSE)="","",VLOOKUP(MATCH(B266,tid,0),tao,'12(id)'!$CT$20,FALSE))</f>
        <v>#N/A</v>
      </c>
      <c r="O266" s="9150" t="e">
        <f>+IF(VLOOKUP(MATCH(B266,tid,0),tao,'12(id)'!$DE$20,FALSE)="","",ROUND(VLOOKUP(MATCH(B266,tid,0),tao,'12(id)'!$DE$20,FALSE),0)&amp;" yrs")</f>
        <v>#N/A</v>
      </c>
      <c r="P266" s="9029" t="e">
        <f>+IF(VLOOKUP(MATCH(B266,tid,0),tao,'12(id)'!$FR$20,FALSE)="","",VLOOKUP(MATCH(B266,tid,0),tao,'12(id)'!$FR$20,FALSE))</f>
        <v>#N/A</v>
      </c>
      <c r="Q266" s="9001" t="e">
        <f>+IF(VLOOKUP(MATCH(B266,tid,0),tao,'12(id)'!$DI$20,FALSE)="","",VLOOKUP(MATCH(B266,tid,0),tao,'12(id)'!$DI$20,FALSE))&amp;";  "&amp;IF(VLOOKUP(MATCH(B266,tid,0),tao,'12(id)'!$DQ$20,FALSE)="","",VLOOKUP(MATCH(B266,tid,0),tao,'12(id)'!$DQ$20,FALSE))</f>
        <v>#N/A</v>
      </c>
      <c r="R266" s="8906"/>
      <c r="S266" s="8818"/>
      <c r="T266" s="8870"/>
      <c r="U266" s="8870"/>
      <c r="V266" s="8870"/>
      <c r="W266" s="7531"/>
      <c r="X266" s="8818"/>
      <c r="Y266" s="8870"/>
      <c r="Z266" s="8870"/>
      <c r="AA266" s="8870"/>
      <c r="AB266" s="7532"/>
      <c r="AC266" s="8818"/>
      <c r="AD266" s="8870"/>
      <c r="AE266" s="8870"/>
      <c r="AF266" s="8870"/>
      <c r="AG266" s="7533"/>
      <c r="AH266" s="5962"/>
      <c r="AI266" s="5959"/>
      <c r="AJ266" s="5959"/>
      <c r="AK266" s="5959"/>
      <c r="AL266" s="5959"/>
      <c r="AM266" s="5959"/>
    </row>
    <row r="267" spans="1:39" ht="12.75" customHeight="1">
      <c r="A267" s="5952"/>
      <c r="B267" s="9035"/>
      <c r="C267" s="8852" t="str">
        <f>+IF(B267="","",VLOOKUP(MATCH(B267,tid,0),tao,'12(id)'!$J$20,FALSE))</f>
        <v/>
      </c>
      <c r="D267" s="9108" t="e">
        <f t="shared" si="3"/>
        <v>#N/A</v>
      </c>
      <c r="E267" s="9035"/>
      <c r="F267" s="5952"/>
      <c r="G267" s="5959"/>
      <c r="H267" s="5952"/>
      <c r="I267" s="9070"/>
      <c r="J267" s="9099" t="e">
        <f>+IF(VLOOKUP(MATCH(B267,tid,0),tao,'12(id)'!$I$20,FALSE)="","",VLOOKUP(MATCH(B267,tid,0),tao,'12(id)'!$I$20,FALSE))</f>
        <v>#N/A</v>
      </c>
      <c r="K267" s="9064" t="e">
        <f>+IF(VLOOKUP(MATCH(B267,tid,0),tao,'12(id)'!$K$20,FALSE)="","",VLOOKUP(MATCH(B267,tid,0),tao,'12(id)'!$K$20,FALSE))</f>
        <v>#N/A</v>
      </c>
      <c r="L267" s="9102" t="e">
        <f>+IF(VLOOKUP(MATCH(B267,tid,0),tao,'12(id)'!$L$20,FALSE)="","",VLOOKUP(MATCH(B267,tid,0),tao,'12(id)'!$L$20,FALSE))</f>
        <v>#N/A</v>
      </c>
      <c r="M267" s="9083" t="e">
        <f>+IF(VLOOKUP(MATCH(B267,tid,0),tao,'12(id)'!$Q$20,FALSE)="","",VLOOKUP(MATCH(B267,tid,0),tao,'12(id)'!$Q$20,FALSE))</f>
        <v>#N/A</v>
      </c>
      <c r="N267" s="9085" t="e">
        <f>+IF(VLOOKUP(MATCH(B267,tid,0),tao,'12(id)'!$CT$20,FALSE)="","",VLOOKUP(MATCH(B267,tid,0),tao,'12(id)'!$CT$20,FALSE))</f>
        <v>#N/A</v>
      </c>
      <c r="O267" s="9150" t="e">
        <f>+IF(VLOOKUP(MATCH(B267,tid,0),tao,'12(id)'!$DE$20,FALSE)="","",ROUND(VLOOKUP(MATCH(B267,tid,0),tao,'12(id)'!$DE$20,FALSE),0)&amp;" yrs")</f>
        <v>#N/A</v>
      </c>
      <c r="P267" s="9029" t="e">
        <f>+IF(VLOOKUP(MATCH(B267,tid,0),tao,'12(id)'!$FR$20,FALSE)="","",VLOOKUP(MATCH(B267,tid,0),tao,'12(id)'!$FR$20,FALSE))</f>
        <v>#N/A</v>
      </c>
      <c r="Q267" s="9001" t="e">
        <f>+IF(VLOOKUP(MATCH(B267,tid,0),tao,'12(id)'!$DI$20,FALSE)="","",VLOOKUP(MATCH(B267,tid,0),tao,'12(id)'!$DI$20,FALSE))&amp;";  "&amp;IF(VLOOKUP(MATCH(B267,tid,0),tao,'12(id)'!$DQ$20,FALSE)="","",VLOOKUP(MATCH(B267,tid,0),tao,'12(id)'!$DQ$20,FALSE))</f>
        <v>#N/A</v>
      </c>
      <c r="R267" s="8906"/>
      <c r="S267" s="8818"/>
      <c r="T267" s="7600" t="str">
        <f>+IF(E265="","",IF(VLOOKUP(MATCH(E265,c_id,0),ca,'13(an)'!$CC$34,FALSE)="",IF(VLOOKUP(MATCH(E265,c_id,0),ca,'13(an)'!$CD$34,FALSE)="",IF(VLOOKUP(MATCH(E265,c_id,0),ca,'13(an)'!$CE$34,FALSE)="","η ≈ N/A","η ≈ "&amp;ROUND(VLOOKUP(MATCH(E265,c_id,0),ca,'13(an)'!$CE$34,FALSE)*100,0)&amp;"%"),"η ≈ "&amp;ROUND(VLOOKUP(MATCH(E265,c_id,0),ca,'13(an)'!$CD$34,FALSE)*100,0)&amp;"%"),"η ≈ "&amp;ROUND(VLOOKUP(MATCH(E265,c_id,0),ca,'13(an)'!$CC$34,FALSE)*100,0)&amp;"%"))</f>
        <v>η ≈ 44%</v>
      </c>
      <c r="U267" s="7601" t="str">
        <f>+IF($U$295="ppmvd",IF(VLOOKUP(MATCH(E265,c_id,0),ca,'13(an)'!$BV$34,FALSE)="","",ROUND(VLOOKUP(MATCH(E265,c_id,0),ca,'13(an)'!$BV$34,FALSE),1)&amp;" ppmvd"),IF(VLOOKUP(MATCH(E265,c_id,0),ca,'13(an)'!$BU$34,FALSE)="","",IF(LEN(ROUND(VLOOKUP(MATCH(E265,c_id,0),ca,'13(an)'!$BU$34,FALSE),3))=3,ROUND(VLOOKUP(MATCH(E265,c_id,0),ca,'13(an)'!$BU$34,FALSE),3)&amp;"00 lb/MMBtu",IF(LEN(ROUND(VLOOKUP(MATCH(E265,c_id,0),ca,'13(an)'!$BU$34,FALSE),3))=4,ROUND(VLOOKUP(MATCH(E265,c_id,0),ca,'13(an)'!$BU$34,FALSE),3)&amp;"0 lb/MMBtu",ROUND(VLOOKUP(MATCH(E265,c_id,0),ca,'13(an)'!$BU$34,FALSE),3)&amp;" lb/MMBtu"))))</f>
        <v>0.150 lb/MMBtu</v>
      </c>
      <c r="V267" s="7602">
        <f>+IF(E265="","",IF(VLOOKUP(MATCH(E265,c_id,0),ca,'13(an)'!$CB$34,FALSE)="","NOx(R) = N/A",ROUND(VLOOKUP(MATCH(E265,c_id,0),ca,'13(an)'!$CB$34,FALSE),1)))</f>
        <v>74</v>
      </c>
      <c r="W267" s="7534"/>
      <c r="X267" s="8818"/>
      <c r="Y267" s="7600" t="str">
        <f>+IF(E265="","",IF(VLOOKUP(MATCH(E265,c_id,0),ca,'13(an)'!$CM$34,FALSE)="",IF(VLOOKUP(MATCH(E265,c_id,0),ca,'13(an)'!$CN$34,FALSE)="",IF(VLOOKUP(MATCH(E265,c_id,0),ca,'13(an)'!$CO$34,FALSE)="","η ≈ N/A","η ≈ "&amp;ROUND(VLOOKUP(MATCH(E265,c_id,0),ca,'13(an)'!$CO$34,FALSE)*100,0)&amp;"%"),"η ≈ "&amp;ROUND(VLOOKUP(MATCH(E265,c_id,0),ca,'13(an)'!$CN$34,FALSE)*100,0)&amp;"%"),"η ≈ "&amp;ROUND(VLOOKUP(MATCH(E265,c_id,0),ca,'13(an)'!$CM$34,FALSE)*100,0)&amp;"%"))</f>
        <v>η ≈ 44%</v>
      </c>
      <c r="Z267" s="7601" t="str">
        <f>+IF($Z$295="ppmvd",IF(VLOOKUP(MATCH(E265,c_id,0),ca,'13(an)'!$CJ$34,FALSE)="","",ROUND(VLOOKUP(MATCH(E265,c_id,0),ca,'13(an)'!$CJ$34,FALSE),1)&amp;" ppmvd"),IF(VLOOKUP(MATCH(E265,c_id,0),ca,'13(an)'!$CI$34,FALSE)="","",IF(LEN(ROUND(VLOOKUP(MATCH(E265,c_id,0),ca,'13(an)'!$CI$34,FALSE),3))=3,ROUND(VLOOKUP(MATCH(E265,c_id,0),ca,'13(an)'!$CI$34,FALSE),3)&amp;"00 lb/MMBtu",IF(LEN(ROUND(VLOOKUP(MATCH(E265,c_id,0),ca,'13(an)'!$CI$34,FALSE),3))=4,ROUND(VLOOKUP(MATCH(E265,c_id,0),ca,'13(an)'!$CI$34,FALSE),3)&amp;"0 lb/MMBtu",ROUND(VLOOKUP(MATCH(E265,c_id,0),ca,'13(an)'!$CI$34,FALSE),3)&amp;" lb/MMBtu"))))</f>
        <v>0.117 lb/MMBtu</v>
      </c>
      <c r="AA267" s="7602">
        <f>+IF(E265="","",IF(VLOOKUP(MATCH(E265,c_id,0),ca,'13(an)'!$CL$34,FALSE)="","NOx(R) = N/A",ROUND(VLOOKUP(MATCH(E265,c_id,0),ca,'13(an)'!$CL$34,FALSE),1)))</f>
        <v>84.1</v>
      </c>
      <c r="AB267" s="7535"/>
      <c r="AC267" s="8818"/>
      <c r="AD267" s="7600" t="str">
        <f>+IF(E265="","",IF(VLOOKUP(MATCH(E265,c_id,0),ca,'13(an)'!$CM$34,FALSE)="",IF(VLOOKUP(MATCH(E265,c_id,0),ca,'13(an)'!$CN$34,FALSE)="",IF(VLOOKUP(MATCH(E265,c_id,0),ca,'13(an)'!$CO$34,FALSE)="","η ≈ N/A","η ≈ "&amp;ROUND(VLOOKUP(MATCH(E265,c_id,0),ca,'13(an)'!$CO$34,FALSE)*100,0)&amp;"%"),"η ≈ "&amp;ROUND(VLOOKUP(MATCH(E265,c_id,0),ca,'13(an)'!$CN$34,FALSE)*100,0)&amp;"%"),"η ≈ "&amp;ROUND(VLOOKUP(MATCH(E265,c_id,0),ca,'13(an)'!$CM$34,FALSE)*100,0)&amp;"%"))</f>
        <v>η ≈ 44%</v>
      </c>
      <c r="AE267" s="7601" t="str">
        <f>+IF($AE$295="ppmvd",IF(VLOOKUP(MATCH(E265,c_id,0),ca,'13(an)'!$CJ$34,FALSE)="","",ROUND(VLOOKUP(MATCH(E265,c_id,0),ca,'13(an)'!$CJ$34,FALSE),1)&amp;" ppmvd"),IF(VLOOKUP(MATCH(E265,c_id,0),ca,'13(an)'!$CI$34,FALSE)="","",IF(LEN(ROUND(VLOOKUP(MATCH(E265,c_id,0),ca,'13(an)'!$CI$34,FALSE),3))=3,ROUND(VLOOKUP(MATCH(E265,c_id,0),ca,'13(an)'!$CI$34,FALSE),3)&amp;"00 lb/MMBtu",IF(LEN(ROUND(VLOOKUP(MATCH(E265,c_id,0),ca,'13(an)'!$CI$34,FALSE),3))=4,ROUND(VLOOKUP(MATCH(E265,c_id,0),ca,'13(an)'!$CI$34,FALSE),3)&amp;"0 lb/MMBtu",ROUND(VLOOKUP(MATCH(E265,c_id,0),ca,'13(an)'!$CI$34,FALSE),3)&amp;" lb/MMBtu"))))</f>
        <v>0.117 lb/MMBtu</v>
      </c>
      <c r="AF267" s="7602">
        <f>+IF(E265="","",IF(VLOOKUP(MATCH(E265,c_id,0),ca,'13(an)'!$CL$34,FALSE)="","NOx(R) = N/A",ROUND(VLOOKUP(MATCH(E265,c_id,0),ca,'13(an)'!$CL$34,FALSE),1)))</f>
        <v>84.1</v>
      </c>
      <c r="AG267" s="7536"/>
      <c r="AH267" s="5962"/>
      <c r="AI267" s="5959"/>
      <c r="AJ267" s="5959"/>
      <c r="AK267" s="5959"/>
      <c r="AL267" s="5959"/>
      <c r="AM267" s="5959"/>
    </row>
    <row r="268" spans="1:39" ht="12.75" customHeight="1">
      <c r="A268" s="5952"/>
      <c r="B268" s="9035"/>
      <c r="C268" s="8852" t="str">
        <f>+IF(B268="","",VLOOKUP(MATCH(B268,tid,0),tao,'12(id)'!$J$20,FALSE))</f>
        <v/>
      </c>
      <c r="D268" s="9108" t="e">
        <f t="shared" si="3"/>
        <v>#N/A</v>
      </c>
      <c r="E268" s="9035"/>
      <c r="F268" s="5952"/>
      <c r="G268" s="5959"/>
      <c r="H268" s="5952"/>
      <c r="I268" s="9070"/>
      <c r="J268" s="9099" t="e">
        <f>+IF(VLOOKUP(MATCH(B268,tid,0),tao,'12(id)'!$I$20,FALSE)="","",VLOOKUP(MATCH(B268,tid,0),tao,'12(id)'!$I$20,FALSE))</f>
        <v>#N/A</v>
      </c>
      <c r="K268" s="9064" t="e">
        <f>+IF(VLOOKUP(MATCH(B268,tid,0),tao,'12(id)'!$K$20,FALSE)="","",VLOOKUP(MATCH(B268,tid,0),tao,'12(id)'!$K$20,FALSE))</f>
        <v>#N/A</v>
      </c>
      <c r="L268" s="9102" t="e">
        <f>+IF(VLOOKUP(MATCH(B268,tid,0),tao,'12(id)'!$L$20,FALSE)="","",VLOOKUP(MATCH(B268,tid,0),tao,'12(id)'!$L$20,FALSE))</f>
        <v>#N/A</v>
      </c>
      <c r="M268" s="9083" t="e">
        <f>+IF(VLOOKUP(MATCH(B268,tid,0),tao,'12(id)'!$Q$20,FALSE)="","",VLOOKUP(MATCH(B268,tid,0),tao,'12(id)'!$Q$20,FALSE))</f>
        <v>#N/A</v>
      </c>
      <c r="N268" s="9085" t="e">
        <f>+IF(VLOOKUP(MATCH(B268,tid,0),tao,'12(id)'!$CT$20,FALSE)="","",VLOOKUP(MATCH(B268,tid,0),tao,'12(id)'!$CT$20,FALSE))</f>
        <v>#N/A</v>
      </c>
      <c r="O268" s="9150" t="e">
        <f>+IF(VLOOKUP(MATCH(B268,tid,0),tao,'12(id)'!$DE$20,FALSE)="","",ROUND(VLOOKUP(MATCH(B268,tid,0),tao,'12(id)'!$DE$20,FALSE),0)&amp;" yrs")</f>
        <v>#N/A</v>
      </c>
      <c r="P268" s="9029" t="e">
        <f>+IF(VLOOKUP(MATCH(B268,tid,0),tao,'12(id)'!$FR$20,FALSE)="","",VLOOKUP(MATCH(B268,tid,0),tao,'12(id)'!$FR$20,FALSE))</f>
        <v>#N/A</v>
      </c>
      <c r="Q268" s="9001" t="e">
        <f>+IF(VLOOKUP(MATCH(B268,tid,0),tao,'12(id)'!$DI$20,FALSE)="","",VLOOKUP(MATCH(B268,tid,0),tao,'12(id)'!$DI$20,FALSE))&amp;";  "&amp;IF(VLOOKUP(MATCH(B268,tid,0),tao,'12(id)'!$DQ$20,FALSE)="","",VLOOKUP(MATCH(B268,tid,0),tao,'12(id)'!$DQ$20,FALSE))</f>
        <v>#N/A</v>
      </c>
      <c r="R268" s="8906"/>
      <c r="S268" s="8818"/>
      <c r="T268" s="7543">
        <f>+IF(VLOOKUP(MATCH(E265,c_id,0),ca,'13(an)'!$GF$34,FALSE)="","",VLOOKUP(MATCH(E265,c_id,0),ca,'13(an)'!$GF$34,FALSE))</f>
        <v>4644454.54538</v>
      </c>
      <c r="U268" s="7570" t="str">
        <f>+IF(T268="","","$ TCC/unit")</f>
        <v>$ TCC/unit</v>
      </c>
      <c r="V268" s="7541">
        <f>+IF(VLOOKUP(MATCH(E265,c_id,0),ca,'13(an)'!$HA$34,FALSE)="","",VLOOKUP(MATCH(E265,c_id,0),ca,'13(an)'!$HA$34,FALSE))</f>
        <v>1194055</v>
      </c>
      <c r="W268" s="7540"/>
      <c r="X268" s="8818"/>
      <c r="Y268" s="7543">
        <f>+IF(VLOOKUP(MATCH(E265,c_id,0),ca,'13(an)'!$IA$34,FALSE)="","",VLOOKUP(MATCH(E265,c_id,0),ca,'13(an)'!$IA$34,FALSE))</f>
        <v>4639455.6318708006</v>
      </c>
      <c r="Z268" s="7570" t="str">
        <f>+IF(Y268="","","$ TCC/unit")</f>
        <v>$ TCC/unit</v>
      </c>
      <c r="AA268" s="7541">
        <f>+IF(Y268="","",$AA$19*Y268)</f>
        <v>348001.57178895042</v>
      </c>
      <c r="AB268" s="7541"/>
      <c r="AC268" s="8818"/>
      <c r="AD268" s="7543">
        <f>+IF(VLOOKUP(MATCH(E265,c_id,0),ca,'13(an)'!$JS$34,FALSE)="","",VLOOKUP(MATCH(E265,c_id,0),ca,'13(an)'!$JS$34,FALSE))</f>
        <v>4639455.6318708006</v>
      </c>
      <c r="AE268" s="7570" t="str">
        <f>+IF(AD268="","","$ TCC/unit")</f>
        <v>$ TCC/unit</v>
      </c>
      <c r="AF268" s="7541">
        <f>+IF(AD268="","",$AF$19*AD268)</f>
        <v>348001.57178895042</v>
      </c>
      <c r="AG268" s="7542"/>
      <c r="AH268" s="5962"/>
      <c r="AI268" s="5959"/>
      <c r="AJ268" s="5959"/>
      <c r="AK268" s="5959"/>
      <c r="AL268" s="5959"/>
      <c r="AM268" s="5959"/>
    </row>
    <row r="269" spans="1:39" ht="12.75" customHeight="1">
      <c r="A269" s="5952"/>
      <c r="B269" s="9035"/>
      <c r="C269" s="8852" t="str">
        <f>+IF(B269="","",VLOOKUP(MATCH(B269,tid,0),tao,'12(id)'!$J$20,FALSE))</f>
        <v/>
      </c>
      <c r="D269" s="9108" t="e">
        <f t="shared" si="3"/>
        <v>#N/A</v>
      </c>
      <c r="E269" s="9035"/>
      <c r="F269" s="5952"/>
      <c r="G269" s="5959"/>
      <c r="H269" s="5952"/>
      <c r="I269" s="9070"/>
      <c r="J269" s="9099" t="e">
        <f>+IF(VLOOKUP(MATCH(B269,tid,0),tao,'12(id)'!$I$20,FALSE)="","",VLOOKUP(MATCH(B269,tid,0),tao,'12(id)'!$I$20,FALSE))</f>
        <v>#N/A</v>
      </c>
      <c r="K269" s="9064" t="e">
        <f>+IF(VLOOKUP(MATCH(B269,tid,0),tao,'12(id)'!$K$20,FALSE)="","",VLOOKUP(MATCH(B269,tid,0),tao,'12(id)'!$K$20,FALSE))</f>
        <v>#N/A</v>
      </c>
      <c r="L269" s="9102" t="e">
        <f>+IF(VLOOKUP(MATCH(B269,tid,0),tao,'12(id)'!$L$20,FALSE)="","",VLOOKUP(MATCH(B269,tid,0),tao,'12(id)'!$L$20,FALSE))</f>
        <v>#N/A</v>
      </c>
      <c r="M269" s="9083" t="e">
        <f>+IF(VLOOKUP(MATCH(B269,tid,0),tao,'12(id)'!$Q$20,FALSE)="","",VLOOKUP(MATCH(B269,tid,0),tao,'12(id)'!$Q$20,FALSE))</f>
        <v>#N/A</v>
      </c>
      <c r="N269" s="9085" t="e">
        <f>+IF(VLOOKUP(MATCH(B269,tid,0),tao,'12(id)'!$CT$20,FALSE)="","",VLOOKUP(MATCH(B269,tid,0),tao,'12(id)'!$CT$20,FALSE))</f>
        <v>#N/A</v>
      </c>
      <c r="O269" s="9150" t="e">
        <f>+IF(VLOOKUP(MATCH(B269,tid,0),tao,'12(id)'!$DE$20,FALSE)="","",ROUND(VLOOKUP(MATCH(B269,tid,0),tao,'12(id)'!$DE$20,FALSE),0)&amp;" yrs")</f>
        <v>#N/A</v>
      </c>
      <c r="P269" s="9029" t="e">
        <f>+IF(VLOOKUP(MATCH(B269,tid,0),tao,'12(id)'!$FR$20,FALSE)="","",VLOOKUP(MATCH(B269,tid,0),tao,'12(id)'!$FR$20,FALSE))</f>
        <v>#N/A</v>
      </c>
      <c r="Q269" s="9001" t="e">
        <f>+IF(VLOOKUP(MATCH(B269,tid,0),tao,'12(id)'!$DI$20,FALSE)="","",VLOOKUP(MATCH(B269,tid,0),tao,'12(id)'!$DI$20,FALSE))&amp;";  "&amp;IF(VLOOKUP(MATCH(B269,tid,0),tao,'12(id)'!$DQ$20,FALSE)="","",VLOOKUP(MATCH(B269,tid,0),tao,'12(id)'!$DQ$20,FALSE))</f>
        <v>#N/A</v>
      </c>
      <c r="R269" s="8906"/>
      <c r="S269" s="8818"/>
      <c r="T269" s="7543">
        <f>+IF(OR(T268="",N265=""),"",T268/N265)</f>
        <v>19679.89214144068</v>
      </c>
      <c r="U269" s="8820" t="str">
        <f>+IF(T269="","","$ TCC / MW nominal capacity")</f>
        <v>$ TCC / MW nominal capacity</v>
      </c>
      <c r="V269" s="8820"/>
      <c r="W269" s="7544"/>
      <c r="X269" s="8818"/>
      <c r="Y269" s="7543">
        <f>+IF(OR(Y268="",N265=""),"",Y268/N265)</f>
        <v>19658.71030453729</v>
      </c>
      <c r="Z269" s="8820" t="str">
        <f>+IF(Y269="","","$ TCC / MW nominal capacity")</f>
        <v>$ TCC / MW nominal capacity</v>
      </c>
      <c r="AA269" s="8820"/>
      <c r="AB269" s="7545"/>
      <c r="AC269" s="8818"/>
      <c r="AD269" s="7543">
        <f>+IF(OR(AD268="",N265=""),"",AD268/N265)</f>
        <v>19658.71030453729</v>
      </c>
      <c r="AE269" s="8820" t="str">
        <f>+IF(AD269="","","$ TCC / MW nominal capacity")</f>
        <v>$ TCC / MW nominal capacity</v>
      </c>
      <c r="AF269" s="8820"/>
      <c r="AG269" s="7546"/>
      <c r="AH269" s="5962"/>
      <c r="AI269" s="5959"/>
      <c r="AJ269" s="5959"/>
      <c r="AK269" s="5959"/>
      <c r="AL269" s="5959"/>
      <c r="AM269" s="5959"/>
    </row>
    <row r="270" spans="1:39" ht="12.75" customHeight="1">
      <c r="A270" s="5952"/>
      <c r="B270" s="9035"/>
      <c r="C270" s="8852" t="str">
        <f>+IF(B270="","",VLOOKUP(MATCH(B270,tid,0),tao,'12(id)'!$J$20,FALSE))</f>
        <v/>
      </c>
      <c r="D270" s="9108" t="e">
        <f t="shared" si="3"/>
        <v>#N/A</v>
      </c>
      <c r="E270" s="9062"/>
      <c r="F270" s="5952"/>
      <c r="G270" s="5959"/>
      <c r="H270" s="5952"/>
      <c r="I270" s="9070"/>
      <c r="J270" s="9099" t="e">
        <f>+IF(VLOOKUP(MATCH(B270,tid,0),tao,'12(id)'!$I$20,FALSE)="","",VLOOKUP(MATCH(B270,tid,0),tao,'12(id)'!$I$20,FALSE))</f>
        <v>#N/A</v>
      </c>
      <c r="K270" s="9064" t="e">
        <f>+IF(VLOOKUP(MATCH(B270,tid,0),tao,'12(id)'!$K$20,FALSE)="","",VLOOKUP(MATCH(B270,tid,0),tao,'12(id)'!$K$20,FALSE))</f>
        <v>#N/A</v>
      </c>
      <c r="L270" s="9102" t="e">
        <f>+IF(VLOOKUP(MATCH(B270,tid,0),tao,'12(id)'!$L$20,FALSE)="","",VLOOKUP(MATCH(B270,tid,0),tao,'12(id)'!$L$20,FALSE))</f>
        <v>#N/A</v>
      </c>
      <c r="M270" s="9083" t="e">
        <f>+IF(VLOOKUP(MATCH(B270,tid,0),tao,'12(id)'!$Q$20,FALSE)="","",VLOOKUP(MATCH(B270,tid,0),tao,'12(id)'!$Q$20,FALSE))</f>
        <v>#N/A</v>
      </c>
      <c r="N270" s="9085" t="e">
        <f>+IF(VLOOKUP(MATCH(B270,tid,0),tao,'12(id)'!$CT$20,FALSE)="","",VLOOKUP(MATCH(B270,tid,0),tao,'12(id)'!$CT$20,FALSE))</f>
        <v>#N/A</v>
      </c>
      <c r="O270" s="9150" t="e">
        <f>+IF(VLOOKUP(MATCH(B270,tid,0),tao,'12(id)'!$DE$20,FALSE)="","",ROUND(VLOOKUP(MATCH(B270,tid,0),tao,'12(id)'!$DE$20,FALSE),0)&amp;" yrs")</f>
        <v>#N/A</v>
      </c>
      <c r="P270" s="9029" t="e">
        <f>+IF(VLOOKUP(MATCH(B270,tid,0),tao,'12(id)'!$FR$20,FALSE)="","",VLOOKUP(MATCH(B270,tid,0),tao,'12(id)'!$FR$20,FALSE))</f>
        <v>#N/A</v>
      </c>
      <c r="Q270" s="9001" t="e">
        <f>+IF(VLOOKUP(MATCH(B270,tid,0),tao,'12(id)'!$DI$20,FALSE)="","",VLOOKUP(MATCH(B270,tid,0),tao,'12(id)'!$DI$20,FALSE))&amp;";  "&amp;IF(VLOOKUP(MATCH(B270,tid,0),tao,'12(id)'!$DQ$20,FALSE)="","",VLOOKUP(MATCH(B270,tid,0),tao,'12(id)'!$DQ$20,FALSE))</f>
        <v>#N/A</v>
      </c>
      <c r="R270" s="8981"/>
      <c r="S270" s="8819"/>
      <c r="T270" s="7590">
        <f>+IF(VLOOKUP(MATCH(E265,c_id,0),ca,'13(an)'!$HF$34,FALSE)="","",VLOOKUP(MATCH(E265,c_id,0),ca,'13(an)'!$HF$34,FALSE))</f>
        <v>20803</v>
      </c>
      <c r="U270" s="8829" t="str">
        <f>IF(T270="","","$ /ton "&amp;"NOx(R)")</f>
        <v>$ /ton NOx(R)</v>
      </c>
      <c r="V270" s="8829"/>
      <c r="W270" s="7730"/>
      <c r="X270" s="8819"/>
      <c r="Y270" s="7590">
        <f>+IF(VLOOKUP(MATCH(E265,c_id,0),ca,'13(an)'!$JE$34,FALSE)="","",VLOOKUP(MATCH(E265,c_id,0),ca,'13(an)'!$JE$34,FALSE))</f>
        <v>8240.7357978084437</v>
      </c>
      <c r="Z270" s="8829" t="str">
        <f>IF(Y270="","","$ /ton "&amp;"NOx(R)")</f>
        <v>$ /ton NOx(R)</v>
      </c>
      <c r="AA270" s="8829"/>
      <c r="AB270" s="7731"/>
      <c r="AC270" s="8819"/>
      <c r="AD270" s="7590">
        <f>+IF(VLOOKUP(MATCH(E265,c_id,0),ca,'13(an)'!$LB$34,FALSE)="","",VLOOKUP(MATCH(E265,c_id,0),ca,'13(an)'!$LB$34,FALSE))</f>
        <v>22891.635462749618</v>
      </c>
      <c r="AE270" s="8829" t="str">
        <f>IF(AD270="","","$ /ton "&amp;"NOx(R)")</f>
        <v>$ /ton NOx(R)</v>
      </c>
      <c r="AF270" s="8829"/>
      <c r="AG270" s="7732"/>
      <c r="AH270" s="5962"/>
      <c r="AI270" s="5959"/>
      <c r="AJ270" s="5959"/>
      <c r="AK270" s="5959"/>
      <c r="AL270" s="5959"/>
      <c r="AM270" s="5959"/>
    </row>
    <row r="271" spans="1:39" ht="12.75" customHeight="1">
      <c r="A271" s="5952"/>
      <c r="B271" s="9035"/>
      <c r="C271" s="8852" t="str">
        <f>+IF(B271="","",VLOOKUP(MATCH(B271,tid,0),tao,'12(id)'!$J$20,FALSE))</f>
        <v/>
      </c>
      <c r="D271" s="9108" t="e">
        <f t="shared" si="3"/>
        <v>#N/A</v>
      </c>
      <c r="E271" s="9045" t="str">
        <f>+IF(B265="","",B265&amp;IF(ISERR(VALUE(1+R265)),"-01",IF(1+R265&lt;10,"-0"&amp;1+R265,"-"&amp;1+R265)))</f>
        <v>8306-02-02</v>
      </c>
      <c r="F271" s="5952"/>
      <c r="G271" s="5959"/>
      <c r="H271" s="5952"/>
      <c r="I271" s="9070"/>
      <c r="J271" s="9099" t="e">
        <f>+IF(VLOOKUP(MATCH(B271,tid,0),tao,'12(id)'!$I$20,FALSE)="","",VLOOKUP(MATCH(B271,tid,0),tao,'12(id)'!$I$20,FALSE))</f>
        <v>#N/A</v>
      </c>
      <c r="K271" s="9064" t="e">
        <f>+IF(VLOOKUP(MATCH(B271,tid,0),tao,'12(id)'!$K$20,FALSE)="","",VLOOKUP(MATCH(B271,tid,0),tao,'12(id)'!$K$20,FALSE))</f>
        <v>#N/A</v>
      </c>
      <c r="L271" s="9102" t="e">
        <f>+IF(VLOOKUP(MATCH(B271,tid,0),tao,'12(id)'!$L$20,FALSE)="","",VLOOKUP(MATCH(B271,tid,0),tao,'12(id)'!$L$20,FALSE))</f>
        <v>#N/A</v>
      </c>
      <c r="M271" s="9083" t="e">
        <f>+IF(VLOOKUP(MATCH(B271,tid,0),tao,'12(id)'!$Q$20,FALSE)="","",VLOOKUP(MATCH(B271,tid,0),tao,'12(id)'!$Q$20,FALSE))</f>
        <v>#N/A</v>
      </c>
      <c r="N271" s="9085" t="e">
        <f>+IF(VLOOKUP(MATCH(B271,tid,0),tao,'12(id)'!$CT$20,FALSE)="","",VLOOKUP(MATCH(B271,tid,0),tao,'12(id)'!$CT$20,FALSE))</f>
        <v>#N/A</v>
      </c>
      <c r="O271" s="9150" t="e">
        <f>+IF(VLOOKUP(MATCH(B271,tid,0),tao,'12(id)'!$DE$20,FALSE)="","",ROUND(VLOOKUP(MATCH(B271,tid,0),tao,'12(id)'!$DE$20,FALSE),0)&amp;" yrs")</f>
        <v>#N/A</v>
      </c>
      <c r="P271" s="9029" t="e">
        <f>+IF(VLOOKUP(MATCH(B271,tid,0),tao,'12(id)'!$FR$20,FALSE)="","",VLOOKUP(MATCH(B271,tid,0),tao,'12(id)'!$FR$20,FALSE))</f>
        <v>#N/A</v>
      </c>
      <c r="Q271" s="9001" t="e">
        <f>+IF(VLOOKUP(MATCH(B271,tid,0),tao,'12(id)'!$DI$20,FALSE)="","",VLOOKUP(MATCH(B271,tid,0),tao,'12(id)'!$DI$20,FALSE))&amp;";  "&amp;IF(VLOOKUP(MATCH(B271,tid,0),tao,'12(id)'!$DQ$20,FALSE)="","",VLOOKUP(MATCH(B271,tid,0),tao,'12(id)'!$DQ$20,FALSE))</f>
        <v>#N/A</v>
      </c>
      <c r="R271" s="9194">
        <f>+IF(B265="","",1+R265)</f>
        <v>2</v>
      </c>
      <c r="S271" s="8859"/>
      <c r="T271" s="8870" t="str">
        <f>+IF(VLOOKUP(MATCH(E271,c_id,0),ca,'13(an)'!$BD$34,FALSE)="","",VLOOKUP(MATCH(E271,c_id,0),ca,'13(an)'!$BD$34,FALSE))</f>
        <v>Selective Catalytic Reduction (SCR) with ID fans</v>
      </c>
      <c r="U271" s="8870"/>
      <c r="V271" s="8870"/>
      <c r="W271" s="7531"/>
      <c r="X271" s="8859"/>
      <c r="Y271" s="8870" t="str">
        <f>+T271</f>
        <v>Selective Catalytic Reduction (SCR) with ID fans</v>
      </c>
      <c r="Z271" s="8870"/>
      <c r="AA271" s="8870"/>
      <c r="AB271" s="7532"/>
      <c r="AC271" s="8859"/>
      <c r="AD271" s="8870" t="str">
        <f>+T271</f>
        <v>Selective Catalytic Reduction (SCR) with ID fans</v>
      </c>
      <c r="AE271" s="8870"/>
      <c r="AF271" s="8870"/>
      <c r="AG271" s="7533"/>
      <c r="AH271" s="5962"/>
      <c r="AI271" s="5959"/>
      <c r="AJ271" s="5959"/>
      <c r="AK271" s="5959"/>
      <c r="AL271" s="5959"/>
      <c r="AM271" s="5959"/>
    </row>
    <row r="272" spans="1:39" ht="12.75" customHeight="1">
      <c r="A272" s="5952"/>
      <c r="B272" s="9035"/>
      <c r="C272" s="8852" t="str">
        <f>+IF(B272="","",VLOOKUP(MATCH(B272,tid,0),tao,'12(id)'!$J$20,FALSE))</f>
        <v/>
      </c>
      <c r="D272" s="9108" t="e">
        <f t="shared" si="3"/>
        <v>#N/A</v>
      </c>
      <c r="E272" s="9079"/>
      <c r="F272" s="5952"/>
      <c r="G272" s="5959"/>
      <c r="H272" s="5952"/>
      <c r="I272" s="9070"/>
      <c r="J272" s="9099" t="e">
        <f>+IF(VLOOKUP(MATCH(B272,tid,0),tao,'12(id)'!$I$20,FALSE)="","",VLOOKUP(MATCH(B272,tid,0),tao,'12(id)'!$I$20,FALSE))</f>
        <v>#N/A</v>
      </c>
      <c r="K272" s="9064" t="e">
        <f>+IF(VLOOKUP(MATCH(B272,tid,0),tao,'12(id)'!$K$20,FALSE)="","",VLOOKUP(MATCH(B272,tid,0),tao,'12(id)'!$K$20,FALSE))</f>
        <v>#N/A</v>
      </c>
      <c r="L272" s="9102" t="e">
        <f>+IF(VLOOKUP(MATCH(B272,tid,0),tao,'12(id)'!$L$20,FALSE)="","",VLOOKUP(MATCH(B272,tid,0),tao,'12(id)'!$L$20,FALSE))</f>
        <v>#N/A</v>
      </c>
      <c r="M272" s="9083" t="e">
        <f>+IF(VLOOKUP(MATCH(B272,tid,0),tao,'12(id)'!$Q$20,FALSE)="","",VLOOKUP(MATCH(B272,tid,0),tao,'12(id)'!$Q$20,FALSE))</f>
        <v>#N/A</v>
      </c>
      <c r="N272" s="9085" t="e">
        <f>+IF(VLOOKUP(MATCH(B272,tid,0),tao,'12(id)'!$CT$20,FALSE)="","",VLOOKUP(MATCH(B272,tid,0),tao,'12(id)'!$CT$20,FALSE))</f>
        <v>#N/A</v>
      </c>
      <c r="O272" s="9150" t="e">
        <f>+IF(VLOOKUP(MATCH(B272,tid,0),tao,'12(id)'!$DE$20,FALSE)="","",ROUND(VLOOKUP(MATCH(B272,tid,0),tao,'12(id)'!$DE$20,FALSE),0)&amp;" yrs")</f>
        <v>#N/A</v>
      </c>
      <c r="P272" s="9029" t="e">
        <f>+IF(VLOOKUP(MATCH(B272,tid,0),tao,'12(id)'!$FR$20,FALSE)="","",VLOOKUP(MATCH(B272,tid,0),tao,'12(id)'!$FR$20,FALSE))</f>
        <v>#N/A</v>
      </c>
      <c r="Q272" s="9001" t="e">
        <f>+IF(VLOOKUP(MATCH(B272,tid,0),tao,'12(id)'!$DI$20,FALSE)="","",VLOOKUP(MATCH(B272,tid,0),tao,'12(id)'!$DI$20,FALSE))&amp;";  "&amp;IF(VLOOKUP(MATCH(B272,tid,0),tao,'12(id)'!$DQ$20,FALSE)="","",VLOOKUP(MATCH(B272,tid,0),tao,'12(id)'!$DQ$20,FALSE))</f>
        <v>#N/A</v>
      </c>
      <c r="R272" s="8906"/>
      <c r="S272" s="8818"/>
      <c r="T272" s="8870"/>
      <c r="U272" s="8870"/>
      <c r="V272" s="8870"/>
      <c r="W272" s="7531"/>
      <c r="X272" s="8818"/>
      <c r="Y272" s="8870"/>
      <c r="Z272" s="8870"/>
      <c r="AA272" s="8870"/>
      <c r="AB272" s="7532"/>
      <c r="AC272" s="8818"/>
      <c r="AD272" s="8870"/>
      <c r="AE272" s="8870"/>
      <c r="AF272" s="8870"/>
      <c r="AG272" s="7533"/>
      <c r="AH272" s="5962"/>
      <c r="AI272" s="5959"/>
      <c r="AJ272" s="5959"/>
      <c r="AK272" s="5959"/>
      <c r="AL272" s="5959"/>
      <c r="AM272" s="5959"/>
    </row>
    <row r="273" spans="1:39" ht="12.75" customHeight="1">
      <c r="A273" s="5952"/>
      <c r="B273" s="9035"/>
      <c r="C273" s="8852" t="str">
        <f>+IF(B273="","",VLOOKUP(MATCH(B273,tid,0),tao,'12(id)'!$J$20,FALSE))</f>
        <v/>
      </c>
      <c r="D273" s="9108" t="e">
        <f t="shared" si="3"/>
        <v>#N/A</v>
      </c>
      <c r="E273" s="9079"/>
      <c r="F273" s="5952"/>
      <c r="G273" s="5959"/>
      <c r="H273" s="5952"/>
      <c r="I273" s="9070"/>
      <c r="J273" s="9099" t="e">
        <f>+IF(VLOOKUP(MATCH(B273,tid,0),tao,'12(id)'!$I$20,FALSE)="","",VLOOKUP(MATCH(B273,tid,0),tao,'12(id)'!$I$20,FALSE))</f>
        <v>#N/A</v>
      </c>
      <c r="K273" s="9064" t="e">
        <f>+IF(VLOOKUP(MATCH(B273,tid,0),tao,'12(id)'!$K$20,FALSE)="","",VLOOKUP(MATCH(B273,tid,0),tao,'12(id)'!$K$20,FALSE))</f>
        <v>#N/A</v>
      </c>
      <c r="L273" s="9102" t="e">
        <f>+IF(VLOOKUP(MATCH(B273,tid,0),tao,'12(id)'!$L$20,FALSE)="","",VLOOKUP(MATCH(B273,tid,0),tao,'12(id)'!$L$20,FALSE))</f>
        <v>#N/A</v>
      </c>
      <c r="M273" s="9083" t="e">
        <f>+IF(VLOOKUP(MATCH(B273,tid,0),tao,'12(id)'!$Q$20,FALSE)="","",VLOOKUP(MATCH(B273,tid,0),tao,'12(id)'!$Q$20,FALSE))</f>
        <v>#N/A</v>
      </c>
      <c r="N273" s="9085" t="e">
        <f>+IF(VLOOKUP(MATCH(B273,tid,0),tao,'12(id)'!$CT$20,FALSE)="","",VLOOKUP(MATCH(B273,tid,0),tao,'12(id)'!$CT$20,FALSE))</f>
        <v>#N/A</v>
      </c>
      <c r="O273" s="9150" t="e">
        <f>+IF(VLOOKUP(MATCH(B273,tid,0),tao,'12(id)'!$DE$20,FALSE)="","",ROUND(VLOOKUP(MATCH(B273,tid,0),tao,'12(id)'!$DE$20,FALSE),0)&amp;" yrs")</f>
        <v>#N/A</v>
      </c>
      <c r="P273" s="9029" t="e">
        <f>+IF(VLOOKUP(MATCH(B273,tid,0),tao,'12(id)'!$FR$20,FALSE)="","",VLOOKUP(MATCH(B273,tid,0),tao,'12(id)'!$FR$20,FALSE))</f>
        <v>#N/A</v>
      </c>
      <c r="Q273" s="9001" t="e">
        <f>+IF(VLOOKUP(MATCH(B273,tid,0),tao,'12(id)'!$DI$20,FALSE)="","",VLOOKUP(MATCH(B273,tid,0),tao,'12(id)'!$DI$20,FALSE))&amp;";  "&amp;IF(VLOOKUP(MATCH(B273,tid,0),tao,'12(id)'!$DQ$20,FALSE)="","",VLOOKUP(MATCH(B273,tid,0),tao,'12(id)'!$DQ$20,FALSE))</f>
        <v>#N/A</v>
      </c>
      <c r="R273" s="8906"/>
      <c r="S273" s="8818"/>
      <c r="T273" s="7584" t="str">
        <f>+IF(E271="","",IF(VLOOKUP(MATCH(E271,c_id,0),ca,'13(an)'!$CC$34,FALSE)="",IF(VLOOKUP(MATCH(E271,c_id,0),ca,'13(an)'!$CD$34,FALSE)="",IF(VLOOKUP(MATCH(E271,c_id,0),ca,'13(an)'!$CE$34,FALSE)="","η ≈ N/A","η ≈ "&amp;ROUND(VLOOKUP(MATCH(E271,c_id,0),ca,'13(an)'!$CE$34,FALSE)*100,0)&amp;"%"),"η ≈ "&amp;ROUND(VLOOKUP(MATCH(E271,c_id,0),ca,'13(an)'!$CD$34,FALSE)*100,0)&amp;"%"),"η ≈ "&amp;ROUND(VLOOKUP(MATCH(E271,c_id,0),ca,'13(an)'!$CC$34,FALSE)*100,0)&amp;"%"))</f>
        <v>η ≈ 63%</v>
      </c>
      <c r="U273" s="7585" t="str">
        <f>+IF($U$295="ppmvd",IF(VLOOKUP(MATCH(E271,c_id,0),ca,'13(an)'!$BV$34,FALSE)="","",ROUND(VLOOKUP(MATCH(E271,c_id,0),ca,'13(an)'!$BV$34,FALSE),1)&amp;" ppmvd"),IF(VLOOKUP(MATCH(E271,c_id,0),ca,'13(an)'!$BU$34,FALSE)="","",IF(LEN(ROUND(VLOOKUP(MATCH(E271,c_id,0),ca,'13(an)'!$BU$34,FALSE),3))=3,ROUND(VLOOKUP(MATCH(E271,c_id,0),ca,'13(an)'!$BU$34,FALSE),3)&amp;"00 lb/MMBtu",IF(LEN(ROUND(VLOOKUP(MATCH(E271,c_id,0),ca,'13(an)'!$BU$34,FALSE),3))=4,ROUND(VLOOKUP(MATCH(E271,c_id,0),ca,'13(an)'!$BU$34,FALSE),3)&amp;"0 lb/MMBtu",ROUND(VLOOKUP(MATCH(E271,c_id,0),ca,'13(an)'!$BU$34,FALSE),3)&amp;" lb/MMBtu"))))</f>
        <v>0.100 lb/MMBtu</v>
      </c>
      <c r="V273" s="7586">
        <f>+IF(E271="","",IF(VLOOKUP(MATCH(E271,c_id,0),ca,'13(an)'!$CB$34,FALSE)="","NOx(R) = N/A",ROUND(VLOOKUP(MATCH(E271,c_id,0),ca,'13(an)'!$CB$34,FALSE),1)))</f>
        <v>104.8</v>
      </c>
      <c r="W273" s="7534"/>
      <c r="X273" s="8818"/>
      <c r="Y273" s="7584" t="str">
        <f>+IF(E271="","",IF(VLOOKUP(MATCH(E271,c_id,0),ca,'13(an)'!$CM$34,FALSE)="",IF(VLOOKUP(MATCH(E271,c_id,0),ca,'13(an)'!$CN$34,FALSE)="",IF(VLOOKUP(MATCH(E271,c_id,0),ca,'13(an)'!$CO$34,FALSE)="","η ≈ N/A","η ≈ "&amp;ROUND(VLOOKUP(MATCH(E271,c_id,0),ca,'13(an)'!$CO$34,FALSE)*100,0)&amp;"%"),"η ≈ "&amp;ROUND(VLOOKUP(MATCH(E271,c_id,0),ca,'13(an)'!$CN$34,FALSE)*100,0)&amp;"%"),"η ≈ "&amp;ROUND(VLOOKUP(MATCH(E271,c_id,0),ca,'13(an)'!$CM$34,FALSE)*100,0)&amp;"%"))</f>
        <v>η ≈ 90%</v>
      </c>
      <c r="Z273" s="7585" t="str">
        <f>+IF($Z$295="ppmvd",IF(VLOOKUP(MATCH(E271,c_id,0),ca,'13(an)'!$CJ$34,FALSE)="","",ROUND(VLOOKUP(MATCH(E271,c_id,0),ca,'13(an)'!$CJ$34,FALSE),1)&amp;" ppmvd"),IF(VLOOKUP(MATCH(E271,c_id,0),ca,'13(an)'!$CI$34,FALSE)="","",IF(LEN(ROUND(VLOOKUP(MATCH(E271,c_id,0),ca,'13(an)'!$CI$34,FALSE),3))=3,ROUND(VLOOKUP(MATCH(E271,c_id,0),ca,'13(an)'!$CI$34,FALSE),3)&amp;"00 lb/MMBtu",IF(LEN(ROUND(VLOOKUP(MATCH(E271,c_id,0),ca,'13(an)'!$CI$34,FALSE),3))=4,ROUND(VLOOKUP(MATCH(E271,c_id,0),ca,'13(an)'!$CI$34,FALSE),3)&amp;"0 lb/MMBtu",ROUND(VLOOKUP(MATCH(E271,c_id,0),ca,'13(an)'!$CI$34,FALSE),3)&amp;" lb/MMBtu"))))</f>
        <v>0.021 lb/MMBtu</v>
      </c>
      <c r="AA273" s="7586">
        <f>+IF(E271="","",IF(VLOOKUP(MATCH(E271,c_id,0),ca,'13(an)'!$CL$34,FALSE)="","NOx(R) = N/A",ROUND(VLOOKUP(MATCH(E271,c_id,0),ca,'13(an)'!$CL$34,FALSE),1)))</f>
        <v>170.4</v>
      </c>
      <c r="AB273" s="7535"/>
      <c r="AC273" s="8818"/>
      <c r="AD273" s="7584" t="str">
        <f>+IF(E271="","",IF(VLOOKUP(MATCH(E271,c_id,0),ca,'13(an)'!$CM$34,FALSE)="",IF(VLOOKUP(MATCH(E271,c_id,0),ca,'13(an)'!$CN$34,FALSE)="",IF(VLOOKUP(MATCH(E271,c_id,0),ca,'13(an)'!$CO$34,FALSE)="","η ≈ N/A","η ≈ "&amp;ROUND(VLOOKUP(MATCH(E271,c_id,0),ca,'13(an)'!$CO$34,FALSE)*100,0)&amp;"%"),"η ≈ "&amp;ROUND(VLOOKUP(MATCH(E271,c_id,0),ca,'13(an)'!$CN$34,FALSE)*100,0)&amp;"%"),"η ≈ "&amp;ROUND(VLOOKUP(MATCH(E271,c_id,0),ca,'13(an)'!$CM$34,FALSE)*100,0)&amp;"%"))</f>
        <v>η ≈ 90%</v>
      </c>
      <c r="AE273" s="7585" t="str">
        <f>+IF($AE$295="ppmvd",IF(VLOOKUP(MATCH(E271,c_id,0),ca,'13(an)'!$CJ$34,FALSE)="","",ROUND(VLOOKUP(MATCH(E271,c_id,0),ca,'13(an)'!$CJ$34,FALSE),1)&amp;" ppmvd"),IF(VLOOKUP(MATCH(E271,c_id,0),ca,'13(an)'!$CI$34,FALSE)="","",IF(LEN(ROUND(VLOOKUP(MATCH(E271,c_id,0),ca,'13(an)'!$CI$34,FALSE),3))=3,ROUND(VLOOKUP(MATCH(E271,c_id,0),ca,'13(an)'!$CI$34,FALSE),3)&amp;"00 lb/MMBtu",IF(LEN(ROUND(VLOOKUP(MATCH(E271,c_id,0),ca,'13(an)'!$CI$34,FALSE),3))=4,ROUND(VLOOKUP(MATCH(E271,c_id,0),ca,'13(an)'!$CI$34,FALSE),3)&amp;"0 lb/MMBtu",ROUND(VLOOKUP(MATCH(E271,c_id,0),ca,'13(an)'!$CI$34,FALSE),3)&amp;" lb/MMBtu"))))</f>
        <v>0.021 lb/MMBtu</v>
      </c>
      <c r="AF273" s="7586">
        <f>+IF(E271="","",IF(VLOOKUP(MATCH(E271,c_id,0),ca,'13(an)'!$CL$34,FALSE)="","NOx(R) = N/A",ROUND(VLOOKUP(MATCH(E271,c_id,0),ca,'13(an)'!$CL$34,FALSE),1)))</f>
        <v>170.4</v>
      </c>
      <c r="AG273" s="7536"/>
      <c r="AH273" s="5962"/>
      <c r="AI273" s="5959"/>
      <c r="AJ273" s="5959"/>
      <c r="AK273" s="5959"/>
      <c r="AL273" s="5959"/>
      <c r="AM273" s="5959"/>
    </row>
    <row r="274" spans="1:39" ht="12.75" customHeight="1">
      <c r="A274" s="5952"/>
      <c r="B274" s="9035"/>
      <c r="C274" s="8852" t="str">
        <f>+IF(B274="","",VLOOKUP(MATCH(B274,tid,0),tao,'12(id)'!$J$20,FALSE))</f>
        <v/>
      </c>
      <c r="D274" s="9108" t="e">
        <f t="shared" si="3"/>
        <v>#N/A</v>
      </c>
      <c r="E274" s="9079"/>
      <c r="F274" s="5952"/>
      <c r="G274" s="5959"/>
      <c r="H274" s="5952"/>
      <c r="I274" s="9070"/>
      <c r="J274" s="9099" t="e">
        <f>+IF(VLOOKUP(MATCH(B274,tid,0),tao,'12(id)'!$I$20,FALSE)="","",VLOOKUP(MATCH(B274,tid,0),tao,'12(id)'!$I$20,FALSE))</f>
        <v>#N/A</v>
      </c>
      <c r="K274" s="9064" t="e">
        <f>+IF(VLOOKUP(MATCH(B274,tid,0),tao,'12(id)'!$K$20,FALSE)="","",VLOOKUP(MATCH(B274,tid,0),tao,'12(id)'!$K$20,FALSE))</f>
        <v>#N/A</v>
      </c>
      <c r="L274" s="9102" t="e">
        <f>+IF(VLOOKUP(MATCH(B274,tid,0),tao,'12(id)'!$L$20,FALSE)="","",VLOOKUP(MATCH(B274,tid,0),tao,'12(id)'!$L$20,FALSE))</f>
        <v>#N/A</v>
      </c>
      <c r="M274" s="9083" t="e">
        <f>+IF(VLOOKUP(MATCH(B274,tid,0),tao,'12(id)'!$Q$20,FALSE)="","",VLOOKUP(MATCH(B274,tid,0),tao,'12(id)'!$Q$20,FALSE))</f>
        <v>#N/A</v>
      </c>
      <c r="N274" s="9085" t="e">
        <f>+IF(VLOOKUP(MATCH(B274,tid,0),tao,'12(id)'!$CT$20,FALSE)="","",VLOOKUP(MATCH(B274,tid,0),tao,'12(id)'!$CT$20,FALSE))</f>
        <v>#N/A</v>
      </c>
      <c r="O274" s="9150" t="e">
        <f>+IF(VLOOKUP(MATCH(B274,tid,0),tao,'12(id)'!$DE$20,FALSE)="","",ROUND(VLOOKUP(MATCH(B274,tid,0),tao,'12(id)'!$DE$20,FALSE),0)&amp;" yrs")</f>
        <v>#N/A</v>
      </c>
      <c r="P274" s="9029" t="e">
        <f>+IF(VLOOKUP(MATCH(B274,tid,0),tao,'12(id)'!$FR$20,FALSE)="","",VLOOKUP(MATCH(B274,tid,0),tao,'12(id)'!$FR$20,FALSE))</f>
        <v>#N/A</v>
      </c>
      <c r="Q274" s="9001" t="e">
        <f>+IF(VLOOKUP(MATCH(B274,tid,0),tao,'12(id)'!$DI$20,FALSE)="","",VLOOKUP(MATCH(B274,tid,0),tao,'12(id)'!$DI$20,FALSE))&amp;";  "&amp;IF(VLOOKUP(MATCH(B274,tid,0),tao,'12(id)'!$DQ$20,FALSE)="","",VLOOKUP(MATCH(B274,tid,0),tao,'12(id)'!$DQ$20,FALSE))</f>
        <v>#N/A</v>
      </c>
      <c r="R274" s="8906"/>
      <c r="S274" s="8818"/>
      <c r="T274" s="7470">
        <f>+IF(VLOOKUP(MATCH(E271,c_id,0),ca,'13(an)'!$GF$34,FALSE)="","",VLOOKUP(MATCH(E271,c_id,0),ca,'13(an)'!$GF$34,FALSE))</f>
        <v>101740653.5</v>
      </c>
      <c r="U274" s="7570" t="str">
        <f>+IF(T274="","","$ TCC/unit")</f>
        <v>$ TCC/unit</v>
      </c>
      <c r="V274" s="7541">
        <f>+IF(VLOOKUP(MATCH(E271,c_id,0),ca,'13(an)'!$HA$34,FALSE)="","",VLOOKUP(MATCH(E271,c_id,0),ca,'13(an)'!$HA$34,FALSE))</f>
        <v>26156755</v>
      </c>
      <c r="W274" s="7540"/>
      <c r="X274" s="8818"/>
      <c r="Y274" s="7470">
        <f>+IF(VLOOKUP(MATCH(E271,c_id,0),ca,'13(an)'!$IA$34,FALSE)="","",VLOOKUP(MATCH(E271,c_id,0),ca,'13(an)'!$IA$34,FALSE))</f>
        <v>101740653.5</v>
      </c>
      <c r="Z274" s="7570" t="str">
        <f>+IF(Y274="","","$ TCC/unit")</f>
        <v>$ TCC/unit</v>
      </c>
      <c r="AA274" s="7541">
        <f>+IF(Y274="","",$AA$19*Y274)</f>
        <v>7631478.807473368</v>
      </c>
      <c r="AB274" s="7541"/>
      <c r="AC274" s="8818"/>
      <c r="AD274" s="7470">
        <f>+IF(VLOOKUP(MATCH(E271,c_id,0),ca,'13(an)'!$JS$34,FALSE)="","",VLOOKUP(MATCH(E271,c_id,0),ca,'13(an)'!$JS$34,FALSE))</f>
        <v>101740653.5</v>
      </c>
      <c r="AE274" s="7570" t="str">
        <f>+IF(AD274="","","$ TCC/unit")</f>
        <v>$ TCC/unit</v>
      </c>
      <c r="AF274" s="7541">
        <f>+IF(AD274="","",$AF$19*AD274)</f>
        <v>7631478.807473368</v>
      </c>
      <c r="AG274" s="7542"/>
      <c r="AH274" s="5962"/>
      <c r="AI274" s="5959"/>
      <c r="AJ274" s="5959"/>
      <c r="AK274" s="5959"/>
      <c r="AL274" s="5959"/>
      <c r="AM274" s="5959"/>
    </row>
    <row r="275" spans="1:39" ht="12.75" customHeight="1">
      <c r="A275" s="5952"/>
      <c r="B275" s="9035"/>
      <c r="C275" s="8852" t="str">
        <f>+IF(B275="","",VLOOKUP(MATCH(B275,tid,0),tao,'12(id)'!$J$20,FALSE))</f>
        <v/>
      </c>
      <c r="D275" s="9108" t="e">
        <f t="shared" si="3"/>
        <v>#N/A</v>
      </c>
      <c r="E275" s="9079"/>
      <c r="F275" s="5952"/>
      <c r="G275" s="5959"/>
      <c r="H275" s="5952"/>
      <c r="I275" s="9070"/>
      <c r="J275" s="9099" t="e">
        <f>+IF(VLOOKUP(MATCH(B275,tid,0),tao,'12(id)'!$I$20,FALSE)="","",VLOOKUP(MATCH(B275,tid,0),tao,'12(id)'!$I$20,FALSE))</f>
        <v>#N/A</v>
      </c>
      <c r="K275" s="9064" t="e">
        <f>+IF(VLOOKUP(MATCH(B275,tid,0),tao,'12(id)'!$K$20,FALSE)="","",VLOOKUP(MATCH(B275,tid,0),tao,'12(id)'!$K$20,FALSE))</f>
        <v>#N/A</v>
      </c>
      <c r="L275" s="9102" t="e">
        <f>+IF(VLOOKUP(MATCH(B275,tid,0),tao,'12(id)'!$L$20,FALSE)="","",VLOOKUP(MATCH(B275,tid,0),tao,'12(id)'!$L$20,FALSE))</f>
        <v>#N/A</v>
      </c>
      <c r="M275" s="9083" t="e">
        <f>+IF(VLOOKUP(MATCH(B275,tid,0),tao,'12(id)'!$Q$20,FALSE)="","",VLOOKUP(MATCH(B275,tid,0),tao,'12(id)'!$Q$20,FALSE))</f>
        <v>#N/A</v>
      </c>
      <c r="N275" s="9085" t="e">
        <f>+IF(VLOOKUP(MATCH(B275,tid,0),tao,'12(id)'!$CT$20,FALSE)="","",VLOOKUP(MATCH(B275,tid,0),tao,'12(id)'!$CT$20,FALSE))</f>
        <v>#N/A</v>
      </c>
      <c r="O275" s="9150" t="e">
        <f>+IF(VLOOKUP(MATCH(B275,tid,0),tao,'12(id)'!$DE$20,FALSE)="","",ROUND(VLOOKUP(MATCH(B275,tid,0),tao,'12(id)'!$DE$20,FALSE),0)&amp;" yrs")</f>
        <v>#N/A</v>
      </c>
      <c r="P275" s="9029" t="e">
        <f>+IF(VLOOKUP(MATCH(B275,tid,0),tao,'12(id)'!$FR$20,FALSE)="","",VLOOKUP(MATCH(B275,tid,0),tao,'12(id)'!$FR$20,FALSE))</f>
        <v>#N/A</v>
      </c>
      <c r="Q275" s="9001" t="e">
        <f>+IF(VLOOKUP(MATCH(B275,tid,0),tao,'12(id)'!$DI$20,FALSE)="","",VLOOKUP(MATCH(B275,tid,0),tao,'12(id)'!$DI$20,FALSE))&amp;";  "&amp;IF(VLOOKUP(MATCH(B275,tid,0),tao,'12(id)'!$DQ$20,FALSE)="","",VLOOKUP(MATCH(B275,tid,0),tao,'12(id)'!$DQ$20,FALSE))</f>
        <v>#N/A</v>
      </c>
      <c r="R275" s="8906"/>
      <c r="S275" s="8818"/>
      <c r="T275" s="7543">
        <f>+IF(OR(T274="",N265=""),"",T274/N265)</f>
        <v>431104.46398305084</v>
      </c>
      <c r="U275" s="8820" t="str">
        <f>+IF(T275="","","$ TCC / MW nominal capacity")</f>
        <v>$ TCC / MW nominal capacity</v>
      </c>
      <c r="V275" s="8820"/>
      <c r="W275" s="7544"/>
      <c r="X275" s="8818"/>
      <c r="Y275" s="7543">
        <f>+IF(OR(Y274="",N265=""),"",Y274/N265)</f>
        <v>431104.46398305084</v>
      </c>
      <c r="Z275" s="8820" t="str">
        <f>+IF(Y275="","","$ TCC / MW nominal capacity")</f>
        <v>$ TCC / MW nominal capacity</v>
      </c>
      <c r="AA275" s="8820"/>
      <c r="AB275" s="7545"/>
      <c r="AC275" s="8818"/>
      <c r="AD275" s="7543">
        <f>+IF(OR(AD274="",N265=""),"",AD274/N265)</f>
        <v>431104.46398305084</v>
      </c>
      <c r="AE275" s="8820" t="str">
        <f>+IF(AD275="","","$ TCC / MW nominal capacity")</f>
        <v>$ TCC / MW nominal capacity</v>
      </c>
      <c r="AF275" s="8820"/>
      <c r="AG275" s="7546"/>
      <c r="AH275" s="5962"/>
      <c r="AI275" s="5959"/>
      <c r="AJ275" s="5959"/>
      <c r="AK275" s="5959"/>
      <c r="AL275" s="5959"/>
      <c r="AM275" s="5959"/>
    </row>
    <row r="276" spans="1:39" ht="12.75" customHeight="1">
      <c r="A276" s="5952"/>
      <c r="B276" s="9062"/>
      <c r="C276" s="8852" t="str">
        <f>+IF(B276="","",VLOOKUP(MATCH(B276,tid,0),tao,'12(id)'!$J$20,FALSE))</f>
        <v/>
      </c>
      <c r="D276" s="9157" t="e">
        <f t="shared" si="3"/>
        <v>#N/A</v>
      </c>
      <c r="E276" s="9080"/>
      <c r="F276" s="5952"/>
      <c r="G276" s="5959"/>
      <c r="H276" s="5952"/>
      <c r="I276" s="9071"/>
      <c r="J276" s="9099" t="e">
        <f>+IF(VLOOKUP(MATCH(B276,tid,0),tao,'12(id)'!$I$20,FALSE)="","",VLOOKUP(MATCH(B276,tid,0),tao,'12(id)'!$I$20,FALSE))</f>
        <v>#N/A</v>
      </c>
      <c r="K276" s="9064" t="e">
        <f>+IF(VLOOKUP(MATCH(B276,tid,0),tao,'12(id)'!$K$20,FALSE)="","",VLOOKUP(MATCH(B276,tid,0),tao,'12(id)'!$K$20,FALSE))</f>
        <v>#N/A</v>
      </c>
      <c r="L276" s="9102" t="e">
        <f>+IF(VLOOKUP(MATCH(B276,tid,0),tao,'12(id)'!$L$20,FALSE)="","",VLOOKUP(MATCH(B276,tid,0),tao,'12(id)'!$L$20,FALSE))</f>
        <v>#N/A</v>
      </c>
      <c r="M276" s="9152" t="e">
        <f>+IF(VLOOKUP(MATCH(B276,tid,0),tao,'12(id)'!$Q$20,FALSE)="","",VLOOKUP(MATCH(B276,tid,0),tao,'12(id)'!$Q$20,FALSE))</f>
        <v>#N/A</v>
      </c>
      <c r="N276" s="9091" t="e">
        <f>+IF(VLOOKUP(MATCH(B276,tid,0),tao,'12(id)'!$CT$20,FALSE)="","",VLOOKUP(MATCH(B276,tid,0),tao,'12(id)'!$CT$20,FALSE))</f>
        <v>#N/A</v>
      </c>
      <c r="O276" s="9154" t="e">
        <f>+IF(VLOOKUP(MATCH(B276,tid,0),tao,'12(id)'!$DE$20,FALSE)="","",ROUND(VLOOKUP(MATCH(B276,tid,0),tao,'12(id)'!$DE$20,FALSE),0)&amp;" yrs")</f>
        <v>#N/A</v>
      </c>
      <c r="P276" s="9030" t="e">
        <f>+IF(VLOOKUP(MATCH(B276,tid,0),tao,'12(id)'!$FR$20,FALSE)="","",VLOOKUP(MATCH(B276,tid,0),tao,'12(id)'!$FR$20,FALSE))</f>
        <v>#N/A</v>
      </c>
      <c r="Q276" s="9027" t="e">
        <f>+IF(VLOOKUP(MATCH(B276,tid,0),tao,'12(id)'!$DI$20,FALSE)="","",VLOOKUP(MATCH(B276,tid,0),tao,'12(id)'!$DI$20,FALSE))&amp;";  "&amp;IF(VLOOKUP(MATCH(B276,tid,0),tao,'12(id)'!$DQ$20,FALSE)="","",VLOOKUP(MATCH(B276,tid,0),tao,'12(id)'!$DQ$20,FALSE))</f>
        <v>#N/A</v>
      </c>
      <c r="R276" s="8981"/>
      <c r="S276" s="8819"/>
      <c r="T276" s="7590">
        <f>+IF(VLOOKUP(MATCH(E271,c_id,0),ca,'13(an)'!$HF$34,FALSE)="","",VLOOKUP(MATCH(E271,c_id,0),ca,'13(an)'!$HF$34,FALSE))</f>
        <v>251477</v>
      </c>
      <c r="U276" s="8829" t="str">
        <f>IF(T276="","","$ /ton "&amp;"NOx(R)")</f>
        <v>$ /ton NOx(R)</v>
      </c>
      <c r="V276" s="8829"/>
      <c r="W276" s="7730"/>
      <c r="X276" s="8819"/>
      <c r="Y276" s="7590">
        <f>+IF(VLOOKUP(MATCH(E271,c_id,0),ca,'13(an)'!$JE$34,FALSE)="","",VLOOKUP(MATCH(E271,c_id,0),ca,'13(an)'!$JE$34,FALSE))</f>
        <v>45997.087559273161</v>
      </c>
      <c r="Z276" s="8829" t="str">
        <f>IF(Y276="","","$ /ton "&amp;"NOx(R)")</f>
        <v>$ /ton NOx(R)</v>
      </c>
      <c r="AA276" s="8829"/>
      <c r="AB276" s="7731"/>
      <c r="AC276" s="8819"/>
      <c r="AD276" s="7590">
        <f>+IF(VLOOKUP(MATCH(E271,c_id,0),ca,'13(an)'!$LB$34,FALSE)="","",VLOOKUP(MATCH(E271,c_id,0),ca,'13(an)'!$LB$34,FALSE))</f>
        <v>59071.209483084087</v>
      </c>
      <c r="AE276" s="8829" t="str">
        <f>IF(AD276="","","$ /ton "&amp;"NOx(R)")</f>
        <v>$ /ton NOx(R)</v>
      </c>
      <c r="AF276" s="8829"/>
      <c r="AG276" s="7732"/>
      <c r="AH276" s="5962"/>
      <c r="AI276" s="5959"/>
      <c r="AJ276" s="5959"/>
      <c r="AK276" s="5959"/>
      <c r="AL276" s="5959"/>
      <c r="AM276" s="5959"/>
    </row>
    <row r="277" spans="1:39" ht="15" customHeight="1">
      <c r="A277" s="5952"/>
      <c r="B277" s="9092" t="str">
        <f>+IF('12(id)'!A52="","",'12(id)'!A52)</f>
        <v>8306-03</v>
      </c>
      <c r="C277" s="8852" t="str">
        <f>+IF(B277="","",VLOOKUP(MATCH(B277,tid,0),tao,'12(id)'!$J$20,FALSE))</f>
        <v>NRG</v>
      </c>
      <c r="D277" s="9112" t="str">
        <f>+IF(B277="","",M277)</f>
        <v>MD4 </v>
      </c>
      <c r="E277" s="9092" t="str">
        <f>+IF(B277="","",B277&amp;IF(ISERR(VALUE(R277)),"-01",IF(R277&lt;10,"-0"&amp;R277,"-"&amp;R277)))</f>
        <v>8306-03-01</v>
      </c>
      <c r="F277" s="5952"/>
      <c r="G277" s="5959"/>
      <c r="H277" s="5952"/>
      <c r="I277" s="9097">
        <f>1+I265</f>
        <v>3</v>
      </c>
      <c r="J277" s="9099" t="str">
        <f>+IF(VLOOKUP(MATCH(B277,tid,0),tao,'12(id)'!$I$20,FALSE)="","",VLOOKUP(MATCH(B277,tid,0),tao,'12(id)'!$I$20,FALSE))</f>
        <v/>
      </c>
      <c r="K277" s="9064">
        <f>+IF(VLOOKUP(MATCH(B277,tid,0),tao,'12(id)'!$K$20,FALSE)="","",VLOOKUP(MATCH(B277,tid,0),tao,'12(id)'!$K$20,FALSE))</f>
        <v>8306</v>
      </c>
      <c r="L277" s="9102" t="str">
        <f>+IF(VLOOKUP(MATCH(B277,tid,0),tao,'12(id)'!$L$20,FALSE)="","",VLOOKUP(MATCH(B277,tid,0),tao,'12(id)'!$L$20,FALSE))</f>
        <v>Middletown</v>
      </c>
      <c r="M277" s="9151" t="str">
        <f>+IF(B277="","",IF(VLOOKUP(MATCH(B277,tid,0),tao,'12(id)'!$Q$20,FALSE)="","",VLOOKUP(MATCH(B277,tid,0),tao,'12(id)'!$Q$20,FALSE)))</f>
        <v>MD4 </v>
      </c>
      <c r="N277" s="9109">
        <f>+IF(B277="","",IF(VLOOKUP(MATCH(B277,tid,0),tao,'12(id)'!$CT$20,FALSE)="","",VLOOKUP(MATCH(B277,tid,0),tao,'12(id)'!$CT$20,FALSE)))</f>
        <v>400</v>
      </c>
      <c r="O277" s="9153" t="str">
        <f>+IF(B277="","",IF(VLOOKUP(MATCH(B277,tid,0),tao,'12(id)'!$DE$20,FALSE)="","",ROUND(VLOOKUP(MATCH(B277,tid,0),tao,'12(id)'!$DE$20,FALSE),0)&amp;" yrs"))</f>
        <v/>
      </c>
      <c r="P277" s="9155" t="str">
        <f>+IF(B277="","",IF(VLOOKUP(MATCH(B277,tid,0),tao,'12(id)'!$FR$20,FALSE)="","",VLOOKUP(MATCH(B277,tid,0),tao,'12(id)'!$FR$20,FALSE)))</f>
        <v>None</v>
      </c>
      <c r="Q277" s="9190" t="str">
        <f>+IF(B277="","",IF(VLOOKUP(MATCH(B277,tid,0),tao,'12(id)'!$DI$20,FALSE)="","",VLOOKUP(MATCH(B277,tid,0),tao,'12(id)'!$DI$20,FALSE))&amp;";  "&amp;IF(VLOOKUP(MATCH(B277,tid,0),tao,'12(id)'!$DQ$20,FALSE)="","",VLOOKUP(MATCH(B277,tid,0),tao,'12(id)'!$DQ$20,FALSE)))</f>
        <v>No. 6 oil;  No. 2 oil</v>
      </c>
      <c r="R277" s="8982">
        <f>+IF(B277="","",1)</f>
        <v>1</v>
      </c>
      <c r="S277" s="8859"/>
      <c r="T277" s="8871" t="str">
        <f>+IF(VLOOKUP(MATCH(E277,c_id,0),ca,'13(an)'!$BD$34,FALSE)="","",VLOOKUP(MATCH(E277,c_id,0),ca,'13(an)'!$BD$34,FALSE))</f>
        <v>Separated Overfired Air / High Energy Reagent Technology (SOFA/HERT)</v>
      </c>
      <c r="U277" s="8872"/>
      <c r="V277" s="8872"/>
      <c r="W277" s="7556"/>
      <c r="X277" s="8859"/>
      <c r="Y277" s="8871" t="str">
        <f>+T277</f>
        <v>Separated Overfired Air / High Energy Reagent Technology (SOFA/HERT)</v>
      </c>
      <c r="Z277" s="8872"/>
      <c r="AA277" s="8872"/>
      <c r="AB277" s="7557"/>
      <c r="AC277" s="8859"/>
      <c r="AD277" s="8871" t="str">
        <f>+T277</f>
        <v>Separated Overfired Air / High Energy Reagent Technology (SOFA/HERT)</v>
      </c>
      <c r="AE277" s="8872"/>
      <c r="AF277" s="8872"/>
      <c r="AG277" s="7533"/>
      <c r="AH277" s="5962"/>
      <c r="AI277" s="5959"/>
      <c r="AJ277" s="5959"/>
      <c r="AK277" s="5959"/>
      <c r="AL277" s="5959"/>
      <c r="AM277" s="5959"/>
    </row>
    <row r="278" spans="1:39" ht="15" customHeight="1">
      <c r="A278" s="5952"/>
      <c r="B278" s="9035"/>
      <c r="C278" s="8852" t="str">
        <f>+IF(B278="","",VLOOKUP(MATCH(B278,tid,0),tao,'12(id)'!$J$20,FALSE))</f>
        <v/>
      </c>
      <c r="D278" s="9108" t="e">
        <f t="shared" si="3"/>
        <v>#N/A</v>
      </c>
      <c r="E278" s="9035"/>
      <c r="F278" s="5952"/>
      <c r="G278" s="5959"/>
      <c r="H278" s="5952"/>
      <c r="I278" s="9097"/>
      <c r="J278" s="9099" t="e">
        <f>+IF(VLOOKUP(MATCH(B278,tid,0),tao,'12(id)'!$I$20,FALSE)="","",VLOOKUP(MATCH(B278,tid,0),tao,'12(id)'!$I$20,FALSE))</f>
        <v>#N/A</v>
      </c>
      <c r="K278" s="9064" t="e">
        <f>+IF(VLOOKUP(MATCH(B278,tid,0),tao,'12(id)'!$K$20,FALSE)="","",VLOOKUP(MATCH(B278,tid,0),tao,'12(id)'!$K$20,FALSE))</f>
        <v>#N/A</v>
      </c>
      <c r="L278" s="9102" t="e">
        <f>+IF(VLOOKUP(MATCH(B278,tid,0),tao,'12(id)'!$L$20,FALSE)="","",VLOOKUP(MATCH(B278,tid,0),tao,'12(id)'!$L$20,FALSE))</f>
        <v>#N/A</v>
      </c>
      <c r="M278" s="9083" t="e">
        <f>+IF(VLOOKUP(MATCH(B278,tid,0),tao,'12(id)'!$Q$20,FALSE)="","",VLOOKUP(MATCH(B278,tid,0),tao,'12(id)'!$Q$20,FALSE))</f>
        <v>#N/A</v>
      </c>
      <c r="N278" s="9085" t="e">
        <f>+IF(VLOOKUP(MATCH(B278,tid,0),tao,'12(id)'!$CT$20,FALSE)="","",VLOOKUP(MATCH(B278,tid,0),tao,'12(id)'!$CT$20,FALSE))</f>
        <v>#N/A</v>
      </c>
      <c r="O278" s="9150" t="e">
        <f>+IF(VLOOKUP(MATCH(B278,tid,0),tao,'12(id)'!$DE$20,FALSE)="","",ROUND(VLOOKUP(MATCH(B278,tid,0),tao,'12(id)'!$DE$20,FALSE),0)&amp;" yrs")</f>
        <v>#N/A</v>
      </c>
      <c r="P278" s="9029" t="e">
        <f>+IF(VLOOKUP(MATCH(B278,tid,0),tao,'12(id)'!$FR$20,FALSE)="","",VLOOKUP(MATCH(B278,tid,0),tao,'12(id)'!$FR$20,FALSE))</f>
        <v>#N/A</v>
      </c>
      <c r="Q278" s="9001" t="e">
        <f>+IF(VLOOKUP(MATCH(B278,tid,0),tao,'12(id)'!$DI$20,FALSE)="","",VLOOKUP(MATCH(B278,tid,0),tao,'12(id)'!$DI$20,FALSE))&amp;";  "&amp;IF(VLOOKUP(MATCH(B278,tid,0),tao,'12(id)'!$DQ$20,FALSE)="","",VLOOKUP(MATCH(B278,tid,0),tao,'12(id)'!$DQ$20,FALSE))</f>
        <v>#N/A</v>
      </c>
      <c r="R278" s="8906"/>
      <c r="S278" s="8818"/>
      <c r="T278" s="8870"/>
      <c r="U278" s="8870"/>
      <c r="V278" s="8870"/>
      <c r="W278" s="7531"/>
      <c r="X278" s="8818"/>
      <c r="Y278" s="8870"/>
      <c r="Z278" s="8870"/>
      <c r="AA278" s="8870"/>
      <c r="AB278" s="7532"/>
      <c r="AC278" s="8818"/>
      <c r="AD278" s="8870"/>
      <c r="AE278" s="8870"/>
      <c r="AF278" s="8870"/>
      <c r="AG278" s="7533"/>
      <c r="AH278" s="5962"/>
      <c r="AI278" s="5959"/>
      <c r="AJ278" s="5959"/>
      <c r="AK278" s="5959"/>
      <c r="AL278" s="5959"/>
      <c r="AM278" s="5959"/>
    </row>
    <row r="279" spans="1:39" ht="14.1" customHeight="1">
      <c r="A279" s="5952"/>
      <c r="B279" s="9035"/>
      <c r="C279" s="8852" t="str">
        <f>+IF(B279="","",VLOOKUP(MATCH(B279,tid,0),tao,'12(id)'!$J$20,FALSE))</f>
        <v/>
      </c>
      <c r="D279" s="9108" t="e">
        <f t="shared" si="3"/>
        <v>#N/A</v>
      </c>
      <c r="E279" s="9035"/>
      <c r="F279" s="5952"/>
      <c r="G279" s="5959"/>
      <c r="H279" s="5952"/>
      <c r="I279" s="9097"/>
      <c r="J279" s="9099" t="e">
        <f>+IF(VLOOKUP(MATCH(B279,tid,0),tao,'12(id)'!$I$20,FALSE)="","",VLOOKUP(MATCH(B279,tid,0),tao,'12(id)'!$I$20,FALSE))</f>
        <v>#N/A</v>
      </c>
      <c r="K279" s="9064" t="e">
        <f>+IF(VLOOKUP(MATCH(B279,tid,0),tao,'12(id)'!$K$20,FALSE)="","",VLOOKUP(MATCH(B279,tid,0),tao,'12(id)'!$K$20,FALSE))</f>
        <v>#N/A</v>
      </c>
      <c r="L279" s="9102" t="e">
        <f>+IF(VLOOKUP(MATCH(B279,tid,0),tao,'12(id)'!$L$20,FALSE)="","",VLOOKUP(MATCH(B279,tid,0),tao,'12(id)'!$L$20,FALSE))</f>
        <v>#N/A</v>
      </c>
      <c r="M279" s="9083" t="e">
        <f>+IF(VLOOKUP(MATCH(B279,tid,0),tao,'12(id)'!$Q$20,FALSE)="","",VLOOKUP(MATCH(B279,tid,0),tao,'12(id)'!$Q$20,FALSE))</f>
        <v>#N/A</v>
      </c>
      <c r="N279" s="9085" t="e">
        <f>+IF(VLOOKUP(MATCH(B279,tid,0),tao,'12(id)'!$CT$20,FALSE)="","",VLOOKUP(MATCH(B279,tid,0),tao,'12(id)'!$CT$20,FALSE))</f>
        <v>#N/A</v>
      </c>
      <c r="O279" s="9150" t="e">
        <f>+IF(VLOOKUP(MATCH(B279,tid,0),tao,'12(id)'!$DE$20,FALSE)="","",ROUND(VLOOKUP(MATCH(B279,tid,0),tao,'12(id)'!$DE$20,FALSE),0)&amp;" yrs")</f>
        <v>#N/A</v>
      </c>
      <c r="P279" s="9029" t="e">
        <f>+IF(VLOOKUP(MATCH(B279,tid,0),tao,'12(id)'!$FR$20,FALSE)="","",VLOOKUP(MATCH(B279,tid,0),tao,'12(id)'!$FR$20,FALSE))</f>
        <v>#N/A</v>
      </c>
      <c r="Q279" s="9001" t="e">
        <f>+IF(VLOOKUP(MATCH(B279,tid,0),tao,'12(id)'!$DI$20,FALSE)="","",VLOOKUP(MATCH(B279,tid,0),tao,'12(id)'!$DI$20,FALSE))&amp;";  "&amp;IF(VLOOKUP(MATCH(B279,tid,0),tao,'12(id)'!$DQ$20,FALSE)="","",VLOOKUP(MATCH(B279,tid,0),tao,'12(id)'!$DQ$20,FALSE))</f>
        <v>#N/A</v>
      </c>
      <c r="R279" s="8906"/>
      <c r="S279" s="8818"/>
      <c r="T279" s="7600" t="str">
        <f>+IF(E277="","",IF(VLOOKUP(MATCH(E277,c_id,0),ca,'13(an)'!$CC$34,FALSE)="",IF(VLOOKUP(MATCH(E277,c_id,0),ca,'13(an)'!$CD$34,FALSE)="",IF(VLOOKUP(MATCH(E277,c_id,0),ca,'13(an)'!$CE$34,FALSE)="","η ≈ N/A","η ≈ "&amp;ROUND(VLOOKUP(MATCH(E277,c_id,0),ca,'13(an)'!$CE$34,FALSE)*100,0)&amp;"%"),"η ≈ "&amp;ROUND(VLOOKUP(MATCH(E277,c_id,0),ca,'13(an)'!$CD$34,FALSE)*100,0)&amp;"%"),"η ≈ "&amp;ROUND(VLOOKUP(MATCH(E277,c_id,0),ca,'13(an)'!$CC$34,FALSE)*100,0)&amp;"%"))</f>
        <v>η ≈ 46%</v>
      </c>
      <c r="U279" s="7601" t="str">
        <f>+IF($U$295="ppmvd",IF(VLOOKUP(MATCH(E277,c_id,0),ca,'13(an)'!$BV$34,FALSE)="","",ROUND(VLOOKUP(MATCH(E277,c_id,0),ca,'13(an)'!$BV$34,FALSE),1)&amp;" ppmvd"),IF(VLOOKUP(MATCH(E277,c_id,0),ca,'13(an)'!$BU$34,FALSE)="","",IF(LEN(ROUND(VLOOKUP(MATCH(E277,c_id,0),ca,'13(an)'!$BU$34,FALSE),3))=3,ROUND(VLOOKUP(MATCH(E277,c_id,0),ca,'13(an)'!$BU$34,FALSE),3)&amp;"00 lb/MMBtu",IF(LEN(ROUND(VLOOKUP(MATCH(E277,c_id,0),ca,'13(an)'!$BU$34,FALSE),3))=4,ROUND(VLOOKUP(MATCH(E277,c_id,0),ca,'13(an)'!$BU$34,FALSE),3)&amp;"0 lb/MMBtu",ROUND(VLOOKUP(MATCH(E277,c_id,0),ca,'13(an)'!$BU$34,FALSE),3)&amp;" lb/MMBtu"))))</f>
        <v>0.150 lb/MMBtu</v>
      </c>
      <c r="V279" s="7602">
        <f>+IF(E277="","",IF(VLOOKUP(MATCH(E277,c_id,0),ca,'13(an)'!$CB$34,FALSE)="","NOx(R) = N/A",ROUND(VLOOKUP(MATCH(E277,c_id,0),ca,'13(an)'!$CB$34,FALSE),1)))</f>
        <v>36.299999999999997</v>
      </c>
      <c r="W279" s="7534"/>
      <c r="X279" s="8818"/>
      <c r="Y279" s="7600" t="str">
        <f>+IF(E277="","",IF(VLOOKUP(MATCH(E277,c_id,0),ca,'13(an)'!$CM$34,FALSE)="",IF(VLOOKUP(MATCH(E277,c_id,0),ca,'13(an)'!$CN$34,FALSE)="",IF(VLOOKUP(MATCH(E277,c_id,0),ca,'13(an)'!$CO$34,FALSE)="","η ≈ N/A","η ≈ "&amp;ROUND(VLOOKUP(MATCH(E277,c_id,0),ca,'13(an)'!$CO$34,FALSE)*100,0)&amp;"%"),"η ≈ "&amp;ROUND(VLOOKUP(MATCH(E277,c_id,0),ca,'13(an)'!$CN$34,FALSE)*100,0)&amp;"%"),"η ≈ "&amp;ROUND(VLOOKUP(MATCH(E277,c_id,0),ca,'13(an)'!$CM$34,FALSE)*100,0)&amp;"%"))</f>
        <v>η ≈ 46%</v>
      </c>
      <c r="Z279" s="7601" t="str">
        <f>+IF($Z$295="ppmvd",IF(VLOOKUP(MATCH(E277,c_id,0),ca,'13(an)'!$CJ$34,FALSE)="","",ROUND(VLOOKUP(MATCH(E277,c_id,0),ca,'13(an)'!$CJ$34,FALSE),1)&amp;" ppmvd"),IF(VLOOKUP(MATCH(E277,c_id,0),ca,'13(an)'!$CI$34,FALSE)="","",IF(LEN(ROUND(VLOOKUP(MATCH(E277,c_id,0),ca,'13(an)'!$CI$34,FALSE),3))=3,ROUND(VLOOKUP(MATCH(E277,c_id,0),ca,'13(an)'!$CI$34,FALSE),3)&amp;"00 lb/MMBtu",IF(LEN(ROUND(VLOOKUP(MATCH(E277,c_id,0),ca,'13(an)'!$CI$34,FALSE),3))=4,ROUND(VLOOKUP(MATCH(E277,c_id,0),ca,'13(an)'!$CI$34,FALSE),3)&amp;"0 lb/MMBtu",ROUND(VLOOKUP(MATCH(E277,c_id,0),ca,'13(an)'!$CI$34,FALSE),3)&amp;" lb/MMBtu"))))</f>
        <v>0.098 lb/MMBtu</v>
      </c>
      <c r="AA279" s="7602">
        <f>+IF(E277="","",IF(VLOOKUP(MATCH(E277,c_id,0),ca,'13(an)'!$CL$34,FALSE)="","NOx(R) = N/A",ROUND(VLOOKUP(MATCH(E277,c_id,0),ca,'13(an)'!$CL$34,FALSE),1)))</f>
        <v>37.4</v>
      </c>
      <c r="AB279" s="7535"/>
      <c r="AC279" s="8818"/>
      <c r="AD279" s="7600" t="str">
        <f>+IF(E277="","",IF(VLOOKUP(MATCH(E277,c_id,0),ca,'13(an)'!$CM$34,FALSE)="",IF(VLOOKUP(MATCH(E277,c_id,0),ca,'13(an)'!$CN$34,FALSE)="",IF(VLOOKUP(MATCH(E277,c_id,0),ca,'13(an)'!$CO$34,FALSE)="","η ≈ N/A","η ≈ "&amp;ROUND(VLOOKUP(MATCH(E277,c_id,0),ca,'13(an)'!$CO$34,FALSE)*100,0)&amp;"%"),"η ≈ "&amp;ROUND(VLOOKUP(MATCH(E277,c_id,0),ca,'13(an)'!$CN$34,FALSE)*100,0)&amp;"%"),"η ≈ "&amp;ROUND(VLOOKUP(MATCH(E277,c_id,0),ca,'13(an)'!$CM$34,FALSE)*100,0)&amp;"%"))</f>
        <v>η ≈ 46%</v>
      </c>
      <c r="AE279" s="7601" t="str">
        <f>+IF($AE$295="ppmvd",IF(VLOOKUP(MATCH(E277,c_id,0),ca,'13(an)'!$CJ$34,FALSE)="","",ROUND(VLOOKUP(MATCH(E277,c_id,0),ca,'13(an)'!$CJ$34,FALSE),1)&amp;" ppmvd"),IF(VLOOKUP(MATCH(E277,c_id,0),ca,'13(an)'!$CI$34,FALSE)="","",IF(LEN(ROUND(VLOOKUP(MATCH(E277,c_id,0),ca,'13(an)'!$CI$34,FALSE),3))=3,ROUND(VLOOKUP(MATCH(E277,c_id,0),ca,'13(an)'!$CI$34,FALSE),3)&amp;"00 lb/MMBtu",IF(LEN(ROUND(VLOOKUP(MATCH(E277,c_id,0),ca,'13(an)'!$CI$34,FALSE),3))=4,ROUND(VLOOKUP(MATCH(E277,c_id,0),ca,'13(an)'!$CI$34,FALSE),3)&amp;"0 lb/MMBtu",ROUND(VLOOKUP(MATCH(E277,c_id,0),ca,'13(an)'!$CI$34,FALSE),3)&amp;" lb/MMBtu"))))</f>
        <v>0.098 lb/MMBtu</v>
      </c>
      <c r="AF279" s="7602">
        <f>+IF(E277="","",IF(VLOOKUP(MATCH(E277,c_id,0),ca,'13(an)'!$CL$34,FALSE)="","NOx(R) = N/A",ROUND(VLOOKUP(MATCH(E277,c_id,0),ca,'13(an)'!$CL$34,FALSE),1)))</f>
        <v>37.4</v>
      </c>
      <c r="AG279" s="7536"/>
      <c r="AH279" s="5962"/>
      <c r="AI279" s="5959"/>
      <c r="AJ279" s="5959"/>
      <c r="AK279" s="5959"/>
      <c r="AL279" s="5959"/>
      <c r="AM279" s="5959"/>
    </row>
    <row r="280" spans="1:39" ht="12.75" customHeight="1">
      <c r="A280" s="5952"/>
      <c r="B280" s="9035"/>
      <c r="C280" s="8852" t="str">
        <f>+IF(B280="","",VLOOKUP(MATCH(B280,tid,0),tao,'12(id)'!$J$20,FALSE))</f>
        <v/>
      </c>
      <c r="D280" s="9108" t="e">
        <f t="shared" si="3"/>
        <v>#N/A</v>
      </c>
      <c r="E280" s="9035"/>
      <c r="F280" s="5952"/>
      <c r="G280" s="5959"/>
      <c r="H280" s="5952"/>
      <c r="I280" s="9097"/>
      <c r="J280" s="9099" t="e">
        <f>+IF(VLOOKUP(MATCH(B280,tid,0),tao,'12(id)'!$I$20,FALSE)="","",VLOOKUP(MATCH(B280,tid,0),tao,'12(id)'!$I$20,FALSE))</f>
        <v>#N/A</v>
      </c>
      <c r="K280" s="9064" t="e">
        <f>+IF(VLOOKUP(MATCH(B280,tid,0),tao,'12(id)'!$K$20,FALSE)="","",VLOOKUP(MATCH(B280,tid,0),tao,'12(id)'!$K$20,FALSE))</f>
        <v>#N/A</v>
      </c>
      <c r="L280" s="9102" t="e">
        <f>+IF(VLOOKUP(MATCH(B280,tid,0),tao,'12(id)'!$L$20,FALSE)="","",VLOOKUP(MATCH(B280,tid,0),tao,'12(id)'!$L$20,FALSE))</f>
        <v>#N/A</v>
      </c>
      <c r="M280" s="9083" t="e">
        <f>+IF(VLOOKUP(MATCH(B280,tid,0),tao,'12(id)'!$Q$20,FALSE)="","",VLOOKUP(MATCH(B280,tid,0),tao,'12(id)'!$Q$20,FALSE))</f>
        <v>#N/A</v>
      </c>
      <c r="N280" s="9085" t="e">
        <f>+IF(VLOOKUP(MATCH(B280,tid,0),tao,'12(id)'!$CT$20,FALSE)="","",VLOOKUP(MATCH(B280,tid,0),tao,'12(id)'!$CT$20,FALSE))</f>
        <v>#N/A</v>
      </c>
      <c r="O280" s="9150" t="e">
        <f>+IF(VLOOKUP(MATCH(B280,tid,0),tao,'12(id)'!$DE$20,FALSE)="","",ROUND(VLOOKUP(MATCH(B280,tid,0),tao,'12(id)'!$DE$20,FALSE),0)&amp;" yrs")</f>
        <v>#N/A</v>
      </c>
      <c r="P280" s="9029" t="e">
        <f>+IF(VLOOKUP(MATCH(B280,tid,0),tao,'12(id)'!$FR$20,FALSE)="","",VLOOKUP(MATCH(B280,tid,0),tao,'12(id)'!$FR$20,FALSE))</f>
        <v>#N/A</v>
      </c>
      <c r="Q280" s="9001" t="e">
        <f>+IF(VLOOKUP(MATCH(B280,tid,0),tao,'12(id)'!$DI$20,FALSE)="","",VLOOKUP(MATCH(B280,tid,0),tao,'12(id)'!$DI$20,FALSE))&amp;";  "&amp;IF(VLOOKUP(MATCH(B280,tid,0),tao,'12(id)'!$DQ$20,FALSE)="","",VLOOKUP(MATCH(B280,tid,0),tao,'12(id)'!$DQ$20,FALSE))</f>
        <v>#N/A</v>
      </c>
      <c r="R280" s="8906"/>
      <c r="S280" s="8818"/>
      <c r="T280" s="7543">
        <f>+IF(VLOOKUP(MATCH(E277,c_id,0),ca,'13(an)'!$GF$34,FALSE)="","",VLOOKUP(MATCH(E277,c_id,0),ca,'13(an)'!$GF$34,FALSE))</f>
        <v>6213828.4982000003</v>
      </c>
      <c r="U280" s="7570" t="str">
        <f>+IF(T280="","","$ TCC/unit")</f>
        <v>$ TCC/unit</v>
      </c>
      <c r="V280" s="7541">
        <f>+IF(VLOOKUP(MATCH(E277,c_id,0),ca,'13(an)'!$HA$34,FALSE)="","",VLOOKUP(MATCH(E277,c_id,0),ca,'13(an)'!$HA$34,FALSE))</f>
        <v>1597528</v>
      </c>
      <c r="W280" s="7540"/>
      <c r="X280" s="8818"/>
      <c r="Y280" s="7543">
        <f>+IF(VLOOKUP(MATCH(E277,c_id,0),ca,'13(an)'!$IA$34,FALSE)="","",VLOOKUP(MATCH(E277,c_id,0),ca,'13(an)'!$IA$34,FALSE))</f>
        <v>6083835.4149000002</v>
      </c>
      <c r="Z280" s="7570" t="str">
        <f>+IF(Y280="","","$ TCC/unit")</f>
        <v>$ TCC/unit</v>
      </c>
      <c r="AA280" s="7541">
        <f>+IF(Y280="","",$AA$19*Y280)</f>
        <v>456343.25552042283</v>
      </c>
      <c r="AB280" s="7541"/>
      <c r="AC280" s="8818"/>
      <c r="AD280" s="7543">
        <f>+IF(VLOOKUP(MATCH(E277,c_id,0),ca,'13(an)'!$JS$34,FALSE)="","",VLOOKUP(MATCH(E277,c_id,0),ca,'13(an)'!$JS$34,FALSE))</f>
        <v>6083835.4149000002</v>
      </c>
      <c r="AE280" s="7570" t="str">
        <f>+IF(AD280="","","$ TCC/unit")</f>
        <v>$ TCC/unit</v>
      </c>
      <c r="AF280" s="7541">
        <f>+IF(AD280="","",$AF$19*AD280)</f>
        <v>456343.25552042283</v>
      </c>
      <c r="AG280" s="7542"/>
      <c r="AH280" s="5962"/>
      <c r="AI280" s="5959"/>
      <c r="AJ280" s="5959"/>
      <c r="AK280" s="5959"/>
      <c r="AL280" s="5959"/>
      <c r="AM280" s="5959"/>
    </row>
    <row r="281" spans="1:39" ht="12.75" customHeight="1">
      <c r="A281" s="5952"/>
      <c r="B281" s="9035"/>
      <c r="C281" s="8852" t="str">
        <f>+IF(B281="","",VLOOKUP(MATCH(B281,tid,0),tao,'12(id)'!$J$20,FALSE))</f>
        <v/>
      </c>
      <c r="D281" s="9108" t="e">
        <f t="shared" si="3"/>
        <v>#N/A</v>
      </c>
      <c r="E281" s="9035"/>
      <c r="F281" s="5952"/>
      <c r="G281" s="5959"/>
      <c r="H281" s="5952"/>
      <c r="I281" s="9097"/>
      <c r="J281" s="9099" t="e">
        <f>+IF(VLOOKUP(MATCH(B281,tid,0),tao,'12(id)'!$I$20,FALSE)="","",VLOOKUP(MATCH(B281,tid,0),tao,'12(id)'!$I$20,FALSE))</f>
        <v>#N/A</v>
      </c>
      <c r="K281" s="9064" t="e">
        <f>+IF(VLOOKUP(MATCH(B281,tid,0),tao,'12(id)'!$K$20,FALSE)="","",VLOOKUP(MATCH(B281,tid,0),tao,'12(id)'!$K$20,FALSE))</f>
        <v>#N/A</v>
      </c>
      <c r="L281" s="9102" t="e">
        <f>+IF(VLOOKUP(MATCH(B281,tid,0),tao,'12(id)'!$L$20,FALSE)="","",VLOOKUP(MATCH(B281,tid,0),tao,'12(id)'!$L$20,FALSE))</f>
        <v>#N/A</v>
      </c>
      <c r="M281" s="9083" t="e">
        <f>+IF(VLOOKUP(MATCH(B281,tid,0),tao,'12(id)'!$Q$20,FALSE)="","",VLOOKUP(MATCH(B281,tid,0),tao,'12(id)'!$Q$20,FALSE))</f>
        <v>#N/A</v>
      </c>
      <c r="N281" s="9085" t="e">
        <f>+IF(VLOOKUP(MATCH(B281,tid,0),tao,'12(id)'!$CT$20,FALSE)="","",VLOOKUP(MATCH(B281,tid,0),tao,'12(id)'!$CT$20,FALSE))</f>
        <v>#N/A</v>
      </c>
      <c r="O281" s="9150" t="e">
        <f>+IF(VLOOKUP(MATCH(B281,tid,0),tao,'12(id)'!$DE$20,FALSE)="","",ROUND(VLOOKUP(MATCH(B281,tid,0),tao,'12(id)'!$DE$20,FALSE),0)&amp;" yrs")</f>
        <v>#N/A</v>
      </c>
      <c r="P281" s="9029" t="e">
        <f>+IF(VLOOKUP(MATCH(B281,tid,0),tao,'12(id)'!$FR$20,FALSE)="","",VLOOKUP(MATCH(B281,tid,0),tao,'12(id)'!$FR$20,FALSE))</f>
        <v>#N/A</v>
      </c>
      <c r="Q281" s="9001" t="e">
        <f>+IF(VLOOKUP(MATCH(B281,tid,0),tao,'12(id)'!$DI$20,FALSE)="","",VLOOKUP(MATCH(B281,tid,0),tao,'12(id)'!$DI$20,FALSE))&amp;";  "&amp;IF(VLOOKUP(MATCH(B281,tid,0),tao,'12(id)'!$DQ$20,FALSE)="","",VLOOKUP(MATCH(B281,tid,0),tao,'12(id)'!$DQ$20,FALSE))</f>
        <v>#N/A</v>
      </c>
      <c r="R281" s="8906"/>
      <c r="S281" s="8818"/>
      <c r="T281" s="7543">
        <f>+IF(OR(T280="",N277=""),"",T280/N277)</f>
        <v>15534.571245500001</v>
      </c>
      <c r="U281" s="8820" t="str">
        <f>+IF(T281="","","$ TCC / MW nominal capacity")</f>
        <v>$ TCC / MW nominal capacity</v>
      </c>
      <c r="V281" s="8820"/>
      <c r="W281" s="7544"/>
      <c r="X281" s="8818"/>
      <c r="Y281" s="7543">
        <f>+IF(OR(Y280="",N277=""),"",Y280/N277)</f>
        <v>15209.58853725</v>
      </c>
      <c r="Z281" s="8820" t="str">
        <f>+IF(Y281="","","$ TCC / MW nominal capacity")</f>
        <v>$ TCC / MW nominal capacity</v>
      </c>
      <c r="AA281" s="8820"/>
      <c r="AB281" s="7545"/>
      <c r="AC281" s="8818"/>
      <c r="AD281" s="7543">
        <f>+IF(OR(AD280="",N277=""),"",AD280/N277)</f>
        <v>15209.58853725</v>
      </c>
      <c r="AE281" s="8820" t="str">
        <f>+IF(AD281="","","$ TCC / MW nominal capacity")</f>
        <v>$ TCC / MW nominal capacity</v>
      </c>
      <c r="AF281" s="8820"/>
      <c r="AG281" s="7546"/>
      <c r="AH281" s="5962"/>
      <c r="AI281" s="5959"/>
      <c r="AJ281" s="5959"/>
      <c r="AK281" s="5959"/>
      <c r="AL281" s="5959"/>
      <c r="AM281" s="5959"/>
    </row>
    <row r="282" spans="1:39" ht="12.75" customHeight="1">
      <c r="A282" s="5952"/>
      <c r="B282" s="9035"/>
      <c r="C282" s="8852" t="str">
        <f>+IF(B282="","",VLOOKUP(MATCH(B282,tid,0),tao,'12(id)'!$J$20,FALSE))</f>
        <v/>
      </c>
      <c r="D282" s="9108" t="e">
        <f t="shared" si="3"/>
        <v>#N/A</v>
      </c>
      <c r="E282" s="9062"/>
      <c r="F282" s="5952"/>
      <c r="G282" s="5959"/>
      <c r="H282" s="5952"/>
      <c r="I282" s="9097"/>
      <c r="J282" s="9099" t="e">
        <f>+IF(VLOOKUP(MATCH(B282,tid,0),tao,'12(id)'!$I$20,FALSE)="","",VLOOKUP(MATCH(B282,tid,0),tao,'12(id)'!$I$20,FALSE))</f>
        <v>#N/A</v>
      </c>
      <c r="K282" s="9064" t="e">
        <f>+IF(VLOOKUP(MATCH(B282,tid,0),tao,'12(id)'!$K$20,FALSE)="","",VLOOKUP(MATCH(B282,tid,0),tao,'12(id)'!$K$20,FALSE))</f>
        <v>#N/A</v>
      </c>
      <c r="L282" s="9102" t="e">
        <f>+IF(VLOOKUP(MATCH(B282,tid,0),tao,'12(id)'!$L$20,FALSE)="","",VLOOKUP(MATCH(B282,tid,0),tao,'12(id)'!$L$20,FALSE))</f>
        <v>#N/A</v>
      </c>
      <c r="M282" s="9083" t="e">
        <f>+IF(VLOOKUP(MATCH(B282,tid,0),tao,'12(id)'!$Q$20,FALSE)="","",VLOOKUP(MATCH(B282,tid,0),tao,'12(id)'!$Q$20,FALSE))</f>
        <v>#N/A</v>
      </c>
      <c r="N282" s="9085" t="e">
        <f>+IF(VLOOKUP(MATCH(B282,tid,0),tao,'12(id)'!$CT$20,FALSE)="","",VLOOKUP(MATCH(B282,tid,0),tao,'12(id)'!$CT$20,FALSE))</f>
        <v>#N/A</v>
      </c>
      <c r="O282" s="9150" t="e">
        <f>+IF(VLOOKUP(MATCH(B282,tid,0),tao,'12(id)'!$DE$20,FALSE)="","",ROUND(VLOOKUP(MATCH(B282,tid,0),tao,'12(id)'!$DE$20,FALSE),0)&amp;" yrs")</f>
        <v>#N/A</v>
      </c>
      <c r="P282" s="9029" t="e">
        <f>+IF(VLOOKUP(MATCH(B282,tid,0),tao,'12(id)'!$FR$20,FALSE)="","",VLOOKUP(MATCH(B282,tid,0),tao,'12(id)'!$FR$20,FALSE))</f>
        <v>#N/A</v>
      </c>
      <c r="Q282" s="9001" t="e">
        <f>+IF(VLOOKUP(MATCH(B282,tid,0),tao,'12(id)'!$DI$20,FALSE)="","",VLOOKUP(MATCH(B282,tid,0),tao,'12(id)'!$DI$20,FALSE))&amp;";  "&amp;IF(VLOOKUP(MATCH(B282,tid,0),tao,'12(id)'!$DQ$20,FALSE)="","",VLOOKUP(MATCH(B282,tid,0),tao,'12(id)'!$DQ$20,FALSE))</f>
        <v>#N/A</v>
      </c>
      <c r="R282" s="8981"/>
      <c r="S282" s="8819"/>
      <c r="T282" s="7590">
        <f>+IF(VLOOKUP(MATCH(E277,c_id,0),ca,'13(an)'!$HF$34,FALSE)="","",VLOOKUP(MATCH(E277,c_id,0),ca,'13(an)'!$HF$34,FALSE))</f>
        <v>49103</v>
      </c>
      <c r="U282" s="8829" t="str">
        <f>IF(T282="","","$ /ton "&amp;"NOx(R)")</f>
        <v>$ /ton NOx(R)</v>
      </c>
      <c r="V282" s="8829"/>
      <c r="W282" s="7730"/>
      <c r="X282" s="8819"/>
      <c r="Y282" s="7590">
        <f>+IF(VLOOKUP(MATCH(E277,c_id,0),ca,'13(an)'!$JE$34,FALSE)="","",VLOOKUP(MATCH(E277,c_id,0),ca,'13(an)'!$JE$34,FALSE))</f>
        <v>17098.575398539735</v>
      </c>
      <c r="Z282" s="8829" t="str">
        <f>IF(Y282="","","$ /ton "&amp;"NOx(R)")</f>
        <v>$ /ton NOx(R)</v>
      </c>
      <c r="AA282" s="8829"/>
      <c r="AB282" s="7731"/>
      <c r="AC282" s="8819"/>
      <c r="AD282" s="7590">
        <f>+IF(VLOOKUP(MATCH(E277,c_id,0),ca,'13(an)'!$LB$34,FALSE)="","",VLOOKUP(MATCH(E277,c_id,0),ca,'13(an)'!$LB$34,FALSE))</f>
        <v>34830.139397169762</v>
      </c>
      <c r="AE282" s="8829" t="str">
        <f>IF(AD282="","","$ /ton "&amp;"NOx(R)")</f>
        <v>$ /ton NOx(R)</v>
      </c>
      <c r="AF282" s="8829"/>
      <c r="AG282" s="7732"/>
      <c r="AH282" s="5962"/>
      <c r="AI282" s="5959"/>
      <c r="AJ282" s="5959"/>
      <c r="AK282" s="5959"/>
      <c r="AL282" s="5959"/>
      <c r="AM282" s="5959"/>
    </row>
    <row r="283" spans="1:39" ht="15" customHeight="1">
      <c r="A283" s="5952"/>
      <c r="B283" s="9035"/>
      <c r="C283" s="8852" t="str">
        <f>+IF(B283="","",VLOOKUP(MATCH(B283,tid,0),tao,'12(id)'!$J$20,FALSE))</f>
        <v/>
      </c>
      <c r="D283" s="9108">
        <f t="shared" si="3"/>
        <v>0</v>
      </c>
      <c r="E283" s="9045" t="str">
        <f>+IF(B277="","",B277&amp;IF(ISERR(VALUE(1+R277)),"-01",IF(1+R277&lt;10,"-0"&amp;1+R277,"-"&amp;1+R277)))</f>
        <v>8306-03-02</v>
      </c>
      <c r="F283" s="5952"/>
      <c r="G283" s="5959"/>
      <c r="H283" s="5952"/>
      <c r="I283" s="9097"/>
      <c r="J283" s="9099"/>
      <c r="K283" s="9064"/>
      <c r="L283" s="9102"/>
      <c r="M283" s="9083"/>
      <c r="N283" s="9085"/>
      <c r="O283" s="9150"/>
      <c r="P283" s="9029" t="e">
        <f>+IF(VLOOKUP(MATCH(B283,tid,0),tao,'12(id)'!$FR$20,FALSE)="","",VLOOKUP(MATCH(B283,tid,0),tao,'12(id)'!$FR$20,FALSE))</f>
        <v>#N/A</v>
      </c>
      <c r="Q283" s="9001"/>
      <c r="R283" s="8906">
        <f>+IF(B277="","",1+R277)</f>
        <v>2</v>
      </c>
      <c r="S283" s="8859"/>
      <c r="T283" s="8872" t="str">
        <f>+IF(VLOOKUP(MATCH(E283,c_id,0),ca,'13(an)'!$BD$34,FALSE)="","",VLOOKUP(MATCH(E283,c_id,0),ca,'13(an)'!$BD$34,FALSE))</f>
        <v>Selective Catalytic Reduction (SCR) with ID fans</v>
      </c>
      <c r="U283" s="8872"/>
      <c r="V283" s="8872"/>
      <c r="W283" s="7556"/>
      <c r="X283" s="8859"/>
      <c r="Y283" s="8872" t="str">
        <f>+T283</f>
        <v>Selective Catalytic Reduction (SCR) with ID fans</v>
      </c>
      <c r="Z283" s="8872"/>
      <c r="AA283" s="8872"/>
      <c r="AB283" s="7557"/>
      <c r="AC283" s="8859"/>
      <c r="AD283" s="8872" t="str">
        <f>+T283</f>
        <v>Selective Catalytic Reduction (SCR) with ID fans</v>
      </c>
      <c r="AE283" s="8872"/>
      <c r="AF283" s="8872"/>
      <c r="AG283" s="7533"/>
      <c r="AH283" s="5962"/>
      <c r="AI283" s="5959"/>
      <c r="AJ283" s="5959"/>
      <c r="AK283" s="5959"/>
      <c r="AL283" s="5959"/>
      <c r="AM283" s="5959"/>
    </row>
    <row r="284" spans="1:39" ht="12" customHeight="1">
      <c r="A284" s="5952"/>
      <c r="B284" s="9035"/>
      <c r="C284" s="8852" t="str">
        <f>+IF(B284="","",VLOOKUP(MATCH(B284,tid,0),tao,'12(id)'!$J$20,FALSE))</f>
        <v/>
      </c>
      <c r="D284" s="9108">
        <f t="shared" si="3"/>
        <v>0</v>
      </c>
      <c r="E284" s="9079"/>
      <c r="F284" s="5952"/>
      <c r="G284" s="5959"/>
      <c r="H284" s="5952"/>
      <c r="I284" s="9097"/>
      <c r="J284" s="9099"/>
      <c r="K284" s="9064"/>
      <c r="L284" s="9102"/>
      <c r="M284" s="9083"/>
      <c r="N284" s="9085"/>
      <c r="O284" s="9150"/>
      <c r="P284" s="9029" t="e">
        <f>+IF(VLOOKUP(MATCH(B284,tid,0),tao,'12(id)'!$FR$20,FALSE)="","",VLOOKUP(MATCH(B284,tid,0),tao,'12(id)'!$FR$20,FALSE))</f>
        <v>#N/A</v>
      </c>
      <c r="Q284" s="9001"/>
      <c r="R284" s="8906"/>
      <c r="S284" s="8818"/>
      <c r="T284" s="8870"/>
      <c r="U284" s="8870"/>
      <c r="V284" s="8870"/>
      <c r="W284" s="7531"/>
      <c r="X284" s="8818"/>
      <c r="Y284" s="8870"/>
      <c r="Z284" s="8870"/>
      <c r="AA284" s="8870"/>
      <c r="AB284" s="7532"/>
      <c r="AC284" s="8818"/>
      <c r="AD284" s="8870"/>
      <c r="AE284" s="8870"/>
      <c r="AF284" s="8870"/>
      <c r="AG284" s="7533"/>
      <c r="AH284" s="5962"/>
      <c r="AI284" s="5959"/>
      <c r="AJ284" s="5959"/>
      <c r="AK284" s="5959"/>
      <c r="AL284" s="5959"/>
      <c r="AM284" s="5959"/>
    </row>
    <row r="285" spans="1:39" ht="15" customHeight="1">
      <c r="A285" s="5952"/>
      <c r="B285" s="9035"/>
      <c r="C285" s="8852" t="str">
        <f>+IF(B285="","",VLOOKUP(MATCH(B285,tid,0),tao,'12(id)'!$J$20,FALSE))</f>
        <v/>
      </c>
      <c r="D285" s="9108">
        <f t="shared" si="3"/>
        <v>0</v>
      </c>
      <c r="E285" s="9079"/>
      <c r="F285" s="5952"/>
      <c r="G285" s="5959"/>
      <c r="H285" s="5952"/>
      <c r="I285" s="9097"/>
      <c r="J285" s="9099"/>
      <c r="K285" s="9064"/>
      <c r="L285" s="9102"/>
      <c r="M285" s="9083"/>
      <c r="N285" s="9085"/>
      <c r="O285" s="9150"/>
      <c r="P285" s="9029" t="e">
        <f>+IF(VLOOKUP(MATCH(B285,tid,0),tao,'12(id)'!$FR$20,FALSE)="","",VLOOKUP(MATCH(B285,tid,0),tao,'12(id)'!$FR$20,FALSE))</f>
        <v>#N/A</v>
      </c>
      <c r="Q285" s="9001"/>
      <c r="R285" s="8906"/>
      <c r="S285" s="8818"/>
      <c r="T285" s="7584" t="str">
        <f>+IF(E283="","",IF(VLOOKUP(MATCH(E283,c_id,0),ca,'13(an)'!$CC$34,FALSE)="",IF(VLOOKUP(MATCH(E283,c_id,0),ca,'13(an)'!$CD$34,FALSE)="",IF(VLOOKUP(MATCH(E283,c_id,0),ca,'13(an)'!$CE$34,FALSE)="","η ≈ N/A","η ≈ "&amp;ROUND(VLOOKUP(MATCH(E283,c_id,0),ca,'13(an)'!$CE$34,FALSE)*100,0)&amp;"%"),"η ≈ "&amp;ROUND(VLOOKUP(MATCH(E283,c_id,0),ca,'13(an)'!$CD$34,FALSE)*100,0)&amp;"%"),"η ≈ "&amp;ROUND(VLOOKUP(MATCH(E283,c_id,0),ca,'13(an)'!$CC$34,FALSE)*100,0)&amp;"%"))</f>
        <v>η ≈ 64%</v>
      </c>
      <c r="U285" s="7585" t="str">
        <f>+IF($U$295="ppmvd",IF(VLOOKUP(MATCH(E283,c_id,0),ca,'13(an)'!$BV$34,FALSE)="","",ROUND(VLOOKUP(MATCH(E283,c_id,0),ca,'13(an)'!$BV$34,FALSE),1)&amp;" ppmvd"),IF(VLOOKUP(MATCH(E283,c_id,0),ca,'13(an)'!$BU$34,FALSE)="","",IF(LEN(ROUND(VLOOKUP(MATCH(E283,c_id,0),ca,'13(an)'!$BU$34,FALSE),3))=3,ROUND(VLOOKUP(MATCH(E283,c_id,0),ca,'13(an)'!$BU$34,FALSE),3)&amp;"00 lb/MMBtu",IF(LEN(ROUND(VLOOKUP(MATCH(E283,c_id,0),ca,'13(an)'!$BU$34,FALSE),3))=4,ROUND(VLOOKUP(MATCH(E283,c_id,0),ca,'13(an)'!$BU$34,FALSE),3)&amp;"0 lb/MMBtu",ROUND(VLOOKUP(MATCH(E283,c_id,0),ca,'13(an)'!$BU$34,FALSE),3)&amp;" lb/MMBtu"))))</f>
        <v>0.100 lb/MMBtu</v>
      </c>
      <c r="V285" s="7586">
        <f>+IF(E283="","",IF(VLOOKUP(MATCH(E283,c_id,0),ca,'13(an)'!$CB$34,FALSE)="","NOx(R) = N/A",ROUND(VLOOKUP(MATCH(E283,c_id,0),ca,'13(an)'!$CB$34,FALSE),1)))</f>
        <v>50.2</v>
      </c>
      <c r="W285" s="7534"/>
      <c r="X285" s="8818"/>
      <c r="Y285" s="7584" t="str">
        <f>+IF(E283="","",IF(VLOOKUP(MATCH(E283,c_id,0),ca,'13(an)'!$CM$34,FALSE)="",IF(VLOOKUP(MATCH(E283,c_id,0),ca,'13(an)'!$CN$34,FALSE)="",IF(VLOOKUP(MATCH(E283,c_id,0),ca,'13(an)'!$CO$34,FALSE)="","η ≈ N/A","η ≈ "&amp;ROUND(VLOOKUP(MATCH(E283,c_id,0),ca,'13(an)'!$CO$34,FALSE)*100,0)&amp;"%"),"η ≈ "&amp;ROUND(VLOOKUP(MATCH(E283,c_id,0),ca,'13(an)'!$CN$34,FALSE)*100,0)&amp;"%"),"η ≈ "&amp;ROUND(VLOOKUP(MATCH(E283,c_id,0),ca,'13(an)'!$CM$34,FALSE)*100,0)&amp;"%"))</f>
        <v>η ≈ 90%</v>
      </c>
      <c r="Z285" s="7585" t="str">
        <f>+IF($Z$295="ppmvd",IF(VLOOKUP(MATCH(E283,c_id,0),ca,'13(an)'!$CJ$34,FALSE)="","",ROUND(VLOOKUP(MATCH(E283,c_id,0),ca,'13(an)'!$CJ$34,FALSE),1)&amp;" ppmvd"),IF(VLOOKUP(MATCH(E283,c_id,0),ca,'13(an)'!$CI$34,FALSE)="","",IF(LEN(ROUND(VLOOKUP(MATCH(E283,c_id,0),ca,'13(an)'!$CI$34,FALSE),3))=3,ROUND(VLOOKUP(MATCH(E283,c_id,0),ca,'13(an)'!$CI$34,FALSE),3)&amp;"00 lb/MMBtu",IF(LEN(ROUND(VLOOKUP(MATCH(E283,c_id,0),ca,'13(an)'!$CI$34,FALSE),3))=4,ROUND(VLOOKUP(MATCH(E283,c_id,0),ca,'13(an)'!$CI$34,FALSE),3)&amp;"0 lb/MMBtu",ROUND(VLOOKUP(MATCH(E283,c_id,0),ca,'13(an)'!$CI$34,FALSE),3)&amp;" lb/MMBtu"))))</f>
        <v>0.018 lb/MMBtu</v>
      </c>
      <c r="AA285" s="7586">
        <f>+IF(E283="","",IF(VLOOKUP(MATCH(E283,c_id,0),ca,'13(an)'!$CL$34,FALSE)="","NOx(R) = N/A",ROUND(VLOOKUP(MATCH(E283,c_id,0),ca,'13(an)'!$CL$34,FALSE),1)))</f>
        <v>72.5</v>
      </c>
      <c r="AB285" s="7535"/>
      <c r="AC285" s="8818"/>
      <c r="AD285" s="7584" t="str">
        <f>+IF(E283="","",IF(VLOOKUP(MATCH(E283,c_id,0),ca,'13(an)'!$CM$34,FALSE)="",IF(VLOOKUP(MATCH(E283,c_id,0),ca,'13(an)'!$CN$34,FALSE)="",IF(VLOOKUP(MATCH(E283,c_id,0),ca,'13(an)'!$CO$34,FALSE)="","η ≈ N/A","η ≈ "&amp;ROUND(VLOOKUP(MATCH(E283,c_id,0),ca,'13(an)'!$CO$34,FALSE)*100,0)&amp;"%"),"η ≈ "&amp;ROUND(VLOOKUP(MATCH(E283,c_id,0),ca,'13(an)'!$CN$34,FALSE)*100,0)&amp;"%"),"η ≈ "&amp;ROUND(VLOOKUP(MATCH(E283,c_id,0),ca,'13(an)'!$CM$34,FALSE)*100,0)&amp;"%"))</f>
        <v>η ≈ 90%</v>
      </c>
      <c r="AE285" s="7585" t="str">
        <f>+IF($AE$295="ppmvd",IF(VLOOKUP(MATCH(E283,c_id,0),ca,'13(an)'!$CJ$34,FALSE)="","",ROUND(VLOOKUP(MATCH(E283,c_id,0),ca,'13(an)'!$CJ$34,FALSE),1)&amp;" ppmvd"),IF(VLOOKUP(MATCH(E283,c_id,0),ca,'13(an)'!$CI$34,FALSE)="","",IF(LEN(ROUND(VLOOKUP(MATCH(E283,c_id,0),ca,'13(an)'!$CI$34,FALSE),3))=3,ROUND(VLOOKUP(MATCH(E283,c_id,0),ca,'13(an)'!$CI$34,FALSE),3)&amp;"00 lb/MMBtu",IF(LEN(ROUND(VLOOKUP(MATCH(E283,c_id,0),ca,'13(an)'!$CI$34,FALSE),3))=4,ROUND(VLOOKUP(MATCH(E283,c_id,0),ca,'13(an)'!$CI$34,FALSE),3)&amp;"0 lb/MMBtu",ROUND(VLOOKUP(MATCH(E283,c_id,0),ca,'13(an)'!$CI$34,FALSE),3)&amp;" lb/MMBtu"))))</f>
        <v>0.018 lb/MMBtu</v>
      </c>
      <c r="AF285" s="7586">
        <f>+IF(E283="","",IF(VLOOKUP(MATCH(E283,c_id,0),ca,'13(an)'!$CL$34,FALSE)="","NOx(R) = N/A",ROUND(VLOOKUP(MATCH(E283,c_id,0),ca,'13(an)'!$CL$34,FALSE),1)))</f>
        <v>72.5</v>
      </c>
      <c r="AG285" s="7536"/>
      <c r="AH285" s="5962"/>
      <c r="AI285" s="5959"/>
      <c r="AJ285" s="5959"/>
      <c r="AK285" s="5959"/>
      <c r="AL285" s="5959"/>
      <c r="AM285" s="5959"/>
    </row>
    <row r="286" spans="1:39" ht="15" customHeight="1">
      <c r="A286" s="5952"/>
      <c r="B286" s="9035"/>
      <c r="C286" s="8852" t="str">
        <f>+IF(B286="","",VLOOKUP(MATCH(B286,tid,0),tao,'12(id)'!$J$20,FALSE))</f>
        <v/>
      </c>
      <c r="D286" s="9108">
        <f t="shared" si="3"/>
        <v>0</v>
      </c>
      <c r="E286" s="9079"/>
      <c r="F286" s="5952"/>
      <c r="G286" s="5959"/>
      <c r="H286" s="5952"/>
      <c r="I286" s="9097"/>
      <c r="J286" s="9099"/>
      <c r="K286" s="9064"/>
      <c r="L286" s="9102"/>
      <c r="M286" s="9083"/>
      <c r="N286" s="9085"/>
      <c r="O286" s="9150"/>
      <c r="P286" s="9029" t="e">
        <f>+IF(VLOOKUP(MATCH(B286,tid,0),tao,'12(id)'!$FR$20,FALSE)="","",VLOOKUP(MATCH(B286,tid,0),tao,'12(id)'!$FR$20,FALSE))</f>
        <v>#N/A</v>
      </c>
      <c r="Q286" s="9001"/>
      <c r="R286" s="8906"/>
      <c r="S286" s="8818"/>
      <c r="T286" s="7470">
        <f>+IF(VLOOKUP(MATCH(E283,c_id,0),ca,'13(an)'!$GF$34,FALSE)="","",VLOOKUP(MATCH(E283,c_id,0),ca,'13(an)'!$GF$34,FALSE))</f>
        <v>145353268</v>
      </c>
      <c r="U286" s="7570" t="str">
        <f>+IF(T286="","","$ TCC/unit")</f>
        <v>$ TCC/unit</v>
      </c>
      <c r="V286" s="7541">
        <f>+IF(VLOOKUP(MATCH(E283,c_id,0),ca,'13(an)'!$HA$34,FALSE)="","",VLOOKUP(MATCH(E283,c_id,0),ca,'13(an)'!$HA$34,FALSE))</f>
        <v>37369229</v>
      </c>
      <c r="W286" s="7540"/>
      <c r="X286" s="8818"/>
      <c r="Y286" s="7470">
        <f>+IF(VLOOKUP(MATCH(E283,c_id,0),ca,'13(an)'!$IA$34,FALSE)="","",VLOOKUP(MATCH(E283,c_id,0),ca,'13(an)'!$IA$34,FALSE))</f>
        <v>145353268</v>
      </c>
      <c r="Z286" s="7570" t="str">
        <f>+IF(Y286="","","$ TCC/unit")</f>
        <v>$ TCC/unit</v>
      </c>
      <c r="AA286" s="7541">
        <f>+IF(Y286="","",$AA$19*Y286)</f>
        <v>10902823.4651451</v>
      </c>
      <c r="AB286" s="7541"/>
      <c r="AC286" s="8818"/>
      <c r="AD286" s="7470">
        <f>+IF(VLOOKUP(MATCH(E283,c_id,0),ca,'13(an)'!$JS$34,FALSE)="","",VLOOKUP(MATCH(E283,c_id,0),ca,'13(an)'!$JS$34,FALSE))</f>
        <v>145353268</v>
      </c>
      <c r="AE286" s="7570" t="str">
        <f>+IF(AD286="","","$ TCC/unit")</f>
        <v>$ TCC/unit</v>
      </c>
      <c r="AF286" s="7541">
        <f>+IF(AD286="","",$AF$19*AD286)</f>
        <v>10902823.4651451</v>
      </c>
      <c r="AG286" s="7542"/>
      <c r="AH286" s="5962"/>
      <c r="AI286" s="5959"/>
      <c r="AJ286" s="5959"/>
      <c r="AK286" s="5959"/>
      <c r="AL286" s="5959"/>
      <c r="AM286" s="5959"/>
    </row>
    <row r="287" spans="1:39" ht="9.9499999999999993" customHeight="1">
      <c r="A287" s="5952"/>
      <c r="B287" s="9035"/>
      <c r="C287" s="8852" t="str">
        <f>+IF(B287="","",VLOOKUP(MATCH(B287,tid,0),tao,'12(id)'!$J$20,FALSE))</f>
        <v/>
      </c>
      <c r="D287" s="9108">
        <f t="shared" si="3"/>
        <v>0</v>
      </c>
      <c r="E287" s="9079"/>
      <c r="F287" s="5952"/>
      <c r="G287" s="5959"/>
      <c r="H287" s="5952"/>
      <c r="I287" s="9097"/>
      <c r="J287" s="9099"/>
      <c r="K287" s="9064"/>
      <c r="L287" s="9102"/>
      <c r="M287" s="9083"/>
      <c r="N287" s="9085"/>
      <c r="O287" s="9150"/>
      <c r="P287" s="9029" t="e">
        <f>+IF(VLOOKUP(MATCH(B287,tid,0),tao,'12(id)'!$FR$20,FALSE)="","",VLOOKUP(MATCH(B287,tid,0),tao,'12(id)'!$FR$20,FALSE))</f>
        <v>#N/A</v>
      </c>
      <c r="Q287" s="9001"/>
      <c r="R287" s="8906"/>
      <c r="S287" s="8818"/>
      <c r="T287" s="7543" t="str">
        <f>+IF(OR(T286="",N283=""),"",T286/N283)</f>
        <v/>
      </c>
      <c r="U287" s="8820" t="str">
        <f>+IF(T287="","","$ TCC / MW nominal capacity")</f>
        <v/>
      </c>
      <c r="V287" s="8820"/>
      <c r="W287" s="7544"/>
      <c r="X287" s="8818"/>
      <c r="Y287" s="7543" t="str">
        <f>+IF(OR(Y286="",N283=""),"",Y286/N283)</f>
        <v/>
      </c>
      <c r="Z287" s="8820" t="str">
        <f>+IF(Y287="","","$ TCC / MW nominal capacity")</f>
        <v/>
      </c>
      <c r="AA287" s="8820"/>
      <c r="AB287" s="7545"/>
      <c r="AC287" s="8818"/>
      <c r="AD287" s="7543" t="str">
        <f>+IF(OR(AD286="",N283=""),"",AD286/N283)</f>
        <v/>
      </c>
      <c r="AE287" s="8820" t="str">
        <f>+IF(AD287="","","$ TCC / MW nominal capacity")</f>
        <v/>
      </c>
      <c r="AF287" s="8820"/>
      <c r="AG287" s="7546"/>
      <c r="AH287" s="5962"/>
      <c r="AI287" s="5959"/>
      <c r="AJ287" s="5959"/>
      <c r="AK287" s="5959"/>
      <c r="AL287" s="5959"/>
      <c r="AM287" s="5959"/>
    </row>
    <row r="288" spans="1:39" ht="12.75" customHeight="1">
      <c r="A288" s="5952"/>
      <c r="B288" s="9035"/>
      <c r="C288" s="8852" t="str">
        <f>+IF(B288="","",VLOOKUP(MATCH(B288,tid,0),tao,'12(id)'!$J$20,FALSE))</f>
        <v/>
      </c>
      <c r="D288" s="9108">
        <f t="shared" si="3"/>
        <v>0</v>
      </c>
      <c r="E288" s="9080"/>
      <c r="F288" s="5952"/>
      <c r="G288" s="5959"/>
      <c r="H288" s="5952"/>
      <c r="I288" s="9097"/>
      <c r="J288" s="9099"/>
      <c r="K288" s="9064"/>
      <c r="L288" s="9102"/>
      <c r="M288" s="9083"/>
      <c r="N288" s="9085"/>
      <c r="O288" s="9150"/>
      <c r="P288" s="9029" t="e">
        <f>+IF(VLOOKUP(MATCH(B288,tid,0),tao,'12(id)'!$FR$20,FALSE)="","",VLOOKUP(MATCH(B288,tid,0),tao,'12(id)'!$FR$20,FALSE))</f>
        <v>#N/A</v>
      </c>
      <c r="Q288" s="9001"/>
      <c r="R288" s="8981"/>
      <c r="S288" s="8819"/>
      <c r="T288" s="7590">
        <f>+IF(VLOOKUP(MATCH(E283,c_id,0),ca,'13(an)'!$HF$34,FALSE)="","",VLOOKUP(MATCH(E283,c_id,0),ca,'13(an)'!$HF$34,FALSE))</f>
        <v>746981</v>
      </c>
      <c r="U288" s="8829" t="str">
        <f>IF(T288="","","$ /ton "&amp;"NOx(R)")</f>
        <v>$ /ton NOx(R)</v>
      </c>
      <c r="V288" s="8829"/>
      <c r="W288" s="7730"/>
      <c r="X288" s="8819"/>
      <c r="Y288" s="7590">
        <f>+IF(VLOOKUP(MATCH(E283,c_id,0),ca,'13(an)'!$JE$34,FALSE)="","",VLOOKUP(MATCH(E283,c_id,0),ca,'13(an)'!$JE$34,FALSE))</f>
        <v>152263.95397025673</v>
      </c>
      <c r="Z288" s="8829" t="str">
        <f>IF(Y288="","","$ /ton "&amp;"NOx(R)")</f>
        <v>$ /ton NOx(R)</v>
      </c>
      <c r="AA288" s="8829"/>
      <c r="AB288" s="7731"/>
      <c r="AC288" s="8819"/>
      <c r="AD288" s="7590">
        <f>+IF(VLOOKUP(MATCH(E283,c_id,0),ca,'13(an)'!$LB$34,FALSE)="","",VLOOKUP(MATCH(E283,c_id,0),ca,'13(an)'!$LB$34,FALSE))</f>
        <v>244868.83007671079</v>
      </c>
      <c r="AE288" s="8829" t="str">
        <f>IF(AD288="","","$ /ton "&amp;"NOx(R)")</f>
        <v>$ /ton NOx(R)</v>
      </c>
      <c r="AF288" s="8829"/>
      <c r="AG288" s="7732"/>
      <c r="AH288" s="5962"/>
      <c r="AI288" s="5959"/>
      <c r="AJ288" s="5959"/>
      <c r="AK288" s="5959"/>
      <c r="AL288" s="5959"/>
      <c r="AM288" s="5959"/>
    </row>
    <row r="289" spans="1:39" ht="9.9499999999999993" customHeight="1">
      <c r="A289" s="5952"/>
      <c r="B289" s="9035"/>
      <c r="C289" s="8852" t="str">
        <f>+IF(B289="","",VLOOKUP(MATCH(B289,tid,0),tao,'12(id)'!$J$20,FALSE))</f>
        <v/>
      </c>
      <c r="D289" s="9108" t="e">
        <f t="shared" si="3"/>
        <v>#N/A</v>
      </c>
      <c r="E289" s="9024" t="str">
        <f>+IF(B277="","",B277&amp;IF(ISERR(VALUE(1+R283)),"-01",IF(1+R283&lt;10,"-0"&amp;1+R283,"-"&amp;1+R283)))</f>
        <v>8306-03-03</v>
      </c>
      <c r="F289" s="5952"/>
      <c r="G289" s="5959"/>
      <c r="H289" s="5952"/>
      <c r="I289" s="9097"/>
      <c r="J289" s="9099" t="e">
        <f>+IF(VLOOKUP(MATCH(B289,tid,0),tao,'12(id)'!$I$20,FALSE)="","",VLOOKUP(MATCH(B289,tid,0),tao,'12(id)'!$I$20,FALSE))</f>
        <v>#N/A</v>
      </c>
      <c r="K289" s="9064" t="e">
        <f>+IF(VLOOKUP(MATCH(B289,tid,0),tao,'12(id)'!$K$20,FALSE)="","",VLOOKUP(MATCH(B289,tid,0),tao,'12(id)'!$K$20,FALSE))</f>
        <v>#N/A</v>
      </c>
      <c r="L289" s="9102" t="e">
        <f>+IF(VLOOKUP(MATCH(B289,tid,0),tao,'12(id)'!$L$20,FALSE)="","",VLOOKUP(MATCH(B289,tid,0),tao,'12(id)'!$L$20,FALSE))</f>
        <v>#N/A</v>
      </c>
      <c r="M289" s="9083" t="e">
        <f>+IF(VLOOKUP(MATCH(B289,tid,0),tao,'12(id)'!$Q$20,FALSE)="","",VLOOKUP(MATCH(B289,tid,0),tao,'12(id)'!$Q$20,FALSE))</f>
        <v>#N/A</v>
      </c>
      <c r="N289" s="9085" t="e">
        <f>+IF(VLOOKUP(MATCH(B289,tid,0),tao,'12(id)'!$CT$20,FALSE)="","",VLOOKUP(MATCH(B289,tid,0),tao,'12(id)'!$CT$20,FALSE))</f>
        <v>#N/A</v>
      </c>
      <c r="O289" s="9150" t="e">
        <f>+IF(VLOOKUP(MATCH(B289,tid,0),tao,'12(id)'!$DE$20,FALSE)="","",ROUND(VLOOKUP(MATCH(B289,tid,0),tao,'12(id)'!$DE$20,FALSE),0)&amp;" yrs")</f>
        <v>#N/A</v>
      </c>
      <c r="P289" s="9029" t="e">
        <f>+IF(VLOOKUP(MATCH(B289,tid,0),tao,'12(id)'!$FR$20,FALSE)="","",VLOOKUP(MATCH(B289,tid,0),tao,'12(id)'!$FR$20,FALSE))</f>
        <v>#N/A</v>
      </c>
      <c r="Q289" s="9001" t="e">
        <f>+IF(VLOOKUP(MATCH(B289,tid,0),tao,'12(id)'!$DI$20,FALSE)="","",VLOOKUP(MATCH(B289,tid,0),tao,'12(id)'!$DI$20,FALSE))&amp;";  "&amp;IF(VLOOKUP(MATCH(B289,tid,0),tao,'12(id)'!$DQ$20,FALSE)="","",VLOOKUP(MATCH(B289,tid,0),tao,'12(id)'!$DQ$20,FALSE))</f>
        <v>#N/A</v>
      </c>
      <c r="R289" s="8906">
        <f>+IF(B277="","",1+R283)</f>
        <v>3</v>
      </c>
      <c r="S289" s="8859"/>
      <c r="T289" s="8870" t="str">
        <f>+IF(VLOOKUP(MATCH(E289,c_id,0),ca,'13(an)'!$BD$34,FALSE)="","",VLOOKUP(MATCH(E289,c_id,0),ca,'13(an)'!$BD$34,FALSE))</f>
        <v>Selective Catalytic Reduction (SCR)</v>
      </c>
      <c r="U289" s="8870"/>
      <c r="V289" s="8870"/>
      <c r="W289" s="7531"/>
      <c r="X289" s="8859"/>
      <c r="Y289" s="8870" t="str">
        <f>+T289</f>
        <v>Selective Catalytic Reduction (SCR)</v>
      </c>
      <c r="Z289" s="8870"/>
      <c r="AA289" s="8870"/>
      <c r="AB289" s="7532"/>
      <c r="AC289" s="8859"/>
      <c r="AD289" s="8870" t="str">
        <f>+T289</f>
        <v>Selective Catalytic Reduction (SCR)</v>
      </c>
      <c r="AE289" s="8870"/>
      <c r="AF289" s="8870"/>
      <c r="AG289" s="7533"/>
      <c r="AH289" s="5962"/>
      <c r="AI289" s="5959"/>
      <c r="AJ289" s="5959"/>
      <c r="AK289" s="5959"/>
      <c r="AL289" s="5959"/>
      <c r="AM289" s="5959"/>
    </row>
    <row r="290" spans="1:39" ht="9.9499999999999993" customHeight="1">
      <c r="A290" s="5952"/>
      <c r="B290" s="9035"/>
      <c r="C290" s="8852" t="str">
        <f>+IF(B290="","",VLOOKUP(MATCH(B290,tid,0),tao,'12(id)'!$J$20,FALSE))</f>
        <v/>
      </c>
      <c r="D290" s="9108" t="e">
        <f t="shared" si="3"/>
        <v>#N/A</v>
      </c>
      <c r="E290" s="9079"/>
      <c r="F290" s="5952"/>
      <c r="G290" s="5959"/>
      <c r="H290" s="5952"/>
      <c r="I290" s="9097"/>
      <c r="J290" s="9099" t="e">
        <f>+IF(VLOOKUP(MATCH(B290,tid,0),tao,'12(id)'!$I$20,FALSE)="","",VLOOKUP(MATCH(B290,tid,0),tao,'12(id)'!$I$20,FALSE))</f>
        <v>#N/A</v>
      </c>
      <c r="K290" s="9064" t="e">
        <f>+IF(VLOOKUP(MATCH(B290,tid,0),tao,'12(id)'!$K$20,FALSE)="","",VLOOKUP(MATCH(B290,tid,0),tao,'12(id)'!$K$20,FALSE))</f>
        <v>#N/A</v>
      </c>
      <c r="L290" s="9102" t="e">
        <f>+IF(VLOOKUP(MATCH(B290,tid,0),tao,'12(id)'!$L$20,FALSE)="","",VLOOKUP(MATCH(B290,tid,0),tao,'12(id)'!$L$20,FALSE))</f>
        <v>#N/A</v>
      </c>
      <c r="M290" s="9083" t="e">
        <f>+IF(VLOOKUP(MATCH(B290,tid,0),tao,'12(id)'!$Q$20,FALSE)="","",VLOOKUP(MATCH(B290,tid,0),tao,'12(id)'!$Q$20,FALSE))</f>
        <v>#N/A</v>
      </c>
      <c r="N290" s="9085" t="e">
        <f>+IF(VLOOKUP(MATCH(B290,tid,0),tao,'12(id)'!$CT$20,FALSE)="","",VLOOKUP(MATCH(B290,tid,0),tao,'12(id)'!$CT$20,FALSE))</f>
        <v>#N/A</v>
      </c>
      <c r="O290" s="9150" t="e">
        <f>+IF(VLOOKUP(MATCH(B290,tid,0),tao,'12(id)'!$DE$20,FALSE)="","",ROUND(VLOOKUP(MATCH(B290,tid,0),tao,'12(id)'!$DE$20,FALSE),0)&amp;" yrs")</f>
        <v>#N/A</v>
      </c>
      <c r="P290" s="9029" t="e">
        <f>+IF(VLOOKUP(MATCH(B290,tid,0),tao,'12(id)'!$FR$20,FALSE)="","",VLOOKUP(MATCH(B290,tid,0),tao,'12(id)'!$FR$20,FALSE))</f>
        <v>#N/A</v>
      </c>
      <c r="Q290" s="9001" t="e">
        <f>+IF(VLOOKUP(MATCH(B290,tid,0),tao,'12(id)'!$DI$20,FALSE)="","",VLOOKUP(MATCH(B290,tid,0),tao,'12(id)'!$DI$20,FALSE))&amp;";  "&amp;IF(VLOOKUP(MATCH(B290,tid,0),tao,'12(id)'!$DQ$20,FALSE)="","",VLOOKUP(MATCH(B290,tid,0),tao,'12(id)'!$DQ$20,FALSE))</f>
        <v>#N/A</v>
      </c>
      <c r="R290" s="8906"/>
      <c r="S290" s="8818"/>
      <c r="T290" s="8870"/>
      <c r="U290" s="8870"/>
      <c r="V290" s="8870"/>
      <c r="W290" s="7531"/>
      <c r="X290" s="8818"/>
      <c r="Y290" s="8870"/>
      <c r="Z290" s="8870"/>
      <c r="AA290" s="8870"/>
      <c r="AB290" s="7532"/>
      <c r="AC290" s="8818"/>
      <c r="AD290" s="8870"/>
      <c r="AE290" s="8870"/>
      <c r="AF290" s="8870"/>
      <c r="AG290" s="7533"/>
      <c r="AH290" s="5962"/>
      <c r="AI290" s="5959"/>
      <c r="AJ290" s="5959"/>
      <c r="AK290" s="5959"/>
      <c r="AL290" s="5959"/>
      <c r="AM290" s="5959"/>
    </row>
    <row r="291" spans="1:39" ht="14.1" customHeight="1">
      <c r="A291" s="5952"/>
      <c r="B291" s="9035"/>
      <c r="C291" s="8852" t="str">
        <f>+IF(B291="","",VLOOKUP(MATCH(B291,tid,0),tao,'12(id)'!$J$20,FALSE))</f>
        <v/>
      </c>
      <c r="D291" s="9108" t="e">
        <f t="shared" si="3"/>
        <v>#N/A</v>
      </c>
      <c r="E291" s="9079"/>
      <c r="F291" s="5952"/>
      <c r="G291" s="5959"/>
      <c r="H291" s="5952"/>
      <c r="I291" s="9097"/>
      <c r="J291" s="9099" t="e">
        <f>+IF(VLOOKUP(MATCH(B291,tid,0),tao,'12(id)'!$I$20,FALSE)="","",VLOOKUP(MATCH(B291,tid,0),tao,'12(id)'!$I$20,FALSE))</f>
        <v>#N/A</v>
      </c>
      <c r="K291" s="9064" t="e">
        <f>+IF(VLOOKUP(MATCH(B291,tid,0),tao,'12(id)'!$K$20,FALSE)="","",VLOOKUP(MATCH(B291,tid,0),tao,'12(id)'!$K$20,FALSE))</f>
        <v>#N/A</v>
      </c>
      <c r="L291" s="9102" t="e">
        <f>+IF(VLOOKUP(MATCH(B291,tid,0),tao,'12(id)'!$L$20,FALSE)="","",VLOOKUP(MATCH(B291,tid,0),tao,'12(id)'!$L$20,FALSE))</f>
        <v>#N/A</v>
      </c>
      <c r="M291" s="9083" t="e">
        <f>+IF(VLOOKUP(MATCH(B291,tid,0),tao,'12(id)'!$Q$20,FALSE)="","",VLOOKUP(MATCH(B291,tid,0),tao,'12(id)'!$Q$20,FALSE))</f>
        <v>#N/A</v>
      </c>
      <c r="N291" s="9085" t="e">
        <f>+IF(VLOOKUP(MATCH(B291,tid,0),tao,'12(id)'!$CT$20,FALSE)="","",VLOOKUP(MATCH(B291,tid,0),tao,'12(id)'!$CT$20,FALSE))</f>
        <v>#N/A</v>
      </c>
      <c r="O291" s="9150" t="e">
        <f>+IF(VLOOKUP(MATCH(B291,tid,0),tao,'12(id)'!$DE$20,FALSE)="","",ROUND(VLOOKUP(MATCH(B291,tid,0),tao,'12(id)'!$DE$20,FALSE),0)&amp;" yrs")</f>
        <v>#N/A</v>
      </c>
      <c r="P291" s="9029" t="e">
        <f>+IF(VLOOKUP(MATCH(B291,tid,0),tao,'12(id)'!$FR$20,FALSE)="","",VLOOKUP(MATCH(B291,tid,0),tao,'12(id)'!$FR$20,FALSE))</f>
        <v>#N/A</v>
      </c>
      <c r="Q291" s="9001" t="e">
        <f>+IF(VLOOKUP(MATCH(B291,tid,0),tao,'12(id)'!$DI$20,FALSE)="","",VLOOKUP(MATCH(B291,tid,0),tao,'12(id)'!$DI$20,FALSE))&amp;";  "&amp;IF(VLOOKUP(MATCH(B291,tid,0),tao,'12(id)'!$DQ$20,FALSE)="","",VLOOKUP(MATCH(B291,tid,0),tao,'12(id)'!$DQ$20,FALSE))</f>
        <v>#N/A</v>
      </c>
      <c r="R291" s="8906"/>
      <c r="S291" s="8818"/>
      <c r="T291" s="7584" t="str">
        <f>+IF(E289="","",IF(VLOOKUP(MATCH(E289,c_id,0),ca,'13(an)'!$CC$34,FALSE)="",IF(VLOOKUP(MATCH(E289,c_id,0),ca,'13(an)'!$CD$34,FALSE)="",IF(VLOOKUP(MATCH(E289,c_id,0),ca,'13(an)'!$CE$34,FALSE)="","η ≈ N/A","η ≈ "&amp;ROUND(VLOOKUP(MATCH(E289,c_id,0),ca,'13(an)'!$CE$34,FALSE)*100,0)&amp;"%"),"η ≈ "&amp;ROUND(VLOOKUP(MATCH(E289,c_id,0),ca,'13(an)'!$CD$34,FALSE)*100,0)&amp;"%"),"η ≈ "&amp;ROUND(VLOOKUP(MATCH(E289,c_id,0),ca,'13(an)'!$CC$34,FALSE)*100,0)&amp;"%"))</f>
        <v>η ≈ 64%</v>
      </c>
      <c r="U291" s="7585" t="str">
        <f>+IF($U$295="ppmvd",IF(VLOOKUP(MATCH(E289,c_id,0),ca,'13(an)'!$BV$34,FALSE)="","",ROUND(VLOOKUP(MATCH(E289,c_id,0),ca,'13(an)'!$BV$34,FALSE),1)&amp;" ppmvd"),IF(VLOOKUP(MATCH(E289,c_id,0),ca,'13(an)'!$BU$34,FALSE)="","",IF(LEN(ROUND(VLOOKUP(MATCH(E289,c_id,0),ca,'13(an)'!$BU$34,FALSE),3))=3,ROUND(VLOOKUP(MATCH(E289,c_id,0),ca,'13(an)'!$BU$34,FALSE),3)&amp;"00 lb/MMBtu",IF(LEN(ROUND(VLOOKUP(MATCH(E289,c_id,0),ca,'13(an)'!$BU$34,FALSE),3))=4,ROUND(VLOOKUP(MATCH(E289,c_id,0),ca,'13(an)'!$BU$34,FALSE),3)&amp;"0 lb/MMBtu",ROUND(VLOOKUP(MATCH(E289,c_id,0),ca,'13(an)'!$BU$34,FALSE),3)&amp;" lb/MMBtu"))))</f>
        <v>0.100 lb/MMBtu</v>
      </c>
      <c r="V291" s="7586">
        <f>+IF(E289="","",IF(VLOOKUP(MATCH(E289,c_id,0),ca,'13(an)'!$CB$34,FALSE)="","NOx(R) = N/A",ROUND(VLOOKUP(MATCH(E289,c_id,0),ca,'13(an)'!$CB$34,FALSE),1)))</f>
        <v>50.2</v>
      </c>
      <c r="W291" s="7534"/>
      <c r="X291" s="8818"/>
      <c r="Y291" s="7584" t="str">
        <f>+IF(E289="","",IF(VLOOKUP(MATCH(E289,c_id,0),ca,'13(an)'!$CM$34,FALSE)="",IF(VLOOKUP(MATCH(E289,c_id,0),ca,'13(an)'!$CN$34,FALSE)="",IF(VLOOKUP(MATCH(E289,c_id,0),ca,'13(an)'!$CO$34,FALSE)="","η ≈ N/A","η ≈ "&amp;ROUND(VLOOKUP(MATCH(E289,c_id,0),ca,'13(an)'!$CO$34,FALSE)*100,0)&amp;"%"),"η ≈ "&amp;ROUND(VLOOKUP(MATCH(E289,c_id,0),ca,'13(an)'!$CN$34,FALSE)*100,0)&amp;"%"),"η ≈ "&amp;ROUND(VLOOKUP(MATCH(E289,c_id,0),ca,'13(an)'!$CM$34,FALSE)*100,0)&amp;"%"))</f>
        <v>η ≈ 90%</v>
      </c>
      <c r="Z291" s="7585" t="str">
        <f>+IF($Z$295="ppmvd",IF(VLOOKUP(MATCH(E289,c_id,0),ca,'13(an)'!$CJ$34,FALSE)="","",ROUND(VLOOKUP(MATCH(E289,c_id,0),ca,'13(an)'!$CJ$34,FALSE),1)&amp;" ppmvd"),IF(VLOOKUP(MATCH(E289,c_id,0),ca,'13(an)'!$CI$34,FALSE)="","",IF(LEN(ROUND(VLOOKUP(MATCH(E289,c_id,0),ca,'13(an)'!$CI$34,FALSE),3))=3,ROUND(VLOOKUP(MATCH(E289,c_id,0),ca,'13(an)'!$CI$34,FALSE),3)&amp;"00 lb/MMBtu",IF(LEN(ROUND(VLOOKUP(MATCH(E289,c_id,0),ca,'13(an)'!$CI$34,FALSE),3))=4,ROUND(VLOOKUP(MATCH(E289,c_id,0),ca,'13(an)'!$CI$34,FALSE),3)&amp;"0 lb/MMBtu",ROUND(VLOOKUP(MATCH(E289,c_id,0),ca,'13(an)'!$CI$34,FALSE),3)&amp;" lb/MMBtu"))))</f>
        <v>0.018 lb/MMBtu</v>
      </c>
      <c r="AA291" s="7586">
        <f>+IF(E289="","",IF(VLOOKUP(MATCH(E289,c_id,0),ca,'13(an)'!$CL$34,FALSE)="","NOx(R) = N/A",ROUND(VLOOKUP(MATCH(E289,c_id,0),ca,'13(an)'!$CL$34,FALSE),1)))</f>
        <v>72.5</v>
      </c>
      <c r="AB291" s="7535"/>
      <c r="AC291" s="8818"/>
      <c r="AD291" s="7584" t="str">
        <f>+IF(E289="","",IF(VLOOKUP(MATCH(E289,c_id,0),ca,'13(an)'!$CM$34,FALSE)="",IF(VLOOKUP(MATCH(E289,c_id,0),ca,'13(an)'!$CN$34,FALSE)="",IF(VLOOKUP(MATCH(E289,c_id,0),ca,'13(an)'!$CO$34,FALSE)="","η ≈ N/A","η ≈ "&amp;ROUND(VLOOKUP(MATCH(E289,c_id,0),ca,'13(an)'!$CO$34,FALSE)*100,0)&amp;"%"),"η ≈ "&amp;ROUND(VLOOKUP(MATCH(E289,c_id,0),ca,'13(an)'!$CN$34,FALSE)*100,0)&amp;"%"),"η ≈ "&amp;ROUND(VLOOKUP(MATCH(E289,c_id,0),ca,'13(an)'!$CM$34,FALSE)*100,0)&amp;"%"))</f>
        <v>η ≈ 90%</v>
      </c>
      <c r="AE291" s="7585" t="str">
        <f>+IF($AE$295="ppmvd",IF(VLOOKUP(MATCH(E289,c_id,0),ca,'13(an)'!$CJ$34,FALSE)="","",ROUND(VLOOKUP(MATCH(E289,c_id,0),ca,'13(an)'!$CJ$34,FALSE),1)&amp;" ppmvd"),IF(VLOOKUP(MATCH(E289,c_id,0),ca,'13(an)'!$CI$34,FALSE)="","",IF(LEN(ROUND(VLOOKUP(MATCH(E289,c_id,0),ca,'13(an)'!$CI$34,FALSE),3))=3,ROUND(VLOOKUP(MATCH(E289,c_id,0),ca,'13(an)'!$CI$34,FALSE),3)&amp;"00 lb/MMBtu",IF(LEN(ROUND(VLOOKUP(MATCH(E289,c_id,0),ca,'13(an)'!$CI$34,FALSE),3))=4,ROUND(VLOOKUP(MATCH(E289,c_id,0),ca,'13(an)'!$CI$34,FALSE),3)&amp;"0 lb/MMBtu",ROUND(VLOOKUP(MATCH(E289,c_id,0),ca,'13(an)'!$CI$34,FALSE),3)&amp;" lb/MMBtu"))))</f>
        <v>0.018 lb/MMBtu</v>
      </c>
      <c r="AF291" s="7586">
        <f>+IF(E289="","",IF(VLOOKUP(MATCH(E289,c_id,0),ca,'13(an)'!$CL$34,FALSE)="","NOx(R) = N/A",ROUND(VLOOKUP(MATCH(E289,c_id,0),ca,'13(an)'!$CL$34,FALSE),1)))</f>
        <v>72.5</v>
      </c>
      <c r="AG291" s="7536"/>
      <c r="AH291" s="5962"/>
      <c r="AI291" s="5959"/>
      <c r="AJ291" s="5959"/>
      <c r="AK291" s="5959"/>
      <c r="AL291" s="5959"/>
      <c r="AM291" s="5959"/>
    </row>
    <row r="292" spans="1:39" ht="14.1" customHeight="1">
      <c r="A292" s="5952"/>
      <c r="B292" s="9035"/>
      <c r="C292" s="8852" t="str">
        <f>+IF(B292="","",VLOOKUP(MATCH(B292,tid,0),tao,'12(id)'!$J$20,FALSE))</f>
        <v/>
      </c>
      <c r="D292" s="9108" t="e">
        <f t="shared" si="3"/>
        <v>#N/A</v>
      </c>
      <c r="E292" s="9079"/>
      <c r="F292" s="5952"/>
      <c r="G292" s="5959"/>
      <c r="H292" s="5952"/>
      <c r="I292" s="9097"/>
      <c r="J292" s="9099" t="e">
        <f>+IF(VLOOKUP(MATCH(B292,tid,0),tao,'12(id)'!$I$20,FALSE)="","",VLOOKUP(MATCH(B292,tid,0),tao,'12(id)'!$I$20,FALSE))</f>
        <v>#N/A</v>
      </c>
      <c r="K292" s="9064" t="e">
        <f>+IF(VLOOKUP(MATCH(B292,tid,0),tao,'12(id)'!$K$20,FALSE)="","",VLOOKUP(MATCH(B292,tid,0),tao,'12(id)'!$K$20,FALSE))</f>
        <v>#N/A</v>
      </c>
      <c r="L292" s="9102" t="e">
        <f>+IF(VLOOKUP(MATCH(B292,tid,0),tao,'12(id)'!$L$20,FALSE)="","",VLOOKUP(MATCH(B292,tid,0),tao,'12(id)'!$L$20,FALSE))</f>
        <v>#N/A</v>
      </c>
      <c r="M292" s="9083" t="e">
        <f>+IF(VLOOKUP(MATCH(B292,tid,0),tao,'12(id)'!$Q$20,FALSE)="","",VLOOKUP(MATCH(B292,tid,0),tao,'12(id)'!$Q$20,FALSE))</f>
        <v>#N/A</v>
      </c>
      <c r="N292" s="9085" t="e">
        <f>+IF(VLOOKUP(MATCH(B292,tid,0),tao,'12(id)'!$CT$20,FALSE)="","",VLOOKUP(MATCH(B292,tid,0),tao,'12(id)'!$CT$20,FALSE))</f>
        <v>#N/A</v>
      </c>
      <c r="O292" s="9150" t="e">
        <f>+IF(VLOOKUP(MATCH(B292,tid,0),tao,'12(id)'!$DE$20,FALSE)="","",ROUND(VLOOKUP(MATCH(B292,tid,0),tao,'12(id)'!$DE$20,FALSE),0)&amp;" yrs")</f>
        <v>#N/A</v>
      </c>
      <c r="P292" s="9029" t="e">
        <f>+IF(VLOOKUP(MATCH(B292,tid,0),tao,'12(id)'!$FR$20,FALSE)="","",VLOOKUP(MATCH(B292,tid,0),tao,'12(id)'!$FR$20,FALSE))</f>
        <v>#N/A</v>
      </c>
      <c r="Q292" s="9001" t="e">
        <f>+IF(VLOOKUP(MATCH(B292,tid,0),tao,'12(id)'!$DI$20,FALSE)="","",VLOOKUP(MATCH(B292,tid,0),tao,'12(id)'!$DI$20,FALSE))&amp;";  "&amp;IF(VLOOKUP(MATCH(B292,tid,0),tao,'12(id)'!$DQ$20,FALSE)="","",VLOOKUP(MATCH(B292,tid,0),tao,'12(id)'!$DQ$20,FALSE))</f>
        <v>#N/A</v>
      </c>
      <c r="R292" s="8906"/>
      <c r="S292" s="8818"/>
      <c r="T292" s="7470">
        <f>+IF(VLOOKUP(MATCH(E289,c_id,0),ca,'13(an)'!$GF$34,FALSE)="","",VLOOKUP(MATCH(E289,c_id,0),ca,'13(an)'!$GF$34,FALSE))</f>
        <v>106812093</v>
      </c>
      <c r="U292" s="7570" t="str">
        <f>+IF(T292="","","$ TCC/unit")</f>
        <v>$ TCC/unit</v>
      </c>
      <c r="V292" s="7541">
        <f>+IF(VLOOKUP(MATCH(E289,c_id,0),ca,'13(an)'!$HA$34,FALSE)="","",VLOOKUP(MATCH(E289,c_id,0),ca,'13(an)'!$HA$34,FALSE))</f>
        <v>27460583</v>
      </c>
      <c r="W292" s="7540"/>
      <c r="X292" s="8818"/>
      <c r="Y292" s="7470">
        <f>+IF(VLOOKUP(MATCH(E289,c_id,0),ca,'13(an)'!$IA$34,FALSE)="","",VLOOKUP(MATCH(E289,c_id,0),ca,'13(an)'!$IA$34,FALSE))</f>
        <v>106812093</v>
      </c>
      <c r="Z292" s="7570" t="str">
        <f>+IF(Y292="","","$ TCC/unit")</f>
        <v>$ TCC/unit</v>
      </c>
      <c r="AA292" s="7541">
        <f>+IF(Y292="","",$AA$19*Y292)</f>
        <v>8011883.1172179813</v>
      </c>
      <c r="AB292" s="7541"/>
      <c r="AC292" s="8818"/>
      <c r="AD292" s="7470">
        <f>+IF(VLOOKUP(MATCH(E289,c_id,0),ca,'13(an)'!$JS$34,FALSE)="","",VLOOKUP(MATCH(E289,c_id,0),ca,'13(an)'!$JS$34,FALSE))</f>
        <v>106812093</v>
      </c>
      <c r="AE292" s="7570" t="str">
        <f>+IF(AD292="","","$ TCC/unit")</f>
        <v>$ TCC/unit</v>
      </c>
      <c r="AF292" s="7541">
        <f>+IF(AD292="","",$AF$14*AD292)</f>
        <v>9165600.9457518365</v>
      </c>
      <c r="AG292" s="7542"/>
      <c r="AH292" s="5962"/>
      <c r="AI292" s="5959"/>
      <c r="AJ292" s="5959"/>
      <c r="AK292" s="5959"/>
      <c r="AL292" s="5959"/>
      <c r="AM292" s="5959"/>
    </row>
    <row r="293" spans="1:39" ht="14.1" customHeight="1">
      <c r="A293" s="5952"/>
      <c r="B293" s="9035"/>
      <c r="C293" s="8852" t="str">
        <f>+IF(B293="","",VLOOKUP(MATCH(B293,tid,0),tao,'12(id)'!$J$20,FALSE))</f>
        <v/>
      </c>
      <c r="D293" s="9108" t="e">
        <f t="shared" si="3"/>
        <v>#N/A</v>
      </c>
      <c r="E293" s="9079"/>
      <c r="F293" s="5952"/>
      <c r="G293" s="5959"/>
      <c r="H293" s="5952"/>
      <c r="I293" s="9097"/>
      <c r="J293" s="9099" t="e">
        <f>+IF(VLOOKUP(MATCH(B293,tid,0),tao,'12(id)'!$I$20,FALSE)="","",VLOOKUP(MATCH(B293,tid,0),tao,'12(id)'!$I$20,FALSE))</f>
        <v>#N/A</v>
      </c>
      <c r="K293" s="9064" t="e">
        <f>+IF(VLOOKUP(MATCH(B293,tid,0),tao,'12(id)'!$K$20,FALSE)="","",VLOOKUP(MATCH(B293,tid,0),tao,'12(id)'!$K$20,FALSE))</f>
        <v>#N/A</v>
      </c>
      <c r="L293" s="9102" t="e">
        <f>+IF(VLOOKUP(MATCH(B293,tid,0),tao,'12(id)'!$L$20,FALSE)="","",VLOOKUP(MATCH(B293,tid,0),tao,'12(id)'!$L$20,FALSE))</f>
        <v>#N/A</v>
      </c>
      <c r="M293" s="9083" t="e">
        <f>+IF(VLOOKUP(MATCH(B293,tid,0),tao,'12(id)'!$Q$20,FALSE)="","",VLOOKUP(MATCH(B293,tid,0),tao,'12(id)'!$Q$20,FALSE))</f>
        <v>#N/A</v>
      </c>
      <c r="N293" s="9085" t="e">
        <f>+IF(VLOOKUP(MATCH(B293,tid,0),tao,'12(id)'!$CT$20,FALSE)="","",VLOOKUP(MATCH(B293,tid,0),tao,'12(id)'!$CT$20,FALSE))</f>
        <v>#N/A</v>
      </c>
      <c r="O293" s="9150" t="e">
        <f>+IF(VLOOKUP(MATCH(B293,tid,0),tao,'12(id)'!$DE$20,FALSE)="","",ROUND(VLOOKUP(MATCH(B293,tid,0),tao,'12(id)'!$DE$20,FALSE),0)&amp;" yrs")</f>
        <v>#N/A</v>
      </c>
      <c r="P293" s="9029" t="e">
        <f>+IF(VLOOKUP(MATCH(B293,tid,0),tao,'12(id)'!$FR$20,FALSE)="","",VLOOKUP(MATCH(B293,tid,0),tao,'12(id)'!$FR$20,FALSE))</f>
        <v>#N/A</v>
      </c>
      <c r="Q293" s="9001" t="e">
        <f>+IF(VLOOKUP(MATCH(B293,tid,0),tao,'12(id)'!$DI$20,FALSE)="","",VLOOKUP(MATCH(B293,tid,0),tao,'12(id)'!$DI$20,FALSE))&amp;";  "&amp;IF(VLOOKUP(MATCH(B293,tid,0),tao,'12(id)'!$DQ$20,FALSE)="","",VLOOKUP(MATCH(B293,tid,0),tao,'12(id)'!$DQ$20,FALSE))</f>
        <v>#N/A</v>
      </c>
      <c r="R293" s="8906"/>
      <c r="S293" s="8818"/>
      <c r="T293" s="7543">
        <f>+IF(OR(T292="",N277=""),"",T292/N277)</f>
        <v>267030.23249999998</v>
      </c>
      <c r="U293" s="8820" t="str">
        <f>+IF(T293="","","$ TCC / MW nominal capacity")</f>
        <v>$ TCC / MW nominal capacity</v>
      </c>
      <c r="V293" s="8820"/>
      <c r="W293" s="7544"/>
      <c r="X293" s="8818"/>
      <c r="Y293" s="7543">
        <f>+IF(OR(Y292="",N277=""),"",Y292/N277)</f>
        <v>267030.23249999998</v>
      </c>
      <c r="Z293" s="8820" t="str">
        <f>+IF(Y293="","","$ TCC / MW nominal capacity")</f>
        <v>$ TCC / MW nominal capacity</v>
      </c>
      <c r="AA293" s="8820"/>
      <c r="AB293" s="7545"/>
      <c r="AC293" s="8818"/>
      <c r="AD293" s="7543">
        <f>+IF(OR(AD292="",N277=""),"",AD292/N277)</f>
        <v>267030.23249999998</v>
      </c>
      <c r="AE293" s="8820" t="str">
        <f>+IF(AD293="","","$ TCC / MW nominal capacity")</f>
        <v>$ TCC / MW nominal capacity</v>
      </c>
      <c r="AF293" s="8820"/>
      <c r="AG293" s="7546"/>
      <c r="AH293" s="5962"/>
      <c r="AI293" s="5959"/>
      <c r="AJ293" s="5959"/>
      <c r="AK293" s="5959"/>
      <c r="AL293" s="5959"/>
      <c r="AM293" s="5959"/>
    </row>
    <row r="294" spans="1:39" ht="14.1" customHeight="1" thickBot="1">
      <c r="A294" s="5952"/>
      <c r="B294" s="9036"/>
      <c r="C294" s="8882" t="str">
        <f>+IF(B294="","",VLOOKUP(MATCH(B294,tid,0),tao,'12(id)'!$J$20,FALSE))</f>
        <v/>
      </c>
      <c r="D294" s="9113" t="e">
        <f t="shared" si="3"/>
        <v>#N/A</v>
      </c>
      <c r="E294" s="9122"/>
      <c r="F294" s="5952"/>
      <c r="G294" s="5959"/>
      <c r="H294" s="5952"/>
      <c r="I294" s="9158"/>
      <c r="J294" s="9100" t="e">
        <f>+IF(VLOOKUP(MATCH(B294,tid,0),tao,'12(id)'!$I$20,FALSE)="","",VLOOKUP(MATCH(B294,tid,0),tao,'12(id)'!$I$20,FALSE))</f>
        <v>#N/A</v>
      </c>
      <c r="K294" s="9065" t="e">
        <f>+IF(VLOOKUP(MATCH(B294,tid,0),tao,'12(id)'!$K$20,FALSE)="","",VLOOKUP(MATCH(B294,tid,0),tao,'12(id)'!$K$20,FALSE))</f>
        <v>#N/A</v>
      </c>
      <c r="L294" s="9103" t="e">
        <f>+IF(VLOOKUP(MATCH(B294,tid,0),tao,'12(id)'!$L$20,FALSE)="","",VLOOKUP(MATCH(B294,tid,0),tao,'12(id)'!$L$20,FALSE))</f>
        <v>#N/A</v>
      </c>
      <c r="M294" s="9191" t="e">
        <f>+IF(VLOOKUP(MATCH(B294,tid,0),tao,'12(id)'!$Q$20,FALSE)="","",VLOOKUP(MATCH(B294,tid,0),tao,'12(id)'!$Q$20,FALSE))</f>
        <v>#N/A</v>
      </c>
      <c r="N294" s="9110" t="e">
        <f>+IF(VLOOKUP(MATCH(B294,tid,0),tao,'12(id)'!$CT$20,FALSE)="","",VLOOKUP(MATCH(B294,tid,0),tao,'12(id)'!$CT$20,FALSE))</f>
        <v>#N/A</v>
      </c>
      <c r="O294" s="9188" t="e">
        <f>+IF(VLOOKUP(MATCH(B294,tid,0),tao,'12(id)'!$DE$20,FALSE)="","",ROUND(VLOOKUP(MATCH(B294,tid,0),tao,'12(id)'!$DE$20,FALSE),0)&amp;" yrs")</f>
        <v>#N/A</v>
      </c>
      <c r="P294" s="9189" t="e">
        <f>+IF(VLOOKUP(MATCH(B294,tid,0),tao,'12(id)'!$FR$20,FALSE)="","",VLOOKUP(MATCH(B294,tid,0),tao,'12(id)'!$FR$20,FALSE))</f>
        <v>#N/A</v>
      </c>
      <c r="Q294" s="9002" t="e">
        <f>+IF(VLOOKUP(MATCH(B294,tid,0),tao,'12(id)'!$DI$20,FALSE)="","",VLOOKUP(MATCH(B294,tid,0),tao,'12(id)'!$DI$20,FALSE))&amp;";  "&amp;IF(VLOOKUP(MATCH(B294,tid,0),tao,'12(id)'!$DQ$20,FALSE)="","",VLOOKUP(MATCH(B294,tid,0),tao,'12(id)'!$DQ$20,FALSE))</f>
        <v>#N/A</v>
      </c>
      <c r="R294" s="8907"/>
      <c r="S294" s="8860"/>
      <c r="T294" s="7631">
        <f>+IF(VLOOKUP(MATCH(E289,c_id,0),ca,'13(an)'!$HF$34,FALSE)="","",VLOOKUP(MATCH(E289,c_id,0),ca,'13(an)'!$HF$34,FALSE))</f>
        <v>548385</v>
      </c>
      <c r="U294" s="8828" t="str">
        <f>IF(T294="","","$ /ton "&amp;"NOx(R)")</f>
        <v>$ /ton NOx(R)</v>
      </c>
      <c r="V294" s="8828"/>
      <c r="W294" s="7716"/>
      <c r="X294" s="8860"/>
      <c r="Y294" s="7631">
        <f>+IF(VLOOKUP(MATCH(E289,c_id,0),ca,'13(an)'!$JE$34,FALSE)="","",VLOOKUP(MATCH(E289,c_id,0),ca,'13(an)'!$JE$34,FALSE))</f>
        <v>111522.78974766019</v>
      </c>
      <c r="Z294" s="8828" t="str">
        <f>IF(Y294="","","$ /ton "&amp;"NOx(R)")</f>
        <v>$ /ton NOx(R)</v>
      </c>
      <c r="AA294" s="8828"/>
      <c r="AB294" s="7717"/>
      <c r="AC294" s="8860"/>
      <c r="AD294" s="7631">
        <f>+IF(VLOOKUP(MATCH(E289,c_id,0),ca,'13(an)'!$LB$34,FALSE)="","",VLOOKUP(MATCH(E289,c_id,0),ca,'13(an)'!$LB$34,FALSE))</f>
        <v>139936.68885938684</v>
      </c>
      <c r="AE294" s="8828" t="str">
        <f>IF(AD294="","","$ /ton "&amp;"NOx(R)")</f>
        <v>$ /ton NOx(R)</v>
      </c>
      <c r="AF294" s="8828"/>
      <c r="AG294" s="7718"/>
      <c r="AH294" s="5962"/>
      <c r="AI294" s="5959"/>
      <c r="AJ294" s="5959"/>
      <c r="AK294" s="5959"/>
      <c r="AL294" s="5959"/>
      <c r="AM294" s="5959"/>
    </row>
    <row r="295" spans="1:39" ht="14.1" customHeight="1">
      <c r="A295" s="5952"/>
      <c r="B295" s="7450"/>
      <c r="C295" s="7430"/>
      <c r="D295" s="7449"/>
      <c r="E295" s="7450"/>
      <c r="F295" s="5952"/>
      <c r="G295" s="5959"/>
      <c r="H295" s="5952"/>
      <c r="I295" s="5952"/>
      <c r="J295" s="5952"/>
      <c r="K295" s="5952"/>
      <c r="L295" s="5952"/>
      <c r="M295" s="7449"/>
      <c r="N295" s="7720"/>
      <c r="O295" s="5952"/>
      <c r="P295" s="7450"/>
      <c r="Q295" s="7733"/>
      <c r="R295" s="7721"/>
      <c r="S295" s="5962"/>
      <c r="T295" s="7566" t="s">
        <v>1896</v>
      </c>
      <c r="U295" s="7766" t="s">
        <v>486</v>
      </c>
      <c r="V295" s="7470"/>
      <c r="W295" s="7567"/>
      <c r="X295" s="7519"/>
      <c r="Y295" s="7566" t="s">
        <v>1896</v>
      </c>
      <c r="Z295" s="7766" t="s">
        <v>486</v>
      </c>
      <c r="AA295" s="7470"/>
      <c r="AB295" s="7470"/>
      <c r="AC295" s="7519"/>
      <c r="AD295" s="7566" t="s">
        <v>1896</v>
      </c>
      <c r="AE295" s="7769" t="s">
        <v>486</v>
      </c>
      <c r="AF295" s="7636"/>
      <c r="AG295" s="7470"/>
      <c r="AH295" s="5962"/>
      <c r="AI295" s="5959"/>
      <c r="AJ295" s="5959"/>
      <c r="AK295" s="5959"/>
      <c r="AL295" s="5959"/>
      <c r="AM295" s="5959"/>
    </row>
    <row r="296" spans="1:39" ht="9.9499999999999993" customHeight="1">
      <c r="A296" s="5952"/>
      <c r="B296" s="7450"/>
      <c r="C296" s="7430"/>
      <c r="D296" s="7449"/>
      <c r="E296" s="7450"/>
      <c r="F296" s="5952"/>
      <c r="G296" s="5959"/>
      <c r="H296" s="5952"/>
      <c r="I296" s="5952"/>
      <c r="J296" s="5952"/>
      <c r="K296" s="5952"/>
      <c r="L296" s="5952"/>
      <c r="M296" s="7449"/>
      <c r="N296" s="7720"/>
      <c r="O296" s="5952"/>
      <c r="P296" s="7450"/>
      <c r="Q296" s="7733"/>
      <c r="R296" s="7721"/>
      <c r="S296" s="5962"/>
      <c r="T296" s="5962"/>
      <c r="U296" s="5962"/>
      <c r="V296" s="7431"/>
      <c r="W296" s="7468"/>
      <c r="X296" s="5962"/>
      <c r="Y296" s="5962"/>
      <c r="Z296" s="5962"/>
      <c r="AA296" s="7431"/>
      <c r="AB296" s="7467"/>
      <c r="AC296" s="5952"/>
      <c r="AD296" s="5952"/>
      <c r="AE296" s="5952"/>
      <c r="AF296" s="7467"/>
      <c r="AG296" s="7431"/>
      <c r="AH296" s="5962"/>
      <c r="AI296" s="5959"/>
      <c r="AJ296" s="5959"/>
      <c r="AK296" s="5959"/>
      <c r="AL296" s="5959"/>
      <c r="AM296" s="5959"/>
    </row>
    <row r="297" spans="1:39">
      <c r="A297" s="5952"/>
      <c r="B297" s="7728"/>
      <c r="C297" s="7430"/>
      <c r="D297" s="7449"/>
      <c r="E297" s="7450"/>
      <c r="F297" s="5952"/>
      <c r="G297" s="5959"/>
      <c r="H297" s="5952"/>
      <c r="I297" s="5962"/>
      <c r="J297" s="7502"/>
      <c r="K297" s="5962"/>
      <c r="L297" s="7526"/>
      <c r="M297" s="7449"/>
      <c r="N297" s="7720"/>
      <c r="O297" s="5952"/>
      <c r="P297" s="7450"/>
      <c r="Q297" s="7733"/>
      <c r="R297" s="7721"/>
      <c r="S297" s="5962"/>
      <c r="T297" s="5962"/>
      <c r="U297" s="5962"/>
      <c r="V297" s="7431"/>
      <c r="W297" s="7468"/>
      <c r="X297" s="5962"/>
      <c r="Y297" s="5962"/>
      <c r="Z297" s="5962"/>
      <c r="AA297" s="7471"/>
      <c r="AB297" s="7471" t="s">
        <v>912</v>
      </c>
      <c r="AC297" s="8830" t="s">
        <v>2529</v>
      </c>
      <c r="AD297" s="8830"/>
      <c r="AE297" s="8830"/>
      <c r="AF297" s="8830"/>
      <c r="AG297" s="8830"/>
      <c r="AH297" s="5962"/>
      <c r="AI297" s="5959"/>
      <c r="AJ297" s="5959"/>
      <c r="AK297" s="5959"/>
      <c r="AL297" s="5959"/>
      <c r="AM297" s="5959"/>
    </row>
    <row r="298" spans="1:39" ht="20.100000000000001" customHeight="1">
      <c r="A298" s="5952"/>
      <c r="B298" s="7728"/>
      <c r="C298" s="7430"/>
      <c r="D298" s="7449"/>
      <c r="E298" s="7450"/>
      <c r="F298" s="5952"/>
      <c r="G298" s="5959"/>
      <c r="H298" s="5952"/>
      <c r="I298" s="7575"/>
      <c r="J298" s="7575"/>
      <c r="K298" s="5962"/>
      <c r="L298" s="5952"/>
      <c r="M298" s="5952"/>
      <c r="N298" s="5952"/>
      <c r="O298" s="5952"/>
      <c r="P298" s="7450"/>
      <c r="Q298" s="7733"/>
      <c r="R298" s="7721"/>
      <c r="S298" s="5962"/>
      <c r="T298" s="5962"/>
      <c r="U298" s="5962"/>
      <c r="V298" s="7431"/>
      <c r="W298" s="7468"/>
      <c r="X298" s="5962"/>
      <c r="Y298" s="5962"/>
      <c r="Z298" s="5962"/>
      <c r="AA298" s="7431"/>
      <c r="AB298" s="7467"/>
      <c r="AC298" s="8830"/>
      <c r="AD298" s="8830"/>
      <c r="AE298" s="8830"/>
      <c r="AF298" s="8830"/>
      <c r="AG298" s="8830"/>
      <c r="AH298" s="5962"/>
      <c r="AI298" s="5959"/>
      <c r="AJ298" s="5959"/>
      <c r="AK298" s="5959"/>
      <c r="AL298" s="5959"/>
      <c r="AM298" s="5959"/>
    </row>
    <row r="299" spans="1:39" ht="20.100000000000001" customHeight="1">
      <c r="A299" s="5952"/>
      <c r="B299" s="7728"/>
      <c r="C299" s="7430"/>
      <c r="D299" s="7449"/>
      <c r="E299" s="7450"/>
      <c r="F299" s="5952"/>
      <c r="G299" s="5959"/>
      <c r="H299" s="5952"/>
      <c r="I299" s="7575"/>
      <c r="J299" s="7575"/>
      <c r="K299" s="7526"/>
      <c r="L299" s="5952"/>
      <c r="M299" s="5952"/>
      <c r="N299" s="5952"/>
      <c r="O299" s="5952"/>
      <c r="P299" s="7450"/>
      <c r="Q299" s="7733"/>
      <c r="R299" s="7721"/>
      <c r="S299" s="5962"/>
      <c r="T299" s="5962"/>
      <c r="U299" s="5962"/>
      <c r="V299" s="7431"/>
      <c r="W299" s="7468"/>
      <c r="X299" s="5962"/>
      <c r="Y299" s="5962"/>
      <c r="Z299" s="5962"/>
      <c r="AA299" s="7431"/>
      <c r="AB299" s="7467"/>
      <c r="AC299" s="7472"/>
      <c r="AD299" s="7472"/>
      <c r="AE299" s="7472"/>
      <c r="AF299" s="7472"/>
      <c r="AG299" s="7472"/>
      <c r="AH299" s="5962"/>
      <c r="AI299" s="5959"/>
      <c r="AJ299" s="5959"/>
      <c r="AK299" s="5959"/>
      <c r="AL299" s="5959"/>
      <c r="AM299" s="5959"/>
    </row>
    <row r="300" spans="1:39" ht="20.100000000000001" customHeight="1">
      <c r="A300" s="5952"/>
      <c r="B300" s="7728"/>
      <c r="C300" s="7430"/>
      <c r="D300" s="7449"/>
      <c r="E300" s="7450"/>
      <c r="F300" s="5952"/>
      <c r="G300" s="5959"/>
      <c r="H300" s="5952"/>
      <c r="I300" s="7575"/>
      <c r="J300" s="7575"/>
      <c r="K300" s="7526" t="s">
        <v>1159</v>
      </c>
      <c r="L300" s="5952"/>
      <c r="M300" s="5952"/>
      <c r="N300" s="5952"/>
      <c r="O300" s="5952"/>
      <c r="P300" s="7450"/>
      <c r="Q300" s="7733"/>
      <c r="R300" s="7721"/>
      <c r="S300" s="5962"/>
      <c r="T300" s="5962"/>
      <c r="U300" s="5962"/>
      <c r="V300" s="7431"/>
      <c r="W300" s="7468"/>
      <c r="X300" s="5962"/>
      <c r="Y300" s="5962"/>
      <c r="Z300" s="5962"/>
      <c r="AA300" s="7431"/>
      <c r="AB300" s="7467"/>
      <c r="AC300" s="7472"/>
      <c r="AD300" s="7472"/>
      <c r="AE300" s="7472"/>
      <c r="AF300" s="7472"/>
      <c r="AG300" s="7472"/>
      <c r="AH300" s="5962"/>
      <c r="AI300" s="5959"/>
      <c r="AJ300" s="5959"/>
      <c r="AK300" s="5959"/>
      <c r="AL300" s="5959"/>
      <c r="AM300" s="5959"/>
    </row>
    <row r="301" spans="1:39" ht="20.100000000000001" customHeight="1" thickBot="1">
      <c r="A301" s="5952"/>
      <c r="B301" s="7728"/>
      <c r="C301" s="7430"/>
      <c r="D301" s="7449"/>
      <c r="E301" s="7450"/>
      <c r="F301" s="5952"/>
      <c r="G301" s="5959"/>
      <c r="H301" s="5952"/>
      <c r="I301" s="7575"/>
      <c r="J301" s="7575"/>
      <c r="K301" s="7526" t="str">
        <f>+IF(B302="","",IF(VLOOKUP(MATCH(B302,tid,0),tao,'12(id)'!$I$20,FALSE)="","",VLOOKUP(MATCH(B302,tid,0),tao,'12(id)'!$I$20,FALSE)))</f>
        <v>NRG Energy, Inc</v>
      </c>
      <c r="L301" s="5952"/>
      <c r="M301" s="5952"/>
      <c r="N301" s="5952"/>
      <c r="O301" s="5952"/>
      <c r="P301" s="7450"/>
      <c r="Q301" s="7733"/>
      <c r="R301" s="7721"/>
      <c r="S301" s="5962"/>
      <c r="T301" s="5962"/>
      <c r="U301" s="5962"/>
      <c r="V301" s="7431"/>
      <c r="W301" s="7468"/>
      <c r="X301" s="5962"/>
      <c r="Y301" s="5962"/>
      <c r="Z301" s="5962"/>
      <c r="AA301" s="7431"/>
      <c r="AB301" s="7467"/>
      <c r="AC301" s="7472"/>
      <c r="AD301" s="7472"/>
      <c r="AE301" s="7472"/>
      <c r="AF301" s="7472"/>
      <c r="AG301" s="7472"/>
      <c r="AH301" s="5962"/>
      <c r="AI301" s="5959"/>
      <c r="AJ301" s="5959"/>
      <c r="AK301" s="5959"/>
      <c r="AL301" s="5959"/>
      <c r="AM301" s="5959"/>
    </row>
    <row r="302" spans="1:39" ht="12.75" customHeight="1">
      <c r="A302" s="5952"/>
      <c r="B302" s="8989" t="str">
        <f>+IF('12(id)'!A53="","",'12(id)'!A53)</f>
        <v>8306-04</v>
      </c>
      <c r="C302" s="8883" t="str">
        <f>+IF(B302="","",VLOOKUP(MATCH(B302,tid,0),tao,'12(id)'!$J$20,FALSE))</f>
        <v>NRG</v>
      </c>
      <c r="D302" s="9007" t="str">
        <f>+IF(B302="","",M302)</f>
        <v>MV5 </v>
      </c>
      <c r="E302" s="9034" t="str">
        <f>+IF(B302="","",B302&amp;IF(ISERR(VALUE(R302)),"-01",IF(R302&lt;10,"-0"&amp;R302,"-"&amp;R302)))</f>
        <v>8306-04-01</v>
      </c>
      <c r="F302" s="5952"/>
      <c r="G302" s="5959"/>
      <c r="H302" s="5952"/>
      <c r="I302" s="9050">
        <f>1+I277</f>
        <v>4</v>
      </c>
      <c r="J302" s="9173" t="str">
        <f>+IF(VLOOKUP(MATCH(B302,tid,0),tao,'12(id)'!$I$20,FALSE)="","",VLOOKUP(MATCH(B302,tid,0),tao,'12(id)'!$I$20,FALSE))</f>
        <v>NRG Energy, Inc</v>
      </c>
      <c r="K302" s="9012">
        <f>+IF(B302="","",IF(VLOOKUP(MATCH(B302,tid,0),tao,'12(id)'!$K$20,FALSE)="","",VLOOKUP(MATCH(B302,tid,0),tao,'12(id)'!$K$20,FALSE)))</f>
        <v>8306</v>
      </c>
      <c r="L302" s="9012" t="str">
        <f>+IF(B302="","",IF(VLOOKUP(MATCH(B302,tid,0),tao,'12(id)'!$L$20,FALSE)="","",VLOOKUP(MATCH(B302,tid,0),tao,'12(id)'!$L$20,FALSE)))</f>
        <v>Montville</v>
      </c>
      <c r="M302" s="9037" t="str">
        <f>+IF(B302="","",IF(VLOOKUP(MATCH(B302,tid,0),tao,'12(id)'!$Q$20,FALSE)="","",VLOOKUP(MATCH(B302,tid,0),tao,'12(id)'!$Q$20,FALSE)))</f>
        <v>MV5 </v>
      </c>
      <c r="N302" s="9171">
        <f>+IF(B302="","",IF(VLOOKUP(MATCH(B302,tid,0),tao,'12(id)'!$CT$20,FALSE)="","",VLOOKUP(MATCH(B302,tid,0),tao,'12(id)'!$CT$20,FALSE)))</f>
        <v>81</v>
      </c>
      <c r="O302" s="9003" t="str">
        <f>+IF(B302="","",IF(VLOOKUP(MATCH(B302,tid,0),tao,'12(id)'!$DE$20,FALSE)="","",ROUND(VLOOKUP(MATCH(B302,tid,0),tao,'12(id)'!$DE$20,FALSE),0)&amp;" yrs"))</f>
        <v/>
      </c>
      <c r="P302" s="9164" t="str">
        <f>+IF(B302="","",IF(VLOOKUP(MATCH(B302,tid,0),tao,'12(id)'!$FR$20,FALSE)="","",VLOOKUP(MATCH(B302,tid,0),tao,'12(id)'!$FR$20,FALSE)))</f>
        <v>None</v>
      </c>
      <c r="Q302" s="9003" t="str">
        <f>+IF(B302="","",IF(VLOOKUP(MATCH(B302,tid,0),tao,'12(id)'!$DI$20,FALSE)="","",VLOOKUP(MATCH(B302,tid,0),tao,'12(id)'!$DI$20,FALSE))&amp;";  "&amp;IF(VLOOKUP(MATCH(B302,tid,0),tao,'12(id)'!$DQ$20,FALSE)="","",VLOOKUP(MATCH(B302,tid,0),tao,'12(id)'!$DQ$20,FALSE)))</f>
        <v>No. 6 oil;  Nat. Gas</v>
      </c>
      <c r="R302" s="9022">
        <f>+IF(B302="","",1)</f>
        <v>1</v>
      </c>
      <c r="S302" s="8817"/>
      <c r="T302" s="8875" t="str">
        <f>+IF(VLOOKUP(MATCH(E302,c_id,0),ca,'13(an)'!$BD$34,FALSE)="","",VLOOKUP(MATCH(E302,c_id,0),ca,'13(an)'!$BD$34,FALSE))</f>
        <v>Close Coupled Over Fire Air (CCOFA)</v>
      </c>
      <c r="U302" s="8861"/>
      <c r="V302" s="8861"/>
      <c r="W302" s="7528"/>
      <c r="X302" s="8817"/>
      <c r="Y302" s="8875" t="str">
        <f>+T302</f>
        <v>Close Coupled Over Fire Air (CCOFA)</v>
      </c>
      <c r="Z302" s="8861"/>
      <c r="AA302" s="8861"/>
      <c r="AB302" s="7529"/>
      <c r="AC302" s="8817"/>
      <c r="AD302" s="8875" t="str">
        <f>+T302</f>
        <v>Close Coupled Over Fire Air (CCOFA)</v>
      </c>
      <c r="AE302" s="8861"/>
      <c r="AF302" s="8861"/>
      <c r="AG302" s="7530"/>
      <c r="AH302" s="5962"/>
      <c r="AI302" s="5959"/>
      <c r="AJ302" s="5959"/>
      <c r="AK302" s="5959"/>
      <c r="AL302" s="5959"/>
      <c r="AM302" s="5959"/>
    </row>
    <row r="303" spans="1:39" ht="9.9499999999999993" customHeight="1">
      <c r="A303" s="5952"/>
      <c r="B303" s="8991"/>
      <c r="C303" s="8884" t="str">
        <f>+IF(B303="","",VLOOKUP(MATCH(B303,tid,0),tao,'12(id)'!$J$20,FALSE))</f>
        <v/>
      </c>
      <c r="D303" s="9009" t="e">
        <f t="shared" ref="D303:D337" si="4">+M303</f>
        <v>#N/A</v>
      </c>
      <c r="E303" s="9035"/>
      <c r="F303" s="5952"/>
      <c r="G303" s="5959"/>
      <c r="H303" s="5952"/>
      <c r="I303" s="9052"/>
      <c r="J303" s="9174"/>
      <c r="K303" s="9014"/>
      <c r="L303" s="9014"/>
      <c r="M303" s="9039" t="e">
        <f>+IF(VLOOKUP(MATCH(B303,tid,0),tao,'12(id)'!$Q$20,FALSE)="","",VLOOKUP(MATCH(B303,tid,0),tao,'12(id)'!$Q$20,FALSE))</f>
        <v>#N/A</v>
      </c>
      <c r="N303" s="9172" t="e">
        <f>+IF(VLOOKUP(MATCH(B303,tid,0),tao,'12(id)'!$CT$20,FALSE)="","",VLOOKUP(MATCH(B303,tid,0),tao,'12(id)'!$CT$20,FALSE))</f>
        <v>#N/A</v>
      </c>
      <c r="O303" s="9005" t="e">
        <f>+IF(VLOOKUP(MATCH(B303,tid,0),tao,'12(id)'!$DE$20,FALSE)="","",ROUND(VLOOKUP(MATCH(B303,tid,0),tao,'12(id)'!$DE$20,FALSE),0)&amp;" yrs")</f>
        <v>#N/A</v>
      </c>
      <c r="P303" s="9165" t="e">
        <f>+IF(VLOOKUP(MATCH(B303,tid,0),tao,'12(id)'!$FR$20,FALSE)="","",VLOOKUP(MATCH(B303,tid,0),tao,'12(id)'!$FR$20,FALSE))</f>
        <v>#N/A</v>
      </c>
      <c r="Q303" s="9005" t="e">
        <f>+IF(VLOOKUP(MATCH(B303,tid,0),tao,'12(id)'!$DI$20,FALSE)="","",VLOOKUP(MATCH(B303,tid,0),tao,'12(id)'!$DI$20,FALSE))&amp;";  "&amp;IF(VLOOKUP(MATCH(B303,tid,0),tao,'12(id)'!$DQ$20,FALSE)="","",VLOOKUP(MATCH(B303,tid,0),tao,'12(id)'!$DQ$20,FALSE))</f>
        <v>#N/A</v>
      </c>
      <c r="R303" s="8906"/>
      <c r="S303" s="8818"/>
      <c r="T303" s="8870"/>
      <c r="U303" s="8870"/>
      <c r="V303" s="8870"/>
      <c r="W303" s="7531"/>
      <c r="X303" s="8818"/>
      <c r="Y303" s="8870"/>
      <c r="Z303" s="8870"/>
      <c r="AA303" s="8870"/>
      <c r="AB303" s="7532"/>
      <c r="AC303" s="8818"/>
      <c r="AD303" s="8870"/>
      <c r="AE303" s="8870"/>
      <c r="AF303" s="8870"/>
      <c r="AG303" s="7533"/>
      <c r="AH303" s="5962"/>
      <c r="AI303" s="5959"/>
      <c r="AJ303" s="5959"/>
      <c r="AK303" s="5959"/>
      <c r="AL303" s="5959"/>
      <c r="AM303" s="5959"/>
    </row>
    <row r="304" spans="1:39" ht="15.95" customHeight="1">
      <c r="A304" s="5952"/>
      <c r="B304" s="8991"/>
      <c r="C304" s="8884" t="str">
        <f>+IF(B304="","",VLOOKUP(MATCH(B304,tid,0),tao,'12(id)'!$J$20,FALSE))</f>
        <v/>
      </c>
      <c r="D304" s="9009" t="e">
        <f t="shared" si="4"/>
        <v>#N/A</v>
      </c>
      <c r="E304" s="9035"/>
      <c r="F304" s="5952"/>
      <c r="G304" s="5959"/>
      <c r="H304" s="5952"/>
      <c r="I304" s="9052"/>
      <c r="J304" s="9174"/>
      <c r="K304" s="9014"/>
      <c r="L304" s="9014"/>
      <c r="M304" s="9039" t="e">
        <f>+IF(VLOOKUP(MATCH(B304,tid,0),tao,'12(id)'!$Q$20,FALSE)="","",VLOOKUP(MATCH(B304,tid,0),tao,'12(id)'!$Q$20,FALSE))</f>
        <v>#N/A</v>
      </c>
      <c r="N304" s="9172" t="e">
        <f>+IF(VLOOKUP(MATCH(B304,tid,0),tao,'12(id)'!$CT$20,FALSE)="","",VLOOKUP(MATCH(B304,tid,0),tao,'12(id)'!$CT$20,FALSE))</f>
        <v>#N/A</v>
      </c>
      <c r="O304" s="9005" t="e">
        <f>+IF(VLOOKUP(MATCH(B304,tid,0),tao,'12(id)'!$DE$20,FALSE)="","",ROUND(VLOOKUP(MATCH(B304,tid,0),tao,'12(id)'!$DE$20,FALSE),0)&amp;" yrs")</f>
        <v>#N/A</v>
      </c>
      <c r="P304" s="9165" t="e">
        <f>+IF(VLOOKUP(MATCH(B304,tid,0),tao,'12(id)'!$FR$20,FALSE)="","",VLOOKUP(MATCH(B304,tid,0),tao,'12(id)'!$FR$20,FALSE))</f>
        <v>#N/A</v>
      </c>
      <c r="Q304" s="9005" t="e">
        <f>+IF(VLOOKUP(MATCH(B304,tid,0),tao,'12(id)'!$DI$20,FALSE)="","",VLOOKUP(MATCH(B304,tid,0),tao,'12(id)'!$DI$20,FALSE))&amp;";  "&amp;IF(VLOOKUP(MATCH(B304,tid,0),tao,'12(id)'!$DQ$20,FALSE)="","",VLOOKUP(MATCH(B304,tid,0),tao,'12(id)'!$DQ$20,FALSE))</f>
        <v>#N/A</v>
      </c>
      <c r="R304" s="8906"/>
      <c r="S304" s="8818"/>
      <c r="T304" s="7600" t="str">
        <f>+IF(E302="","",IF(VLOOKUP(MATCH(E302,c_id,0),ca,'13(an)'!$CC$34,FALSE)="",IF(VLOOKUP(MATCH(E302,c_id,0),ca,'13(an)'!$CD$34,FALSE)="",IF(VLOOKUP(MATCH(E302,c_id,0),ca,'13(an)'!$CE$34,FALSE)="","η ≈ N/A","η ≈ "&amp;ROUND(VLOOKUP(MATCH(E302,c_id,0),ca,'13(an)'!$CE$34,FALSE)*100,0)&amp;"%"),"η ≈ "&amp;ROUND(VLOOKUP(MATCH(E302,c_id,0),ca,'13(an)'!$CD$34,FALSE)*100,0)&amp;"%"),"η ≈ "&amp;ROUND(VLOOKUP(MATCH(E302,c_id,0),ca,'13(an)'!$CC$34,FALSE)*100,0)&amp;"%"))</f>
        <v>η ≈ 35%</v>
      </c>
      <c r="U304" s="7601" t="str">
        <f>+IF($U$338="ppmvd",IF(VLOOKUP(MATCH(E302,c_id,0),ca,'13(an)'!$BV$34,FALSE)="","",ROUND(VLOOKUP(MATCH(E302,c_id,0),ca,'13(an)'!$BV$34,FALSE),1)&amp;" ppmvd"),IF(VLOOKUP(MATCH(E302,c_id,0),ca,'13(an)'!$BU$34,FALSE)="","",IF(LEN(ROUND(VLOOKUP(MATCH(E302,c_id,0),ca,'13(an)'!$BU$34,FALSE),3))=3,ROUND(VLOOKUP(MATCH(E302,c_id,0),ca,'13(an)'!$BU$34,FALSE),3)&amp;"00 lb/MMBtu",IF(LEN(ROUND(VLOOKUP(MATCH(E302,c_id,0),ca,'13(an)'!$BU$34,FALSE),3))=4,ROUND(VLOOKUP(MATCH(E302,c_id,0),ca,'13(an)'!$BU$34,FALSE),3)&amp;"0 lb/MMBtu",ROUND(VLOOKUP(MATCH(E302,c_id,0),ca,'13(an)'!$BU$34,FALSE),3)&amp;" lb/MMBtu"))))</f>
        <v>0.150 lb/MMBtu</v>
      </c>
      <c r="V304" s="7602">
        <f>+IF(E302="","",IF(VLOOKUP(MATCH(E302,c_id,0),ca,'13(an)'!$CB$34,FALSE)="","NOx(R) = N/A",ROUND(VLOOKUP(MATCH(E302,c_id,0),ca,'13(an)'!$CB$34,FALSE),1)))</f>
        <v>14.1</v>
      </c>
      <c r="W304" s="7534"/>
      <c r="X304" s="8818"/>
      <c r="Y304" s="7600" t="str">
        <f>+IF(E302="","",IF(VLOOKUP(MATCH(E302,c_id,0),ca,'13(an)'!$CM$34,FALSE)="",IF(VLOOKUP(MATCH(E302,c_id,0),ca,'13(an)'!$CN$34,FALSE)="",IF(VLOOKUP(MATCH(E302,c_id,0),ca,'13(an)'!$CO$34,FALSE)="","η ≈ N/A","η ≈ "&amp;ROUND(VLOOKUP(MATCH(E302,c_id,0),ca,'13(an)'!$CO$34,FALSE)*100,0)&amp;"%"),"η ≈ "&amp;ROUND(VLOOKUP(MATCH(E302,c_id,0),ca,'13(an)'!$CN$34,FALSE)*100,0)&amp;"%"),"η ≈ "&amp;ROUND(VLOOKUP(MATCH(E302,c_id,0),ca,'13(an)'!$CM$34,FALSE)*100,0)&amp;"%"))</f>
        <v>η ≈ 35%</v>
      </c>
      <c r="Z304" s="7601" t="str">
        <f>+IF($Z$338="ppmvd",IF(VLOOKUP(MATCH(E302,c_id,0),ca,'13(an)'!$CJ$34,FALSE)="","",ROUND(VLOOKUP(MATCH(E302,c_id,0),ca,'13(an)'!$CJ$34,FALSE),1)&amp;" ppmvd"),IF(VLOOKUP(MATCH(E302,c_id,0),ca,'13(an)'!$CI$34,FALSE)="","",IF(LEN(ROUND(VLOOKUP(MATCH(E302,c_id,0),ca,'13(an)'!$CI$34,FALSE),3))=3,ROUND(VLOOKUP(MATCH(E302,c_id,0),ca,'13(an)'!$CI$34,FALSE),3)&amp;"00 lb/MMBtu",IF(LEN(ROUND(VLOOKUP(MATCH(E302,c_id,0),ca,'13(an)'!$CI$34,FALSE),3))=4,ROUND(VLOOKUP(MATCH(E302,c_id,0),ca,'13(an)'!$CI$34,FALSE),3)&amp;"0 lb/MMBtu",ROUND(VLOOKUP(MATCH(E302,c_id,0),ca,'13(an)'!$CI$34,FALSE),3)&amp;" lb/MMBtu"))))</f>
        <v>0.063 lb/MMBtu</v>
      </c>
      <c r="AA304" s="7602">
        <f>+IF(E302="","",IF(VLOOKUP(MATCH(E302,c_id,0),ca,'13(an)'!$CL$34,FALSE)="","NOx(R) = N/A",ROUND(VLOOKUP(MATCH(E302,c_id,0),ca,'13(an)'!$CL$34,FALSE),1)))</f>
        <v>9.5</v>
      </c>
      <c r="AB304" s="7535"/>
      <c r="AC304" s="8818"/>
      <c r="AD304" s="7600" t="str">
        <f>+IF(E302="","",IF(VLOOKUP(MATCH(E302,c_id,0),ca,'13(an)'!$CM$34,FALSE)="",IF(VLOOKUP(MATCH(E302,c_id,0),ca,'13(an)'!$CN$34,FALSE)="",IF(VLOOKUP(MATCH(E302,c_id,0),ca,'13(an)'!$CO$34,FALSE)="","η ≈ N/A","η ≈ "&amp;ROUND(VLOOKUP(MATCH(E302,c_id,0),ca,'13(an)'!$CO$34,FALSE)*100,0)&amp;"%"),"η ≈ "&amp;ROUND(VLOOKUP(MATCH(E302,c_id,0),ca,'13(an)'!$CN$34,FALSE)*100,0)&amp;"%"),"η ≈ "&amp;ROUND(VLOOKUP(MATCH(E302,c_id,0),ca,'13(an)'!$CM$34,FALSE)*100,0)&amp;"%"))</f>
        <v>η ≈ 35%</v>
      </c>
      <c r="AE304" s="7601" t="str">
        <f>+IF($AE$338="ppmvd",IF(VLOOKUP(MATCH(E302,c_id,0),ca,'13(an)'!$CJ$34,FALSE)="","",ROUND(VLOOKUP(MATCH(E302,c_id,0),ca,'13(an)'!$CJ$34,FALSE),1)&amp;" ppmvd"),IF(VLOOKUP(MATCH(E302,c_id,0),ca,'13(an)'!$CI$34,FALSE)="","",IF(LEN(ROUND(VLOOKUP(MATCH(E302,c_id,0),ca,'13(an)'!$CI$34,FALSE),3))=3,ROUND(VLOOKUP(MATCH(E302,c_id,0),ca,'13(an)'!$CI$34,FALSE),3)&amp;"00 lb/MMBtu",IF(LEN(ROUND(VLOOKUP(MATCH(E302,c_id,0),ca,'13(an)'!$CI$34,FALSE),3))=4,ROUND(VLOOKUP(MATCH(E302,c_id,0),ca,'13(an)'!$CI$34,FALSE),3)&amp;"0 lb/MMBtu",ROUND(VLOOKUP(MATCH(E302,c_id,0),ca,'13(an)'!$CI$34,FALSE),3)&amp;" lb/MMBtu"))))</f>
        <v>0.063 lb/MMBtu</v>
      </c>
      <c r="AF304" s="7602">
        <f>+IF(E302="","",IF(VLOOKUP(MATCH(E302,c_id,0),ca,'13(an)'!$CL$34,FALSE)="","NOx(R) = N/A",ROUND(VLOOKUP(MATCH(E302,c_id,0),ca,'13(an)'!$CL$34,FALSE),1)))</f>
        <v>9.5</v>
      </c>
      <c r="AG304" s="7536"/>
      <c r="AH304" s="5962"/>
      <c r="AI304" s="5959"/>
      <c r="AJ304" s="5959"/>
      <c r="AK304" s="5959"/>
      <c r="AL304" s="5959"/>
      <c r="AM304" s="5959"/>
    </row>
    <row r="305" spans="1:39" ht="15" customHeight="1">
      <c r="A305" s="5952"/>
      <c r="B305" s="8991"/>
      <c r="C305" s="8884" t="str">
        <f>+IF(B305="","",VLOOKUP(MATCH(B305,tid,0),tao,'12(id)'!$J$20,FALSE))</f>
        <v/>
      </c>
      <c r="D305" s="9009" t="e">
        <f t="shared" si="4"/>
        <v>#N/A</v>
      </c>
      <c r="E305" s="9035"/>
      <c r="F305" s="5952"/>
      <c r="G305" s="5959"/>
      <c r="H305" s="5952"/>
      <c r="I305" s="9052"/>
      <c r="J305" s="9174"/>
      <c r="K305" s="9014"/>
      <c r="L305" s="9014"/>
      <c r="M305" s="9039" t="e">
        <f>+IF(VLOOKUP(MATCH(B305,tid,0),tao,'12(id)'!$Q$20,FALSE)="","",VLOOKUP(MATCH(B305,tid,0),tao,'12(id)'!$Q$20,FALSE))</f>
        <v>#N/A</v>
      </c>
      <c r="N305" s="9172" t="e">
        <f>+IF(VLOOKUP(MATCH(B305,tid,0),tao,'12(id)'!$CT$20,FALSE)="","",VLOOKUP(MATCH(B305,tid,0),tao,'12(id)'!$CT$20,FALSE))</f>
        <v>#N/A</v>
      </c>
      <c r="O305" s="9005" t="e">
        <f>+IF(VLOOKUP(MATCH(B305,tid,0),tao,'12(id)'!$DE$20,FALSE)="","",ROUND(VLOOKUP(MATCH(B305,tid,0),tao,'12(id)'!$DE$20,FALSE),0)&amp;" yrs")</f>
        <v>#N/A</v>
      </c>
      <c r="P305" s="9165" t="e">
        <f>+IF(VLOOKUP(MATCH(B305,tid,0),tao,'12(id)'!$FR$20,FALSE)="","",VLOOKUP(MATCH(B305,tid,0),tao,'12(id)'!$FR$20,FALSE))</f>
        <v>#N/A</v>
      </c>
      <c r="Q305" s="9005" t="e">
        <f>+IF(VLOOKUP(MATCH(B305,tid,0),tao,'12(id)'!$DI$20,FALSE)="","",VLOOKUP(MATCH(B305,tid,0),tao,'12(id)'!$DI$20,FALSE))&amp;";  "&amp;IF(VLOOKUP(MATCH(B305,tid,0),tao,'12(id)'!$DQ$20,FALSE)="","",VLOOKUP(MATCH(B305,tid,0),tao,'12(id)'!$DQ$20,FALSE))</f>
        <v>#N/A</v>
      </c>
      <c r="R305" s="8906"/>
      <c r="S305" s="8818"/>
      <c r="T305" s="7543">
        <f>+IF(VLOOKUP(MATCH(E302,c_id,0),ca,'13(an)'!$GF$34,FALSE)="","",VLOOKUP(MATCH(E302,c_id,0),ca,'13(an)'!$GF$34,FALSE))</f>
        <v>1950049.784</v>
      </c>
      <c r="U305" s="7570" t="str">
        <f>+IF(T305="","","$ TCC/unit")</f>
        <v>$ TCC/unit</v>
      </c>
      <c r="V305" s="7541">
        <f>+IF(VLOOKUP(MATCH(E302,c_id,0),ca,'13(an)'!$HA$34,FALSE)="","",VLOOKUP(MATCH(E302,c_id,0),ca,'13(an)'!$HA$34,FALSE))</f>
        <v>501343</v>
      </c>
      <c r="W305" s="7540"/>
      <c r="X305" s="8818"/>
      <c r="Y305" s="7543">
        <f>+IF(VLOOKUP(MATCH(E302,c_id,0),ca,'13(an)'!$IA$34,FALSE)="","",VLOOKUP(MATCH(E302,c_id,0),ca,'13(an)'!$IA$34,FALSE))</f>
        <v>1950049.784</v>
      </c>
      <c r="Z305" s="7570" t="str">
        <f>+IF(Y305="","","$ TCC/unit")</f>
        <v>$ TCC/unit</v>
      </c>
      <c r="AA305" s="7541">
        <f>+IF(Y305="","",$AA$19*Y305)</f>
        <v>146271.55505850981</v>
      </c>
      <c r="AB305" s="7541"/>
      <c r="AC305" s="8818"/>
      <c r="AD305" s="7543">
        <f>+IF(VLOOKUP(MATCH(E302,c_id,0),ca,'13(an)'!$JS$34,FALSE)="","",VLOOKUP(MATCH(E302,c_id,0),ca,'13(an)'!$JS$34,FALSE))</f>
        <v>1950049.784</v>
      </c>
      <c r="AE305" s="7570" t="str">
        <f>+IF(AD305="","","$ TCC/unit")</f>
        <v>$ TCC/unit</v>
      </c>
      <c r="AF305" s="7541">
        <f>+IF(AD305="","",$AF$19*AD305)</f>
        <v>146271.55505850981</v>
      </c>
      <c r="AG305" s="7542"/>
      <c r="AH305" s="5962"/>
      <c r="AI305" s="5959"/>
      <c r="AJ305" s="5959"/>
      <c r="AK305" s="5959"/>
      <c r="AL305" s="5959"/>
      <c r="AM305" s="5959"/>
    </row>
    <row r="306" spans="1:39" ht="15" customHeight="1">
      <c r="A306" s="5952"/>
      <c r="B306" s="8991"/>
      <c r="C306" s="8884" t="str">
        <f>+IF(B306="","",VLOOKUP(MATCH(B306,tid,0),tao,'12(id)'!$J$20,FALSE))</f>
        <v/>
      </c>
      <c r="D306" s="9009" t="e">
        <f t="shared" si="4"/>
        <v>#N/A</v>
      </c>
      <c r="E306" s="9035"/>
      <c r="F306" s="5952"/>
      <c r="G306" s="5959"/>
      <c r="H306" s="5952"/>
      <c r="I306" s="9052"/>
      <c r="J306" s="9174"/>
      <c r="K306" s="9014"/>
      <c r="L306" s="9014"/>
      <c r="M306" s="9039" t="e">
        <f>+IF(VLOOKUP(MATCH(B306,tid,0),tao,'12(id)'!$Q$20,FALSE)="","",VLOOKUP(MATCH(B306,tid,0),tao,'12(id)'!$Q$20,FALSE))</f>
        <v>#N/A</v>
      </c>
      <c r="N306" s="9172" t="e">
        <f>+IF(VLOOKUP(MATCH(B306,tid,0),tao,'12(id)'!$CT$20,FALSE)="","",VLOOKUP(MATCH(B306,tid,0),tao,'12(id)'!$CT$20,FALSE))</f>
        <v>#N/A</v>
      </c>
      <c r="O306" s="9005" t="e">
        <f>+IF(VLOOKUP(MATCH(B306,tid,0),tao,'12(id)'!$DE$20,FALSE)="","",ROUND(VLOOKUP(MATCH(B306,tid,0),tao,'12(id)'!$DE$20,FALSE),0)&amp;" yrs")</f>
        <v>#N/A</v>
      </c>
      <c r="P306" s="9165" t="e">
        <f>+IF(VLOOKUP(MATCH(B306,tid,0),tao,'12(id)'!$FR$20,FALSE)="","",VLOOKUP(MATCH(B306,tid,0),tao,'12(id)'!$FR$20,FALSE))</f>
        <v>#N/A</v>
      </c>
      <c r="Q306" s="9005" t="e">
        <f>+IF(VLOOKUP(MATCH(B306,tid,0),tao,'12(id)'!$DI$20,FALSE)="","",VLOOKUP(MATCH(B306,tid,0),tao,'12(id)'!$DI$20,FALSE))&amp;";  "&amp;IF(VLOOKUP(MATCH(B306,tid,0),tao,'12(id)'!$DQ$20,FALSE)="","",VLOOKUP(MATCH(B306,tid,0),tao,'12(id)'!$DQ$20,FALSE))</f>
        <v>#N/A</v>
      </c>
      <c r="R306" s="8906"/>
      <c r="S306" s="8818"/>
      <c r="T306" s="7543">
        <f>+IF(OR(T305="",N302=""),"",T305/N302)</f>
        <v>24074.688691358024</v>
      </c>
      <c r="U306" s="8820" t="str">
        <f>+IF(T306="","","$ TCC / MW nominal capacity")</f>
        <v>$ TCC / MW nominal capacity</v>
      </c>
      <c r="V306" s="8820"/>
      <c r="W306" s="7544"/>
      <c r="X306" s="8818"/>
      <c r="Y306" s="7543">
        <f>+IF(OR(Y305="",N302=""),"",Y305/N302)</f>
        <v>24074.688691358024</v>
      </c>
      <c r="Z306" s="8820" t="str">
        <f>+IF(Y306="","","$ TCC / MW nominal capacity")</f>
        <v>$ TCC / MW nominal capacity</v>
      </c>
      <c r="AA306" s="8820"/>
      <c r="AB306" s="7545"/>
      <c r="AC306" s="8818"/>
      <c r="AD306" s="7543">
        <f>+IF(OR(AD305="",N302=""),"",AD305/N302)</f>
        <v>24074.688691358024</v>
      </c>
      <c r="AE306" s="8820" t="str">
        <f>+IF(AD306="","","$ TCC / MW nominal capacity")</f>
        <v>$ TCC / MW nominal capacity</v>
      </c>
      <c r="AF306" s="8820"/>
      <c r="AG306" s="7546"/>
      <c r="AH306" s="5962"/>
      <c r="AI306" s="5959"/>
      <c r="AJ306" s="5959"/>
      <c r="AK306" s="5959"/>
      <c r="AL306" s="5959"/>
      <c r="AM306" s="5959"/>
    </row>
    <row r="307" spans="1:39" ht="15" customHeight="1">
      <c r="A307" s="5952"/>
      <c r="B307" s="8991"/>
      <c r="C307" s="8884" t="str">
        <f>+IF(B307="","",VLOOKUP(MATCH(B307,tid,0),tao,'12(id)'!$J$20,FALSE))</f>
        <v/>
      </c>
      <c r="D307" s="9009" t="e">
        <f t="shared" si="4"/>
        <v>#N/A</v>
      </c>
      <c r="E307" s="9062"/>
      <c r="F307" s="5952"/>
      <c r="G307" s="5959"/>
      <c r="H307" s="5952"/>
      <c r="I307" s="9052"/>
      <c r="J307" s="9174"/>
      <c r="K307" s="9014"/>
      <c r="L307" s="9014"/>
      <c r="M307" s="9039" t="e">
        <f>+IF(VLOOKUP(MATCH(B307,tid,0),tao,'12(id)'!$Q$20,FALSE)="","",VLOOKUP(MATCH(B307,tid,0),tao,'12(id)'!$Q$20,FALSE))</f>
        <v>#N/A</v>
      </c>
      <c r="N307" s="9172" t="e">
        <f>+IF(VLOOKUP(MATCH(B307,tid,0),tao,'12(id)'!$CT$20,FALSE)="","",VLOOKUP(MATCH(B307,tid,0),tao,'12(id)'!$CT$20,FALSE))</f>
        <v>#N/A</v>
      </c>
      <c r="O307" s="9005" t="e">
        <f>+IF(VLOOKUP(MATCH(B307,tid,0),tao,'12(id)'!$DE$20,FALSE)="","",ROUND(VLOOKUP(MATCH(B307,tid,0),tao,'12(id)'!$DE$20,FALSE),0)&amp;" yrs")</f>
        <v>#N/A</v>
      </c>
      <c r="P307" s="9165" t="e">
        <f>+IF(VLOOKUP(MATCH(B307,tid,0),tao,'12(id)'!$FR$20,FALSE)="","",VLOOKUP(MATCH(B307,tid,0),tao,'12(id)'!$FR$20,FALSE))</f>
        <v>#N/A</v>
      </c>
      <c r="Q307" s="9005" t="e">
        <f>+IF(VLOOKUP(MATCH(B307,tid,0),tao,'12(id)'!$DI$20,FALSE)="","",VLOOKUP(MATCH(B307,tid,0),tao,'12(id)'!$DI$20,FALSE))&amp;";  "&amp;IF(VLOOKUP(MATCH(B307,tid,0),tao,'12(id)'!$DQ$20,FALSE)="","",VLOOKUP(MATCH(B307,tid,0),tao,'12(id)'!$DQ$20,FALSE))</f>
        <v>#N/A</v>
      </c>
      <c r="R307" s="8981"/>
      <c r="S307" s="8819"/>
      <c r="T307" s="7590">
        <f>+IF(VLOOKUP(MATCH(E302,c_id,0),ca,'13(an)'!$HF$34,FALSE)="","",VLOOKUP(MATCH(E302,c_id,0),ca,'13(an)'!$HF$34,FALSE))</f>
        <v>37271</v>
      </c>
      <c r="U307" s="8829" t="str">
        <f>IF(T307="","","$ /ton "&amp;"NOx(R)")</f>
        <v>$ /ton NOx(R)</v>
      </c>
      <c r="V307" s="8829"/>
      <c r="W307" s="7730"/>
      <c r="X307" s="8819"/>
      <c r="Y307" s="7590">
        <f>+IF(VLOOKUP(MATCH(E302,c_id,0),ca,'13(an)'!$JE$34,FALSE)="","",VLOOKUP(MATCH(E302,c_id,0),ca,'13(an)'!$JE$34,FALSE))</f>
        <v>17920.331963256052</v>
      </c>
      <c r="Z307" s="8829" t="str">
        <f>IF(Y307="","","$ /ton "&amp;"NOx(R)")</f>
        <v>$ /ton NOx(R)</v>
      </c>
      <c r="AA307" s="8829"/>
      <c r="AB307" s="7731"/>
      <c r="AC307" s="8819"/>
      <c r="AD307" s="7590">
        <f>+IF(VLOOKUP(MATCH(E302,c_id,0),ca,'13(an)'!$LB$34,FALSE)="","",VLOOKUP(MATCH(E302,c_id,0),ca,'13(an)'!$LB$34,FALSE))</f>
        <v>80160.037788536734</v>
      </c>
      <c r="AE307" s="8829" t="str">
        <f>IF(AD307="","","$ /ton "&amp;"NOx(R)")</f>
        <v>$ /ton NOx(R)</v>
      </c>
      <c r="AF307" s="8829"/>
      <c r="AG307" s="7732"/>
      <c r="AH307" s="5962"/>
      <c r="AI307" s="5959"/>
      <c r="AJ307" s="5959"/>
      <c r="AK307" s="5959"/>
      <c r="AL307" s="5959"/>
      <c r="AM307" s="5959"/>
    </row>
    <row r="308" spans="1:39" ht="14.1" customHeight="1">
      <c r="A308" s="5952"/>
      <c r="B308" s="8991"/>
      <c r="C308" s="8884" t="str">
        <f>+IF(B308="","",VLOOKUP(MATCH(B308,tid,0),tao,'12(id)'!$J$20,FALSE))</f>
        <v/>
      </c>
      <c r="D308" s="9009" t="e">
        <f t="shared" si="4"/>
        <v>#N/A</v>
      </c>
      <c r="E308" s="9045" t="str">
        <f>+IF(B302="","",B302&amp;IF(ISERR(VALUE(1+R302)),"-01",IF(1+R302&lt;10,"-0"&amp;1+R302,"-"&amp;1+R302)))</f>
        <v>8306-04-02</v>
      </c>
      <c r="F308" s="5952"/>
      <c r="G308" s="5959"/>
      <c r="H308" s="5952"/>
      <c r="I308" s="9052"/>
      <c r="J308" s="9174"/>
      <c r="K308" s="9014"/>
      <c r="L308" s="9014"/>
      <c r="M308" s="9039" t="e">
        <f>+IF(VLOOKUP(MATCH(B308,tid,0),tao,'12(id)'!$Q$20,FALSE)="","",VLOOKUP(MATCH(B308,tid,0),tao,'12(id)'!$Q$20,FALSE))</f>
        <v>#N/A</v>
      </c>
      <c r="N308" s="9172" t="e">
        <f>+IF(VLOOKUP(MATCH(B308,tid,0),tao,'12(id)'!$CT$20,FALSE)="","",VLOOKUP(MATCH(B308,tid,0),tao,'12(id)'!$CT$20,FALSE))</f>
        <v>#N/A</v>
      </c>
      <c r="O308" s="9005" t="e">
        <f>+IF(VLOOKUP(MATCH(B308,tid,0),tao,'12(id)'!$DE$20,FALSE)="","",ROUND(VLOOKUP(MATCH(B308,tid,0),tao,'12(id)'!$DE$20,FALSE),0)&amp;" yrs")</f>
        <v>#N/A</v>
      </c>
      <c r="P308" s="9165" t="e">
        <f>+IF(VLOOKUP(MATCH(B308,tid,0),tao,'12(id)'!$FR$20,FALSE)="","",VLOOKUP(MATCH(B308,tid,0),tao,'12(id)'!$FR$20,FALSE))</f>
        <v>#N/A</v>
      </c>
      <c r="Q308" s="9005" t="e">
        <f>+IF(VLOOKUP(MATCH(B308,tid,0),tao,'12(id)'!$DI$20,FALSE)="","",VLOOKUP(MATCH(B308,tid,0),tao,'12(id)'!$DI$20,FALSE))&amp;";  "&amp;IF(VLOOKUP(MATCH(B308,tid,0),tao,'12(id)'!$DQ$20,FALSE)="","",VLOOKUP(MATCH(B308,tid,0),tao,'12(id)'!$DQ$20,FALSE))</f>
        <v>#N/A</v>
      </c>
      <c r="R308" s="8906">
        <f>+IF(B302="","",1+R302)</f>
        <v>2</v>
      </c>
      <c r="S308" s="8859"/>
      <c r="T308" s="8960" t="str">
        <f>+IF(VLOOKUP(MATCH(E308,c_id,0),ca,'13(an)'!$BD$34,FALSE)="","",VLOOKUP(MATCH(E308,c_id,0),ca,'13(an)'!$BD$34,FALSE))</f>
        <v>(HERT) High Energy Reagent Technology SNCR</v>
      </c>
      <c r="U308" s="8961"/>
      <c r="V308" s="8961"/>
      <c r="W308" s="7734"/>
      <c r="X308" s="8859"/>
      <c r="Y308" s="8960" t="str">
        <f>+T308</f>
        <v>(HERT) High Energy Reagent Technology SNCR</v>
      </c>
      <c r="Z308" s="8961"/>
      <c r="AA308" s="8961"/>
      <c r="AB308" s="7735"/>
      <c r="AC308" s="8818"/>
      <c r="AD308" s="8958" t="str">
        <f>+T308</f>
        <v>(HERT) High Energy Reagent Technology SNCR</v>
      </c>
      <c r="AE308" s="8959"/>
      <c r="AF308" s="8959"/>
      <c r="AG308" s="7736"/>
      <c r="AH308" s="5962"/>
      <c r="AI308" s="5959"/>
      <c r="AJ308" s="5959"/>
      <c r="AK308" s="5959"/>
      <c r="AL308" s="5959"/>
      <c r="AM308" s="5959"/>
    </row>
    <row r="309" spans="1:39" ht="14.1" customHeight="1">
      <c r="A309" s="5952"/>
      <c r="B309" s="8991"/>
      <c r="C309" s="8884" t="str">
        <f>+IF(B309="","",VLOOKUP(MATCH(B309,tid,0),tao,'12(id)'!$J$20,FALSE))</f>
        <v/>
      </c>
      <c r="D309" s="9009" t="e">
        <f t="shared" si="4"/>
        <v>#N/A</v>
      </c>
      <c r="E309" s="9079"/>
      <c r="F309" s="5952"/>
      <c r="G309" s="5959"/>
      <c r="H309" s="5952"/>
      <c r="I309" s="9052"/>
      <c r="J309" s="9174"/>
      <c r="K309" s="9014"/>
      <c r="L309" s="9014"/>
      <c r="M309" s="9039" t="e">
        <f>+IF(VLOOKUP(MATCH(B309,tid,0),tao,'12(id)'!$Q$20,FALSE)="","",VLOOKUP(MATCH(B309,tid,0),tao,'12(id)'!$Q$20,FALSE))</f>
        <v>#N/A</v>
      </c>
      <c r="N309" s="9172" t="e">
        <f>+IF(VLOOKUP(MATCH(B309,tid,0),tao,'12(id)'!$CT$20,FALSE)="","",VLOOKUP(MATCH(B309,tid,0),tao,'12(id)'!$CT$20,FALSE))</f>
        <v>#N/A</v>
      </c>
      <c r="O309" s="9005" t="e">
        <f>+IF(VLOOKUP(MATCH(B309,tid,0),tao,'12(id)'!$DE$20,FALSE)="","",ROUND(VLOOKUP(MATCH(B309,tid,0),tao,'12(id)'!$DE$20,FALSE),0)&amp;" yrs")</f>
        <v>#N/A</v>
      </c>
      <c r="P309" s="9165" t="e">
        <f>+IF(VLOOKUP(MATCH(B309,tid,0),tao,'12(id)'!$FR$20,FALSE)="","",VLOOKUP(MATCH(B309,tid,0),tao,'12(id)'!$FR$20,FALSE))</f>
        <v>#N/A</v>
      </c>
      <c r="Q309" s="9005" t="e">
        <f>+IF(VLOOKUP(MATCH(B309,tid,0),tao,'12(id)'!$DI$20,FALSE)="","",VLOOKUP(MATCH(B309,tid,0),tao,'12(id)'!$DI$20,FALSE))&amp;";  "&amp;IF(VLOOKUP(MATCH(B309,tid,0),tao,'12(id)'!$DQ$20,FALSE)="","",VLOOKUP(MATCH(B309,tid,0),tao,'12(id)'!$DQ$20,FALSE))</f>
        <v>#N/A</v>
      </c>
      <c r="R309" s="8906"/>
      <c r="S309" s="8818"/>
      <c r="T309" s="8959"/>
      <c r="U309" s="8959"/>
      <c r="V309" s="8959"/>
      <c r="W309" s="7737"/>
      <c r="X309" s="8818"/>
      <c r="Y309" s="8959"/>
      <c r="Z309" s="8959"/>
      <c r="AA309" s="8959"/>
      <c r="AB309" s="7738"/>
      <c r="AC309" s="8818"/>
      <c r="AD309" s="8959"/>
      <c r="AE309" s="8959"/>
      <c r="AF309" s="8959"/>
      <c r="AG309" s="7736"/>
      <c r="AH309" s="5962"/>
      <c r="AI309" s="5959"/>
      <c r="AJ309" s="5959"/>
      <c r="AK309" s="5959"/>
      <c r="AL309" s="5959"/>
      <c r="AM309" s="5959"/>
    </row>
    <row r="310" spans="1:39" ht="15" customHeight="1">
      <c r="A310" s="5952"/>
      <c r="B310" s="8991"/>
      <c r="C310" s="8884" t="str">
        <f>+IF(B310="","",VLOOKUP(MATCH(B310,tid,0),tao,'12(id)'!$J$20,FALSE))</f>
        <v/>
      </c>
      <c r="D310" s="9009" t="e">
        <f t="shared" si="4"/>
        <v>#N/A</v>
      </c>
      <c r="E310" s="9079"/>
      <c r="F310" s="5952"/>
      <c r="G310" s="5959"/>
      <c r="H310" s="5952"/>
      <c r="I310" s="9052"/>
      <c r="J310" s="9174"/>
      <c r="K310" s="9014"/>
      <c r="L310" s="9014"/>
      <c r="M310" s="9039" t="e">
        <f>+IF(VLOOKUP(MATCH(B310,tid,0),tao,'12(id)'!$Q$20,FALSE)="","",VLOOKUP(MATCH(B310,tid,0),tao,'12(id)'!$Q$20,FALSE))</f>
        <v>#N/A</v>
      </c>
      <c r="N310" s="9172" t="e">
        <f>+IF(VLOOKUP(MATCH(B310,tid,0),tao,'12(id)'!$CT$20,FALSE)="","",VLOOKUP(MATCH(B310,tid,0),tao,'12(id)'!$CT$20,FALSE))</f>
        <v>#N/A</v>
      </c>
      <c r="O310" s="9005" t="e">
        <f>+IF(VLOOKUP(MATCH(B310,tid,0),tao,'12(id)'!$DE$20,FALSE)="","",ROUND(VLOOKUP(MATCH(B310,tid,0),tao,'12(id)'!$DE$20,FALSE),0)&amp;" yrs")</f>
        <v>#N/A</v>
      </c>
      <c r="P310" s="9165" t="e">
        <f>+IF(VLOOKUP(MATCH(B310,tid,0),tao,'12(id)'!$FR$20,FALSE)="","",VLOOKUP(MATCH(B310,tid,0),tao,'12(id)'!$FR$20,FALSE))</f>
        <v>#N/A</v>
      </c>
      <c r="Q310" s="9005" t="e">
        <f>+IF(VLOOKUP(MATCH(B310,tid,0),tao,'12(id)'!$DI$20,FALSE)="","",VLOOKUP(MATCH(B310,tid,0),tao,'12(id)'!$DI$20,FALSE))&amp;";  "&amp;IF(VLOOKUP(MATCH(B310,tid,0),tao,'12(id)'!$DQ$20,FALSE)="","",VLOOKUP(MATCH(B310,tid,0),tao,'12(id)'!$DQ$20,FALSE))</f>
        <v>#N/A</v>
      </c>
      <c r="R310" s="8906"/>
      <c r="S310" s="8818"/>
      <c r="T310" s="7600" t="str">
        <f>+IF(E308="","",IF(VLOOKUP(MATCH(E308,c_id,0),ca,'13(an)'!$CC$34,FALSE)="",IF(VLOOKUP(MATCH(E308,c_id,0),ca,'13(an)'!$CD$34,FALSE)="",IF(VLOOKUP(MATCH(E308,c_id,0),ca,'13(an)'!$CE$34,FALSE)="","η ≈ N/A","η ≈ "&amp;ROUND(VLOOKUP(MATCH(E308,c_id,0),ca,'13(an)'!$CE$34,FALSE)*100,0)&amp;"%"),"η ≈ "&amp;ROUND(VLOOKUP(MATCH(E308,c_id,0),ca,'13(an)'!$CD$34,FALSE)*100,0)&amp;"%"),"η ≈ "&amp;ROUND(VLOOKUP(MATCH(E308,c_id,0),ca,'13(an)'!$CC$34,FALSE)*100,0)&amp;"%"))</f>
        <v>η ≈ 35%</v>
      </c>
      <c r="U310" s="7601" t="str">
        <f>+IF($U$338="ppmvd",IF(VLOOKUP(MATCH(E308,c_id,0),ca,'13(an)'!$BV$34,FALSE)="","",ROUND(VLOOKUP(MATCH(E308,c_id,0),ca,'13(an)'!$BV$34,FALSE),1)&amp;" ppmvd"),IF(VLOOKUP(MATCH(E308,c_id,0),ca,'13(an)'!$BU$34,FALSE)="","",IF(LEN(ROUND(VLOOKUP(MATCH(E308,c_id,0),ca,'13(an)'!$BU$34,FALSE),3))=3,ROUND(VLOOKUP(MATCH(E308,c_id,0),ca,'13(an)'!$BU$34,FALSE),3)&amp;"00 lb/MMBtu",IF(LEN(ROUND(VLOOKUP(MATCH(E308,c_id,0),ca,'13(an)'!$BU$34,FALSE),3))=4,ROUND(VLOOKUP(MATCH(E308,c_id,0),ca,'13(an)'!$BU$34,FALSE),3)&amp;"0 lb/MMBtu",ROUND(VLOOKUP(MATCH(E308,c_id,0),ca,'13(an)'!$BU$34,FALSE),3)&amp;" lb/MMBtu"))))</f>
        <v>0.150 lb/MMBtu</v>
      </c>
      <c r="V310" s="7602">
        <f>+IF(E308="","",IF(VLOOKUP(MATCH(E308,c_id,0),ca,'13(an)'!$CB$34,FALSE)="","NOx(R) = N/A",ROUND(VLOOKUP(MATCH(E308,c_id,0),ca,'13(an)'!$CB$34,FALSE),1)))</f>
        <v>14.1</v>
      </c>
      <c r="W310" s="7534"/>
      <c r="X310" s="8818"/>
      <c r="Y310" s="7600" t="str">
        <f>+IF(E308="","",IF(VLOOKUP(MATCH(E308,c_id,0),ca,'13(an)'!$CM$34,FALSE)="",IF(VLOOKUP(MATCH(E308,c_id,0),ca,'13(an)'!$CN$34,FALSE)="",IF(VLOOKUP(MATCH(E308,c_id,0),ca,'13(an)'!$CO$34,FALSE)="","η ≈ N/A","η ≈ "&amp;ROUND(VLOOKUP(MATCH(E308,c_id,0),ca,'13(an)'!$CO$34,FALSE)*100,0)&amp;"%"),"η ≈ "&amp;ROUND(VLOOKUP(MATCH(E308,c_id,0),ca,'13(an)'!$CN$34,FALSE)*100,0)&amp;"%"),"η ≈ "&amp;ROUND(VLOOKUP(MATCH(E308,c_id,0),ca,'13(an)'!$CM$34,FALSE)*100,0)&amp;"%"))</f>
        <v>η ≈ 35%</v>
      </c>
      <c r="Z310" s="7601" t="str">
        <f>+IF($Z$338="ppmvd",IF(VLOOKUP(MATCH(E308,c_id,0),ca,'13(an)'!$CJ$34,FALSE)="","",ROUND(VLOOKUP(MATCH(E308,c_id,0),ca,'13(an)'!$CJ$34,FALSE),1)&amp;" ppmvd"),IF(VLOOKUP(MATCH(E308,c_id,0),ca,'13(an)'!$CI$34,FALSE)="","",IF(LEN(ROUND(VLOOKUP(MATCH(E308,c_id,0),ca,'13(an)'!$CI$34,FALSE),3))=3,ROUND(VLOOKUP(MATCH(E308,c_id,0),ca,'13(an)'!$CI$34,FALSE),3)&amp;"00 lb/MMBtu",IF(LEN(ROUND(VLOOKUP(MATCH(E308,c_id,0),ca,'13(an)'!$CI$34,FALSE),3))=4,ROUND(VLOOKUP(MATCH(E308,c_id,0),ca,'13(an)'!$CI$34,FALSE),3)&amp;"0 lb/MMBtu",ROUND(VLOOKUP(MATCH(E308,c_id,0),ca,'13(an)'!$CI$34,FALSE),3)&amp;" lb/MMBtu"))))</f>
        <v>0.063 lb/MMBtu</v>
      </c>
      <c r="AA310" s="7602">
        <f>+IF(E308="","",IF(VLOOKUP(MATCH(E308,c_id,0),ca,'13(an)'!$CL$34,FALSE)="","NOx(R) = N/A",ROUND(VLOOKUP(MATCH(E308,c_id,0),ca,'13(an)'!$CL$34,FALSE),1)))</f>
        <v>9.5</v>
      </c>
      <c r="AB310" s="7535"/>
      <c r="AC310" s="8818"/>
      <c r="AD310" s="7600" t="str">
        <f>+IF(E308="","",IF(VLOOKUP(MATCH(E308,c_id,0),ca,'13(an)'!$CM$34,FALSE)="",IF(VLOOKUP(MATCH(E308,c_id,0),ca,'13(an)'!$CN$34,FALSE)="",IF(VLOOKUP(MATCH(E308,c_id,0),ca,'13(an)'!$CO$34,FALSE)="","η ≈ N/A","η ≈ "&amp;ROUND(VLOOKUP(MATCH(E308,c_id,0),ca,'13(an)'!$CO$34,FALSE)*100,0)&amp;"%"),"η ≈ "&amp;ROUND(VLOOKUP(MATCH(E308,c_id,0),ca,'13(an)'!$CN$34,FALSE)*100,0)&amp;"%"),"η ≈ "&amp;ROUND(VLOOKUP(MATCH(E308,c_id,0),ca,'13(an)'!$CM$34,FALSE)*100,0)&amp;"%"))</f>
        <v>η ≈ 35%</v>
      </c>
      <c r="AE310" s="7601" t="str">
        <f>+IF($AE$338="ppmvd",IF(VLOOKUP(MATCH(E308,c_id,0),ca,'13(an)'!$CJ$34,FALSE)="","",ROUND(VLOOKUP(MATCH(E308,c_id,0),ca,'13(an)'!$CJ$34,FALSE),1)&amp;" ppmvd"),IF(VLOOKUP(MATCH(E308,c_id,0),ca,'13(an)'!$CI$34,FALSE)="","",IF(LEN(ROUND(VLOOKUP(MATCH(E308,c_id,0),ca,'13(an)'!$CI$34,FALSE),3))=3,ROUND(VLOOKUP(MATCH(E308,c_id,0),ca,'13(an)'!$CI$34,FALSE),3)&amp;"00 lb/MMBtu",IF(LEN(ROUND(VLOOKUP(MATCH(E308,c_id,0),ca,'13(an)'!$CI$34,FALSE),3))=4,ROUND(VLOOKUP(MATCH(E308,c_id,0),ca,'13(an)'!$CI$34,FALSE),3)&amp;"0 lb/MMBtu",ROUND(VLOOKUP(MATCH(E308,c_id,0),ca,'13(an)'!$CI$34,FALSE),3)&amp;" lb/MMBtu"))))</f>
        <v>0.063 lb/MMBtu</v>
      </c>
      <c r="AF310" s="7602">
        <f>+IF(E308="","",IF(VLOOKUP(MATCH(E308,c_id,0),ca,'13(an)'!$CL$34,FALSE)="","NOx(R) = N/A",ROUND(VLOOKUP(MATCH(E308,c_id,0),ca,'13(an)'!$CL$34,FALSE),1)))</f>
        <v>9.5</v>
      </c>
      <c r="AG310" s="7536"/>
      <c r="AH310" s="5962"/>
      <c r="AI310" s="5959"/>
      <c r="AJ310" s="5959"/>
      <c r="AK310" s="5959"/>
      <c r="AL310" s="5959"/>
      <c r="AM310" s="5959"/>
    </row>
    <row r="311" spans="1:39" ht="15" customHeight="1">
      <c r="A311" s="5952"/>
      <c r="B311" s="8991"/>
      <c r="C311" s="8884" t="str">
        <f>+IF(B311="","",VLOOKUP(MATCH(B311,tid,0),tao,'12(id)'!$J$20,FALSE))</f>
        <v/>
      </c>
      <c r="D311" s="9009" t="e">
        <f t="shared" si="4"/>
        <v>#N/A</v>
      </c>
      <c r="E311" s="9079"/>
      <c r="F311" s="5952"/>
      <c r="G311" s="5959"/>
      <c r="H311" s="5952"/>
      <c r="I311" s="9052"/>
      <c r="J311" s="9174"/>
      <c r="K311" s="9014"/>
      <c r="L311" s="9014"/>
      <c r="M311" s="9039" t="e">
        <f>+IF(VLOOKUP(MATCH(B311,tid,0),tao,'12(id)'!$Q$20,FALSE)="","",VLOOKUP(MATCH(B311,tid,0),tao,'12(id)'!$Q$20,FALSE))</f>
        <v>#N/A</v>
      </c>
      <c r="N311" s="9172" t="e">
        <f>+IF(VLOOKUP(MATCH(B311,tid,0),tao,'12(id)'!$CT$20,FALSE)="","",VLOOKUP(MATCH(B311,tid,0),tao,'12(id)'!$CT$20,FALSE))</f>
        <v>#N/A</v>
      </c>
      <c r="O311" s="9005" t="e">
        <f>+IF(VLOOKUP(MATCH(B311,tid,0),tao,'12(id)'!$DE$20,FALSE)="","",ROUND(VLOOKUP(MATCH(B311,tid,0),tao,'12(id)'!$DE$20,FALSE),0)&amp;" yrs")</f>
        <v>#N/A</v>
      </c>
      <c r="P311" s="9165" t="e">
        <f>+IF(VLOOKUP(MATCH(B311,tid,0),tao,'12(id)'!$FR$20,FALSE)="","",VLOOKUP(MATCH(B311,tid,0),tao,'12(id)'!$FR$20,FALSE))</f>
        <v>#N/A</v>
      </c>
      <c r="Q311" s="9005" t="e">
        <f>+IF(VLOOKUP(MATCH(B311,tid,0),tao,'12(id)'!$DI$20,FALSE)="","",VLOOKUP(MATCH(B311,tid,0),tao,'12(id)'!$DI$20,FALSE))&amp;";  "&amp;IF(VLOOKUP(MATCH(B311,tid,0),tao,'12(id)'!$DQ$20,FALSE)="","",VLOOKUP(MATCH(B311,tid,0),tao,'12(id)'!$DQ$20,FALSE))</f>
        <v>#N/A</v>
      </c>
      <c r="R311" s="8906"/>
      <c r="S311" s="8818"/>
      <c r="T311" s="7543">
        <f>+IF(VLOOKUP(MATCH(E308,c_id,0),ca,'13(an)'!$GF$34,FALSE)="","",VLOOKUP(MATCH(E308,c_id,0),ca,'13(an)'!$GF$34,FALSE))</f>
        <v>1602412.9684000001</v>
      </c>
      <c r="U311" s="7570" t="str">
        <f>+IF(T311="","","$ TCC/unit")</f>
        <v>$ TCC/unit</v>
      </c>
      <c r="V311" s="7541">
        <f>+IF(VLOOKUP(MATCH(E308,c_id,0),ca,'13(an)'!$HA$34,FALSE)="","",VLOOKUP(MATCH(E308,c_id,0),ca,'13(an)'!$HA$34,FALSE))</f>
        <v>411968</v>
      </c>
      <c r="W311" s="7540"/>
      <c r="X311" s="8818"/>
      <c r="Y311" s="7543">
        <f>+IF(VLOOKUP(MATCH(E308,c_id,0),ca,'13(an)'!$IA$34,FALSE)="","",VLOOKUP(MATCH(E308,c_id,0),ca,'13(an)'!$IA$34,FALSE))</f>
        <v>1602412.9683999999</v>
      </c>
      <c r="Z311" s="7570" t="str">
        <f>+IF(Y311="","","$ TCC/unit")</f>
        <v>$ TCC/unit</v>
      </c>
      <c r="AA311" s="7541">
        <f>+IF(Y311="","",$AA$19*Y311)</f>
        <v>120195.61687958975</v>
      </c>
      <c r="AB311" s="7541"/>
      <c r="AC311" s="8818"/>
      <c r="AD311" s="7543">
        <f>+IF(VLOOKUP(MATCH(E308,c_id,0),ca,'13(an)'!$JS$34,FALSE)="","",VLOOKUP(MATCH(E308,c_id,0),ca,'13(an)'!$JS$34,FALSE))</f>
        <v>1602412.9683999999</v>
      </c>
      <c r="AE311" s="7570" t="str">
        <f>+IF(AD311="","","$ TCC/unit")</f>
        <v>$ TCC/unit</v>
      </c>
      <c r="AF311" s="7541">
        <f>+IF(AD311="","",$AF$19*AD311)</f>
        <v>120195.61687958975</v>
      </c>
      <c r="AG311" s="7542"/>
      <c r="AH311" s="5962"/>
      <c r="AI311" s="5959"/>
      <c r="AJ311" s="5959"/>
      <c r="AK311" s="5959"/>
      <c r="AL311" s="5959"/>
      <c r="AM311" s="5959"/>
    </row>
    <row r="312" spans="1:39" ht="15" customHeight="1">
      <c r="A312" s="5952"/>
      <c r="B312" s="8991"/>
      <c r="C312" s="8884" t="str">
        <f>+IF(B312="","",VLOOKUP(MATCH(B312,tid,0),tao,'12(id)'!$J$20,FALSE))</f>
        <v/>
      </c>
      <c r="D312" s="9009" t="e">
        <f t="shared" si="4"/>
        <v>#N/A</v>
      </c>
      <c r="E312" s="9079"/>
      <c r="F312" s="5952"/>
      <c r="G312" s="5959"/>
      <c r="H312" s="5952"/>
      <c r="I312" s="9052"/>
      <c r="J312" s="9174"/>
      <c r="K312" s="9014"/>
      <c r="L312" s="9014"/>
      <c r="M312" s="9039" t="e">
        <f>+IF(VLOOKUP(MATCH(B312,tid,0),tao,'12(id)'!$Q$20,FALSE)="","",VLOOKUP(MATCH(B312,tid,0),tao,'12(id)'!$Q$20,FALSE))</f>
        <v>#N/A</v>
      </c>
      <c r="N312" s="9172" t="e">
        <f>+IF(VLOOKUP(MATCH(B312,tid,0),tao,'12(id)'!$CT$20,FALSE)="","",VLOOKUP(MATCH(B312,tid,0),tao,'12(id)'!$CT$20,FALSE))</f>
        <v>#N/A</v>
      </c>
      <c r="O312" s="9005" t="e">
        <f>+IF(VLOOKUP(MATCH(B312,tid,0),tao,'12(id)'!$DE$20,FALSE)="","",ROUND(VLOOKUP(MATCH(B312,tid,0),tao,'12(id)'!$DE$20,FALSE),0)&amp;" yrs")</f>
        <v>#N/A</v>
      </c>
      <c r="P312" s="9165" t="e">
        <f>+IF(VLOOKUP(MATCH(B312,tid,0),tao,'12(id)'!$FR$20,FALSE)="","",VLOOKUP(MATCH(B312,tid,0),tao,'12(id)'!$FR$20,FALSE))</f>
        <v>#N/A</v>
      </c>
      <c r="Q312" s="9005" t="e">
        <f>+IF(VLOOKUP(MATCH(B312,tid,0),tao,'12(id)'!$DI$20,FALSE)="","",VLOOKUP(MATCH(B312,tid,0),tao,'12(id)'!$DI$20,FALSE))&amp;";  "&amp;IF(VLOOKUP(MATCH(B312,tid,0),tao,'12(id)'!$DQ$20,FALSE)="","",VLOOKUP(MATCH(B312,tid,0),tao,'12(id)'!$DQ$20,FALSE))</f>
        <v>#N/A</v>
      </c>
      <c r="R312" s="8906"/>
      <c r="S312" s="8818"/>
      <c r="T312" s="7543">
        <f>+IF(OR(T311="",N302=""),"",T311/N302)</f>
        <v>19782.876153086421</v>
      </c>
      <c r="U312" s="8820" t="str">
        <f>+IF(T312="","","$ TCC / MW nominal capacity")</f>
        <v>$ TCC / MW nominal capacity</v>
      </c>
      <c r="V312" s="8820"/>
      <c r="W312" s="7544"/>
      <c r="X312" s="8818"/>
      <c r="Y312" s="7543">
        <f>+IF(OR(Y311="",N302=""),"",Y311/N302)</f>
        <v>19782.876153086418</v>
      </c>
      <c r="Z312" s="8820" t="str">
        <f>+IF(Y312="","","$ TCC / MW nominal capacity")</f>
        <v>$ TCC / MW nominal capacity</v>
      </c>
      <c r="AA312" s="8820"/>
      <c r="AB312" s="7545"/>
      <c r="AC312" s="8818"/>
      <c r="AD312" s="7543">
        <f>+IF(OR(AD311="",N302=""),"",AD311/N302)</f>
        <v>19782.876153086418</v>
      </c>
      <c r="AE312" s="8820" t="str">
        <f>+IF(AD312="","","$ TCC / MW nominal capacity")</f>
        <v>$ TCC / MW nominal capacity</v>
      </c>
      <c r="AF312" s="8820"/>
      <c r="AG312" s="7546"/>
      <c r="AH312" s="5962"/>
      <c r="AI312" s="5959"/>
      <c r="AJ312" s="5959"/>
      <c r="AK312" s="5959"/>
      <c r="AL312" s="5959"/>
      <c r="AM312" s="5959"/>
    </row>
    <row r="313" spans="1:39" ht="15" customHeight="1">
      <c r="A313" s="5952"/>
      <c r="B313" s="8991"/>
      <c r="C313" s="8884" t="str">
        <f>+IF(B313="","",VLOOKUP(MATCH(B313,tid,0),tao,'12(id)'!$J$20,FALSE))</f>
        <v/>
      </c>
      <c r="D313" s="9009" t="e">
        <f t="shared" si="4"/>
        <v>#N/A</v>
      </c>
      <c r="E313" s="9080"/>
      <c r="F313" s="5952"/>
      <c r="G313" s="5959"/>
      <c r="H313" s="5952"/>
      <c r="I313" s="9052"/>
      <c r="J313" s="9174"/>
      <c r="K313" s="9014"/>
      <c r="L313" s="9014"/>
      <c r="M313" s="9039" t="e">
        <f>+IF(VLOOKUP(MATCH(B313,tid,0),tao,'12(id)'!$Q$20,FALSE)="","",VLOOKUP(MATCH(B313,tid,0),tao,'12(id)'!$Q$20,FALSE))</f>
        <v>#N/A</v>
      </c>
      <c r="N313" s="9172" t="e">
        <f>+IF(VLOOKUP(MATCH(B313,tid,0),tao,'12(id)'!$CT$20,FALSE)="","",VLOOKUP(MATCH(B313,tid,0),tao,'12(id)'!$CT$20,FALSE))</f>
        <v>#N/A</v>
      </c>
      <c r="O313" s="9005" t="e">
        <f>+IF(VLOOKUP(MATCH(B313,tid,0),tao,'12(id)'!$DE$20,FALSE)="","",ROUND(VLOOKUP(MATCH(B313,tid,0),tao,'12(id)'!$DE$20,FALSE),0)&amp;" yrs")</f>
        <v>#N/A</v>
      </c>
      <c r="P313" s="9165" t="e">
        <f>+IF(VLOOKUP(MATCH(B313,tid,0),tao,'12(id)'!$FR$20,FALSE)="","",VLOOKUP(MATCH(B313,tid,0),tao,'12(id)'!$FR$20,FALSE))</f>
        <v>#N/A</v>
      </c>
      <c r="Q313" s="9005" t="e">
        <f>+IF(VLOOKUP(MATCH(B313,tid,0),tao,'12(id)'!$DI$20,FALSE)="","",VLOOKUP(MATCH(B313,tid,0),tao,'12(id)'!$DI$20,FALSE))&amp;";  "&amp;IF(VLOOKUP(MATCH(B313,tid,0),tao,'12(id)'!$DQ$20,FALSE)="","",VLOOKUP(MATCH(B313,tid,0),tao,'12(id)'!$DQ$20,FALSE))</f>
        <v>#N/A</v>
      </c>
      <c r="R313" s="8981"/>
      <c r="S313" s="8819"/>
      <c r="T313" s="7590">
        <f>+IF(VLOOKUP(MATCH(E308,c_id,0),ca,'13(an)'!$HF$34,FALSE)="","",VLOOKUP(MATCH(E308,c_id,0),ca,'13(an)'!$HF$34,FALSE))</f>
        <v>40372</v>
      </c>
      <c r="U313" s="8829" t="str">
        <f>IF(T313="","","$ /ton "&amp;"NOx(R)")</f>
        <v>$ /ton NOx(R)</v>
      </c>
      <c r="V313" s="8829"/>
      <c r="W313" s="7730"/>
      <c r="X313" s="8819"/>
      <c r="Y313" s="7590">
        <f>+IF(VLOOKUP(MATCH(E308,c_id,0),ca,'13(an)'!$JE$34,FALSE)="","",VLOOKUP(MATCH(E308,c_id,0),ca,'13(an)'!$JE$34,FALSE))</f>
        <v>29154.033705431411</v>
      </c>
      <c r="Z313" s="8829" t="str">
        <f>IF(Y313="","","$ /ton "&amp;"NOx(R)")</f>
        <v>$ /ton NOx(R)</v>
      </c>
      <c r="AA313" s="8829"/>
      <c r="AB313" s="7731"/>
      <c r="AC313" s="8819"/>
      <c r="AD313" s="7590">
        <f>+IF(VLOOKUP(MATCH(E308,c_id,0),ca,'13(an)'!$LB$34,FALSE)="","",VLOOKUP(MATCH(E308,c_id,0),ca,'13(an)'!$LB$34,FALSE))</f>
        <v>75760.931469456569</v>
      </c>
      <c r="AE313" s="8829" t="str">
        <f>IF(AD313="","","$ /ton "&amp;"NOx(R)")</f>
        <v>$ /ton NOx(R)</v>
      </c>
      <c r="AF313" s="8829"/>
      <c r="AG313" s="7732"/>
      <c r="AH313" s="5962"/>
      <c r="AI313" s="5959"/>
      <c r="AJ313" s="5959"/>
      <c r="AK313" s="5959"/>
      <c r="AL313" s="5959"/>
      <c r="AM313" s="5959"/>
    </row>
    <row r="314" spans="1:39" ht="14.1" customHeight="1">
      <c r="A314" s="5952"/>
      <c r="B314" s="8991"/>
      <c r="C314" s="8884" t="str">
        <f>+IF(B314="","",VLOOKUP(MATCH(B314,tid,0),tao,'12(id)'!$J$20,FALSE))</f>
        <v/>
      </c>
      <c r="D314" s="9009" t="e">
        <f t="shared" si="4"/>
        <v>#N/A</v>
      </c>
      <c r="E314" s="9045" t="str">
        <f>+IF(B302="","",B302&amp;IF(ISERR(VALUE(1+R308)),"-01",IF(1+R308&lt;10,"-0"&amp;1+R308,"-"&amp;1+R308)))</f>
        <v>8306-04-03</v>
      </c>
      <c r="F314" s="5952"/>
      <c r="G314" s="5959"/>
      <c r="H314" s="5952"/>
      <c r="I314" s="9052"/>
      <c r="J314" s="9174"/>
      <c r="K314" s="9014"/>
      <c r="L314" s="9014"/>
      <c r="M314" s="9039" t="e">
        <f>+IF(VLOOKUP(MATCH(B314,tid,0),tao,'12(id)'!$Q$20,FALSE)="","",VLOOKUP(MATCH(B314,tid,0),tao,'12(id)'!$Q$20,FALSE))</f>
        <v>#N/A</v>
      </c>
      <c r="N314" s="9172" t="e">
        <f>+IF(VLOOKUP(MATCH(B314,tid,0),tao,'12(id)'!$CT$20,FALSE)="","",VLOOKUP(MATCH(B314,tid,0),tao,'12(id)'!$CT$20,FALSE))</f>
        <v>#N/A</v>
      </c>
      <c r="O314" s="9005" t="e">
        <f>+IF(VLOOKUP(MATCH(B314,tid,0),tao,'12(id)'!$DE$20,FALSE)="","",ROUND(VLOOKUP(MATCH(B314,tid,0),tao,'12(id)'!$DE$20,FALSE),0)&amp;" yrs")</f>
        <v>#N/A</v>
      </c>
      <c r="P314" s="9165" t="e">
        <f>+IF(VLOOKUP(MATCH(B314,tid,0),tao,'12(id)'!$FR$20,FALSE)="","",VLOOKUP(MATCH(B314,tid,0),tao,'12(id)'!$FR$20,FALSE))</f>
        <v>#N/A</v>
      </c>
      <c r="Q314" s="9005" t="e">
        <f>+IF(VLOOKUP(MATCH(B314,tid,0),tao,'12(id)'!$DI$20,FALSE)="","",VLOOKUP(MATCH(B314,tid,0),tao,'12(id)'!$DI$20,FALSE))&amp;";  "&amp;IF(VLOOKUP(MATCH(B314,tid,0),tao,'12(id)'!$DQ$20,FALSE)="","",VLOOKUP(MATCH(B314,tid,0),tao,'12(id)'!$DQ$20,FALSE))</f>
        <v>#N/A</v>
      </c>
      <c r="R314" s="8906">
        <f>+IF(B302="","",1+R308)</f>
        <v>3</v>
      </c>
      <c r="S314" s="8859"/>
      <c r="T314" s="8870" t="str">
        <f>+IF(VLOOKUP(MATCH(E314,c_id,0),ca,'13(an)'!$BD$34,FALSE)="","",VLOOKUP(MATCH(E314,c_id,0),ca,'13(an)'!$BD$34,FALSE))</f>
        <v>Selective Catalytic Reduction (SCR)</v>
      </c>
      <c r="U314" s="8870"/>
      <c r="V314" s="8870"/>
      <c r="W314" s="7531"/>
      <c r="X314" s="8859"/>
      <c r="Y314" s="8870" t="str">
        <f>+T314</f>
        <v>Selective Catalytic Reduction (SCR)</v>
      </c>
      <c r="Z314" s="8870"/>
      <c r="AA314" s="8870"/>
      <c r="AB314" s="7532"/>
      <c r="AC314" s="8818"/>
      <c r="AD314" s="8870" t="str">
        <f>+T314</f>
        <v>Selective Catalytic Reduction (SCR)</v>
      </c>
      <c r="AE314" s="8870"/>
      <c r="AF314" s="8870"/>
      <c r="AG314" s="7533"/>
      <c r="AH314" s="5962"/>
      <c r="AI314" s="5959"/>
      <c r="AJ314" s="5959"/>
      <c r="AK314" s="5959"/>
      <c r="AL314" s="5959"/>
      <c r="AM314" s="5959"/>
    </row>
    <row r="315" spans="1:39" ht="14.1" customHeight="1">
      <c r="A315" s="5952"/>
      <c r="B315" s="8991"/>
      <c r="C315" s="8884" t="str">
        <f>+IF(B315="","",VLOOKUP(MATCH(B315,tid,0),tao,'12(id)'!$J$20,FALSE))</f>
        <v/>
      </c>
      <c r="D315" s="9009" t="e">
        <f t="shared" si="4"/>
        <v>#N/A</v>
      </c>
      <c r="E315" s="9079"/>
      <c r="F315" s="5952"/>
      <c r="G315" s="5959"/>
      <c r="H315" s="5952"/>
      <c r="I315" s="9052"/>
      <c r="J315" s="9174"/>
      <c r="K315" s="9014"/>
      <c r="L315" s="9014"/>
      <c r="M315" s="9039" t="e">
        <f>+IF(VLOOKUP(MATCH(B315,tid,0),tao,'12(id)'!$Q$20,FALSE)="","",VLOOKUP(MATCH(B315,tid,0),tao,'12(id)'!$Q$20,FALSE))</f>
        <v>#N/A</v>
      </c>
      <c r="N315" s="9172" t="e">
        <f>+IF(VLOOKUP(MATCH(B315,tid,0),tao,'12(id)'!$CT$20,FALSE)="","",VLOOKUP(MATCH(B315,tid,0),tao,'12(id)'!$CT$20,FALSE))</f>
        <v>#N/A</v>
      </c>
      <c r="O315" s="9005" t="e">
        <f>+IF(VLOOKUP(MATCH(B315,tid,0),tao,'12(id)'!$DE$20,FALSE)="","",ROUND(VLOOKUP(MATCH(B315,tid,0),tao,'12(id)'!$DE$20,FALSE),0)&amp;" yrs")</f>
        <v>#N/A</v>
      </c>
      <c r="P315" s="9165" t="e">
        <f>+IF(VLOOKUP(MATCH(B315,tid,0),tao,'12(id)'!$FR$20,FALSE)="","",VLOOKUP(MATCH(B315,tid,0),tao,'12(id)'!$FR$20,FALSE))</f>
        <v>#N/A</v>
      </c>
      <c r="Q315" s="9005" t="e">
        <f>+IF(VLOOKUP(MATCH(B315,tid,0),tao,'12(id)'!$DI$20,FALSE)="","",VLOOKUP(MATCH(B315,tid,0),tao,'12(id)'!$DI$20,FALSE))&amp;";  "&amp;IF(VLOOKUP(MATCH(B315,tid,0),tao,'12(id)'!$DQ$20,FALSE)="","",VLOOKUP(MATCH(B315,tid,0),tao,'12(id)'!$DQ$20,FALSE))</f>
        <v>#N/A</v>
      </c>
      <c r="R315" s="8906"/>
      <c r="S315" s="8818"/>
      <c r="T315" s="8870"/>
      <c r="U315" s="8870"/>
      <c r="V315" s="8870"/>
      <c r="W315" s="7531"/>
      <c r="X315" s="8818"/>
      <c r="Y315" s="8870"/>
      <c r="Z315" s="8870"/>
      <c r="AA315" s="8870"/>
      <c r="AB315" s="7532"/>
      <c r="AC315" s="8818"/>
      <c r="AD315" s="8870"/>
      <c r="AE315" s="8870"/>
      <c r="AF315" s="8870"/>
      <c r="AG315" s="7533"/>
      <c r="AH315" s="5962"/>
      <c r="AI315" s="5959"/>
      <c r="AJ315" s="5959"/>
      <c r="AK315" s="5959"/>
      <c r="AL315" s="5959"/>
      <c r="AM315" s="5959"/>
    </row>
    <row r="316" spans="1:39" ht="18" customHeight="1">
      <c r="A316" s="5952"/>
      <c r="B316" s="8991"/>
      <c r="C316" s="8884" t="str">
        <f>+IF(B316="","",VLOOKUP(MATCH(B316,tid,0),tao,'12(id)'!$J$20,FALSE))</f>
        <v/>
      </c>
      <c r="D316" s="9009" t="e">
        <f t="shared" si="4"/>
        <v>#N/A</v>
      </c>
      <c r="E316" s="9079"/>
      <c r="F316" s="5952"/>
      <c r="G316" s="5959"/>
      <c r="H316" s="5952"/>
      <c r="I316" s="9052"/>
      <c r="J316" s="9174"/>
      <c r="K316" s="9014"/>
      <c r="L316" s="9014"/>
      <c r="M316" s="9039" t="e">
        <f>+IF(VLOOKUP(MATCH(B316,tid,0),tao,'12(id)'!$Q$20,FALSE)="","",VLOOKUP(MATCH(B316,tid,0),tao,'12(id)'!$Q$20,FALSE))</f>
        <v>#N/A</v>
      </c>
      <c r="N316" s="9172" t="e">
        <f>+IF(VLOOKUP(MATCH(B316,tid,0),tao,'12(id)'!$CT$20,FALSE)="","",VLOOKUP(MATCH(B316,tid,0),tao,'12(id)'!$CT$20,FALSE))</f>
        <v>#N/A</v>
      </c>
      <c r="O316" s="9005" t="e">
        <f>+IF(VLOOKUP(MATCH(B316,tid,0),tao,'12(id)'!$DE$20,FALSE)="","",ROUND(VLOOKUP(MATCH(B316,tid,0),tao,'12(id)'!$DE$20,FALSE),0)&amp;" yrs")</f>
        <v>#N/A</v>
      </c>
      <c r="P316" s="9165" t="e">
        <f>+IF(VLOOKUP(MATCH(B316,tid,0),tao,'12(id)'!$FR$20,FALSE)="","",VLOOKUP(MATCH(B316,tid,0),tao,'12(id)'!$FR$20,FALSE))</f>
        <v>#N/A</v>
      </c>
      <c r="Q316" s="9005" t="e">
        <f>+IF(VLOOKUP(MATCH(B316,tid,0),tao,'12(id)'!$DI$20,FALSE)="","",VLOOKUP(MATCH(B316,tid,0),tao,'12(id)'!$DI$20,FALSE))&amp;";  "&amp;IF(VLOOKUP(MATCH(B316,tid,0),tao,'12(id)'!$DQ$20,FALSE)="","",VLOOKUP(MATCH(B316,tid,0),tao,'12(id)'!$DQ$20,FALSE))</f>
        <v>#N/A</v>
      </c>
      <c r="R316" s="8906"/>
      <c r="S316" s="8818"/>
      <c r="T316" s="7584" t="str">
        <f>+IF(E314="","",IF(VLOOKUP(MATCH(E314,c_id,0),ca,'13(an)'!$CC$34,FALSE)="",IF(VLOOKUP(MATCH(E314,c_id,0),ca,'13(an)'!$CD$34,FALSE)="",IF(VLOOKUP(MATCH(E314,c_id,0),ca,'13(an)'!$CE$34,FALSE)="","η ≈ N/A","η ≈ "&amp;ROUND(VLOOKUP(MATCH(E314,c_id,0),ca,'13(an)'!$CE$34,FALSE)*100,0)&amp;"%"),"η ≈ "&amp;ROUND(VLOOKUP(MATCH(E314,c_id,0),ca,'13(an)'!$CD$34,FALSE)*100,0)&amp;"%"),"η ≈ "&amp;ROUND(VLOOKUP(MATCH(E314,c_id,0),ca,'13(an)'!$CC$34,FALSE)*100,0)&amp;"%"))</f>
        <v>η ≈ 35%</v>
      </c>
      <c r="U316" s="7585" t="str">
        <f>+IF($U$338="ppmvd",IF(VLOOKUP(MATCH(E314,c_id,0),ca,'13(an)'!$BV$34,FALSE)="","",ROUND(VLOOKUP(MATCH(E314,c_id,0),ca,'13(an)'!$BV$34,FALSE),1)&amp;" ppmvd"),IF(VLOOKUP(MATCH(E314,c_id,0),ca,'13(an)'!$BU$34,FALSE)="","",IF(LEN(ROUND(VLOOKUP(MATCH(E314,c_id,0),ca,'13(an)'!$BU$34,FALSE),3))=3,ROUND(VLOOKUP(MATCH(E314,c_id,0),ca,'13(an)'!$BU$34,FALSE),3)&amp;"00 lb/MMBtu",IF(LEN(ROUND(VLOOKUP(MATCH(E314,c_id,0),ca,'13(an)'!$BU$34,FALSE),3))=4,ROUND(VLOOKUP(MATCH(E314,c_id,0),ca,'13(an)'!$BU$34,FALSE),3)&amp;"0 lb/MMBtu",ROUND(VLOOKUP(MATCH(E314,c_id,0),ca,'13(an)'!$BU$34,FALSE),3)&amp;" lb/MMBtu"))))</f>
        <v>0.150 lb/MMBtu</v>
      </c>
      <c r="V316" s="7586">
        <f>+IF(E314="","",IF(VLOOKUP(MATCH(E314,c_id,0),ca,'13(an)'!$CB$34,FALSE)="","NOx(R) = N/A",ROUND(VLOOKUP(MATCH(E314,c_id,0),ca,'13(an)'!$CB$34,FALSE),1)))</f>
        <v>14.1</v>
      </c>
      <c r="W316" s="7534"/>
      <c r="X316" s="8818"/>
      <c r="Y316" s="7584" t="str">
        <f>+IF(E314="","",IF(VLOOKUP(MATCH(E314,c_id,0),ca,'13(an)'!$CM$34,FALSE)="",IF(VLOOKUP(MATCH(E314,c_id,0),ca,'13(an)'!$CN$34,FALSE)="",IF(VLOOKUP(MATCH(E314,c_id,0),ca,'13(an)'!$CO$34,FALSE)="","η ≈ N/A","η ≈ "&amp;ROUND(VLOOKUP(MATCH(E314,c_id,0),ca,'13(an)'!$CO$34,FALSE)*100,0)&amp;"%"),"η ≈ "&amp;ROUND(VLOOKUP(MATCH(E314,c_id,0),ca,'13(an)'!$CN$34,FALSE)*100,0)&amp;"%"),"η ≈ "&amp;ROUND(VLOOKUP(MATCH(E314,c_id,0),ca,'13(an)'!$CM$34,FALSE)*100,0)&amp;"%"))</f>
        <v>η ≈ 90%</v>
      </c>
      <c r="Z316" s="7585" t="str">
        <f>+IF($Z$338="ppmvd",IF(VLOOKUP(MATCH(E314,c_id,0),ca,'13(an)'!$CJ$34,FALSE)="","",ROUND(VLOOKUP(MATCH(E314,c_id,0),ca,'13(an)'!$CJ$34,FALSE),1)&amp;" ppmvd"),IF(VLOOKUP(MATCH(E314,c_id,0),ca,'13(an)'!$CI$34,FALSE)="","",IF(LEN(ROUND(VLOOKUP(MATCH(E314,c_id,0),ca,'13(an)'!$CI$34,FALSE),3))=3,ROUND(VLOOKUP(MATCH(E314,c_id,0),ca,'13(an)'!$CI$34,FALSE),3)&amp;"00 lb/MMBtu",IF(LEN(ROUND(VLOOKUP(MATCH(E314,c_id,0),ca,'13(an)'!$CI$34,FALSE),3))=4,ROUND(VLOOKUP(MATCH(E314,c_id,0),ca,'13(an)'!$CI$34,FALSE),3)&amp;"0 lb/MMBtu",ROUND(VLOOKUP(MATCH(E314,c_id,0),ca,'13(an)'!$CI$34,FALSE),3)&amp;" lb/MMBtu"))))</f>
        <v>0.010 lb/MMBtu</v>
      </c>
      <c r="AA316" s="7586">
        <f>+IF(E314="","",IF(VLOOKUP(MATCH(E314,c_id,0),ca,'13(an)'!$CL$34,FALSE)="","NOx(R) = N/A",ROUND(VLOOKUP(MATCH(E314,c_id,0),ca,'13(an)'!$CL$34,FALSE),1)))</f>
        <v>24.7</v>
      </c>
      <c r="AB316" s="7535"/>
      <c r="AC316" s="8818"/>
      <c r="AD316" s="7584" t="str">
        <f>+IF(E314="","",IF(VLOOKUP(MATCH(E314,c_id,0),ca,'13(an)'!$CM$34,FALSE)="",IF(VLOOKUP(MATCH(E314,c_id,0),ca,'13(an)'!$CN$34,FALSE)="",IF(VLOOKUP(MATCH(E314,c_id,0),ca,'13(an)'!$CO$34,FALSE)="","η ≈ N/A","η ≈ "&amp;ROUND(VLOOKUP(MATCH(E314,c_id,0),ca,'13(an)'!$CO$34,FALSE)*100,0)&amp;"%"),"η ≈ "&amp;ROUND(VLOOKUP(MATCH(E314,c_id,0),ca,'13(an)'!$CN$34,FALSE)*100,0)&amp;"%"),"η ≈ "&amp;ROUND(VLOOKUP(MATCH(E314,c_id,0),ca,'13(an)'!$CM$34,FALSE)*100,0)&amp;"%"))</f>
        <v>η ≈ 90%</v>
      </c>
      <c r="AE316" s="7585" t="str">
        <f>+IF($AE$338="ppmvd",IF(VLOOKUP(MATCH(E314,c_id,0),ca,'13(an)'!$CJ$34,FALSE)="","",ROUND(VLOOKUP(MATCH(E314,c_id,0),ca,'13(an)'!$CJ$34,FALSE),1)&amp;" ppmvd"),IF(VLOOKUP(MATCH(E314,c_id,0),ca,'13(an)'!$CI$34,FALSE)="","",IF(LEN(ROUND(VLOOKUP(MATCH(E314,c_id,0),ca,'13(an)'!$CI$34,FALSE),3))=3,ROUND(VLOOKUP(MATCH(E314,c_id,0),ca,'13(an)'!$CI$34,FALSE),3)&amp;"00 lb/MMBtu",IF(LEN(ROUND(VLOOKUP(MATCH(E314,c_id,0),ca,'13(an)'!$CI$34,FALSE),3))=4,ROUND(VLOOKUP(MATCH(E314,c_id,0),ca,'13(an)'!$CI$34,FALSE),3)&amp;"0 lb/MMBtu",ROUND(VLOOKUP(MATCH(E314,c_id,0),ca,'13(an)'!$CI$34,FALSE),3)&amp;" lb/MMBtu"))))</f>
        <v>0.010 lb/MMBtu</v>
      </c>
      <c r="AF316" s="7586">
        <f>+IF(E314="","",IF(VLOOKUP(MATCH(E314,c_id,0),ca,'13(an)'!$CL$34,FALSE)="","NOx(R) = N/A",ROUND(VLOOKUP(MATCH(E314,c_id,0),ca,'13(an)'!$CL$34,FALSE),1)))</f>
        <v>24.7</v>
      </c>
      <c r="AG316" s="7536"/>
      <c r="AH316" s="5962"/>
      <c r="AI316" s="5959"/>
      <c r="AJ316" s="5959"/>
      <c r="AK316" s="5959"/>
      <c r="AL316" s="5959"/>
      <c r="AM316" s="5959"/>
    </row>
    <row r="317" spans="1:39" ht="15" customHeight="1">
      <c r="A317" s="5952"/>
      <c r="B317" s="8991"/>
      <c r="C317" s="8884" t="str">
        <f>+IF(B317="","",VLOOKUP(MATCH(B317,tid,0),tao,'12(id)'!$J$20,FALSE))</f>
        <v/>
      </c>
      <c r="D317" s="9009" t="e">
        <f t="shared" si="4"/>
        <v>#N/A</v>
      </c>
      <c r="E317" s="9079"/>
      <c r="F317" s="5952"/>
      <c r="G317" s="5959"/>
      <c r="H317" s="5952"/>
      <c r="I317" s="9052"/>
      <c r="J317" s="9174"/>
      <c r="K317" s="9014"/>
      <c r="L317" s="9014"/>
      <c r="M317" s="9039" t="e">
        <f>+IF(VLOOKUP(MATCH(B317,tid,0),tao,'12(id)'!$Q$20,FALSE)="","",VLOOKUP(MATCH(B317,tid,0),tao,'12(id)'!$Q$20,FALSE))</f>
        <v>#N/A</v>
      </c>
      <c r="N317" s="9172" t="e">
        <f>+IF(VLOOKUP(MATCH(B317,tid,0),tao,'12(id)'!$CT$20,FALSE)="","",VLOOKUP(MATCH(B317,tid,0),tao,'12(id)'!$CT$20,FALSE))</f>
        <v>#N/A</v>
      </c>
      <c r="O317" s="9005" t="e">
        <f>+IF(VLOOKUP(MATCH(B317,tid,0),tao,'12(id)'!$DE$20,FALSE)="","",ROUND(VLOOKUP(MATCH(B317,tid,0),tao,'12(id)'!$DE$20,FALSE),0)&amp;" yrs")</f>
        <v>#N/A</v>
      </c>
      <c r="P317" s="9165" t="e">
        <f>+IF(VLOOKUP(MATCH(B317,tid,0),tao,'12(id)'!$FR$20,FALSE)="","",VLOOKUP(MATCH(B317,tid,0),tao,'12(id)'!$FR$20,FALSE))</f>
        <v>#N/A</v>
      </c>
      <c r="Q317" s="9005" t="e">
        <f>+IF(VLOOKUP(MATCH(B317,tid,0),tao,'12(id)'!$DI$20,FALSE)="","",VLOOKUP(MATCH(B317,tid,0),tao,'12(id)'!$DI$20,FALSE))&amp;";  "&amp;IF(VLOOKUP(MATCH(B317,tid,0),tao,'12(id)'!$DQ$20,FALSE)="","",VLOOKUP(MATCH(B317,tid,0),tao,'12(id)'!$DQ$20,FALSE))</f>
        <v>#N/A</v>
      </c>
      <c r="R317" s="8906"/>
      <c r="S317" s="8818"/>
      <c r="T317" s="7470">
        <f>+IF(VLOOKUP(MATCH(E314,c_id,0),ca,'13(an)'!$GF$34,FALSE)="","",VLOOKUP(MATCH(E314,c_id,0),ca,'13(an)'!$GF$34,FALSE))</f>
        <v>65452696</v>
      </c>
      <c r="U317" s="7570" t="str">
        <f>+IF(T317="","","$ TCC/unit")</f>
        <v>$ TCC/unit</v>
      </c>
      <c r="V317" s="7541">
        <f>+IF(VLOOKUP(MATCH(E314,c_id,0),ca,'13(an)'!$HA$34,FALSE)="","",VLOOKUP(MATCH(E314,c_id,0),ca,'13(an)'!$HA$34,FALSE))</f>
        <v>16827394</v>
      </c>
      <c r="W317" s="7540"/>
      <c r="X317" s="8818"/>
      <c r="Y317" s="7470">
        <f>+IF(VLOOKUP(MATCH(E314,c_id,0),ca,'13(an)'!$IA$34,FALSE)="","",VLOOKUP(MATCH(E314,c_id,0),ca,'13(an)'!$IA$34,FALSE))</f>
        <v>65452696</v>
      </c>
      <c r="Z317" s="7570" t="str">
        <f>+IF(Y317="","","$ TCC/unit")</f>
        <v>$ TCC/unit</v>
      </c>
      <c r="AA317" s="7541">
        <f>+IF(Y317="","",$AA$19*Y317)</f>
        <v>4909550.3639161987</v>
      </c>
      <c r="AB317" s="7541"/>
      <c r="AC317" s="8818"/>
      <c r="AD317" s="7470">
        <f>+IF(VLOOKUP(MATCH(E314,c_id,0),ca,'13(an)'!$JS$34,FALSE)="","",VLOOKUP(MATCH(E314,c_id,0),ca,'13(an)'!$JS$34,FALSE))</f>
        <v>7758531</v>
      </c>
      <c r="AE317" s="7570" t="str">
        <f>+IF(AD317="","","$ TCC/unit")</f>
        <v>$ TCC/unit</v>
      </c>
      <c r="AF317" s="7541">
        <f>+IF(AD317="","",$AF$19*AD317)</f>
        <v>581960.7292342108</v>
      </c>
      <c r="AG317" s="7542"/>
      <c r="AH317" s="5962"/>
      <c r="AI317" s="5959"/>
      <c r="AJ317" s="5959"/>
      <c r="AK317" s="5959"/>
      <c r="AL317" s="5959"/>
      <c r="AM317" s="5959"/>
    </row>
    <row r="318" spans="1:39" ht="15" customHeight="1">
      <c r="A318" s="5952"/>
      <c r="B318" s="8991"/>
      <c r="C318" s="8884" t="str">
        <f>+IF(B318="","",VLOOKUP(MATCH(B318,tid,0),tao,'12(id)'!$J$20,FALSE))</f>
        <v/>
      </c>
      <c r="D318" s="9009" t="e">
        <f t="shared" si="4"/>
        <v>#N/A</v>
      </c>
      <c r="E318" s="9079"/>
      <c r="F318" s="5952"/>
      <c r="G318" s="5959"/>
      <c r="H318" s="5952"/>
      <c r="I318" s="9052"/>
      <c r="J318" s="9174"/>
      <c r="K318" s="9014"/>
      <c r="L318" s="9014"/>
      <c r="M318" s="9039" t="e">
        <f>+IF(VLOOKUP(MATCH(B318,tid,0),tao,'12(id)'!$Q$20,FALSE)="","",VLOOKUP(MATCH(B318,tid,0),tao,'12(id)'!$Q$20,FALSE))</f>
        <v>#N/A</v>
      </c>
      <c r="N318" s="9172" t="e">
        <f>+IF(VLOOKUP(MATCH(B318,tid,0),tao,'12(id)'!$CT$20,FALSE)="","",VLOOKUP(MATCH(B318,tid,0),tao,'12(id)'!$CT$20,FALSE))</f>
        <v>#N/A</v>
      </c>
      <c r="O318" s="9005" t="e">
        <f>+IF(VLOOKUP(MATCH(B318,tid,0),tao,'12(id)'!$DE$20,FALSE)="","",ROUND(VLOOKUP(MATCH(B318,tid,0),tao,'12(id)'!$DE$20,FALSE),0)&amp;" yrs")</f>
        <v>#N/A</v>
      </c>
      <c r="P318" s="9165" t="e">
        <f>+IF(VLOOKUP(MATCH(B318,tid,0),tao,'12(id)'!$FR$20,FALSE)="","",VLOOKUP(MATCH(B318,tid,0),tao,'12(id)'!$FR$20,FALSE))</f>
        <v>#N/A</v>
      </c>
      <c r="Q318" s="9005" t="e">
        <f>+IF(VLOOKUP(MATCH(B318,tid,0),tao,'12(id)'!$DI$20,FALSE)="","",VLOOKUP(MATCH(B318,tid,0),tao,'12(id)'!$DI$20,FALSE))&amp;";  "&amp;IF(VLOOKUP(MATCH(B318,tid,0),tao,'12(id)'!$DQ$20,FALSE)="","",VLOOKUP(MATCH(B318,tid,0),tao,'12(id)'!$DQ$20,FALSE))</f>
        <v>#N/A</v>
      </c>
      <c r="R318" s="8906"/>
      <c r="S318" s="8818"/>
      <c r="T318" s="7543">
        <f>+IF(OR(T317="",N302=""),"",T317/N302)</f>
        <v>808057.97530864202</v>
      </c>
      <c r="U318" s="8820" t="str">
        <f>+IF(T318="","","$ TCC / MW nominal capacity")</f>
        <v>$ TCC / MW nominal capacity</v>
      </c>
      <c r="V318" s="8820"/>
      <c r="W318" s="7544"/>
      <c r="X318" s="8818"/>
      <c r="Y318" s="7543">
        <f>+IF(OR(Y317="",N302=""),"",Y317/N302)</f>
        <v>808057.97530864202</v>
      </c>
      <c r="Z318" s="8820" t="str">
        <f>+IF(Y318="","","$ TCC / MW nominal capacity")</f>
        <v>$ TCC / MW nominal capacity</v>
      </c>
      <c r="AA318" s="8820"/>
      <c r="AB318" s="7545"/>
      <c r="AC318" s="8818"/>
      <c r="AD318" s="7543">
        <f>+IF(OR(AD317="",N302=""),"",AD317/N302)</f>
        <v>95784.333333333328</v>
      </c>
      <c r="AE318" s="8820" t="str">
        <f>+IF(AD318="","","$ TCC / MW nominal capacity")</f>
        <v>$ TCC / MW nominal capacity</v>
      </c>
      <c r="AF318" s="8820"/>
      <c r="AG318" s="7546"/>
      <c r="AH318" s="5962"/>
      <c r="AI318" s="5959"/>
      <c r="AJ318" s="5959"/>
      <c r="AK318" s="5959"/>
      <c r="AL318" s="5959"/>
      <c r="AM318" s="5959"/>
    </row>
    <row r="319" spans="1:39" ht="15" customHeight="1">
      <c r="A319" s="5952"/>
      <c r="B319" s="8991"/>
      <c r="C319" s="8884" t="str">
        <f>+IF(B319="","",VLOOKUP(MATCH(B319,tid,0),tao,'12(id)'!$J$20,FALSE))</f>
        <v/>
      </c>
      <c r="D319" s="9009" t="e">
        <f t="shared" si="4"/>
        <v>#N/A</v>
      </c>
      <c r="E319" s="9080"/>
      <c r="F319" s="5952"/>
      <c r="G319" s="5959"/>
      <c r="H319" s="5952"/>
      <c r="I319" s="9052"/>
      <c r="J319" s="9174"/>
      <c r="K319" s="9014"/>
      <c r="L319" s="9014"/>
      <c r="M319" s="9039" t="e">
        <f>+IF(VLOOKUP(MATCH(B319,tid,0),tao,'12(id)'!$Q$20,FALSE)="","",VLOOKUP(MATCH(B319,tid,0),tao,'12(id)'!$Q$20,FALSE))</f>
        <v>#N/A</v>
      </c>
      <c r="N319" s="9172" t="e">
        <f>+IF(VLOOKUP(MATCH(B319,tid,0),tao,'12(id)'!$CT$20,FALSE)="","",VLOOKUP(MATCH(B319,tid,0),tao,'12(id)'!$CT$20,FALSE))</f>
        <v>#N/A</v>
      </c>
      <c r="O319" s="9005" t="e">
        <f>+IF(VLOOKUP(MATCH(B319,tid,0),tao,'12(id)'!$DE$20,FALSE)="","",ROUND(VLOOKUP(MATCH(B319,tid,0),tao,'12(id)'!$DE$20,FALSE),0)&amp;" yrs")</f>
        <v>#N/A</v>
      </c>
      <c r="P319" s="9165" t="e">
        <f>+IF(VLOOKUP(MATCH(B319,tid,0),tao,'12(id)'!$FR$20,FALSE)="","",VLOOKUP(MATCH(B319,tid,0),tao,'12(id)'!$FR$20,FALSE))</f>
        <v>#N/A</v>
      </c>
      <c r="Q319" s="9005" t="e">
        <f>+IF(VLOOKUP(MATCH(B319,tid,0),tao,'12(id)'!$DI$20,FALSE)="","",VLOOKUP(MATCH(B319,tid,0),tao,'12(id)'!$DI$20,FALSE))&amp;";  "&amp;IF(VLOOKUP(MATCH(B319,tid,0),tao,'12(id)'!$DQ$20,FALSE)="","",VLOOKUP(MATCH(B319,tid,0),tao,'12(id)'!$DQ$20,FALSE))</f>
        <v>#N/A</v>
      </c>
      <c r="R319" s="8906"/>
      <c r="S319" s="8819"/>
      <c r="T319" s="7590">
        <f>+IF(VLOOKUP(MATCH(E314,c_id,0),ca,'13(an)'!$HF$34,FALSE)="","",VLOOKUP(MATCH(E314,c_id,0),ca,'13(an)'!$HF$34,FALSE))</f>
        <v>1196986</v>
      </c>
      <c r="U319" s="8829" t="str">
        <f>IF(T319="","","$ /ton "&amp;"NOx(R)")</f>
        <v>$ /ton NOx(R)</v>
      </c>
      <c r="V319" s="8829"/>
      <c r="W319" s="7730"/>
      <c r="X319" s="8819"/>
      <c r="Y319" s="7590">
        <f>+IF(VLOOKUP(MATCH(E314,c_id,0),ca,'13(an)'!$JE$34,FALSE)="","",VLOOKUP(MATCH(E314,c_id,0),ca,'13(an)'!$JE$34,FALSE))</f>
        <v>201568.22238102995</v>
      </c>
      <c r="Z319" s="8829" t="str">
        <f>IF(Y319="","","$ /ton "&amp;"NOx(R)")</f>
        <v>$ /ton NOx(R)</v>
      </c>
      <c r="AA319" s="8829"/>
      <c r="AB319" s="7731"/>
      <c r="AC319" s="8819"/>
      <c r="AD319" s="7590">
        <f>+IF(VLOOKUP(MATCH(E314,c_id,0),ca,'13(an)'!$LB$34,FALSE)="","",VLOOKUP(MATCH(E314,c_id,0),ca,'13(an)'!$LB$34,FALSE))</f>
        <v>60024.773013967162</v>
      </c>
      <c r="AE319" s="8829" t="str">
        <f>IF(AD319="","","$ /ton "&amp;"NOx(R)")</f>
        <v>$ /ton NOx(R)</v>
      </c>
      <c r="AF319" s="8829"/>
      <c r="AG319" s="7732"/>
      <c r="AH319" s="5962"/>
      <c r="AI319" s="5959"/>
      <c r="AJ319" s="5959"/>
      <c r="AK319" s="5959"/>
      <c r="AL319" s="5959"/>
      <c r="AM319" s="5959"/>
    </row>
    <row r="320" spans="1:39" ht="14.1" customHeight="1">
      <c r="A320" s="5952"/>
      <c r="B320" s="8991" t="str">
        <f>+IF('12(id)'!A54="","",'12(id)'!A54)</f>
        <v>8306-05</v>
      </c>
      <c r="C320" s="8884" t="str">
        <f>+IF(B320="","",VLOOKUP(MATCH(B320,tid,0),tao,'12(id)'!$J$20,FALSE))</f>
        <v>NRG</v>
      </c>
      <c r="D320" s="9009" t="str">
        <f>+IF(B320="","",M320)</f>
        <v>MV6 </v>
      </c>
      <c r="E320" s="9035" t="str">
        <f>+IF(B320="","",B320&amp;IF(ISERR(VALUE(R320)),"-01",IF(R320&lt;10,"-0"&amp;R320,"-"&amp;R320)))</f>
        <v>8306-05-01</v>
      </c>
      <c r="F320" s="5952"/>
      <c r="G320" s="5959"/>
      <c r="H320" s="5952"/>
      <c r="I320" s="9052">
        <f>1+I302</f>
        <v>5</v>
      </c>
      <c r="J320" s="9174"/>
      <c r="K320" s="9014"/>
      <c r="L320" s="9014"/>
      <c r="M320" s="9039" t="str">
        <f>+IF(B320="","",IF(VLOOKUP(MATCH(B320,tid,0),tao,'12(id)'!$Q$20,FALSE)="","",VLOOKUP(MATCH(B320,tid,0),tao,'12(id)'!$Q$20,FALSE)))</f>
        <v>MV6 </v>
      </c>
      <c r="N320" s="9043">
        <f>+IF(B320="","",IF(VLOOKUP(MATCH(B320,tid,0),tao,'12(id)'!$CT$20,FALSE)="","",VLOOKUP(MATCH(B320,tid,0),tao,'12(id)'!$CT$20,FALSE)))</f>
        <v>402</v>
      </c>
      <c r="O320" s="9005" t="str">
        <f>+IF(B320="","",IF(VLOOKUP(MATCH(B320,tid,0),tao,'12(id)'!$DE$20,FALSE)="","",ROUND(VLOOKUP(MATCH(B320,tid,0),tao,'12(id)'!$DE$20,FALSE),0)&amp;" yrs"))</f>
        <v/>
      </c>
      <c r="P320" s="9165" t="str">
        <f>+IF(B320="","",IF(VLOOKUP(MATCH(B320,tid,0),tao,'12(id)'!$FR$20,FALSE)="","",VLOOKUP(MATCH(B320,tid,0),tao,'12(id)'!$FR$20,FALSE)))</f>
        <v>None</v>
      </c>
      <c r="Q320" s="9005" t="str">
        <f>+IF(B320="","",IF(VLOOKUP(MATCH(B320,tid,0),tao,'12(id)'!$DI$20,FALSE)="","",VLOOKUP(MATCH(B320,tid,0),tao,'12(id)'!$DI$20,FALSE))&amp;";  "&amp;IF(VLOOKUP(MATCH(B320,tid,0),tao,'12(id)'!$DQ$20,FALSE)="","",VLOOKUP(MATCH(B320,tid,0),tao,'12(id)'!$DQ$20,FALSE)))</f>
        <v>No. 6 oil;  No. 2 oil</v>
      </c>
      <c r="R320" s="8982">
        <f>+IF(B320="","",1)</f>
        <v>1</v>
      </c>
      <c r="S320" s="8859"/>
      <c r="T320" s="8871" t="str">
        <f>+IF(VLOOKUP(MATCH(E320,c_id,0),ca,'13(an)'!$BD$34,FALSE)="","",VLOOKUP(MATCH(E320,c_id,0),ca,'13(an)'!$BD$34,FALSE))</f>
        <v>Separated Overfired Air / High Energy Reagent Technology (SOFA/HERT)</v>
      </c>
      <c r="U320" s="8872"/>
      <c r="V320" s="8872"/>
      <c r="W320" s="7556"/>
      <c r="X320" s="8859"/>
      <c r="Y320" s="8871" t="str">
        <f>+T320</f>
        <v>Separated Overfired Air / High Energy Reagent Technology (SOFA/HERT)</v>
      </c>
      <c r="Z320" s="8872"/>
      <c r="AA320" s="8872"/>
      <c r="AB320" s="7557"/>
      <c r="AC320" s="8859"/>
      <c r="AD320" s="8874" t="str">
        <f>+T320</f>
        <v>Separated Overfired Air / High Energy Reagent Technology (SOFA/HERT)</v>
      </c>
      <c r="AE320" s="8870"/>
      <c r="AF320" s="8870"/>
      <c r="AG320" s="7533"/>
      <c r="AH320" s="5962"/>
      <c r="AI320" s="5959"/>
      <c r="AJ320" s="5959"/>
      <c r="AK320" s="5959"/>
      <c r="AL320" s="5959"/>
      <c r="AM320" s="5959"/>
    </row>
    <row r="321" spans="1:39" ht="14.1" customHeight="1">
      <c r="A321" s="5952"/>
      <c r="B321" s="8991"/>
      <c r="C321" s="8884" t="str">
        <f>+IF(B321="","",VLOOKUP(MATCH(B321,tid,0),tao,'12(id)'!$J$20,FALSE))</f>
        <v/>
      </c>
      <c r="D321" s="9009">
        <f t="shared" si="4"/>
        <v>0</v>
      </c>
      <c r="E321" s="9035"/>
      <c r="F321" s="5952"/>
      <c r="G321" s="5959"/>
      <c r="H321" s="5952"/>
      <c r="I321" s="9052"/>
      <c r="J321" s="9174"/>
      <c r="K321" s="9014"/>
      <c r="L321" s="9014"/>
      <c r="M321" s="9039"/>
      <c r="N321" s="9043"/>
      <c r="O321" s="9005"/>
      <c r="P321" s="9165" t="e">
        <f>+IF(VLOOKUP(MATCH(B321,tid,0),tao,'12(id)'!$FR$20,FALSE)="","",VLOOKUP(MATCH(B321,tid,0),tao,'12(id)'!$FR$20,FALSE))</f>
        <v>#N/A</v>
      </c>
      <c r="Q321" s="9005"/>
      <c r="R321" s="8906"/>
      <c r="S321" s="8818"/>
      <c r="T321" s="8870"/>
      <c r="U321" s="8870"/>
      <c r="V321" s="8870"/>
      <c r="W321" s="7531"/>
      <c r="X321" s="8818"/>
      <c r="Y321" s="8870"/>
      <c r="Z321" s="8870"/>
      <c r="AA321" s="8870"/>
      <c r="AB321" s="7532"/>
      <c r="AC321" s="8818"/>
      <c r="AD321" s="8870"/>
      <c r="AE321" s="8870"/>
      <c r="AF321" s="8870"/>
      <c r="AG321" s="7533"/>
      <c r="AH321" s="5962"/>
      <c r="AI321" s="5959"/>
      <c r="AJ321" s="5959"/>
      <c r="AK321" s="5959"/>
      <c r="AL321" s="5959"/>
      <c r="AM321" s="5959"/>
    </row>
    <row r="322" spans="1:39" ht="15" customHeight="1">
      <c r="A322" s="5952"/>
      <c r="B322" s="8991"/>
      <c r="C322" s="8884" t="str">
        <f>+IF(B322="","",VLOOKUP(MATCH(B322,tid,0),tao,'12(id)'!$J$20,FALSE))</f>
        <v/>
      </c>
      <c r="D322" s="9009">
        <f t="shared" si="4"/>
        <v>0</v>
      </c>
      <c r="E322" s="9035"/>
      <c r="F322" s="5952"/>
      <c r="G322" s="5959"/>
      <c r="H322" s="5952"/>
      <c r="I322" s="9052"/>
      <c r="J322" s="9174"/>
      <c r="K322" s="9014"/>
      <c r="L322" s="9014"/>
      <c r="M322" s="9039"/>
      <c r="N322" s="9043"/>
      <c r="O322" s="9005"/>
      <c r="P322" s="9165" t="e">
        <f>+IF(VLOOKUP(MATCH(B322,tid,0),tao,'12(id)'!$FR$20,FALSE)="","",VLOOKUP(MATCH(B322,tid,0),tao,'12(id)'!$FR$20,FALSE))</f>
        <v>#N/A</v>
      </c>
      <c r="Q322" s="9005"/>
      <c r="R322" s="8906"/>
      <c r="S322" s="8818"/>
      <c r="T322" s="7600" t="str">
        <f>+IF(E320="","",IF(VLOOKUP(MATCH(E320,c_id,0),ca,'13(an)'!$CC$34,FALSE)="",IF(VLOOKUP(MATCH(E320,c_id,0),ca,'13(an)'!$CD$34,FALSE)="",IF(VLOOKUP(MATCH(E320,c_id,0),ca,'13(an)'!$CE$34,FALSE)="","η ≈ N/A","η ≈ "&amp;ROUND(VLOOKUP(MATCH(E320,c_id,0),ca,'13(an)'!$CE$34,FALSE)*100,0)&amp;"%"),"η ≈ "&amp;ROUND(VLOOKUP(MATCH(E320,c_id,0),ca,'13(an)'!$CD$34,FALSE)*100,0)&amp;"%"),"η ≈ "&amp;ROUND(VLOOKUP(MATCH(E320,c_id,0),ca,'13(an)'!$CC$34,FALSE)*100,0)&amp;"%"))</f>
        <v>η ≈ 44%</v>
      </c>
      <c r="U322" s="7601" t="str">
        <f>+IF($U$338="ppmvd",IF(VLOOKUP(MATCH(E320,c_id,0),ca,'13(an)'!$BV$34,FALSE)="","",ROUND(VLOOKUP(MATCH(E320,c_id,0),ca,'13(an)'!$BV$34,FALSE),1)&amp;" ppmvd"),IF(VLOOKUP(MATCH(E320,c_id,0),ca,'13(an)'!$BU$34,FALSE)="","",IF(LEN(ROUND(VLOOKUP(MATCH(E320,c_id,0),ca,'13(an)'!$BU$34,FALSE),3))=3,ROUND(VLOOKUP(MATCH(E320,c_id,0),ca,'13(an)'!$BU$34,FALSE),3)&amp;"00 lb/MMBtu",IF(LEN(ROUND(VLOOKUP(MATCH(E320,c_id,0),ca,'13(an)'!$BU$34,FALSE),3))=4,ROUND(VLOOKUP(MATCH(E320,c_id,0),ca,'13(an)'!$BU$34,FALSE),3)&amp;"0 lb/MMBtu",ROUND(VLOOKUP(MATCH(E320,c_id,0),ca,'13(an)'!$BU$34,FALSE),3)&amp;" lb/MMBtu"))))</f>
        <v>0.150 lb/MMBtu</v>
      </c>
      <c r="V322" s="7602">
        <f>+IF(E320="","",IF(VLOOKUP(MATCH(E320,c_id,0),ca,'13(an)'!$CB$34,FALSE)="","NOx(R) = N/A",ROUND(VLOOKUP(MATCH(E320,c_id,0),ca,'13(an)'!$CB$34,FALSE),1)))</f>
        <v>26.9</v>
      </c>
      <c r="W322" s="7534"/>
      <c r="X322" s="8818"/>
      <c r="Y322" s="7600" t="str">
        <f>+IF(E320="","",IF(VLOOKUP(MATCH(E320,c_id,0),ca,'13(an)'!$CM$34,FALSE)="",IF(VLOOKUP(MATCH(E320,c_id,0),ca,'13(an)'!$CN$34,FALSE)="",IF(VLOOKUP(MATCH(E320,c_id,0),ca,'13(an)'!$CO$34,FALSE)="","η ≈ N/A","η ≈ "&amp;ROUND(VLOOKUP(MATCH(E320,c_id,0),ca,'13(an)'!$CO$34,FALSE)*100,0)&amp;"%"),"η ≈ "&amp;ROUND(VLOOKUP(MATCH(E320,c_id,0),ca,'13(an)'!$CN$34,FALSE)*100,0)&amp;"%"),"η ≈ "&amp;ROUND(VLOOKUP(MATCH(E320,c_id,0),ca,'13(an)'!$CM$34,FALSE)*100,0)&amp;"%"))</f>
        <v>η ≈ 44%</v>
      </c>
      <c r="Z322" s="7601" t="str">
        <f>+IF($Z$338="ppmvd",IF(VLOOKUP(MATCH(E320,c_id,0),ca,'13(an)'!$CJ$34,FALSE)="","",ROUND(VLOOKUP(MATCH(E320,c_id,0),ca,'13(an)'!$CJ$34,FALSE),1)&amp;" ppmvd"),IF(VLOOKUP(MATCH(E320,c_id,0),ca,'13(an)'!$CI$34,FALSE)="","",IF(LEN(ROUND(VLOOKUP(MATCH(E320,c_id,0),ca,'13(an)'!$CI$34,FALSE),3))=3,ROUND(VLOOKUP(MATCH(E320,c_id,0),ca,'13(an)'!$CI$34,FALSE),3)&amp;"00 lb/MMBtu",IF(LEN(ROUND(VLOOKUP(MATCH(E320,c_id,0),ca,'13(an)'!$CI$34,FALSE),3))=4,ROUND(VLOOKUP(MATCH(E320,c_id,0),ca,'13(an)'!$CI$34,FALSE),3)&amp;"0 lb/MMBtu",ROUND(VLOOKUP(MATCH(E320,c_id,0),ca,'13(an)'!$CI$34,FALSE),3)&amp;" lb/MMBtu"))))</f>
        <v>0.081 lb/MMBtu</v>
      </c>
      <c r="AA322" s="7602">
        <f>+IF(E320="","",IF(VLOOKUP(MATCH(E320,c_id,0),ca,'13(an)'!$CL$34,FALSE)="","NOx(R) = N/A",ROUND(VLOOKUP(MATCH(E320,c_id,0),ca,'13(an)'!$CL$34,FALSE),1)))</f>
        <v>19.7</v>
      </c>
      <c r="AB322" s="7535"/>
      <c r="AC322" s="8818"/>
      <c r="AD322" s="7600" t="str">
        <f>+IF(E320="","",IF(VLOOKUP(MATCH(E320,c_id,0),ca,'13(an)'!$CM$34,FALSE)="",IF(VLOOKUP(MATCH(E320,c_id,0),ca,'13(an)'!$CN$34,FALSE)="",IF(VLOOKUP(MATCH(E320,c_id,0),ca,'13(an)'!$CO$34,FALSE)="","η ≈ N/A","η ≈ "&amp;ROUND(VLOOKUP(MATCH(E320,c_id,0),ca,'13(an)'!$CO$34,FALSE)*100,0)&amp;"%"),"η ≈ "&amp;ROUND(VLOOKUP(MATCH(E320,c_id,0),ca,'13(an)'!$CN$34,FALSE)*100,0)&amp;"%"),"η ≈ "&amp;ROUND(VLOOKUP(MATCH(E320,c_id,0),ca,'13(an)'!$CM$34,FALSE)*100,0)&amp;"%"))</f>
        <v>η ≈ 44%</v>
      </c>
      <c r="AE322" s="7601" t="str">
        <f>+IF($AE$338="ppmvd",IF(VLOOKUP(MATCH(E320,c_id,0),ca,'13(an)'!$CJ$34,FALSE)="","",ROUND(VLOOKUP(MATCH(E320,c_id,0),ca,'13(an)'!$CJ$34,FALSE),1)&amp;" ppmvd"),IF(VLOOKUP(MATCH(E320,c_id,0),ca,'13(an)'!$CI$34,FALSE)="","",IF(LEN(ROUND(VLOOKUP(MATCH(E320,c_id,0),ca,'13(an)'!$CI$34,FALSE),3))=3,ROUND(VLOOKUP(MATCH(E320,c_id,0),ca,'13(an)'!$CI$34,FALSE),3)&amp;"00 lb/MMBtu",IF(LEN(ROUND(VLOOKUP(MATCH(E320,c_id,0),ca,'13(an)'!$CI$34,FALSE),3))=4,ROUND(VLOOKUP(MATCH(E320,c_id,0),ca,'13(an)'!$CI$34,FALSE),3)&amp;"0 lb/MMBtu",ROUND(VLOOKUP(MATCH(E320,c_id,0),ca,'13(an)'!$CI$34,FALSE),3)&amp;" lb/MMBtu"))))</f>
        <v>0.081 lb/MMBtu</v>
      </c>
      <c r="AF322" s="7602">
        <f>+IF(E320="","",IF(VLOOKUP(MATCH(E320,c_id,0),ca,'13(an)'!$CL$34,FALSE)="","NOx(R) = N/A",ROUND(VLOOKUP(MATCH(E320,c_id,0),ca,'13(an)'!$CL$34,FALSE),1)))</f>
        <v>19.7</v>
      </c>
      <c r="AG322" s="7536"/>
      <c r="AH322" s="5962"/>
      <c r="AI322" s="5959"/>
      <c r="AJ322" s="5959"/>
      <c r="AK322" s="5959"/>
      <c r="AL322" s="5959"/>
      <c r="AM322" s="5959"/>
    </row>
    <row r="323" spans="1:39" ht="15" customHeight="1">
      <c r="A323" s="5952"/>
      <c r="B323" s="8991"/>
      <c r="C323" s="8884" t="str">
        <f>+IF(B323="","",VLOOKUP(MATCH(B323,tid,0),tao,'12(id)'!$J$20,FALSE))</f>
        <v/>
      </c>
      <c r="D323" s="9009">
        <f t="shared" si="4"/>
        <v>0</v>
      </c>
      <c r="E323" s="9035"/>
      <c r="F323" s="5952"/>
      <c r="G323" s="5959"/>
      <c r="H323" s="5952"/>
      <c r="I323" s="9052"/>
      <c r="J323" s="9174"/>
      <c r="K323" s="9014"/>
      <c r="L323" s="9014"/>
      <c r="M323" s="9039"/>
      <c r="N323" s="9043"/>
      <c r="O323" s="9005"/>
      <c r="P323" s="9165" t="e">
        <f>+IF(VLOOKUP(MATCH(B323,tid,0),tao,'12(id)'!$FR$20,FALSE)="","",VLOOKUP(MATCH(B323,tid,0),tao,'12(id)'!$FR$20,FALSE))</f>
        <v>#N/A</v>
      </c>
      <c r="Q323" s="9005"/>
      <c r="R323" s="8906"/>
      <c r="S323" s="8818"/>
      <c r="T323" s="7543">
        <f>+IF(VLOOKUP(MATCH(E320,c_id,0),ca,'13(an)'!$GF$34,FALSE)="","",VLOOKUP(MATCH(E320,c_id,0),ca,'13(an)'!$GF$34,FALSE))</f>
        <v>6077988.9799199998</v>
      </c>
      <c r="U323" s="7570" t="str">
        <f>+IF(T323="","","$ TCC/unit")</f>
        <v>$ TCC/unit</v>
      </c>
      <c r="V323" s="7541">
        <f>+IF(VLOOKUP(MATCH(E320,c_id,0),ca,'13(an)'!$HA$34,FALSE)="","",VLOOKUP(MATCH(E320,c_id,0),ca,'13(an)'!$HA$34,FALSE))</f>
        <v>1562605</v>
      </c>
      <c r="W323" s="7540"/>
      <c r="X323" s="8818"/>
      <c r="Y323" s="7543">
        <f>+IF(VLOOKUP(MATCH(E320,c_id,0),ca,'13(an)'!$IA$34,FALSE)="","",VLOOKUP(MATCH(E320,c_id,0),ca,'13(an)'!$IA$34,FALSE))</f>
        <v>6058988.9799199998</v>
      </c>
      <c r="Z323" s="7570" t="str">
        <f>+IF(Y323="","","$ TCC/unit")</f>
        <v>$ TCC/unit</v>
      </c>
      <c r="AA323" s="7541">
        <f>+IF(Y323="","",$AA$19*Y323)</f>
        <v>454479.54582849384</v>
      </c>
      <c r="AB323" s="7541"/>
      <c r="AC323" s="8818"/>
      <c r="AD323" s="7543">
        <f>+IF(VLOOKUP(MATCH(E320,c_id,0),ca,'13(an)'!$JS$34,FALSE)="","",VLOOKUP(MATCH(E320,c_id,0),ca,'13(an)'!$JS$34,FALSE))</f>
        <v>6058988.9799199998</v>
      </c>
      <c r="AE323" s="7570" t="str">
        <f>+IF(AD323="","","$ TCC/unit")</f>
        <v>$ TCC/unit</v>
      </c>
      <c r="AF323" s="7541">
        <f>+IF(AD323="","",$AF$19*AD323)</f>
        <v>454479.54582849384</v>
      </c>
      <c r="AG323" s="7542"/>
      <c r="AH323" s="5962"/>
      <c r="AI323" s="5959"/>
      <c r="AJ323" s="5959"/>
      <c r="AK323" s="5959"/>
      <c r="AL323" s="5959"/>
      <c r="AM323" s="5959"/>
    </row>
    <row r="324" spans="1:39" ht="15" customHeight="1">
      <c r="A324" s="5952"/>
      <c r="B324" s="8991"/>
      <c r="C324" s="8884" t="str">
        <f>+IF(B324="","",VLOOKUP(MATCH(B324,tid,0),tao,'12(id)'!$J$20,FALSE))</f>
        <v/>
      </c>
      <c r="D324" s="9009">
        <f t="shared" si="4"/>
        <v>0</v>
      </c>
      <c r="E324" s="9035"/>
      <c r="F324" s="5952"/>
      <c r="G324" s="5959"/>
      <c r="H324" s="5952"/>
      <c r="I324" s="9052"/>
      <c r="J324" s="9174"/>
      <c r="K324" s="9014"/>
      <c r="L324" s="9014"/>
      <c r="M324" s="9039"/>
      <c r="N324" s="9043"/>
      <c r="O324" s="9005"/>
      <c r="P324" s="9165" t="e">
        <f>+IF(VLOOKUP(MATCH(B324,tid,0),tao,'12(id)'!$FR$20,FALSE)="","",VLOOKUP(MATCH(B324,tid,0),tao,'12(id)'!$FR$20,FALSE))</f>
        <v>#N/A</v>
      </c>
      <c r="Q324" s="9005"/>
      <c r="R324" s="8906"/>
      <c r="S324" s="8818"/>
      <c r="T324" s="7543">
        <f>+IF(OR(T323="",N320=""),"",T323/N320)</f>
        <v>15119.375571940298</v>
      </c>
      <c r="U324" s="8820" t="str">
        <f>+IF(T324="","","$ TCC / MW nominal capacity")</f>
        <v>$ TCC / MW nominal capacity</v>
      </c>
      <c r="V324" s="8820"/>
      <c r="W324" s="7544"/>
      <c r="X324" s="8818"/>
      <c r="Y324" s="7543">
        <f>+IF(OR(Y323="",N320=""),"",Y323/N320)</f>
        <v>15072.111890348258</v>
      </c>
      <c r="Z324" s="8820" t="str">
        <f>+IF(Y324="","","$ TCC / MW nominal capacity")</f>
        <v>$ TCC / MW nominal capacity</v>
      </c>
      <c r="AA324" s="8820"/>
      <c r="AB324" s="7545"/>
      <c r="AC324" s="8818"/>
      <c r="AD324" s="7543">
        <f>+IF(OR(AD323="",N320=""),"",AD323/N320)</f>
        <v>15072.111890348258</v>
      </c>
      <c r="AE324" s="8820" t="str">
        <f>+IF(AD324="","","$ TCC / MW nominal capacity")</f>
        <v>$ TCC / MW nominal capacity</v>
      </c>
      <c r="AF324" s="8820"/>
      <c r="AG324" s="7546"/>
      <c r="AH324" s="5962"/>
      <c r="AI324" s="5959"/>
      <c r="AJ324" s="5959"/>
      <c r="AK324" s="5959"/>
      <c r="AL324" s="5959"/>
      <c r="AM324" s="5959"/>
    </row>
    <row r="325" spans="1:39" ht="15" customHeight="1">
      <c r="A325" s="5952"/>
      <c r="B325" s="8991"/>
      <c r="C325" s="8884" t="str">
        <f>+IF(B325="","",VLOOKUP(MATCH(B325,tid,0),tao,'12(id)'!$J$20,FALSE))</f>
        <v/>
      </c>
      <c r="D325" s="9009">
        <f t="shared" si="4"/>
        <v>0</v>
      </c>
      <c r="E325" s="9062"/>
      <c r="F325" s="5952"/>
      <c r="G325" s="5959"/>
      <c r="H325" s="5952"/>
      <c r="I325" s="9052"/>
      <c r="J325" s="9174"/>
      <c r="K325" s="9014"/>
      <c r="L325" s="9014"/>
      <c r="M325" s="9039"/>
      <c r="N325" s="9043"/>
      <c r="O325" s="9005"/>
      <c r="P325" s="9165" t="e">
        <f>+IF(VLOOKUP(MATCH(B325,tid,0),tao,'12(id)'!$FR$20,FALSE)="","",VLOOKUP(MATCH(B325,tid,0),tao,'12(id)'!$FR$20,FALSE))</f>
        <v>#N/A</v>
      </c>
      <c r="Q325" s="9005"/>
      <c r="R325" s="8981"/>
      <c r="S325" s="8819"/>
      <c r="T325" s="7590">
        <f>+IF(VLOOKUP(MATCH(E320,c_id,0),ca,'13(an)'!$HF$34,FALSE)="","",VLOOKUP(MATCH(E320,c_id,0),ca,'13(an)'!$HF$34,FALSE))</f>
        <v>64961</v>
      </c>
      <c r="U325" s="8829" t="str">
        <f>IF(T325="","","$ /ton "&amp;"NOx(R)")</f>
        <v>$ /ton NOx(R)</v>
      </c>
      <c r="V325" s="8829"/>
      <c r="W325" s="7730"/>
      <c r="X325" s="8819"/>
      <c r="Y325" s="7590">
        <f>+IF(VLOOKUP(MATCH(E320,c_id,0),ca,'13(an)'!$JE$34,FALSE)="","",VLOOKUP(MATCH(E320,c_id,0),ca,'13(an)'!$JE$34,FALSE))</f>
        <v>32412.776029663903</v>
      </c>
      <c r="Z325" s="8829" t="str">
        <f>IF(Y325="","","$ /ton "&amp;"NOx(R)")</f>
        <v>$ /ton NOx(R)</v>
      </c>
      <c r="AA325" s="8829"/>
      <c r="AB325" s="7731"/>
      <c r="AC325" s="8819"/>
      <c r="AD325" s="7590">
        <f>+IF(VLOOKUP(MATCH(E320,c_id,0),ca,'13(an)'!$LB$34,FALSE)="","",VLOOKUP(MATCH(E320,c_id,0),ca,'13(an)'!$LB$34,FALSE))</f>
        <v>60331.555696613075</v>
      </c>
      <c r="AE325" s="8829" t="str">
        <f>IF(AD325="","","$ /ton "&amp;"NOx(R)")</f>
        <v>$ /ton NOx(R)</v>
      </c>
      <c r="AF325" s="8829"/>
      <c r="AG325" s="7732"/>
      <c r="AH325" s="5962"/>
      <c r="AI325" s="5959"/>
      <c r="AJ325" s="5959"/>
      <c r="AK325" s="5959"/>
      <c r="AL325" s="5959"/>
      <c r="AM325" s="5959"/>
    </row>
    <row r="326" spans="1:39" ht="14.1" customHeight="1">
      <c r="A326" s="5952"/>
      <c r="B326" s="8991"/>
      <c r="C326" s="8884" t="str">
        <f>+IF(B326="","",VLOOKUP(MATCH(B326,tid,0),tao,'12(id)'!$J$20,FALSE))</f>
        <v/>
      </c>
      <c r="D326" s="9009">
        <f t="shared" si="4"/>
        <v>0</v>
      </c>
      <c r="E326" s="9045" t="str">
        <f>+IF(B320="","",B320&amp;IF(ISERR(VALUE(1+R320)),"-01",IF(1+R320&lt;10,"-0"&amp;1+R320,"-"&amp;1+R320)))</f>
        <v>8306-05-02</v>
      </c>
      <c r="F326" s="5952"/>
      <c r="G326" s="5959"/>
      <c r="H326" s="5952"/>
      <c r="I326" s="9052"/>
      <c r="J326" s="9174"/>
      <c r="K326" s="9014"/>
      <c r="L326" s="9014"/>
      <c r="M326" s="9039"/>
      <c r="N326" s="9043"/>
      <c r="O326" s="9005"/>
      <c r="P326" s="9165" t="e">
        <f>+IF(VLOOKUP(MATCH(B326,tid,0),tao,'12(id)'!$FR$20,FALSE)="","",VLOOKUP(MATCH(B326,tid,0),tao,'12(id)'!$FR$20,FALSE))</f>
        <v>#N/A</v>
      </c>
      <c r="Q326" s="9005"/>
      <c r="R326" s="8906">
        <f>+IF(B320="","",1+R320)</f>
        <v>2</v>
      </c>
      <c r="S326" s="8859"/>
      <c r="T326" s="8872" t="str">
        <f>+IF(VLOOKUP(MATCH(E326,c_id,0),ca,'13(an)'!$BD$34,FALSE)="","",VLOOKUP(MATCH(E326,c_id,0),ca,'13(an)'!$BD$34,FALSE))</f>
        <v>Selective Catalytic Reduction (SCR) with ID fans</v>
      </c>
      <c r="U326" s="8872"/>
      <c r="V326" s="8872"/>
      <c r="W326" s="7556"/>
      <c r="X326" s="8859"/>
      <c r="Y326" s="8872" t="str">
        <f>+T326</f>
        <v>Selective Catalytic Reduction (SCR) with ID fans</v>
      </c>
      <c r="Z326" s="8872"/>
      <c r="AA326" s="8872"/>
      <c r="AB326" s="7557"/>
      <c r="AC326" s="8818"/>
      <c r="AD326" s="8870" t="str">
        <f>+T326</f>
        <v>Selective Catalytic Reduction (SCR) with ID fans</v>
      </c>
      <c r="AE326" s="8870"/>
      <c r="AF326" s="8870"/>
      <c r="AG326" s="7533"/>
      <c r="AH326" s="5962"/>
      <c r="AI326" s="5959"/>
      <c r="AJ326" s="5959"/>
      <c r="AK326" s="5959"/>
      <c r="AL326" s="5959"/>
      <c r="AM326" s="5959"/>
    </row>
    <row r="327" spans="1:39" ht="15" customHeight="1">
      <c r="A327" s="5952"/>
      <c r="B327" s="8991"/>
      <c r="C327" s="8884" t="str">
        <f>+IF(B327="","",VLOOKUP(MATCH(B327,tid,0),tao,'12(id)'!$J$20,FALSE))</f>
        <v/>
      </c>
      <c r="D327" s="9009">
        <f t="shared" si="4"/>
        <v>0</v>
      </c>
      <c r="E327" s="9079"/>
      <c r="F327" s="5952"/>
      <c r="G327" s="5959"/>
      <c r="H327" s="5952"/>
      <c r="I327" s="9052"/>
      <c r="J327" s="9174"/>
      <c r="K327" s="9014"/>
      <c r="L327" s="9014"/>
      <c r="M327" s="9039"/>
      <c r="N327" s="9043"/>
      <c r="O327" s="9005"/>
      <c r="P327" s="9165" t="e">
        <f>+IF(VLOOKUP(MATCH(B327,tid,0),tao,'12(id)'!$FR$20,FALSE)="","",VLOOKUP(MATCH(B327,tid,0),tao,'12(id)'!$FR$20,FALSE))</f>
        <v>#N/A</v>
      </c>
      <c r="Q327" s="9005"/>
      <c r="R327" s="8906"/>
      <c r="S327" s="8818"/>
      <c r="T327" s="8870"/>
      <c r="U327" s="8870"/>
      <c r="V327" s="8870"/>
      <c r="W327" s="7531"/>
      <c r="X327" s="8818"/>
      <c r="Y327" s="8870"/>
      <c r="Z327" s="8870"/>
      <c r="AA327" s="8870"/>
      <c r="AB327" s="7532"/>
      <c r="AC327" s="8818"/>
      <c r="AD327" s="8870"/>
      <c r="AE327" s="8870"/>
      <c r="AF327" s="8870"/>
      <c r="AG327" s="7533"/>
      <c r="AH327" s="5962"/>
      <c r="AI327" s="5959"/>
      <c r="AJ327" s="5959"/>
      <c r="AK327" s="5959"/>
      <c r="AL327" s="5959"/>
      <c r="AM327" s="5959"/>
    </row>
    <row r="328" spans="1:39" ht="15" customHeight="1">
      <c r="A328" s="5952"/>
      <c r="B328" s="8991"/>
      <c r="C328" s="8884" t="str">
        <f>+IF(B328="","",VLOOKUP(MATCH(B328,tid,0),tao,'12(id)'!$J$20,FALSE))</f>
        <v/>
      </c>
      <c r="D328" s="9009">
        <f t="shared" si="4"/>
        <v>0</v>
      </c>
      <c r="E328" s="9079"/>
      <c r="F328" s="5952"/>
      <c r="G328" s="5959"/>
      <c r="H328" s="5952"/>
      <c r="I328" s="9052"/>
      <c r="J328" s="9174"/>
      <c r="K328" s="9014"/>
      <c r="L328" s="9014"/>
      <c r="M328" s="9039"/>
      <c r="N328" s="9043"/>
      <c r="O328" s="9005"/>
      <c r="P328" s="9165" t="e">
        <f>+IF(VLOOKUP(MATCH(B328,tid,0),tao,'12(id)'!$FR$20,FALSE)="","",VLOOKUP(MATCH(B328,tid,0),tao,'12(id)'!$FR$20,FALSE))</f>
        <v>#N/A</v>
      </c>
      <c r="Q328" s="9005"/>
      <c r="R328" s="8906"/>
      <c r="S328" s="8818"/>
      <c r="T328" s="7584" t="str">
        <f>+IF(E326="","",IF(VLOOKUP(MATCH(E326,c_id,0),ca,'13(an)'!$CC$34,FALSE)="",IF(VLOOKUP(MATCH(E326,c_id,0),ca,'13(an)'!$CD$34,FALSE)="",IF(VLOOKUP(MATCH(E326,c_id,0),ca,'13(an)'!$CE$34,FALSE)="","η ≈ N/A","η ≈ "&amp;ROUND(VLOOKUP(MATCH(E326,c_id,0),ca,'13(an)'!$CE$34,FALSE)*100,0)&amp;"%"),"η ≈ "&amp;ROUND(VLOOKUP(MATCH(E326,c_id,0),ca,'13(an)'!$CD$34,FALSE)*100,0)&amp;"%"),"η ≈ "&amp;ROUND(VLOOKUP(MATCH(E326,c_id,0),ca,'13(an)'!$CC$34,FALSE)*100,0)&amp;"%"))</f>
        <v>η ≈ 63%</v>
      </c>
      <c r="U328" s="7585" t="str">
        <f>+IF($U$338="ppmvd",IF(VLOOKUP(MATCH(E326,c_id,0),ca,'13(an)'!$BV$34,FALSE)="","",ROUND(VLOOKUP(MATCH(E326,c_id,0),ca,'13(an)'!$BV$34,FALSE),1)&amp;" ppmvd"),IF(VLOOKUP(MATCH(E326,c_id,0),ca,'13(an)'!$BU$34,FALSE)="","",IF(LEN(ROUND(VLOOKUP(MATCH(E326,c_id,0),ca,'13(an)'!$BU$34,FALSE),3))=3,ROUND(VLOOKUP(MATCH(E326,c_id,0),ca,'13(an)'!$BU$34,FALSE),3)&amp;"00 lb/MMBtu",IF(LEN(ROUND(VLOOKUP(MATCH(E326,c_id,0),ca,'13(an)'!$BU$34,FALSE),3))=4,ROUND(VLOOKUP(MATCH(E326,c_id,0),ca,'13(an)'!$BU$34,FALSE),3)&amp;"0 lb/MMBtu",ROUND(VLOOKUP(MATCH(E326,c_id,0),ca,'13(an)'!$BU$34,FALSE),3)&amp;" lb/MMBtu"))))</f>
        <v>0.100 lb/MMBtu</v>
      </c>
      <c r="V328" s="7586">
        <f>+IF(E326="","",IF(VLOOKUP(MATCH(E326,c_id,0),ca,'13(an)'!$CB$34,FALSE)="","NOx(R) = N/A",ROUND(VLOOKUP(MATCH(E326,c_id,0),ca,'13(an)'!$CB$34,FALSE),1)))</f>
        <v>38.1</v>
      </c>
      <c r="W328" s="7534"/>
      <c r="X328" s="8818"/>
      <c r="Y328" s="7584" t="str">
        <f>+IF(E326="","",IF(VLOOKUP(MATCH(E326,c_id,0),ca,'13(an)'!$CM$34,FALSE)="",IF(VLOOKUP(MATCH(E326,c_id,0),ca,'13(an)'!$CN$34,FALSE)="",IF(VLOOKUP(MATCH(E326,c_id,0),ca,'13(an)'!$CO$34,FALSE)="","η ≈ N/A","η ≈ "&amp;ROUND(VLOOKUP(MATCH(E326,c_id,0),ca,'13(an)'!$CO$34,FALSE)*100,0)&amp;"%"),"η ≈ "&amp;ROUND(VLOOKUP(MATCH(E326,c_id,0),ca,'13(an)'!$CN$34,FALSE)*100,0)&amp;"%"),"η ≈ "&amp;ROUND(VLOOKUP(MATCH(E326,c_id,0),ca,'13(an)'!$CM$34,FALSE)*100,0)&amp;"%"))</f>
        <v>η ≈ 90%</v>
      </c>
      <c r="Z328" s="7585" t="str">
        <f>+IF($Z$338="ppmvd",IF(VLOOKUP(MATCH(E326,c_id,0),ca,'13(an)'!$CJ$34,FALSE)="","",ROUND(VLOOKUP(MATCH(E326,c_id,0),ca,'13(an)'!$CJ$34,FALSE),1)&amp;" ppmvd"),IF(VLOOKUP(MATCH(E326,c_id,0),ca,'13(an)'!$CI$34,FALSE)="","",IF(LEN(ROUND(VLOOKUP(MATCH(E326,c_id,0),ca,'13(an)'!$CI$34,FALSE),3))=3,ROUND(VLOOKUP(MATCH(E326,c_id,0),ca,'13(an)'!$CI$34,FALSE),3)&amp;"00 lb/MMBtu",IF(LEN(ROUND(VLOOKUP(MATCH(E326,c_id,0),ca,'13(an)'!$CI$34,FALSE),3))=4,ROUND(VLOOKUP(MATCH(E326,c_id,0),ca,'13(an)'!$CI$34,FALSE),3)&amp;"0 lb/MMBtu",ROUND(VLOOKUP(MATCH(E326,c_id,0),ca,'13(an)'!$CI$34,FALSE),3)&amp;" lb/MMBtu"))))</f>
        <v>0.015 lb/MMBtu</v>
      </c>
      <c r="AA328" s="7586">
        <f>+IF(E326="","",IF(VLOOKUP(MATCH(E326,c_id,0),ca,'13(an)'!$CL$34,FALSE)="","NOx(R) = N/A",ROUND(VLOOKUP(MATCH(E326,c_id,0),ca,'13(an)'!$CL$34,FALSE),1)))</f>
        <v>39.9</v>
      </c>
      <c r="AB328" s="7535"/>
      <c r="AC328" s="8818"/>
      <c r="AD328" s="7584" t="str">
        <f>+IF(E326="","",IF(VLOOKUP(MATCH(E326,c_id,0),ca,'13(an)'!$CM$34,FALSE)="",IF(VLOOKUP(MATCH(E326,c_id,0),ca,'13(an)'!$CN$34,FALSE)="",IF(VLOOKUP(MATCH(E326,c_id,0),ca,'13(an)'!$CO$34,FALSE)="","η ≈ N/A","η ≈ "&amp;ROUND(VLOOKUP(MATCH(E326,c_id,0),ca,'13(an)'!$CO$34,FALSE)*100,0)&amp;"%"),"η ≈ "&amp;ROUND(VLOOKUP(MATCH(E326,c_id,0),ca,'13(an)'!$CN$34,FALSE)*100,0)&amp;"%"),"η ≈ "&amp;ROUND(VLOOKUP(MATCH(E326,c_id,0),ca,'13(an)'!$CM$34,FALSE)*100,0)&amp;"%"))</f>
        <v>η ≈ 90%</v>
      </c>
      <c r="AE328" s="7585" t="str">
        <f>+IF($AE$338="ppmvd",IF(VLOOKUP(MATCH(E326,c_id,0),ca,'13(an)'!$CJ$34,FALSE)="","",ROUND(VLOOKUP(MATCH(E326,c_id,0),ca,'13(an)'!$CJ$34,FALSE),1)&amp;" ppmvd"),IF(VLOOKUP(MATCH(E326,c_id,0),ca,'13(an)'!$CI$34,FALSE)="","",IF(LEN(ROUND(VLOOKUP(MATCH(E326,c_id,0),ca,'13(an)'!$CI$34,FALSE),3))=3,ROUND(VLOOKUP(MATCH(E326,c_id,0),ca,'13(an)'!$CI$34,FALSE),3)&amp;"00 lb/MMBtu",IF(LEN(ROUND(VLOOKUP(MATCH(E326,c_id,0),ca,'13(an)'!$CI$34,FALSE),3))=4,ROUND(VLOOKUP(MATCH(E326,c_id,0),ca,'13(an)'!$CI$34,FALSE),3)&amp;"0 lb/MMBtu",ROUND(VLOOKUP(MATCH(E326,c_id,0),ca,'13(an)'!$CI$34,FALSE),3)&amp;" lb/MMBtu"))))</f>
        <v>0.015 lb/MMBtu</v>
      </c>
      <c r="AF328" s="7586">
        <f>+IF(E326="","",IF(VLOOKUP(MATCH(E326,c_id,0),ca,'13(an)'!$CL$34,FALSE)="","NOx(R) = N/A",ROUND(VLOOKUP(MATCH(E326,c_id,0),ca,'13(an)'!$CL$34,FALSE),1)))</f>
        <v>39.9</v>
      </c>
      <c r="AG328" s="7536"/>
      <c r="AH328" s="5962"/>
      <c r="AI328" s="5959"/>
      <c r="AJ328" s="5959"/>
      <c r="AK328" s="5959"/>
      <c r="AL328" s="5959"/>
      <c r="AM328" s="5959"/>
    </row>
    <row r="329" spans="1:39" ht="15" customHeight="1">
      <c r="A329" s="5952"/>
      <c r="B329" s="8991"/>
      <c r="C329" s="8884" t="str">
        <f>+IF(B329="","",VLOOKUP(MATCH(B329,tid,0),tao,'12(id)'!$J$20,FALSE))</f>
        <v/>
      </c>
      <c r="D329" s="9009">
        <f t="shared" si="4"/>
        <v>0</v>
      </c>
      <c r="E329" s="9079"/>
      <c r="F329" s="5952"/>
      <c r="G329" s="5959"/>
      <c r="H329" s="5952"/>
      <c r="I329" s="9052"/>
      <c r="J329" s="9174"/>
      <c r="K329" s="9014"/>
      <c r="L329" s="9014"/>
      <c r="M329" s="9039"/>
      <c r="N329" s="9043"/>
      <c r="O329" s="9005"/>
      <c r="P329" s="9165" t="e">
        <f>+IF(VLOOKUP(MATCH(B329,tid,0),tao,'12(id)'!$FR$20,FALSE)="","",VLOOKUP(MATCH(B329,tid,0),tao,'12(id)'!$FR$20,FALSE))</f>
        <v>#N/A</v>
      </c>
      <c r="Q329" s="9005"/>
      <c r="R329" s="8906"/>
      <c r="S329" s="8818"/>
      <c r="T329" s="7470">
        <f>+IF(VLOOKUP(MATCH(E326,c_id,0),ca,'13(an)'!$GF$34,FALSE)="","",VLOOKUP(MATCH(E326,c_id,0),ca,'13(an)'!$GF$34,FALSE))</f>
        <v>145353268</v>
      </c>
      <c r="U329" s="7570" t="str">
        <f>+IF(T329="","","$ TCC/unit")</f>
        <v>$ TCC/unit</v>
      </c>
      <c r="V329" s="7541">
        <f>+IF(VLOOKUP(MATCH(E326,c_id,0),ca,'13(an)'!$HA$34,FALSE)="","",VLOOKUP(MATCH(E326,c_id,0),ca,'13(an)'!$HA$34,FALSE))</f>
        <v>37369229</v>
      </c>
      <c r="W329" s="7540"/>
      <c r="X329" s="8818"/>
      <c r="Y329" s="7470">
        <f>+IF(VLOOKUP(MATCH(E326,c_id,0),ca,'13(an)'!$IA$34,FALSE)="","",VLOOKUP(MATCH(E326,c_id,0),ca,'13(an)'!$IA$34,FALSE))</f>
        <v>145353268</v>
      </c>
      <c r="Z329" s="7570" t="str">
        <f>+IF(Y329="","","$ TCC/unit")</f>
        <v>$ TCC/unit</v>
      </c>
      <c r="AA329" s="7541">
        <f>+IF(Y329="","",$AA$19*Y329)</f>
        <v>10902823.4651451</v>
      </c>
      <c r="AB329" s="7541"/>
      <c r="AC329" s="8818"/>
      <c r="AD329" s="7470">
        <f>+IF(VLOOKUP(MATCH(E326,c_id,0),ca,'13(an)'!$JS$34,FALSE)="","",VLOOKUP(MATCH(E326,c_id,0),ca,'13(an)'!$JS$34,FALSE))</f>
        <v>145353268</v>
      </c>
      <c r="AE329" s="7570" t="str">
        <f>+IF(AD329="","","$ TCC/unit")</f>
        <v>$ TCC/unit</v>
      </c>
      <c r="AF329" s="7541">
        <f>+IF(AD329="","",$AF$19*AD329)</f>
        <v>10902823.4651451</v>
      </c>
      <c r="AG329" s="7542"/>
      <c r="AH329" s="5962"/>
      <c r="AI329" s="5959"/>
      <c r="AJ329" s="5959"/>
      <c r="AK329" s="5959"/>
      <c r="AL329" s="5959"/>
      <c r="AM329" s="5959"/>
    </row>
    <row r="330" spans="1:39" ht="15" customHeight="1">
      <c r="A330" s="5952"/>
      <c r="B330" s="8991"/>
      <c r="C330" s="8884" t="str">
        <f>+IF(B330="","",VLOOKUP(MATCH(B330,tid,0),tao,'12(id)'!$J$20,FALSE))</f>
        <v/>
      </c>
      <c r="D330" s="9009">
        <f t="shared" si="4"/>
        <v>0</v>
      </c>
      <c r="E330" s="9079"/>
      <c r="F330" s="5952"/>
      <c r="G330" s="5959"/>
      <c r="H330" s="5952"/>
      <c r="I330" s="9052"/>
      <c r="J330" s="9174"/>
      <c r="K330" s="9014"/>
      <c r="L330" s="9014"/>
      <c r="M330" s="9039"/>
      <c r="N330" s="9043"/>
      <c r="O330" s="9005"/>
      <c r="P330" s="9165" t="e">
        <f>+IF(VLOOKUP(MATCH(B330,tid,0),tao,'12(id)'!$FR$20,FALSE)="","",VLOOKUP(MATCH(B330,tid,0),tao,'12(id)'!$FR$20,FALSE))</f>
        <v>#N/A</v>
      </c>
      <c r="Q330" s="9005"/>
      <c r="R330" s="8906"/>
      <c r="S330" s="8818"/>
      <c r="T330" s="7543">
        <f>+IF(OR(T329="",N320=""),"",T329/N320)</f>
        <v>361575.29353233828</v>
      </c>
      <c r="U330" s="8820" t="str">
        <f>+IF(T330="","","$ TCC / MW nominal capacity")</f>
        <v>$ TCC / MW nominal capacity</v>
      </c>
      <c r="V330" s="8820"/>
      <c r="W330" s="7544"/>
      <c r="X330" s="8818"/>
      <c r="Y330" s="7543">
        <f>+IF(OR(Y329="",N320=""),"",Y329/N320)</f>
        <v>361575.29353233828</v>
      </c>
      <c r="Z330" s="8820" t="str">
        <f>+IF(Y330="","","$ TCC / MW nominal capacity")</f>
        <v>$ TCC / MW nominal capacity</v>
      </c>
      <c r="AA330" s="8820"/>
      <c r="AB330" s="7545"/>
      <c r="AC330" s="8818"/>
      <c r="AD330" s="7543">
        <f>+IF(OR(AD329="",N320=""),"",AD329/N320)</f>
        <v>361575.29353233828</v>
      </c>
      <c r="AE330" s="8820" t="str">
        <f>+IF(AD330="","","$ TCC / MW nominal capacity")</f>
        <v>$ TCC / MW nominal capacity</v>
      </c>
      <c r="AF330" s="8820"/>
      <c r="AG330" s="7546"/>
      <c r="AH330" s="5962"/>
      <c r="AI330" s="5959"/>
      <c r="AJ330" s="5959"/>
      <c r="AK330" s="5959"/>
      <c r="AL330" s="5959"/>
      <c r="AM330" s="5959"/>
    </row>
    <row r="331" spans="1:39" ht="15" customHeight="1">
      <c r="A331" s="5952"/>
      <c r="B331" s="8991"/>
      <c r="C331" s="8884" t="str">
        <f>+IF(B331="","",VLOOKUP(MATCH(B331,tid,0),tao,'12(id)'!$J$20,FALSE))</f>
        <v/>
      </c>
      <c r="D331" s="9009">
        <f t="shared" si="4"/>
        <v>0</v>
      </c>
      <c r="E331" s="9079"/>
      <c r="F331" s="5952"/>
      <c r="G331" s="5959"/>
      <c r="H331" s="5952"/>
      <c r="I331" s="9052"/>
      <c r="J331" s="9174"/>
      <c r="K331" s="9014"/>
      <c r="L331" s="9014"/>
      <c r="M331" s="9039"/>
      <c r="N331" s="9043"/>
      <c r="O331" s="9005"/>
      <c r="P331" s="9165" t="e">
        <f>+IF(VLOOKUP(MATCH(B331,tid,0),tao,'12(id)'!$FR$20,FALSE)="","",VLOOKUP(MATCH(B331,tid,0),tao,'12(id)'!$FR$20,FALSE))</f>
        <v>#N/A</v>
      </c>
      <c r="Q331" s="9005"/>
      <c r="R331" s="8906"/>
      <c r="S331" s="8819"/>
      <c r="T331" s="7590">
        <f>+IF(VLOOKUP(MATCH(E326,c_id,0),ca,'13(an)'!$HF$34,FALSE)="","",VLOOKUP(MATCH(E326,c_id,0),ca,'13(an)'!$HF$34,FALSE))</f>
        <v>984549</v>
      </c>
      <c r="U331" s="8829" t="str">
        <f>IF(T331="","","$ /ton "&amp;"NOx(R)")</f>
        <v>$ /ton NOx(R)</v>
      </c>
      <c r="V331" s="8829"/>
      <c r="W331" s="7730"/>
      <c r="X331" s="8819"/>
      <c r="Y331" s="7590">
        <f>+IF(VLOOKUP(MATCH(E326,c_id,0),ca,'13(an)'!$JE$34,FALSE)="","",VLOOKUP(MATCH(E326,c_id,0),ca,'13(an)'!$JE$34,FALSE))</f>
        <v>276602.69538864063</v>
      </c>
      <c r="Z331" s="8829" t="str">
        <f>IF(Y331="","","$ /ton "&amp;"NOx(R)")</f>
        <v>$ /ton NOx(R)</v>
      </c>
      <c r="AA331" s="8829"/>
      <c r="AB331" s="7731"/>
      <c r="AC331" s="8819"/>
      <c r="AD331" s="7590">
        <f>+IF(VLOOKUP(MATCH(E326,c_id,0),ca,'13(an)'!$LB$34,FALSE)="","",VLOOKUP(MATCH(E326,c_id,0),ca,'13(an)'!$LB$34,FALSE))</f>
        <v>440010.57318592793</v>
      </c>
      <c r="AE331" s="8829" t="str">
        <f>IF(AD331="","","$ /ton "&amp;"NOx(R)")</f>
        <v>$ /ton NOx(R)</v>
      </c>
      <c r="AF331" s="8829"/>
      <c r="AG331" s="7732"/>
      <c r="AH331" s="5962"/>
      <c r="AI331" s="5959"/>
      <c r="AJ331" s="5959"/>
      <c r="AK331" s="5959"/>
      <c r="AL331" s="5959"/>
      <c r="AM331" s="5959"/>
    </row>
    <row r="332" spans="1:39" ht="14.1" customHeight="1">
      <c r="A332" s="5952"/>
      <c r="B332" s="8991"/>
      <c r="C332" s="8884" t="str">
        <f>+IF(B332="","",VLOOKUP(MATCH(B332,tid,0),tao,'12(id)'!$J$20,FALSE))</f>
        <v/>
      </c>
      <c r="D332" s="9009">
        <f t="shared" si="4"/>
        <v>0</v>
      </c>
      <c r="E332" s="9045" t="str">
        <f>+IF(B320="","",B320&amp;IF(ISERR(VALUE(1+R326)),"-01",IF(1+R326&lt;10,"-0"&amp;1+R326,"-"&amp;1+R326)))</f>
        <v>8306-05-03</v>
      </c>
      <c r="F332" s="5952"/>
      <c r="G332" s="5959"/>
      <c r="H332" s="5952"/>
      <c r="I332" s="9052"/>
      <c r="J332" s="9174"/>
      <c r="K332" s="9014"/>
      <c r="L332" s="9014"/>
      <c r="M332" s="9039"/>
      <c r="N332" s="9043"/>
      <c r="O332" s="9005"/>
      <c r="P332" s="9165" t="e">
        <f>+IF(VLOOKUP(MATCH(B332,tid,0),tao,'12(id)'!$FR$20,FALSE)="","",VLOOKUP(MATCH(B332,tid,0),tao,'12(id)'!$FR$20,FALSE))</f>
        <v>#N/A</v>
      </c>
      <c r="Q332" s="9005"/>
      <c r="R332" s="8982">
        <f>+IF(B320="","",1+R326)</f>
        <v>3</v>
      </c>
      <c r="S332" s="8859"/>
      <c r="T332" s="8872" t="str">
        <f>+IF(VLOOKUP(MATCH(E332,c_id,0),ca,'13(an)'!$BD$34,FALSE)="","",VLOOKUP(MATCH(E332,c_id,0),ca,'13(an)'!$BD$34,FALSE))</f>
        <v>Selective Catalytic Reduction (SCR)</v>
      </c>
      <c r="U332" s="8872"/>
      <c r="V332" s="8872"/>
      <c r="W332" s="7556"/>
      <c r="X332" s="8859"/>
      <c r="Y332" s="8872" t="str">
        <f>+T332</f>
        <v>Selective Catalytic Reduction (SCR)</v>
      </c>
      <c r="Z332" s="8872"/>
      <c r="AA332" s="8872"/>
      <c r="AB332" s="7557"/>
      <c r="AC332" s="8859"/>
      <c r="AD332" s="8872" t="str">
        <f>+T332</f>
        <v>Selective Catalytic Reduction (SCR)</v>
      </c>
      <c r="AE332" s="8872"/>
      <c r="AF332" s="8872"/>
      <c r="AG332" s="7739"/>
      <c r="AH332" s="5962"/>
      <c r="AI332" s="5959"/>
      <c r="AJ332" s="5959"/>
      <c r="AK332" s="5959"/>
      <c r="AL332" s="5959"/>
      <c r="AM332" s="5959"/>
    </row>
    <row r="333" spans="1:39" ht="13.5" customHeight="1">
      <c r="A333" s="5952"/>
      <c r="B333" s="8991"/>
      <c r="C333" s="8884" t="str">
        <f>+IF(B333="","",VLOOKUP(MATCH(B333,tid,0),tao,'12(id)'!$J$20,FALSE))</f>
        <v/>
      </c>
      <c r="D333" s="9009">
        <f t="shared" si="4"/>
        <v>0</v>
      </c>
      <c r="E333" s="9079"/>
      <c r="F333" s="5952"/>
      <c r="G333" s="5959"/>
      <c r="H333" s="5952"/>
      <c r="I333" s="9052"/>
      <c r="J333" s="9174"/>
      <c r="K333" s="9014"/>
      <c r="L333" s="9014"/>
      <c r="M333" s="9039"/>
      <c r="N333" s="9043"/>
      <c r="O333" s="9005"/>
      <c r="P333" s="9165" t="e">
        <f>+IF(VLOOKUP(MATCH(B333,tid,0),tao,'12(id)'!$FR$20,FALSE)="","",VLOOKUP(MATCH(B333,tid,0),tao,'12(id)'!$FR$20,FALSE))</f>
        <v>#N/A</v>
      </c>
      <c r="Q333" s="9005"/>
      <c r="R333" s="8906"/>
      <c r="S333" s="8818"/>
      <c r="T333" s="8870"/>
      <c r="U333" s="8870"/>
      <c r="V333" s="8870"/>
      <c r="W333" s="7531"/>
      <c r="X333" s="8818"/>
      <c r="Y333" s="8870"/>
      <c r="Z333" s="8870"/>
      <c r="AA333" s="8870"/>
      <c r="AB333" s="7532"/>
      <c r="AC333" s="8818"/>
      <c r="AD333" s="8870"/>
      <c r="AE333" s="8870"/>
      <c r="AF333" s="8870"/>
      <c r="AG333" s="7533"/>
      <c r="AH333" s="5962"/>
      <c r="AI333" s="5959"/>
      <c r="AJ333" s="5959"/>
      <c r="AK333" s="5959"/>
      <c r="AL333" s="5959"/>
      <c r="AM333" s="5959"/>
    </row>
    <row r="334" spans="1:39" ht="15" customHeight="1">
      <c r="A334" s="5952"/>
      <c r="B334" s="8991"/>
      <c r="C334" s="8884" t="str">
        <f>+IF(B334="","",VLOOKUP(MATCH(B334,tid,0),tao,'12(id)'!$J$20,FALSE))</f>
        <v/>
      </c>
      <c r="D334" s="9009">
        <f t="shared" si="4"/>
        <v>0</v>
      </c>
      <c r="E334" s="9079"/>
      <c r="F334" s="5952"/>
      <c r="G334" s="5959"/>
      <c r="H334" s="5952"/>
      <c r="I334" s="9052"/>
      <c r="J334" s="9174"/>
      <c r="K334" s="9014"/>
      <c r="L334" s="9014"/>
      <c r="M334" s="9039"/>
      <c r="N334" s="9043"/>
      <c r="O334" s="9005"/>
      <c r="P334" s="9165" t="e">
        <f>+IF(VLOOKUP(MATCH(B334,tid,0),tao,'12(id)'!$FR$20,FALSE)="","",VLOOKUP(MATCH(B334,tid,0),tao,'12(id)'!$FR$20,FALSE))</f>
        <v>#N/A</v>
      </c>
      <c r="Q334" s="9005"/>
      <c r="R334" s="8906"/>
      <c r="S334" s="8818"/>
      <c r="T334" s="7584" t="str">
        <f>+IF(E332="","",IF(VLOOKUP(MATCH(E332,c_id,0),ca,'13(an)'!$CC$34,FALSE)="",IF(VLOOKUP(MATCH(E332,c_id,0),ca,'13(an)'!$CD$34,FALSE)="",IF(VLOOKUP(MATCH(E332,c_id,0),ca,'13(an)'!$CE$34,FALSE)="","η ≈ N/A","η ≈ "&amp;ROUND(VLOOKUP(MATCH(E332,c_id,0),ca,'13(an)'!$CE$34,FALSE)*100,0)&amp;"%"),"η ≈ "&amp;ROUND(VLOOKUP(MATCH(E332,c_id,0),ca,'13(an)'!$CD$34,FALSE)*100,0)&amp;"%"),"η ≈ "&amp;ROUND(VLOOKUP(MATCH(E332,c_id,0),ca,'13(an)'!$CC$34,FALSE)*100,0)&amp;"%"))</f>
        <v>η ≈ 63%</v>
      </c>
      <c r="U334" s="7585" t="str">
        <f>+IF($U$338="ppmvd",IF(VLOOKUP(MATCH(E332,c_id,0),ca,'13(an)'!$BV$34,FALSE)="","",ROUND(VLOOKUP(MATCH(E332,c_id,0),ca,'13(an)'!$BV$34,FALSE),1)&amp;" ppmvd"),IF(VLOOKUP(MATCH(E332,c_id,0),ca,'13(an)'!$BU$34,FALSE)="","",IF(LEN(ROUND(VLOOKUP(MATCH(E332,c_id,0),ca,'13(an)'!$BU$34,FALSE),3))=3,ROUND(VLOOKUP(MATCH(E332,c_id,0),ca,'13(an)'!$BU$34,FALSE),3)&amp;"00 lb/MMBtu",IF(LEN(ROUND(VLOOKUP(MATCH(E332,c_id,0),ca,'13(an)'!$BU$34,FALSE),3))=4,ROUND(VLOOKUP(MATCH(E332,c_id,0),ca,'13(an)'!$BU$34,FALSE),3)&amp;"0 lb/MMBtu",ROUND(VLOOKUP(MATCH(E332,c_id,0),ca,'13(an)'!$BU$34,FALSE),3)&amp;" lb/MMBtu"))))</f>
        <v>0.100 lb/MMBtu</v>
      </c>
      <c r="V334" s="7586">
        <f>+IF(E332="","",IF(VLOOKUP(MATCH(E332,c_id,0),ca,'13(an)'!$CB$34,FALSE)="","NOx(R) = N/A",ROUND(VLOOKUP(MATCH(E332,c_id,0),ca,'13(an)'!$CB$34,FALSE),1)))</f>
        <v>38.1</v>
      </c>
      <c r="W334" s="7534"/>
      <c r="X334" s="8818"/>
      <c r="Y334" s="7584" t="str">
        <f>+IF(E332="","",IF(VLOOKUP(MATCH(E332,c_id,0),ca,'13(an)'!$CM$34,FALSE)="",IF(VLOOKUP(MATCH(E332,c_id,0),ca,'13(an)'!$CN$34,FALSE)="",IF(VLOOKUP(MATCH(E332,c_id,0),ca,'13(an)'!$CO$34,FALSE)="","η ≈ N/A","η ≈ "&amp;ROUND(VLOOKUP(MATCH(E332,c_id,0),ca,'13(an)'!$CO$34,FALSE)*100,0)&amp;"%"),"η ≈ "&amp;ROUND(VLOOKUP(MATCH(E332,c_id,0),ca,'13(an)'!$CN$34,FALSE)*100,0)&amp;"%"),"η ≈ "&amp;ROUND(VLOOKUP(MATCH(E332,c_id,0),ca,'13(an)'!$CM$34,FALSE)*100,0)&amp;"%"))</f>
        <v>η ≈ 90%</v>
      </c>
      <c r="Z334" s="7585" t="str">
        <f>+IF($Z$338="ppmvd",IF(VLOOKUP(MATCH(E332,c_id,0),ca,'13(an)'!$CJ$34,FALSE)="","",ROUND(VLOOKUP(MATCH(E332,c_id,0),ca,'13(an)'!$CJ$34,FALSE),1)&amp;" ppmvd"),IF(VLOOKUP(MATCH(E332,c_id,0),ca,'13(an)'!$CI$34,FALSE)="","",IF(LEN(ROUND(VLOOKUP(MATCH(E332,c_id,0),ca,'13(an)'!$CI$34,FALSE),3))=3,ROUND(VLOOKUP(MATCH(E332,c_id,0),ca,'13(an)'!$CI$34,FALSE),3)&amp;"00 lb/MMBtu",IF(LEN(ROUND(VLOOKUP(MATCH(E332,c_id,0),ca,'13(an)'!$CI$34,FALSE),3))=4,ROUND(VLOOKUP(MATCH(E332,c_id,0),ca,'13(an)'!$CI$34,FALSE),3)&amp;"0 lb/MMBtu",ROUND(VLOOKUP(MATCH(E332,c_id,0),ca,'13(an)'!$CI$34,FALSE),3)&amp;" lb/MMBtu"))))</f>
        <v>0.015 lb/MMBtu</v>
      </c>
      <c r="AA334" s="7586">
        <f>+IF(E332="","",IF(VLOOKUP(MATCH(E332,c_id,0),ca,'13(an)'!$CL$34,FALSE)="","NOx(R) = N/A",ROUND(VLOOKUP(MATCH(E332,c_id,0),ca,'13(an)'!$CL$34,FALSE),1)))</f>
        <v>39.9</v>
      </c>
      <c r="AB334" s="7535"/>
      <c r="AC334" s="8818"/>
      <c r="AD334" s="7584" t="str">
        <f>+IF(E332="","",IF(VLOOKUP(MATCH(E332,c_id,0),ca,'13(an)'!$CM$34,FALSE)="",IF(VLOOKUP(MATCH(E332,c_id,0),ca,'13(an)'!$CN$34,FALSE)="",IF(VLOOKUP(MATCH(E332,c_id,0),ca,'13(an)'!$CO$34,FALSE)="","η ≈ N/A","η ≈ "&amp;ROUND(VLOOKUP(MATCH(E332,c_id,0),ca,'13(an)'!$CO$34,FALSE)*100,0)&amp;"%"),"η ≈ "&amp;ROUND(VLOOKUP(MATCH(E332,c_id,0),ca,'13(an)'!$CN$34,FALSE)*100,0)&amp;"%"),"η ≈ "&amp;ROUND(VLOOKUP(MATCH(E332,c_id,0),ca,'13(an)'!$CM$34,FALSE)*100,0)&amp;"%"))</f>
        <v>η ≈ 90%</v>
      </c>
      <c r="AE334" s="7585" t="str">
        <f>+IF($AE$338="ppmvd",IF(VLOOKUP(MATCH(E332,c_id,0),ca,'13(an)'!$CJ$34,FALSE)="","",ROUND(VLOOKUP(MATCH(E332,c_id,0),ca,'13(an)'!$CJ$34,FALSE),1)&amp;" ppmvd"),IF(VLOOKUP(MATCH(E332,c_id,0),ca,'13(an)'!$CI$34,FALSE)="","",IF(LEN(ROUND(VLOOKUP(MATCH(E332,c_id,0),ca,'13(an)'!$CI$34,FALSE),3))=3,ROUND(VLOOKUP(MATCH(E332,c_id,0),ca,'13(an)'!$CI$34,FALSE),3)&amp;"00 lb/MMBtu",IF(LEN(ROUND(VLOOKUP(MATCH(E332,c_id,0),ca,'13(an)'!$CI$34,FALSE),3))=4,ROUND(VLOOKUP(MATCH(E332,c_id,0),ca,'13(an)'!$CI$34,FALSE),3)&amp;"0 lb/MMBtu",ROUND(VLOOKUP(MATCH(E332,c_id,0),ca,'13(an)'!$CI$34,FALSE),3)&amp;" lb/MMBtu"))))</f>
        <v>0.015 lb/MMBtu</v>
      </c>
      <c r="AF334" s="7586">
        <f>+IF(E332="","",IF(VLOOKUP(MATCH(E332,c_id,0),ca,'13(an)'!$CL$34,FALSE)="","NOx(R) = N/A",ROUND(VLOOKUP(MATCH(E332,c_id,0),ca,'13(an)'!$CL$34,FALSE),1)))</f>
        <v>39.9</v>
      </c>
      <c r="AG334" s="7536"/>
      <c r="AH334" s="5962"/>
      <c r="AI334" s="5959"/>
      <c r="AJ334" s="5959"/>
      <c r="AK334" s="5959"/>
      <c r="AL334" s="5959"/>
      <c r="AM334" s="5959"/>
    </row>
    <row r="335" spans="1:39" ht="15" customHeight="1">
      <c r="A335" s="5952"/>
      <c r="B335" s="8991"/>
      <c r="C335" s="8884" t="str">
        <f>+IF(B335="","",VLOOKUP(MATCH(B335,tid,0),tao,'12(id)'!$J$20,FALSE))</f>
        <v/>
      </c>
      <c r="D335" s="9009">
        <f t="shared" si="4"/>
        <v>0</v>
      </c>
      <c r="E335" s="9079"/>
      <c r="F335" s="5952"/>
      <c r="G335" s="5959"/>
      <c r="H335" s="5952"/>
      <c r="I335" s="9052"/>
      <c r="J335" s="9174"/>
      <c r="K335" s="9014"/>
      <c r="L335" s="9014"/>
      <c r="M335" s="9039"/>
      <c r="N335" s="9043"/>
      <c r="O335" s="9005"/>
      <c r="P335" s="9165" t="e">
        <f>+IF(VLOOKUP(MATCH(B335,tid,0),tao,'12(id)'!$FR$20,FALSE)="","",VLOOKUP(MATCH(B335,tid,0),tao,'12(id)'!$FR$20,FALSE))</f>
        <v>#N/A</v>
      </c>
      <c r="Q335" s="9005"/>
      <c r="R335" s="8906"/>
      <c r="S335" s="8818"/>
      <c r="T335" s="7470">
        <f>+IF(VLOOKUP(MATCH(E332,c_id,0),ca,'13(an)'!$GF$34,FALSE)="","",VLOOKUP(MATCH(E332,c_id,0),ca,'13(an)'!$GF$34,FALSE))</f>
        <v>106812093</v>
      </c>
      <c r="U335" s="7570" t="str">
        <f>+IF(T335="","","$ TCC/unit")</f>
        <v>$ TCC/unit</v>
      </c>
      <c r="V335" s="7541">
        <f>+IF(VLOOKUP(MATCH(E332,c_id,0),ca,'13(an)'!$HA$34,FALSE)="","",VLOOKUP(MATCH(E332,c_id,0),ca,'13(an)'!$HA$34,FALSE))</f>
        <v>27460583</v>
      </c>
      <c r="W335" s="7540"/>
      <c r="X335" s="8818"/>
      <c r="Y335" s="7470">
        <f>+IF(VLOOKUP(MATCH(E332,c_id,0),ca,'13(an)'!$IA$34,FALSE)="","",VLOOKUP(MATCH(E332,c_id,0),ca,'13(an)'!$IA$34,FALSE))</f>
        <v>106812093</v>
      </c>
      <c r="Z335" s="7570" t="str">
        <f>+IF(Y335="","","$ TCC/unit")</f>
        <v>$ TCC/unit</v>
      </c>
      <c r="AA335" s="7541">
        <f>+IF(Y335="","",$AA$19*Y335)</f>
        <v>8011883.1172179813</v>
      </c>
      <c r="AB335" s="7541"/>
      <c r="AC335" s="8818"/>
      <c r="AD335" s="7470">
        <f>+IF(VLOOKUP(MATCH(E332,c_id,0),ca,'13(an)'!$JS$34,FALSE)="","",VLOOKUP(MATCH(E332,c_id,0),ca,'13(an)'!$JS$34,FALSE))</f>
        <v>106812093</v>
      </c>
      <c r="AE335" s="7570" t="str">
        <f>+IF(AD335="","","$ TCC/unit")</f>
        <v>$ TCC/unit</v>
      </c>
      <c r="AF335" s="7541">
        <f>+IF(AD335="","",$AF$19*AD335)</f>
        <v>8011883.1172179813</v>
      </c>
      <c r="AG335" s="7542"/>
      <c r="AH335" s="5962"/>
      <c r="AI335" s="5959"/>
      <c r="AJ335" s="5959"/>
      <c r="AK335" s="5959"/>
      <c r="AL335" s="5959"/>
      <c r="AM335" s="5959"/>
    </row>
    <row r="336" spans="1:39" ht="15" customHeight="1">
      <c r="A336" s="5952"/>
      <c r="B336" s="8991"/>
      <c r="C336" s="8884" t="str">
        <f>+IF(B336="","",VLOOKUP(MATCH(B336,tid,0),tao,'12(id)'!$J$20,FALSE))</f>
        <v/>
      </c>
      <c r="D336" s="9009">
        <f t="shared" si="4"/>
        <v>0</v>
      </c>
      <c r="E336" s="9079"/>
      <c r="F336" s="5952"/>
      <c r="G336" s="5959"/>
      <c r="H336" s="5952"/>
      <c r="I336" s="9052"/>
      <c r="J336" s="9174"/>
      <c r="K336" s="9014"/>
      <c r="L336" s="9014"/>
      <c r="M336" s="9039"/>
      <c r="N336" s="9043"/>
      <c r="O336" s="9005"/>
      <c r="P336" s="9165" t="e">
        <f>+IF(VLOOKUP(MATCH(B336,tid,0),tao,'12(id)'!$FR$20,FALSE)="","",VLOOKUP(MATCH(B336,tid,0),tao,'12(id)'!$FR$20,FALSE))</f>
        <v>#N/A</v>
      </c>
      <c r="Q336" s="9005"/>
      <c r="R336" s="8906"/>
      <c r="S336" s="8818"/>
      <c r="T336" s="7543">
        <f>+IF(OR(T335="",N320=""),"",T335/N320)</f>
        <v>265701.72388059704</v>
      </c>
      <c r="U336" s="8820" t="str">
        <f>+IF(T336="","","$ TCC / MW nominal capacity")</f>
        <v>$ TCC / MW nominal capacity</v>
      </c>
      <c r="V336" s="8820"/>
      <c r="W336" s="7544"/>
      <c r="X336" s="8818"/>
      <c r="Y336" s="7543">
        <f>+IF(OR(Y335="",N320=""),"",Y335/N320)</f>
        <v>265701.72388059704</v>
      </c>
      <c r="Z336" s="8820" t="str">
        <f>+IF(Y336="","","$ TCC / MW nominal capacity")</f>
        <v>$ TCC / MW nominal capacity</v>
      </c>
      <c r="AA336" s="8820"/>
      <c r="AB336" s="7545"/>
      <c r="AC336" s="8818"/>
      <c r="AD336" s="7543">
        <f>+IF(OR(AD335="",N320=""),"",AD335/N320)</f>
        <v>265701.72388059704</v>
      </c>
      <c r="AE336" s="8820" t="str">
        <f>+IF(AD336="","","$ TCC / MW nominal capacity")</f>
        <v>$ TCC / MW nominal capacity</v>
      </c>
      <c r="AF336" s="8820"/>
      <c r="AG336" s="7546"/>
      <c r="AH336" s="5962"/>
      <c r="AI336" s="5959"/>
      <c r="AJ336" s="5959"/>
      <c r="AK336" s="5959"/>
      <c r="AL336" s="5959"/>
      <c r="AM336" s="5959"/>
    </row>
    <row r="337" spans="1:39" ht="15" customHeight="1" thickBot="1">
      <c r="A337" s="5952"/>
      <c r="B337" s="9086"/>
      <c r="C337" s="8885" t="str">
        <f>+IF(B337="","",VLOOKUP(MATCH(B337,tid,0),tao,'12(id)'!$J$20,FALSE))</f>
        <v/>
      </c>
      <c r="D337" s="9115">
        <f t="shared" si="4"/>
        <v>0</v>
      </c>
      <c r="E337" s="9122"/>
      <c r="F337" s="5952"/>
      <c r="G337" s="5959"/>
      <c r="H337" s="5952"/>
      <c r="I337" s="9176"/>
      <c r="J337" s="9175"/>
      <c r="K337" s="9087"/>
      <c r="L337" s="9087"/>
      <c r="M337" s="9179"/>
      <c r="N337" s="9178"/>
      <c r="O337" s="9132"/>
      <c r="P337" s="9170" t="e">
        <f>+IF(VLOOKUP(MATCH(B337,tid,0),tao,'12(id)'!$FR$20,FALSE)="","",VLOOKUP(MATCH(B337,tid,0),tao,'12(id)'!$FR$20,FALSE))</f>
        <v>#N/A</v>
      </c>
      <c r="Q337" s="9132"/>
      <c r="R337" s="8907"/>
      <c r="S337" s="8860"/>
      <c r="T337" s="7631">
        <f>+IF(VLOOKUP(MATCH(E332,c_id,0),ca,'13(an)'!$HF$34,FALSE)="","",VLOOKUP(MATCH(E332,c_id,0),ca,'13(an)'!$HF$34,FALSE))</f>
        <v>722811</v>
      </c>
      <c r="U337" s="8828" t="str">
        <f>IF(T337="","","$ /ton "&amp;"NOx(R)")</f>
        <v>$ /ton NOx(R)</v>
      </c>
      <c r="V337" s="8828"/>
      <c r="W337" s="7716"/>
      <c r="X337" s="8860"/>
      <c r="Y337" s="7631">
        <f>+IF(VLOOKUP(MATCH(E332,c_id,0),ca,'13(an)'!$JE$34,FALSE)="","",VLOOKUP(MATCH(E332,c_id,0),ca,'13(an)'!$JE$34,FALSE))</f>
        <v>202610.51209475752</v>
      </c>
      <c r="Z337" s="8828" t="str">
        <f>IF(Y337="","","$ /ton "&amp;"NOx(R)")</f>
        <v>$ /ton NOx(R)</v>
      </c>
      <c r="AA337" s="8828"/>
      <c r="AB337" s="7717"/>
      <c r="AC337" s="8860"/>
      <c r="AD337" s="7631">
        <f>+IF(VLOOKUP(MATCH(E332,c_id,0),ca,'13(an)'!$LB$34,FALSE)="","",VLOOKUP(MATCH(E332,c_id,0),ca,'13(an)'!$LB$34,FALSE))</f>
        <v>250923.98833658957</v>
      </c>
      <c r="AE337" s="8828" t="str">
        <f>IF(AD337="","","$ /ton "&amp;"NOx(R)")</f>
        <v>$ /ton NOx(R)</v>
      </c>
      <c r="AF337" s="8828"/>
      <c r="AG337" s="7718"/>
      <c r="AH337" s="5962"/>
      <c r="AI337" s="5959"/>
      <c r="AJ337" s="5959"/>
      <c r="AK337" s="5959"/>
      <c r="AL337" s="5959"/>
      <c r="AM337" s="5959"/>
    </row>
    <row r="338" spans="1:39" ht="15" customHeight="1">
      <c r="A338" s="5952"/>
      <c r="B338" s="7516"/>
      <c r="C338" s="7430"/>
      <c r="D338" s="7625"/>
      <c r="E338" s="7430"/>
      <c r="F338" s="5952"/>
      <c r="G338" s="5959"/>
      <c r="H338" s="5952"/>
      <c r="I338" s="7519"/>
      <c r="J338" s="7431"/>
      <c r="K338" s="7519"/>
      <c r="L338" s="7519"/>
      <c r="M338" s="7625"/>
      <c r="N338" s="7648"/>
      <c r="O338" s="7574"/>
      <c r="P338" s="7516"/>
      <c r="Q338" s="7574"/>
      <c r="R338" s="7627"/>
      <c r="S338" s="7519"/>
      <c r="T338" s="7566" t="s">
        <v>1896</v>
      </c>
      <c r="U338" s="7766" t="s">
        <v>486</v>
      </c>
      <c r="V338" s="7470"/>
      <c r="W338" s="7567"/>
      <c r="X338" s="7519"/>
      <c r="Y338" s="7566" t="s">
        <v>1896</v>
      </c>
      <c r="Z338" s="7766" t="s">
        <v>486</v>
      </c>
      <c r="AA338" s="7470"/>
      <c r="AB338" s="7470"/>
      <c r="AC338" s="7519"/>
      <c r="AD338" s="7566" t="s">
        <v>1896</v>
      </c>
      <c r="AE338" s="7769" t="s">
        <v>486</v>
      </c>
      <c r="AF338" s="7636"/>
      <c r="AG338" s="7470"/>
      <c r="AH338" s="5962"/>
      <c r="AI338" s="5959"/>
      <c r="AJ338" s="5959"/>
      <c r="AK338" s="5959"/>
      <c r="AL338" s="5959"/>
      <c r="AM338" s="5959"/>
    </row>
    <row r="339" spans="1:39" ht="12.75" customHeight="1">
      <c r="A339" s="5952"/>
      <c r="B339" s="7516"/>
      <c r="C339" s="7430"/>
      <c r="D339" s="7625"/>
      <c r="E339" s="7430"/>
      <c r="F339" s="5952"/>
      <c r="G339" s="5959"/>
      <c r="H339" s="5952"/>
      <c r="I339" s="7519"/>
      <c r="J339" s="7431"/>
      <c r="K339" s="7519"/>
      <c r="L339" s="7519"/>
      <c r="M339" s="7625"/>
      <c r="N339" s="7648"/>
      <c r="O339" s="7574"/>
      <c r="P339" s="7516"/>
      <c r="Q339" s="7574"/>
      <c r="R339" s="7627"/>
      <c r="S339" s="7519"/>
      <c r="T339" s="7543"/>
      <c r="U339" s="7570"/>
      <c r="V339" s="7470"/>
      <c r="W339" s="7567"/>
      <c r="X339" s="7519"/>
      <c r="Y339" s="7543"/>
      <c r="Z339" s="7570"/>
      <c r="AA339" s="7470"/>
      <c r="AB339" s="7470"/>
      <c r="AC339" s="7519"/>
      <c r="AD339" s="7543"/>
      <c r="AE339" s="7570"/>
      <c r="AF339" s="7470"/>
      <c r="AG339" s="7470"/>
      <c r="AH339" s="5962"/>
      <c r="AI339" s="5959"/>
      <c r="AJ339" s="5959"/>
      <c r="AK339" s="5959"/>
      <c r="AL339" s="5959"/>
      <c r="AM339" s="5959"/>
    </row>
    <row r="340" spans="1:39" ht="12.75" customHeight="1">
      <c r="A340" s="5952"/>
      <c r="B340" s="7516"/>
      <c r="C340" s="7430"/>
      <c r="D340" s="7625"/>
      <c r="E340" s="7430"/>
      <c r="F340" s="5952"/>
      <c r="G340" s="5959"/>
      <c r="H340" s="5952"/>
      <c r="I340" s="7519"/>
      <c r="J340" s="7431"/>
      <c r="K340" s="7519"/>
      <c r="L340" s="7519"/>
      <c r="M340" s="7625"/>
      <c r="N340" s="7648"/>
      <c r="O340" s="7574"/>
      <c r="P340" s="7516"/>
      <c r="Q340" s="7574"/>
      <c r="R340" s="7627"/>
      <c r="S340" s="7519"/>
      <c r="T340" s="7543"/>
      <c r="U340" s="7570"/>
      <c r="V340" s="7470"/>
      <c r="W340" s="7567"/>
      <c r="X340" s="7519"/>
      <c r="Y340" s="7543"/>
      <c r="Z340" s="7570"/>
      <c r="AA340" s="3561"/>
      <c r="AB340" s="3561"/>
      <c r="AC340" s="7473" t="s">
        <v>912</v>
      </c>
      <c r="AD340" s="8830" t="s">
        <v>2530</v>
      </c>
      <c r="AE340" s="8830"/>
      <c r="AF340" s="8830"/>
      <c r="AG340" s="8830"/>
      <c r="AH340" s="5962"/>
      <c r="AI340" s="5959"/>
      <c r="AJ340" s="5959"/>
      <c r="AK340" s="5959"/>
      <c r="AL340" s="5959"/>
      <c r="AM340" s="5959"/>
    </row>
    <row r="341" spans="1:39">
      <c r="A341" s="5952"/>
      <c r="B341" s="7450"/>
      <c r="C341" s="7430"/>
      <c r="D341" s="7449"/>
      <c r="E341" s="7450"/>
      <c r="F341" s="5952"/>
      <c r="G341" s="5959"/>
      <c r="H341" s="5952"/>
      <c r="I341" s="5952"/>
      <c r="J341" s="5952"/>
      <c r="K341" s="5952"/>
      <c r="L341" s="5952"/>
      <c r="M341" s="7449"/>
      <c r="N341" s="7720"/>
      <c r="O341" s="5952"/>
      <c r="P341" s="7450"/>
      <c r="Q341" s="7733"/>
      <c r="R341" s="7740"/>
      <c r="S341" s="5962"/>
      <c r="T341" s="5962"/>
      <c r="U341" s="5962"/>
      <c r="V341" s="7431"/>
      <c r="W341" s="7468"/>
      <c r="X341" s="5962"/>
      <c r="Y341" s="5962"/>
      <c r="Z341" s="5962"/>
      <c r="AA341" s="7431"/>
      <c r="AB341" s="7467"/>
      <c r="AC341" s="5952"/>
      <c r="AD341" s="8830"/>
      <c r="AE341" s="8830"/>
      <c r="AF341" s="8830"/>
      <c r="AG341" s="8830"/>
      <c r="AH341" s="5962"/>
      <c r="AI341" s="5959"/>
      <c r="AJ341" s="5959"/>
      <c r="AK341" s="5959"/>
      <c r="AL341" s="5959"/>
      <c r="AM341" s="5959"/>
    </row>
    <row r="342" spans="1:39">
      <c r="A342" s="5952"/>
      <c r="B342" s="7450"/>
      <c r="C342" s="7430"/>
      <c r="D342" s="7449"/>
      <c r="E342" s="7450"/>
      <c r="F342" s="5952"/>
      <c r="G342" s="5959"/>
      <c r="H342" s="5952"/>
      <c r="I342" s="5952"/>
      <c r="J342" s="5952"/>
      <c r="K342" s="5952"/>
      <c r="L342" s="5952"/>
      <c r="M342" s="7449"/>
      <c r="N342" s="7720"/>
      <c r="O342" s="5952"/>
      <c r="P342" s="7450"/>
      <c r="Q342" s="7733"/>
      <c r="R342" s="7740"/>
      <c r="S342" s="5962"/>
      <c r="T342" s="5962"/>
      <c r="U342" s="5962"/>
      <c r="V342" s="7431"/>
      <c r="W342" s="7468"/>
      <c r="X342" s="5962"/>
      <c r="Y342" s="5962"/>
      <c r="Z342" s="5962"/>
      <c r="AA342" s="7431"/>
      <c r="AB342" s="7467"/>
      <c r="AC342" s="5952"/>
      <c r="AD342" s="5952"/>
      <c r="AE342" s="5952"/>
      <c r="AF342" s="7467"/>
      <c r="AG342" s="7431"/>
      <c r="AH342" s="5962"/>
      <c r="AI342" s="5959"/>
      <c r="AJ342" s="5959"/>
      <c r="AK342" s="5959"/>
      <c r="AL342" s="5959"/>
      <c r="AM342" s="5959"/>
    </row>
    <row r="343" spans="1:39">
      <c r="A343" s="5952"/>
      <c r="B343" s="7450"/>
      <c r="C343" s="7430"/>
      <c r="D343" s="7449"/>
      <c r="E343" s="7450"/>
      <c r="F343" s="5952"/>
      <c r="G343" s="5959"/>
      <c r="H343" s="5952"/>
      <c r="I343" s="5952"/>
      <c r="J343" s="5952"/>
      <c r="K343" s="5952"/>
      <c r="L343" s="5952"/>
      <c r="M343" s="7449"/>
      <c r="N343" s="7720"/>
      <c r="O343" s="5952"/>
      <c r="P343" s="7450"/>
      <c r="Q343" s="7733"/>
      <c r="R343" s="7740"/>
      <c r="S343" s="5962"/>
      <c r="T343" s="5962"/>
      <c r="U343" s="5962"/>
      <c r="V343" s="7431"/>
      <c r="W343" s="7468"/>
      <c r="X343" s="5962"/>
      <c r="Y343" s="5962"/>
      <c r="Z343" s="5962"/>
      <c r="AA343" s="7431"/>
      <c r="AB343" s="7467"/>
      <c r="AC343" s="5952"/>
      <c r="AD343" s="5952"/>
      <c r="AE343" s="5952"/>
      <c r="AF343" s="7467"/>
      <c r="AG343" s="7431"/>
      <c r="AH343" s="5962"/>
      <c r="AI343" s="5959"/>
      <c r="AJ343" s="5959"/>
      <c r="AK343" s="5959"/>
      <c r="AL343" s="5959"/>
      <c r="AM343" s="5959"/>
    </row>
    <row r="344" spans="1:39" ht="20.100000000000001" customHeight="1">
      <c r="A344" s="5952"/>
      <c r="B344" s="7450"/>
      <c r="C344" s="7430"/>
      <c r="D344" s="7449"/>
      <c r="E344" s="7450"/>
      <c r="F344" s="5952"/>
      <c r="G344" s="5959"/>
      <c r="H344" s="5952"/>
      <c r="I344" s="5952"/>
      <c r="J344" s="5952"/>
      <c r="K344" s="5952"/>
      <c r="L344" s="5952"/>
      <c r="M344" s="7449"/>
      <c r="N344" s="7720"/>
      <c r="O344" s="5952"/>
      <c r="P344" s="7450"/>
      <c r="Q344" s="7733"/>
      <c r="R344" s="7740"/>
      <c r="S344" s="5962"/>
      <c r="T344" s="5962"/>
      <c r="U344" s="5962"/>
      <c r="V344" s="7431"/>
      <c r="W344" s="7468"/>
      <c r="X344" s="5962"/>
      <c r="Y344" s="5962"/>
      <c r="Z344" s="5962"/>
      <c r="AA344" s="7431"/>
      <c r="AB344" s="7467"/>
      <c r="AC344" s="5952"/>
      <c r="AD344" s="5952"/>
      <c r="AE344" s="5952"/>
      <c r="AF344" s="7467"/>
      <c r="AG344" s="7431"/>
      <c r="AH344" s="5962"/>
      <c r="AI344" s="5959"/>
      <c r="AJ344" s="5959"/>
      <c r="AK344" s="5959"/>
      <c r="AL344" s="5959"/>
      <c r="AM344" s="5959"/>
    </row>
    <row r="345" spans="1:39" ht="20.100000000000001" customHeight="1">
      <c r="A345" s="5952"/>
      <c r="B345" s="7450"/>
      <c r="C345" s="7430"/>
      <c r="D345" s="7449"/>
      <c r="E345" s="7450"/>
      <c r="F345" s="5952"/>
      <c r="G345" s="5959"/>
      <c r="H345" s="5952"/>
      <c r="I345" s="5952"/>
      <c r="J345" s="7526"/>
      <c r="K345" s="7526" t="s">
        <v>1159</v>
      </c>
      <c r="L345" s="5952"/>
      <c r="M345" s="7449"/>
      <c r="N345" s="7720"/>
      <c r="O345" s="5952"/>
      <c r="P345" s="7450"/>
      <c r="Q345" s="7733"/>
      <c r="R345" s="7740"/>
      <c r="S345" s="5962"/>
      <c r="T345" s="5962"/>
      <c r="U345" s="5962"/>
      <c r="V345" s="7431"/>
      <c r="W345" s="7468"/>
      <c r="X345" s="5962"/>
      <c r="Y345" s="5962"/>
      <c r="Z345" s="5962"/>
      <c r="AA345" s="7431"/>
      <c r="AB345" s="7467"/>
      <c r="AC345" s="5952"/>
      <c r="AD345" s="5952"/>
      <c r="AE345" s="5952"/>
      <c r="AF345" s="7467"/>
      <c r="AG345" s="7431"/>
      <c r="AH345" s="5962"/>
      <c r="AI345" s="5959"/>
      <c r="AJ345" s="5959"/>
      <c r="AK345" s="5959"/>
      <c r="AL345" s="5959"/>
      <c r="AM345" s="5959"/>
    </row>
    <row r="346" spans="1:39" ht="20.100000000000001" customHeight="1" thickBot="1">
      <c r="A346" s="5952"/>
      <c r="B346" s="7450"/>
      <c r="C346" s="7430"/>
      <c r="D346" s="7449"/>
      <c r="E346" s="7450"/>
      <c r="F346" s="5952"/>
      <c r="G346" s="5959"/>
      <c r="H346" s="5952"/>
      <c r="I346" s="7741"/>
      <c r="J346" s="7741"/>
      <c r="K346" s="7526" t="str">
        <f>+IF(B347="","",IF(VLOOKUP(MATCH(B347,tid,0),tao,'12(id)'!$I$20,FALSE)="","",VLOOKUP(MATCH(B347,tid,0),tao,'12(id)'!$I$20,FALSE)))</f>
        <v>NRG Energy, Inc</v>
      </c>
      <c r="L346" s="5952"/>
      <c r="M346" s="5952"/>
      <c r="N346" s="5952"/>
      <c r="O346" s="5952"/>
      <c r="P346" s="7450"/>
      <c r="Q346" s="7733"/>
      <c r="R346" s="7740"/>
      <c r="S346" s="5962"/>
      <c r="T346" s="5962"/>
      <c r="U346" s="5962"/>
      <c r="V346" s="7431"/>
      <c r="W346" s="7468"/>
      <c r="X346" s="5962"/>
      <c r="Y346" s="5962"/>
      <c r="Z346" s="5962"/>
      <c r="AA346" s="7431"/>
      <c r="AB346" s="7467"/>
      <c r="AC346" s="5952"/>
      <c r="AD346" s="5952"/>
      <c r="AE346" s="5952"/>
      <c r="AF346" s="7467"/>
      <c r="AG346" s="7431"/>
      <c r="AH346" s="5962"/>
      <c r="AI346" s="5959"/>
      <c r="AJ346" s="5959"/>
      <c r="AK346" s="5959"/>
      <c r="AL346" s="5959"/>
      <c r="AM346" s="5959"/>
    </row>
    <row r="347" spans="1:39" ht="18" customHeight="1">
      <c r="A347" s="5952"/>
      <c r="B347" s="9034" t="str">
        <f>+IF('12(id)'!A55="","",'12(id)'!A55)</f>
        <v>8306-06</v>
      </c>
      <c r="C347" s="8881" t="str">
        <f>+IF(B347="","",VLOOKUP(MATCH(B347,tid,0),tao,'12(id)'!$J$20,FALSE))</f>
        <v>NRG</v>
      </c>
      <c r="D347" s="8926" t="str">
        <f>+IF(B347="","",M347)</f>
        <v>NH1 </v>
      </c>
      <c r="E347" s="9034" t="str">
        <f>+IF(B347="","",B347&amp;IF(ISERR(VALUE(R347)),"-01",IF(R347&lt;10,"-0"&amp;R347,"-"&amp;R347)))</f>
        <v>8306-06-01</v>
      </c>
      <c r="F347" s="5952"/>
      <c r="G347" s="5959"/>
      <c r="H347" s="5952"/>
      <c r="I347" s="9096">
        <f>1+I320</f>
        <v>6</v>
      </c>
      <c r="J347" s="9098" t="str">
        <f>+IF(VLOOKUP(MATCH(B347,tid,0),tao,'12(id)'!$I$20,FALSE)="","",VLOOKUP(MATCH(B347,tid,0),tao,'12(id)'!$I$20,FALSE))</f>
        <v>NRG Energy, Inc</v>
      </c>
      <c r="K347" s="9063">
        <f>+IF(B347="","",IF(VLOOKUP(MATCH(B347,tid,0),tao,'12(id)'!$K$20,FALSE)="","",VLOOKUP(MATCH(B347,tid,0),tao,'12(id)'!$K$20,FALSE)))</f>
        <v>8306</v>
      </c>
      <c r="L347" s="9101" t="str">
        <f>+IF(B347="","",IF(VLOOKUP(MATCH(B347,tid,0),tao,'12(id)'!$L$20,FALSE)="","",VLOOKUP(MATCH(B347,tid,0),tao,'12(id)'!$L$20,FALSE)))</f>
        <v>Norwalk Harbor Station</v>
      </c>
      <c r="M347" s="9192" t="str">
        <f>+IF(B347="","",IF(VLOOKUP(MATCH(B347,tid,0),tao,'12(id)'!$Q$20,FALSE)="","",VLOOKUP(MATCH(B347,tid,0),tao,'12(id)'!$Q$20,FALSE)))</f>
        <v>NH1 </v>
      </c>
      <c r="N347" s="9084">
        <f>+IF(B347="","",IF(VLOOKUP(MATCH(B347,tid,0),tao,'12(id)'!$CT$20,FALSE)="","",VLOOKUP(MATCH(B347,tid,0),tao,'12(id)'!$CT$20,FALSE)))</f>
        <v>164</v>
      </c>
      <c r="O347" s="8984" t="str">
        <f>+IF(B347="","",IF(VLOOKUP(MATCH(B347,tid,0),tao,'12(id)'!$DE$20,FALSE)="","",ROUND(VLOOKUP(MATCH(B347,tid,0),tao,'12(id)'!$DE$20,FALSE),0)&amp;" yrs"))</f>
        <v/>
      </c>
      <c r="P347" s="9000" t="str">
        <f>+IF(B347="","",IF(VLOOKUP(MATCH(B347,tid,0),tao,'12(id)'!$FR$20,FALSE)="","",VLOOKUP(MATCH(B347,tid,0),tao,'12(id)'!$FR$20,FALSE)))</f>
        <v>None</v>
      </c>
      <c r="Q347" s="8984" t="str">
        <f>+IF(B347="","",IF(VLOOKUP(MATCH(B347,tid,0),tao,'12(id)'!$DI$20,FALSE)="","",VLOOKUP(MATCH(B347,tid,0),tao,'12(id)'!$DI$20,FALSE))&amp;";  "&amp;IF(VLOOKUP(MATCH(B347,tid,0),tao,'12(id)'!$DQ$20,FALSE)="","",VLOOKUP(MATCH(B347,tid,0),tao,'12(id)'!$DQ$20,FALSE)))</f>
        <v>No. 6 oil;  No. 2 oil</v>
      </c>
      <c r="R347" s="9022">
        <f>+IF(B347="","",1)</f>
        <v>1</v>
      </c>
      <c r="S347" s="8817"/>
      <c r="T347" s="8875" t="str">
        <f>+IF(VLOOKUP(MATCH(E347,c_id,0),ca,'13(an)'!$BD$34,FALSE)="","",VLOOKUP(MATCH(E347,c_id,0),ca,'13(an)'!$BD$34,FALSE))</f>
        <v>Separated Overfired Air / High Energy Reagent Technology (SOFA/HERT)</v>
      </c>
      <c r="U347" s="8861"/>
      <c r="V347" s="8861"/>
      <c r="W347" s="7528"/>
      <c r="X347" s="8817"/>
      <c r="Y347" s="8875" t="str">
        <f>+T347</f>
        <v>Separated Overfired Air / High Energy Reagent Technology (SOFA/HERT)</v>
      </c>
      <c r="Z347" s="8861"/>
      <c r="AA347" s="8861"/>
      <c r="AB347" s="7529"/>
      <c r="AC347" s="8817"/>
      <c r="AD347" s="8875" t="str">
        <f>+T347</f>
        <v>Separated Overfired Air / High Energy Reagent Technology (SOFA/HERT)</v>
      </c>
      <c r="AE347" s="8861"/>
      <c r="AF347" s="8861"/>
      <c r="AG347" s="7530"/>
      <c r="AH347" s="5962"/>
      <c r="AI347" s="5959"/>
      <c r="AJ347" s="5959"/>
      <c r="AK347" s="5959"/>
      <c r="AL347" s="5959"/>
      <c r="AM347" s="5959"/>
    </row>
    <row r="348" spans="1:39" ht="18" customHeight="1">
      <c r="A348" s="5952"/>
      <c r="B348" s="9079"/>
      <c r="C348" s="8852" t="str">
        <f>+IF(B348="","",VLOOKUP(MATCH(B348,tid,0),tao,'12(id)'!$J$20,FALSE))</f>
        <v/>
      </c>
      <c r="D348" s="9161"/>
      <c r="E348" s="9035"/>
      <c r="F348" s="5952"/>
      <c r="G348" s="5959"/>
      <c r="H348" s="5952"/>
      <c r="I348" s="9097"/>
      <c r="J348" s="9099" t="e">
        <f>+IF(VLOOKUP(MATCH(B348,tid,0),tao,'12(id)'!$I$20,FALSE)="","",VLOOKUP(MATCH(B348,tid,0),tao,'12(id)'!$I$20,FALSE))</f>
        <v>#N/A</v>
      </c>
      <c r="K348" s="9064" t="e">
        <f>+IF(VLOOKUP(MATCH(B348,tid,0),tao,'12(id)'!$K$20,FALSE)="","",VLOOKUP(MATCH(B348,tid,0),tao,'12(id)'!$K$20,FALSE))</f>
        <v>#N/A</v>
      </c>
      <c r="L348" s="9102" t="e">
        <f>+IF(VLOOKUP(MATCH(B348,tid,0),tao,'12(id)'!$L$20,FALSE)="","",VLOOKUP(MATCH(B348,tid,0),tao,'12(id)'!$L$20,FALSE))</f>
        <v>#N/A</v>
      </c>
      <c r="M348" s="9193" t="e">
        <f>+IF(VLOOKUP(MATCH(B348,tid,0),tao,'12(id)'!$Q$20,FALSE)="","",VLOOKUP(MATCH(B348,tid,0),tao,'12(id)'!$Q$20,FALSE))</f>
        <v>#N/A</v>
      </c>
      <c r="N348" s="9085" t="e">
        <f>+IF(VLOOKUP(MATCH(B348,tid,0),tao,'12(id)'!$CT$20,FALSE)="","",VLOOKUP(MATCH(B348,tid,0),tao,'12(id)'!$CT$20,FALSE))</f>
        <v>#N/A</v>
      </c>
      <c r="O348" s="8985" t="e">
        <f>+IF(VLOOKUP(MATCH(B348,tid,0),tao,'12(id)'!$DE$20,FALSE)="","",ROUND(VLOOKUP(MATCH(B348,tid,0),tao,'12(id)'!$DE$20,FALSE),0)&amp;" yrs")</f>
        <v>#N/A</v>
      </c>
      <c r="P348" s="9001" t="e">
        <f>+IF(VLOOKUP(MATCH(B348,tid,0),tao,'12(id)'!$FR$20,FALSE)="","",VLOOKUP(MATCH(B348,tid,0),tao,'12(id)'!$FR$20,FALSE))</f>
        <v>#N/A</v>
      </c>
      <c r="Q348" s="8985" t="e">
        <f>+IF(VLOOKUP(MATCH(B348,tid,0),tao,'12(id)'!$DI$20,FALSE)="","",VLOOKUP(MATCH(B348,tid,0),tao,'12(id)'!$DI$20,FALSE))&amp;";  "&amp;IF(VLOOKUP(MATCH(B348,tid,0),tao,'12(id)'!$DQ$20,FALSE)="","",VLOOKUP(MATCH(B348,tid,0),tao,'12(id)'!$DQ$20,FALSE))</f>
        <v>#N/A</v>
      </c>
      <c r="R348" s="8906"/>
      <c r="S348" s="8818"/>
      <c r="T348" s="8870"/>
      <c r="U348" s="8870"/>
      <c r="V348" s="8870"/>
      <c r="W348" s="7531"/>
      <c r="X348" s="8818"/>
      <c r="Y348" s="8870"/>
      <c r="Z348" s="8870"/>
      <c r="AA348" s="8870"/>
      <c r="AB348" s="7532"/>
      <c r="AC348" s="8818"/>
      <c r="AD348" s="8870"/>
      <c r="AE348" s="8870"/>
      <c r="AF348" s="8870"/>
      <c r="AG348" s="7533"/>
      <c r="AH348" s="5962"/>
      <c r="AI348" s="5959"/>
      <c r="AJ348" s="5959"/>
      <c r="AK348" s="5959"/>
      <c r="AL348" s="5959"/>
      <c r="AM348" s="5959"/>
    </row>
    <row r="349" spans="1:39" ht="18" customHeight="1">
      <c r="A349" s="5952"/>
      <c r="B349" s="9079"/>
      <c r="C349" s="8852" t="str">
        <f>+IF(B349="","",VLOOKUP(MATCH(B349,tid,0),tao,'12(id)'!$J$20,FALSE))</f>
        <v/>
      </c>
      <c r="D349" s="9161"/>
      <c r="E349" s="9035"/>
      <c r="F349" s="5952"/>
      <c r="G349" s="5959"/>
      <c r="H349" s="5952"/>
      <c r="I349" s="9097"/>
      <c r="J349" s="9099" t="e">
        <f>+IF(VLOOKUP(MATCH(B349,tid,0),tao,'12(id)'!$I$20,FALSE)="","",VLOOKUP(MATCH(B349,tid,0),tao,'12(id)'!$I$20,FALSE))</f>
        <v>#N/A</v>
      </c>
      <c r="K349" s="9064" t="e">
        <f>+IF(VLOOKUP(MATCH(B349,tid,0),tao,'12(id)'!$K$20,FALSE)="","",VLOOKUP(MATCH(B349,tid,0),tao,'12(id)'!$K$20,FALSE))</f>
        <v>#N/A</v>
      </c>
      <c r="L349" s="9102" t="e">
        <f>+IF(VLOOKUP(MATCH(B349,tid,0),tao,'12(id)'!$L$20,FALSE)="","",VLOOKUP(MATCH(B349,tid,0),tao,'12(id)'!$L$20,FALSE))</f>
        <v>#N/A</v>
      </c>
      <c r="M349" s="9193" t="e">
        <f>+IF(VLOOKUP(MATCH(B349,tid,0),tao,'12(id)'!$Q$20,FALSE)="","",VLOOKUP(MATCH(B349,tid,0),tao,'12(id)'!$Q$20,FALSE))</f>
        <v>#N/A</v>
      </c>
      <c r="N349" s="9085" t="e">
        <f>+IF(VLOOKUP(MATCH(B349,tid,0),tao,'12(id)'!$CT$20,FALSE)="","",VLOOKUP(MATCH(B349,tid,0),tao,'12(id)'!$CT$20,FALSE))</f>
        <v>#N/A</v>
      </c>
      <c r="O349" s="8985" t="e">
        <f>+IF(VLOOKUP(MATCH(B349,tid,0),tao,'12(id)'!$DE$20,FALSE)="","",ROUND(VLOOKUP(MATCH(B349,tid,0),tao,'12(id)'!$DE$20,FALSE),0)&amp;" yrs")</f>
        <v>#N/A</v>
      </c>
      <c r="P349" s="9001" t="e">
        <f>+IF(VLOOKUP(MATCH(B349,tid,0),tao,'12(id)'!$FR$20,FALSE)="","",VLOOKUP(MATCH(B349,tid,0),tao,'12(id)'!$FR$20,FALSE))</f>
        <v>#N/A</v>
      </c>
      <c r="Q349" s="8985" t="e">
        <f>+IF(VLOOKUP(MATCH(B349,tid,0),tao,'12(id)'!$DI$20,FALSE)="","",VLOOKUP(MATCH(B349,tid,0),tao,'12(id)'!$DI$20,FALSE))&amp;";  "&amp;IF(VLOOKUP(MATCH(B349,tid,0),tao,'12(id)'!$DQ$20,FALSE)="","",VLOOKUP(MATCH(B349,tid,0),tao,'12(id)'!$DQ$20,FALSE))</f>
        <v>#N/A</v>
      </c>
      <c r="R349" s="8906"/>
      <c r="S349" s="8818"/>
      <c r="T349" s="7600" t="str">
        <f>+IF(E347="","",IF(VLOOKUP(MATCH(E347,c_id,0),ca,'13(an)'!$CC$34,FALSE)="",IF(VLOOKUP(MATCH(E347,c_id,0),ca,'13(an)'!$CD$34,FALSE)="",IF(VLOOKUP(MATCH(E347,c_id,0),ca,'13(an)'!$CE$34,FALSE)="","η ≈ N/A","η ≈ "&amp;ROUND(VLOOKUP(MATCH(E347,c_id,0),ca,'13(an)'!$CE$34,FALSE)*100,0)&amp;"%"),"η ≈ "&amp;ROUND(VLOOKUP(MATCH(E347,c_id,0),ca,'13(an)'!$CD$34,FALSE)*100,0)&amp;"%"),"η ≈ "&amp;ROUND(VLOOKUP(MATCH(E347,c_id,0),ca,'13(an)'!$CC$34,FALSE)*100,0)&amp;"%"))</f>
        <v>η ≈ 29%</v>
      </c>
      <c r="U349" s="7601" t="str">
        <f>+IF($U$371="ppmvd",IF(VLOOKUP(MATCH(E347,c_id,0),ca,'13(an)'!$BV$34,FALSE)="","",ROUND(VLOOKUP(MATCH(E347,c_id,0),ca,'13(an)'!$BV$34,FALSE),1)&amp;" ppmvd"),IF(VLOOKUP(MATCH(E347,c_id,0),ca,'13(an)'!$BU$34,FALSE)="","",IF(LEN(ROUND(VLOOKUP(MATCH(E347,c_id,0),ca,'13(an)'!$BU$34,FALSE),3))=3,ROUND(VLOOKUP(MATCH(E347,c_id,0),ca,'13(an)'!$BU$34,FALSE),3)&amp;"00 lb/MMBtu",IF(LEN(ROUND(VLOOKUP(MATCH(E347,c_id,0),ca,'13(an)'!$BU$34,FALSE),3))=4,ROUND(VLOOKUP(MATCH(E347,c_id,0),ca,'13(an)'!$BU$34,FALSE),3)&amp;"0 lb/MMBtu",ROUND(VLOOKUP(MATCH(E347,c_id,0),ca,'13(an)'!$BU$34,FALSE),3)&amp;" lb/MMBtu"))))</f>
        <v>0.150 lb/MMBtu</v>
      </c>
      <c r="V349" s="7602">
        <f>+IF(E347="","",IF(VLOOKUP(MATCH(E347,c_id,0),ca,'13(an)'!$CB$34,FALSE)="","NOx(R) = N/A",ROUND(VLOOKUP(MATCH(E347,c_id,0),ca,'13(an)'!$CB$34,FALSE),1)))</f>
        <v>9</v>
      </c>
      <c r="W349" s="7534"/>
      <c r="X349" s="8818"/>
      <c r="Y349" s="7600" t="str">
        <f>+IF(E347="","",IF(VLOOKUP(MATCH(E347,c_id,0),ca,'13(an)'!$CM$34,FALSE)="",IF(VLOOKUP(MATCH(E347,c_id,0),ca,'13(an)'!$CN$34,FALSE)="",IF(VLOOKUP(MATCH(E347,c_id,0),ca,'13(an)'!$CO$34,FALSE)="","η ≈ N/A","η ≈ "&amp;ROUND(VLOOKUP(MATCH(E347,c_id,0),ca,'13(an)'!$CO$34,FALSE)*100,0)&amp;"%"),"η ≈ "&amp;ROUND(VLOOKUP(MATCH(E347,c_id,0),ca,'13(an)'!$CN$34,FALSE)*100,0)&amp;"%"),"η ≈ "&amp;ROUND(VLOOKUP(MATCH(E347,c_id,0),ca,'13(an)'!$CM$34,FALSE)*100,0)&amp;"%"))</f>
        <v>η ≈ 29%</v>
      </c>
      <c r="Z349" s="7601" t="str">
        <f>+IF($Z$371="ppmvd",IF(VLOOKUP(MATCH(E347,c_id,0),ca,'13(an)'!$CJ$34,FALSE)="","",ROUND(VLOOKUP(MATCH(E347,c_id,0),ca,'13(an)'!$CJ$34,FALSE),1)&amp;" ppmvd"),IF(VLOOKUP(MATCH(E347,c_id,0),ca,'13(an)'!$CI$34,FALSE)="","",IF(LEN(ROUND(VLOOKUP(MATCH(E347,c_id,0),ca,'13(an)'!$CI$34,FALSE),3))=3,ROUND(VLOOKUP(MATCH(E347,c_id,0),ca,'13(an)'!$CI$34,FALSE),3)&amp;"00 lb/MMBtu",IF(LEN(ROUND(VLOOKUP(MATCH(E347,c_id,0),ca,'13(an)'!$CI$34,FALSE),3))=4,ROUND(VLOOKUP(MATCH(E347,c_id,0),ca,'13(an)'!$CI$34,FALSE),3)&amp;"0 lb/MMBtu",ROUND(VLOOKUP(MATCH(E347,c_id,0),ca,'13(an)'!$CI$34,FALSE),3)&amp;" lb/MMBtu"))))</f>
        <v>0.113 lb/MMBtu</v>
      </c>
      <c r="AA349" s="7602">
        <f>+IF(E347="","",IF(VLOOKUP(MATCH(E347,c_id,0),ca,'13(an)'!$CL$34,FALSE)="","NOx(R) = N/A",ROUND(VLOOKUP(MATCH(E347,c_id,0),ca,'13(an)'!$CL$34,FALSE),1)))</f>
        <v>14.1</v>
      </c>
      <c r="AB349" s="7535"/>
      <c r="AC349" s="8818"/>
      <c r="AD349" s="7600" t="str">
        <f>+IF(E347="","",IF(VLOOKUP(MATCH(E347,c_id,0),ca,'13(an)'!$CM$34,FALSE)="",IF(VLOOKUP(MATCH(E347,c_id,0),ca,'13(an)'!$CN$34,FALSE)="",IF(VLOOKUP(MATCH(E347,c_id,0),ca,'13(an)'!$CO$34,FALSE)="","η ≈ N/A","η ≈ "&amp;ROUND(VLOOKUP(MATCH(E347,c_id,0),ca,'13(an)'!$CO$34,FALSE)*100,0)&amp;"%"),"η ≈ "&amp;ROUND(VLOOKUP(MATCH(E347,c_id,0),ca,'13(an)'!$CN$34,FALSE)*100,0)&amp;"%"),"η ≈ "&amp;ROUND(VLOOKUP(MATCH(E347,c_id,0),ca,'13(an)'!$CM$34,FALSE)*100,0)&amp;"%"))</f>
        <v>η ≈ 29%</v>
      </c>
      <c r="AE349" s="7601" t="str">
        <f>+IF($AE$371="ppmvd",IF(VLOOKUP(MATCH(E347,c_id,0),ca,'13(an)'!$CJ$34,FALSE)="","",ROUND(VLOOKUP(MATCH(E347,c_id,0),ca,'13(an)'!$CJ$34,FALSE),1)&amp;" ppmvd"),IF(VLOOKUP(MATCH(E347,c_id,0),ca,'13(an)'!$CI$34,FALSE)="","",IF(LEN(ROUND(VLOOKUP(MATCH(E347,c_id,0),ca,'13(an)'!$CI$34,FALSE),3))=3,ROUND(VLOOKUP(MATCH(E347,c_id,0),ca,'13(an)'!$CI$34,FALSE),3)&amp;"00 lb/MMBtu",IF(LEN(ROUND(VLOOKUP(MATCH(E347,c_id,0),ca,'13(an)'!$CI$34,FALSE),3))=4,ROUND(VLOOKUP(MATCH(E347,c_id,0),ca,'13(an)'!$CI$34,FALSE),3)&amp;"0 lb/MMBtu",ROUND(VLOOKUP(MATCH(E347,c_id,0),ca,'13(an)'!$CI$34,FALSE),3)&amp;" lb/MMBtu"))))</f>
        <v>0.113 lb/MMBtu</v>
      </c>
      <c r="AF349" s="7602">
        <f>+IF(E347="","",IF(VLOOKUP(MATCH(E347,c_id,0),ca,'13(an)'!$CL$34,FALSE)="","NOx(R) = N/A",ROUND(VLOOKUP(MATCH(E347,c_id,0),ca,'13(an)'!$CL$34,FALSE),1)))</f>
        <v>14.1</v>
      </c>
      <c r="AG349" s="7536"/>
      <c r="AH349" s="5962"/>
      <c r="AI349" s="5959"/>
      <c r="AJ349" s="5959"/>
      <c r="AK349" s="5959"/>
      <c r="AL349" s="5959"/>
      <c r="AM349" s="5959"/>
    </row>
    <row r="350" spans="1:39" ht="18" customHeight="1">
      <c r="A350" s="5952"/>
      <c r="B350" s="9079"/>
      <c r="C350" s="8852" t="str">
        <f>+IF(B350="","",VLOOKUP(MATCH(B350,tid,0),tao,'12(id)'!$J$20,FALSE))</f>
        <v/>
      </c>
      <c r="D350" s="9161"/>
      <c r="E350" s="9035"/>
      <c r="F350" s="5952"/>
      <c r="G350" s="5959"/>
      <c r="H350" s="5952"/>
      <c r="I350" s="9097"/>
      <c r="J350" s="9099" t="e">
        <f>+IF(VLOOKUP(MATCH(B350,tid,0),tao,'12(id)'!$I$20,FALSE)="","",VLOOKUP(MATCH(B350,tid,0),tao,'12(id)'!$I$20,FALSE))</f>
        <v>#N/A</v>
      </c>
      <c r="K350" s="9064" t="e">
        <f>+IF(VLOOKUP(MATCH(B350,tid,0),tao,'12(id)'!$K$20,FALSE)="","",VLOOKUP(MATCH(B350,tid,0),tao,'12(id)'!$K$20,FALSE))</f>
        <v>#N/A</v>
      </c>
      <c r="L350" s="9102" t="e">
        <f>+IF(VLOOKUP(MATCH(B350,tid,0),tao,'12(id)'!$L$20,FALSE)="","",VLOOKUP(MATCH(B350,tid,0),tao,'12(id)'!$L$20,FALSE))</f>
        <v>#N/A</v>
      </c>
      <c r="M350" s="9193" t="e">
        <f>+IF(VLOOKUP(MATCH(B350,tid,0),tao,'12(id)'!$Q$20,FALSE)="","",VLOOKUP(MATCH(B350,tid,0),tao,'12(id)'!$Q$20,FALSE))</f>
        <v>#N/A</v>
      </c>
      <c r="N350" s="9085" t="e">
        <f>+IF(VLOOKUP(MATCH(B350,tid,0),tao,'12(id)'!$CT$20,FALSE)="","",VLOOKUP(MATCH(B350,tid,0),tao,'12(id)'!$CT$20,FALSE))</f>
        <v>#N/A</v>
      </c>
      <c r="O350" s="8985" t="e">
        <f>+IF(VLOOKUP(MATCH(B350,tid,0),tao,'12(id)'!$DE$20,FALSE)="","",ROUND(VLOOKUP(MATCH(B350,tid,0),tao,'12(id)'!$DE$20,FALSE),0)&amp;" yrs")</f>
        <v>#N/A</v>
      </c>
      <c r="P350" s="9001" t="e">
        <f>+IF(VLOOKUP(MATCH(B350,tid,0),tao,'12(id)'!$FR$20,FALSE)="","",VLOOKUP(MATCH(B350,tid,0),tao,'12(id)'!$FR$20,FALSE))</f>
        <v>#N/A</v>
      </c>
      <c r="Q350" s="8985" t="e">
        <f>+IF(VLOOKUP(MATCH(B350,tid,0),tao,'12(id)'!$DI$20,FALSE)="","",VLOOKUP(MATCH(B350,tid,0),tao,'12(id)'!$DI$20,FALSE))&amp;";  "&amp;IF(VLOOKUP(MATCH(B350,tid,0),tao,'12(id)'!$DQ$20,FALSE)="","",VLOOKUP(MATCH(B350,tid,0),tao,'12(id)'!$DQ$20,FALSE))</f>
        <v>#N/A</v>
      </c>
      <c r="R350" s="8906"/>
      <c r="S350" s="8818"/>
      <c r="T350" s="7543">
        <f>+IF(VLOOKUP(MATCH(E347,c_id,0),ca,'13(an)'!$GF$34,FALSE)="","",VLOOKUP(MATCH(E347,c_id,0),ca,'13(an)'!$GF$34,FALSE))</f>
        <v>5857062.78302</v>
      </c>
      <c r="U350" s="7570" t="str">
        <f>+IF(T350="","","$ TCC/unit")</f>
        <v>$ TCC/unit</v>
      </c>
      <c r="V350" s="7541">
        <f>+IF(VLOOKUP(MATCH(E347,c_id,0),ca,'13(an)'!$HA$34,FALSE)="","",VLOOKUP(MATCH(E347,c_id,0),ca,'13(an)'!$HA$34,FALSE))</f>
        <v>1505807</v>
      </c>
      <c r="W350" s="7540"/>
      <c r="X350" s="8818"/>
      <c r="Y350" s="7543">
        <f>+IF(VLOOKUP(MATCH(E347,c_id,0),ca,'13(an)'!$IA$34,FALSE)="","",VLOOKUP(MATCH(E347,c_id,0),ca,'13(an)'!$IA$34,FALSE))</f>
        <v>5852064.0304724006</v>
      </c>
      <c r="Z350" s="7570" t="str">
        <f>+IF(Y350="","","$ TCC/unit")</f>
        <v>$ TCC/unit</v>
      </c>
      <c r="AA350" s="7541">
        <f>+IF(Y350="","",$AA$19*Y350)</f>
        <v>438958.28355896409</v>
      </c>
      <c r="AB350" s="7541"/>
      <c r="AC350" s="8818"/>
      <c r="AD350" s="7543">
        <f>+IF(VLOOKUP(MATCH(E347,c_id,0),ca,'13(an)'!$JS$34,FALSE)="","",VLOOKUP(MATCH(E347,c_id,0),ca,'13(an)'!$JS$34,FALSE))</f>
        <v>5852064.0304724006</v>
      </c>
      <c r="AE350" s="7570" t="str">
        <f>+IF(AD350="","","$ TCC/unit")</f>
        <v>$ TCC/unit</v>
      </c>
      <c r="AF350" s="7541">
        <f>+IF(AD350="","",$AF$19*AD350)</f>
        <v>438958.28355896409</v>
      </c>
      <c r="AG350" s="7542"/>
      <c r="AH350" s="5962"/>
      <c r="AI350" s="5959"/>
      <c r="AJ350" s="5959"/>
      <c r="AK350" s="5959"/>
      <c r="AL350" s="5959"/>
      <c r="AM350" s="5959"/>
    </row>
    <row r="351" spans="1:39" ht="18" customHeight="1">
      <c r="A351" s="5952"/>
      <c r="B351" s="9079"/>
      <c r="C351" s="8852" t="str">
        <f>+IF(B351="","",VLOOKUP(MATCH(B351,tid,0),tao,'12(id)'!$J$20,FALSE))</f>
        <v/>
      </c>
      <c r="D351" s="9161"/>
      <c r="E351" s="9035"/>
      <c r="F351" s="5952"/>
      <c r="G351" s="5959"/>
      <c r="H351" s="5952"/>
      <c r="I351" s="9097"/>
      <c r="J351" s="9099" t="e">
        <f>+IF(VLOOKUP(MATCH(B351,tid,0),tao,'12(id)'!$I$20,FALSE)="","",VLOOKUP(MATCH(B351,tid,0),tao,'12(id)'!$I$20,FALSE))</f>
        <v>#N/A</v>
      </c>
      <c r="K351" s="9064" t="e">
        <f>+IF(VLOOKUP(MATCH(B351,tid,0),tao,'12(id)'!$K$20,FALSE)="","",VLOOKUP(MATCH(B351,tid,0),tao,'12(id)'!$K$20,FALSE))</f>
        <v>#N/A</v>
      </c>
      <c r="L351" s="9102" t="e">
        <f>+IF(VLOOKUP(MATCH(B351,tid,0),tao,'12(id)'!$L$20,FALSE)="","",VLOOKUP(MATCH(B351,tid,0),tao,'12(id)'!$L$20,FALSE))</f>
        <v>#N/A</v>
      </c>
      <c r="M351" s="9193" t="e">
        <f>+IF(VLOOKUP(MATCH(B351,tid,0),tao,'12(id)'!$Q$20,FALSE)="","",VLOOKUP(MATCH(B351,tid,0),tao,'12(id)'!$Q$20,FALSE))</f>
        <v>#N/A</v>
      </c>
      <c r="N351" s="9085" t="e">
        <f>+IF(VLOOKUP(MATCH(B351,tid,0),tao,'12(id)'!$CT$20,FALSE)="","",VLOOKUP(MATCH(B351,tid,0),tao,'12(id)'!$CT$20,FALSE))</f>
        <v>#N/A</v>
      </c>
      <c r="O351" s="8985" t="e">
        <f>+IF(VLOOKUP(MATCH(B351,tid,0),tao,'12(id)'!$DE$20,FALSE)="","",ROUND(VLOOKUP(MATCH(B351,tid,0),tao,'12(id)'!$DE$20,FALSE),0)&amp;" yrs")</f>
        <v>#N/A</v>
      </c>
      <c r="P351" s="9001" t="e">
        <f>+IF(VLOOKUP(MATCH(B351,tid,0),tao,'12(id)'!$FR$20,FALSE)="","",VLOOKUP(MATCH(B351,tid,0),tao,'12(id)'!$FR$20,FALSE))</f>
        <v>#N/A</v>
      </c>
      <c r="Q351" s="8985" t="e">
        <f>+IF(VLOOKUP(MATCH(B351,tid,0),tao,'12(id)'!$DI$20,FALSE)="","",VLOOKUP(MATCH(B351,tid,0),tao,'12(id)'!$DI$20,FALSE))&amp;";  "&amp;IF(VLOOKUP(MATCH(B351,tid,0),tao,'12(id)'!$DQ$20,FALSE)="","",VLOOKUP(MATCH(B351,tid,0),tao,'12(id)'!$DQ$20,FALSE))</f>
        <v>#N/A</v>
      </c>
      <c r="R351" s="8906"/>
      <c r="S351" s="8818"/>
      <c r="T351" s="7543">
        <f>+IF(OR(T350="",N347=""),"",T350/N347)</f>
        <v>35713.797457439025</v>
      </c>
      <c r="U351" s="8820" t="str">
        <f>+IF(T351="","","$ TCC / MW nominal capacity")</f>
        <v>$ TCC / MW nominal capacity</v>
      </c>
      <c r="V351" s="8820"/>
      <c r="W351" s="7544"/>
      <c r="X351" s="8818"/>
      <c r="Y351" s="7543">
        <f>+IF(OR(Y350="",N347=""),"",Y350/N347)</f>
        <v>35683.317258978052</v>
      </c>
      <c r="Z351" s="8820" t="str">
        <f>+IF(Y351="","","$ TCC / MW nominal capacity")</f>
        <v>$ TCC / MW nominal capacity</v>
      </c>
      <c r="AA351" s="8820"/>
      <c r="AB351" s="7545"/>
      <c r="AC351" s="8818"/>
      <c r="AD351" s="7543">
        <f>+IF(OR(AD350="",N347=""),"",AD350/N347)</f>
        <v>35683.317258978052</v>
      </c>
      <c r="AE351" s="8820" t="str">
        <f>+IF(AD351="","","$ TCC / MW nominal capacity")</f>
        <v>$ TCC / MW nominal capacity</v>
      </c>
      <c r="AF351" s="8820"/>
      <c r="AG351" s="7546"/>
      <c r="AH351" s="5962"/>
      <c r="AI351" s="5959"/>
      <c r="AJ351" s="5959"/>
      <c r="AK351" s="5959"/>
      <c r="AL351" s="5959"/>
      <c r="AM351" s="5959"/>
    </row>
    <row r="352" spans="1:39" ht="18" customHeight="1">
      <c r="A352" s="5952"/>
      <c r="B352" s="9079"/>
      <c r="C352" s="8852" t="str">
        <f>+IF(B352="","",VLOOKUP(MATCH(B352,tid,0),tao,'12(id)'!$J$20,FALSE))</f>
        <v/>
      </c>
      <c r="D352" s="9161"/>
      <c r="E352" s="9062"/>
      <c r="F352" s="5952"/>
      <c r="G352" s="5959"/>
      <c r="H352" s="5952"/>
      <c r="I352" s="9097"/>
      <c r="J352" s="9099" t="e">
        <f>+IF(VLOOKUP(MATCH(B352,tid,0),tao,'12(id)'!$I$20,FALSE)="","",VLOOKUP(MATCH(B352,tid,0),tao,'12(id)'!$I$20,FALSE))</f>
        <v>#N/A</v>
      </c>
      <c r="K352" s="9064" t="e">
        <f>+IF(VLOOKUP(MATCH(B352,tid,0),tao,'12(id)'!$K$20,FALSE)="","",VLOOKUP(MATCH(B352,tid,0),tao,'12(id)'!$K$20,FALSE))</f>
        <v>#N/A</v>
      </c>
      <c r="L352" s="9102" t="e">
        <f>+IF(VLOOKUP(MATCH(B352,tid,0),tao,'12(id)'!$L$20,FALSE)="","",VLOOKUP(MATCH(B352,tid,0),tao,'12(id)'!$L$20,FALSE))</f>
        <v>#N/A</v>
      </c>
      <c r="M352" s="9193" t="e">
        <f>+IF(VLOOKUP(MATCH(B352,tid,0),tao,'12(id)'!$Q$20,FALSE)="","",VLOOKUP(MATCH(B352,tid,0),tao,'12(id)'!$Q$20,FALSE))</f>
        <v>#N/A</v>
      </c>
      <c r="N352" s="9085" t="e">
        <f>+IF(VLOOKUP(MATCH(B352,tid,0),tao,'12(id)'!$CT$20,FALSE)="","",VLOOKUP(MATCH(B352,tid,0),tao,'12(id)'!$CT$20,FALSE))</f>
        <v>#N/A</v>
      </c>
      <c r="O352" s="8985" t="e">
        <f>+IF(VLOOKUP(MATCH(B352,tid,0),tao,'12(id)'!$DE$20,FALSE)="","",ROUND(VLOOKUP(MATCH(B352,tid,0),tao,'12(id)'!$DE$20,FALSE),0)&amp;" yrs")</f>
        <v>#N/A</v>
      </c>
      <c r="P352" s="9001" t="e">
        <f>+IF(VLOOKUP(MATCH(B352,tid,0),tao,'12(id)'!$FR$20,FALSE)="","",VLOOKUP(MATCH(B352,tid,0),tao,'12(id)'!$FR$20,FALSE))</f>
        <v>#N/A</v>
      </c>
      <c r="Q352" s="8985" t="e">
        <f>+IF(VLOOKUP(MATCH(B352,tid,0),tao,'12(id)'!$DI$20,FALSE)="","",VLOOKUP(MATCH(B352,tid,0),tao,'12(id)'!$DI$20,FALSE))&amp;";  "&amp;IF(VLOOKUP(MATCH(B352,tid,0),tao,'12(id)'!$DQ$20,FALSE)="","",VLOOKUP(MATCH(B352,tid,0),tao,'12(id)'!$DQ$20,FALSE))</f>
        <v>#N/A</v>
      </c>
      <c r="R352" s="8981"/>
      <c r="S352" s="8819"/>
      <c r="T352" s="7590">
        <f>+IF(VLOOKUP(MATCH(E347,c_id,0),ca,'13(an)'!$HF$34,FALSE)="","",VLOOKUP(MATCH(E347,c_id,0),ca,'13(an)'!$HF$34,FALSE))</f>
        <v>168593</v>
      </c>
      <c r="U352" s="8829" t="str">
        <f>IF(T352="","","$ /ton "&amp;"NOx(R)")</f>
        <v>$ /ton NOx(R)</v>
      </c>
      <c r="V352" s="8829"/>
      <c r="W352" s="7730"/>
      <c r="X352" s="8819"/>
      <c r="Y352" s="7590">
        <f>+IF(VLOOKUP(MATCH(E347,c_id,0),ca,'13(an)'!$JE$34,FALSE)="","",VLOOKUP(MATCH(E347,c_id,0),ca,'13(an)'!$JE$34,FALSE))</f>
        <v>31768.77762538131</v>
      </c>
      <c r="Z352" s="8829" t="str">
        <f>IF(Y352="","","$ /ton "&amp;"NOx(R)")</f>
        <v>$ /ton NOx(R)</v>
      </c>
      <c r="AA352" s="8829"/>
      <c r="AB352" s="7731"/>
      <c r="AC352" s="8819"/>
      <c r="AD352" s="7590">
        <f>+IF(VLOOKUP(MATCH(E347,c_id,0),ca,'13(an)'!$LB$34,FALSE)="","",VLOOKUP(MATCH(E347,c_id,0),ca,'13(an)'!$LB$34,FALSE))</f>
        <v>105767.68982780926</v>
      </c>
      <c r="AE352" s="8829" t="str">
        <f>IF(AD352="","","$ /ton "&amp;"NOx(R)")</f>
        <v>$ /ton NOx(R)</v>
      </c>
      <c r="AF352" s="8829"/>
      <c r="AG352" s="7732"/>
      <c r="AH352" s="5962"/>
      <c r="AI352" s="5959"/>
      <c r="AJ352" s="5959"/>
      <c r="AK352" s="5959"/>
      <c r="AL352" s="5959"/>
      <c r="AM352" s="5959"/>
    </row>
    <row r="353" spans="1:39" ht="15" customHeight="1">
      <c r="A353" s="5952"/>
      <c r="B353" s="9079"/>
      <c r="C353" s="8852" t="str">
        <f>+IF(B353="","",VLOOKUP(MATCH(B353,tid,0),tao,'12(id)'!$J$20,FALSE))</f>
        <v/>
      </c>
      <c r="D353" s="9161"/>
      <c r="E353" s="9048" t="str">
        <f>+IF(B347="","",B347&amp;IF(ISERR(VALUE(1+R347)),"-01",IF(1+R347&lt;10,"-0"&amp;1+R347,"-"&amp;1+R347)))</f>
        <v>8306-06-02</v>
      </c>
      <c r="F353" s="5952"/>
      <c r="G353" s="5959"/>
      <c r="H353" s="5952"/>
      <c r="I353" s="9097"/>
      <c r="J353" s="9099" t="e">
        <f>+IF(VLOOKUP(MATCH(B353,tid,0),tao,'12(id)'!$I$20,FALSE)="","",VLOOKUP(MATCH(B353,tid,0),tao,'12(id)'!$I$20,FALSE))</f>
        <v>#N/A</v>
      </c>
      <c r="K353" s="9064" t="e">
        <f>+IF(VLOOKUP(MATCH(B353,tid,0),tao,'12(id)'!$K$20,FALSE)="","",VLOOKUP(MATCH(B353,tid,0),tao,'12(id)'!$K$20,FALSE))</f>
        <v>#N/A</v>
      </c>
      <c r="L353" s="9102" t="e">
        <f>+IF(VLOOKUP(MATCH(B353,tid,0),tao,'12(id)'!$L$20,FALSE)="","",VLOOKUP(MATCH(B353,tid,0),tao,'12(id)'!$L$20,FALSE))</f>
        <v>#N/A</v>
      </c>
      <c r="M353" s="9193" t="e">
        <f>+IF(VLOOKUP(MATCH(B353,tid,0),tao,'12(id)'!$Q$20,FALSE)="","",VLOOKUP(MATCH(B353,tid,0),tao,'12(id)'!$Q$20,FALSE))</f>
        <v>#N/A</v>
      </c>
      <c r="N353" s="9085" t="e">
        <f>+IF(VLOOKUP(MATCH(B353,tid,0),tao,'12(id)'!$CT$20,FALSE)="","",VLOOKUP(MATCH(B353,tid,0),tao,'12(id)'!$CT$20,FALSE))</f>
        <v>#N/A</v>
      </c>
      <c r="O353" s="8985" t="e">
        <f>+IF(VLOOKUP(MATCH(B353,tid,0),tao,'12(id)'!$DE$20,FALSE)="","",ROUND(VLOOKUP(MATCH(B353,tid,0),tao,'12(id)'!$DE$20,FALSE),0)&amp;" yrs")</f>
        <v>#N/A</v>
      </c>
      <c r="P353" s="9001" t="e">
        <f>+IF(VLOOKUP(MATCH(B353,tid,0),tao,'12(id)'!$FR$20,FALSE)="","",VLOOKUP(MATCH(B353,tid,0),tao,'12(id)'!$FR$20,FALSE))</f>
        <v>#N/A</v>
      </c>
      <c r="Q353" s="8985" t="e">
        <f>+IF(VLOOKUP(MATCH(B353,tid,0),tao,'12(id)'!$DI$20,FALSE)="","",VLOOKUP(MATCH(B353,tid,0),tao,'12(id)'!$DI$20,FALSE))&amp;";  "&amp;IF(VLOOKUP(MATCH(B353,tid,0),tao,'12(id)'!$DQ$20,FALSE)="","",VLOOKUP(MATCH(B353,tid,0),tao,'12(id)'!$DQ$20,FALSE))</f>
        <v>#N/A</v>
      </c>
      <c r="R353" s="8906">
        <f>+IF(B347="","",1+R347)</f>
        <v>2</v>
      </c>
      <c r="S353" s="8859"/>
      <c r="T353" s="8870" t="str">
        <f>+IF(VLOOKUP(MATCH(E353,c_id,0),ca,'13(an)'!$BD$34,FALSE)="","",VLOOKUP(MATCH(E353,c_id,0),ca,'13(an)'!$BD$34,FALSE))</f>
        <v>Selective Catalytic Reduction (SCR) with ID fans</v>
      </c>
      <c r="U353" s="8870"/>
      <c r="V353" s="8870"/>
      <c r="W353" s="7531"/>
      <c r="X353" s="8859"/>
      <c r="Y353" s="8870" t="str">
        <f>+T353</f>
        <v>Selective Catalytic Reduction (SCR) with ID fans</v>
      </c>
      <c r="Z353" s="8870"/>
      <c r="AA353" s="8870"/>
      <c r="AB353" s="7532"/>
      <c r="AC353" s="8859"/>
      <c r="AD353" s="8870" t="str">
        <f>+T353</f>
        <v>Selective Catalytic Reduction (SCR) with ID fans</v>
      </c>
      <c r="AE353" s="8870"/>
      <c r="AF353" s="8870"/>
      <c r="AG353" s="7533"/>
      <c r="AH353" s="5962"/>
      <c r="AI353" s="5959"/>
      <c r="AJ353" s="5959"/>
      <c r="AK353" s="5959"/>
      <c r="AL353" s="5959"/>
      <c r="AM353" s="5959"/>
    </row>
    <row r="354" spans="1:39" ht="15" customHeight="1">
      <c r="A354" s="5952"/>
      <c r="B354" s="9079"/>
      <c r="C354" s="8852" t="str">
        <f>+IF(B354="","",VLOOKUP(MATCH(B354,tid,0),tao,'12(id)'!$J$20,FALSE))</f>
        <v/>
      </c>
      <c r="D354" s="9161"/>
      <c r="E354" s="9079"/>
      <c r="F354" s="5952"/>
      <c r="G354" s="5959"/>
      <c r="H354" s="5952"/>
      <c r="I354" s="9097"/>
      <c r="J354" s="9099" t="e">
        <f>+IF(VLOOKUP(MATCH(B354,tid,0),tao,'12(id)'!$I$20,FALSE)="","",VLOOKUP(MATCH(B354,tid,0),tao,'12(id)'!$I$20,FALSE))</f>
        <v>#N/A</v>
      </c>
      <c r="K354" s="9064" t="e">
        <f>+IF(VLOOKUP(MATCH(B354,tid,0),tao,'12(id)'!$K$20,FALSE)="","",VLOOKUP(MATCH(B354,tid,0),tao,'12(id)'!$K$20,FALSE))</f>
        <v>#N/A</v>
      </c>
      <c r="L354" s="9102" t="e">
        <f>+IF(VLOOKUP(MATCH(B354,tid,0),tao,'12(id)'!$L$20,FALSE)="","",VLOOKUP(MATCH(B354,tid,0),tao,'12(id)'!$L$20,FALSE))</f>
        <v>#N/A</v>
      </c>
      <c r="M354" s="9193" t="e">
        <f>+IF(VLOOKUP(MATCH(B354,tid,0),tao,'12(id)'!$Q$20,FALSE)="","",VLOOKUP(MATCH(B354,tid,0),tao,'12(id)'!$Q$20,FALSE))</f>
        <v>#N/A</v>
      </c>
      <c r="N354" s="9085" t="e">
        <f>+IF(VLOOKUP(MATCH(B354,tid,0),tao,'12(id)'!$CT$20,FALSE)="","",VLOOKUP(MATCH(B354,tid,0),tao,'12(id)'!$CT$20,FALSE))</f>
        <v>#N/A</v>
      </c>
      <c r="O354" s="8985" t="e">
        <f>+IF(VLOOKUP(MATCH(B354,tid,0),tao,'12(id)'!$DE$20,FALSE)="","",ROUND(VLOOKUP(MATCH(B354,tid,0),tao,'12(id)'!$DE$20,FALSE),0)&amp;" yrs")</f>
        <v>#N/A</v>
      </c>
      <c r="P354" s="9001" t="e">
        <f>+IF(VLOOKUP(MATCH(B354,tid,0),tao,'12(id)'!$FR$20,FALSE)="","",VLOOKUP(MATCH(B354,tid,0),tao,'12(id)'!$FR$20,FALSE))</f>
        <v>#N/A</v>
      </c>
      <c r="Q354" s="8985" t="e">
        <f>+IF(VLOOKUP(MATCH(B354,tid,0),tao,'12(id)'!$DI$20,FALSE)="","",VLOOKUP(MATCH(B354,tid,0),tao,'12(id)'!$DI$20,FALSE))&amp;";  "&amp;IF(VLOOKUP(MATCH(B354,tid,0),tao,'12(id)'!$DQ$20,FALSE)="","",VLOOKUP(MATCH(B354,tid,0),tao,'12(id)'!$DQ$20,FALSE))</f>
        <v>#N/A</v>
      </c>
      <c r="R354" s="8906"/>
      <c r="S354" s="8818"/>
      <c r="T354" s="8870"/>
      <c r="U354" s="8870"/>
      <c r="V354" s="8870"/>
      <c r="W354" s="7531"/>
      <c r="X354" s="8818"/>
      <c r="Y354" s="8870"/>
      <c r="Z354" s="8870"/>
      <c r="AA354" s="8870"/>
      <c r="AB354" s="7532"/>
      <c r="AC354" s="8818"/>
      <c r="AD354" s="8870"/>
      <c r="AE354" s="8870"/>
      <c r="AF354" s="8870"/>
      <c r="AG354" s="7533"/>
      <c r="AH354" s="5962"/>
      <c r="AI354" s="5959"/>
      <c r="AJ354" s="5959"/>
      <c r="AK354" s="5959"/>
      <c r="AL354" s="5959"/>
      <c r="AM354" s="5959"/>
    </row>
    <row r="355" spans="1:39" ht="18" customHeight="1">
      <c r="A355" s="5952"/>
      <c r="B355" s="9079"/>
      <c r="C355" s="8852" t="str">
        <f>+IF(B355="","",VLOOKUP(MATCH(B355,tid,0),tao,'12(id)'!$J$20,FALSE))</f>
        <v/>
      </c>
      <c r="D355" s="9161"/>
      <c r="E355" s="9079"/>
      <c r="F355" s="5952"/>
      <c r="G355" s="5959"/>
      <c r="H355" s="5952"/>
      <c r="I355" s="9097"/>
      <c r="J355" s="9099" t="e">
        <f>+IF(VLOOKUP(MATCH(B355,tid,0),tao,'12(id)'!$I$20,FALSE)="","",VLOOKUP(MATCH(B355,tid,0),tao,'12(id)'!$I$20,FALSE))</f>
        <v>#N/A</v>
      </c>
      <c r="K355" s="9064" t="e">
        <f>+IF(VLOOKUP(MATCH(B355,tid,0),tao,'12(id)'!$K$20,FALSE)="","",VLOOKUP(MATCH(B355,tid,0),tao,'12(id)'!$K$20,FALSE))</f>
        <v>#N/A</v>
      </c>
      <c r="L355" s="9102" t="e">
        <f>+IF(VLOOKUP(MATCH(B355,tid,0),tao,'12(id)'!$L$20,FALSE)="","",VLOOKUP(MATCH(B355,tid,0),tao,'12(id)'!$L$20,FALSE))</f>
        <v>#N/A</v>
      </c>
      <c r="M355" s="9193" t="e">
        <f>+IF(VLOOKUP(MATCH(B355,tid,0),tao,'12(id)'!$Q$20,FALSE)="","",VLOOKUP(MATCH(B355,tid,0),tao,'12(id)'!$Q$20,FALSE))</f>
        <v>#N/A</v>
      </c>
      <c r="N355" s="9085" t="e">
        <f>+IF(VLOOKUP(MATCH(B355,tid,0),tao,'12(id)'!$CT$20,FALSE)="","",VLOOKUP(MATCH(B355,tid,0),tao,'12(id)'!$CT$20,FALSE))</f>
        <v>#N/A</v>
      </c>
      <c r="O355" s="8985" t="e">
        <f>+IF(VLOOKUP(MATCH(B355,tid,0),tao,'12(id)'!$DE$20,FALSE)="","",ROUND(VLOOKUP(MATCH(B355,tid,0),tao,'12(id)'!$DE$20,FALSE),0)&amp;" yrs")</f>
        <v>#N/A</v>
      </c>
      <c r="P355" s="9001" t="e">
        <f>+IF(VLOOKUP(MATCH(B355,tid,0),tao,'12(id)'!$FR$20,FALSE)="","",VLOOKUP(MATCH(B355,tid,0),tao,'12(id)'!$FR$20,FALSE))</f>
        <v>#N/A</v>
      </c>
      <c r="Q355" s="8985" t="e">
        <f>+IF(VLOOKUP(MATCH(B355,tid,0),tao,'12(id)'!$DI$20,FALSE)="","",VLOOKUP(MATCH(B355,tid,0),tao,'12(id)'!$DI$20,FALSE))&amp;";  "&amp;IF(VLOOKUP(MATCH(B355,tid,0),tao,'12(id)'!$DQ$20,FALSE)="","",VLOOKUP(MATCH(B355,tid,0),tao,'12(id)'!$DQ$20,FALSE))</f>
        <v>#N/A</v>
      </c>
      <c r="R355" s="8906"/>
      <c r="S355" s="8818"/>
      <c r="T355" s="7600" t="str">
        <f>+IF(E353="","",IF(VLOOKUP(MATCH(E353,c_id,0),ca,'13(an)'!$CC$34,FALSE)="",IF(VLOOKUP(MATCH(E353,c_id,0),ca,'13(an)'!$CD$34,FALSE)="",IF(VLOOKUP(MATCH(E353,c_id,0),ca,'13(an)'!$CE$34,FALSE)="","η ≈ N/A","η ≈ "&amp;ROUND(VLOOKUP(MATCH(E353,c_id,0),ca,'13(an)'!$CE$34,FALSE)*100,0)&amp;"%"),"η ≈ "&amp;ROUND(VLOOKUP(MATCH(E353,c_id,0),ca,'13(an)'!$CD$34,FALSE)*100,0)&amp;"%"),"η ≈ "&amp;ROUND(VLOOKUP(MATCH(E353,c_id,0),ca,'13(an)'!$CC$34,FALSE)*100,0)&amp;"%"))</f>
        <v>η ≈ 52%</v>
      </c>
      <c r="U355" s="7601" t="str">
        <f>+IF($U$371="ppmvd",IF(VLOOKUP(MATCH(E353,c_id,0),ca,'13(an)'!$BV$34,FALSE)="","",ROUND(VLOOKUP(MATCH(E353,c_id,0),ca,'13(an)'!$BV$34,FALSE),1)&amp;" ppmvd"),IF(VLOOKUP(MATCH(E353,c_id,0),ca,'13(an)'!$BU$34,FALSE)="","",IF(LEN(ROUND(VLOOKUP(MATCH(E353,c_id,0),ca,'13(an)'!$BU$34,FALSE),3))=3,ROUND(VLOOKUP(MATCH(E353,c_id,0),ca,'13(an)'!$BU$34,FALSE),3)&amp;"00 lb/MMBtu",IF(LEN(ROUND(VLOOKUP(MATCH(E353,c_id,0),ca,'13(an)'!$BU$34,FALSE),3))=4,ROUND(VLOOKUP(MATCH(E353,c_id,0),ca,'13(an)'!$BU$34,FALSE),3)&amp;"0 lb/MMBtu",ROUND(VLOOKUP(MATCH(E353,c_id,0),ca,'13(an)'!$BU$34,FALSE),3)&amp;" lb/MMBtu"))))</f>
        <v>0.100 lb/MMBtu</v>
      </c>
      <c r="V355" s="7602">
        <f>+IF(E353="","",IF(VLOOKUP(MATCH(E353,c_id,0),ca,'13(an)'!$CB$34,FALSE)="","NOx(R) = N/A",ROUND(VLOOKUP(MATCH(E353,c_id,0),ca,'13(an)'!$CB$34,FALSE),1)))</f>
        <v>16.5</v>
      </c>
      <c r="W355" s="7534"/>
      <c r="X355" s="8818"/>
      <c r="Y355" s="7600" t="str">
        <f>+IF(E353="","",IF(VLOOKUP(MATCH(E353,c_id,0),ca,'13(an)'!$CM$34,FALSE)="",IF(VLOOKUP(MATCH(E353,c_id,0),ca,'13(an)'!$CN$34,FALSE)="",IF(VLOOKUP(MATCH(E353,c_id,0),ca,'13(an)'!$CO$34,FALSE)="","η ≈ N/A","η ≈ "&amp;ROUND(VLOOKUP(MATCH(E353,c_id,0),ca,'13(an)'!$CO$34,FALSE)*100,0)&amp;"%"),"η ≈ "&amp;ROUND(VLOOKUP(MATCH(E353,c_id,0),ca,'13(an)'!$CN$34,FALSE)*100,0)&amp;"%"),"η ≈ "&amp;ROUND(VLOOKUP(MATCH(E353,c_id,0),ca,'13(an)'!$CM$34,FALSE)*100,0)&amp;"%"))</f>
        <v>η ≈ 90%</v>
      </c>
      <c r="Z355" s="7601" t="str">
        <f>+IF($Z$371="ppmvd",IF(VLOOKUP(MATCH(E353,c_id,0),ca,'13(an)'!$CJ$34,FALSE)="","",ROUND(VLOOKUP(MATCH(E353,c_id,0),ca,'13(an)'!$CJ$34,FALSE),1)&amp;" ppmvd"),IF(VLOOKUP(MATCH(E353,c_id,0),ca,'13(an)'!$CI$34,FALSE)="","",IF(LEN(ROUND(VLOOKUP(MATCH(E353,c_id,0),ca,'13(an)'!$CI$34,FALSE),3))=3,ROUND(VLOOKUP(MATCH(E353,c_id,0),ca,'13(an)'!$CI$34,FALSE),3)&amp;"00 lb/MMBtu",IF(LEN(ROUND(VLOOKUP(MATCH(E353,c_id,0),ca,'13(an)'!$CI$34,FALSE),3))=4,ROUND(VLOOKUP(MATCH(E353,c_id,0),ca,'13(an)'!$CI$34,FALSE),3)&amp;"0 lb/MMBtu",ROUND(VLOOKUP(MATCH(E353,c_id,0),ca,'13(an)'!$CI$34,FALSE),3)&amp;" lb/MMBtu"))))</f>
        <v>0.016 lb/MMBtu</v>
      </c>
      <c r="AA355" s="7602">
        <f>+IF(E353="","",IF(VLOOKUP(MATCH(E353,c_id,0),ca,'13(an)'!$CL$34,FALSE)="","NOx(R) = N/A",ROUND(VLOOKUP(MATCH(E353,c_id,0),ca,'13(an)'!$CL$34,FALSE),1)))</f>
        <v>44.6</v>
      </c>
      <c r="AB355" s="7535"/>
      <c r="AC355" s="8818"/>
      <c r="AD355" s="7600" t="str">
        <f>+IF(E353="","",IF(VLOOKUP(MATCH(E353,c_id,0),ca,'13(an)'!$CM$34,FALSE)="",IF(VLOOKUP(MATCH(E353,c_id,0),ca,'13(an)'!$CN$34,FALSE)="",IF(VLOOKUP(MATCH(E353,c_id,0),ca,'13(an)'!$CO$34,FALSE)="","η ≈ N/A","η ≈ "&amp;ROUND(VLOOKUP(MATCH(E353,c_id,0),ca,'13(an)'!$CO$34,FALSE)*100,0)&amp;"%"),"η ≈ "&amp;ROUND(VLOOKUP(MATCH(E353,c_id,0),ca,'13(an)'!$CN$34,FALSE)*100,0)&amp;"%"),"η ≈ "&amp;ROUND(VLOOKUP(MATCH(E353,c_id,0),ca,'13(an)'!$CM$34,FALSE)*100,0)&amp;"%"))</f>
        <v>η ≈ 90%</v>
      </c>
      <c r="AE355" s="7601" t="str">
        <f>+IF($AE$371="ppmvd",IF(VLOOKUP(MATCH(E353,c_id,0),ca,'13(an)'!$CJ$34,FALSE)="","",ROUND(VLOOKUP(MATCH(E353,c_id,0),ca,'13(an)'!$CJ$34,FALSE),1)&amp;" ppmvd"),IF(VLOOKUP(MATCH(E353,c_id,0),ca,'13(an)'!$CI$34,FALSE)="","",IF(LEN(ROUND(VLOOKUP(MATCH(E353,c_id,0),ca,'13(an)'!$CI$34,FALSE),3))=3,ROUND(VLOOKUP(MATCH(E353,c_id,0),ca,'13(an)'!$CI$34,FALSE),3)&amp;"00 lb/MMBtu",IF(LEN(ROUND(VLOOKUP(MATCH(E353,c_id,0),ca,'13(an)'!$CI$34,FALSE),3))=4,ROUND(VLOOKUP(MATCH(E353,c_id,0),ca,'13(an)'!$CI$34,FALSE),3)&amp;"0 lb/MMBtu",ROUND(VLOOKUP(MATCH(E353,c_id,0),ca,'13(an)'!$CI$34,FALSE),3)&amp;" lb/MMBtu"))))</f>
        <v>0.016 lb/MMBtu</v>
      </c>
      <c r="AF355" s="7602">
        <f>+IF(E353="","",IF(VLOOKUP(MATCH(E353,c_id,0),ca,'13(an)'!$CL$34,FALSE)="","NOx(R) = N/A",ROUND(VLOOKUP(MATCH(E353,c_id,0),ca,'13(an)'!$CL$34,FALSE),1)))</f>
        <v>44.6</v>
      </c>
      <c r="AG355" s="7536"/>
      <c r="AH355" s="5962"/>
      <c r="AI355" s="5959"/>
      <c r="AJ355" s="5959"/>
      <c r="AK355" s="5959"/>
      <c r="AL355" s="5959"/>
      <c r="AM355" s="5959"/>
    </row>
    <row r="356" spans="1:39" ht="18" customHeight="1">
      <c r="A356" s="5952"/>
      <c r="B356" s="9079"/>
      <c r="C356" s="8852" t="str">
        <f>+IF(B356="","",VLOOKUP(MATCH(B356,tid,0),tao,'12(id)'!$J$20,FALSE))</f>
        <v/>
      </c>
      <c r="D356" s="9161"/>
      <c r="E356" s="9079"/>
      <c r="F356" s="5952"/>
      <c r="G356" s="5959"/>
      <c r="H356" s="5952"/>
      <c r="I356" s="9097"/>
      <c r="J356" s="9099" t="e">
        <f>+IF(VLOOKUP(MATCH(B356,tid,0),tao,'12(id)'!$I$20,FALSE)="","",VLOOKUP(MATCH(B356,tid,0),tao,'12(id)'!$I$20,FALSE))</f>
        <v>#N/A</v>
      </c>
      <c r="K356" s="9064" t="e">
        <f>+IF(VLOOKUP(MATCH(B356,tid,0),tao,'12(id)'!$K$20,FALSE)="","",VLOOKUP(MATCH(B356,tid,0),tao,'12(id)'!$K$20,FALSE))</f>
        <v>#N/A</v>
      </c>
      <c r="L356" s="9102" t="e">
        <f>+IF(VLOOKUP(MATCH(B356,tid,0),tao,'12(id)'!$L$20,FALSE)="","",VLOOKUP(MATCH(B356,tid,0),tao,'12(id)'!$L$20,FALSE))</f>
        <v>#N/A</v>
      </c>
      <c r="M356" s="9193" t="e">
        <f>+IF(VLOOKUP(MATCH(B356,tid,0),tao,'12(id)'!$Q$20,FALSE)="","",VLOOKUP(MATCH(B356,tid,0),tao,'12(id)'!$Q$20,FALSE))</f>
        <v>#N/A</v>
      </c>
      <c r="N356" s="9085" t="e">
        <f>+IF(VLOOKUP(MATCH(B356,tid,0),tao,'12(id)'!$CT$20,FALSE)="","",VLOOKUP(MATCH(B356,tid,0),tao,'12(id)'!$CT$20,FALSE))</f>
        <v>#N/A</v>
      </c>
      <c r="O356" s="8985" t="e">
        <f>+IF(VLOOKUP(MATCH(B356,tid,0),tao,'12(id)'!$DE$20,FALSE)="","",ROUND(VLOOKUP(MATCH(B356,tid,0),tao,'12(id)'!$DE$20,FALSE),0)&amp;" yrs")</f>
        <v>#N/A</v>
      </c>
      <c r="P356" s="9001" t="e">
        <f>+IF(VLOOKUP(MATCH(B356,tid,0),tao,'12(id)'!$FR$20,FALSE)="","",VLOOKUP(MATCH(B356,tid,0),tao,'12(id)'!$FR$20,FALSE))</f>
        <v>#N/A</v>
      </c>
      <c r="Q356" s="8985" t="e">
        <f>+IF(VLOOKUP(MATCH(B356,tid,0),tao,'12(id)'!$DI$20,FALSE)="","",VLOOKUP(MATCH(B356,tid,0),tao,'12(id)'!$DI$20,FALSE))&amp;";  "&amp;IF(VLOOKUP(MATCH(B356,tid,0),tao,'12(id)'!$DQ$20,FALSE)="","",VLOOKUP(MATCH(B356,tid,0),tao,'12(id)'!$DQ$20,FALSE))</f>
        <v>#N/A</v>
      </c>
      <c r="R356" s="8906"/>
      <c r="S356" s="8818"/>
      <c r="T356" s="7470">
        <f>+IF(VLOOKUP(MATCH(E353,c_id,0),ca,'13(an)'!$GF$34,FALSE)="","",VLOOKUP(MATCH(E353,c_id,0),ca,'13(an)'!$GF$34,FALSE))</f>
        <v>82710410</v>
      </c>
      <c r="U356" s="7570" t="str">
        <f>+IF(T356="","","$ TCC/unit")</f>
        <v>$ TCC/unit</v>
      </c>
      <c r="V356" s="7541">
        <f>+IF(VLOOKUP(MATCH(E353,c_id,0),ca,'13(an)'!$HA$34,FALSE)="","",VLOOKUP(MATCH(E353,c_id,0),ca,'13(an)'!$HA$34,FALSE))</f>
        <v>21264222</v>
      </c>
      <c r="W356" s="7540"/>
      <c r="X356" s="8818"/>
      <c r="Y356" s="7470">
        <f>+IF(VLOOKUP(MATCH(E353,c_id,0),ca,'13(an)'!$IA$34,FALSE)="","",VLOOKUP(MATCH(E353,c_id,0),ca,'13(an)'!$IA$34,FALSE))</f>
        <v>82710410</v>
      </c>
      <c r="Z356" s="7570" t="str">
        <f>+IF(Y356="","","$ TCC/unit")</f>
        <v>$ TCC/unit</v>
      </c>
      <c r="AA356" s="7541">
        <f>+IF(Y356="","",$AA$19*Y356)</f>
        <v>6204036.6299832482</v>
      </c>
      <c r="AB356" s="7541"/>
      <c r="AC356" s="8818"/>
      <c r="AD356" s="7470">
        <f>+IF(VLOOKUP(MATCH(E353,c_id,0),ca,'13(an)'!$JS$34,FALSE)="","",VLOOKUP(MATCH(E353,c_id,0),ca,'13(an)'!$JS$34,FALSE))</f>
        <v>82710410</v>
      </c>
      <c r="AE356" s="7570" t="str">
        <f>+IF(AD356="","","$ TCC/unit")</f>
        <v>$ TCC/unit</v>
      </c>
      <c r="AF356" s="7541">
        <f>+IF(AD356="","",$AF$19*AD356)</f>
        <v>6204036.6299832482</v>
      </c>
      <c r="AG356" s="7542"/>
      <c r="AH356" s="5962"/>
      <c r="AI356" s="5959"/>
      <c r="AJ356" s="5959"/>
      <c r="AK356" s="5959"/>
      <c r="AL356" s="5959"/>
      <c r="AM356" s="5959"/>
    </row>
    <row r="357" spans="1:39" ht="18" customHeight="1">
      <c r="A357" s="5952"/>
      <c r="B357" s="9079"/>
      <c r="C357" s="8852" t="str">
        <f>+IF(B357="","",VLOOKUP(MATCH(B357,tid,0),tao,'12(id)'!$J$20,FALSE))</f>
        <v/>
      </c>
      <c r="D357" s="9161"/>
      <c r="E357" s="9079"/>
      <c r="F357" s="5952"/>
      <c r="G357" s="5959"/>
      <c r="H357" s="5952"/>
      <c r="I357" s="9097"/>
      <c r="J357" s="9099" t="e">
        <f>+IF(VLOOKUP(MATCH(B357,tid,0),tao,'12(id)'!$I$20,FALSE)="","",VLOOKUP(MATCH(B357,tid,0),tao,'12(id)'!$I$20,FALSE))</f>
        <v>#N/A</v>
      </c>
      <c r="K357" s="9064" t="e">
        <f>+IF(VLOOKUP(MATCH(B357,tid,0),tao,'12(id)'!$K$20,FALSE)="","",VLOOKUP(MATCH(B357,tid,0),tao,'12(id)'!$K$20,FALSE))</f>
        <v>#N/A</v>
      </c>
      <c r="L357" s="9102" t="e">
        <f>+IF(VLOOKUP(MATCH(B357,tid,0),tao,'12(id)'!$L$20,FALSE)="","",VLOOKUP(MATCH(B357,tid,0),tao,'12(id)'!$L$20,FALSE))</f>
        <v>#N/A</v>
      </c>
      <c r="M357" s="9193" t="e">
        <f>+IF(VLOOKUP(MATCH(B357,tid,0),tao,'12(id)'!$Q$20,FALSE)="","",VLOOKUP(MATCH(B357,tid,0),tao,'12(id)'!$Q$20,FALSE))</f>
        <v>#N/A</v>
      </c>
      <c r="N357" s="9085" t="e">
        <f>+IF(VLOOKUP(MATCH(B357,tid,0),tao,'12(id)'!$CT$20,FALSE)="","",VLOOKUP(MATCH(B357,tid,0),tao,'12(id)'!$CT$20,FALSE))</f>
        <v>#N/A</v>
      </c>
      <c r="O357" s="8985" t="e">
        <f>+IF(VLOOKUP(MATCH(B357,tid,0),tao,'12(id)'!$DE$20,FALSE)="","",ROUND(VLOOKUP(MATCH(B357,tid,0),tao,'12(id)'!$DE$20,FALSE),0)&amp;" yrs")</f>
        <v>#N/A</v>
      </c>
      <c r="P357" s="9001" t="e">
        <f>+IF(VLOOKUP(MATCH(B357,tid,0),tao,'12(id)'!$FR$20,FALSE)="","",VLOOKUP(MATCH(B357,tid,0),tao,'12(id)'!$FR$20,FALSE))</f>
        <v>#N/A</v>
      </c>
      <c r="Q357" s="8985" t="e">
        <f>+IF(VLOOKUP(MATCH(B357,tid,0),tao,'12(id)'!$DI$20,FALSE)="","",VLOOKUP(MATCH(B357,tid,0),tao,'12(id)'!$DI$20,FALSE))&amp;";  "&amp;IF(VLOOKUP(MATCH(B357,tid,0),tao,'12(id)'!$DQ$20,FALSE)="","",VLOOKUP(MATCH(B357,tid,0),tao,'12(id)'!$DQ$20,FALSE))</f>
        <v>#N/A</v>
      </c>
      <c r="R357" s="8906"/>
      <c r="S357" s="8818"/>
      <c r="T357" s="7543">
        <f>+IF(OR(T356="",N347=""),"",T356/N347)</f>
        <v>504331.76829268294</v>
      </c>
      <c r="U357" s="8820" t="str">
        <f>+IF(T357="","","$ TCC / MW nominal capacity")</f>
        <v>$ TCC / MW nominal capacity</v>
      </c>
      <c r="V357" s="8820"/>
      <c r="W357" s="7544"/>
      <c r="X357" s="8818"/>
      <c r="Y357" s="7543">
        <f>+IF(OR(Y356="",N347=""),"",Y356/N347)</f>
        <v>504331.76829268294</v>
      </c>
      <c r="Z357" s="8820" t="str">
        <f>+IF(Y357="","","$ TCC / MW nominal capacity")</f>
        <v>$ TCC / MW nominal capacity</v>
      </c>
      <c r="AA357" s="8820"/>
      <c r="AB357" s="7545"/>
      <c r="AC357" s="8818"/>
      <c r="AD357" s="7543">
        <f>+IF(OR(AD356="",N347=""),"",AD356/N347)</f>
        <v>504331.76829268294</v>
      </c>
      <c r="AE357" s="8820" t="str">
        <f>+IF(AD357="","","$ TCC / MW nominal capacity")</f>
        <v>$ TCC / MW nominal capacity</v>
      </c>
      <c r="AF357" s="8820"/>
      <c r="AG357" s="7546"/>
      <c r="AH357" s="5962"/>
      <c r="AI357" s="5959"/>
      <c r="AJ357" s="5959"/>
      <c r="AK357" s="5959"/>
      <c r="AL357" s="5959"/>
      <c r="AM357" s="5959"/>
    </row>
    <row r="358" spans="1:39" ht="18" customHeight="1">
      <c r="A358" s="5952"/>
      <c r="B358" s="9079"/>
      <c r="C358" s="8852" t="str">
        <f>+IF(B358="","",VLOOKUP(MATCH(B358,tid,0),tao,'12(id)'!$J$20,FALSE))</f>
        <v/>
      </c>
      <c r="D358" s="9161"/>
      <c r="E358" s="9080"/>
      <c r="F358" s="5952"/>
      <c r="G358" s="5959"/>
      <c r="H358" s="5952"/>
      <c r="I358" s="9097"/>
      <c r="J358" s="9099" t="e">
        <f>+IF(VLOOKUP(MATCH(B358,tid,0),tao,'12(id)'!$I$20,FALSE)="","",VLOOKUP(MATCH(B358,tid,0),tao,'12(id)'!$I$20,FALSE))</f>
        <v>#N/A</v>
      </c>
      <c r="K358" s="9064" t="e">
        <f>+IF(VLOOKUP(MATCH(B358,tid,0),tao,'12(id)'!$K$20,FALSE)="","",VLOOKUP(MATCH(B358,tid,0),tao,'12(id)'!$K$20,FALSE))</f>
        <v>#N/A</v>
      </c>
      <c r="L358" s="9102" t="e">
        <f>+IF(VLOOKUP(MATCH(B358,tid,0),tao,'12(id)'!$L$20,FALSE)="","",VLOOKUP(MATCH(B358,tid,0),tao,'12(id)'!$L$20,FALSE))</f>
        <v>#N/A</v>
      </c>
      <c r="M358" s="9193" t="e">
        <f>+IF(VLOOKUP(MATCH(B358,tid,0),tao,'12(id)'!$Q$20,FALSE)="","",VLOOKUP(MATCH(B358,tid,0),tao,'12(id)'!$Q$20,FALSE))</f>
        <v>#N/A</v>
      </c>
      <c r="N358" s="9085" t="e">
        <f>+IF(VLOOKUP(MATCH(B358,tid,0),tao,'12(id)'!$CT$20,FALSE)="","",VLOOKUP(MATCH(B358,tid,0),tao,'12(id)'!$CT$20,FALSE))</f>
        <v>#N/A</v>
      </c>
      <c r="O358" s="8985" t="e">
        <f>+IF(VLOOKUP(MATCH(B358,tid,0),tao,'12(id)'!$DE$20,FALSE)="","",ROUND(VLOOKUP(MATCH(B358,tid,0),tao,'12(id)'!$DE$20,FALSE),0)&amp;" yrs")</f>
        <v>#N/A</v>
      </c>
      <c r="P358" s="9001" t="e">
        <f>+IF(VLOOKUP(MATCH(B358,tid,0),tao,'12(id)'!$FR$20,FALSE)="","",VLOOKUP(MATCH(B358,tid,0),tao,'12(id)'!$FR$20,FALSE))</f>
        <v>#N/A</v>
      </c>
      <c r="Q358" s="8985" t="e">
        <f>+IF(VLOOKUP(MATCH(B358,tid,0),tao,'12(id)'!$DI$20,FALSE)="","",VLOOKUP(MATCH(B358,tid,0),tao,'12(id)'!$DI$20,FALSE))&amp;";  "&amp;IF(VLOOKUP(MATCH(B358,tid,0),tao,'12(id)'!$DQ$20,FALSE)="","",VLOOKUP(MATCH(B358,tid,0),tao,'12(id)'!$DQ$20,FALSE))</f>
        <v>#N/A</v>
      </c>
      <c r="R358" s="8906"/>
      <c r="S358" s="7419"/>
      <c r="T358" s="7590">
        <f>+IF(VLOOKUP(MATCH(E353,c_id,0),ca,'13(an)'!$HF$34,FALSE)="","",VLOOKUP(MATCH(E353,c_id,0),ca,'13(an)'!$HF$34,FALSE))</f>
        <v>1294738</v>
      </c>
      <c r="U358" s="8829" t="str">
        <f>IF(T358="","","$ /ton "&amp;"NOx(R)")</f>
        <v>$ /ton NOx(R)</v>
      </c>
      <c r="V358" s="8829"/>
      <c r="W358" s="7730"/>
      <c r="X358" s="7419"/>
      <c r="Y358" s="7590">
        <f>+IF(VLOOKUP(MATCH(E353,c_id,0),ca,'13(an)'!$JE$34,FALSE)="","",VLOOKUP(MATCH(E353,c_id,0),ca,'13(an)'!$JE$34,FALSE))</f>
        <v>141105.73804676201</v>
      </c>
      <c r="Z358" s="8829" t="str">
        <f>IF(Y358="","","$ /ton "&amp;"NOx(R)")</f>
        <v>$ /ton NOx(R)</v>
      </c>
      <c r="AA358" s="8829"/>
      <c r="AB358" s="7731"/>
      <c r="AC358" s="7419"/>
      <c r="AD358" s="7590">
        <f>+IF(VLOOKUP(MATCH(E353,c_id,0),ca,'13(an)'!$LB$34,FALSE)="","",VLOOKUP(MATCH(E353,c_id,0),ca,'13(an)'!$LB$34,FALSE))</f>
        <v>172823.06367539961</v>
      </c>
      <c r="AE358" s="8829" t="str">
        <f>IF(AD358="","","$ /ton "&amp;"NOx(R)")</f>
        <v>$ /ton NOx(R)</v>
      </c>
      <c r="AF358" s="8829"/>
      <c r="AG358" s="7732"/>
      <c r="AH358" s="5962"/>
      <c r="AI358" s="5959"/>
      <c r="AJ358" s="5959"/>
      <c r="AK358" s="5959"/>
      <c r="AL358" s="5959"/>
      <c r="AM358" s="5959"/>
    </row>
    <row r="359" spans="1:39" ht="18" customHeight="1">
      <c r="A359" s="5952"/>
      <c r="B359" s="9088" t="str">
        <f>+IF('12(id)'!A56="","",'12(id)'!A56)</f>
        <v>8306-07</v>
      </c>
      <c r="C359" s="8852" t="str">
        <f>+IF(B359="","",VLOOKUP(MATCH(B359,tid,0),tao,'12(id)'!$J$20,FALSE))</f>
        <v>NRG</v>
      </c>
      <c r="D359" s="9162" t="str">
        <f>+IF(B359="","",M359)</f>
        <v>NH2 </v>
      </c>
      <c r="E359" s="9035" t="str">
        <f>+IF(B359="","",B359&amp;IF(ISERR(VALUE(R359)),"-01",IF(R359&lt;10,"-0"&amp;R359,"-"&amp;R359)))</f>
        <v>8306-07-01</v>
      </c>
      <c r="F359" s="5952"/>
      <c r="G359" s="5959"/>
      <c r="H359" s="5952"/>
      <c r="I359" s="9177">
        <f>1+I347</f>
        <v>7</v>
      </c>
      <c r="J359" s="9099" t="str">
        <f>+IF(VLOOKUP(MATCH(B359,tid,0),tao,'12(id)'!$I$20,FALSE)="","",VLOOKUP(MATCH(B359,tid,0),tao,'12(id)'!$I$20,FALSE))</f>
        <v/>
      </c>
      <c r="K359" s="9064">
        <f>+IF(VLOOKUP(MATCH(B359,tid,0),tao,'12(id)'!$K$20,FALSE)="","",VLOOKUP(MATCH(B359,tid,0),tao,'12(id)'!$K$20,FALSE))</f>
        <v>8306</v>
      </c>
      <c r="L359" s="9102" t="str">
        <f>+IF(VLOOKUP(MATCH(B359,tid,0),tao,'12(id)'!$L$20,FALSE)="","",VLOOKUP(MATCH(B359,tid,0),tao,'12(id)'!$L$20,FALSE))</f>
        <v>Norwalk Harbor Station</v>
      </c>
      <c r="M359" s="9160" t="str">
        <f>+IF(B359="","",IF(VLOOKUP(MATCH(B359,tid,0),tao,'12(id)'!$Q$20,FALSE)="","",VLOOKUP(MATCH(B359,tid,0),tao,'12(id)'!$Q$20,FALSE)))</f>
        <v>NH2 </v>
      </c>
      <c r="N359" s="9090">
        <f>+IF(B359="","",IF(VLOOKUP(MATCH(B359,tid,0),tao,'12(id)'!$CT$20,FALSE)="","",VLOOKUP(MATCH(B359,tid,0),tao,'12(id)'!$CT$20,FALSE)))</f>
        <v>172</v>
      </c>
      <c r="O359" s="9159" t="str">
        <f>+IF(B359="","",IF(VLOOKUP(MATCH(B359,tid,0),tao,'12(id)'!$DE$20,FALSE)="","",ROUND(VLOOKUP(MATCH(B359,tid,0),tao,'12(id)'!$DE$20,FALSE),0)&amp;" yrs"))</f>
        <v/>
      </c>
      <c r="P359" s="9026" t="str">
        <f>+IF(B359="","",IF(VLOOKUP(MATCH(B359,tid,0),tao,'12(id)'!$FR$20,FALSE)="","",VLOOKUP(MATCH(B359,tid,0),tao,'12(id)'!$FR$20,FALSE)))</f>
        <v>None</v>
      </c>
      <c r="Q359" s="9159" t="str">
        <f>+IF(B359="","",IF(VLOOKUP(MATCH(B359,tid,0),tao,'12(id)'!$DI$20,FALSE)="","",VLOOKUP(MATCH(B359,tid,0),tao,'12(id)'!$DI$20,FALSE))&amp;";  "&amp;IF(VLOOKUP(MATCH(B359,tid,0),tao,'12(id)'!$DQ$20,FALSE)="","",VLOOKUP(MATCH(B359,tid,0),tao,'12(id)'!$DQ$20,FALSE)))</f>
        <v>No. 6 oil;  No. 2 oil</v>
      </c>
      <c r="R359" s="9166">
        <f>+IF(B359="","",1)</f>
        <v>1</v>
      </c>
      <c r="S359" s="8859"/>
      <c r="T359" s="8874" t="str">
        <f>+IF(VLOOKUP(MATCH(E359,c_id,0),ca,'13(an)'!$BD$34,FALSE)="","",VLOOKUP(MATCH(E359,c_id,0),ca,'13(an)'!$BD$34,FALSE))</f>
        <v>Separated Overfired Air / High Energy Reagent Technology (SOFA/HERT)</v>
      </c>
      <c r="U359" s="8870"/>
      <c r="V359" s="8870"/>
      <c r="W359" s="7531"/>
      <c r="X359" s="8859"/>
      <c r="Y359" s="8874" t="str">
        <f>+T359</f>
        <v>Separated Overfired Air / High Energy Reagent Technology (SOFA/HERT)</v>
      </c>
      <c r="Z359" s="8870"/>
      <c r="AA359" s="8870"/>
      <c r="AB359" s="7532"/>
      <c r="AC359" s="8859"/>
      <c r="AD359" s="8874" t="str">
        <f>+T359</f>
        <v>Separated Overfired Air / High Energy Reagent Technology (SOFA/HERT)</v>
      </c>
      <c r="AE359" s="8870"/>
      <c r="AF359" s="8870"/>
      <c r="AG359" s="7533"/>
      <c r="AH359" s="5962"/>
      <c r="AI359" s="5959"/>
      <c r="AJ359" s="5959"/>
      <c r="AK359" s="5959"/>
      <c r="AL359" s="5959"/>
      <c r="AM359" s="5959"/>
    </row>
    <row r="360" spans="1:39" ht="18" customHeight="1">
      <c r="A360" s="5952"/>
      <c r="B360" s="9035"/>
      <c r="C360" s="8852" t="str">
        <f>+IF(B360="","",VLOOKUP(MATCH(B360,tid,0),tao,'12(id)'!$J$20,FALSE))</f>
        <v/>
      </c>
      <c r="D360" s="8840"/>
      <c r="E360" s="9035"/>
      <c r="F360" s="5952"/>
      <c r="G360" s="5959"/>
      <c r="H360" s="5952"/>
      <c r="I360" s="9097"/>
      <c r="J360" s="9099" t="e">
        <f>+IF(VLOOKUP(MATCH(B360,tid,0),tao,'12(id)'!$I$20,FALSE)="","",VLOOKUP(MATCH(B360,tid,0),tao,'12(id)'!$I$20,FALSE))</f>
        <v>#N/A</v>
      </c>
      <c r="K360" s="9064" t="e">
        <f>+IF(VLOOKUP(MATCH(B360,tid,0),tao,'12(id)'!$K$20,FALSE)="","",VLOOKUP(MATCH(B360,tid,0),tao,'12(id)'!$K$20,FALSE))</f>
        <v>#N/A</v>
      </c>
      <c r="L360" s="9102" t="e">
        <f>+IF(VLOOKUP(MATCH(B360,tid,0),tao,'12(id)'!$L$20,FALSE)="","",VLOOKUP(MATCH(B360,tid,0),tao,'12(id)'!$L$20,FALSE))</f>
        <v>#N/A</v>
      </c>
      <c r="M360" s="9058" t="e">
        <f>+IF(VLOOKUP(MATCH(B360,tid,0),tao,'12(id)'!$Q$20,FALSE)="","",VLOOKUP(MATCH(B360,tid,0),tao,'12(id)'!$Q$20,FALSE))</f>
        <v>#N/A</v>
      </c>
      <c r="N360" s="9085" t="e">
        <f>+IF(VLOOKUP(MATCH(B360,tid,0),tao,'12(id)'!$CT$20,FALSE)="","",VLOOKUP(MATCH(B360,tid,0),tao,'12(id)'!$CT$20,FALSE))</f>
        <v>#N/A</v>
      </c>
      <c r="O360" s="8985" t="e">
        <f>+IF(VLOOKUP(MATCH(B360,tid,0),tao,'12(id)'!$DE$20,FALSE)="","",ROUND(VLOOKUP(MATCH(B360,tid,0),tao,'12(id)'!$DE$20,FALSE),0)&amp;" yrs")</f>
        <v>#N/A</v>
      </c>
      <c r="P360" s="9001" t="e">
        <f>+IF(VLOOKUP(MATCH(B360,tid,0),tao,'12(id)'!$FR$20,FALSE)="","",VLOOKUP(MATCH(B360,tid,0),tao,'12(id)'!$FR$20,FALSE))</f>
        <v>#N/A</v>
      </c>
      <c r="Q360" s="8985" t="e">
        <f>+IF(VLOOKUP(MATCH(B360,tid,0),tao,'12(id)'!$DI$20,FALSE)="","",VLOOKUP(MATCH(B360,tid,0),tao,'12(id)'!$DI$20,FALSE))&amp;";  "&amp;IF(VLOOKUP(MATCH(B360,tid,0),tao,'12(id)'!$DQ$20,FALSE)="","",VLOOKUP(MATCH(B360,tid,0),tao,'12(id)'!$DQ$20,FALSE))</f>
        <v>#N/A</v>
      </c>
      <c r="R360" s="9167"/>
      <c r="S360" s="8818"/>
      <c r="T360" s="8870"/>
      <c r="U360" s="8870"/>
      <c r="V360" s="8870"/>
      <c r="W360" s="7531"/>
      <c r="X360" s="8818"/>
      <c r="Y360" s="8870"/>
      <c r="Z360" s="8870"/>
      <c r="AA360" s="8870"/>
      <c r="AB360" s="7532"/>
      <c r="AC360" s="8818"/>
      <c r="AD360" s="8870"/>
      <c r="AE360" s="8870"/>
      <c r="AF360" s="8870"/>
      <c r="AG360" s="7533"/>
      <c r="AH360" s="5962"/>
      <c r="AI360" s="5959"/>
      <c r="AJ360" s="5959"/>
      <c r="AK360" s="5959"/>
      <c r="AL360" s="5959"/>
      <c r="AM360" s="5959"/>
    </row>
    <row r="361" spans="1:39" ht="18" customHeight="1">
      <c r="A361" s="5952"/>
      <c r="B361" s="9035"/>
      <c r="C361" s="8852" t="str">
        <f>+IF(B361="","",VLOOKUP(MATCH(B361,tid,0),tao,'12(id)'!$J$20,FALSE))</f>
        <v/>
      </c>
      <c r="D361" s="8840"/>
      <c r="E361" s="9035"/>
      <c r="F361" s="5952"/>
      <c r="G361" s="5959"/>
      <c r="H361" s="5952"/>
      <c r="I361" s="9097"/>
      <c r="J361" s="9099" t="e">
        <f>+IF(VLOOKUP(MATCH(B361,tid,0),tao,'12(id)'!$I$20,FALSE)="","",VLOOKUP(MATCH(B361,tid,0),tao,'12(id)'!$I$20,FALSE))</f>
        <v>#N/A</v>
      </c>
      <c r="K361" s="9064" t="e">
        <f>+IF(VLOOKUP(MATCH(B361,tid,0),tao,'12(id)'!$K$20,FALSE)="","",VLOOKUP(MATCH(B361,tid,0),tao,'12(id)'!$K$20,FALSE))</f>
        <v>#N/A</v>
      </c>
      <c r="L361" s="9102" t="e">
        <f>+IF(VLOOKUP(MATCH(B361,tid,0),tao,'12(id)'!$L$20,FALSE)="","",VLOOKUP(MATCH(B361,tid,0),tao,'12(id)'!$L$20,FALSE))</f>
        <v>#N/A</v>
      </c>
      <c r="M361" s="9058" t="e">
        <f>+IF(VLOOKUP(MATCH(B361,tid,0),tao,'12(id)'!$Q$20,FALSE)="","",VLOOKUP(MATCH(B361,tid,0),tao,'12(id)'!$Q$20,FALSE))</f>
        <v>#N/A</v>
      </c>
      <c r="N361" s="9085" t="e">
        <f>+IF(VLOOKUP(MATCH(B361,tid,0),tao,'12(id)'!$CT$20,FALSE)="","",VLOOKUP(MATCH(B361,tid,0),tao,'12(id)'!$CT$20,FALSE))</f>
        <v>#N/A</v>
      </c>
      <c r="O361" s="8985" t="e">
        <f>+IF(VLOOKUP(MATCH(B361,tid,0),tao,'12(id)'!$DE$20,FALSE)="","",ROUND(VLOOKUP(MATCH(B361,tid,0),tao,'12(id)'!$DE$20,FALSE),0)&amp;" yrs")</f>
        <v>#N/A</v>
      </c>
      <c r="P361" s="9001" t="e">
        <f>+IF(VLOOKUP(MATCH(B361,tid,0),tao,'12(id)'!$FR$20,FALSE)="","",VLOOKUP(MATCH(B361,tid,0),tao,'12(id)'!$FR$20,FALSE))</f>
        <v>#N/A</v>
      </c>
      <c r="Q361" s="8985" t="e">
        <f>+IF(VLOOKUP(MATCH(B361,tid,0),tao,'12(id)'!$DI$20,FALSE)="","",VLOOKUP(MATCH(B361,tid,0),tao,'12(id)'!$DI$20,FALSE))&amp;";  "&amp;IF(VLOOKUP(MATCH(B361,tid,0),tao,'12(id)'!$DQ$20,FALSE)="","",VLOOKUP(MATCH(B361,tid,0),tao,'12(id)'!$DQ$20,FALSE))</f>
        <v>#N/A</v>
      </c>
      <c r="R361" s="9167"/>
      <c r="S361" s="8818"/>
      <c r="T361" s="7600" t="str">
        <f>+IF(E359="","",IF(VLOOKUP(MATCH(E359,c_id,0),ca,'13(an)'!$CC$34,FALSE)="",IF(VLOOKUP(MATCH(E359,c_id,0),ca,'13(an)'!$CD$34,FALSE)="",IF(VLOOKUP(MATCH(E359,c_id,0),ca,'13(an)'!$CE$34,FALSE)="","η ≈ N/A","η ≈ "&amp;ROUND(VLOOKUP(MATCH(E359,c_id,0),ca,'13(an)'!$CE$34,FALSE)*100,0)&amp;"%"),"η ≈ "&amp;ROUND(VLOOKUP(MATCH(E359,c_id,0),ca,'13(an)'!$CD$34,FALSE)*100,0)&amp;"%"),"η ≈ "&amp;ROUND(VLOOKUP(MATCH(E359,c_id,0),ca,'13(an)'!$CC$34,FALSE)*100,0)&amp;"%"))</f>
        <v>η ≈ 29%</v>
      </c>
      <c r="U361" s="7601" t="str">
        <f>+IF($U$371="ppmvd",IF(VLOOKUP(MATCH(E359,c_id,0),ca,'13(an)'!$BV$34,FALSE)="","",ROUND(VLOOKUP(MATCH(E359,c_id,0),ca,'13(an)'!$BV$34,FALSE),1)&amp;" ppmvd"),IF(VLOOKUP(MATCH(E359,c_id,0),ca,'13(an)'!$BU$34,FALSE)="","",IF(LEN(ROUND(VLOOKUP(MATCH(E359,c_id,0),ca,'13(an)'!$BU$34,FALSE),3))=3,ROUND(VLOOKUP(MATCH(E359,c_id,0),ca,'13(an)'!$BU$34,FALSE),3)&amp;"00 lb/MMBtu",IF(LEN(ROUND(VLOOKUP(MATCH(E359,c_id,0),ca,'13(an)'!$BU$34,FALSE),3))=4,ROUND(VLOOKUP(MATCH(E359,c_id,0),ca,'13(an)'!$BU$34,FALSE),3)&amp;"0 lb/MMBtu",ROUND(VLOOKUP(MATCH(E359,c_id,0),ca,'13(an)'!$BU$34,FALSE),3)&amp;" lb/MMBtu"))))</f>
        <v>0.150 lb/MMBtu</v>
      </c>
      <c r="V361" s="7602">
        <f>+IF(E359="","",IF(VLOOKUP(MATCH(E359,c_id,0),ca,'13(an)'!$CB$34,FALSE)="","NOx(R) = N/A",ROUND(VLOOKUP(MATCH(E359,c_id,0),ca,'13(an)'!$CB$34,FALSE),1)))</f>
        <v>11.1</v>
      </c>
      <c r="W361" s="7534"/>
      <c r="X361" s="8818"/>
      <c r="Y361" s="7600" t="str">
        <f>+IF(E359="","",IF(VLOOKUP(MATCH(E359,c_id,0),ca,'13(an)'!$CM$34,FALSE)="",IF(VLOOKUP(MATCH(E359,c_id,0),ca,'13(an)'!$CN$34,FALSE)="",IF(VLOOKUP(MATCH(E359,c_id,0),ca,'13(an)'!$CO$34,FALSE)="","η ≈ N/A","η ≈ "&amp;ROUND(VLOOKUP(MATCH(E359,c_id,0),ca,'13(an)'!$CO$34,FALSE)*100,0)&amp;"%"),"η ≈ "&amp;ROUND(VLOOKUP(MATCH(E359,c_id,0),ca,'13(an)'!$CN$34,FALSE)*100,0)&amp;"%"),"η ≈ "&amp;ROUND(VLOOKUP(MATCH(E359,c_id,0),ca,'13(an)'!$CM$34,FALSE)*100,0)&amp;"%"))</f>
        <v>η ≈ 45%</v>
      </c>
      <c r="Z361" s="7601" t="str">
        <f>+IF($Z$371="ppmvd",IF(VLOOKUP(MATCH(E359,c_id,0),ca,'13(an)'!$CJ$34,FALSE)="","",ROUND(VLOOKUP(MATCH(E359,c_id,0),ca,'13(an)'!$CJ$34,FALSE),1)&amp;" ppmvd"),IF(VLOOKUP(MATCH(E359,c_id,0),ca,'13(an)'!$CI$34,FALSE)="","",IF(LEN(ROUND(VLOOKUP(MATCH(E359,c_id,0),ca,'13(an)'!$CI$34,FALSE),3))=3,ROUND(VLOOKUP(MATCH(E359,c_id,0),ca,'13(an)'!$CI$34,FALSE),3)&amp;"00 lb/MMBtu",IF(LEN(ROUND(VLOOKUP(MATCH(E359,c_id,0),ca,'13(an)'!$CI$34,FALSE),3))=4,ROUND(VLOOKUP(MATCH(E359,c_id,0),ca,'13(an)'!$CI$34,FALSE),3)&amp;"0 lb/MMBtu",ROUND(VLOOKUP(MATCH(E359,c_id,0),ca,'13(an)'!$CI$34,FALSE),3)&amp;" lb/MMBtu"))))</f>
        <v>0.082 lb/MMBtu</v>
      </c>
      <c r="AA361" s="7602">
        <f>+IF(E359="","",IF(VLOOKUP(MATCH(E359,c_id,0),ca,'13(an)'!$CL$34,FALSE)="","NOx(R) = N/A",ROUND(VLOOKUP(MATCH(E359,c_id,0),ca,'13(an)'!$CL$34,FALSE),1)))</f>
        <v>34.5</v>
      </c>
      <c r="AB361" s="7535"/>
      <c r="AC361" s="8818"/>
      <c r="AD361" s="7600" t="str">
        <f>+IF(E359="","",IF(VLOOKUP(MATCH(E359,c_id,0),ca,'13(an)'!$CM$34,FALSE)="",IF(VLOOKUP(MATCH(E359,c_id,0),ca,'13(an)'!$CN$34,FALSE)="",IF(VLOOKUP(MATCH(E359,c_id,0),ca,'13(an)'!$CO$34,FALSE)="","η ≈ N/A","η ≈ "&amp;ROUND(VLOOKUP(MATCH(E359,c_id,0),ca,'13(an)'!$CO$34,FALSE)*100,0)&amp;"%"),"η ≈ "&amp;ROUND(VLOOKUP(MATCH(E359,c_id,0),ca,'13(an)'!$CN$34,FALSE)*100,0)&amp;"%"),"η ≈ "&amp;ROUND(VLOOKUP(MATCH(E359,c_id,0),ca,'13(an)'!$CM$34,FALSE)*100,0)&amp;"%"))</f>
        <v>η ≈ 45%</v>
      </c>
      <c r="AE361" s="7601" t="str">
        <f>+IF($AE$371="ppmvd",IF(VLOOKUP(MATCH(E359,c_id,0),ca,'13(an)'!$CJ$34,FALSE)="","",ROUND(VLOOKUP(MATCH(E359,c_id,0),ca,'13(an)'!$CJ$34,FALSE),1)&amp;" ppmvd"),IF(VLOOKUP(MATCH(E359,c_id,0),ca,'13(an)'!$CI$34,FALSE)="","",IF(LEN(ROUND(VLOOKUP(MATCH(E359,c_id,0),ca,'13(an)'!$CI$34,FALSE),3))=3,ROUND(VLOOKUP(MATCH(E359,c_id,0),ca,'13(an)'!$CI$34,FALSE),3)&amp;"00 lb/MMBtu",IF(LEN(ROUND(VLOOKUP(MATCH(E359,c_id,0),ca,'13(an)'!$CI$34,FALSE),3))=4,ROUND(VLOOKUP(MATCH(E359,c_id,0),ca,'13(an)'!$CI$34,FALSE),3)&amp;"0 lb/MMBtu",ROUND(VLOOKUP(MATCH(E359,c_id,0),ca,'13(an)'!$CI$34,FALSE),3)&amp;" lb/MMBtu"))))</f>
        <v>0.082 lb/MMBtu</v>
      </c>
      <c r="AF361" s="7602">
        <f>+IF(E359="","",IF(VLOOKUP(MATCH(E359,c_id,0),ca,'13(an)'!$CL$34,FALSE)="","NOx(R) = N/A",ROUND(VLOOKUP(MATCH(E359,c_id,0),ca,'13(an)'!$CL$34,FALSE),1)))</f>
        <v>34.5</v>
      </c>
      <c r="AG361" s="7536"/>
      <c r="AH361" s="5962"/>
      <c r="AI361" s="5959"/>
      <c r="AJ361" s="5959"/>
      <c r="AK361" s="5959"/>
      <c r="AL361" s="5959"/>
      <c r="AM361" s="5959"/>
    </row>
    <row r="362" spans="1:39" ht="18.95" customHeight="1">
      <c r="A362" s="5952"/>
      <c r="B362" s="9035"/>
      <c r="C362" s="8852" t="str">
        <f>+IF(B362="","",VLOOKUP(MATCH(B362,tid,0),tao,'12(id)'!$J$20,FALSE))</f>
        <v/>
      </c>
      <c r="D362" s="8840"/>
      <c r="E362" s="9035"/>
      <c r="F362" s="5952"/>
      <c r="G362" s="5959"/>
      <c r="H362" s="5952"/>
      <c r="I362" s="9097"/>
      <c r="J362" s="9099" t="e">
        <f>+IF(VLOOKUP(MATCH(B362,tid,0),tao,'12(id)'!$I$20,FALSE)="","",VLOOKUP(MATCH(B362,tid,0),tao,'12(id)'!$I$20,FALSE))</f>
        <v>#N/A</v>
      </c>
      <c r="K362" s="9064" t="e">
        <f>+IF(VLOOKUP(MATCH(B362,tid,0),tao,'12(id)'!$K$20,FALSE)="","",VLOOKUP(MATCH(B362,tid,0),tao,'12(id)'!$K$20,FALSE))</f>
        <v>#N/A</v>
      </c>
      <c r="L362" s="9102" t="e">
        <f>+IF(VLOOKUP(MATCH(B362,tid,0),tao,'12(id)'!$L$20,FALSE)="","",VLOOKUP(MATCH(B362,tid,0),tao,'12(id)'!$L$20,FALSE))</f>
        <v>#N/A</v>
      </c>
      <c r="M362" s="9058" t="e">
        <f>+IF(VLOOKUP(MATCH(B362,tid,0),tao,'12(id)'!$Q$20,FALSE)="","",VLOOKUP(MATCH(B362,tid,0),tao,'12(id)'!$Q$20,FALSE))</f>
        <v>#N/A</v>
      </c>
      <c r="N362" s="9085" t="e">
        <f>+IF(VLOOKUP(MATCH(B362,tid,0),tao,'12(id)'!$CT$20,FALSE)="","",VLOOKUP(MATCH(B362,tid,0),tao,'12(id)'!$CT$20,FALSE))</f>
        <v>#N/A</v>
      </c>
      <c r="O362" s="8985" t="e">
        <f>+IF(VLOOKUP(MATCH(B362,tid,0),tao,'12(id)'!$DE$20,FALSE)="","",ROUND(VLOOKUP(MATCH(B362,tid,0),tao,'12(id)'!$DE$20,FALSE),0)&amp;" yrs")</f>
        <v>#N/A</v>
      </c>
      <c r="P362" s="9001" t="e">
        <f>+IF(VLOOKUP(MATCH(B362,tid,0),tao,'12(id)'!$FR$20,FALSE)="","",VLOOKUP(MATCH(B362,tid,0),tao,'12(id)'!$FR$20,FALSE))</f>
        <v>#N/A</v>
      </c>
      <c r="Q362" s="8985" t="e">
        <f>+IF(VLOOKUP(MATCH(B362,tid,0),tao,'12(id)'!$DI$20,FALSE)="","",VLOOKUP(MATCH(B362,tid,0),tao,'12(id)'!$DI$20,FALSE))&amp;";  "&amp;IF(VLOOKUP(MATCH(B362,tid,0),tao,'12(id)'!$DQ$20,FALSE)="","",VLOOKUP(MATCH(B362,tid,0),tao,'12(id)'!$DQ$20,FALSE))</f>
        <v>#N/A</v>
      </c>
      <c r="R362" s="9167"/>
      <c r="S362" s="8818"/>
      <c r="T362" s="7543">
        <f>+IF(VLOOKUP(MATCH(E359,c_id,0),ca,'13(an)'!$GF$34,FALSE)="","",VLOOKUP(MATCH(E359,c_id,0),ca,'13(an)'!$GF$34,FALSE))</f>
        <v>5857062.78302</v>
      </c>
      <c r="U362" s="7570" t="str">
        <f>+IF(T362="","","$ TCC/unit")</f>
        <v>$ TCC/unit</v>
      </c>
      <c r="V362" s="7541">
        <f>+IF(VLOOKUP(MATCH(E359,c_id,0),ca,'13(an)'!$HA$34,FALSE)="","",VLOOKUP(MATCH(E359,c_id,0),ca,'13(an)'!$HA$34,FALSE))</f>
        <v>1505807</v>
      </c>
      <c r="W362" s="7540"/>
      <c r="X362" s="8818"/>
      <c r="Y362" s="7543">
        <f>+IF(VLOOKUP(MATCH(E359,c_id,0),ca,'13(an)'!$IA$34,FALSE)="","",VLOOKUP(MATCH(E359,c_id,0),ca,'13(an)'!$IA$34,FALSE))</f>
        <v>5852064.0304724006</v>
      </c>
      <c r="Z362" s="7570" t="str">
        <f>+IF(Y362="","","$ TCC/unit")</f>
        <v>$ TCC/unit</v>
      </c>
      <c r="AA362" s="7541">
        <f>+IF(Y362="","",$AA$19*Y362)</f>
        <v>438958.28355896409</v>
      </c>
      <c r="AB362" s="7541"/>
      <c r="AC362" s="8818"/>
      <c r="AD362" s="7543">
        <f>+IF(VLOOKUP(MATCH(E359,c_id,0),ca,'13(an)'!$JS$34,FALSE)="","",VLOOKUP(MATCH(E359,c_id,0),ca,'13(an)'!$JS$34,FALSE))</f>
        <v>5852064.0304724006</v>
      </c>
      <c r="AE362" s="7570" t="str">
        <f>+IF(AD362="","","$ TCC/unit")</f>
        <v>$ TCC/unit</v>
      </c>
      <c r="AF362" s="7541">
        <f>+IF(AD362="","",$AF$19*AD362)</f>
        <v>438958.28355896409</v>
      </c>
      <c r="AG362" s="7542"/>
      <c r="AH362" s="5962"/>
      <c r="AI362" s="5959"/>
      <c r="AJ362" s="5959"/>
      <c r="AK362" s="5959"/>
      <c r="AL362" s="5959"/>
      <c r="AM362" s="5959"/>
    </row>
    <row r="363" spans="1:39" ht="18.95" customHeight="1">
      <c r="A363" s="5952"/>
      <c r="B363" s="9035"/>
      <c r="C363" s="8852" t="str">
        <f>+IF(B363="","",VLOOKUP(MATCH(B363,tid,0),tao,'12(id)'!$J$20,FALSE))</f>
        <v/>
      </c>
      <c r="D363" s="8840"/>
      <c r="E363" s="9035"/>
      <c r="F363" s="5952"/>
      <c r="G363" s="5959"/>
      <c r="H363" s="5952"/>
      <c r="I363" s="9097"/>
      <c r="J363" s="9099" t="e">
        <f>+IF(VLOOKUP(MATCH(B363,tid,0),tao,'12(id)'!$I$20,FALSE)="","",VLOOKUP(MATCH(B363,tid,0),tao,'12(id)'!$I$20,FALSE))</f>
        <v>#N/A</v>
      </c>
      <c r="K363" s="9064" t="e">
        <f>+IF(VLOOKUP(MATCH(B363,tid,0),tao,'12(id)'!$K$20,FALSE)="","",VLOOKUP(MATCH(B363,tid,0),tao,'12(id)'!$K$20,FALSE))</f>
        <v>#N/A</v>
      </c>
      <c r="L363" s="9102" t="e">
        <f>+IF(VLOOKUP(MATCH(B363,tid,0),tao,'12(id)'!$L$20,FALSE)="","",VLOOKUP(MATCH(B363,tid,0),tao,'12(id)'!$L$20,FALSE))</f>
        <v>#N/A</v>
      </c>
      <c r="M363" s="9058" t="e">
        <f>+IF(VLOOKUP(MATCH(B363,tid,0),tao,'12(id)'!$Q$20,FALSE)="","",VLOOKUP(MATCH(B363,tid,0),tao,'12(id)'!$Q$20,FALSE))</f>
        <v>#N/A</v>
      </c>
      <c r="N363" s="9085" t="e">
        <f>+IF(VLOOKUP(MATCH(B363,tid,0),tao,'12(id)'!$CT$20,FALSE)="","",VLOOKUP(MATCH(B363,tid,0),tao,'12(id)'!$CT$20,FALSE))</f>
        <v>#N/A</v>
      </c>
      <c r="O363" s="8985" t="e">
        <f>+IF(VLOOKUP(MATCH(B363,tid,0),tao,'12(id)'!$DE$20,FALSE)="","",ROUND(VLOOKUP(MATCH(B363,tid,0),tao,'12(id)'!$DE$20,FALSE),0)&amp;" yrs")</f>
        <v>#N/A</v>
      </c>
      <c r="P363" s="9001" t="e">
        <f>+IF(VLOOKUP(MATCH(B363,tid,0),tao,'12(id)'!$FR$20,FALSE)="","",VLOOKUP(MATCH(B363,tid,0),tao,'12(id)'!$FR$20,FALSE))</f>
        <v>#N/A</v>
      </c>
      <c r="Q363" s="8985" t="e">
        <f>+IF(VLOOKUP(MATCH(B363,tid,0),tao,'12(id)'!$DI$20,FALSE)="","",VLOOKUP(MATCH(B363,tid,0),tao,'12(id)'!$DI$20,FALSE))&amp;";  "&amp;IF(VLOOKUP(MATCH(B363,tid,0),tao,'12(id)'!$DQ$20,FALSE)="","",VLOOKUP(MATCH(B363,tid,0),tao,'12(id)'!$DQ$20,FALSE))</f>
        <v>#N/A</v>
      </c>
      <c r="R363" s="9167"/>
      <c r="S363" s="8818"/>
      <c r="T363" s="7543">
        <f>+IF(OR(T362="",N359=""),"",T362/N359)</f>
        <v>34052.690598953486</v>
      </c>
      <c r="U363" s="8820" t="str">
        <f>+IF(T363="","","$ TCC / MW nominal capacity")</f>
        <v>$ TCC / MW nominal capacity</v>
      </c>
      <c r="V363" s="8820"/>
      <c r="W363" s="7544"/>
      <c r="X363" s="8818"/>
      <c r="Y363" s="7543">
        <f>+IF(OR(Y362="",N359=""),"",Y362/N359)</f>
        <v>34023.628084141863</v>
      </c>
      <c r="Z363" s="8820" t="str">
        <f>+IF(Y363="","","$ TCC / MW nominal capacity")</f>
        <v>$ TCC / MW nominal capacity</v>
      </c>
      <c r="AA363" s="8820"/>
      <c r="AB363" s="7545"/>
      <c r="AC363" s="8818"/>
      <c r="AD363" s="7543">
        <f>+IF(OR(AD362="",N359=""),"",AD362/N359)</f>
        <v>34023.628084141863</v>
      </c>
      <c r="AE363" s="8820" t="str">
        <f>+IF(AD363="","","$ TCC / MW nominal capacity")</f>
        <v>$ TCC / MW nominal capacity</v>
      </c>
      <c r="AF363" s="8820"/>
      <c r="AG363" s="7546"/>
      <c r="AH363" s="5962"/>
      <c r="AI363" s="5959"/>
      <c r="AJ363" s="5959"/>
      <c r="AK363" s="5959"/>
      <c r="AL363" s="5959"/>
      <c r="AM363" s="5959"/>
    </row>
    <row r="364" spans="1:39" ht="18.95" customHeight="1">
      <c r="A364" s="5952"/>
      <c r="B364" s="9035"/>
      <c r="C364" s="8852" t="str">
        <f>+IF(B364="","",VLOOKUP(MATCH(B364,tid,0),tao,'12(id)'!$J$20,FALSE))</f>
        <v/>
      </c>
      <c r="D364" s="8840"/>
      <c r="E364" s="9062"/>
      <c r="F364" s="5952"/>
      <c r="G364" s="5959"/>
      <c r="H364" s="5952"/>
      <c r="I364" s="9097"/>
      <c r="J364" s="9099" t="e">
        <f>+IF(VLOOKUP(MATCH(B364,tid,0),tao,'12(id)'!$I$20,FALSE)="","",VLOOKUP(MATCH(B364,tid,0),tao,'12(id)'!$I$20,FALSE))</f>
        <v>#N/A</v>
      </c>
      <c r="K364" s="9064" t="e">
        <f>+IF(VLOOKUP(MATCH(B364,tid,0),tao,'12(id)'!$K$20,FALSE)="","",VLOOKUP(MATCH(B364,tid,0),tao,'12(id)'!$K$20,FALSE))</f>
        <v>#N/A</v>
      </c>
      <c r="L364" s="9102" t="e">
        <f>+IF(VLOOKUP(MATCH(B364,tid,0),tao,'12(id)'!$L$20,FALSE)="","",VLOOKUP(MATCH(B364,tid,0),tao,'12(id)'!$L$20,FALSE))</f>
        <v>#N/A</v>
      </c>
      <c r="M364" s="9058" t="e">
        <f>+IF(VLOOKUP(MATCH(B364,tid,0),tao,'12(id)'!$Q$20,FALSE)="","",VLOOKUP(MATCH(B364,tid,0),tao,'12(id)'!$Q$20,FALSE))</f>
        <v>#N/A</v>
      </c>
      <c r="N364" s="9085" t="e">
        <f>+IF(VLOOKUP(MATCH(B364,tid,0),tao,'12(id)'!$CT$20,FALSE)="","",VLOOKUP(MATCH(B364,tid,0),tao,'12(id)'!$CT$20,FALSE))</f>
        <v>#N/A</v>
      </c>
      <c r="O364" s="8985" t="e">
        <f>+IF(VLOOKUP(MATCH(B364,tid,0),tao,'12(id)'!$DE$20,FALSE)="","",ROUND(VLOOKUP(MATCH(B364,tid,0),tao,'12(id)'!$DE$20,FALSE),0)&amp;" yrs")</f>
        <v>#N/A</v>
      </c>
      <c r="P364" s="9001" t="e">
        <f>+IF(VLOOKUP(MATCH(B364,tid,0),tao,'12(id)'!$FR$20,FALSE)="","",VLOOKUP(MATCH(B364,tid,0),tao,'12(id)'!$FR$20,FALSE))</f>
        <v>#N/A</v>
      </c>
      <c r="Q364" s="8985" t="e">
        <f>+IF(VLOOKUP(MATCH(B364,tid,0),tao,'12(id)'!$DI$20,FALSE)="","",VLOOKUP(MATCH(B364,tid,0),tao,'12(id)'!$DI$20,FALSE))&amp;";  "&amp;IF(VLOOKUP(MATCH(B364,tid,0),tao,'12(id)'!$DQ$20,FALSE)="","",VLOOKUP(MATCH(B364,tid,0),tao,'12(id)'!$DQ$20,FALSE))</f>
        <v>#N/A</v>
      </c>
      <c r="R364" s="9168"/>
      <c r="S364" s="8819"/>
      <c r="T364" s="7590">
        <f>+IF(VLOOKUP(MATCH(E359,c_id,0),ca,'13(an)'!$HF$34,FALSE)="","",VLOOKUP(MATCH(E359,c_id,0),ca,'13(an)'!$HF$34,FALSE))</f>
        <v>136570</v>
      </c>
      <c r="U364" s="8829" t="str">
        <f>IF(T364="","","$ /ton "&amp;"NOx(R)")</f>
        <v>$ /ton NOx(R)</v>
      </c>
      <c r="V364" s="8829"/>
      <c r="W364" s="7730"/>
      <c r="X364" s="8819"/>
      <c r="Y364" s="7590">
        <f>+IF(VLOOKUP(MATCH(E359,c_id,0),ca,'13(an)'!$JE$34,FALSE)="","",VLOOKUP(MATCH(E359,c_id,0),ca,'13(an)'!$JE$34,FALSE))</f>
        <v>13025.967943183083</v>
      </c>
      <c r="Z364" s="8829" t="str">
        <f>IF(Y364="","","$ /ton "&amp;"NOx(R)")</f>
        <v>$ /ton NOx(R)</v>
      </c>
      <c r="AA364" s="8829"/>
      <c r="AB364" s="7731"/>
      <c r="AC364" s="8819"/>
      <c r="AD364" s="7590">
        <f>+IF(VLOOKUP(MATCH(E359,c_id,0),ca,'13(an)'!$LB$34,FALSE)="","",VLOOKUP(MATCH(E359,c_id,0),ca,'13(an)'!$LB$34,FALSE))</f>
        <v>60087.811093772645</v>
      </c>
      <c r="AE364" s="8829" t="str">
        <f>IF(AD364="","","$ /ton "&amp;"NOx(R)")</f>
        <v>$ /ton NOx(R)</v>
      </c>
      <c r="AF364" s="8829"/>
      <c r="AG364" s="7732"/>
      <c r="AH364" s="5962"/>
      <c r="AI364" s="5959"/>
      <c r="AJ364" s="5959"/>
      <c r="AK364" s="5959"/>
      <c r="AL364" s="5959"/>
      <c r="AM364" s="5959"/>
    </row>
    <row r="365" spans="1:39" ht="16.5" customHeight="1">
      <c r="A365" s="5952"/>
      <c r="B365" s="9035"/>
      <c r="C365" s="8852" t="str">
        <f>+IF(B365="","",VLOOKUP(MATCH(B365,tid,0),tao,'12(id)'!$J$20,FALSE))</f>
        <v/>
      </c>
      <c r="D365" s="8840"/>
      <c r="E365" s="9048" t="str">
        <f>+IF(B359="","",B359&amp;IF(ISERR(VALUE(1+R359)),"-01",IF(1+R359&lt;10,"-0"&amp;1+R359,"-"&amp;1+R359)))</f>
        <v>8306-07-02</v>
      </c>
      <c r="F365" s="5952"/>
      <c r="G365" s="5959"/>
      <c r="H365" s="5952"/>
      <c r="I365" s="9097"/>
      <c r="J365" s="9099" t="e">
        <f>+IF(VLOOKUP(MATCH(B365,tid,0),tao,'12(id)'!$I$20,FALSE)="","",VLOOKUP(MATCH(B365,tid,0),tao,'12(id)'!$I$20,FALSE))</f>
        <v>#N/A</v>
      </c>
      <c r="K365" s="9064" t="e">
        <f>+IF(VLOOKUP(MATCH(B365,tid,0),tao,'12(id)'!$K$20,FALSE)="","",VLOOKUP(MATCH(B365,tid,0),tao,'12(id)'!$K$20,FALSE))</f>
        <v>#N/A</v>
      </c>
      <c r="L365" s="9102" t="e">
        <f>+IF(VLOOKUP(MATCH(B365,tid,0),tao,'12(id)'!$L$20,FALSE)="","",VLOOKUP(MATCH(B365,tid,0),tao,'12(id)'!$L$20,FALSE))</f>
        <v>#N/A</v>
      </c>
      <c r="M365" s="9058" t="e">
        <f>+IF(VLOOKUP(MATCH(B365,tid,0),tao,'12(id)'!$Q$20,FALSE)="","",VLOOKUP(MATCH(B365,tid,0),tao,'12(id)'!$Q$20,FALSE))</f>
        <v>#N/A</v>
      </c>
      <c r="N365" s="9085" t="e">
        <f>+IF(VLOOKUP(MATCH(B365,tid,0),tao,'12(id)'!$CT$20,FALSE)="","",VLOOKUP(MATCH(B365,tid,0),tao,'12(id)'!$CT$20,FALSE))</f>
        <v>#N/A</v>
      </c>
      <c r="O365" s="8985" t="e">
        <f>+IF(VLOOKUP(MATCH(B365,tid,0),tao,'12(id)'!$DE$20,FALSE)="","",ROUND(VLOOKUP(MATCH(B365,tid,0),tao,'12(id)'!$DE$20,FALSE),0)&amp;" yrs")</f>
        <v>#N/A</v>
      </c>
      <c r="P365" s="9001" t="e">
        <f>+IF(VLOOKUP(MATCH(B365,tid,0),tao,'12(id)'!$FR$20,FALSE)="","",VLOOKUP(MATCH(B365,tid,0),tao,'12(id)'!$FR$20,FALSE))</f>
        <v>#N/A</v>
      </c>
      <c r="Q365" s="8985" t="e">
        <f>+IF(VLOOKUP(MATCH(B365,tid,0),tao,'12(id)'!$DI$20,FALSE)="","",VLOOKUP(MATCH(B365,tid,0),tao,'12(id)'!$DI$20,FALSE))&amp;";  "&amp;IF(VLOOKUP(MATCH(B365,tid,0),tao,'12(id)'!$DQ$20,FALSE)="","",VLOOKUP(MATCH(B365,tid,0),tao,'12(id)'!$DQ$20,FALSE))</f>
        <v>#N/A</v>
      </c>
      <c r="R365" s="9167">
        <f>+IF(B359="","",1+R359)</f>
        <v>2</v>
      </c>
      <c r="S365" s="8859"/>
      <c r="T365" s="8872" t="str">
        <f>+IF(VLOOKUP(MATCH(E365,c_id,0),ca,'13(an)'!$BD$34,FALSE)="","",VLOOKUP(MATCH(E365,c_id,0),ca,'13(an)'!$BD$34,FALSE))</f>
        <v>Selective Catalytic Reduction (SCR) with ID fans</v>
      </c>
      <c r="U365" s="8872"/>
      <c r="V365" s="8872"/>
      <c r="W365" s="7556"/>
      <c r="X365" s="8859"/>
      <c r="Y365" s="8872" t="str">
        <f>+T365</f>
        <v>Selective Catalytic Reduction (SCR) with ID fans</v>
      </c>
      <c r="Z365" s="8872"/>
      <c r="AA365" s="8872"/>
      <c r="AB365" s="7557"/>
      <c r="AC365" s="8859"/>
      <c r="AD365" s="8872" t="str">
        <f>+T365</f>
        <v>Selective Catalytic Reduction (SCR) with ID fans</v>
      </c>
      <c r="AE365" s="8872"/>
      <c r="AF365" s="8872"/>
      <c r="AG365" s="7533"/>
      <c r="AH365" s="5962"/>
      <c r="AI365" s="5959"/>
      <c r="AJ365" s="5959"/>
      <c r="AK365" s="5959"/>
      <c r="AL365" s="5959"/>
      <c r="AM365" s="5959"/>
    </row>
    <row r="366" spans="1:39" ht="16.5" customHeight="1">
      <c r="A366" s="5952"/>
      <c r="B366" s="9035"/>
      <c r="C366" s="8852" t="str">
        <f>+IF(B366="","",VLOOKUP(MATCH(B366,tid,0),tao,'12(id)'!$J$20,FALSE))</f>
        <v/>
      </c>
      <c r="D366" s="8840"/>
      <c r="E366" s="9079"/>
      <c r="F366" s="5952"/>
      <c r="G366" s="5959"/>
      <c r="H366" s="5952"/>
      <c r="I366" s="9097"/>
      <c r="J366" s="9099" t="e">
        <f>+IF(VLOOKUP(MATCH(B366,tid,0),tao,'12(id)'!$I$20,FALSE)="","",VLOOKUP(MATCH(B366,tid,0),tao,'12(id)'!$I$20,FALSE))</f>
        <v>#N/A</v>
      </c>
      <c r="K366" s="9064" t="e">
        <f>+IF(VLOOKUP(MATCH(B366,tid,0),tao,'12(id)'!$K$20,FALSE)="","",VLOOKUP(MATCH(B366,tid,0),tao,'12(id)'!$K$20,FALSE))</f>
        <v>#N/A</v>
      </c>
      <c r="L366" s="9102" t="e">
        <f>+IF(VLOOKUP(MATCH(B366,tid,0),tao,'12(id)'!$L$20,FALSE)="","",VLOOKUP(MATCH(B366,tid,0),tao,'12(id)'!$L$20,FALSE))</f>
        <v>#N/A</v>
      </c>
      <c r="M366" s="9058" t="e">
        <f>+IF(VLOOKUP(MATCH(B366,tid,0),tao,'12(id)'!$Q$20,FALSE)="","",VLOOKUP(MATCH(B366,tid,0),tao,'12(id)'!$Q$20,FALSE))</f>
        <v>#N/A</v>
      </c>
      <c r="N366" s="9085" t="e">
        <f>+IF(VLOOKUP(MATCH(B366,tid,0),tao,'12(id)'!$CT$20,FALSE)="","",VLOOKUP(MATCH(B366,tid,0),tao,'12(id)'!$CT$20,FALSE))</f>
        <v>#N/A</v>
      </c>
      <c r="O366" s="8985" t="e">
        <f>+IF(VLOOKUP(MATCH(B366,tid,0),tao,'12(id)'!$DE$20,FALSE)="","",ROUND(VLOOKUP(MATCH(B366,tid,0),tao,'12(id)'!$DE$20,FALSE),0)&amp;" yrs")</f>
        <v>#N/A</v>
      </c>
      <c r="P366" s="9001" t="e">
        <f>+IF(VLOOKUP(MATCH(B366,tid,0),tao,'12(id)'!$FR$20,FALSE)="","",VLOOKUP(MATCH(B366,tid,0),tao,'12(id)'!$FR$20,FALSE))</f>
        <v>#N/A</v>
      </c>
      <c r="Q366" s="8985" t="e">
        <f>+IF(VLOOKUP(MATCH(B366,tid,0),tao,'12(id)'!$DI$20,FALSE)="","",VLOOKUP(MATCH(B366,tid,0),tao,'12(id)'!$DI$20,FALSE))&amp;";  "&amp;IF(VLOOKUP(MATCH(B366,tid,0),tao,'12(id)'!$DQ$20,FALSE)="","",VLOOKUP(MATCH(B366,tid,0),tao,'12(id)'!$DQ$20,FALSE))</f>
        <v>#N/A</v>
      </c>
      <c r="R366" s="9167"/>
      <c r="S366" s="8818"/>
      <c r="T366" s="8895"/>
      <c r="U366" s="8895"/>
      <c r="V366" s="8895"/>
      <c r="W366" s="7531"/>
      <c r="X366" s="8818"/>
      <c r="Y366" s="8895"/>
      <c r="Z366" s="8895"/>
      <c r="AA366" s="8895"/>
      <c r="AB366" s="7532"/>
      <c r="AC366" s="8818"/>
      <c r="AD366" s="8895"/>
      <c r="AE366" s="8895"/>
      <c r="AF366" s="8895"/>
      <c r="AG366" s="7533"/>
      <c r="AH366" s="5962"/>
      <c r="AI366" s="5959"/>
      <c r="AJ366" s="5959"/>
      <c r="AK366" s="5959"/>
      <c r="AL366" s="5959"/>
      <c r="AM366" s="5959"/>
    </row>
    <row r="367" spans="1:39" ht="18" customHeight="1">
      <c r="A367" s="5952"/>
      <c r="B367" s="9035"/>
      <c r="C367" s="8852" t="str">
        <f>+IF(B367="","",VLOOKUP(MATCH(B367,tid,0),tao,'12(id)'!$J$20,FALSE))</f>
        <v/>
      </c>
      <c r="D367" s="8840"/>
      <c r="E367" s="9079"/>
      <c r="F367" s="5952"/>
      <c r="G367" s="5959"/>
      <c r="H367" s="5952"/>
      <c r="I367" s="9097"/>
      <c r="J367" s="9099" t="e">
        <f>+IF(VLOOKUP(MATCH(B367,tid,0),tao,'12(id)'!$I$20,FALSE)="","",VLOOKUP(MATCH(B367,tid,0),tao,'12(id)'!$I$20,FALSE))</f>
        <v>#N/A</v>
      </c>
      <c r="K367" s="9064" t="e">
        <f>+IF(VLOOKUP(MATCH(B367,tid,0),tao,'12(id)'!$K$20,FALSE)="","",VLOOKUP(MATCH(B367,tid,0),tao,'12(id)'!$K$20,FALSE))</f>
        <v>#N/A</v>
      </c>
      <c r="L367" s="9102" t="e">
        <f>+IF(VLOOKUP(MATCH(B367,tid,0),tao,'12(id)'!$L$20,FALSE)="","",VLOOKUP(MATCH(B367,tid,0),tao,'12(id)'!$L$20,FALSE))</f>
        <v>#N/A</v>
      </c>
      <c r="M367" s="9058" t="e">
        <f>+IF(VLOOKUP(MATCH(B367,tid,0),tao,'12(id)'!$Q$20,FALSE)="","",VLOOKUP(MATCH(B367,tid,0),tao,'12(id)'!$Q$20,FALSE))</f>
        <v>#N/A</v>
      </c>
      <c r="N367" s="9085" t="e">
        <f>+IF(VLOOKUP(MATCH(B367,tid,0),tao,'12(id)'!$CT$20,FALSE)="","",VLOOKUP(MATCH(B367,tid,0),tao,'12(id)'!$CT$20,FALSE))</f>
        <v>#N/A</v>
      </c>
      <c r="O367" s="8985" t="e">
        <f>+IF(VLOOKUP(MATCH(B367,tid,0),tao,'12(id)'!$DE$20,FALSE)="","",ROUND(VLOOKUP(MATCH(B367,tid,0),tao,'12(id)'!$DE$20,FALSE),0)&amp;" yrs")</f>
        <v>#N/A</v>
      </c>
      <c r="P367" s="9001" t="e">
        <f>+IF(VLOOKUP(MATCH(B367,tid,0),tao,'12(id)'!$FR$20,FALSE)="","",VLOOKUP(MATCH(B367,tid,0),tao,'12(id)'!$FR$20,FALSE))</f>
        <v>#N/A</v>
      </c>
      <c r="Q367" s="8985" t="e">
        <f>+IF(VLOOKUP(MATCH(B367,tid,0),tao,'12(id)'!$DI$20,FALSE)="","",VLOOKUP(MATCH(B367,tid,0),tao,'12(id)'!$DI$20,FALSE))&amp;";  "&amp;IF(VLOOKUP(MATCH(B367,tid,0),tao,'12(id)'!$DQ$20,FALSE)="","",VLOOKUP(MATCH(B367,tid,0),tao,'12(id)'!$DQ$20,FALSE))</f>
        <v>#N/A</v>
      </c>
      <c r="R367" s="9167"/>
      <c r="S367" s="8818"/>
      <c r="T367" s="7600" t="str">
        <f>+IF(E365="","",IF(VLOOKUP(MATCH(E365,c_id,0),ca,'13(an)'!$CC$34,FALSE)="",IF(VLOOKUP(MATCH(E365,c_id,0),ca,'13(an)'!$CD$34,FALSE)="",IF(VLOOKUP(MATCH(E365,c_id,0),ca,'13(an)'!$CE$34,FALSE)="","η ≈ N/A","η ≈ "&amp;ROUND(VLOOKUP(MATCH(E365,c_id,0),ca,'13(an)'!$CE$34,FALSE)*100,0)&amp;"%"),"η ≈ "&amp;ROUND(VLOOKUP(MATCH(E365,c_id,0),ca,'13(an)'!$CD$34,FALSE)*100,0)&amp;"%"),"η ≈ "&amp;ROUND(VLOOKUP(MATCH(E365,c_id,0),ca,'13(an)'!$CC$34,FALSE)*100,0)&amp;"%"))</f>
        <v>η ≈ 52%</v>
      </c>
      <c r="U367" s="7601" t="str">
        <f>+IF($U$371="ppmvd",IF(VLOOKUP(MATCH(E365,c_id,0),ca,'13(an)'!$BV$34,FALSE)="","",ROUND(VLOOKUP(MATCH(E365,c_id,0),ca,'13(an)'!$BV$34,FALSE),1)&amp;" ppmvd"),IF(VLOOKUP(MATCH(E365,c_id,0),ca,'13(an)'!$BU$34,FALSE)="","",IF(LEN(ROUND(VLOOKUP(MATCH(E365,c_id,0),ca,'13(an)'!$BU$34,FALSE),3))=3,ROUND(VLOOKUP(MATCH(E365,c_id,0),ca,'13(an)'!$BU$34,FALSE),3)&amp;"00 lb/MMBtu",IF(LEN(ROUND(VLOOKUP(MATCH(E365,c_id,0),ca,'13(an)'!$BU$34,FALSE),3))=4,ROUND(VLOOKUP(MATCH(E365,c_id,0),ca,'13(an)'!$BU$34,FALSE),3)&amp;"0 lb/MMBtu",ROUND(VLOOKUP(MATCH(E365,c_id,0),ca,'13(an)'!$BU$34,FALSE),3)&amp;" lb/MMBtu"))))</f>
        <v>0.100 lb/MMBtu</v>
      </c>
      <c r="V367" s="7602">
        <f>+IF(E365="","",IF(VLOOKUP(MATCH(E365,c_id,0),ca,'13(an)'!$CB$34,FALSE)="","NOx(R) = N/A",ROUND(VLOOKUP(MATCH(E365,c_id,0),ca,'13(an)'!$CB$34,FALSE),1)))</f>
        <v>20.399999999999999</v>
      </c>
      <c r="W367" s="7534"/>
      <c r="X367" s="8818"/>
      <c r="Y367" s="7600" t="str">
        <f>+IF(E365="","",IF(VLOOKUP(MATCH(E365,c_id,0),ca,'13(an)'!$CM$34,FALSE)="",IF(VLOOKUP(MATCH(E365,c_id,0),ca,'13(an)'!$CN$34,FALSE)="",IF(VLOOKUP(MATCH(E365,c_id,0),ca,'13(an)'!$CO$34,FALSE)="","η ≈ N/A","η ≈ "&amp;ROUND(VLOOKUP(MATCH(E365,c_id,0),ca,'13(an)'!$CO$34,FALSE)*100,0)&amp;"%"),"η ≈ "&amp;ROUND(VLOOKUP(MATCH(E365,c_id,0),ca,'13(an)'!$CN$34,FALSE)*100,0)&amp;"%"),"η ≈ "&amp;ROUND(VLOOKUP(MATCH(E365,c_id,0),ca,'13(an)'!$CM$34,FALSE)*100,0)&amp;"%"))</f>
        <v>η ≈ 90%</v>
      </c>
      <c r="Z367" s="7601" t="str">
        <f>+IF($Z$371="ppmvd",IF(VLOOKUP(MATCH(E365,c_id,0),ca,'13(an)'!$CJ$34,FALSE)="","",ROUND(VLOOKUP(MATCH(E365,c_id,0),ca,'13(an)'!$CJ$34,FALSE),1)&amp;" ppmvd"),IF(VLOOKUP(MATCH(E365,c_id,0),ca,'13(an)'!$CI$34,FALSE)="","",IF(LEN(ROUND(VLOOKUP(MATCH(E365,c_id,0),ca,'13(an)'!$CI$34,FALSE),3))=3,ROUND(VLOOKUP(MATCH(E365,c_id,0),ca,'13(an)'!$CI$34,FALSE),3)&amp;"00 lb/MMBtu",IF(LEN(ROUND(VLOOKUP(MATCH(E365,c_id,0),ca,'13(an)'!$CI$34,FALSE),3))=4,ROUND(VLOOKUP(MATCH(E365,c_id,0),ca,'13(an)'!$CI$34,FALSE),3)&amp;"0 lb/MMBtu",ROUND(VLOOKUP(MATCH(E365,c_id,0),ca,'13(an)'!$CI$34,FALSE),3)&amp;" lb/MMBtu"))))</f>
        <v>0.015 lb/MMBtu</v>
      </c>
      <c r="AA367" s="7602">
        <f>+IF(E365="","",IF(VLOOKUP(MATCH(E365,c_id,0),ca,'13(an)'!$CL$34,FALSE)="","NOx(R) = N/A",ROUND(VLOOKUP(MATCH(E365,c_id,0),ca,'13(an)'!$CL$34,FALSE),1)))</f>
        <v>69</v>
      </c>
      <c r="AB367" s="7535"/>
      <c r="AC367" s="8818"/>
      <c r="AD367" s="7600" t="str">
        <f>+IF(E365="","",IF(VLOOKUP(MATCH(E365,c_id,0),ca,'13(an)'!$CM$34,FALSE)="",IF(VLOOKUP(MATCH(E365,c_id,0),ca,'13(an)'!$CN$34,FALSE)="",IF(VLOOKUP(MATCH(E365,c_id,0),ca,'13(an)'!$CO$34,FALSE)="","η ≈ N/A","η ≈ "&amp;ROUND(VLOOKUP(MATCH(E365,c_id,0),ca,'13(an)'!$CO$34,FALSE)*100,0)&amp;"%"),"η ≈ "&amp;ROUND(VLOOKUP(MATCH(E365,c_id,0),ca,'13(an)'!$CN$34,FALSE)*100,0)&amp;"%"),"η ≈ "&amp;ROUND(VLOOKUP(MATCH(E365,c_id,0),ca,'13(an)'!$CM$34,FALSE)*100,0)&amp;"%"))</f>
        <v>η ≈ 90%</v>
      </c>
      <c r="AE367" s="7601" t="str">
        <f>+IF($AE$371="ppmvd",IF(VLOOKUP(MATCH(E365,c_id,0),ca,'13(an)'!$CJ$34,FALSE)="","",ROUND(VLOOKUP(MATCH(E365,c_id,0),ca,'13(an)'!$CJ$34,FALSE),1)&amp;" ppmvd"),IF(VLOOKUP(MATCH(E365,c_id,0),ca,'13(an)'!$CI$34,FALSE)="","",IF(LEN(ROUND(VLOOKUP(MATCH(E365,c_id,0),ca,'13(an)'!$CI$34,FALSE),3))=3,ROUND(VLOOKUP(MATCH(E365,c_id,0),ca,'13(an)'!$CI$34,FALSE),3)&amp;"00 lb/MMBtu",IF(LEN(ROUND(VLOOKUP(MATCH(E365,c_id,0),ca,'13(an)'!$CI$34,FALSE),3))=4,ROUND(VLOOKUP(MATCH(E365,c_id,0),ca,'13(an)'!$CI$34,FALSE),3)&amp;"0 lb/MMBtu",ROUND(VLOOKUP(MATCH(E365,c_id,0),ca,'13(an)'!$CI$34,FALSE),3)&amp;" lb/MMBtu"))))</f>
        <v>0.015 lb/MMBtu</v>
      </c>
      <c r="AF367" s="7602">
        <f>+IF(E365="","",IF(VLOOKUP(MATCH(E365,c_id,0),ca,'13(an)'!$CL$34,FALSE)="","NOx(R) = N/A",ROUND(VLOOKUP(MATCH(E365,c_id,0),ca,'13(an)'!$CL$34,FALSE),1)))</f>
        <v>69</v>
      </c>
      <c r="AG367" s="7536"/>
      <c r="AH367" s="5962"/>
      <c r="AI367" s="5959"/>
      <c r="AJ367" s="5959"/>
      <c r="AK367" s="5959"/>
      <c r="AL367" s="5959"/>
      <c r="AM367" s="5959"/>
    </row>
    <row r="368" spans="1:39" ht="18.95" customHeight="1">
      <c r="A368" s="5952"/>
      <c r="B368" s="9035"/>
      <c r="C368" s="8852" t="str">
        <f>+IF(B368="","",VLOOKUP(MATCH(B368,tid,0),tao,'12(id)'!$J$20,FALSE))</f>
        <v/>
      </c>
      <c r="D368" s="8840"/>
      <c r="E368" s="9079"/>
      <c r="F368" s="5952"/>
      <c r="G368" s="5959"/>
      <c r="H368" s="5952"/>
      <c r="I368" s="9097"/>
      <c r="J368" s="9099" t="e">
        <f>+IF(VLOOKUP(MATCH(B368,tid,0),tao,'12(id)'!$I$20,FALSE)="","",VLOOKUP(MATCH(B368,tid,0),tao,'12(id)'!$I$20,FALSE))</f>
        <v>#N/A</v>
      </c>
      <c r="K368" s="9064" t="e">
        <f>+IF(VLOOKUP(MATCH(B368,tid,0),tao,'12(id)'!$K$20,FALSE)="","",VLOOKUP(MATCH(B368,tid,0),tao,'12(id)'!$K$20,FALSE))</f>
        <v>#N/A</v>
      </c>
      <c r="L368" s="9102" t="e">
        <f>+IF(VLOOKUP(MATCH(B368,tid,0),tao,'12(id)'!$L$20,FALSE)="","",VLOOKUP(MATCH(B368,tid,0),tao,'12(id)'!$L$20,FALSE))</f>
        <v>#N/A</v>
      </c>
      <c r="M368" s="9058" t="e">
        <f>+IF(VLOOKUP(MATCH(B368,tid,0),tao,'12(id)'!$Q$20,FALSE)="","",VLOOKUP(MATCH(B368,tid,0),tao,'12(id)'!$Q$20,FALSE))</f>
        <v>#N/A</v>
      </c>
      <c r="N368" s="9085" t="e">
        <f>+IF(VLOOKUP(MATCH(B368,tid,0),tao,'12(id)'!$CT$20,FALSE)="","",VLOOKUP(MATCH(B368,tid,0),tao,'12(id)'!$CT$20,FALSE))</f>
        <v>#N/A</v>
      </c>
      <c r="O368" s="8985" t="e">
        <f>+IF(VLOOKUP(MATCH(B368,tid,0),tao,'12(id)'!$DE$20,FALSE)="","",ROUND(VLOOKUP(MATCH(B368,tid,0),tao,'12(id)'!$DE$20,FALSE),0)&amp;" yrs")</f>
        <v>#N/A</v>
      </c>
      <c r="P368" s="9001" t="e">
        <f>+IF(VLOOKUP(MATCH(B368,tid,0),tao,'12(id)'!$FR$20,FALSE)="","",VLOOKUP(MATCH(B368,tid,0),tao,'12(id)'!$FR$20,FALSE))</f>
        <v>#N/A</v>
      </c>
      <c r="Q368" s="8985" t="e">
        <f>+IF(VLOOKUP(MATCH(B368,tid,0),tao,'12(id)'!$DI$20,FALSE)="","",VLOOKUP(MATCH(B368,tid,0),tao,'12(id)'!$DI$20,FALSE))&amp;";  "&amp;IF(VLOOKUP(MATCH(B368,tid,0),tao,'12(id)'!$DQ$20,FALSE)="","",VLOOKUP(MATCH(B368,tid,0),tao,'12(id)'!$DQ$20,FALSE))</f>
        <v>#N/A</v>
      </c>
      <c r="R368" s="9167"/>
      <c r="S368" s="8818"/>
      <c r="T368" s="7543">
        <f>+IF(VLOOKUP(MATCH(E365,c_id,0),ca,'13(an)'!$GF$34,FALSE)="","",VLOOKUP(MATCH(E365,c_id,0),ca,'13(an)'!$GF$34,FALSE))</f>
        <v>82710410</v>
      </c>
      <c r="U368" s="7570" t="str">
        <f>+IF(T368="","","$ TCC/unit")</f>
        <v>$ TCC/unit</v>
      </c>
      <c r="V368" s="7541">
        <f>+IF(VLOOKUP(MATCH(E365,c_id,0),ca,'13(an)'!$HA$34,FALSE)="","",VLOOKUP(MATCH(E365,c_id,0),ca,'13(an)'!$HA$34,FALSE))</f>
        <v>21264222</v>
      </c>
      <c r="W368" s="7540"/>
      <c r="X368" s="8818"/>
      <c r="Y368" s="7543">
        <f>+IF(VLOOKUP(MATCH(E365,c_id,0),ca,'13(an)'!$IA$34,FALSE)="","",VLOOKUP(MATCH(E365,c_id,0),ca,'13(an)'!$IA$34,FALSE))</f>
        <v>82710410</v>
      </c>
      <c r="Z368" s="7570" t="str">
        <f>+IF(Y368="","","$ TCC/unit")</f>
        <v>$ TCC/unit</v>
      </c>
      <c r="AA368" s="7541">
        <f>+IF(Y368="","",$AA$19*Y368)</f>
        <v>6204036.6299832482</v>
      </c>
      <c r="AB368" s="7541"/>
      <c r="AC368" s="8818"/>
      <c r="AD368" s="7543">
        <f>+IF(VLOOKUP(MATCH(E365,c_id,0),ca,'13(an)'!$JS$34,FALSE)="","",VLOOKUP(MATCH(E365,c_id,0),ca,'13(an)'!$JS$34,FALSE))</f>
        <v>82710410</v>
      </c>
      <c r="AE368" s="7570" t="str">
        <f>+IF(AD368="","","$ TCC/unit")</f>
        <v>$ TCC/unit</v>
      </c>
      <c r="AF368" s="7541">
        <f>+IF(AD368="","",$AF$19*AD368)</f>
        <v>6204036.6299832482</v>
      </c>
      <c r="AG368" s="7542"/>
      <c r="AH368" s="5962"/>
      <c r="AI368" s="5959"/>
      <c r="AJ368" s="5959"/>
      <c r="AK368" s="5959"/>
      <c r="AL368" s="5959"/>
      <c r="AM368" s="5959"/>
    </row>
    <row r="369" spans="1:39" ht="18.95" customHeight="1">
      <c r="A369" s="5952"/>
      <c r="B369" s="9035"/>
      <c r="C369" s="8852" t="str">
        <f>+IF(B369="","",VLOOKUP(MATCH(B369,tid,0),tao,'12(id)'!$J$20,FALSE))</f>
        <v/>
      </c>
      <c r="D369" s="8840"/>
      <c r="E369" s="9079"/>
      <c r="F369" s="5952"/>
      <c r="G369" s="5959"/>
      <c r="H369" s="5952"/>
      <c r="I369" s="9097"/>
      <c r="J369" s="9099" t="e">
        <f>+IF(VLOOKUP(MATCH(B369,tid,0),tao,'12(id)'!$I$20,FALSE)="","",VLOOKUP(MATCH(B369,tid,0),tao,'12(id)'!$I$20,FALSE))</f>
        <v>#N/A</v>
      </c>
      <c r="K369" s="9064" t="e">
        <f>+IF(VLOOKUP(MATCH(B369,tid,0),tao,'12(id)'!$K$20,FALSE)="","",VLOOKUP(MATCH(B369,tid,0),tao,'12(id)'!$K$20,FALSE))</f>
        <v>#N/A</v>
      </c>
      <c r="L369" s="9102" t="e">
        <f>+IF(VLOOKUP(MATCH(B369,tid,0),tao,'12(id)'!$L$20,FALSE)="","",VLOOKUP(MATCH(B369,tid,0),tao,'12(id)'!$L$20,FALSE))</f>
        <v>#N/A</v>
      </c>
      <c r="M369" s="9058" t="e">
        <f>+IF(VLOOKUP(MATCH(B369,tid,0),tao,'12(id)'!$Q$20,FALSE)="","",VLOOKUP(MATCH(B369,tid,0),tao,'12(id)'!$Q$20,FALSE))</f>
        <v>#N/A</v>
      </c>
      <c r="N369" s="9085" t="e">
        <f>+IF(VLOOKUP(MATCH(B369,tid,0),tao,'12(id)'!$CT$20,FALSE)="","",VLOOKUP(MATCH(B369,tid,0),tao,'12(id)'!$CT$20,FALSE))</f>
        <v>#N/A</v>
      </c>
      <c r="O369" s="8985" t="e">
        <f>+IF(VLOOKUP(MATCH(B369,tid,0),tao,'12(id)'!$DE$20,FALSE)="","",ROUND(VLOOKUP(MATCH(B369,tid,0),tao,'12(id)'!$DE$20,FALSE),0)&amp;" yrs")</f>
        <v>#N/A</v>
      </c>
      <c r="P369" s="9001" t="e">
        <f>+IF(VLOOKUP(MATCH(B369,tid,0),tao,'12(id)'!$FR$20,FALSE)="","",VLOOKUP(MATCH(B369,tid,0),tao,'12(id)'!$FR$20,FALSE))</f>
        <v>#N/A</v>
      </c>
      <c r="Q369" s="8985" t="e">
        <f>+IF(VLOOKUP(MATCH(B369,tid,0),tao,'12(id)'!$DI$20,FALSE)="","",VLOOKUP(MATCH(B369,tid,0),tao,'12(id)'!$DI$20,FALSE))&amp;";  "&amp;IF(VLOOKUP(MATCH(B369,tid,0),tao,'12(id)'!$DQ$20,FALSE)="","",VLOOKUP(MATCH(B369,tid,0),tao,'12(id)'!$DQ$20,FALSE))</f>
        <v>#N/A</v>
      </c>
      <c r="R369" s="9167"/>
      <c r="S369" s="8818"/>
      <c r="T369" s="7543">
        <f>+IF(OR(T368="",N359=""),"",T368/N359)</f>
        <v>480874.47674418607</v>
      </c>
      <c r="U369" s="8820" t="str">
        <f>+IF(T369="","","$ TCC / MW nominal capacity")</f>
        <v>$ TCC / MW nominal capacity</v>
      </c>
      <c r="V369" s="8820"/>
      <c r="W369" s="7544"/>
      <c r="X369" s="8818"/>
      <c r="Y369" s="7543">
        <f>+IF(OR(Y368="",N359=""),"",Y368/N359)</f>
        <v>480874.47674418607</v>
      </c>
      <c r="Z369" s="8820" t="str">
        <f>+IF(Y369="","","$ TCC / MW nominal capacity")</f>
        <v>$ TCC / MW nominal capacity</v>
      </c>
      <c r="AA369" s="8820"/>
      <c r="AB369" s="7545"/>
      <c r="AC369" s="8818"/>
      <c r="AD369" s="7543">
        <f>+IF(OR(AD368="",N359=""),"",AD368/N359)</f>
        <v>480874.47674418607</v>
      </c>
      <c r="AE369" s="8820" t="str">
        <f>+IF(AD369="","","$ TCC / MW nominal capacity")</f>
        <v>$ TCC / MW nominal capacity</v>
      </c>
      <c r="AF369" s="8820"/>
      <c r="AG369" s="7546"/>
      <c r="AH369" s="5962"/>
      <c r="AI369" s="5959"/>
      <c r="AJ369" s="5959"/>
      <c r="AK369" s="5959"/>
      <c r="AL369" s="5959"/>
      <c r="AM369" s="5959"/>
    </row>
    <row r="370" spans="1:39" ht="18.95" customHeight="1" thickBot="1">
      <c r="A370" s="5952"/>
      <c r="B370" s="9036"/>
      <c r="C370" s="8882" t="str">
        <f>+IF(B370="","",VLOOKUP(MATCH(B370,tid,0),tao,'12(id)'!$J$20,FALSE))</f>
        <v/>
      </c>
      <c r="D370" s="9163"/>
      <c r="E370" s="9122"/>
      <c r="F370" s="5952"/>
      <c r="G370" s="5959"/>
      <c r="H370" s="5952"/>
      <c r="I370" s="9158"/>
      <c r="J370" s="9100" t="e">
        <f>+IF(VLOOKUP(MATCH(B370,tid,0),tao,'12(id)'!$I$20,FALSE)="","",VLOOKUP(MATCH(B370,tid,0),tao,'12(id)'!$I$20,FALSE))</f>
        <v>#N/A</v>
      </c>
      <c r="K370" s="9065" t="e">
        <f>+IF(VLOOKUP(MATCH(B370,tid,0),tao,'12(id)'!$K$20,FALSE)="","",VLOOKUP(MATCH(B370,tid,0),tao,'12(id)'!$K$20,FALSE))</f>
        <v>#N/A</v>
      </c>
      <c r="L370" s="9103" t="e">
        <f>+IF(VLOOKUP(MATCH(B370,tid,0),tao,'12(id)'!$L$20,FALSE)="","",VLOOKUP(MATCH(B370,tid,0),tao,'12(id)'!$L$20,FALSE))</f>
        <v>#N/A</v>
      </c>
      <c r="M370" s="9059" t="e">
        <f>+IF(VLOOKUP(MATCH(B370,tid,0),tao,'12(id)'!$Q$20,FALSE)="","",VLOOKUP(MATCH(B370,tid,0),tao,'12(id)'!$Q$20,FALSE))</f>
        <v>#N/A</v>
      </c>
      <c r="N370" s="9110" t="e">
        <f>+IF(VLOOKUP(MATCH(B370,tid,0),tao,'12(id)'!$CT$20,FALSE)="","",VLOOKUP(MATCH(B370,tid,0),tao,'12(id)'!$CT$20,FALSE))</f>
        <v>#N/A</v>
      </c>
      <c r="O370" s="8986" t="e">
        <f>+IF(VLOOKUP(MATCH(B370,tid,0),tao,'12(id)'!$DE$20,FALSE)="","",ROUND(VLOOKUP(MATCH(B370,tid,0),tao,'12(id)'!$DE$20,FALSE),0)&amp;" yrs")</f>
        <v>#N/A</v>
      </c>
      <c r="P370" s="9002" t="e">
        <f>+IF(VLOOKUP(MATCH(B370,tid,0),tao,'12(id)'!$FR$20,FALSE)="","",VLOOKUP(MATCH(B370,tid,0),tao,'12(id)'!$FR$20,FALSE))</f>
        <v>#N/A</v>
      </c>
      <c r="Q370" s="8986" t="e">
        <f>+IF(VLOOKUP(MATCH(B370,tid,0),tao,'12(id)'!$DI$20,FALSE)="","",VLOOKUP(MATCH(B370,tid,0),tao,'12(id)'!$DI$20,FALSE))&amp;";  "&amp;IF(VLOOKUP(MATCH(B370,tid,0),tao,'12(id)'!$DQ$20,FALSE)="","",VLOOKUP(MATCH(B370,tid,0),tao,'12(id)'!$DQ$20,FALSE))</f>
        <v>#N/A</v>
      </c>
      <c r="R370" s="9169"/>
      <c r="S370" s="8860"/>
      <c r="T370" s="7631">
        <f>+IF(VLOOKUP(MATCH(E365,c_id,0),ca,'13(an)'!$HF$34,FALSE)="","",VLOOKUP(MATCH(E365,c_id,0),ca,'13(an)'!$HF$34,FALSE))</f>
        <v>1049528</v>
      </c>
      <c r="U370" s="8828" t="str">
        <f>IF(T370="","","$ /ton "&amp;"NOx(R)")</f>
        <v>$ /ton NOx(R)</v>
      </c>
      <c r="V370" s="8828"/>
      <c r="W370" s="7716"/>
      <c r="X370" s="8860"/>
      <c r="Y370" s="7631">
        <f>+IF(VLOOKUP(MATCH(E365,c_id,0),ca,'13(an)'!$JE$34,FALSE)="","",VLOOKUP(MATCH(E365,c_id,0),ca,'13(an)'!$JE$34,FALSE))</f>
        <v>91336.094886038656</v>
      </c>
      <c r="Z370" s="8828" t="str">
        <f>IF(Y370="","","$ /ton "&amp;"NOx(R)")</f>
        <v>$ /ton NOx(R)</v>
      </c>
      <c r="AA370" s="8828"/>
      <c r="AB370" s="7717"/>
      <c r="AC370" s="8860"/>
      <c r="AD370" s="7631">
        <f>+IF(VLOOKUP(MATCH(E365,c_id,0),ca,'13(an)'!$LB$34,FALSE)="","",VLOOKUP(MATCH(E365,c_id,0),ca,'13(an)'!$LB$34,FALSE))</f>
        <v>121006.35979261565</v>
      </c>
      <c r="AE370" s="8828" t="str">
        <f>IF(AD370="","","$ /ton "&amp;"NOx(R)")</f>
        <v>$ /ton NOx(R)</v>
      </c>
      <c r="AF370" s="8828"/>
      <c r="AG370" s="7718"/>
      <c r="AH370" s="5962"/>
      <c r="AI370" s="5959"/>
      <c r="AJ370" s="5959"/>
      <c r="AK370" s="5959"/>
      <c r="AL370" s="5959"/>
      <c r="AM370" s="5959"/>
    </row>
    <row r="371" spans="1:39" ht="18" customHeight="1">
      <c r="A371" s="5952"/>
      <c r="B371" s="7516"/>
      <c r="C371" s="7430"/>
      <c r="D371" s="7742"/>
      <c r="E371" s="7516"/>
      <c r="F371" s="5952"/>
      <c r="G371" s="5959"/>
      <c r="H371" s="5952"/>
      <c r="I371" s="5952"/>
      <c r="J371" s="5952"/>
      <c r="K371" s="5952"/>
      <c r="L371" s="7519"/>
      <c r="M371" s="7742"/>
      <c r="N371" s="7648"/>
      <c r="O371" s="7574"/>
      <c r="P371" s="7568"/>
      <c r="Q371" s="7519"/>
      <c r="R371" s="7627"/>
      <c r="S371" s="7519"/>
      <c r="T371" s="7566" t="s">
        <v>1896</v>
      </c>
      <c r="U371" s="7766" t="s">
        <v>486</v>
      </c>
      <c r="V371" s="7470"/>
      <c r="W371" s="7567"/>
      <c r="X371" s="7519"/>
      <c r="Y371" s="7566" t="s">
        <v>1896</v>
      </c>
      <c r="Z371" s="7766" t="s">
        <v>486</v>
      </c>
      <c r="AA371" s="7470"/>
      <c r="AB371" s="7470"/>
      <c r="AC371" s="7519"/>
      <c r="AD371" s="7566" t="s">
        <v>1896</v>
      </c>
      <c r="AE371" s="7769" t="s">
        <v>486</v>
      </c>
      <c r="AF371" s="7470"/>
      <c r="AG371" s="7470"/>
      <c r="AH371" s="5962"/>
      <c r="AI371" s="5959"/>
      <c r="AJ371" s="5959"/>
      <c r="AK371" s="5959"/>
      <c r="AL371" s="5959"/>
      <c r="AM371" s="5959"/>
    </row>
    <row r="372" spans="1:39" ht="18" customHeight="1">
      <c r="A372" s="5952"/>
      <c r="B372" s="7516"/>
      <c r="C372" s="7430"/>
      <c r="D372" s="7742"/>
      <c r="E372" s="7516"/>
      <c r="F372" s="5952"/>
      <c r="G372" s="5959"/>
      <c r="H372" s="5952"/>
      <c r="I372" s="5952"/>
      <c r="J372" s="5952"/>
      <c r="K372" s="5952"/>
      <c r="L372" s="7519"/>
      <c r="M372" s="7742"/>
      <c r="N372" s="7648"/>
      <c r="O372" s="7574"/>
      <c r="P372" s="7568"/>
      <c r="Q372" s="7519"/>
      <c r="R372" s="7627"/>
      <c r="S372" s="7519"/>
      <c r="T372" s="7543"/>
      <c r="U372" s="7543"/>
      <c r="V372" s="7470"/>
      <c r="W372" s="7567"/>
      <c r="X372" s="7519"/>
      <c r="Y372" s="7543"/>
      <c r="Z372" s="7543"/>
      <c r="AA372" s="7470"/>
      <c r="AB372" s="7470"/>
      <c r="AC372" s="7519"/>
      <c r="AD372" s="7543"/>
      <c r="AE372" s="7543"/>
      <c r="AF372" s="7470"/>
      <c r="AG372" s="7470"/>
      <c r="AH372" s="5962"/>
      <c r="AI372" s="5959"/>
      <c r="AJ372" s="5959"/>
      <c r="AK372" s="5959"/>
      <c r="AL372" s="5959"/>
      <c r="AM372" s="5959"/>
    </row>
    <row r="373" spans="1:39" ht="18" customHeight="1">
      <c r="A373" s="5952"/>
      <c r="B373" s="7516"/>
      <c r="C373" s="7430"/>
      <c r="D373" s="7742"/>
      <c r="E373" s="7516"/>
      <c r="F373" s="5952"/>
      <c r="G373" s="5959"/>
      <c r="H373" s="5952"/>
      <c r="I373" s="5952"/>
      <c r="J373" s="5952"/>
      <c r="K373" s="5952"/>
      <c r="L373" s="7519"/>
      <c r="M373" s="7742"/>
      <c r="N373" s="7648"/>
      <c r="O373" s="7574"/>
      <c r="P373" s="7568"/>
      <c r="Q373" s="7519"/>
      <c r="R373" s="7627"/>
      <c r="S373" s="7519"/>
      <c r="T373" s="7543"/>
      <c r="U373" s="7543"/>
      <c r="V373" s="7470"/>
      <c r="W373" s="7567"/>
      <c r="X373" s="7519"/>
      <c r="Y373" s="7543"/>
      <c r="Z373" s="7543"/>
      <c r="AA373" s="7470"/>
      <c r="AB373" s="7470"/>
      <c r="AC373" s="7519"/>
      <c r="AD373" s="7543"/>
      <c r="AE373" s="7543"/>
      <c r="AF373" s="7470"/>
      <c r="AG373" s="7470"/>
      <c r="AH373" s="5962"/>
      <c r="AI373" s="5959"/>
      <c r="AJ373" s="5959"/>
      <c r="AK373" s="5959"/>
      <c r="AL373" s="5959"/>
      <c r="AM373" s="5959"/>
    </row>
    <row r="374" spans="1:39" ht="18" customHeight="1">
      <c r="A374" s="5952"/>
      <c r="B374" s="7516"/>
      <c r="C374" s="7430"/>
      <c r="D374" s="7742"/>
      <c r="E374" s="7516"/>
      <c r="F374" s="5952"/>
      <c r="G374" s="5959"/>
      <c r="H374" s="5952"/>
      <c r="I374" s="5952"/>
      <c r="J374" s="5952"/>
      <c r="K374" s="5952"/>
      <c r="L374" s="7519"/>
      <c r="M374" s="7742"/>
      <c r="N374" s="7648"/>
      <c r="O374" s="7574"/>
      <c r="P374" s="7568"/>
      <c r="Q374" s="7519"/>
      <c r="R374" s="7627"/>
      <c r="S374" s="7519"/>
      <c r="T374" s="8764"/>
      <c r="U374" s="8764"/>
      <c r="V374" s="8765"/>
      <c r="W374" s="7567"/>
      <c r="X374" s="7519"/>
      <c r="Y374" s="8764"/>
      <c r="Z374" s="8764"/>
      <c r="AA374" s="8765"/>
      <c r="AB374" s="8765"/>
      <c r="AC374" s="7519"/>
      <c r="AD374" s="8764"/>
      <c r="AE374" s="8764"/>
      <c r="AF374" s="8765"/>
      <c r="AG374" s="8765"/>
      <c r="AH374" s="8762"/>
      <c r="AI374" s="5959"/>
      <c r="AJ374" s="5959"/>
      <c r="AK374" s="5959"/>
      <c r="AL374" s="5959"/>
      <c r="AM374" s="5959"/>
    </row>
    <row r="375" spans="1:39" ht="18" customHeight="1">
      <c r="A375" s="5952"/>
      <c r="B375" s="7516"/>
      <c r="C375" s="7430"/>
      <c r="D375" s="7742"/>
      <c r="E375" s="7516"/>
      <c r="F375" s="5952"/>
      <c r="G375" s="5959"/>
      <c r="H375" s="5952"/>
      <c r="I375" s="5952"/>
      <c r="J375" s="5952"/>
      <c r="K375" s="5952"/>
      <c r="L375" s="7519"/>
      <c r="M375" s="7742"/>
      <c r="N375" s="7648"/>
      <c r="O375" s="7574"/>
      <c r="P375" s="7568"/>
      <c r="Q375" s="7519"/>
      <c r="R375" s="7627"/>
      <c r="S375" s="7519"/>
      <c r="T375" s="7543"/>
      <c r="U375" s="7543"/>
      <c r="V375" s="7470"/>
      <c r="W375" s="7567"/>
      <c r="X375" s="7519"/>
      <c r="Y375" s="7543"/>
      <c r="Z375" s="7543"/>
      <c r="AA375" s="7470"/>
      <c r="AB375" s="7470"/>
      <c r="AC375" s="7519"/>
      <c r="AD375" s="7543"/>
      <c r="AE375" s="7543"/>
      <c r="AF375" s="7470"/>
      <c r="AG375" s="7470"/>
      <c r="AH375" s="5962"/>
      <c r="AI375" s="5959"/>
      <c r="AJ375" s="5959"/>
      <c r="AK375" s="5959"/>
      <c r="AL375" s="5959"/>
      <c r="AM375" s="5959"/>
    </row>
    <row r="376" spans="1:39" ht="18" customHeight="1">
      <c r="A376" s="5952"/>
      <c r="B376" s="7516"/>
      <c r="C376" s="7430"/>
      <c r="D376" s="7742"/>
      <c r="E376" s="7516"/>
      <c r="F376" s="5952"/>
      <c r="G376" s="5959"/>
      <c r="H376" s="5952"/>
      <c r="I376" s="5952"/>
      <c r="J376" s="5952"/>
      <c r="K376" s="5952"/>
      <c r="L376" s="7519"/>
      <c r="M376" s="7742"/>
      <c r="N376" s="7648"/>
      <c r="O376" s="7574"/>
      <c r="P376" s="7568"/>
      <c r="Q376" s="7519"/>
      <c r="R376" s="7627"/>
      <c r="S376" s="7519"/>
      <c r="T376" s="8764"/>
      <c r="U376" s="8764"/>
      <c r="V376" s="8765"/>
      <c r="W376" s="7567"/>
      <c r="X376" s="7519"/>
      <c r="Y376" s="8764"/>
      <c r="Z376" s="8764"/>
      <c r="AA376" s="8765"/>
      <c r="AB376" s="8765"/>
      <c r="AC376" s="7519"/>
      <c r="AD376" s="8764"/>
      <c r="AE376" s="8764"/>
      <c r="AF376" s="8765"/>
      <c r="AG376" s="8765"/>
      <c r="AH376" s="8762"/>
      <c r="AI376" s="5959"/>
      <c r="AJ376" s="5959"/>
      <c r="AK376" s="5959"/>
      <c r="AL376" s="5959"/>
      <c r="AM376" s="5959"/>
    </row>
    <row r="377" spans="1:39" ht="18" customHeight="1">
      <c r="A377" s="5952"/>
      <c r="B377" s="7516"/>
      <c r="C377" s="7430"/>
      <c r="D377" s="7742"/>
      <c r="E377" s="7516"/>
      <c r="F377" s="5952"/>
      <c r="G377" s="5959"/>
      <c r="H377" s="5952"/>
      <c r="I377" s="5952"/>
      <c r="J377" s="5952"/>
      <c r="K377" s="5952"/>
      <c r="L377" s="7519"/>
      <c r="M377" s="7742"/>
      <c r="N377" s="7648"/>
      <c r="O377" s="7574"/>
      <c r="P377" s="7568"/>
      <c r="Q377" s="7519"/>
      <c r="R377" s="7627"/>
      <c r="S377" s="7519"/>
      <c r="T377" s="7543"/>
      <c r="U377" s="7543"/>
      <c r="V377" s="7470"/>
      <c r="W377" s="7567"/>
      <c r="X377" s="7519"/>
      <c r="Y377" s="7543"/>
      <c r="Z377" s="7543"/>
      <c r="AA377" s="7470"/>
      <c r="AB377" s="7470"/>
      <c r="AC377" s="7519"/>
      <c r="AD377" s="7543"/>
      <c r="AE377" s="7543"/>
      <c r="AF377" s="7470"/>
      <c r="AG377" s="7470"/>
      <c r="AH377" s="5962"/>
      <c r="AI377" s="5959"/>
      <c r="AJ377" s="5959"/>
      <c r="AK377" s="5959"/>
      <c r="AL377" s="5959"/>
      <c r="AM377" s="5959"/>
    </row>
    <row r="378" spans="1:39" ht="18" customHeight="1">
      <c r="A378" s="5952"/>
      <c r="B378" s="7516"/>
      <c r="C378" s="7430"/>
      <c r="D378" s="7742"/>
      <c r="E378" s="7516"/>
      <c r="F378" s="5952"/>
      <c r="G378" s="5959"/>
      <c r="H378" s="5952"/>
      <c r="I378" s="5952"/>
      <c r="J378" s="5952"/>
      <c r="K378" s="5952"/>
      <c r="L378" s="7519"/>
      <c r="M378" s="7742"/>
      <c r="N378" s="7648"/>
      <c r="O378" s="7574"/>
      <c r="P378" s="7568"/>
      <c r="Q378" s="7519"/>
      <c r="R378" s="7627"/>
      <c r="S378" s="7519"/>
      <c r="T378" s="7543"/>
      <c r="U378" s="7543"/>
      <c r="V378" s="7470"/>
      <c r="W378" s="7567"/>
      <c r="X378" s="7519"/>
      <c r="Y378" s="7543"/>
      <c r="Z378" s="7543"/>
      <c r="AA378" s="7470"/>
      <c r="AB378" s="7470"/>
      <c r="AC378" s="7519"/>
      <c r="AD378" s="7543"/>
      <c r="AE378" s="7543"/>
      <c r="AF378" s="7470"/>
      <c r="AG378" s="7470"/>
      <c r="AH378" s="5962"/>
      <c r="AI378" s="5959"/>
      <c r="AJ378" s="5959"/>
      <c r="AK378" s="5959"/>
      <c r="AL378" s="5959"/>
      <c r="AM378" s="5959"/>
    </row>
    <row r="379" spans="1:39" ht="18" customHeight="1">
      <c r="A379" s="5952"/>
      <c r="B379" s="7516"/>
      <c r="C379" s="7430"/>
      <c r="D379" s="7742"/>
      <c r="E379" s="7516"/>
      <c r="F379" s="5952"/>
      <c r="G379" s="5959"/>
      <c r="H379" s="5952"/>
      <c r="I379" s="5952"/>
      <c r="J379" s="5952"/>
      <c r="K379" s="5952"/>
      <c r="L379" s="7519"/>
      <c r="M379" s="7742"/>
      <c r="N379" s="7648"/>
      <c r="O379" s="7574"/>
      <c r="P379" s="7568"/>
      <c r="Q379" s="7519"/>
      <c r="R379" s="7627"/>
      <c r="S379" s="7519"/>
      <c r="T379" s="7543"/>
      <c r="U379" s="7543"/>
      <c r="V379" s="7470"/>
      <c r="W379" s="7567"/>
      <c r="X379" s="7519"/>
      <c r="Y379" s="7543"/>
      <c r="Z379" s="7543"/>
      <c r="AA379" s="7470"/>
      <c r="AB379" s="7470"/>
      <c r="AC379" s="7519"/>
      <c r="AD379" s="7543"/>
      <c r="AE379" s="7543"/>
      <c r="AF379" s="7470"/>
      <c r="AG379" s="7470"/>
      <c r="AH379" s="5962"/>
      <c r="AI379" s="5959"/>
      <c r="AJ379" s="5959"/>
      <c r="AK379" s="5959"/>
      <c r="AL379" s="5959"/>
      <c r="AM379" s="5959"/>
    </row>
    <row r="380" spans="1:39" ht="18" customHeight="1">
      <c r="A380" s="5952"/>
      <c r="B380" s="7516"/>
      <c r="C380" s="7430"/>
      <c r="D380" s="7742"/>
      <c r="E380" s="7516"/>
      <c r="F380" s="5952"/>
      <c r="G380" s="5959"/>
      <c r="H380" s="5952"/>
      <c r="I380" s="5952"/>
      <c r="J380" s="5952"/>
      <c r="K380" s="5952"/>
      <c r="L380" s="7519"/>
      <c r="M380" s="7742"/>
      <c r="N380" s="7648"/>
      <c r="O380" s="7574"/>
      <c r="P380" s="7568"/>
      <c r="Q380" s="7519"/>
      <c r="R380" s="7627"/>
      <c r="S380" s="7519"/>
      <c r="T380" s="7543"/>
      <c r="U380" s="7543"/>
      <c r="V380" s="7470"/>
      <c r="W380" s="7567"/>
      <c r="X380" s="7519"/>
      <c r="Y380" s="7543"/>
      <c r="Z380" s="7543"/>
      <c r="AA380" s="7470"/>
      <c r="AB380" s="7470"/>
      <c r="AC380" s="7519"/>
      <c r="AD380" s="7543"/>
      <c r="AE380" s="7543"/>
      <c r="AF380" s="7470"/>
      <c r="AG380" s="7470"/>
      <c r="AH380" s="5962"/>
      <c r="AI380" s="5959"/>
      <c r="AJ380" s="5959"/>
      <c r="AK380" s="5959"/>
      <c r="AL380" s="5959"/>
      <c r="AM380" s="5959"/>
    </row>
    <row r="381" spans="1:39" ht="18" customHeight="1">
      <c r="A381" s="5952"/>
      <c r="B381" s="7516"/>
      <c r="C381" s="7430"/>
      <c r="D381" s="7742"/>
      <c r="E381" s="7516"/>
      <c r="F381" s="5952"/>
      <c r="G381" s="5959"/>
      <c r="H381" s="5952"/>
      <c r="I381" s="5952"/>
      <c r="J381" s="7526"/>
      <c r="K381" s="7526" t="s">
        <v>1159</v>
      </c>
      <c r="L381" s="7519"/>
      <c r="M381" s="7742"/>
      <c r="N381" s="7648"/>
      <c r="O381" s="7574"/>
      <c r="P381" s="7568"/>
      <c r="Q381" s="7519"/>
      <c r="R381" s="7627"/>
      <c r="S381" s="7519"/>
      <c r="T381" s="7543"/>
      <c r="U381" s="7543"/>
      <c r="V381" s="7470"/>
      <c r="W381" s="7567"/>
      <c r="X381" s="7519"/>
      <c r="Y381" s="7543"/>
      <c r="Z381" s="7543"/>
      <c r="AA381" s="7470"/>
      <c r="AB381" s="7470"/>
      <c r="AC381" s="7519"/>
      <c r="AD381" s="7543"/>
      <c r="AE381" s="7543"/>
      <c r="AF381" s="7470"/>
      <c r="AG381" s="7470"/>
      <c r="AH381" s="5962"/>
      <c r="AI381" s="5959"/>
      <c r="AJ381" s="5959"/>
      <c r="AK381" s="5959"/>
      <c r="AL381" s="5959"/>
      <c r="AM381" s="5959"/>
    </row>
    <row r="382" spans="1:39" ht="20.100000000000001" customHeight="1" thickBot="1">
      <c r="A382" s="5952"/>
      <c r="B382" s="7450"/>
      <c r="C382" s="7430"/>
      <c r="D382" s="5952"/>
      <c r="E382" s="7450"/>
      <c r="F382" s="5952"/>
      <c r="G382" s="5959"/>
      <c r="H382" s="5952"/>
      <c r="I382" s="5952"/>
      <c r="J382" s="5952"/>
      <c r="K382" s="7526" t="str">
        <f>+IF(B383="","",IF(VLOOKUP(MATCH(B383,tid,0),tao,'12(id)'!$I$20,FALSE)="","",VLOOKUP(MATCH(B383,tid,0),tao,'12(id)'!$I$20,FALSE)))</f>
        <v>PSEG Power LLC, PSEG Fossil LLC, PSEG Power Connecticut</v>
      </c>
      <c r="L382" s="5952"/>
      <c r="M382" s="5952"/>
      <c r="N382" s="5952"/>
      <c r="O382" s="5952"/>
      <c r="P382" s="5952"/>
      <c r="Q382" s="5952"/>
      <c r="R382" s="7721"/>
      <c r="S382" s="5962"/>
      <c r="T382" s="5962"/>
      <c r="U382" s="7543"/>
      <c r="V382" s="7470"/>
      <c r="W382" s="7567"/>
      <c r="X382" s="7519"/>
      <c r="Y382" s="7543"/>
      <c r="Z382" s="7543"/>
      <c r="AA382" s="7470"/>
      <c r="AB382" s="7470"/>
      <c r="AC382" s="7519"/>
      <c r="AD382" s="7543"/>
      <c r="AE382" s="7543"/>
      <c r="AF382" s="7470"/>
      <c r="AG382" s="7470"/>
      <c r="AH382" s="5962"/>
      <c r="AI382" s="5959"/>
      <c r="AJ382" s="5959"/>
      <c r="AK382" s="5959"/>
      <c r="AL382" s="5959"/>
      <c r="AM382" s="5959"/>
    </row>
    <row r="383" spans="1:39" ht="12.75" customHeight="1">
      <c r="A383" s="5952"/>
      <c r="B383" s="9034" t="str">
        <f>+IF('12(id)'!A57="","",'12(id)'!A57)</f>
        <v>8305-01</v>
      </c>
      <c r="C383" s="8881" t="str">
        <f>+IF(B383="","",VLOOKUP(MATCH(B383,tid,0),tao,'12(id)'!$J$20,FALSE))</f>
        <v>PSEG</v>
      </c>
      <c r="D383" s="8877" t="str">
        <f>+IF(B383="","",M383)</f>
        <v>NHB1</v>
      </c>
      <c r="E383" s="9180" t="str">
        <f>+IF(B383="","",B383&amp;IF(ISERR(VALUE(R383)),"-01",IF(R383&lt;10,"-0"&amp;R383,"-"&amp;R383)))</f>
        <v>8305-01-01</v>
      </c>
      <c r="F383" s="5952"/>
      <c r="G383" s="5959"/>
      <c r="H383" s="5952"/>
      <c r="I383" s="9050">
        <f>1+I359</f>
        <v>8</v>
      </c>
      <c r="J383" s="9060" t="str">
        <f>+IF(VLOOKUP(MATCH(B383,tid,0),tao,'12(id)'!$I$20,FALSE)="","",VLOOKUP(MATCH(B383,tid,0),tao,'12(id)'!$I$20,FALSE))</f>
        <v>PSEG Power LLC, PSEG Fossil LLC, PSEG Power Connecticut</v>
      </c>
      <c r="K383" s="9063">
        <f>+IF(B383="","",IF(VLOOKUP(MATCH(B383,tid,0),tao,'12(id)'!$K$20,FALSE)="","",VLOOKUP(MATCH(B383,tid,0),tao,'12(id)'!$K$20,FALSE)))</f>
        <v>8305</v>
      </c>
      <c r="L383" s="9000" t="str">
        <f>+IF(B383="","",IF(VLOOKUP(MATCH(B383,tid,0),tao,'12(id)'!$L$20,FALSE)="","",VLOOKUP(MATCH(B383,tid,0),tao,'12(id)'!$L$20,FALSE)))</f>
        <v>New Haven Harbor</v>
      </c>
      <c r="M383" s="9057" t="str">
        <f>+IF(B383="","",IF(VLOOKUP(MATCH(B383,tid,0),tao,'12(id)'!$Q$20,FALSE)="","",VLOOKUP(MATCH(B383,tid,0),tao,'12(id)'!$Q$20,FALSE)))</f>
        <v>NHB1</v>
      </c>
      <c r="N383" s="9084" t="str">
        <f>+IF(B383="","",IF(VLOOKUP(MATCH(B383,tid,0),tao,'12(id)'!$CT$20,FALSE)="","",VLOOKUP(MATCH(B383,tid,0),tao,'12(id)'!$CT$20,FALSE)))</f>
        <v>Unit is a steam boiler, only</v>
      </c>
      <c r="O383" s="8984" t="str">
        <f ca="1">+IF(B383="","",IF(VLOOKUP(MATCH(B383,tid,0),tao,'12(id)'!$DE$20,FALSE)="","",ROUND(VLOOKUP(MATCH(B383,tid,0),tao,'12(id)'!$DE$20,FALSE),0)&amp;" yrs"))</f>
        <v>40 yrs</v>
      </c>
      <c r="P383" s="9000" t="str">
        <f>+IF(B383="","",IF(VLOOKUP(MATCH(B383,tid,0),tao,'12(id)'!$FR$20,FALSE)="","",VLOOKUP(MATCH(B383,tid,0),tao,'12(id)'!$FR$20,FALSE)))</f>
        <v>None</v>
      </c>
      <c r="Q383" s="9000" t="str">
        <f>+IF(B383="","",IF(VLOOKUP(MATCH(B383,tid,0),tao,'12(id)'!$DI$20,FALSE)="","",VLOOKUP(MATCH(B383,tid,0),tao,'12(id)'!$DI$20,FALSE))&amp;";  "&amp;IF(VLOOKUP(MATCH(B383,tid,0),tao,'12(id)'!$DQ$20,FALSE)="","",VLOOKUP(MATCH(B383,tid,0),tao,'12(id)'!$DQ$20,FALSE)))</f>
        <v xml:space="preserve">No. 6 oil;  </v>
      </c>
      <c r="R383" s="9022">
        <f>+IF(B383="","",1)</f>
        <v>1</v>
      </c>
      <c r="S383" s="8817"/>
      <c r="T383" s="8861" t="str">
        <f>+IF(VLOOKUP(MATCH(E383,c_id,0),ca,'13(an)'!$BD$34,FALSE)="","",VLOOKUP(MATCH(E383,c_id,0),ca,'13(an)'!$BD$34,FALSE))</f>
        <v>Low NOx Burners (LNB)</v>
      </c>
      <c r="U383" s="8861" t="e">
        <f>+IF(VLOOKUP(MATCH(R383,c_id,0),ca,'13(an)'!$BD$34,FALSE)="","",VLOOKUP(MATCH(R383,c_id,0),ca,'13(an)'!$BD$34,FALSE))</f>
        <v>#N/A</v>
      </c>
      <c r="V383" s="8861" t="e">
        <f>+IF(VLOOKUP(MATCH(S383,c_id,0),ca,'13(an)'!$BD$34,FALSE)="","",VLOOKUP(MATCH(S383,c_id,0),ca,'13(an)'!$BD$34,FALSE))</f>
        <v>#N/A</v>
      </c>
      <c r="W383" s="7528"/>
      <c r="X383" s="8817"/>
      <c r="Y383" s="8861" t="str">
        <f>+T383</f>
        <v>Low NOx Burners (LNB)</v>
      </c>
      <c r="Z383" s="8861"/>
      <c r="AA383" s="8861"/>
      <c r="AB383" s="7529"/>
      <c r="AC383" s="8817"/>
      <c r="AD383" s="8861" t="str">
        <f>+T383</f>
        <v>Low NOx Burners (LNB)</v>
      </c>
      <c r="AE383" s="8861"/>
      <c r="AF383" s="8861"/>
      <c r="AG383" s="7530"/>
      <c r="AH383" s="5962"/>
      <c r="AI383" s="5959"/>
      <c r="AJ383" s="5959"/>
      <c r="AK383" s="5959"/>
      <c r="AL383" s="5959"/>
      <c r="AM383" s="5959"/>
    </row>
    <row r="384" spans="1:39" ht="15" customHeight="1">
      <c r="A384" s="5952"/>
      <c r="B384" s="9035"/>
      <c r="C384" s="8852" t="str">
        <f>+IF(B384="","",VLOOKUP(MATCH(B384,tid,0),tao,'12(id)'!$J$20,FALSE))</f>
        <v/>
      </c>
      <c r="D384" s="8878"/>
      <c r="E384" s="9181"/>
      <c r="F384" s="5952"/>
      <c r="G384" s="5959"/>
      <c r="H384" s="5952"/>
      <c r="I384" s="9051"/>
      <c r="J384" s="8971" t="e">
        <f>+IF(VLOOKUP(MATCH(B384,tid,0),tao,'12(id)'!$I$20,FALSE)="","",VLOOKUP(MATCH(B384,tid,0),tao,'12(id)'!$I$20,FALSE))</f>
        <v>#N/A</v>
      </c>
      <c r="K384" s="9064" t="e">
        <f>+IF(VLOOKUP(MATCH(B384,tid,0),tao,'12(id)'!$K$20,FALSE)="","",VLOOKUP(MATCH(B384,tid,0),tao,'12(id)'!$K$20,FALSE))</f>
        <v>#N/A</v>
      </c>
      <c r="L384" s="9001" t="e">
        <f>+IF(VLOOKUP(MATCH(B384,tid,0),tao,'12(id)'!$L$20,FALSE)="","",VLOOKUP(MATCH(B384,tid,0),tao,'12(id)'!$L$20,FALSE))</f>
        <v>#N/A</v>
      </c>
      <c r="M384" s="9058" t="e">
        <f>+IF(VLOOKUP(MATCH(B384,tid,0),tao,'12(id)'!$Q$20,FALSE)="","",VLOOKUP(MATCH(B384,tid,0),tao,'12(id)'!$Q$20,FALSE))</f>
        <v>#N/A</v>
      </c>
      <c r="N384" s="9085" t="e">
        <f>+IF(VLOOKUP(MATCH(B384,tid,0),tao,'12(id)'!$CT$20,FALSE)="","",VLOOKUP(MATCH(B384,tid,0),tao,'12(id)'!$CT$20,FALSE))</f>
        <v>#N/A</v>
      </c>
      <c r="O384" s="8985" t="e">
        <f>+IF(VLOOKUP(MATCH(B384,tid,0),tao,'12(id)'!$DE$20,FALSE)="","",ROUND(VLOOKUP(MATCH(B384,tid,0),tao,'12(id)'!$DE$20,FALSE),0)&amp;" yrs")</f>
        <v>#N/A</v>
      </c>
      <c r="P384" s="9001" t="e">
        <f>+IF(VLOOKUP(MATCH(B384,tid,0),tao,'12(id)'!$FR$20,FALSE)="","",VLOOKUP(MATCH(B384,tid,0),tao,'12(id)'!$FR$20,FALSE))</f>
        <v>#N/A</v>
      </c>
      <c r="Q384" s="9001" t="e">
        <f>+IF(VLOOKUP(MATCH(B384,tid,0),tao,'12(id)'!$DI$20,FALSE)="","",VLOOKUP(MATCH(B384,tid,0),tao,'12(id)'!$DI$20,FALSE))&amp;";  "&amp;IF(VLOOKUP(MATCH(B384,tid,0),tao,'12(id)'!$DQ$20,FALSE)="","",VLOOKUP(MATCH(B384,tid,0),tao,'12(id)'!$DQ$20,FALSE))</f>
        <v>#N/A</v>
      </c>
      <c r="R384" s="8906"/>
      <c r="S384" s="8818"/>
      <c r="T384" s="7743" t="str">
        <f>+IF(E383="","",IF(VLOOKUP(MATCH(E383,c_id,0),ca,'13(an)'!$CC$34,FALSE)="",IF(VLOOKUP(MATCH(E383,c_id,0),ca,'13(an)'!$CD$34,FALSE)="",IF(VLOOKUP(MATCH(E383,c_id,0),ca,'13(an)'!$CE$34,FALSE)="","η ≈ N/A","η ≈ "&amp;ROUND(VLOOKUP(MATCH(E383,c_id,0),ca,'13(an)'!$CE$34,FALSE)*100,0)&amp;"%"),"η ≈ "&amp;ROUND(VLOOKUP(MATCH(E383,c_id,0),ca,'13(an)'!$CD$34,FALSE)*100,0)&amp;"%"),"η ≈ "&amp;ROUND(VLOOKUP(MATCH(E383,c_id,0),ca,'13(an)'!$CC$34,FALSE)*100,0)&amp;"%"))</f>
        <v>η ≈ 30%</v>
      </c>
      <c r="U384" s="7744" t="str">
        <f>+IF($U$412="ppmvd",IF(VLOOKUP(MATCH(E383,c_id,0),ca,'13(an)'!$BV$34,FALSE)="","",ROUND(VLOOKUP(MATCH(E383,c_id,0),ca,'13(an)'!$BV$34,FALSE),1)&amp;" ppmvd"),IF(VLOOKUP(MATCH(E383,c_id,0),ca,'13(an)'!$BU$34,FALSE)="","",IF(LEN(ROUND(VLOOKUP(MATCH(E383,c_id,0),ca,'13(an)'!$BU$34,FALSE),3))=3,ROUND(VLOOKUP(MATCH(E383,c_id,0),ca,'13(an)'!$BU$34,FALSE),3)&amp;"00 lb/MMBtu",IF(LEN(ROUND(VLOOKUP(MATCH(E383,c_id,0),ca,'13(an)'!$BU$34,FALSE),3))=4,ROUND(VLOOKUP(MATCH(E383,c_id,0),ca,'13(an)'!$BU$34,FALSE),3)&amp;"0 lb/MMBtu",ROUND(VLOOKUP(MATCH(E383,c_id,0),ca,'13(an)'!$BU$34,FALSE),3)&amp;" lb/MMBtu"))))</f>
        <v/>
      </c>
      <c r="V384" s="7745" t="str">
        <f>+IF(E383="","",IF(VLOOKUP(MATCH(E383,c_id,0),ca,'13(an)'!$CB$34,FALSE)="","NOx(R) = N/A",ROUND(VLOOKUP(MATCH(E383,c_id,0),ca,'13(an)'!$CB$34,FALSE),1)))</f>
        <v>NOx(R) = N/A</v>
      </c>
      <c r="W384" s="7534"/>
      <c r="X384" s="8818"/>
      <c r="Y384" s="7746" t="str">
        <f>+IF(E383="","",IF(VLOOKUP(MATCH(E383,c_id,0),ca,'13(an)'!$CM$34,FALSE)="",IF(VLOOKUP(MATCH(E383,c_id,0),ca,'13(an)'!$CN$34,FALSE)="",IF(VLOOKUP(MATCH(E383,c_id,0),ca,'13(an)'!$CO$34,FALSE)="","η ≈ N/A","η ≈ "&amp;ROUND(VLOOKUP(MATCH(E383,c_id,0),ca,'13(an)'!$CO$34,FALSE)*100,0)&amp;"%"),"η ≈ "&amp;ROUND(VLOOKUP(MATCH(E383,c_id,0),ca,'13(an)'!$CN$34,FALSE)*100,0)&amp;"%"),"η ≈ "&amp;ROUND(VLOOKUP(MATCH(E383,c_id,0),ca,'13(an)'!$CM$34,FALSE)*100,0)&amp;"%"))</f>
        <v>η ≈ 30%</v>
      </c>
      <c r="Z384" s="7747" t="str">
        <f>+IF($Z$412="ppmvd",IF(VLOOKUP(MATCH(E383,c_id,0),ca,'13(an)'!$CJ$34,FALSE)="","",ROUND(VLOOKUP(MATCH(E383,c_id,0),ca,'13(an)'!$CJ$34,FALSE),1)&amp;" ppmvd"),IF(VLOOKUP(MATCH(E383,c_id,0),ca,'13(an)'!$CI$34,FALSE)="","",IF(LEN(ROUND(VLOOKUP(MATCH(E383,c_id,0),ca,'13(an)'!$CI$34,FALSE),3))=3,ROUND(VLOOKUP(MATCH(E383,c_id,0),ca,'13(an)'!$CI$34,FALSE),3)&amp;"00 lb/MMBtu",IF(LEN(ROUND(VLOOKUP(MATCH(E383,c_id,0),ca,'13(an)'!$CI$34,FALSE),3))=4,ROUND(VLOOKUP(MATCH(E383,c_id,0),ca,'13(an)'!$CI$34,FALSE),3)&amp;"0 lb/MMBtu",ROUND(VLOOKUP(MATCH(E383,c_id,0),ca,'13(an)'!$CI$34,FALSE),3)&amp;" lb/MMBtu"))))</f>
        <v>0.096 lb/MMBtu</v>
      </c>
      <c r="AA384" s="7748">
        <f>+IF(E383="","",IF(VLOOKUP(MATCH(E383,c_id,0),ca,'13(an)'!$CL$34,FALSE)="","NOx(R) = N/A",ROUND(VLOOKUP(MATCH(E383,c_id,0),ca,'13(an)'!$CL$34,FALSE),1)))</f>
        <v>30.6</v>
      </c>
      <c r="AB384" s="7535"/>
      <c r="AC384" s="8818"/>
      <c r="AD384" s="7746" t="str">
        <f>+IF(E383="","",IF(VLOOKUP(MATCH(E383,c_id,0),ca,'13(an)'!$CM$34,FALSE)="",IF(VLOOKUP(MATCH(E383,c_id,0),ca,'13(an)'!$CN$34,FALSE)="",IF(VLOOKUP(MATCH(E383,c_id,0),ca,'13(an)'!$CO$34,FALSE)="","η ≈ N/A","η ≈ "&amp;ROUND(VLOOKUP(MATCH(E383,c_id,0),ca,'13(an)'!$CO$34,FALSE)*100,0)&amp;"%"),"η ≈ "&amp;ROUND(VLOOKUP(MATCH(E383,c_id,0),ca,'13(an)'!$CN$34,FALSE)*100,0)&amp;"%"),"η ≈ "&amp;ROUND(VLOOKUP(MATCH(E383,c_id,0),ca,'13(an)'!$CM$34,FALSE)*100,0)&amp;"%"))</f>
        <v>η ≈ 30%</v>
      </c>
      <c r="AE384" s="7747" t="str">
        <f>+IF($AE$412="ppmvd",IF(VLOOKUP(MATCH(E383,c_id,0),ca,'13(an)'!$CJ$34,FALSE)="","",ROUND(VLOOKUP(MATCH(E383,c_id,0),ca,'13(an)'!$CJ$34,FALSE),1)&amp;" ppmvd"),IF(VLOOKUP(MATCH(E383,c_id,0),ca,'13(an)'!$CI$34,FALSE)="","",IF(LEN(ROUND(VLOOKUP(MATCH(E383,c_id,0),ca,'13(an)'!$CI$34,FALSE),3))=3,ROUND(VLOOKUP(MATCH(E383,c_id,0),ca,'13(an)'!$CI$34,FALSE),3)&amp;"00 lb/MMBtu",IF(LEN(ROUND(VLOOKUP(MATCH(E383,c_id,0),ca,'13(an)'!$CI$34,FALSE),3))=4,ROUND(VLOOKUP(MATCH(E383,c_id,0),ca,'13(an)'!$CI$34,FALSE),3)&amp;"0 lb/MMBtu",ROUND(VLOOKUP(MATCH(E383,c_id,0),ca,'13(an)'!$CI$34,FALSE),3)&amp;" lb/MMBtu"))))</f>
        <v>0.096 lb/MMBtu</v>
      </c>
      <c r="AF384" s="7748">
        <f>+IF(E383="","",IF(VLOOKUP(MATCH(E383,c_id,0),ca,'13(an)'!$CL$34,FALSE)="","NOx(R) = N/A",ROUND(VLOOKUP(MATCH(E383,c_id,0),ca,'13(an)'!$CL$34,FALSE),1)))</f>
        <v>30.6</v>
      </c>
      <c r="AG384" s="7536"/>
      <c r="AH384" s="5962"/>
      <c r="AI384" s="5959"/>
      <c r="AJ384" s="5959"/>
      <c r="AK384" s="5959"/>
      <c r="AL384" s="5959"/>
      <c r="AM384" s="5959"/>
    </row>
    <row r="385" spans="1:39" ht="15" customHeight="1">
      <c r="A385" s="5952"/>
      <c r="B385" s="9035"/>
      <c r="C385" s="8852" t="str">
        <f>+IF(B385="","",VLOOKUP(MATCH(B385,tid,0),tao,'12(id)'!$J$20,FALSE))</f>
        <v/>
      </c>
      <c r="D385" s="8878"/>
      <c r="E385" s="9181"/>
      <c r="F385" s="5952"/>
      <c r="G385" s="5959"/>
      <c r="H385" s="5952"/>
      <c r="I385" s="9051"/>
      <c r="J385" s="8971" t="e">
        <f>+IF(VLOOKUP(MATCH(B385,tid,0),tao,'12(id)'!$I$20,FALSE)="","",VLOOKUP(MATCH(B385,tid,0),tao,'12(id)'!$I$20,FALSE))</f>
        <v>#N/A</v>
      </c>
      <c r="K385" s="9064" t="e">
        <f>+IF(VLOOKUP(MATCH(B385,tid,0),tao,'12(id)'!$K$20,FALSE)="","",VLOOKUP(MATCH(B385,tid,0),tao,'12(id)'!$K$20,FALSE))</f>
        <v>#N/A</v>
      </c>
      <c r="L385" s="9001" t="e">
        <f>+IF(VLOOKUP(MATCH(B385,tid,0),tao,'12(id)'!$L$20,FALSE)="","",VLOOKUP(MATCH(B385,tid,0),tao,'12(id)'!$L$20,FALSE))</f>
        <v>#N/A</v>
      </c>
      <c r="M385" s="9058" t="e">
        <f>+IF(VLOOKUP(MATCH(B385,tid,0),tao,'12(id)'!$Q$20,FALSE)="","",VLOOKUP(MATCH(B385,tid,0),tao,'12(id)'!$Q$20,FALSE))</f>
        <v>#N/A</v>
      </c>
      <c r="N385" s="9085" t="e">
        <f>+IF(VLOOKUP(MATCH(B385,tid,0),tao,'12(id)'!$CT$20,FALSE)="","",VLOOKUP(MATCH(B385,tid,0),tao,'12(id)'!$CT$20,FALSE))</f>
        <v>#N/A</v>
      </c>
      <c r="O385" s="8985" t="e">
        <f>+IF(VLOOKUP(MATCH(B385,tid,0),tao,'12(id)'!$DE$20,FALSE)="","",ROUND(VLOOKUP(MATCH(B385,tid,0),tao,'12(id)'!$DE$20,FALSE),0)&amp;" yrs")</f>
        <v>#N/A</v>
      </c>
      <c r="P385" s="9001" t="e">
        <f>+IF(VLOOKUP(MATCH(B385,tid,0),tao,'12(id)'!$FR$20,FALSE)="","",VLOOKUP(MATCH(B385,tid,0),tao,'12(id)'!$FR$20,FALSE))</f>
        <v>#N/A</v>
      </c>
      <c r="Q385" s="9001" t="e">
        <f>+IF(VLOOKUP(MATCH(B385,tid,0),tao,'12(id)'!$DI$20,FALSE)="","",VLOOKUP(MATCH(B385,tid,0),tao,'12(id)'!$DI$20,FALSE))&amp;";  "&amp;IF(VLOOKUP(MATCH(B385,tid,0),tao,'12(id)'!$DQ$20,FALSE)="","",VLOOKUP(MATCH(B385,tid,0),tao,'12(id)'!$DQ$20,FALSE))</f>
        <v>#N/A</v>
      </c>
      <c r="R385" s="8906"/>
      <c r="S385" s="8818"/>
      <c r="T385" s="7537">
        <f>+IF(VLOOKUP(MATCH(E383,c_id,0),ca,'13(an)'!$GF$34,FALSE)="","",VLOOKUP(MATCH(E383,c_id,0),ca,'13(an)'!$GF$34,FALSE))</f>
        <v>133450</v>
      </c>
      <c r="U385" s="7538" t="str">
        <f>+IF(T385="","","$ TCC/unit")</f>
        <v>$ TCC/unit</v>
      </c>
      <c r="V385" s="7539" t="str">
        <f>+IF(VLOOKUP(MATCH(E383,c_id,0),ca,'13(an)'!$HA$34,FALSE)="","",VLOOKUP(MATCH(E383,c_id,0),ca,'13(an)'!$HA$34,FALSE))</f>
        <v/>
      </c>
      <c r="W385" s="7540"/>
      <c r="X385" s="8818"/>
      <c r="Y385" s="7543">
        <f>+IF(VLOOKUP(MATCH(E383,c_id,0),ca,'13(an)'!$IA$34,FALSE)="","",VLOOKUP(MATCH(E383,c_id,0),ca,'13(an)'!$IA$34,FALSE))</f>
        <v>133450</v>
      </c>
      <c r="Z385" s="7570" t="str">
        <f>+IF(Y385="","","$ TCC/unit")</f>
        <v>$ TCC/unit</v>
      </c>
      <c r="AA385" s="7541">
        <f>+IF(Y385="","",$AA$19*Y385)</f>
        <v>10009.969582683298</v>
      </c>
      <c r="AB385" s="7541"/>
      <c r="AC385" s="8818"/>
      <c r="AD385" s="7543">
        <f>+IF(VLOOKUP(MATCH(E383,c_id,0),ca,'13(an)'!$JS$34,FALSE)="","",VLOOKUP(MATCH(E383,c_id,0),ca,'13(an)'!$JS$34,FALSE))</f>
        <v>133450</v>
      </c>
      <c r="AE385" s="7570" t="str">
        <f>+IF(AD385="","","$ TCC/unit")</f>
        <v>$ TCC/unit</v>
      </c>
      <c r="AF385" s="7541">
        <f>+IF(AD385="","",$AF$19*AD385)</f>
        <v>10009.969582683298</v>
      </c>
      <c r="AG385" s="7542"/>
      <c r="AH385" s="5962"/>
      <c r="AI385" s="5959"/>
      <c r="AJ385" s="5959"/>
      <c r="AK385" s="5959"/>
      <c r="AL385" s="5959"/>
      <c r="AM385" s="5959"/>
    </row>
    <row r="386" spans="1:39" ht="15" customHeight="1">
      <c r="A386" s="5952"/>
      <c r="B386" s="9035"/>
      <c r="C386" s="8852" t="str">
        <f>+IF(B386="","",VLOOKUP(MATCH(B386,tid,0),tao,'12(id)'!$J$20,FALSE))</f>
        <v/>
      </c>
      <c r="D386" s="8878"/>
      <c r="E386" s="9181"/>
      <c r="F386" s="5952"/>
      <c r="G386" s="5959"/>
      <c r="H386" s="5952"/>
      <c r="I386" s="9051"/>
      <c r="J386" s="8971" t="e">
        <f>+IF(VLOOKUP(MATCH(B386,tid,0),tao,'12(id)'!$I$20,FALSE)="","",VLOOKUP(MATCH(B386,tid,0),tao,'12(id)'!$I$20,FALSE))</f>
        <v>#N/A</v>
      </c>
      <c r="K386" s="9064" t="e">
        <f>+IF(VLOOKUP(MATCH(B386,tid,0),tao,'12(id)'!$K$20,FALSE)="","",VLOOKUP(MATCH(B386,tid,0),tao,'12(id)'!$K$20,FALSE))</f>
        <v>#N/A</v>
      </c>
      <c r="L386" s="9001" t="e">
        <f>+IF(VLOOKUP(MATCH(B386,tid,0),tao,'12(id)'!$L$20,FALSE)="","",VLOOKUP(MATCH(B386,tid,0),tao,'12(id)'!$L$20,FALSE))</f>
        <v>#N/A</v>
      </c>
      <c r="M386" s="9058" t="e">
        <f>+IF(VLOOKUP(MATCH(B386,tid,0),tao,'12(id)'!$Q$20,FALSE)="","",VLOOKUP(MATCH(B386,tid,0),tao,'12(id)'!$Q$20,FALSE))</f>
        <v>#N/A</v>
      </c>
      <c r="N386" s="9085" t="e">
        <f>+IF(VLOOKUP(MATCH(B386,tid,0),tao,'12(id)'!$CT$20,FALSE)="","",VLOOKUP(MATCH(B386,tid,0),tao,'12(id)'!$CT$20,FALSE))</f>
        <v>#N/A</v>
      </c>
      <c r="O386" s="8985" t="e">
        <f>+IF(VLOOKUP(MATCH(B386,tid,0),tao,'12(id)'!$DE$20,FALSE)="","",ROUND(VLOOKUP(MATCH(B386,tid,0),tao,'12(id)'!$DE$20,FALSE),0)&amp;" yrs")</f>
        <v>#N/A</v>
      </c>
      <c r="P386" s="9001" t="e">
        <f>+IF(VLOOKUP(MATCH(B386,tid,0),tao,'12(id)'!$FR$20,FALSE)="","",VLOOKUP(MATCH(B386,tid,0),tao,'12(id)'!$FR$20,FALSE))</f>
        <v>#N/A</v>
      </c>
      <c r="Q386" s="9001" t="e">
        <f>+IF(VLOOKUP(MATCH(B386,tid,0),tao,'12(id)'!$DI$20,FALSE)="","",VLOOKUP(MATCH(B386,tid,0),tao,'12(id)'!$DI$20,FALSE))&amp;";  "&amp;IF(VLOOKUP(MATCH(B386,tid,0),tao,'12(id)'!$DQ$20,FALSE)="","",VLOOKUP(MATCH(B386,tid,0),tao,'12(id)'!$DQ$20,FALSE))</f>
        <v>#N/A</v>
      </c>
      <c r="R386" s="8906"/>
      <c r="S386" s="8818"/>
      <c r="T386" s="7543" t="str">
        <f>+IF(T385="","",IF(ISERROR(T385/N383),"N/A",T385/N383))</f>
        <v>N/A</v>
      </c>
      <c r="U386" s="8820" t="str">
        <f>+IF(T386="","","$ TCC / MW nominal capacity")</f>
        <v>$ TCC / MW nominal capacity</v>
      </c>
      <c r="V386" s="8820"/>
      <c r="W386" s="7544"/>
      <c r="X386" s="8818"/>
      <c r="Y386" s="7543" t="str">
        <f>+IF(Y385="","",IF(ISERROR(Y385/N383),"N/A",Y385/N383))</f>
        <v>N/A</v>
      </c>
      <c r="Z386" s="8820" t="str">
        <f>+IF(Y386="","","$ TCC / MW nominal capacity")</f>
        <v>$ TCC / MW nominal capacity</v>
      </c>
      <c r="AA386" s="8820"/>
      <c r="AB386" s="7545"/>
      <c r="AC386" s="8818"/>
      <c r="AD386" s="7543" t="str">
        <f>+IF(AD385="","",IF(ISERROR(AD385/N383),"N/A",AD385/N383))</f>
        <v>N/A</v>
      </c>
      <c r="AE386" s="8820" t="str">
        <f>+IF(AD386="","","$ TCC / MW nominal capacity")</f>
        <v>$ TCC / MW nominal capacity</v>
      </c>
      <c r="AF386" s="8820"/>
      <c r="AG386" s="7546"/>
      <c r="AH386" s="5962"/>
      <c r="AI386" s="5959"/>
      <c r="AJ386" s="5959"/>
      <c r="AK386" s="5959"/>
      <c r="AL386" s="5959"/>
      <c r="AM386" s="5959"/>
    </row>
    <row r="387" spans="1:39" ht="15" customHeight="1">
      <c r="A387" s="5952"/>
      <c r="B387" s="9035"/>
      <c r="C387" s="8852" t="str">
        <f>+IF(B387="","",VLOOKUP(MATCH(B387,tid,0),tao,'12(id)'!$J$20,FALSE))</f>
        <v/>
      </c>
      <c r="D387" s="8878"/>
      <c r="E387" s="9182"/>
      <c r="F387" s="5952"/>
      <c r="G387" s="5959"/>
      <c r="H387" s="5952"/>
      <c r="I387" s="9051"/>
      <c r="J387" s="8971" t="e">
        <f>+IF(VLOOKUP(MATCH(B387,tid,0),tao,'12(id)'!$I$20,FALSE)="","",VLOOKUP(MATCH(B387,tid,0),tao,'12(id)'!$I$20,FALSE))</f>
        <v>#N/A</v>
      </c>
      <c r="K387" s="9064" t="e">
        <f>+IF(VLOOKUP(MATCH(B387,tid,0),tao,'12(id)'!$K$20,FALSE)="","",VLOOKUP(MATCH(B387,tid,0),tao,'12(id)'!$K$20,FALSE))</f>
        <v>#N/A</v>
      </c>
      <c r="L387" s="9001" t="e">
        <f>+IF(VLOOKUP(MATCH(B387,tid,0),tao,'12(id)'!$L$20,FALSE)="","",VLOOKUP(MATCH(B387,tid,0),tao,'12(id)'!$L$20,FALSE))</f>
        <v>#N/A</v>
      </c>
      <c r="M387" s="9058" t="e">
        <f>+IF(VLOOKUP(MATCH(B387,tid,0),tao,'12(id)'!$Q$20,FALSE)="","",VLOOKUP(MATCH(B387,tid,0),tao,'12(id)'!$Q$20,FALSE))</f>
        <v>#N/A</v>
      </c>
      <c r="N387" s="9085" t="e">
        <f>+IF(VLOOKUP(MATCH(B387,tid,0),tao,'12(id)'!$CT$20,FALSE)="","",VLOOKUP(MATCH(B387,tid,0),tao,'12(id)'!$CT$20,FALSE))</f>
        <v>#N/A</v>
      </c>
      <c r="O387" s="8985" t="e">
        <f>+IF(VLOOKUP(MATCH(B387,tid,0),tao,'12(id)'!$DE$20,FALSE)="","",ROUND(VLOOKUP(MATCH(B387,tid,0),tao,'12(id)'!$DE$20,FALSE),0)&amp;" yrs")</f>
        <v>#N/A</v>
      </c>
      <c r="P387" s="9001" t="e">
        <f>+IF(VLOOKUP(MATCH(B387,tid,0),tao,'12(id)'!$FR$20,FALSE)="","",VLOOKUP(MATCH(B387,tid,0),tao,'12(id)'!$FR$20,FALSE))</f>
        <v>#N/A</v>
      </c>
      <c r="Q387" s="9001" t="e">
        <f>+IF(VLOOKUP(MATCH(B387,tid,0),tao,'12(id)'!$DI$20,FALSE)="","",VLOOKUP(MATCH(B387,tid,0),tao,'12(id)'!$DI$20,FALSE))&amp;";  "&amp;IF(VLOOKUP(MATCH(B387,tid,0),tao,'12(id)'!$DQ$20,FALSE)="","",VLOOKUP(MATCH(B387,tid,0),tao,'12(id)'!$DQ$20,FALSE))</f>
        <v>#N/A</v>
      </c>
      <c r="R387" s="8981"/>
      <c r="S387" s="8819"/>
      <c r="T387" s="7590">
        <f>+IF(VLOOKUP(MATCH(E383,c_id,0),ca,'13(an)'!$HF$34,FALSE)="","",VLOOKUP(MATCH(E383,c_id,0),ca,'13(an)'!$HF$34,FALSE))</f>
        <v>4448</v>
      </c>
      <c r="U387" s="7592" t="str">
        <f>IF(T387="","","$ /ton "&amp;"NOx(R)")</f>
        <v>$ /ton NOx(R)</v>
      </c>
      <c r="V387" s="7592"/>
      <c r="W387" s="7591"/>
      <c r="X387" s="8819"/>
      <c r="Y387" s="7590">
        <f>+IF(VLOOKUP(MATCH(E383,c_id,0),ca,'13(an)'!$JE$34,FALSE)="","",VLOOKUP(MATCH(E383,c_id,0),ca,'13(an)'!$JE$34,FALSE))</f>
        <v>327.12318897657843</v>
      </c>
      <c r="Z387" s="7592" t="str">
        <f>IF(Y387="","","$ /ton "&amp;"NOx(R)")</f>
        <v>$ /ton NOx(R)</v>
      </c>
      <c r="AA387" s="7592" t="s">
        <v>2500</v>
      </c>
      <c r="AB387" s="7592"/>
      <c r="AC387" s="8819"/>
      <c r="AD387" s="7590">
        <f>+IF(VLOOKUP(MATCH(E383,c_id,0),ca,'13(an)'!$LB$34,FALSE)="","",VLOOKUP(MATCH(E383,c_id,0),ca,'13(an)'!$LB$34,FALSE))</f>
        <v>7398.8953059700443</v>
      </c>
      <c r="AE387" s="8829" t="str">
        <f>IF(AD387="","","$ /ton "&amp;"NOx(R)")</f>
        <v>$ /ton NOx(R)</v>
      </c>
      <c r="AF387" s="8829"/>
      <c r="AG387" s="7732"/>
      <c r="AH387" s="5962"/>
      <c r="AI387" s="5959"/>
      <c r="AJ387" s="5959"/>
      <c r="AK387" s="5959"/>
      <c r="AL387" s="5959"/>
      <c r="AM387" s="5959"/>
    </row>
    <row r="388" spans="1:39" ht="15" customHeight="1">
      <c r="A388" s="5952"/>
      <c r="B388" s="9035"/>
      <c r="C388" s="8852" t="str">
        <f>+IF(B388="","",VLOOKUP(MATCH(B388,tid,0),tao,'12(id)'!$J$20,FALSE))</f>
        <v/>
      </c>
      <c r="D388" s="8878"/>
      <c r="E388" s="9181" t="str">
        <f>+IF(B383="","",B383&amp;IF(ISERR(VALUE(1+R383)),"-01",IF(1+R383&lt;10,"-0"&amp;1+R383,"-"&amp;1+R383)))</f>
        <v>8305-01-02</v>
      </c>
      <c r="F388" s="5952"/>
      <c r="G388" s="5959"/>
      <c r="H388" s="5952"/>
      <c r="I388" s="9051"/>
      <c r="J388" s="8971" t="e">
        <f>+IF(VLOOKUP(MATCH(B388,tid,0),tao,'12(id)'!$I$20,FALSE)="","",VLOOKUP(MATCH(B388,tid,0),tao,'12(id)'!$I$20,FALSE))</f>
        <v>#N/A</v>
      </c>
      <c r="K388" s="9064" t="e">
        <f>+IF(VLOOKUP(MATCH(B388,tid,0),tao,'12(id)'!$K$20,FALSE)="","",VLOOKUP(MATCH(B388,tid,0),tao,'12(id)'!$K$20,FALSE))</f>
        <v>#N/A</v>
      </c>
      <c r="L388" s="9001" t="e">
        <f>+IF(VLOOKUP(MATCH(B388,tid,0),tao,'12(id)'!$L$20,FALSE)="","",VLOOKUP(MATCH(B388,tid,0),tao,'12(id)'!$L$20,FALSE))</f>
        <v>#N/A</v>
      </c>
      <c r="M388" s="9058" t="e">
        <f>+IF(VLOOKUP(MATCH(B388,tid,0),tao,'12(id)'!$Q$20,FALSE)="","",VLOOKUP(MATCH(B388,tid,0),tao,'12(id)'!$Q$20,FALSE))</f>
        <v>#N/A</v>
      </c>
      <c r="N388" s="9085" t="e">
        <f>+IF(VLOOKUP(MATCH(B388,tid,0),tao,'12(id)'!$CT$20,FALSE)="","",VLOOKUP(MATCH(B388,tid,0),tao,'12(id)'!$CT$20,FALSE))</f>
        <v>#N/A</v>
      </c>
      <c r="O388" s="8985" t="e">
        <f>+IF(VLOOKUP(MATCH(B388,tid,0),tao,'12(id)'!$DE$20,FALSE)="","",ROUND(VLOOKUP(MATCH(B388,tid,0),tao,'12(id)'!$DE$20,FALSE),0)&amp;" yrs")</f>
        <v>#N/A</v>
      </c>
      <c r="P388" s="9001" t="e">
        <f>+IF(VLOOKUP(MATCH(B388,tid,0),tao,'12(id)'!$FR$20,FALSE)="","",VLOOKUP(MATCH(B388,tid,0),tao,'12(id)'!$FR$20,FALSE))</f>
        <v>#N/A</v>
      </c>
      <c r="Q388" s="9001" t="e">
        <f>+IF(VLOOKUP(MATCH(B388,tid,0),tao,'12(id)'!$DI$20,FALSE)="","",VLOOKUP(MATCH(B388,tid,0),tao,'12(id)'!$DI$20,FALSE))&amp;";  "&amp;IF(VLOOKUP(MATCH(B388,tid,0),tao,'12(id)'!$DQ$20,FALSE)="","",VLOOKUP(MATCH(B388,tid,0),tao,'12(id)'!$DQ$20,FALSE))</f>
        <v>#N/A</v>
      </c>
      <c r="R388" s="8906">
        <f>+IF(B383="","",1+R383)</f>
        <v>2</v>
      </c>
      <c r="S388" s="8859"/>
      <c r="T388" s="8872" t="str">
        <f>+IF(VLOOKUP(MATCH(E388,c_id,0),ca,'13(an)'!$BD$34,FALSE)="","",VLOOKUP(MATCH(E388,c_id,0),ca,'13(an)'!$BD$34,FALSE))</f>
        <v>Flue Gas Recirculation (FGR)</v>
      </c>
      <c r="U388" s="8872" t="e">
        <f>+IF(VLOOKUP(MATCH(R388,c_id,0),ca,'13(an)'!$BD$34,FALSE)="","",VLOOKUP(MATCH(R388,c_id,0),ca,'13(an)'!$BD$34,FALSE))</f>
        <v>#N/A</v>
      </c>
      <c r="V388" s="8872" t="e">
        <f>+IF(VLOOKUP(MATCH(S388,c_id,0),ca,'13(an)'!$BD$34,FALSE)="","",VLOOKUP(MATCH(S388,c_id,0),ca,'13(an)'!$BD$34,FALSE))</f>
        <v>#N/A</v>
      </c>
      <c r="W388" s="7556"/>
      <c r="X388" s="8859"/>
      <c r="Y388" s="8872" t="str">
        <f>+T388</f>
        <v>Flue Gas Recirculation (FGR)</v>
      </c>
      <c r="Z388" s="8872"/>
      <c r="AA388" s="8872"/>
      <c r="AB388" s="7557"/>
      <c r="AC388" s="8818"/>
      <c r="AD388" s="8870" t="str">
        <f>+T388</f>
        <v>Flue Gas Recirculation (FGR)</v>
      </c>
      <c r="AE388" s="8870"/>
      <c r="AF388" s="8870"/>
      <c r="AG388" s="7533"/>
      <c r="AH388" s="5962"/>
      <c r="AI388" s="5959"/>
      <c r="AJ388" s="5959"/>
      <c r="AK388" s="5959"/>
      <c r="AL388" s="5959"/>
      <c r="AM388" s="5959"/>
    </row>
    <row r="389" spans="1:39" ht="15" customHeight="1">
      <c r="A389" s="5952"/>
      <c r="B389" s="9035"/>
      <c r="C389" s="8852" t="str">
        <f>+IF(B389="","",VLOOKUP(MATCH(B389,tid,0),tao,'12(id)'!$J$20,FALSE))</f>
        <v/>
      </c>
      <c r="D389" s="8878"/>
      <c r="E389" s="9181"/>
      <c r="F389" s="5952"/>
      <c r="G389" s="5959"/>
      <c r="H389" s="5952"/>
      <c r="I389" s="9051"/>
      <c r="J389" s="8971" t="e">
        <f>+IF(VLOOKUP(MATCH(B389,tid,0),tao,'12(id)'!$I$20,FALSE)="","",VLOOKUP(MATCH(B389,tid,0),tao,'12(id)'!$I$20,FALSE))</f>
        <v>#N/A</v>
      </c>
      <c r="K389" s="9064" t="e">
        <f>+IF(VLOOKUP(MATCH(B389,tid,0),tao,'12(id)'!$K$20,FALSE)="","",VLOOKUP(MATCH(B389,tid,0),tao,'12(id)'!$K$20,FALSE))</f>
        <v>#N/A</v>
      </c>
      <c r="L389" s="9001" t="e">
        <f>+IF(VLOOKUP(MATCH(B389,tid,0),tao,'12(id)'!$L$20,FALSE)="","",VLOOKUP(MATCH(B389,tid,0),tao,'12(id)'!$L$20,FALSE))</f>
        <v>#N/A</v>
      </c>
      <c r="M389" s="9058" t="e">
        <f>+IF(VLOOKUP(MATCH(B389,tid,0),tao,'12(id)'!$Q$20,FALSE)="","",VLOOKUP(MATCH(B389,tid,0),tao,'12(id)'!$Q$20,FALSE))</f>
        <v>#N/A</v>
      </c>
      <c r="N389" s="9085" t="e">
        <f>+IF(VLOOKUP(MATCH(B389,tid,0),tao,'12(id)'!$CT$20,FALSE)="","",VLOOKUP(MATCH(B389,tid,0),tao,'12(id)'!$CT$20,FALSE))</f>
        <v>#N/A</v>
      </c>
      <c r="O389" s="8985" t="e">
        <f>+IF(VLOOKUP(MATCH(B389,tid,0),tao,'12(id)'!$DE$20,FALSE)="","",ROUND(VLOOKUP(MATCH(B389,tid,0),tao,'12(id)'!$DE$20,FALSE),0)&amp;" yrs")</f>
        <v>#N/A</v>
      </c>
      <c r="P389" s="9001" t="e">
        <f>+IF(VLOOKUP(MATCH(B389,tid,0),tao,'12(id)'!$FR$20,FALSE)="","",VLOOKUP(MATCH(B389,tid,0),tao,'12(id)'!$FR$20,FALSE))</f>
        <v>#N/A</v>
      </c>
      <c r="Q389" s="9001" t="e">
        <f>+IF(VLOOKUP(MATCH(B389,tid,0),tao,'12(id)'!$DI$20,FALSE)="","",VLOOKUP(MATCH(B389,tid,0),tao,'12(id)'!$DI$20,FALSE))&amp;";  "&amp;IF(VLOOKUP(MATCH(B389,tid,0),tao,'12(id)'!$DQ$20,FALSE)="","",VLOOKUP(MATCH(B389,tid,0),tao,'12(id)'!$DQ$20,FALSE))</f>
        <v>#N/A</v>
      </c>
      <c r="R389" s="8906"/>
      <c r="S389" s="8818"/>
      <c r="T389" s="7743" t="str">
        <f>+IF(E388="","",IF(VLOOKUP(MATCH(E388,c_id,0),ca,'13(an)'!$CC$34,FALSE)="",IF(VLOOKUP(MATCH(E388,c_id,0),ca,'13(an)'!$CD$34,FALSE)="",IF(VLOOKUP(MATCH(E388,c_id,0),ca,'13(an)'!$CE$34,FALSE)="","η ≈ N/A","η ≈ "&amp;ROUND(VLOOKUP(MATCH(E388,c_id,0),ca,'13(an)'!$CE$34,FALSE)*100,0)&amp;"%"),"η ≈ "&amp;ROUND(VLOOKUP(MATCH(E388,c_id,0),ca,'13(an)'!$CD$34,FALSE)*100,0)&amp;"%"),"η ≈ "&amp;ROUND(VLOOKUP(MATCH(E388,c_id,0),ca,'13(an)'!$CC$34,FALSE)*100,0)&amp;"%"))</f>
        <v>η ≈ 30%</v>
      </c>
      <c r="U389" s="7744" t="str">
        <f>+IF($U$412="ppmvd",IF(VLOOKUP(MATCH(E388,c_id,0),ca,'13(an)'!$BV$34,FALSE)="","",ROUND(VLOOKUP(MATCH(E388,c_id,0),ca,'13(an)'!$BV$34,FALSE),1)&amp;" ppmvd"),IF(VLOOKUP(MATCH(E388,c_id,0),ca,'13(an)'!$BU$34,FALSE)="","",IF(LEN(ROUND(VLOOKUP(MATCH(E388,c_id,0),ca,'13(an)'!$BU$34,FALSE),3))=3,ROUND(VLOOKUP(MATCH(E388,c_id,0),ca,'13(an)'!$BU$34,FALSE),3)&amp;"00 lb/MMBtu",IF(LEN(ROUND(VLOOKUP(MATCH(E388,c_id,0),ca,'13(an)'!$BU$34,FALSE),3))=4,ROUND(VLOOKUP(MATCH(E388,c_id,0),ca,'13(an)'!$BU$34,FALSE),3)&amp;"0 lb/MMBtu",ROUND(VLOOKUP(MATCH(E388,c_id,0),ca,'13(an)'!$BU$34,FALSE),3)&amp;" lb/MMBtu"))))</f>
        <v/>
      </c>
      <c r="V389" s="7745">
        <f>+IF(E388="","",IF(VLOOKUP(MATCH(E388,c_id,0),ca,'13(an)'!$CB$34,FALSE)="","NOx(R) = N/A",ROUND(VLOOKUP(MATCH(E388,c_id,0),ca,'13(an)'!$CB$34,FALSE),1)))</f>
        <v>3.5</v>
      </c>
      <c r="W389" s="7534"/>
      <c r="X389" s="8818"/>
      <c r="Y389" s="7746" t="str">
        <f>+IF(E388="","",IF(VLOOKUP(MATCH(E388,c_id,0),ca,'13(an)'!$CM$34,FALSE)="",IF(VLOOKUP(MATCH(E388,c_id,0),ca,'13(an)'!$CN$34,FALSE)="",IF(VLOOKUP(MATCH(E388,c_id,0),ca,'13(an)'!$CO$34,FALSE)="","η ≈ N/A","η ≈ "&amp;ROUND(VLOOKUP(MATCH(E388,c_id,0),ca,'13(an)'!$CO$34,FALSE)*100,0)&amp;"%"),"η ≈ "&amp;ROUND(VLOOKUP(MATCH(E388,c_id,0),ca,'13(an)'!$CN$34,FALSE)*100,0)&amp;"%"),"η ≈ "&amp;ROUND(VLOOKUP(MATCH(E388,c_id,0),ca,'13(an)'!$CM$34,FALSE)*100,0)&amp;"%"))</f>
        <v>η ≈ 30%</v>
      </c>
      <c r="Z389" s="7747" t="str">
        <f>+IF($Z$412="ppmvd",IF(VLOOKUP(MATCH(E388,c_id,0),ca,'13(an)'!$CJ$34,FALSE)="","",ROUND(VLOOKUP(MATCH(E388,c_id,0),ca,'13(an)'!$CJ$34,FALSE),1)&amp;" ppmvd"),IF(VLOOKUP(MATCH(E388,c_id,0),ca,'13(an)'!$CI$34,FALSE)="","",IF(LEN(ROUND(VLOOKUP(MATCH(E388,c_id,0),ca,'13(an)'!$CI$34,FALSE),3))=3,ROUND(VLOOKUP(MATCH(E388,c_id,0),ca,'13(an)'!$CI$34,FALSE),3)&amp;"00 lb/MMBtu",IF(LEN(ROUND(VLOOKUP(MATCH(E388,c_id,0),ca,'13(an)'!$CI$34,FALSE),3))=4,ROUND(VLOOKUP(MATCH(E388,c_id,0),ca,'13(an)'!$CI$34,FALSE),3)&amp;"0 lb/MMBtu",ROUND(VLOOKUP(MATCH(E388,c_id,0),ca,'13(an)'!$CI$34,FALSE),3)&amp;" lb/MMBtu"))))</f>
        <v>0.096 lb/MMBtu</v>
      </c>
      <c r="AA389" s="7748">
        <f>+IF(E388="","",IF(VLOOKUP(MATCH(E388,c_id,0),ca,'13(an)'!$CL$34,FALSE)="","NOx(R) = N/A",ROUND(VLOOKUP(MATCH(E388,c_id,0),ca,'13(an)'!$CL$34,FALSE),1)))</f>
        <v>30.6</v>
      </c>
      <c r="AB389" s="7535"/>
      <c r="AC389" s="8818"/>
      <c r="AD389" s="7746" t="str">
        <f>+IF(E388="","",IF(VLOOKUP(MATCH(E388,c_id,0),ca,'13(an)'!$CM$34,FALSE)="",IF(VLOOKUP(MATCH(E388,c_id,0),ca,'13(an)'!$CN$34,FALSE)="",IF(VLOOKUP(MATCH(E388,c_id,0),ca,'13(an)'!$CO$34,FALSE)="","η ≈ N/A","η ≈ "&amp;ROUND(VLOOKUP(MATCH(E388,c_id,0),ca,'13(an)'!$CO$34,FALSE)*100,0)&amp;"%"),"η ≈ "&amp;ROUND(VLOOKUP(MATCH(E388,c_id,0),ca,'13(an)'!$CN$34,FALSE)*100,0)&amp;"%"),"η ≈ "&amp;ROUND(VLOOKUP(MATCH(E388,c_id,0),ca,'13(an)'!$CM$34,FALSE)*100,0)&amp;"%"))</f>
        <v>η ≈ 30%</v>
      </c>
      <c r="AE389" s="7747" t="str">
        <f>+IF($AE$412="ppmvd",IF(VLOOKUP(MATCH(E388,c_id,0),ca,'13(an)'!$CJ$34,FALSE)="","",ROUND(VLOOKUP(MATCH(E388,c_id,0),ca,'13(an)'!$CJ$34,FALSE),1)&amp;" ppmvd"),IF(VLOOKUP(MATCH(E388,c_id,0),ca,'13(an)'!$CI$34,FALSE)="","",IF(LEN(ROUND(VLOOKUP(MATCH(E388,c_id,0),ca,'13(an)'!$CI$34,FALSE),3))=3,ROUND(VLOOKUP(MATCH(E388,c_id,0),ca,'13(an)'!$CI$34,FALSE),3)&amp;"00 lb/MMBtu",IF(LEN(ROUND(VLOOKUP(MATCH(E388,c_id,0),ca,'13(an)'!$CI$34,FALSE),3))=4,ROUND(VLOOKUP(MATCH(E388,c_id,0),ca,'13(an)'!$CI$34,FALSE),3)&amp;"0 lb/MMBtu",ROUND(VLOOKUP(MATCH(E388,c_id,0),ca,'13(an)'!$CI$34,FALSE),3)&amp;" lb/MMBtu"))))</f>
        <v>0.096 lb/MMBtu</v>
      </c>
      <c r="AF389" s="7748">
        <f>+IF(E388="","",IF(VLOOKUP(MATCH(E388,c_id,0),ca,'13(an)'!$CL$34,FALSE)="","NOx(R) = N/A",ROUND(VLOOKUP(MATCH(E388,c_id,0),ca,'13(an)'!$CL$34,FALSE),1)))</f>
        <v>30.6</v>
      </c>
      <c r="AG389" s="7536"/>
      <c r="AH389" s="5962"/>
      <c r="AI389" s="5959"/>
      <c r="AJ389" s="5959"/>
      <c r="AK389" s="5959"/>
      <c r="AL389" s="5959"/>
      <c r="AM389" s="5959"/>
    </row>
    <row r="390" spans="1:39" ht="15" customHeight="1">
      <c r="A390" s="5952"/>
      <c r="B390" s="9035"/>
      <c r="C390" s="8852" t="str">
        <f>+IF(B390="","",VLOOKUP(MATCH(B390,tid,0),tao,'12(id)'!$J$20,FALSE))</f>
        <v/>
      </c>
      <c r="D390" s="8878"/>
      <c r="E390" s="9181"/>
      <c r="F390" s="5952"/>
      <c r="G390" s="5959"/>
      <c r="H390" s="5952"/>
      <c r="I390" s="9051"/>
      <c r="J390" s="8971" t="e">
        <f>+IF(VLOOKUP(MATCH(B390,tid,0),tao,'12(id)'!$I$20,FALSE)="","",VLOOKUP(MATCH(B390,tid,0),tao,'12(id)'!$I$20,FALSE))</f>
        <v>#N/A</v>
      </c>
      <c r="K390" s="9064" t="e">
        <f>+IF(VLOOKUP(MATCH(B390,tid,0),tao,'12(id)'!$K$20,FALSE)="","",VLOOKUP(MATCH(B390,tid,0),tao,'12(id)'!$K$20,FALSE))</f>
        <v>#N/A</v>
      </c>
      <c r="L390" s="9001" t="e">
        <f>+IF(VLOOKUP(MATCH(B390,tid,0),tao,'12(id)'!$L$20,FALSE)="","",VLOOKUP(MATCH(B390,tid,0),tao,'12(id)'!$L$20,FALSE))</f>
        <v>#N/A</v>
      </c>
      <c r="M390" s="9058" t="e">
        <f>+IF(VLOOKUP(MATCH(B390,tid,0),tao,'12(id)'!$Q$20,FALSE)="","",VLOOKUP(MATCH(B390,tid,0),tao,'12(id)'!$Q$20,FALSE))</f>
        <v>#N/A</v>
      </c>
      <c r="N390" s="9085" t="e">
        <f>+IF(VLOOKUP(MATCH(B390,tid,0),tao,'12(id)'!$CT$20,FALSE)="","",VLOOKUP(MATCH(B390,tid,0),tao,'12(id)'!$CT$20,FALSE))</f>
        <v>#N/A</v>
      </c>
      <c r="O390" s="8985" t="e">
        <f>+IF(VLOOKUP(MATCH(B390,tid,0),tao,'12(id)'!$DE$20,FALSE)="","",ROUND(VLOOKUP(MATCH(B390,tid,0),tao,'12(id)'!$DE$20,FALSE),0)&amp;" yrs")</f>
        <v>#N/A</v>
      </c>
      <c r="P390" s="9001" t="e">
        <f>+IF(VLOOKUP(MATCH(B390,tid,0),tao,'12(id)'!$FR$20,FALSE)="","",VLOOKUP(MATCH(B390,tid,0),tao,'12(id)'!$FR$20,FALSE))</f>
        <v>#N/A</v>
      </c>
      <c r="Q390" s="9001" t="e">
        <f>+IF(VLOOKUP(MATCH(B390,tid,0),tao,'12(id)'!$DI$20,FALSE)="","",VLOOKUP(MATCH(B390,tid,0),tao,'12(id)'!$DI$20,FALSE))&amp;";  "&amp;IF(VLOOKUP(MATCH(B390,tid,0),tao,'12(id)'!$DQ$20,FALSE)="","",VLOOKUP(MATCH(B390,tid,0),tao,'12(id)'!$DQ$20,FALSE))</f>
        <v>#N/A</v>
      </c>
      <c r="R390" s="8906"/>
      <c r="S390" s="8818"/>
      <c r="T390" s="7537">
        <f>+IF(VLOOKUP(MATCH(E388,c_id,0),ca,'13(an)'!$GF$34,FALSE)="","",VLOOKUP(MATCH(E388,c_id,0),ca,'13(an)'!$GF$34,FALSE))</f>
        <v>101676</v>
      </c>
      <c r="U390" s="7538" t="str">
        <f>+IF(T390="","","$ TCC/unit")</f>
        <v>$ TCC/unit</v>
      </c>
      <c r="V390" s="7539" t="str">
        <f>+IF(VLOOKUP(MATCH(E388,c_id,0),ca,'13(an)'!$HA$34,FALSE)="","",VLOOKUP(MATCH(E388,c_id,0),ca,'13(an)'!$HA$34,FALSE))</f>
        <v/>
      </c>
      <c r="W390" s="7540"/>
      <c r="X390" s="8818"/>
      <c r="Y390" s="7543">
        <f>+IF(VLOOKUP(MATCH(E388,c_id,0),ca,'13(an)'!$IA$34,FALSE)="","",VLOOKUP(MATCH(E388,c_id,0),ca,'13(an)'!$IA$34,FALSE))</f>
        <v>101676</v>
      </c>
      <c r="Z390" s="7570" t="str">
        <f>+IF(Y390="","","$ TCC/unit")</f>
        <v>$ TCC/unit</v>
      </c>
      <c r="AA390" s="7541">
        <f>+IF(Y390="","",$AA$19*Y390)</f>
        <v>7626.6292041132037</v>
      </c>
      <c r="AB390" s="7541"/>
      <c r="AC390" s="8818"/>
      <c r="AD390" s="7543">
        <f>+IF(VLOOKUP(MATCH(E388,c_id,0),ca,'13(an)'!$JS$34,FALSE)="","",VLOOKUP(MATCH(E388,c_id,0),ca,'13(an)'!$JS$34,FALSE))</f>
        <v>101676</v>
      </c>
      <c r="AE390" s="7570" t="str">
        <f>+IF(AD390="","","$ TCC/unit")</f>
        <v>$ TCC/unit</v>
      </c>
      <c r="AF390" s="7541">
        <f>+IF(AD390="","",$AF$19*AD390)</f>
        <v>7626.6292041132037</v>
      </c>
      <c r="AG390" s="7542"/>
      <c r="AH390" s="5962"/>
      <c r="AI390" s="5959"/>
      <c r="AJ390" s="5959"/>
      <c r="AK390" s="5959"/>
      <c r="AL390" s="5959"/>
      <c r="AM390" s="5959"/>
    </row>
    <row r="391" spans="1:39" ht="15" customHeight="1">
      <c r="A391" s="5952"/>
      <c r="B391" s="9035"/>
      <c r="C391" s="8852" t="str">
        <f>+IF(B391="","",VLOOKUP(MATCH(B391,tid,0),tao,'12(id)'!$J$20,FALSE))</f>
        <v/>
      </c>
      <c r="D391" s="8878"/>
      <c r="E391" s="9181"/>
      <c r="F391" s="5952"/>
      <c r="G391" s="5959"/>
      <c r="H391" s="5952"/>
      <c r="I391" s="9051"/>
      <c r="J391" s="8971" t="e">
        <f>+IF(VLOOKUP(MATCH(B391,tid,0),tao,'12(id)'!$I$20,FALSE)="","",VLOOKUP(MATCH(B391,tid,0),tao,'12(id)'!$I$20,FALSE))</f>
        <v>#N/A</v>
      </c>
      <c r="K391" s="9064" t="e">
        <f>+IF(VLOOKUP(MATCH(B391,tid,0),tao,'12(id)'!$K$20,FALSE)="","",VLOOKUP(MATCH(B391,tid,0),tao,'12(id)'!$K$20,FALSE))</f>
        <v>#N/A</v>
      </c>
      <c r="L391" s="9001" t="e">
        <f>+IF(VLOOKUP(MATCH(B391,tid,0),tao,'12(id)'!$L$20,FALSE)="","",VLOOKUP(MATCH(B391,tid,0),tao,'12(id)'!$L$20,FALSE))</f>
        <v>#N/A</v>
      </c>
      <c r="M391" s="9058" t="e">
        <f>+IF(VLOOKUP(MATCH(B391,tid,0),tao,'12(id)'!$Q$20,FALSE)="","",VLOOKUP(MATCH(B391,tid,0),tao,'12(id)'!$Q$20,FALSE))</f>
        <v>#N/A</v>
      </c>
      <c r="N391" s="9085" t="e">
        <f>+IF(VLOOKUP(MATCH(B391,tid,0),tao,'12(id)'!$CT$20,FALSE)="","",VLOOKUP(MATCH(B391,tid,0),tao,'12(id)'!$CT$20,FALSE))</f>
        <v>#N/A</v>
      </c>
      <c r="O391" s="8985" t="e">
        <f>+IF(VLOOKUP(MATCH(B391,tid,0),tao,'12(id)'!$DE$20,FALSE)="","",ROUND(VLOOKUP(MATCH(B391,tid,0),tao,'12(id)'!$DE$20,FALSE),0)&amp;" yrs")</f>
        <v>#N/A</v>
      </c>
      <c r="P391" s="9001" t="e">
        <f>+IF(VLOOKUP(MATCH(B391,tid,0),tao,'12(id)'!$FR$20,FALSE)="","",VLOOKUP(MATCH(B391,tid,0),tao,'12(id)'!$FR$20,FALSE))</f>
        <v>#N/A</v>
      </c>
      <c r="Q391" s="9001" t="e">
        <f>+IF(VLOOKUP(MATCH(B391,tid,0),tao,'12(id)'!$DI$20,FALSE)="","",VLOOKUP(MATCH(B391,tid,0),tao,'12(id)'!$DI$20,FALSE))&amp;";  "&amp;IF(VLOOKUP(MATCH(B391,tid,0),tao,'12(id)'!$DQ$20,FALSE)="","",VLOOKUP(MATCH(B391,tid,0),tao,'12(id)'!$DQ$20,FALSE))</f>
        <v>#N/A</v>
      </c>
      <c r="R391" s="8906"/>
      <c r="S391" s="8818"/>
      <c r="T391" s="7543" t="str">
        <f>+IF(T390="","",IF(ISERROR(T390/N383),"N/A",T390/N383))</f>
        <v>N/A</v>
      </c>
      <c r="U391" s="8820" t="str">
        <f>+IF(T391="","","$ TCC / MW nominal capacity")</f>
        <v>$ TCC / MW nominal capacity</v>
      </c>
      <c r="V391" s="8820"/>
      <c r="W391" s="7544"/>
      <c r="X391" s="8818"/>
      <c r="Y391" s="7543" t="str">
        <f>+IF(Y390="","",IF(ISERROR(Y390/N383),"N/A",Y390/N383))</f>
        <v>N/A</v>
      </c>
      <c r="Z391" s="8820" t="str">
        <f>+IF(Y391="","","$ TCC / MW nominal capacity")</f>
        <v>$ TCC / MW nominal capacity</v>
      </c>
      <c r="AA391" s="8820"/>
      <c r="AB391" s="7545"/>
      <c r="AC391" s="8818"/>
      <c r="AD391" s="7543" t="str">
        <f>+IF(AD390="","",IF(ISERROR(AD390/N383),"N/A",AD390/N383))</f>
        <v>N/A</v>
      </c>
      <c r="AE391" s="8820" t="str">
        <f>+IF(AD391="","","$ TCC / MW nominal capacity")</f>
        <v>$ TCC / MW nominal capacity</v>
      </c>
      <c r="AF391" s="8820"/>
      <c r="AG391" s="7546"/>
      <c r="AH391" s="5962"/>
      <c r="AI391" s="5959"/>
      <c r="AJ391" s="5959"/>
      <c r="AK391" s="5959"/>
      <c r="AL391" s="5959"/>
      <c r="AM391" s="5959"/>
    </row>
    <row r="392" spans="1:39" ht="15" customHeight="1">
      <c r="A392" s="5952"/>
      <c r="B392" s="9062"/>
      <c r="C392" s="8852" t="str">
        <f>+IF(B392="","",VLOOKUP(MATCH(B392,tid,0),tao,'12(id)'!$J$20,FALSE))</f>
        <v/>
      </c>
      <c r="D392" s="8879"/>
      <c r="E392" s="9182"/>
      <c r="F392" s="5952"/>
      <c r="G392" s="5959"/>
      <c r="H392" s="5952"/>
      <c r="I392" s="9051"/>
      <c r="J392" s="8971" t="e">
        <f>+IF(VLOOKUP(MATCH(B392,tid,0),tao,'12(id)'!$I$20,FALSE)="","",VLOOKUP(MATCH(B392,tid,0),tao,'12(id)'!$I$20,FALSE))</f>
        <v>#N/A</v>
      </c>
      <c r="K392" s="9064" t="e">
        <f>+IF(VLOOKUP(MATCH(B392,tid,0),tao,'12(id)'!$K$20,FALSE)="","",VLOOKUP(MATCH(B392,tid,0),tao,'12(id)'!$K$20,FALSE))</f>
        <v>#N/A</v>
      </c>
      <c r="L392" s="9027" t="e">
        <f>+IF(VLOOKUP(MATCH(B392,tid,0),tao,'12(id)'!$L$20,FALSE)="","",VLOOKUP(MATCH(B392,tid,0),tao,'12(id)'!$L$20,FALSE))</f>
        <v>#N/A</v>
      </c>
      <c r="M392" s="9184" t="e">
        <f>+IF(VLOOKUP(MATCH(B392,tid,0),tao,'12(id)'!$Q$20,FALSE)="","",VLOOKUP(MATCH(B392,tid,0),tao,'12(id)'!$Q$20,FALSE))</f>
        <v>#N/A</v>
      </c>
      <c r="N392" s="9091" t="e">
        <f>+IF(VLOOKUP(MATCH(B392,tid,0),tao,'12(id)'!$CT$20,FALSE)="","",VLOOKUP(MATCH(B392,tid,0),tao,'12(id)'!$CT$20,FALSE))</f>
        <v>#N/A</v>
      </c>
      <c r="O392" s="9130" t="e">
        <f>+IF(VLOOKUP(MATCH(B392,tid,0),tao,'12(id)'!$DE$20,FALSE)="","",ROUND(VLOOKUP(MATCH(B392,tid,0),tao,'12(id)'!$DE$20,FALSE),0)&amp;" yrs")</f>
        <v>#N/A</v>
      </c>
      <c r="P392" s="9027" t="e">
        <f>+IF(VLOOKUP(MATCH(B392,tid,0),tao,'12(id)'!$FR$20,FALSE)="","",VLOOKUP(MATCH(B392,tid,0),tao,'12(id)'!$FR$20,FALSE))</f>
        <v>#N/A</v>
      </c>
      <c r="Q392" s="9027" t="e">
        <f>+IF(VLOOKUP(MATCH(B392,tid,0),tao,'12(id)'!$DI$20,FALSE)="","",VLOOKUP(MATCH(B392,tid,0),tao,'12(id)'!$DI$20,FALSE))&amp;";  "&amp;IF(VLOOKUP(MATCH(B392,tid,0),tao,'12(id)'!$DQ$20,FALSE)="","",VLOOKUP(MATCH(B392,tid,0),tao,'12(id)'!$DQ$20,FALSE))</f>
        <v>#N/A</v>
      </c>
      <c r="R392" s="8981"/>
      <c r="S392" s="8819"/>
      <c r="T392" s="7590">
        <f>+IF(VLOOKUP(MATCH(E388,c_id,0),ca,'13(an)'!$HF$34,FALSE)="","",VLOOKUP(MATCH(E388,c_id,0),ca,'13(an)'!$HF$34,FALSE))</f>
        <v>2797</v>
      </c>
      <c r="U392" s="8829" t="str">
        <f>IF(T392="","","$ /ton "&amp;"NOx(R)")</f>
        <v>$ /ton NOx(R)</v>
      </c>
      <c r="V392" s="8829"/>
      <c r="W392" s="7730"/>
      <c r="X392" s="8819"/>
      <c r="Y392" s="7590">
        <f>+IF(VLOOKUP(MATCH(E388,c_id,0),ca,'13(an)'!$JE$34,FALSE)="","",VLOOKUP(MATCH(E388,c_id,0),ca,'13(an)'!$JE$34,FALSE))</f>
        <v>249.23624850043154</v>
      </c>
      <c r="Z392" s="7592" t="str">
        <f>IF(Y392="","","$ /ton "&amp;"NOx(R)")</f>
        <v>$ /ton NOx(R)</v>
      </c>
      <c r="AA392" s="7592" t="s">
        <v>2500</v>
      </c>
      <c r="AB392" s="7592"/>
      <c r="AC392" s="8819"/>
      <c r="AD392" s="7590">
        <f>+IF(VLOOKUP(MATCH(E388,c_id,0),ca,'13(an)'!$LB$34,FALSE)="","",VLOOKUP(MATCH(E388,c_id,0),ca,'13(an)'!$LB$34,FALSE))</f>
        <v>7274.1842885004335</v>
      </c>
      <c r="AE392" s="8829" t="str">
        <f>IF(AD392="","","$ /ton "&amp;"NOx(R)")</f>
        <v>$ /ton NOx(R)</v>
      </c>
      <c r="AF392" s="8829"/>
      <c r="AG392" s="7732"/>
      <c r="AH392" s="5962"/>
      <c r="AI392" s="5959"/>
      <c r="AJ392" s="5959"/>
      <c r="AK392" s="5959"/>
      <c r="AL392" s="5959"/>
      <c r="AM392" s="5959"/>
    </row>
    <row r="393" spans="1:39" ht="9.9499999999999993" customHeight="1">
      <c r="A393" s="5952"/>
      <c r="B393" s="9092" t="str">
        <f>+IF('12(id)'!A58="","",'12(id)'!A58)</f>
        <v>8305-02</v>
      </c>
      <c r="C393" s="8852" t="str">
        <f>+IF(B393="","",VLOOKUP(MATCH(B393,tid,0),tao,'12(id)'!$J$20,FALSE))</f>
        <v>PSEG</v>
      </c>
      <c r="D393" s="8880" t="str">
        <f>+IF(B393="","",M393)</f>
        <v>BHB2</v>
      </c>
      <c r="E393" s="9035" t="str">
        <f>+IF(B393="","",B393&amp;IF(ISERR(VALUE(R393)),"-01",IF(R393&lt;10,"-0"&amp;R393,"-"&amp;R393)))</f>
        <v>8305-02-01</v>
      </c>
      <c r="F393" s="5952"/>
      <c r="G393" s="5959"/>
      <c r="H393" s="5952"/>
      <c r="I393" s="9104">
        <f>1+I383</f>
        <v>9</v>
      </c>
      <c r="J393" s="8971" t="str">
        <f>+IF(VLOOKUP(MATCH(B393,tid,0),tao,'12(id)'!$I$20,FALSE)="","",VLOOKUP(MATCH(B393,tid,0),tao,'12(id)'!$I$20,FALSE))</f>
        <v/>
      </c>
      <c r="K393" s="9064">
        <f>+IF(VLOOKUP(MATCH(B393,tid,0),tao,'12(id)'!$K$20,FALSE)="","",VLOOKUP(MATCH(B393,tid,0),tao,'12(id)'!$K$20,FALSE))</f>
        <v>8305</v>
      </c>
      <c r="L393" s="9026" t="str">
        <f>+IF(B393="","",IF(VLOOKUP(MATCH(B393,tid,0),tao,'12(id)'!$L$20,FALSE)="","",VLOOKUP(MATCH(B393,tid,0),tao,'12(id)'!$L$20,FALSE)))</f>
        <v>Bridgeport Harbor Station</v>
      </c>
      <c r="M393" s="9183" t="str">
        <f>+IF(B393="","",IF(VLOOKUP(MATCH(B393,tid,0),tao,'12(id)'!$Q$20,FALSE)="","",VLOOKUP(MATCH(B393,tid,0),tao,'12(id)'!$Q$20,FALSE)))</f>
        <v>BHB2</v>
      </c>
      <c r="N393" s="9185">
        <f>+IF(B393="","",IF(VLOOKUP(MATCH(B393,tid,0),tao,'12(id)'!$CT$20,FALSE)="","",VLOOKUP(MATCH(B393,tid,0),tao,'12(id)'!$CT$20,FALSE)))</f>
        <v>170</v>
      </c>
      <c r="O393" s="9202" t="str">
        <f ca="1">+IF(B393="","",IF(VLOOKUP(MATCH(B393,tid,0),tao,'12(id)'!$DE$20,FALSE)="","",ROUND(VLOOKUP(MATCH(B393,tid,0),tao,'12(id)'!$DE$20,FALSE),0)&amp;" yrs"))</f>
        <v>54 yrs</v>
      </c>
      <c r="P393" s="9190" t="str">
        <f>+IF(B393="","",IF(VLOOKUP(MATCH(B393,tid,0),tao,'12(id)'!$FR$20,FALSE)="","",VLOOKUP(MATCH(B393,tid,0),tao,'12(id)'!$FR$20,FALSE)))</f>
        <v>None</v>
      </c>
      <c r="Q393" s="9190" t="str">
        <f>+IF(B393="","",IF(VLOOKUP(MATCH(B393,tid,0),tao,'12(id)'!$DI$20,FALSE)="","",VLOOKUP(MATCH(B393,tid,0),tao,'12(id)'!$DI$20,FALSE))&amp;";  "&amp;IF(VLOOKUP(MATCH(B393,tid,0),tao,'12(id)'!$DQ$20,FALSE)="","",VLOOKUP(MATCH(B393,tid,0),tao,'12(id)'!$DQ$20,FALSE)))</f>
        <v>No. 6 oil;  No. 2 oil</v>
      </c>
      <c r="R393" s="8906">
        <f>+IF(B393="","",1)</f>
        <v>1</v>
      </c>
      <c r="S393" s="8859"/>
      <c r="T393" s="8870" t="str">
        <f>+IF(VLOOKUP(MATCH(E393,c_id,0),ca,'13(an)'!$BD$34,FALSE)="","",VLOOKUP(MATCH(E393,c_id,0),ca,'13(an)'!$BD$34,FALSE))</f>
        <v>Selective Catalytic Reduction (SCR)</v>
      </c>
      <c r="U393" s="8870" t="e">
        <f>+IF(VLOOKUP(MATCH(R393,c_id,0),ca,'13(an)'!$BD$34,FALSE)="","",VLOOKUP(MATCH(R393,c_id,0),ca,'13(an)'!$BD$34,FALSE))</f>
        <v>#N/A</v>
      </c>
      <c r="V393" s="8870" t="e">
        <f>+IF(VLOOKUP(MATCH(S393,c_id,0),ca,'13(an)'!$BD$34,FALSE)="","",VLOOKUP(MATCH(S393,c_id,0),ca,'13(an)'!$BD$34,FALSE))</f>
        <v>#N/A</v>
      </c>
      <c r="W393" s="7531"/>
      <c r="X393" s="8859"/>
      <c r="Y393" s="8870" t="str">
        <f>+T393</f>
        <v>Selective Catalytic Reduction (SCR)</v>
      </c>
      <c r="Z393" s="8870"/>
      <c r="AA393" s="8870"/>
      <c r="AB393" s="7532"/>
      <c r="AC393" s="8818"/>
      <c r="AD393" s="8870" t="str">
        <f>+T393</f>
        <v>Selective Catalytic Reduction (SCR)</v>
      </c>
      <c r="AE393" s="8870"/>
      <c r="AF393" s="8870"/>
      <c r="AG393" s="7533"/>
      <c r="AH393" s="5962"/>
      <c r="AI393" s="5959"/>
      <c r="AJ393" s="5959"/>
      <c r="AK393" s="5959"/>
      <c r="AL393" s="5959"/>
      <c r="AM393" s="5959"/>
    </row>
    <row r="394" spans="1:39" ht="9.9499999999999993" customHeight="1">
      <c r="A394" s="5952"/>
      <c r="B394" s="9035"/>
      <c r="C394" s="8852" t="str">
        <f>+IF(B394="","",VLOOKUP(MATCH(B394,tid,0),tao,'12(id)'!$J$20,FALSE))</f>
        <v/>
      </c>
      <c r="D394" s="8878"/>
      <c r="E394" s="9035"/>
      <c r="F394" s="5952"/>
      <c r="G394" s="5959"/>
      <c r="H394" s="5952"/>
      <c r="I394" s="9070"/>
      <c r="J394" s="8971" t="e">
        <f>+IF(VLOOKUP(MATCH(B394,tid,0),tao,'12(id)'!$I$20,FALSE)="","",VLOOKUP(MATCH(B394,tid,0),tao,'12(id)'!$I$20,FALSE))</f>
        <v>#N/A</v>
      </c>
      <c r="K394" s="9064" t="e">
        <f>+IF(VLOOKUP(MATCH(B394,tid,0),tao,'12(id)'!$K$20,FALSE)="","",VLOOKUP(MATCH(B394,tid,0),tao,'12(id)'!$K$20,FALSE))</f>
        <v>#N/A</v>
      </c>
      <c r="L394" s="9001" t="e">
        <f>+IF(VLOOKUP(MATCH(B394,tid,0),tao,'12(id)'!$L$20,FALSE)="","",VLOOKUP(MATCH(B394,tid,0),tao,'12(id)'!$L$20,FALSE))</f>
        <v>#N/A</v>
      </c>
      <c r="M394" s="9058"/>
      <c r="N394" s="9186"/>
      <c r="O394" s="8985"/>
      <c r="P394" s="9001" t="e">
        <f>+IF(VLOOKUP(MATCH(B394,tid,0),tao,'12(id)'!$FR$20,FALSE)="","",VLOOKUP(MATCH(B394,tid,0),tao,'12(id)'!$FR$20,FALSE))</f>
        <v>#N/A</v>
      </c>
      <c r="Q394" s="9001"/>
      <c r="R394" s="8906"/>
      <c r="S394" s="8818"/>
      <c r="T394" s="8870" t="e">
        <f>+IF(VLOOKUP(MATCH(E394,c_id,0),ca,'13(an)'!$BD$34,FALSE)="","",VLOOKUP(MATCH(E394,c_id,0),ca,'13(an)'!$BD$34,FALSE))</f>
        <v>#N/A</v>
      </c>
      <c r="U394" s="8870" t="e">
        <f>+IF(VLOOKUP(MATCH(R394,c_id,0),ca,'13(an)'!$BD$34,FALSE)="","",VLOOKUP(MATCH(R394,c_id,0),ca,'13(an)'!$BD$34,FALSE))</f>
        <v>#N/A</v>
      </c>
      <c r="V394" s="8870" t="e">
        <f>+IF(VLOOKUP(MATCH(S394,c_id,0),ca,'13(an)'!$BD$34,FALSE)="","",VLOOKUP(MATCH(S394,c_id,0),ca,'13(an)'!$BD$34,FALSE))</f>
        <v>#N/A</v>
      </c>
      <c r="W394" s="7531"/>
      <c r="X394" s="8818"/>
      <c r="Y394" s="8870"/>
      <c r="Z394" s="8870"/>
      <c r="AA394" s="8870"/>
      <c r="AB394" s="7532"/>
      <c r="AC394" s="8818"/>
      <c r="AD394" s="8870"/>
      <c r="AE394" s="8870"/>
      <c r="AF394" s="8870"/>
      <c r="AG394" s="7533"/>
      <c r="AH394" s="5962"/>
      <c r="AI394" s="5959"/>
      <c r="AJ394" s="5959"/>
      <c r="AK394" s="5959"/>
      <c r="AL394" s="5959"/>
      <c r="AM394" s="5959"/>
    </row>
    <row r="395" spans="1:39" ht="15" customHeight="1">
      <c r="A395" s="5952"/>
      <c r="B395" s="9035"/>
      <c r="C395" s="8852" t="str">
        <f>+IF(B395="","",VLOOKUP(MATCH(B395,tid,0),tao,'12(id)'!$J$20,FALSE))</f>
        <v/>
      </c>
      <c r="D395" s="8878"/>
      <c r="E395" s="9035"/>
      <c r="F395" s="5952"/>
      <c r="G395" s="5959"/>
      <c r="H395" s="5952"/>
      <c r="I395" s="9070"/>
      <c r="J395" s="8971" t="e">
        <f>+IF(VLOOKUP(MATCH(B395,tid,0),tao,'12(id)'!$I$20,FALSE)="","",VLOOKUP(MATCH(B395,tid,0),tao,'12(id)'!$I$20,FALSE))</f>
        <v>#N/A</v>
      </c>
      <c r="K395" s="9064" t="e">
        <f>+IF(VLOOKUP(MATCH(B395,tid,0),tao,'12(id)'!$K$20,FALSE)="","",VLOOKUP(MATCH(B395,tid,0),tao,'12(id)'!$K$20,FALSE))</f>
        <v>#N/A</v>
      </c>
      <c r="L395" s="9001" t="e">
        <f>+IF(VLOOKUP(MATCH(B395,tid,0),tao,'12(id)'!$L$20,FALSE)="","",VLOOKUP(MATCH(B395,tid,0),tao,'12(id)'!$L$20,FALSE))</f>
        <v>#N/A</v>
      </c>
      <c r="M395" s="9058"/>
      <c r="N395" s="9186"/>
      <c r="O395" s="8985"/>
      <c r="P395" s="9001" t="e">
        <f>+IF(VLOOKUP(MATCH(B395,tid,0),tao,'12(id)'!$FR$20,FALSE)="","",VLOOKUP(MATCH(B395,tid,0),tao,'12(id)'!$FR$20,FALSE))</f>
        <v>#N/A</v>
      </c>
      <c r="Q395" s="9001"/>
      <c r="R395" s="8906"/>
      <c r="S395" s="8818"/>
      <c r="T395" s="7584" t="str">
        <f>+IF(E393="","",IF(VLOOKUP(MATCH(E393,c_id,0),ca,'13(an)'!$CC$34,FALSE)="",IF(VLOOKUP(MATCH(E393,c_id,0),ca,'13(an)'!$CD$34,FALSE)="",IF(VLOOKUP(MATCH(E393,c_id,0),ca,'13(an)'!$CE$34,FALSE)="","η ≈ N/A","η ≈ "&amp;ROUND(VLOOKUP(MATCH(E393,c_id,0),ca,'13(an)'!$CE$34,FALSE)*100,0)&amp;"%"),"η ≈ "&amp;ROUND(VLOOKUP(MATCH(E393,c_id,0),ca,'13(an)'!$CD$34,FALSE)*100,0)&amp;"%"),"η ≈ "&amp;ROUND(VLOOKUP(MATCH(E393,c_id,0),ca,'13(an)'!$CC$34,FALSE)*100,0)&amp;"%"))</f>
        <v>η ≈ 90%</v>
      </c>
      <c r="U395" s="7585" t="str">
        <f>+IF($U$412="ppmvd",IF(VLOOKUP(MATCH(E393,c_id,0),ca,'13(an)'!$BV$34,FALSE)="","",ROUND(VLOOKUP(MATCH(E393,c_id,0),ca,'13(an)'!$BV$34,FALSE),1)&amp;" ppmvd"),IF(VLOOKUP(MATCH(E393,c_id,0),ca,'13(an)'!$BU$34,FALSE)="","",IF(LEN(ROUND(VLOOKUP(MATCH(E393,c_id,0),ca,'13(an)'!$BU$34,FALSE),3))=3,ROUND(VLOOKUP(MATCH(E393,c_id,0),ca,'13(an)'!$BU$34,FALSE),3)&amp;"00 lb/MMBtu",IF(LEN(ROUND(VLOOKUP(MATCH(E393,c_id,0),ca,'13(an)'!$BU$34,FALSE),3))=4,ROUND(VLOOKUP(MATCH(E393,c_id,0),ca,'13(an)'!$BU$34,FALSE),3)&amp;"0 lb/MMBtu",ROUND(VLOOKUP(MATCH(E393,c_id,0),ca,'13(an)'!$BU$34,FALSE),3)&amp;" lb/MMBtu"))))</f>
        <v/>
      </c>
      <c r="V395" s="7586">
        <f>+IF(E393="","",IF(VLOOKUP(MATCH(E393,c_id,0),ca,'13(an)'!$CB$34,FALSE)="","NOx(R) = N/A",ROUND(VLOOKUP(MATCH(E393,c_id,0),ca,'13(an)'!$CB$34,FALSE),1)))</f>
        <v>2.1</v>
      </c>
      <c r="W395" s="7534"/>
      <c r="X395" s="8818"/>
      <c r="Y395" s="7587" t="str">
        <f>+IF(E393="","",IF(VLOOKUP(MATCH(E393,c_id,0),ca,'13(an)'!$CM$34,FALSE)="",IF(VLOOKUP(MATCH(E393,c_id,0),ca,'13(an)'!$CN$34,FALSE)="",IF(VLOOKUP(MATCH(E393,c_id,0),ca,'13(an)'!$CO$34,FALSE)="","η ≈ N/A","η ≈ "&amp;ROUND(VLOOKUP(MATCH(E393,c_id,0),ca,'13(an)'!$CO$34,FALSE)*100,0)&amp;"%"),"η ≈ "&amp;ROUND(VLOOKUP(MATCH(E393,c_id,0),ca,'13(an)'!$CN$34,FALSE)*100,0)&amp;"%"),"η ≈ "&amp;ROUND(VLOOKUP(MATCH(E393,c_id,0),ca,'13(an)'!$CM$34,FALSE)*100,0)&amp;"%"))</f>
        <v>η ≈ 90%</v>
      </c>
      <c r="Z395" s="7588" t="str">
        <f>+IF($Z$412="ppmvd",IF(VLOOKUP(MATCH(E393,c_id,0),ca,'13(an)'!$CJ$34,FALSE)="","",ROUND(VLOOKUP(MATCH(E393,c_id,0),ca,'13(an)'!$CJ$34,FALSE),1)&amp;" ppmvd"),IF(VLOOKUP(MATCH(E393,c_id,0),ca,'13(an)'!$CI$34,FALSE)="","",IF(LEN(ROUND(VLOOKUP(MATCH(E393,c_id,0),ca,'13(an)'!$CI$34,FALSE),3))=3,ROUND(VLOOKUP(MATCH(E393,c_id,0),ca,'13(an)'!$CI$34,FALSE),3)&amp;"00 lb/MMBtu",IF(LEN(ROUND(VLOOKUP(MATCH(E393,c_id,0),ca,'13(an)'!$CI$34,FALSE),3))=4,ROUND(VLOOKUP(MATCH(E393,c_id,0),ca,'13(an)'!$CI$34,FALSE),3)&amp;"0 lb/MMBtu",ROUND(VLOOKUP(MATCH(E393,c_id,0),ca,'13(an)'!$CI$34,FALSE),3)&amp;" lb/MMBtu"))))</f>
        <v>0.028 lb/MMBtu</v>
      </c>
      <c r="AA395" s="7589">
        <f>+IF(E393="","",IF(VLOOKUP(MATCH(E393,c_id,0),ca,'13(an)'!$CL$34,FALSE)="","NOx(R) = N/A",ROUND(VLOOKUP(MATCH(E393,c_id,0),ca,'13(an)'!$CL$34,FALSE),1)))</f>
        <v>10.6</v>
      </c>
      <c r="AB395" s="7535"/>
      <c r="AC395" s="8818"/>
      <c r="AD395" s="7587" t="str">
        <f>+IF(E393="","",IF(VLOOKUP(MATCH(E393,c_id,0),ca,'13(an)'!$CM$34,FALSE)="",IF(VLOOKUP(MATCH(E393,c_id,0),ca,'13(an)'!$CN$34,FALSE)="",IF(VLOOKUP(MATCH(E393,c_id,0),ca,'13(an)'!$CO$34,FALSE)="","η ≈ N/A","η ≈ "&amp;ROUND(VLOOKUP(MATCH(E393,c_id,0),ca,'13(an)'!$CO$34,FALSE)*100,0)&amp;"%"),"η ≈ "&amp;ROUND(VLOOKUP(MATCH(E393,c_id,0),ca,'13(an)'!$CN$34,FALSE)*100,0)&amp;"%"),"η ≈ "&amp;ROUND(VLOOKUP(MATCH(E393,c_id,0),ca,'13(an)'!$CM$34,FALSE)*100,0)&amp;"%"))</f>
        <v>η ≈ 90%</v>
      </c>
      <c r="AE395" s="7588" t="str">
        <f>+IF($AE$412="ppmvd",IF(VLOOKUP(MATCH(E393,c_id,0),ca,'13(an)'!$CJ$34,FALSE)="","",ROUND(VLOOKUP(MATCH(E393,c_id,0),ca,'13(an)'!$CJ$34,FALSE),1)&amp;" ppmvd"),IF(VLOOKUP(MATCH(E393,c_id,0),ca,'13(an)'!$CI$34,FALSE)="","",IF(LEN(ROUND(VLOOKUP(MATCH(E393,c_id,0),ca,'13(an)'!$CI$34,FALSE),3))=3,ROUND(VLOOKUP(MATCH(E393,c_id,0),ca,'13(an)'!$CI$34,FALSE),3)&amp;"00 lb/MMBtu",IF(LEN(ROUND(VLOOKUP(MATCH(E393,c_id,0),ca,'13(an)'!$CI$34,FALSE),3))=4,ROUND(VLOOKUP(MATCH(E393,c_id,0),ca,'13(an)'!$CI$34,FALSE),3)&amp;"0 lb/MMBtu",ROUND(VLOOKUP(MATCH(E393,c_id,0),ca,'13(an)'!$CI$34,FALSE),3)&amp;" lb/MMBtu"))))</f>
        <v>0.028 lb/MMBtu</v>
      </c>
      <c r="AF395" s="7589">
        <f>+IF(E393="","",IF(VLOOKUP(MATCH(E393,c_id,0),ca,'13(an)'!$CL$34,FALSE)="","NOx(R) = N/A",ROUND(VLOOKUP(MATCH(E393,c_id,0),ca,'13(an)'!$CL$34,FALSE),1)))</f>
        <v>10.6</v>
      </c>
      <c r="AG395" s="7536"/>
      <c r="AH395" s="5962"/>
      <c r="AI395" s="5959"/>
      <c r="AJ395" s="5959"/>
      <c r="AK395" s="5959"/>
      <c r="AL395" s="5959"/>
      <c r="AM395" s="5959"/>
    </row>
    <row r="396" spans="1:39" ht="15" customHeight="1">
      <c r="A396" s="5952"/>
      <c r="B396" s="9035"/>
      <c r="C396" s="8852" t="str">
        <f>+IF(B396="","",VLOOKUP(MATCH(B396,tid,0),tao,'12(id)'!$J$20,FALSE))</f>
        <v/>
      </c>
      <c r="D396" s="8878"/>
      <c r="E396" s="9035"/>
      <c r="F396" s="5952"/>
      <c r="G396" s="5959"/>
      <c r="H396" s="5952"/>
      <c r="I396" s="9070"/>
      <c r="J396" s="8971" t="e">
        <f>+IF(VLOOKUP(MATCH(B396,tid,0),tao,'12(id)'!$I$20,FALSE)="","",VLOOKUP(MATCH(B396,tid,0),tao,'12(id)'!$I$20,FALSE))</f>
        <v>#N/A</v>
      </c>
      <c r="K396" s="9064" t="e">
        <f>+IF(VLOOKUP(MATCH(B396,tid,0),tao,'12(id)'!$K$20,FALSE)="","",VLOOKUP(MATCH(B396,tid,0),tao,'12(id)'!$K$20,FALSE))</f>
        <v>#N/A</v>
      </c>
      <c r="L396" s="9001" t="e">
        <f>+IF(VLOOKUP(MATCH(B396,tid,0),tao,'12(id)'!$L$20,FALSE)="","",VLOOKUP(MATCH(B396,tid,0),tao,'12(id)'!$L$20,FALSE))</f>
        <v>#N/A</v>
      </c>
      <c r="M396" s="9058"/>
      <c r="N396" s="9186"/>
      <c r="O396" s="8985"/>
      <c r="P396" s="9001" t="e">
        <f>+IF(VLOOKUP(MATCH(B396,tid,0),tao,'12(id)'!$FR$20,FALSE)="","",VLOOKUP(MATCH(B396,tid,0),tao,'12(id)'!$FR$20,FALSE))</f>
        <v>#N/A</v>
      </c>
      <c r="Q396" s="9001"/>
      <c r="R396" s="8906"/>
      <c r="S396" s="8818"/>
      <c r="T396" s="7543">
        <f>+IF(VLOOKUP(MATCH(E393,c_id,0),ca,'13(an)'!$GF$34,FALSE)="","",VLOOKUP(MATCH(E393,c_id,0),ca,'13(an)'!$GF$34,FALSE))</f>
        <v>17483068</v>
      </c>
      <c r="U396" s="7570" t="str">
        <f>+IF(T396="","","$ TCC/unit")</f>
        <v>$ TCC/unit</v>
      </c>
      <c r="V396" s="7541" t="str">
        <f>+IF(VLOOKUP(MATCH(E393,c_id,0),ca,'13(an)'!$HA$34,FALSE)="","",VLOOKUP(MATCH(E393,c_id,0),ca,'13(an)'!$HA$34,FALSE))</f>
        <v/>
      </c>
      <c r="W396" s="7540"/>
      <c r="X396" s="8818"/>
      <c r="Y396" s="7543">
        <f>+IF(VLOOKUP(MATCH(E393,c_id,0),ca,'13(an)'!$IA$34,FALSE)="","",VLOOKUP(MATCH(E393,c_id,0),ca,'13(an)'!$IA$34,FALSE))</f>
        <v>17483068</v>
      </c>
      <c r="Z396" s="7570" t="str">
        <f>+IF(Y396="","","$ TCC/unit")</f>
        <v>$ TCC/unit</v>
      </c>
      <c r="AA396" s="7541">
        <f>+IF(Y396="","",$AA$19*Y396)</f>
        <v>1311389.8755487727</v>
      </c>
      <c r="AB396" s="7541"/>
      <c r="AC396" s="8818"/>
      <c r="AD396" s="7543">
        <f>+IF(VLOOKUP(MATCH(E393,c_id,0),ca,'13(an)'!$JS$34,FALSE)="","",VLOOKUP(MATCH(E393,c_id,0),ca,'13(an)'!$JS$34,FALSE))</f>
        <v>17483068</v>
      </c>
      <c r="AE396" s="7570" t="str">
        <f>+IF(AD396="","","$ TCC/unit")</f>
        <v>$ TCC/unit</v>
      </c>
      <c r="AF396" s="7541">
        <f>+IF(AD396="","",$AF$19*AD396)</f>
        <v>1311389.8755487727</v>
      </c>
      <c r="AG396" s="7542"/>
      <c r="AH396" s="5962"/>
      <c r="AI396" s="5959"/>
      <c r="AJ396" s="5959"/>
      <c r="AK396" s="5959"/>
      <c r="AL396" s="5959"/>
      <c r="AM396" s="5959"/>
    </row>
    <row r="397" spans="1:39" ht="15" customHeight="1">
      <c r="A397" s="5952"/>
      <c r="B397" s="9035"/>
      <c r="C397" s="8852" t="str">
        <f>+IF(B397="","",VLOOKUP(MATCH(B397,tid,0),tao,'12(id)'!$J$20,FALSE))</f>
        <v/>
      </c>
      <c r="D397" s="8878"/>
      <c r="E397" s="9035"/>
      <c r="F397" s="5952"/>
      <c r="G397" s="5959"/>
      <c r="H397" s="5952"/>
      <c r="I397" s="9070"/>
      <c r="J397" s="8971" t="e">
        <f>+IF(VLOOKUP(MATCH(B397,tid,0),tao,'12(id)'!$I$20,FALSE)="","",VLOOKUP(MATCH(B397,tid,0),tao,'12(id)'!$I$20,FALSE))</f>
        <v>#N/A</v>
      </c>
      <c r="K397" s="9064" t="e">
        <f>+IF(VLOOKUP(MATCH(B397,tid,0),tao,'12(id)'!$K$20,FALSE)="","",VLOOKUP(MATCH(B397,tid,0),tao,'12(id)'!$K$20,FALSE))</f>
        <v>#N/A</v>
      </c>
      <c r="L397" s="9001" t="e">
        <f>+IF(VLOOKUP(MATCH(B397,tid,0),tao,'12(id)'!$L$20,FALSE)="","",VLOOKUP(MATCH(B397,tid,0),tao,'12(id)'!$L$20,FALSE))</f>
        <v>#N/A</v>
      </c>
      <c r="M397" s="9058"/>
      <c r="N397" s="9186"/>
      <c r="O397" s="8985"/>
      <c r="P397" s="9001" t="e">
        <f>+IF(VLOOKUP(MATCH(B397,tid,0),tao,'12(id)'!$FR$20,FALSE)="","",VLOOKUP(MATCH(B397,tid,0),tao,'12(id)'!$FR$20,FALSE))</f>
        <v>#N/A</v>
      </c>
      <c r="Q397" s="9001"/>
      <c r="R397" s="8906"/>
      <c r="S397" s="8818"/>
      <c r="T397" s="7543">
        <f>+IF(OR(T396="",N393=""),"",IF(ISERROR(T396/N393),"N/A",T396/N393))</f>
        <v>102841.57647058823</v>
      </c>
      <c r="U397" s="8820" t="str">
        <f>+IF(T397="","","$ TCC / MW nominal capacity")</f>
        <v>$ TCC / MW nominal capacity</v>
      </c>
      <c r="V397" s="8820"/>
      <c r="W397" s="7544"/>
      <c r="X397" s="8818"/>
      <c r="Y397" s="7543">
        <f>+IF(Y396="","",IF(ISERROR(Y396/N393),"N/A",Y396/N393))</f>
        <v>102841.57647058823</v>
      </c>
      <c r="Z397" s="8820" t="str">
        <f>+IF(Y397="","","$ TCC / MW nominal capacity")</f>
        <v>$ TCC / MW nominal capacity</v>
      </c>
      <c r="AA397" s="8820"/>
      <c r="AB397" s="7545"/>
      <c r="AC397" s="8818"/>
      <c r="AD397" s="7543">
        <f>+IF(AD396="","",IF(ISERROR(AD396/N393),"N/A",AD396/N393))</f>
        <v>102841.57647058823</v>
      </c>
      <c r="AE397" s="8820" t="str">
        <f>+IF(AD397="","","$ TCC / MW nominal capacity")</f>
        <v>$ TCC / MW nominal capacity</v>
      </c>
      <c r="AF397" s="8820"/>
      <c r="AG397" s="7546"/>
      <c r="AH397" s="5962"/>
      <c r="AI397" s="5959"/>
      <c r="AJ397" s="5959"/>
      <c r="AK397" s="5959"/>
      <c r="AL397" s="5959"/>
      <c r="AM397" s="5959"/>
    </row>
    <row r="398" spans="1:39" ht="15" customHeight="1">
      <c r="A398" s="5952"/>
      <c r="B398" s="9035"/>
      <c r="C398" s="8852" t="str">
        <f>+IF(B398="","",VLOOKUP(MATCH(B398,tid,0),tao,'12(id)'!$J$20,FALSE))</f>
        <v/>
      </c>
      <c r="D398" s="8878"/>
      <c r="E398" s="9062"/>
      <c r="F398" s="5952"/>
      <c r="G398" s="5959"/>
      <c r="H398" s="5952"/>
      <c r="I398" s="9070"/>
      <c r="J398" s="8971" t="e">
        <f>+IF(VLOOKUP(MATCH(B398,tid,0),tao,'12(id)'!$I$20,FALSE)="","",VLOOKUP(MATCH(B398,tid,0),tao,'12(id)'!$I$20,FALSE))</f>
        <v>#N/A</v>
      </c>
      <c r="K398" s="9064" t="e">
        <f>+IF(VLOOKUP(MATCH(B398,tid,0),tao,'12(id)'!$K$20,FALSE)="","",VLOOKUP(MATCH(B398,tid,0),tao,'12(id)'!$K$20,FALSE))</f>
        <v>#N/A</v>
      </c>
      <c r="L398" s="9001" t="e">
        <f>+IF(VLOOKUP(MATCH(B398,tid,0),tao,'12(id)'!$L$20,FALSE)="","",VLOOKUP(MATCH(B398,tid,0),tao,'12(id)'!$L$20,FALSE))</f>
        <v>#N/A</v>
      </c>
      <c r="M398" s="9058"/>
      <c r="N398" s="9186"/>
      <c r="O398" s="8985"/>
      <c r="P398" s="9001" t="e">
        <f>+IF(VLOOKUP(MATCH(B398,tid,0),tao,'12(id)'!$FR$20,FALSE)="","",VLOOKUP(MATCH(B398,tid,0),tao,'12(id)'!$FR$20,FALSE))</f>
        <v>#N/A</v>
      </c>
      <c r="Q398" s="9001"/>
      <c r="R398" s="8981"/>
      <c r="S398" s="8819"/>
      <c r="T398" s="7590">
        <f>+IF(VLOOKUP(MATCH(E393,c_id,0),ca,'13(an)'!$HF$34,FALSE)="","",VLOOKUP(MATCH(E393,c_id,0),ca,'13(an)'!$HF$34,FALSE))</f>
        <v>290373</v>
      </c>
      <c r="U398" s="8829" t="str">
        <f>IF(T398="","","$ /ton "&amp;"NOx(R)")</f>
        <v>$ /ton NOx(R)</v>
      </c>
      <c r="V398" s="8829"/>
      <c r="W398" s="7730"/>
      <c r="X398" s="8819"/>
      <c r="Y398" s="7590">
        <f>+IF(VLOOKUP(MATCH(E393,c_id,0),ca,'13(an)'!$JE$34,FALSE)="","",VLOOKUP(MATCH(E393,c_id,0),ca,'13(an)'!$JE$34,FALSE))</f>
        <v>123483.03912888632</v>
      </c>
      <c r="Z398" s="7749" t="str">
        <f>IF(Y398="","","$ /ton "&amp;"NOx(R)")</f>
        <v>$ /ton NOx(R)</v>
      </c>
      <c r="AA398" s="7749" t="s">
        <v>2500</v>
      </c>
      <c r="AB398" s="7592"/>
      <c r="AC398" s="8819"/>
      <c r="AD398" s="7590">
        <f>+IF(VLOOKUP(MATCH(E393,c_id,0),ca,'13(an)'!$LB$34,FALSE)="","",VLOOKUP(MATCH(E393,c_id,0),ca,'13(an)'!$LB$34,FALSE))</f>
        <v>192380.42952747736</v>
      </c>
      <c r="AE398" s="8829" t="str">
        <f>IF(AD398="","","$ /ton "&amp;"NOx(R)")</f>
        <v>$ /ton NOx(R)</v>
      </c>
      <c r="AF398" s="8829"/>
      <c r="AG398" s="7732"/>
      <c r="AH398" s="5962"/>
      <c r="AI398" s="5959"/>
      <c r="AJ398" s="5959"/>
      <c r="AK398" s="5959"/>
      <c r="AL398" s="5959"/>
      <c r="AM398" s="5959"/>
    </row>
    <row r="399" spans="1:39" ht="15" customHeight="1">
      <c r="A399" s="5952"/>
      <c r="B399" s="9035"/>
      <c r="C399" s="8852" t="str">
        <f>+IF(B399="","",VLOOKUP(MATCH(B399,tid,0),tao,'12(id)'!$J$20,FALSE))</f>
        <v/>
      </c>
      <c r="D399" s="8878"/>
      <c r="E399" s="9045" t="str">
        <f>+IF(B393="","",B393&amp;IF(ISERR(VALUE(1+R393)),"-01",IF(1+R393&lt;10,"-0"&amp;1+R393,"-"&amp;1+R393)))</f>
        <v>8305-02-02</v>
      </c>
      <c r="F399" s="5952"/>
      <c r="G399" s="5959"/>
      <c r="H399" s="5952"/>
      <c r="I399" s="9070"/>
      <c r="J399" s="8971" t="e">
        <f>+IF(VLOOKUP(MATCH(B399,tid,0),tao,'12(id)'!$I$20,FALSE)="","",VLOOKUP(MATCH(B399,tid,0),tao,'12(id)'!$I$20,FALSE))</f>
        <v>#N/A</v>
      </c>
      <c r="K399" s="9064" t="e">
        <f>+IF(VLOOKUP(MATCH(B399,tid,0),tao,'12(id)'!$K$20,FALSE)="","",VLOOKUP(MATCH(B399,tid,0),tao,'12(id)'!$K$20,FALSE))</f>
        <v>#N/A</v>
      </c>
      <c r="L399" s="9001" t="e">
        <f>+IF(VLOOKUP(MATCH(B399,tid,0),tao,'12(id)'!$L$20,FALSE)="","",VLOOKUP(MATCH(B399,tid,0),tao,'12(id)'!$L$20,FALSE))</f>
        <v>#N/A</v>
      </c>
      <c r="M399" s="9058"/>
      <c r="N399" s="9186"/>
      <c r="O399" s="8985"/>
      <c r="P399" s="9001" t="e">
        <f>+IF(VLOOKUP(MATCH(B399,tid,0),tao,'12(id)'!$FR$20,FALSE)="","",VLOOKUP(MATCH(B399,tid,0),tao,'12(id)'!$FR$20,FALSE))</f>
        <v>#N/A</v>
      </c>
      <c r="Q399" s="9001"/>
      <c r="R399" s="8906">
        <f>+IF(B393="","",1+R393)</f>
        <v>2</v>
      </c>
      <c r="S399" s="8859"/>
      <c r="T399" s="8870" t="str">
        <f>+IF(VLOOKUP(MATCH(E399,c_id,0),ca,'13(an)'!$BD$34,FALSE)="","",VLOOKUP(MATCH(E399,c_id,0),ca,'13(an)'!$BD$34,FALSE))</f>
        <v>Combination of Control Technologies
LNB + OFA + SNCR</v>
      </c>
      <c r="U399" s="8870" t="e">
        <f>+IF(VLOOKUP(MATCH(R399,c_id,0),ca,'13(an)'!$BD$34,FALSE)="","",VLOOKUP(MATCH(R399,c_id,0),ca,'13(an)'!$BD$34,FALSE))</f>
        <v>#N/A</v>
      </c>
      <c r="V399" s="8870" t="e">
        <f>+IF(VLOOKUP(MATCH(S399,c_id,0),ca,'13(an)'!$BD$34,FALSE)="","",VLOOKUP(MATCH(S399,c_id,0),ca,'13(an)'!$BD$34,FALSE))</f>
        <v>#N/A</v>
      </c>
      <c r="W399" s="7531"/>
      <c r="X399" s="8859"/>
      <c r="Y399" s="8870" t="str">
        <f>+T399</f>
        <v>Combination of Control Technologies
LNB + OFA + SNCR</v>
      </c>
      <c r="Z399" s="8870"/>
      <c r="AA399" s="8870"/>
      <c r="AB399" s="7532"/>
      <c r="AC399" s="8859"/>
      <c r="AD399" s="8870" t="str">
        <f>+T399</f>
        <v>Combination of Control Technologies
LNB + OFA + SNCR</v>
      </c>
      <c r="AE399" s="8870"/>
      <c r="AF399" s="8870"/>
      <c r="AG399" s="7533"/>
      <c r="AH399" s="5962"/>
      <c r="AI399" s="5959"/>
      <c r="AJ399" s="5959"/>
      <c r="AK399" s="5959"/>
      <c r="AL399" s="5959"/>
      <c r="AM399" s="5959"/>
    </row>
    <row r="400" spans="1:39" ht="15" customHeight="1">
      <c r="A400" s="5952"/>
      <c r="B400" s="9035"/>
      <c r="C400" s="8852" t="str">
        <f>+IF(B400="","",VLOOKUP(MATCH(B400,tid,0),tao,'12(id)'!$J$20,FALSE))</f>
        <v/>
      </c>
      <c r="D400" s="8878"/>
      <c r="E400" s="9079"/>
      <c r="F400" s="5952"/>
      <c r="G400" s="5959"/>
      <c r="H400" s="5952"/>
      <c r="I400" s="9070"/>
      <c r="J400" s="8971" t="e">
        <f>+IF(VLOOKUP(MATCH(B400,tid,0),tao,'12(id)'!$I$20,FALSE)="","",VLOOKUP(MATCH(B400,tid,0),tao,'12(id)'!$I$20,FALSE))</f>
        <v>#N/A</v>
      </c>
      <c r="K400" s="9064" t="e">
        <f>+IF(VLOOKUP(MATCH(B400,tid,0),tao,'12(id)'!$K$20,FALSE)="","",VLOOKUP(MATCH(B400,tid,0),tao,'12(id)'!$K$20,FALSE))</f>
        <v>#N/A</v>
      </c>
      <c r="L400" s="9001" t="e">
        <f>+IF(VLOOKUP(MATCH(B400,tid,0),tao,'12(id)'!$L$20,FALSE)="","",VLOOKUP(MATCH(B400,tid,0),tao,'12(id)'!$L$20,FALSE))</f>
        <v>#N/A</v>
      </c>
      <c r="M400" s="9058"/>
      <c r="N400" s="9186"/>
      <c r="O400" s="8985"/>
      <c r="P400" s="9001" t="e">
        <f>+IF(VLOOKUP(MATCH(B400,tid,0),tao,'12(id)'!$FR$20,FALSE)="","",VLOOKUP(MATCH(B400,tid,0),tao,'12(id)'!$FR$20,FALSE))</f>
        <v>#N/A</v>
      </c>
      <c r="Q400" s="9001"/>
      <c r="R400" s="8906"/>
      <c r="S400" s="8818"/>
      <c r="T400" s="8870" t="e">
        <f>+IF(VLOOKUP(MATCH(E400,c_id,0),ca,'13(an)'!$BD$34,FALSE)="","",VLOOKUP(MATCH(E400,c_id,0),ca,'13(an)'!$BD$34,FALSE))</f>
        <v>#N/A</v>
      </c>
      <c r="U400" s="8870" t="e">
        <f>+IF(VLOOKUP(MATCH(R400,c_id,0),ca,'13(an)'!$BD$34,FALSE)="","",VLOOKUP(MATCH(R400,c_id,0),ca,'13(an)'!$BD$34,FALSE))</f>
        <v>#N/A</v>
      </c>
      <c r="V400" s="8870" t="e">
        <f>+IF(VLOOKUP(MATCH(S400,c_id,0),ca,'13(an)'!$BD$34,FALSE)="","",VLOOKUP(MATCH(S400,c_id,0),ca,'13(an)'!$BD$34,FALSE))</f>
        <v>#N/A</v>
      </c>
      <c r="W400" s="7531"/>
      <c r="X400" s="8818"/>
      <c r="Y400" s="8870"/>
      <c r="Z400" s="8870"/>
      <c r="AA400" s="8870"/>
      <c r="AB400" s="7532"/>
      <c r="AC400" s="8818"/>
      <c r="AD400" s="8870"/>
      <c r="AE400" s="8870"/>
      <c r="AF400" s="8870"/>
      <c r="AG400" s="7533"/>
      <c r="AH400" s="5962"/>
      <c r="AI400" s="5959"/>
      <c r="AJ400" s="5959"/>
      <c r="AK400" s="5959"/>
      <c r="AL400" s="5959"/>
      <c r="AM400" s="5959"/>
    </row>
    <row r="401" spans="1:39" ht="15" customHeight="1">
      <c r="A401" s="5952"/>
      <c r="B401" s="9035"/>
      <c r="C401" s="8852" t="str">
        <f>+IF(B401="","",VLOOKUP(MATCH(B401,tid,0),tao,'12(id)'!$J$20,FALSE))</f>
        <v/>
      </c>
      <c r="D401" s="8878"/>
      <c r="E401" s="9079"/>
      <c r="F401" s="5952"/>
      <c r="G401" s="5959"/>
      <c r="H401" s="5952"/>
      <c r="I401" s="9070"/>
      <c r="J401" s="8971" t="e">
        <f>+IF(VLOOKUP(MATCH(B401,tid,0),tao,'12(id)'!$I$20,FALSE)="","",VLOOKUP(MATCH(B401,tid,0),tao,'12(id)'!$I$20,FALSE))</f>
        <v>#N/A</v>
      </c>
      <c r="K401" s="9064" t="e">
        <f>+IF(VLOOKUP(MATCH(B401,tid,0),tao,'12(id)'!$K$20,FALSE)="","",VLOOKUP(MATCH(B401,tid,0),tao,'12(id)'!$K$20,FALSE))</f>
        <v>#N/A</v>
      </c>
      <c r="L401" s="9001" t="e">
        <f>+IF(VLOOKUP(MATCH(B401,tid,0),tao,'12(id)'!$L$20,FALSE)="","",VLOOKUP(MATCH(B401,tid,0),tao,'12(id)'!$L$20,FALSE))</f>
        <v>#N/A</v>
      </c>
      <c r="M401" s="9058"/>
      <c r="N401" s="9186"/>
      <c r="O401" s="8985"/>
      <c r="P401" s="9001" t="e">
        <f>+IF(VLOOKUP(MATCH(B401,tid,0),tao,'12(id)'!$FR$20,FALSE)="","",VLOOKUP(MATCH(B401,tid,0),tao,'12(id)'!$FR$20,FALSE))</f>
        <v>#N/A</v>
      </c>
      <c r="Q401" s="9001"/>
      <c r="R401" s="8906"/>
      <c r="S401" s="8818"/>
      <c r="T401" s="7600" t="str">
        <f>+IF(E399="","",IF(VLOOKUP(MATCH(E399,c_id,0),ca,'13(an)'!$CC$34,FALSE)="",IF(VLOOKUP(MATCH(E399,c_id,0),ca,'13(an)'!$CD$34,FALSE)="",IF(VLOOKUP(MATCH(E399,c_id,0),ca,'13(an)'!$CE$34,FALSE)="","η ≈ N/A","η ≈ "&amp;ROUND(VLOOKUP(MATCH(E399,c_id,0),ca,'13(an)'!$CE$34,FALSE)*100,0)&amp;"%"),"η ≈ "&amp;ROUND(VLOOKUP(MATCH(E399,c_id,0),ca,'13(an)'!$CD$34,FALSE)*100,0)&amp;"%"),"η ≈ "&amp;ROUND(VLOOKUP(MATCH(E399,c_id,0),ca,'13(an)'!$CC$34,FALSE)*100,0)&amp;"%"))</f>
        <v>η ≈ 45%</v>
      </c>
      <c r="U401" s="7601" t="str">
        <f>+IF($U$412="ppmvd",IF(VLOOKUP(MATCH(E399,c_id,0),ca,'13(an)'!$BV$34,FALSE)="","",ROUND(VLOOKUP(MATCH(E399,c_id,0),ca,'13(an)'!$BV$34,FALSE),1)&amp;" ppmvd"),IF(VLOOKUP(MATCH(E399,c_id,0),ca,'13(an)'!$BU$34,FALSE)="","",IF(LEN(ROUND(VLOOKUP(MATCH(E399,c_id,0),ca,'13(an)'!$BU$34,FALSE),3))=3,ROUND(VLOOKUP(MATCH(E399,c_id,0),ca,'13(an)'!$BU$34,FALSE),3)&amp;"00 lb/MMBtu",IF(LEN(ROUND(VLOOKUP(MATCH(E399,c_id,0),ca,'13(an)'!$BU$34,FALSE),3))=4,ROUND(VLOOKUP(MATCH(E399,c_id,0),ca,'13(an)'!$BU$34,FALSE),3)&amp;"0 lb/MMBtu",ROUND(VLOOKUP(MATCH(E399,c_id,0),ca,'13(an)'!$BU$34,FALSE),3)&amp;" lb/MMBtu"))))</f>
        <v/>
      </c>
      <c r="V401" s="7602">
        <f>+IF(E399="","",IF(VLOOKUP(MATCH(E399,c_id,0),ca,'13(an)'!$CB$34,FALSE)="","NOx(R) = N/A",ROUND(VLOOKUP(MATCH(E399,c_id,0),ca,'13(an)'!$CB$34,FALSE),1)))</f>
        <v>2</v>
      </c>
      <c r="W401" s="7534"/>
      <c r="X401" s="8818"/>
      <c r="Y401" s="7603" t="str">
        <f>+IF(E399="","",IF(VLOOKUP(MATCH(E399,c_id,0),ca,'13(an)'!$CM$34,FALSE)="",IF(VLOOKUP(MATCH(E399,c_id,0),ca,'13(an)'!$CN$34,FALSE)="",IF(VLOOKUP(MATCH(E399,c_id,0),ca,'13(an)'!$CO$34,FALSE)="","η ≈ N/A","η ≈ "&amp;ROUND(VLOOKUP(MATCH(E399,c_id,0),ca,'13(an)'!$CO$34,FALSE)*100,0)&amp;"%"),"η ≈ "&amp;ROUND(VLOOKUP(MATCH(E399,c_id,0),ca,'13(an)'!$CN$34,FALSE)*100,0)&amp;"%"),"η ≈ "&amp;ROUND(VLOOKUP(MATCH(E399,c_id,0),ca,'13(an)'!$CM$34,FALSE)*100,0)&amp;"%"))</f>
        <v>η ≈ 45%</v>
      </c>
      <c r="Z401" s="7604" t="str">
        <f>+IF($Z$412="ppmvd",IF(VLOOKUP(MATCH(E399,c_id,0),ca,'13(an)'!$CJ$34,FALSE)="","",ROUND(VLOOKUP(MATCH(E399,c_id,0),ca,'13(an)'!$CJ$34,FALSE),1)&amp;" ppmvd"),IF(VLOOKUP(MATCH(E399,c_id,0),ca,'13(an)'!$CI$34,FALSE)="","",IF(LEN(ROUND(VLOOKUP(MATCH(E399,c_id,0),ca,'13(an)'!$CI$34,FALSE),3))=3,ROUND(VLOOKUP(MATCH(E399,c_id,0),ca,'13(an)'!$CI$34,FALSE),3)&amp;"00 lb/MMBtu",IF(LEN(ROUND(VLOOKUP(MATCH(E399,c_id,0),ca,'13(an)'!$CI$34,FALSE),3))=4,ROUND(VLOOKUP(MATCH(E399,c_id,0),ca,'13(an)'!$CI$34,FALSE),3)&amp;"0 lb/MMBtu",ROUND(VLOOKUP(MATCH(E399,c_id,0),ca,'13(an)'!$CI$34,FALSE),3)&amp;" lb/MMBtu"))))</f>
        <v>0.152 lb/MMBtu</v>
      </c>
      <c r="AA401" s="7605">
        <f>+IF(E399="","",IF(VLOOKUP(MATCH(E399,c_id,0),ca,'13(an)'!$CL$34,FALSE)="","NOx(R) = N/A",ROUND(VLOOKUP(MATCH(E399,c_id,0),ca,'13(an)'!$CL$34,FALSE),1)))</f>
        <v>5.3</v>
      </c>
      <c r="AB401" s="7535"/>
      <c r="AC401" s="8818"/>
      <c r="AD401" s="7603" t="str">
        <f>+IF(E399="","",IF(VLOOKUP(MATCH(E399,c_id,0),ca,'13(an)'!$CM$34,FALSE)="",IF(VLOOKUP(MATCH(E399,c_id,0),ca,'13(an)'!$CN$34,FALSE)="",IF(VLOOKUP(MATCH(E399,c_id,0),ca,'13(an)'!$CO$34,FALSE)="","η ≈ N/A","η ≈ "&amp;ROUND(VLOOKUP(MATCH(E399,c_id,0),ca,'13(an)'!$CO$34,FALSE)*100,0)&amp;"%"),"η ≈ "&amp;ROUND(VLOOKUP(MATCH(E399,c_id,0),ca,'13(an)'!$CN$34,FALSE)*100,0)&amp;"%"),"η ≈ "&amp;ROUND(VLOOKUP(MATCH(E399,c_id,0),ca,'13(an)'!$CM$34,FALSE)*100,0)&amp;"%"))</f>
        <v>η ≈ 45%</v>
      </c>
      <c r="AE401" s="7604" t="str">
        <f>+IF($AE$412="ppmvd",IF(VLOOKUP(MATCH(E399,c_id,0),ca,'13(an)'!$CJ$34,FALSE)="","",ROUND(VLOOKUP(MATCH(E399,c_id,0),ca,'13(an)'!$CJ$34,FALSE),1)&amp;" ppmvd"),IF(VLOOKUP(MATCH(E399,c_id,0),ca,'13(an)'!$CI$34,FALSE)="","",IF(LEN(ROUND(VLOOKUP(MATCH(E399,c_id,0),ca,'13(an)'!$CI$34,FALSE),3))=3,ROUND(VLOOKUP(MATCH(E399,c_id,0),ca,'13(an)'!$CI$34,FALSE),3)&amp;"00 lb/MMBtu",IF(LEN(ROUND(VLOOKUP(MATCH(E399,c_id,0),ca,'13(an)'!$CI$34,FALSE),3))=4,ROUND(VLOOKUP(MATCH(E399,c_id,0),ca,'13(an)'!$CI$34,FALSE),3)&amp;"0 lb/MMBtu",ROUND(VLOOKUP(MATCH(E399,c_id,0),ca,'13(an)'!$CI$34,FALSE),3)&amp;" lb/MMBtu"))))</f>
        <v>0.152 lb/MMBtu</v>
      </c>
      <c r="AF401" s="7605">
        <f>+IF(E399="","",IF(VLOOKUP(MATCH(E399,c_id,0),ca,'13(an)'!$CL$34,FALSE)="","NOx(R) = N/A",ROUND(VLOOKUP(MATCH(E399,c_id,0),ca,'13(an)'!$CL$34,FALSE),1)))</f>
        <v>5.3</v>
      </c>
      <c r="AG401" s="7536"/>
      <c r="AH401" s="5962"/>
      <c r="AI401" s="5959"/>
      <c r="AJ401" s="5959"/>
      <c r="AK401" s="5959"/>
      <c r="AL401" s="5959"/>
      <c r="AM401" s="5959"/>
    </row>
    <row r="402" spans="1:39" ht="15" customHeight="1">
      <c r="A402" s="5952"/>
      <c r="B402" s="9035"/>
      <c r="C402" s="8852" t="str">
        <f>+IF(B402="","",VLOOKUP(MATCH(B402,tid,0),tao,'12(id)'!$J$20,FALSE))</f>
        <v/>
      </c>
      <c r="D402" s="8878"/>
      <c r="E402" s="9079"/>
      <c r="F402" s="5952"/>
      <c r="G402" s="5959"/>
      <c r="H402" s="5952"/>
      <c r="I402" s="9070"/>
      <c r="J402" s="8971" t="e">
        <f>+IF(VLOOKUP(MATCH(B402,tid,0),tao,'12(id)'!$I$20,FALSE)="","",VLOOKUP(MATCH(B402,tid,0),tao,'12(id)'!$I$20,FALSE))</f>
        <v>#N/A</v>
      </c>
      <c r="K402" s="9064" t="e">
        <f>+IF(VLOOKUP(MATCH(B402,tid,0),tao,'12(id)'!$K$20,FALSE)="","",VLOOKUP(MATCH(B402,tid,0),tao,'12(id)'!$K$20,FALSE))</f>
        <v>#N/A</v>
      </c>
      <c r="L402" s="9001" t="e">
        <f>+IF(VLOOKUP(MATCH(B402,tid,0),tao,'12(id)'!$L$20,FALSE)="","",VLOOKUP(MATCH(B402,tid,0),tao,'12(id)'!$L$20,FALSE))</f>
        <v>#N/A</v>
      </c>
      <c r="M402" s="9058"/>
      <c r="N402" s="9186"/>
      <c r="O402" s="8985"/>
      <c r="P402" s="9001" t="e">
        <f>+IF(VLOOKUP(MATCH(B402,tid,0),tao,'12(id)'!$FR$20,FALSE)="","",VLOOKUP(MATCH(B402,tid,0),tao,'12(id)'!$FR$20,FALSE))</f>
        <v>#N/A</v>
      </c>
      <c r="Q402" s="9001"/>
      <c r="R402" s="8906"/>
      <c r="S402" s="8818"/>
      <c r="T402" s="7543">
        <f>+IF(VLOOKUP(MATCH(E399,c_id,0),ca,'13(an)'!$GF$34,FALSE)="","",VLOOKUP(MATCH(E399,c_id,0),ca,'13(an)'!$GF$34,FALSE))</f>
        <v>5537165</v>
      </c>
      <c r="U402" s="7570" t="str">
        <f>+IF(T402="","","$ TCC/unit")</f>
        <v>$ TCC/unit</v>
      </c>
      <c r="V402" s="7541" t="str">
        <f>+IF(VLOOKUP(MATCH(E399,c_id,0),ca,'13(an)'!$HA$34,FALSE)="","",VLOOKUP(MATCH(E399,c_id,0),ca,'13(an)'!$HA$34,FALSE))</f>
        <v/>
      </c>
      <c r="W402" s="7540"/>
      <c r="X402" s="8818"/>
      <c r="Y402" s="7543">
        <f>+IF(VLOOKUP(MATCH(E399,c_id,0),ca,'13(an)'!$IA$34,FALSE)="","",VLOOKUP(MATCH(E399,c_id,0),ca,'13(an)'!$IA$34,FALSE))</f>
        <v>5537165</v>
      </c>
      <c r="Z402" s="7570" t="str">
        <f>+IF(Y402="","","$ TCC/unit")</f>
        <v>$ TCC/unit</v>
      </c>
      <c r="AA402" s="7541">
        <f>+IF(Y402="","",$AA$19*Y402)</f>
        <v>415337.97845109453</v>
      </c>
      <c r="AB402" s="7541"/>
      <c r="AC402" s="8818"/>
      <c r="AD402" s="7543">
        <f>+IF(VLOOKUP(MATCH(E399,c_id,0),ca,'13(an)'!$JS$34,FALSE)="","",VLOOKUP(MATCH(E399,c_id,0),ca,'13(an)'!$JS$34,FALSE))</f>
        <v>5537165</v>
      </c>
      <c r="AE402" s="7538" t="str">
        <f>+IF(AD402="","","$ TCC/unit")</f>
        <v>$ TCC/unit</v>
      </c>
      <c r="AF402" s="7541">
        <f>+IF(AD402="","",$AF$19*AD402)</f>
        <v>415337.97845109453</v>
      </c>
      <c r="AG402" s="7542"/>
      <c r="AH402" s="5962"/>
      <c r="AI402" s="5959"/>
      <c r="AJ402" s="5959"/>
      <c r="AK402" s="5959"/>
      <c r="AL402" s="5959"/>
      <c r="AM402" s="5959"/>
    </row>
    <row r="403" spans="1:39" ht="15" customHeight="1">
      <c r="A403" s="5952"/>
      <c r="B403" s="9035"/>
      <c r="C403" s="8852" t="str">
        <f>+IF(B403="","",VLOOKUP(MATCH(B403,tid,0),tao,'12(id)'!$J$20,FALSE))</f>
        <v/>
      </c>
      <c r="D403" s="8878"/>
      <c r="E403" s="9079"/>
      <c r="F403" s="5952"/>
      <c r="G403" s="5959"/>
      <c r="H403" s="5952"/>
      <c r="I403" s="9070"/>
      <c r="J403" s="8971" t="e">
        <f>+IF(VLOOKUP(MATCH(B403,tid,0),tao,'12(id)'!$I$20,FALSE)="","",VLOOKUP(MATCH(B403,tid,0),tao,'12(id)'!$I$20,FALSE))</f>
        <v>#N/A</v>
      </c>
      <c r="K403" s="9064" t="e">
        <f>+IF(VLOOKUP(MATCH(B403,tid,0),tao,'12(id)'!$K$20,FALSE)="","",VLOOKUP(MATCH(B403,tid,0),tao,'12(id)'!$K$20,FALSE))</f>
        <v>#N/A</v>
      </c>
      <c r="L403" s="9001" t="e">
        <f>+IF(VLOOKUP(MATCH(B403,tid,0),tao,'12(id)'!$L$20,FALSE)="","",VLOOKUP(MATCH(B403,tid,0),tao,'12(id)'!$L$20,FALSE))</f>
        <v>#N/A</v>
      </c>
      <c r="M403" s="9058"/>
      <c r="N403" s="9186"/>
      <c r="O403" s="8985"/>
      <c r="P403" s="9001" t="e">
        <f>+IF(VLOOKUP(MATCH(B403,tid,0),tao,'12(id)'!$FR$20,FALSE)="","",VLOOKUP(MATCH(B403,tid,0),tao,'12(id)'!$FR$20,FALSE))</f>
        <v>#N/A</v>
      </c>
      <c r="Q403" s="9001"/>
      <c r="R403" s="8906"/>
      <c r="S403" s="8818"/>
      <c r="T403" s="7543">
        <f>+IF(OR(T402="",N393=""),"",T402/N393)</f>
        <v>32571.558823529413</v>
      </c>
      <c r="U403" s="8820" t="str">
        <f>+IF(T403="","","$ TCC / MW nominal capacity")</f>
        <v>$ TCC / MW nominal capacity</v>
      </c>
      <c r="V403" s="8820"/>
      <c r="W403" s="7544"/>
      <c r="X403" s="8818"/>
      <c r="Y403" s="7543">
        <f>+IF(Y402="","",IF(ISERROR(Y402/N393),"N/A",Y402/N393))</f>
        <v>32571.558823529413</v>
      </c>
      <c r="Z403" s="8820" t="str">
        <f>+IF(Y403="","","$ TCC / MW nominal capacity")</f>
        <v>$ TCC / MW nominal capacity</v>
      </c>
      <c r="AA403" s="8820"/>
      <c r="AB403" s="7545"/>
      <c r="AC403" s="8818"/>
      <c r="AD403" s="7543">
        <f>+IF(AD402="","",IF(ISERROR(AD402/N393),"N/A",AD402/N393))</f>
        <v>32571.558823529413</v>
      </c>
      <c r="AE403" s="8820" t="str">
        <f>+IF(AD403="","","$ TCC / MW nominal capacity")</f>
        <v>$ TCC / MW nominal capacity</v>
      </c>
      <c r="AF403" s="8820"/>
      <c r="AG403" s="7546"/>
      <c r="AH403" s="5962"/>
      <c r="AI403" s="5959"/>
      <c r="AJ403" s="5959"/>
      <c r="AK403" s="5959"/>
      <c r="AL403" s="5959"/>
      <c r="AM403" s="5959"/>
    </row>
    <row r="404" spans="1:39" ht="15" customHeight="1">
      <c r="A404" s="5952"/>
      <c r="B404" s="9035"/>
      <c r="C404" s="8852" t="str">
        <f>+IF(B404="","",VLOOKUP(MATCH(B404,tid,0),tao,'12(id)'!$J$20,FALSE))</f>
        <v/>
      </c>
      <c r="D404" s="8878"/>
      <c r="E404" s="9079"/>
      <c r="F404" s="5952"/>
      <c r="G404" s="5959"/>
      <c r="H404" s="5952"/>
      <c r="I404" s="9070"/>
      <c r="J404" s="8971" t="e">
        <f>+IF(VLOOKUP(MATCH(B404,tid,0),tao,'12(id)'!$I$20,FALSE)="","",VLOOKUP(MATCH(B404,tid,0),tao,'12(id)'!$I$20,FALSE))</f>
        <v>#N/A</v>
      </c>
      <c r="K404" s="9064" t="e">
        <f>+IF(VLOOKUP(MATCH(B404,tid,0),tao,'12(id)'!$K$20,FALSE)="","",VLOOKUP(MATCH(B404,tid,0),tao,'12(id)'!$K$20,FALSE))</f>
        <v>#N/A</v>
      </c>
      <c r="L404" s="9001" t="e">
        <f>+IF(VLOOKUP(MATCH(B404,tid,0),tao,'12(id)'!$L$20,FALSE)="","",VLOOKUP(MATCH(B404,tid,0),tao,'12(id)'!$L$20,FALSE))</f>
        <v>#N/A</v>
      </c>
      <c r="M404" s="9058"/>
      <c r="N404" s="9186"/>
      <c r="O404" s="8985"/>
      <c r="P404" s="9001" t="e">
        <f>+IF(VLOOKUP(MATCH(B404,tid,0),tao,'12(id)'!$FR$20,FALSE)="","",VLOOKUP(MATCH(B404,tid,0),tao,'12(id)'!$FR$20,FALSE))</f>
        <v>#N/A</v>
      </c>
      <c r="Q404" s="9001"/>
      <c r="R404" s="8906"/>
      <c r="S404" s="8819"/>
      <c r="T404" s="7590">
        <f>+IF(VLOOKUP(MATCH(E399,c_id,0),ca,'13(an)'!$HF$34,FALSE)="","",VLOOKUP(MATCH(E399,c_id,0),ca,'13(an)'!$HF$34,FALSE))</f>
        <v>196596</v>
      </c>
      <c r="U404" s="8829" t="str">
        <f>IF(T404="","","$ /ton "&amp;"NOx(R)")</f>
        <v>$ /ton NOx(R)</v>
      </c>
      <c r="V404" s="8829"/>
      <c r="W404" s="7730"/>
      <c r="X404" s="8819"/>
      <c r="Y404" s="7590">
        <f>+IF(VLOOKUP(MATCH(E399,c_id,0),ca,'13(an)'!$JE$34,FALSE)="","",VLOOKUP(MATCH(E399,c_id,0),ca,'13(an)'!$JE$34,FALSE))</f>
        <v>78218.075037870891</v>
      </c>
      <c r="Z404" s="7749" t="str">
        <f>IF(Y404="","","$ /ton "&amp;"NOx(R)")</f>
        <v>$ /ton NOx(R)</v>
      </c>
      <c r="AA404" s="7749" t="s">
        <v>2500</v>
      </c>
      <c r="AB404" s="7592"/>
      <c r="AC404" s="8819"/>
      <c r="AD404" s="7590">
        <f>+IF(VLOOKUP(MATCH(E399,c_id,0),ca,'13(an)'!$LB$34,FALSE)="","",VLOOKUP(MATCH(E399,c_id,0),ca,'13(an)'!$LB$34,FALSE))</f>
        <v>139233.3306007559</v>
      </c>
      <c r="AE404" s="8829" t="str">
        <f>IF(AD404="","","$ /ton "&amp;"NOx(R)")</f>
        <v>$ /ton NOx(R)</v>
      </c>
      <c r="AF404" s="8829"/>
      <c r="AG404" s="7732"/>
      <c r="AH404" s="5962"/>
      <c r="AI404" s="5959"/>
      <c r="AJ404" s="5959"/>
      <c r="AK404" s="5959"/>
      <c r="AL404" s="5959"/>
      <c r="AM404" s="5959"/>
    </row>
    <row r="405" spans="1:39" ht="15" customHeight="1">
      <c r="A405" s="5952"/>
      <c r="B405" s="9035"/>
      <c r="C405" s="8852" t="str">
        <f>+IF(B405="","",VLOOKUP(MATCH(B405,tid,0),tao,'12(id)'!$J$20,FALSE))</f>
        <v/>
      </c>
      <c r="D405" s="8878"/>
      <c r="E405" s="9045" t="str">
        <f>+IF(B393="","",B393&amp;IF(ISERR(VALUE(1+R399)),"-01",IF(1+R399&lt;10,"-0"&amp;1+R399,"-"&amp;1+R399)))</f>
        <v>8305-02-03</v>
      </c>
      <c r="F405" s="5952"/>
      <c r="G405" s="5959"/>
      <c r="H405" s="5952"/>
      <c r="I405" s="9070"/>
      <c r="J405" s="8971"/>
      <c r="K405" s="9064"/>
      <c r="L405" s="9001"/>
      <c r="M405" s="9058"/>
      <c r="N405" s="9186"/>
      <c r="O405" s="8985"/>
      <c r="P405" s="9001" t="e">
        <f>+IF(VLOOKUP(MATCH(B405,tid,0),tao,'12(id)'!$FR$20,FALSE)="","",VLOOKUP(MATCH(B405,tid,0),tao,'12(id)'!$FR$20,FALSE))</f>
        <v>#N/A</v>
      </c>
      <c r="Q405" s="9001"/>
      <c r="R405" s="9205">
        <f>+IF(B393="","",1+R399)</f>
        <v>3</v>
      </c>
      <c r="S405" s="8859"/>
      <c r="T405" s="8872" t="str">
        <f>+IF(VLOOKUP(MATCH(E405,c_id,0),ca,'13(an)'!$BD$34,FALSE)="","",VLOOKUP(MATCH(E405,c_id,0),ca,'13(an)'!$BD$34,FALSE))</f>
        <v>Combination of Control Technologies
LNB + OFA + FGR</v>
      </c>
      <c r="U405" s="8872" t="e">
        <f>+IF(VLOOKUP(MATCH(R405,c_id,0),ca,'13(an)'!$BD$34,FALSE)="","",VLOOKUP(MATCH(R405,c_id,0),ca,'13(an)'!$BD$34,FALSE))</f>
        <v>#N/A</v>
      </c>
      <c r="V405" s="8872" t="e">
        <f>+IF(VLOOKUP(MATCH(S405,c_id,0),ca,'13(an)'!$BD$34,FALSE)="","",VLOOKUP(MATCH(S405,c_id,0),ca,'13(an)'!$BD$34,FALSE))</f>
        <v>#N/A</v>
      </c>
      <c r="W405" s="7556"/>
      <c r="X405" s="8859"/>
      <c r="Y405" s="8872" t="str">
        <f>+T405</f>
        <v>Combination of Control Technologies
LNB + OFA + FGR</v>
      </c>
      <c r="Z405" s="8872"/>
      <c r="AA405" s="8872"/>
      <c r="AB405" s="7557"/>
      <c r="AC405" s="8859"/>
      <c r="AD405" s="8870" t="str">
        <f>+T405</f>
        <v>Combination of Control Technologies
LNB + OFA + FGR</v>
      </c>
      <c r="AE405" s="8870"/>
      <c r="AF405" s="8870"/>
      <c r="AG405" s="7533"/>
      <c r="AH405" s="5962"/>
      <c r="AI405" s="5959"/>
      <c r="AJ405" s="5959"/>
      <c r="AK405" s="5959"/>
      <c r="AL405" s="5959"/>
      <c r="AM405" s="5959"/>
    </row>
    <row r="406" spans="1:39" ht="15" customHeight="1">
      <c r="A406" s="5952"/>
      <c r="B406" s="9035"/>
      <c r="C406" s="8852" t="str">
        <f>+IF(B406="","",VLOOKUP(MATCH(B406,tid,0),tao,'12(id)'!$J$20,FALSE))</f>
        <v/>
      </c>
      <c r="D406" s="8878"/>
      <c r="E406" s="9079"/>
      <c r="F406" s="5952"/>
      <c r="G406" s="5959"/>
      <c r="H406" s="5952"/>
      <c r="I406" s="9070"/>
      <c r="J406" s="8971"/>
      <c r="K406" s="9064"/>
      <c r="L406" s="9001"/>
      <c r="M406" s="9058"/>
      <c r="N406" s="9186"/>
      <c r="O406" s="8985"/>
      <c r="P406" s="9001" t="e">
        <f>+IF(VLOOKUP(MATCH(B406,tid,0),tao,'12(id)'!$FR$20,FALSE)="","",VLOOKUP(MATCH(B406,tid,0),tao,'12(id)'!$FR$20,FALSE))</f>
        <v>#N/A</v>
      </c>
      <c r="Q406" s="9001"/>
      <c r="R406" s="8906"/>
      <c r="S406" s="8818"/>
      <c r="T406" s="8870" t="e">
        <f>+IF(VLOOKUP(MATCH(E406,c_id,0),ca,'13(an)'!$BD$34,FALSE)="","",VLOOKUP(MATCH(E406,c_id,0),ca,'13(an)'!$BD$34,FALSE))</f>
        <v>#N/A</v>
      </c>
      <c r="U406" s="8870" t="e">
        <f>+IF(VLOOKUP(MATCH(R406,c_id,0),ca,'13(an)'!$BD$34,FALSE)="","",VLOOKUP(MATCH(R406,c_id,0),ca,'13(an)'!$BD$34,FALSE))</f>
        <v>#N/A</v>
      </c>
      <c r="V406" s="8870" t="e">
        <f>+IF(VLOOKUP(MATCH(S406,c_id,0),ca,'13(an)'!$BD$34,FALSE)="","",VLOOKUP(MATCH(S406,c_id,0),ca,'13(an)'!$BD$34,FALSE))</f>
        <v>#N/A</v>
      </c>
      <c r="W406" s="7531"/>
      <c r="X406" s="8818"/>
      <c r="Y406" s="8870"/>
      <c r="Z406" s="8870"/>
      <c r="AA406" s="8870"/>
      <c r="AB406" s="7532"/>
      <c r="AC406" s="8818"/>
      <c r="AD406" s="8870"/>
      <c r="AE406" s="8870"/>
      <c r="AF406" s="8870"/>
      <c r="AG406" s="7533"/>
      <c r="AH406" s="5962"/>
      <c r="AI406" s="5959"/>
      <c r="AJ406" s="5959"/>
      <c r="AK406" s="5959"/>
      <c r="AL406" s="5959"/>
      <c r="AM406" s="5959"/>
    </row>
    <row r="407" spans="1:39" ht="15" customHeight="1">
      <c r="A407" s="5952"/>
      <c r="B407" s="9035"/>
      <c r="C407" s="8852" t="str">
        <f>+IF(B407="","",VLOOKUP(MATCH(B407,tid,0),tao,'12(id)'!$J$20,FALSE))</f>
        <v/>
      </c>
      <c r="D407" s="8878"/>
      <c r="E407" s="9079"/>
      <c r="F407" s="5952"/>
      <c r="G407" s="5959"/>
      <c r="H407" s="5952"/>
      <c r="I407" s="9070"/>
      <c r="J407" s="8971"/>
      <c r="K407" s="9064"/>
      <c r="L407" s="9001"/>
      <c r="M407" s="9058"/>
      <c r="N407" s="9186"/>
      <c r="O407" s="8985"/>
      <c r="P407" s="9001" t="e">
        <f>+IF(VLOOKUP(MATCH(B407,tid,0),tao,'12(id)'!$FR$20,FALSE)="","",VLOOKUP(MATCH(B407,tid,0),tao,'12(id)'!$FR$20,FALSE))</f>
        <v>#N/A</v>
      </c>
      <c r="Q407" s="9001"/>
      <c r="R407" s="8906"/>
      <c r="S407" s="8818"/>
      <c r="T407" s="7600" t="str">
        <f>+IF(E405="","",IF(VLOOKUP(MATCH(E405,c_id,0),ca,'13(an)'!$CC$34,FALSE)="",IF(VLOOKUP(MATCH(E405,c_id,0),ca,'13(an)'!$CD$34,FALSE)="",IF(VLOOKUP(MATCH(E405,c_id,0),ca,'13(an)'!$CE$34,FALSE)="","η ≈ N/A","η ≈ "&amp;ROUND(VLOOKUP(MATCH(E405,c_id,0),ca,'13(an)'!$CE$34,FALSE)*100,0)&amp;"%"),"η ≈ "&amp;ROUND(VLOOKUP(MATCH(E405,c_id,0),ca,'13(an)'!$CD$34,FALSE)*100,0)&amp;"%"),"η ≈ "&amp;ROUND(VLOOKUP(MATCH(E405,c_id,0),ca,'13(an)'!$CC$34,FALSE)*100,0)&amp;"%"))</f>
        <v>η ≈ 45%</v>
      </c>
      <c r="U407" s="7601" t="str">
        <f>+IF($U$412="ppmvd",IF(VLOOKUP(MATCH(E405,c_id,0),ca,'13(an)'!$BV$34,FALSE)="","",ROUND(VLOOKUP(MATCH(E405,c_id,0),ca,'13(an)'!$BV$34,FALSE),1)&amp;" ppmvd"),IF(VLOOKUP(MATCH(E405,c_id,0),ca,'13(an)'!$BU$34,FALSE)="","",IF(LEN(ROUND(VLOOKUP(MATCH(E405,c_id,0),ca,'13(an)'!$BU$34,FALSE),3))=3,ROUND(VLOOKUP(MATCH(E405,c_id,0),ca,'13(an)'!$BU$34,FALSE),3)&amp;"00 lb/MMBtu",IF(LEN(ROUND(VLOOKUP(MATCH(E405,c_id,0),ca,'13(an)'!$BU$34,FALSE),3))=4,ROUND(VLOOKUP(MATCH(E405,c_id,0),ca,'13(an)'!$BU$34,FALSE),3)&amp;"0 lb/MMBtu",ROUND(VLOOKUP(MATCH(E405,c_id,0),ca,'13(an)'!$BU$34,FALSE),3)&amp;" lb/MMBtu"))))</f>
        <v/>
      </c>
      <c r="V407" s="7602">
        <f>+IF(E405="","",IF(VLOOKUP(MATCH(E405,c_id,0),ca,'13(an)'!$CB$34,FALSE)="","NOx(R) = N/A",ROUND(VLOOKUP(MATCH(E405,c_id,0),ca,'13(an)'!$CB$34,FALSE),1)))</f>
        <v>1</v>
      </c>
      <c r="W407" s="7534"/>
      <c r="X407" s="8818"/>
      <c r="Y407" s="7603" t="str">
        <f>+IF(E405="","",IF(VLOOKUP(MATCH(E405,c_id,0),ca,'13(an)'!$CM$34,FALSE)="",IF(VLOOKUP(MATCH(E405,c_id,0),ca,'13(an)'!$CN$34,FALSE)="",IF(VLOOKUP(MATCH(E405,c_id,0),ca,'13(an)'!$CO$34,FALSE)="","η ≈ N/A","η ≈ "&amp;ROUND(VLOOKUP(MATCH(E405,c_id,0),ca,'13(an)'!$CO$34,FALSE)*100,0)&amp;"%"),"η ≈ "&amp;ROUND(VLOOKUP(MATCH(E405,c_id,0),ca,'13(an)'!$CN$34,FALSE)*100,0)&amp;"%"),"η ≈ "&amp;ROUND(VLOOKUP(MATCH(E405,c_id,0),ca,'13(an)'!$CM$34,FALSE)*100,0)&amp;"%"))</f>
        <v>η ≈ 45%</v>
      </c>
      <c r="Z407" s="7604" t="str">
        <f>+IF($Z$412="ppmvd",IF(VLOOKUP(MATCH(E405,c_id,0),ca,'13(an)'!$CJ$34,FALSE)="","",ROUND(VLOOKUP(MATCH(E405,c_id,0),ca,'13(an)'!$CJ$34,FALSE),1)&amp;" ppmvd"),IF(VLOOKUP(MATCH(E405,c_id,0),ca,'13(an)'!$CI$34,FALSE)="","",IF(LEN(ROUND(VLOOKUP(MATCH(E405,c_id,0),ca,'13(an)'!$CI$34,FALSE),3))=3,ROUND(VLOOKUP(MATCH(E405,c_id,0),ca,'13(an)'!$CI$34,FALSE),3)&amp;"00 lb/MMBtu",IF(LEN(ROUND(VLOOKUP(MATCH(E405,c_id,0),ca,'13(an)'!$CI$34,FALSE),3))=4,ROUND(VLOOKUP(MATCH(E405,c_id,0),ca,'13(an)'!$CI$34,FALSE),3)&amp;"0 lb/MMBtu",ROUND(VLOOKUP(MATCH(E405,c_id,0),ca,'13(an)'!$CI$34,FALSE),3)&amp;" lb/MMBtu"))))</f>
        <v>0.152 lb/MMBtu</v>
      </c>
      <c r="AA407" s="7605">
        <f>+IF(E405="","",IF(VLOOKUP(MATCH(E405,c_id,0),ca,'13(an)'!$CL$34,FALSE)="","NOx(R) = N/A",ROUND(VLOOKUP(MATCH(E405,c_id,0),ca,'13(an)'!$CL$34,FALSE),1)))</f>
        <v>5.3</v>
      </c>
      <c r="AB407" s="7535"/>
      <c r="AC407" s="8818"/>
      <c r="AD407" s="7603" t="str">
        <f>+IF(E405="","",IF(VLOOKUP(MATCH(E405,c_id,0),ca,'13(an)'!$CM$34,FALSE)="",IF(VLOOKUP(MATCH(E405,c_id,0),ca,'13(an)'!$CN$34,FALSE)="",IF(VLOOKUP(MATCH(E405,c_id,0),ca,'13(an)'!$CO$34,FALSE)="","η ≈ N/A","η ≈ "&amp;ROUND(VLOOKUP(MATCH(E405,c_id,0),ca,'13(an)'!$CO$34,FALSE)*100,0)&amp;"%"),"η ≈ "&amp;ROUND(VLOOKUP(MATCH(E405,c_id,0),ca,'13(an)'!$CN$34,FALSE)*100,0)&amp;"%"),"η ≈ "&amp;ROUND(VLOOKUP(MATCH(E405,c_id,0),ca,'13(an)'!$CM$34,FALSE)*100,0)&amp;"%"))</f>
        <v>η ≈ 45%</v>
      </c>
      <c r="AE407" s="7604" t="str">
        <f>+IF($AE$412="ppmvd",IF(VLOOKUP(MATCH(E405,c_id,0),ca,'13(an)'!$CJ$34,FALSE)="","",ROUND(VLOOKUP(MATCH(E405,c_id,0),ca,'13(an)'!$CJ$34,FALSE),1)&amp;" ppmvd"),IF(VLOOKUP(MATCH(E405,c_id,0),ca,'13(an)'!$CI$34,FALSE)="","",IF(LEN(ROUND(VLOOKUP(MATCH(E405,c_id,0),ca,'13(an)'!$CI$34,FALSE),3))=3,ROUND(VLOOKUP(MATCH(E405,c_id,0),ca,'13(an)'!$CI$34,FALSE),3)&amp;"00 lb/MMBtu",IF(LEN(ROUND(VLOOKUP(MATCH(E405,c_id,0),ca,'13(an)'!$CI$34,FALSE),3))=4,ROUND(VLOOKUP(MATCH(E405,c_id,0),ca,'13(an)'!$CI$34,FALSE),3)&amp;"0 lb/MMBtu",ROUND(VLOOKUP(MATCH(E405,c_id,0),ca,'13(an)'!$CI$34,FALSE),3)&amp;" lb/MMBtu"))))</f>
        <v>0.152 lb/MMBtu</v>
      </c>
      <c r="AF407" s="7605">
        <f>+IF(E405="","",IF(VLOOKUP(MATCH(E405,c_id,0),ca,'13(an)'!$CL$34,FALSE)="","NOx(R) = N/A",ROUND(VLOOKUP(MATCH(E405,c_id,0),ca,'13(an)'!$CL$34,FALSE),1)))</f>
        <v>5.3</v>
      </c>
      <c r="AG407" s="7536"/>
      <c r="AH407" s="5962"/>
      <c r="AI407" s="5959"/>
      <c r="AJ407" s="5959"/>
      <c r="AK407" s="5959"/>
      <c r="AL407" s="5959"/>
      <c r="AM407" s="5959"/>
    </row>
    <row r="408" spans="1:39" ht="15" customHeight="1">
      <c r="A408" s="5952"/>
      <c r="B408" s="9035"/>
      <c r="C408" s="8852" t="str">
        <f>+IF(B408="","",VLOOKUP(MATCH(B408,tid,0),tao,'12(id)'!$J$20,FALSE))</f>
        <v/>
      </c>
      <c r="D408" s="8878"/>
      <c r="E408" s="9079"/>
      <c r="F408" s="5952"/>
      <c r="G408" s="5959"/>
      <c r="H408" s="5952"/>
      <c r="I408" s="9070"/>
      <c r="J408" s="8971"/>
      <c r="K408" s="9064"/>
      <c r="L408" s="9001"/>
      <c r="M408" s="9058"/>
      <c r="N408" s="9186"/>
      <c r="O408" s="8985"/>
      <c r="P408" s="9001" t="e">
        <f>+IF(VLOOKUP(MATCH(B408,tid,0),tao,'12(id)'!$FR$20,FALSE)="","",VLOOKUP(MATCH(B408,tid,0),tao,'12(id)'!$FR$20,FALSE))</f>
        <v>#N/A</v>
      </c>
      <c r="Q408" s="9001"/>
      <c r="R408" s="8906"/>
      <c r="S408" s="8818"/>
      <c r="T408" s="7543">
        <f>+IF(VLOOKUP(MATCH(E405,c_id,0),ca,'13(an)'!$GF$34,FALSE)="","",VLOOKUP(MATCH(E405,c_id,0),ca,'13(an)'!$GF$34,FALSE))</f>
        <v>4271527</v>
      </c>
      <c r="U408" s="7570" t="str">
        <f>+IF(T408="","","$ TCC/unit")</f>
        <v>$ TCC/unit</v>
      </c>
      <c r="V408" s="7541" t="str">
        <f>+IF(VLOOKUP(MATCH(E405,c_id,0),ca,'13(an)'!$HA$34,FALSE)="","",VLOOKUP(MATCH(E405,c_id,0),ca,'13(an)'!$HA$34,FALSE))</f>
        <v/>
      </c>
      <c r="W408" s="7540"/>
      <c r="X408" s="8818"/>
      <c r="Y408" s="7543">
        <f>+IF(VLOOKUP(MATCH(E405,c_id,0),ca,'13(an)'!$IA$34,FALSE)="","",VLOOKUP(MATCH(E405,c_id,0),ca,'13(an)'!$IA$34,FALSE))</f>
        <v>4271527</v>
      </c>
      <c r="Z408" s="7570" t="str">
        <f>+IF(Y408="","","$ TCC/unit")</f>
        <v>$ TCC/unit</v>
      </c>
      <c r="AA408" s="7541">
        <f>+IF(Y408="","",$AA$19*Y408)</f>
        <v>320403.5619453761</v>
      </c>
      <c r="AB408" s="7541"/>
      <c r="AC408" s="8818"/>
      <c r="AD408" s="7543">
        <f>+IF(VLOOKUP(MATCH(E405,c_id,0),ca,'13(an)'!$JS$34,FALSE)="","",VLOOKUP(MATCH(E405,c_id,0),ca,'13(an)'!$JS$34,FALSE))</f>
        <v>4271527</v>
      </c>
      <c r="AE408" s="7570" t="str">
        <f>+IF(AD408="","","$ TCC/unit")</f>
        <v>$ TCC/unit</v>
      </c>
      <c r="AF408" s="7541">
        <f>+IF(AD408="","",$AF$19*AD408)</f>
        <v>320403.5619453761</v>
      </c>
      <c r="AG408" s="7542"/>
      <c r="AH408" s="5962"/>
      <c r="AI408" s="5959"/>
      <c r="AJ408" s="5959"/>
      <c r="AK408" s="5959"/>
      <c r="AL408" s="5959"/>
      <c r="AM408" s="5959"/>
    </row>
    <row r="409" spans="1:39" ht="15" customHeight="1">
      <c r="A409" s="5952"/>
      <c r="B409" s="9035"/>
      <c r="C409" s="8852" t="str">
        <f>+IF(B409="","",VLOOKUP(MATCH(B409,tid,0),tao,'12(id)'!$J$20,FALSE))</f>
        <v/>
      </c>
      <c r="D409" s="8878"/>
      <c r="E409" s="9079"/>
      <c r="F409" s="5952"/>
      <c r="G409" s="5959"/>
      <c r="H409" s="5952"/>
      <c r="I409" s="9070"/>
      <c r="J409" s="8971"/>
      <c r="K409" s="9064"/>
      <c r="L409" s="9001"/>
      <c r="M409" s="9058"/>
      <c r="N409" s="9186"/>
      <c r="O409" s="8985"/>
      <c r="P409" s="9001" t="e">
        <f>+IF(VLOOKUP(MATCH(B409,tid,0),tao,'12(id)'!$FR$20,FALSE)="","",VLOOKUP(MATCH(B409,tid,0),tao,'12(id)'!$FR$20,FALSE))</f>
        <v>#N/A</v>
      </c>
      <c r="Q409" s="9001"/>
      <c r="R409" s="8906"/>
      <c r="S409" s="8818"/>
      <c r="T409" s="7543">
        <f>+IF(OR(T408="",N393=""),"",T408/N393)</f>
        <v>25126.629411764705</v>
      </c>
      <c r="U409" s="8820" t="str">
        <f>+IF(T409="","","$ TCC / MW nominal capacity")</f>
        <v>$ TCC / MW nominal capacity</v>
      </c>
      <c r="V409" s="8820"/>
      <c r="W409" s="7544"/>
      <c r="X409" s="8818"/>
      <c r="Y409" s="7543">
        <f>+IF(Y408="","",IF(ISERROR(Y408/N393),"N/A",Y408/N393))</f>
        <v>25126.629411764705</v>
      </c>
      <c r="Z409" s="8820" t="str">
        <f>+IF(Y409="","","$ TCC / MW nominal capacity")</f>
        <v>$ TCC / MW nominal capacity</v>
      </c>
      <c r="AA409" s="8820"/>
      <c r="AB409" s="7545"/>
      <c r="AC409" s="8818"/>
      <c r="AD409" s="7543">
        <f>+IF(AD408="","",IF(ISERROR(AD408/N393),"N/A",AD408/N393))</f>
        <v>25126.629411764705</v>
      </c>
      <c r="AE409" s="8820" t="str">
        <f>+IF(AD409="","","$ TCC / MW nominal capacity")</f>
        <v>$ TCC / MW nominal capacity</v>
      </c>
      <c r="AF409" s="8820"/>
      <c r="AG409" s="7546"/>
      <c r="AH409" s="5962"/>
      <c r="AI409" s="5959"/>
      <c r="AJ409" s="5959"/>
      <c r="AK409" s="5959"/>
      <c r="AL409" s="5959"/>
      <c r="AM409" s="5959"/>
    </row>
    <row r="410" spans="1:39" ht="15" customHeight="1">
      <c r="A410" s="5952"/>
      <c r="B410" s="9062"/>
      <c r="C410" s="8852" t="str">
        <f>+IF(B410="","",VLOOKUP(MATCH(B410,tid,0),tao,'12(id)'!$J$20,FALSE))</f>
        <v/>
      </c>
      <c r="D410" s="8879"/>
      <c r="E410" s="9080"/>
      <c r="F410" s="5952"/>
      <c r="G410" s="5959"/>
      <c r="H410" s="5952"/>
      <c r="I410" s="9071"/>
      <c r="J410" s="8971"/>
      <c r="K410" s="9064"/>
      <c r="L410" s="9001"/>
      <c r="M410" s="9184"/>
      <c r="N410" s="9187"/>
      <c r="O410" s="9130"/>
      <c r="P410" s="9027" t="e">
        <f>+IF(VLOOKUP(MATCH(B410,tid,0),tao,'12(id)'!$FR$20,FALSE)="","",VLOOKUP(MATCH(B410,tid,0),tao,'12(id)'!$FR$20,FALSE))</f>
        <v>#N/A</v>
      </c>
      <c r="Q410" s="9027"/>
      <c r="R410" s="8981"/>
      <c r="S410" s="8819"/>
      <c r="T410" s="7590">
        <f>+IF(VLOOKUP(MATCH(E405,c_id,0),ca,'13(an)'!$HF$34,FALSE)="","",VLOOKUP(MATCH(E405,c_id,0),ca,'13(an)'!$HF$34,FALSE))</f>
        <v>122660</v>
      </c>
      <c r="U410" s="8829" t="str">
        <f>IF(T410="","","$ /ton "&amp;"NOx(R)")</f>
        <v>$ /ton NOx(R)</v>
      </c>
      <c r="V410" s="8829"/>
      <c r="W410" s="7730"/>
      <c r="X410" s="8819"/>
      <c r="Y410" s="7590">
        <f>+IF(VLOOKUP(MATCH(E405,c_id,0),ca,'13(an)'!$JE$34,FALSE)="","",VLOOKUP(MATCH(E405,c_id,0),ca,'13(an)'!$JE$34,FALSE))</f>
        <v>60339.653850353301</v>
      </c>
      <c r="Z410" s="7749" t="str">
        <f>IF(Y410="","","$ /ton "&amp;"NOx(R)")</f>
        <v>$ /ton NOx(R)</v>
      </c>
      <c r="AA410" s="7749" t="s">
        <v>2500</v>
      </c>
      <c r="AB410" s="7592"/>
      <c r="AC410" s="8819"/>
      <c r="AD410" s="7590">
        <f>+IF(VLOOKUP(MATCH(E405,c_id,0),ca,'13(an)'!$LB$34,FALSE)="","",VLOOKUP(MATCH(E405,c_id,0),ca,'13(an)'!$LB$34,FALSE))</f>
        <v>111646.4410486432</v>
      </c>
      <c r="AE410" s="8829" t="str">
        <f>IF(AD410="","","$ /ton "&amp;"NOx(R)")</f>
        <v>$ /ton NOx(R)</v>
      </c>
      <c r="AF410" s="8829"/>
      <c r="AG410" s="7732"/>
      <c r="AH410" s="5962"/>
      <c r="AI410" s="5959"/>
      <c r="AJ410" s="5959"/>
      <c r="AK410" s="5959"/>
      <c r="AL410" s="5959"/>
      <c r="AM410" s="5959"/>
    </row>
    <row r="411" spans="1:39" ht="50.1" customHeight="1" thickBot="1">
      <c r="A411" s="5952"/>
      <c r="B411" s="7750" t="str">
        <f>+IF('12(id)'!A59="","",'12(id)'!A59)</f>
        <v>8305-03</v>
      </c>
      <c r="C411" s="8882" t="str">
        <f>+IF(B411="","",VLOOKUP(MATCH(B411,tid,0),tao,'12(id)'!$J$20,FALSE))</f>
        <v>PSEG</v>
      </c>
      <c r="D411" s="7751" t="str">
        <f>+IF(B411="","",M411)</f>
        <v>BHB3</v>
      </c>
      <c r="E411" s="7752" t="str">
        <f>+IF(B411="","",B411&amp;IF(ISERR(VALUE(R411)),"-01",IF(R411&lt;10,"-0"&amp;R411,"-"&amp;R411)))</f>
        <v>8305-03-01</v>
      </c>
      <c r="F411" s="5952"/>
      <c r="G411" s="5959"/>
      <c r="H411" s="5952"/>
      <c r="I411" s="7753">
        <f>1+I393</f>
        <v>10</v>
      </c>
      <c r="J411" s="9061" t="str">
        <f>+IF(VLOOKUP(MATCH(B411,tid,0),tao,'12(id)'!$I$20,FALSE)="","",VLOOKUP(MATCH(B411,tid,0),tao,'12(id)'!$I$20,FALSE))</f>
        <v/>
      </c>
      <c r="K411" s="9065">
        <f>+IF(VLOOKUP(MATCH(B411,tid,0),tao,'12(id)'!$K$20,FALSE)="","",VLOOKUP(MATCH(B411,tid,0),tao,'12(id)'!$K$20,FALSE))</f>
        <v>8305</v>
      </c>
      <c r="L411" s="9002" t="str">
        <f>+IF(VLOOKUP(MATCH(B411,tid,0),tao,'12(id)'!$L$20,FALSE)="","",VLOOKUP(MATCH(B411,tid,0),tao,'12(id)'!$L$20,FALSE))</f>
        <v>Bridgeport Harbor Station</v>
      </c>
      <c r="M411" s="7754" t="str">
        <f>+IF(B411="","",IF(VLOOKUP(MATCH(B411,tid,0),tao,'12(id)'!$Q$20,FALSE)="","",VLOOKUP(MATCH(B411,tid,0),tao,'12(id)'!$Q$20,FALSE)))</f>
        <v>BHB3</v>
      </c>
      <c r="N411" s="7755">
        <f>+IF(B411="","",IF(VLOOKUP(MATCH(B411,tid,0),tao,'12(id)'!$CT$20,FALSE)="","",VLOOKUP(MATCH(B411,tid,0),tao,'12(id)'!$CT$20,FALSE)))</f>
        <v>410</v>
      </c>
      <c r="O411" s="7756" t="str">
        <f ca="1">+IF(B411="","",IF(VLOOKUP(MATCH(B411,tid,0),tao,'12(id)'!$DE$20,FALSE)="","",ROUND(VLOOKUP(MATCH(B411,tid,0),tao,'12(id)'!$DE$20,FALSE),0)&amp;" yrs"))</f>
        <v>46 yrs</v>
      </c>
      <c r="P411" s="7757" t="str">
        <f>+IF(B411="","",IF(VLOOKUP(MATCH(B411,tid,0),tao,'12(id)'!$FR$20,FALSE)="","",VLOOKUP(MATCH(B411,tid,0),tao,'12(id)'!$FR$20,FALSE)))</f>
        <v>None</v>
      </c>
      <c r="Q411" s="7757" t="str">
        <f>+IF(B411="","",IF(VLOOKUP(MATCH(B411,tid,0),tao,'12(id)'!$DI$20,FALSE)="","",VLOOKUP(MATCH(B411,tid,0),tao,'12(id)'!$DI$20,FALSE))&amp;";  "&amp;IF(VLOOKUP(MATCH(B411,tid,0),tao,'12(id)'!$DQ$20,FALSE)="","",VLOOKUP(MATCH(B411,tid,0),tao,'12(id)'!$DQ$20,FALSE)))</f>
        <v>Coal;  No. 6 oil</v>
      </c>
      <c r="R411" s="9203" t="s">
        <v>2131</v>
      </c>
      <c r="S411" s="9204"/>
      <c r="T411" s="9204"/>
      <c r="U411" s="9204"/>
      <c r="V411" s="9204"/>
      <c r="W411" s="9204"/>
      <c r="X411" s="9204"/>
      <c r="Y411" s="9204"/>
      <c r="Z411" s="9204"/>
      <c r="AA411" s="9204"/>
      <c r="AB411" s="9204"/>
      <c r="AC411" s="9204"/>
      <c r="AD411" s="9103"/>
      <c r="AE411" s="9103"/>
      <c r="AF411" s="9103"/>
      <c r="AG411" s="7758"/>
      <c r="AH411" s="5962"/>
      <c r="AI411" s="5959"/>
      <c r="AJ411" s="5959"/>
      <c r="AK411" s="5959"/>
      <c r="AL411" s="5959"/>
      <c r="AM411" s="5959"/>
    </row>
    <row r="412" spans="1:39" ht="18" customHeight="1">
      <c r="A412" s="7450"/>
      <c r="B412" s="7450"/>
      <c r="C412" s="7450"/>
      <c r="D412" s="7466"/>
      <c r="E412" s="7450"/>
      <c r="F412" s="5952"/>
      <c r="G412" s="5959"/>
      <c r="H412" s="5952"/>
      <c r="I412" s="5952"/>
      <c r="J412" s="5952"/>
      <c r="K412" s="5952"/>
      <c r="L412" s="5952"/>
      <c r="M412" s="7466"/>
      <c r="N412" s="5952"/>
      <c r="O412" s="5952"/>
      <c r="P412" s="7450"/>
      <c r="Q412" s="5952"/>
      <c r="R412" s="5952"/>
      <c r="S412" s="5952"/>
      <c r="T412" s="7566" t="s">
        <v>1896</v>
      </c>
      <c r="U412" s="7769" t="s">
        <v>486</v>
      </c>
      <c r="V412" s="7470"/>
      <c r="W412" s="7567"/>
      <c r="X412" s="7519"/>
      <c r="Y412" s="7566" t="s">
        <v>1896</v>
      </c>
      <c r="Z412" s="7769" t="s">
        <v>486</v>
      </c>
      <c r="AA412" s="7470"/>
      <c r="AB412" s="7470"/>
      <c r="AC412" s="7519"/>
      <c r="AD412" s="7566" t="s">
        <v>1896</v>
      </c>
      <c r="AE412" s="7769" t="s">
        <v>486</v>
      </c>
      <c r="AF412" s="7636"/>
      <c r="AG412" s="7470"/>
      <c r="AH412" s="5962"/>
      <c r="AI412" s="5959"/>
      <c r="AJ412" s="5959"/>
      <c r="AK412" s="5959"/>
      <c r="AL412" s="5959"/>
      <c r="AM412" s="5959"/>
    </row>
    <row r="413" spans="1:39">
      <c r="A413" s="7450"/>
      <c r="B413" s="7450"/>
      <c r="C413" s="7450"/>
      <c r="D413" s="7466"/>
      <c r="E413" s="7450"/>
      <c r="F413" s="5952"/>
      <c r="G413" s="5959"/>
      <c r="H413" s="5952"/>
      <c r="I413" s="5952"/>
      <c r="J413" s="5952"/>
      <c r="K413" s="5952"/>
      <c r="L413" s="5952"/>
      <c r="M413" s="7466"/>
      <c r="N413" s="5952"/>
      <c r="O413" s="5952"/>
      <c r="P413" s="7450"/>
      <c r="Q413" s="5952"/>
      <c r="R413" s="5952"/>
      <c r="S413" s="5952"/>
      <c r="T413" s="5963" t="s">
        <v>912</v>
      </c>
      <c r="U413" s="5952"/>
      <c r="V413" s="7467"/>
      <c r="W413" s="7468"/>
      <c r="X413" s="5952"/>
      <c r="Y413" s="5963" t="s">
        <v>912</v>
      </c>
      <c r="Z413" s="5952"/>
      <c r="AA413" s="7467"/>
      <c r="AB413" s="7467"/>
      <c r="AC413" s="5952"/>
      <c r="AD413" s="5963" t="s">
        <v>912</v>
      </c>
      <c r="AE413" s="7470"/>
      <c r="AF413" s="7470"/>
      <c r="AG413" s="7470"/>
      <c r="AH413" s="5962"/>
      <c r="AI413" s="5959"/>
      <c r="AJ413" s="5959"/>
      <c r="AK413" s="5959"/>
      <c r="AL413" s="5959"/>
      <c r="AM413" s="5959"/>
    </row>
    <row r="414" spans="1:39" ht="12.75" customHeight="1">
      <c r="A414" s="7450"/>
      <c r="B414" s="7450"/>
      <c r="C414" s="7450"/>
      <c r="D414" s="7466"/>
      <c r="E414" s="7450"/>
      <c r="F414" s="5952"/>
      <c r="G414" s="5959"/>
      <c r="H414" s="5952"/>
      <c r="I414" s="5952"/>
      <c r="J414" s="5952"/>
      <c r="K414" s="5952"/>
      <c r="L414" s="5952"/>
      <c r="M414" s="7466"/>
      <c r="N414" s="5952"/>
      <c r="O414" s="5952"/>
      <c r="P414" s="7450"/>
      <c r="Q414" s="5952"/>
      <c r="R414" s="5952"/>
      <c r="S414" s="5952"/>
      <c r="T414" s="8945" t="s">
        <v>2505</v>
      </c>
      <c r="U414" s="8945"/>
      <c r="V414" s="8945"/>
      <c r="W414" s="7759"/>
      <c r="X414" s="5952"/>
      <c r="Y414" s="9263" t="s">
        <v>2504</v>
      </c>
      <c r="Z414" s="9263"/>
      <c r="AA414" s="9263"/>
      <c r="AB414" s="7760"/>
      <c r="AC414" s="5952"/>
      <c r="AD414" s="8945" t="s">
        <v>2527</v>
      </c>
      <c r="AE414" s="8945"/>
      <c r="AF414" s="8945"/>
      <c r="AG414" s="8945"/>
      <c r="AH414" s="5962"/>
      <c r="AI414" s="5959"/>
      <c r="AJ414" s="5959"/>
      <c r="AK414" s="5959"/>
      <c r="AL414" s="5959"/>
      <c r="AM414" s="5959"/>
    </row>
    <row r="415" spans="1:39">
      <c r="A415" s="7450"/>
      <c r="B415" s="7450"/>
      <c r="C415" s="7450"/>
      <c r="D415" s="7466"/>
      <c r="E415" s="7450"/>
      <c r="F415" s="5952"/>
      <c r="G415" s="5959"/>
      <c r="H415" s="5952"/>
      <c r="I415" s="5952"/>
      <c r="J415" s="5952"/>
      <c r="K415" s="5952"/>
      <c r="L415" s="5952"/>
      <c r="M415" s="7466"/>
      <c r="N415" s="5952"/>
      <c r="O415" s="5952"/>
      <c r="P415" s="7450"/>
      <c r="Q415" s="5952"/>
      <c r="R415" s="5952"/>
      <c r="S415" s="5952"/>
      <c r="T415" s="8945"/>
      <c r="U415" s="8945"/>
      <c r="V415" s="8945"/>
      <c r="W415" s="7759"/>
      <c r="X415" s="5952"/>
      <c r="Y415" s="9263"/>
      <c r="Z415" s="9263"/>
      <c r="AA415" s="9263"/>
      <c r="AB415" s="7760"/>
      <c r="AC415" s="5952"/>
      <c r="AD415" s="8945"/>
      <c r="AE415" s="8945"/>
      <c r="AF415" s="8945"/>
      <c r="AG415" s="8945"/>
      <c r="AH415" s="5962"/>
      <c r="AI415" s="5959"/>
      <c r="AJ415" s="5959"/>
      <c r="AK415" s="5959"/>
      <c r="AL415" s="5959"/>
      <c r="AM415" s="5959"/>
    </row>
    <row r="416" spans="1:39">
      <c r="A416" s="7450"/>
      <c r="B416" s="7450"/>
      <c r="C416" s="7450"/>
      <c r="D416" s="7466"/>
      <c r="E416" s="7450"/>
      <c r="F416" s="5952"/>
      <c r="G416" s="5959"/>
      <c r="H416" s="5952"/>
      <c r="I416" s="5952"/>
      <c r="J416" s="5952"/>
      <c r="K416" s="5952"/>
      <c r="L416" s="5952"/>
      <c r="M416" s="7466"/>
      <c r="N416" s="5952"/>
      <c r="O416" s="5952"/>
      <c r="P416" s="7450"/>
      <c r="Q416" s="5952"/>
      <c r="R416" s="5952"/>
      <c r="S416" s="5952"/>
      <c r="T416" s="8945"/>
      <c r="U416" s="8945"/>
      <c r="V416" s="8945"/>
      <c r="W416" s="7759"/>
      <c r="X416" s="5952"/>
      <c r="Y416" s="9263"/>
      <c r="Z416" s="9263"/>
      <c r="AA416" s="9263"/>
      <c r="AB416" s="7760"/>
      <c r="AC416" s="5952"/>
      <c r="AD416" s="8945"/>
      <c r="AE416" s="8945"/>
      <c r="AF416" s="8945"/>
      <c r="AG416" s="8945"/>
      <c r="AH416" s="5962"/>
      <c r="AI416" s="5959"/>
      <c r="AJ416" s="5959"/>
      <c r="AK416" s="5959"/>
      <c r="AL416" s="5959"/>
      <c r="AM416" s="5959"/>
    </row>
    <row r="417" spans="1:39">
      <c r="A417" s="7450"/>
      <c r="B417" s="7450"/>
      <c r="C417" s="7450"/>
      <c r="D417" s="7466"/>
      <c r="E417" s="7450"/>
      <c r="F417" s="5952"/>
      <c r="G417" s="5959"/>
      <c r="H417" s="5952"/>
      <c r="I417" s="5952"/>
      <c r="J417" s="5952"/>
      <c r="K417" s="5952"/>
      <c r="L417" s="5952"/>
      <c r="M417" s="7466"/>
      <c r="N417" s="5952"/>
      <c r="O417" s="5952"/>
      <c r="P417" s="7450"/>
      <c r="Q417" s="5952"/>
      <c r="R417" s="5952"/>
      <c r="S417" s="5952"/>
      <c r="T417" s="5952"/>
      <c r="U417" s="5952"/>
      <c r="V417" s="7467"/>
      <c r="W417" s="7468"/>
      <c r="X417" s="5952"/>
      <c r="Y417" s="9263"/>
      <c r="Z417" s="9263"/>
      <c r="AA417" s="9263"/>
      <c r="AB417" s="7760"/>
      <c r="AC417" s="5952"/>
      <c r="AD417" s="5952"/>
      <c r="AE417" s="5952"/>
      <c r="AF417" s="7467"/>
      <c r="AG417" s="7431"/>
      <c r="AH417" s="5962"/>
      <c r="AI417" s="5959"/>
      <c r="AJ417" s="5959"/>
      <c r="AK417" s="5959"/>
      <c r="AL417" s="5959"/>
      <c r="AM417" s="5959"/>
    </row>
    <row r="418" spans="1:39">
      <c r="A418" s="7450"/>
      <c r="B418" s="7450"/>
      <c r="C418" s="7450"/>
      <c r="D418" s="7466"/>
      <c r="E418" s="7450"/>
      <c r="F418" s="5952"/>
      <c r="G418" s="5959"/>
      <c r="H418" s="5952"/>
      <c r="I418" s="5952"/>
      <c r="J418" s="5952"/>
      <c r="K418" s="5952"/>
      <c r="L418" s="5952"/>
      <c r="M418" s="7466"/>
      <c r="N418" s="5952"/>
      <c r="O418" s="5952"/>
      <c r="P418" s="7450"/>
      <c r="Q418" s="5952"/>
      <c r="R418" s="5952"/>
      <c r="S418" s="5952"/>
      <c r="T418" s="5952"/>
      <c r="U418" s="5952"/>
      <c r="V418" s="7467"/>
      <c r="W418" s="7468"/>
      <c r="X418" s="5952"/>
      <c r="Y418" s="7760"/>
      <c r="Z418" s="7760"/>
      <c r="AA418" s="7760"/>
      <c r="AB418" s="7760"/>
      <c r="AC418" s="5952"/>
      <c r="AD418" s="5952"/>
      <c r="AE418" s="5952"/>
      <c r="AF418" s="7467"/>
      <c r="AG418" s="7431"/>
      <c r="AH418" s="5962"/>
      <c r="AI418" s="5959"/>
      <c r="AJ418" s="5959"/>
      <c r="AK418" s="5959"/>
      <c r="AL418" s="5959"/>
      <c r="AM418" s="5959"/>
    </row>
    <row r="419" spans="1:39" s="5959" customFormat="1">
      <c r="A419" s="7450"/>
      <c r="B419" s="7450"/>
      <c r="C419" s="7450"/>
      <c r="D419" s="7466"/>
      <c r="E419" s="7450"/>
      <c r="F419" s="5952"/>
      <c r="H419" s="5952"/>
      <c r="I419" s="5952"/>
      <c r="J419" s="5952"/>
      <c r="K419" s="5952"/>
      <c r="L419" s="5952"/>
      <c r="M419" s="7466"/>
      <c r="N419" s="5952"/>
      <c r="O419" s="5952"/>
      <c r="P419" s="7450"/>
      <c r="Q419" s="5952"/>
      <c r="R419" s="5952"/>
      <c r="S419" s="5952"/>
      <c r="T419" s="5952"/>
      <c r="U419" s="5952"/>
      <c r="V419" s="7467"/>
      <c r="W419" s="7468"/>
      <c r="X419" s="5952"/>
      <c r="Y419" s="5952"/>
      <c r="Z419" s="5952"/>
      <c r="AA419" s="7467"/>
      <c r="AB419" s="7467"/>
      <c r="AC419" s="5952"/>
      <c r="AD419" s="5952"/>
      <c r="AE419" s="5952"/>
      <c r="AF419" s="7467"/>
      <c r="AG419" s="7431"/>
      <c r="AH419" s="5962"/>
    </row>
    <row r="420" spans="1:39" s="5959" customFormat="1">
      <c r="A420" s="7450"/>
      <c r="B420" s="7450"/>
      <c r="C420" s="7450"/>
      <c r="D420" s="7466"/>
      <c r="E420" s="7450"/>
      <c r="F420" s="5952"/>
      <c r="H420" s="5952"/>
      <c r="I420" s="5952"/>
      <c r="J420" s="5952"/>
      <c r="K420" s="5952"/>
      <c r="L420" s="5952"/>
      <c r="M420" s="7466"/>
      <c r="N420" s="5952"/>
      <c r="O420" s="5952"/>
      <c r="P420" s="7450"/>
      <c r="Q420" s="5952"/>
      <c r="R420" s="5952"/>
      <c r="S420" s="5952"/>
      <c r="T420" s="5952"/>
      <c r="U420" s="5952"/>
      <c r="V420" s="7467"/>
      <c r="W420" s="7468"/>
      <c r="X420" s="5952"/>
      <c r="Y420" s="5952"/>
      <c r="Z420" s="5952"/>
      <c r="AA420" s="7467"/>
      <c r="AB420" s="7467"/>
      <c r="AC420" s="5952"/>
      <c r="AD420" s="5952"/>
      <c r="AE420" s="5952"/>
      <c r="AF420" s="7467"/>
      <c r="AG420" s="7431"/>
      <c r="AH420" s="5962"/>
    </row>
    <row r="421" spans="1:39" s="5959" customFormat="1">
      <c r="A421" s="7450"/>
      <c r="B421" s="7450"/>
      <c r="C421" s="7450"/>
      <c r="D421" s="5952"/>
      <c r="E421" s="7450"/>
      <c r="F421" s="5952"/>
      <c r="H421" s="5952"/>
      <c r="I421" s="5952"/>
      <c r="J421" s="5952"/>
      <c r="K421" s="5952"/>
      <c r="L421" s="5952"/>
      <c r="M421" s="5952"/>
      <c r="N421" s="5952"/>
      <c r="O421" s="5952"/>
      <c r="P421" s="7450"/>
      <c r="Q421" s="5952"/>
      <c r="R421" s="5952"/>
      <c r="S421" s="5952"/>
      <c r="T421" s="5952"/>
      <c r="U421" s="5952"/>
      <c r="V421" s="7467"/>
      <c r="W421" s="7467"/>
      <c r="X421" s="5952"/>
      <c r="Y421" s="5952"/>
      <c r="Z421" s="5952"/>
      <c r="AA421" s="7467"/>
      <c r="AB421" s="7467"/>
      <c r="AC421" s="5952"/>
      <c r="AD421" s="5952"/>
      <c r="AE421" s="5952"/>
      <c r="AF421" s="7467"/>
      <c r="AG421" s="7467"/>
      <c r="AH421" s="5952"/>
    </row>
    <row r="422" spans="1:39" s="5959" customFormat="1" ht="219.95" customHeight="1">
      <c r="A422" s="7474"/>
      <c r="B422" s="7474"/>
      <c r="C422" s="7474"/>
      <c r="E422" s="7474"/>
      <c r="P422" s="7474"/>
      <c r="V422" s="7475"/>
      <c r="W422" s="7475"/>
      <c r="AA422" s="7475"/>
      <c r="AB422" s="7475"/>
      <c r="AF422" s="7475"/>
      <c r="AG422" s="7475"/>
    </row>
    <row r="423" spans="1:39" s="5959" customFormat="1" ht="219.95" customHeight="1">
      <c r="A423" s="7474"/>
      <c r="B423" s="7474"/>
      <c r="C423" s="7474"/>
      <c r="E423" s="7474"/>
      <c r="P423" s="7474"/>
      <c r="V423" s="7475"/>
      <c r="W423" s="7475"/>
      <c r="AA423" s="7475"/>
      <c r="AB423" s="7475"/>
      <c r="AF423" s="7475"/>
      <c r="AG423" s="7475"/>
    </row>
    <row r="424" spans="1:39" s="5959" customFormat="1" ht="219.95" customHeight="1">
      <c r="A424" s="7474"/>
      <c r="B424" s="7474"/>
      <c r="C424" s="7474"/>
      <c r="E424" s="7474"/>
      <c r="P424" s="7474"/>
      <c r="V424" s="7475"/>
      <c r="W424" s="7475"/>
      <c r="AA424" s="7475"/>
      <c r="AB424" s="7475"/>
      <c r="AF424" s="7475"/>
      <c r="AG424" s="7475"/>
    </row>
    <row r="425" spans="1:39" s="5959" customFormat="1" ht="219.95" customHeight="1">
      <c r="A425" s="7474"/>
      <c r="B425" s="7474"/>
      <c r="C425" s="7474"/>
      <c r="E425" s="7474"/>
      <c r="P425" s="7474"/>
      <c r="V425" s="7475"/>
      <c r="W425" s="7475"/>
      <c r="AA425" s="7475"/>
      <c r="AB425" s="7475"/>
      <c r="AF425" s="7475"/>
      <c r="AG425" s="7475"/>
    </row>
    <row r="426" spans="1:39" s="5959" customFormat="1" ht="219.95" customHeight="1">
      <c r="A426" s="7474"/>
      <c r="B426" s="7474"/>
      <c r="C426" s="7474"/>
      <c r="E426" s="7474"/>
      <c r="P426" s="7474"/>
      <c r="V426" s="7475"/>
      <c r="W426" s="7475"/>
      <c r="AA426" s="7475"/>
      <c r="AB426" s="7475"/>
      <c r="AF426" s="7475"/>
      <c r="AG426" s="7475"/>
    </row>
    <row r="427" spans="1:39" s="5959" customFormat="1" ht="219.95" customHeight="1">
      <c r="A427" s="7474"/>
      <c r="B427" s="7474"/>
      <c r="C427" s="7474"/>
      <c r="E427" s="7474"/>
      <c r="P427" s="7474"/>
      <c r="V427" s="7475"/>
      <c r="W427" s="7475"/>
      <c r="AA427" s="7475"/>
      <c r="AB427" s="7475"/>
      <c r="AF427" s="7475"/>
      <c r="AG427" s="7475"/>
    </row>
    <row r="428" spans="1:39" s="5959" customFormat="1" ht="219.95" customHeight="1">
      <c r="A428" s="7474"/>
      <c r="B428" s="7474"/>
      <c r="C428" s="7474"/>
      <c r="E428" s="7474"/>
      <c r="P428" s="7474"/>
      <c r="V428" s="7475"/>
      <c r="W428" s="7475"/>
      <c r="AA428" s="7475"/>
      <c r="AB428" s="7475"/>
      <c r="AF428" s="7475"/>
      <c r="AG428" s="7475"/>
    </row>
    <row r="429" spans="1:39" s="5959" customFormat="1" hidden="1">
      <c r="A429" s="7474"/>
      <c r="B429" s="7474"/>
      <c r="C429" s="7474"/>
      <c r="E429" s="7474"/>
      <c r="P429" s="7474"/>
      <c r="V429" s="7475"/>
      <c r="W429" s="7475"/>
      <c r="AA429" s="7475"/>
      <c r="AB429" s="7475"/>
      <c r="AF429" s="7475"/>
      <c r="AG429" s="7475"/>
    </row>
    <row r="430" spans="1:39" s="5959" customFormat="1" hidden="1">
      <c r="A430" s="7474"/>
      <c r="B430" s="7474"/>
      <c r="C430" s="7474"/>
      <c r="E430" s="7474"/>
      <c r="P430" s="7474"/>
      <c r="V430" s="7475"/>
      <c r="W430" s="7475"/>
      <c r="AA430" s="7475"/>
      <c r="AB430" s="7475"/>
      <c r="AF430" s="7475"/>
      <c r="AG430" s="7475"/>
    </row>
    <row r="431" spans="1:39" s="5959" customFormat="1" hidden="1">
      <c r="A431" s="7474"/>
      <c r="B431" s="7474"/>
      <c r="C431" s="7474"/>
      <c r="E431" s="7474"/>
      <c r="P431" s="7474"/>
      <c r="V431" s="7475"/>
      <c r="W431" s="7475"/>
      <c r="AA431" s="7475"/>
      <c r="AB431" s="7475"/>
      <c r="AF431" s="7475"/>
      <c r="AG431" s="7475"/>
    </row>
    <row r="432" spans="1:39" s="5959" customFormat="1" hidden="1">
      <c r="A432" s="7474"/>
      <c r="B432" s="7474"/>
      <c r="C432" s="7474"/>
      <c r="E432" s="7474"/>
      <c r="P432" s="7474"/>
      <c r="V432" s="7475"/>
      <c r="W432" s="7475"/>
      <c r="AA432" s="7475"/>
      <c r="AB432" s="7475"/>
      <c r="AF432" s="7475"/>
      <c r="AG432" s="7475"/>
    </row>
    <row r="433" spans="1:33" s="5959" customFormat="1" hidden="1">
      <c r="A433" s="7474"/>
      <c r="B433" s="7474"/>
      <c r="C433" s="7474"/>
      <c r="E433" s="7474"/>
      <c r="P433" s="7474"/>
      <c r="V433" s="7475"/>
      <c r="W433" s="7475"/>
      <c r="AA433" s="7475"/>
      <c r="AB433" s="7475"/>
      <c r="AF433" s="7475"/>
      <c r="AG433" s="7475"/>
    </row>
    <row r="434" spans="1:33" s="5959" customFormat="1" hidden="1">
      <c r="A434" s="7474"/>
      <c r="B434" s="7474"/>
      <c r="C434" s="7474"/>
      <c r="E434" s="7474"/>
      <c r="P434" s="7474"/>
      <c r="V434" s="7475"/>
      <c r="W434" s="7475"/>
      <c r="AA434" s="7475"/>
      <c r="AB434" s="7475"/>
      <c r="AF434" s="7475"/>
      <c r="AG434" s="7475"/>
    </row>
    <row r="435" spans="1:33" s="5959" customFormat="1" hidden="1">
      <c r="A435" s="7474"/>
      <c r="B435" s="7474"/>
      <c r="C435" s="7474"/>
      <c r="E435" s="7474"/>
      <c r="P435" s="7474"/>
      <c r="V435" s="7475"/>
      <c r="W435" s="7475"/>
      <c r="AA435" s="7475"/>
      <c r="AB435" s="7475"/>
      <c r="AF435" s="7475"/>
      <c r="AG435" s="7475"/>
    </row>
    <row r="436" spans="1:33" s="5959" customFormat="1" hidden="1">
      <c r="A436" s="7474"/>
      <c r="B436" s="7474"/>
      <c r="C436" s="7474"/>
      <c r="E436" s="7474"/>
      <c r="P436" s="7474"/>
      <c r="V436" s="7475"/>
      <c r="W436" s="7475"/>
      <c r="AA436" s="7475"/>
      <c r="AB436" s="7475"/>
      <c r="AF436" s="7475"/>
      <c r="AG436" s="7475"/>
    </row>
    <row r="437" spans="1:33" s="5959" customFormat="1" hidden="1">
      <c r="A437" s="7474"/>
      <c r="B437" s="7474"/>
      <c r="C437" s="7474"/>
      <c r="E437" s="7474"/>
      <c r="P437" s="7474"/>
      <c r="V437" s="7475"/>
      <c r="W437" s="7475"/>
      <c r="AA437" s="7475"/>
      <c r="AB437" s="7475"/>
      <c r="AF437" s="7475"/>
      <c r="AG437" s="7475"/>
    </row>
    <row r="438" spans="1:33" s="5959" customFormat="1" hidden="1">
      <c r="A438" s="7474"/>
      <c r="B438" s="7474"/>
      <c r="C438" s="7474"/>
      <c r="E438" s="7474"/>
      <c r="P438" s="7474"/>
      <c r="V438" s="7475"/>
      <c r="W438" s="7475"/>
      <c r="AA438" s="7475"/>
      <c r="AB438" s="7475"/>
      <c r="AF438" s="7475"/>
      <c r="AG438" s="7475"/>
    </row>
    <row r="439" spans="1:33" s="5959" customFormat="1" hidden="1">
      <c r="A439" s="7474"/>
      <c r="B439" s="7474"/>
      <c r="C439" s="7474"/>
      <c r="E439" s="7474"/>
      <c r="P439" s="7474"/>
      <c r="V439" s="7475"/>
      <c r="W439" s="7475"/>
      <c r="AA439" s="7475"/>
      <c r="AB439" s="7475"/>
      <c r="AF439" s="7475"/>
      <c r="AG439" s="7475"/>
    </row>
    <row r="440" spans="1:33" s="5959" customFormat="1" hidden="1">
      <c r="A440" s="7474"/>
      <c r="B440" s="7474"/>
      <c r="C440" s="7474"/>
      <c r="E440" s="7474"/>
      <c r="P440" s="7474"/>
      <c r="V440" s="7475"/>
      <c r="W440" s="7475"/>
      <c r="AA440" s="7475"/>
      <c r="AB440" s="7475"/>
      <c r="AF440" s="7475"/>
      <c r="AG440" s="7475"/>
    </row>
    <row r="441" spans="1:33" s="5959" customFormat="1" hidden="1">
      <c r="A441" s="7474"/>
      <c r="B441" s="7474"/>
      <c r="C441" s="7474"/>
      <c r="E441" s="7474"/>
      <c r="P441" s="7474"/>
      <c r="V441" s="7475"/>
      <c r="W441" s="7475"/>
      <c r="AA441" s="7475"/>
      <c r="AB441" s="7475"/>
      <c r="AF441" s="7475"/>
      <c r="AG441" s="7475"/>
    </row>
    <row r="442" spans="1:33" s="5959" customFormat="1" hidden="1">
      <c r="A442" s="7474"/>
      <c r="B442" s="7474"/>
      <c r="C442" s="7474"/>
      <c r="E442" s="7474"/>
      <c r="P442" s="7474"/>
      <c r="V442" s="7475"/>
      <c r="W442" s="7475"/>
      <c r="AA442" s="7475"/>
      <c r="AB442" s="7475"/>
      <c r="AF442" s="7475"/>
      <c r="AG442" s="7475"/>
    </row>
    <row r="443" spans="1:33" s="5959" customFormat="1" hidden="1">
      <c r="A443" s="7474"/>
      <c r="B443" s="7474"/>
      <c r="C443" s="7474"/>
      <c r="E443" s="7474"/>
      <c r="P443" s="7474"/>
      <c r="V443" s="7475"/>
      <c r="W443" s="7475"/>
      <c r="AA443" s="7475"/>
      <c r="AB443" s="7475"/>
      <c r="AF443" s="7475"/>
      <c r="AG443" s="7475"/>
    </row>
    <row r="444" spans="1:33" s="5959" customFormat="1" hidden="1">
      <c r="A444" s="7474"/>
      <c r="B444" s="7474"/>
      <c r="C444" s="7474"/>
      <c r="E444" s="7474"/>
      <c r="P444" s="7474"/>
      <c r="V444" s="7475"/>
      <c r="W444" s="7475"/>
      <c r="AA444" s="7475"/>
      <c r="AB444" s="7475"/>
      <c r="AF444" s="7475"/>
      <c r="AG444" s="7475"/>
    </row>
    <row r="445" spans="1:33" s="5959" customFormat="1" hidden="1">
      <c r="A445" s="7474"/>
      <c r="B445" s="7474"/>
      <c r="C445" s="7474"/>
      <c r="E445" s="7474"/>
      <c r="P445" s="7474"/>
      <c r="V445" s="7475"/>
      <c r="W445" s="7475"/>
      <c r="AA445" s="7475"/>
      <c r="AB445" s="7475"/>
      <c r="AF445" s="7475"/>
      <c r="AG445" s="7475"/>
    </row>
    <row r="446" spans="1:33" s="5959" customFormat="1" hidden="1">
      <c r="A446" s="7474"/>
      <c r="B446" s="7474"/>
      <c r="C446" s="7474"/>
      <c r="E446" s="7474"/>
      <c r="P446" s="7474"/>
      <c r="V446" s="7475"/>
      <c r="W446" s="7475"/>
      <c r="AA446" s="7475"/>
      <c r="AB446" s="7475"/>
      <c r="AF446" s="7475"/>
      <c r="AG446" s="7475"/>
    </row>
    <row r="447" spans="1:33" s="5959" customFormat="1" hidden="1">
      <c r="A447" s="7474"/>
      <c r="B447" s="7474"/>
      <c r="C447" s="7474"/>
      <c r="E447" s="7474"/>
      <c r="P447" s="7474"/>
      <c r="V447" s="7475"/>
      <c r="W447" s="7475"/>
      <c r="AA447" s="7475"/>
      <c r="AB447" s="7475"/>
      <c r="AF447" s="7475"/>
      <c r="AG447" s="7475"/>
    </row>
    <row r="448" spans="1:33" s="5959" customFormat="1" hidden="1">
      <c r="A448" s="7474"/>
      <c r="B448" s="7474"/>
      <c r="C448" s="7474"/>
      <c r="E448" s="7474"/>
      <c r="P448" s="7474"/>
      <c r="V448" s="7475"/>
      <c r="W448" s="7475"/>
      <c r="AA448" s="7475"/>
      <c r="AB448" s="7475"/>
      <c r="AF448" s="7475"/>
      <c r="AG448" s="7475"/>
    </row>
    <row r="449" spans="1:33" s="5959" customFormat="1" hidden="1">
      <c r="A449" s="7474"/>
      <c r="B449" s="7474"/>
      <c r="C449" s="7474"/>
      <c r="E449" s="7474"/>
      <c r="P449" s="7474"/>
      <c r="V449" s="7475"/>
      <c r="W449" s="7475"/>
      <c r="AA449" s="7475"/>
      <c r="AB449" s="7475"/>
      <c r="AF449" s="7475"/>
      <c r="AG449" s="7475"/>
    </row>
    <row r="450" spans="1:33" s="5959" customFormat="1" hidden="1">
      <c r="A450" s="7474"/>
      <c r="B450" s="7474"/>
      <c r="C450" s="7474"/>
      <c r="E450" s="7474"/>
      <c r="P450" s="7474"/>
      <c r="V450" s="7475"/>
      <c r="W450" s="7475"/>
      <c r="AA450" s="7475"/>
      <c r="AB450" s="7475"/>
      <c r="AF450" s="7475"/>
      <c r="AG450" s="7475"/>
    </row>
    <row r="451" spans="1:33" s="5959" customFormat="1" hidden="1">
      <c r="A451" s="7474"/>
      <c r="B451" s="7474"/>
      <c r="C451" s="7474"/>
      <c r="E451" s="7474"/>
      <c r="P451" s="7474"/>
      <c r="V451" s="7475"/>
      <c r="W451" s="7475"/>
      <c r="AA451" s="7475"/>
      <c r="AB451" s="7475"/>
      <c r="AF451" s="7475"/>
      <c r="AG451" s="7475"/>
    </row>
    <row r="452" spans="1:33" s="5959" customFormat="1" hidden="1">
      <c r="A452" s="7474"/>
      <c r="B452" s="7474"/>
      <c r="C452" s="7474"/>
      <c r="E452" s="7474"/>
      <c r="P452" s="7474"/>
      <c r="V452" s="7475"/>
      <c r="W452" s="7475"/>
      <c r="AA452" s="7475"/>
      <c r="AB452" s="7475"/>
      <c r="AF452" s="7475"/>
      <c r="AG452" s="7475"/>
    </row>
    <row r="453" spans="1:33" s="5959" customFormat="1" hidden="1">
      <c r="A453" s="7474"/>
      <c r="B453" s="7474"/>
      <c r="C453" s="7474"/>
      <c r="E453" s="7474"/>
      <c r="P453" s="7474"/>
      <c r="V453" s="7475"/>
      <c r="W453" s="7475"/>
      <c r="AA453" s="7475"/>
      <c r="AB453" s="7475"/>
      <c r="AF453" s="7475"/>
      <c r="AG453" s="7475"/>
    </row>
    <row r="454" spans="1:33" s="5959" customFormat="1" hidden="1">
      <c r="A454" s="7474"/>
      <c r="B454" s="7474"/>
      <c r="C454" s="7474"/>
      <c r="E454" s="7474"/>
      <c r="P454" s="7474"/>
      <c r="V454" s="7475"/>
      <c r="W454" s="7475"/>
      <c r="AA454" s="7475"/>
      <c r="AB454" s="7475"/>
      <c r="AF454" s="7475"/>
      <c r="AG454" s="7475"/>
    </row>
    <row r="455" spans="1:33" s="5959" customFormat="1" hidden="1">
      <c r="A455" s="7474"/>
      <c r="B455" s="7474"/>
      <c r="C455" s="7474"/>
      <c r="E455" s="7474"/>
      <c r="P455" s="7474"/>
      <c r="V455" s="7475"/>
      <c r="W455" s="7475"/>
      <c r="AA455" s="7475"/>
      <c r="AB455" s="7475"/>
      <c r="AF455" s="7475"/>
      <c r="AG455" s="7475"/>
    </row>
    <row r="456" spans="1:33" s="5959" customFormat="1" hidden="1">
      <c r="A456" s="7474"/>
      <c r="B456" s="7474"/>
      <c r="C456" s="7474"/>
      <c r="E456" s="7474"/>
      <c r="P456" s="7474"/>
      <c r="V456" s="7475"/>
      <c r="W456" s="7475"/>
      <c r="AA456" s="7475"/>
      <c r="AB456" s="7475"/>
      <c r="AF456" s="7475"/>
      <c r="AG456" s="7475"/>
    </row>
    <row r="457" spans="1:33" s="5959" customFormat="1" hidden="1">
      <c r="A457" s="7474"/>
      <c r="B457" s="7474"/>
      <c r="C457" s="7474"/>
      <c r="E457" s="7474"/>
      <c r="P457" s="7474"/>
      <c r="V457" s="7475"/>
      <c r="W457" s="7475"/>
      <c r="AA457" s="7475"/>
      <c r="AB457" s="7475"/>
      <c r="AF457" s="7475"/>
      <c r="AG457" s="7475"/>
    </row>
    <row r="458" spans="1:33" s="5959" customFormat="1" hidden="1">
      <c r="A458" s="7474"/>
      <c r="B458" s="7474"/>
      <c r="C458" s="7474"/>
      <c r="E458" s="7474"/>
      <c r="P458" s="7474"/>
      <c r="V458" s="7475"/>
      <c r="W458" s="7475"/>
      <c r="AA458" s="7475"/>
      <c r="AB458" s="7475"/>
      <c r="AF458" s="7475"/>
      <c r="AG458" s="7475"/>
    </row>
    <row r="459" spans="1:33" s="5959" customFormat="1" hidden="1">
      <c r="A459" s="7474"/>
      <c r="B459" s="7474"/>
      <c r="C459" s="7474"/>
      <c r="E459" s="7474"/>
      <c r="P459" s="7474"/>
      <c r="V459" s="7475"/>
      <c r="W459" s="7475"/>
      <c r="AA459" s="7475"/>
      <c r="AB459" s="7475"/>
      <c r="AF459" s="7475"/>
      <c r="AG459" s="7475"/>
    </row>
    <row r="460" spans="1:33" s="5959" customFormat="1" hidden="1">
      <c r="A460" s="7474"/>
      <c r="B460" s="7474"/>
      <c r="C460" s="7474"/>
      <c r="E460" s="7474"/>
      <c r="P460" s="7474"/>
      <c r="V460" s="7475"/>
      <c r="W460" s="7475"/>
      <c r="AA460" s="7475"/>
      <c r="AB460" s="7475"/>
      <c r="AF460" s="7475"/>
      <c r="AG460" s="7475"/>
    </row>
    <row r="461" spans="1:33" s="5959" customFormat="1" hidden="1">
      <c r="A461" s="7474"/>
      <c r="B461" s="7474"/>
      <c r="C461" s="7474"/>
      <c r="E461" s="7474"/>
      <c r="P461" s="7474"/>
      <c r="V461" s="7475"/>
      <c r="W461" s="7475"/>
      <c r="AA461" s="7475"/>
      <c r="AB461" s="7475"/>
      <c r="AF461" s="7475"/>
      <c r="AG461" s="7475"/>
    </row>
    <row r="462" spans="1:33" s="5959" customFormat="1" hidden="1">
      <c r="A462" s="7474"/>
      <c r="B462" s="7474"/>
      <c r="C462" s="7474"/>
      <c r="E462" s="7474"/>
      <c r="P462" s="7474"/>
      <c r="V462" s="7475"/>
      <c r="W462" s="7475"/>
      <c r="AA462" s="7475"/>
      <c r="AB462" s="7475"/>
      <c r="AF462" s="7475"/>
      <c r="AG462" s="7475"/>
    </row>
    <row r="463" spans="1:33" s="5959" customFormat="1" hidden="1">
      <c r="A463" s="7474"/>
      <c r="B463" s="7474"/>
      <c r="C463" s="7474"/>
      <c r="E463" s="7474"/>
      <c r="P463" s="7474"/>
      <c r="V463" s="7475"/>
      <c r="W463" s="7475"/>
      <c r="AA463" s="7475"/>
      <c r="AB463" s="7475"/>
      <c r="AF463" s="7475"/>
      <c r="AG463" s="7475"/>
    </row>
    <row r="464" spans="1:33" s="5959" customFormat="1" hidden="1">
      <c r="A464" s="7474"/>
      <c r="B464" s="7474"/>
      <c r="C464" s="7474"/>
      <c r="E464" s="7474"/>
      <c r="P464" s="7474"/>
      <c r="V464" s="7475"/>
      <c r="W464" s="7475"/>
      <c r="AA464" s="7475"/>
      <c r="AB464" s="7475"/>
      <c r="AF464" s="7475"/>
      <c r="AG464" s="7475"/>
    </row>
    <row r="465" spans="1:33" s="5959" customFormat="1" hidden="1">
      <c r="A465" s="7474"/>
      <c r="B465" s="7474"/>
      <c r="C465" s="7474"/>
      <c r="E465" s="7474"/>
      <c r="P465" s="7474"/>
      <c r="V465" s="7475"/>
      <c r="W465" s="7475"/>
      <c r="AA465" s="7475"/>
      <c r="AB465" s="7475"/>
      <c r="AF465" s="7475"/>
      <c r="AG465" s="7475"/>
    </row>
    <row r="466" spans="1:33" s="5959" customFormat="1" hidden="1">
      <c r="A466" s="7474"/>
      <c r="B466" s="7474"/>
      <c r="C466" s="7474"/>
      <c r="E466" s="7474"/>
      <c r="P466" s="7474"/>
      <c r="V466" s="7475"/>
      <c r="W466" s="7475"/>
      <c r="AA466" s="7475"/>
      <c r="AB466" s="7475"/>
      <c r="AF466" s="7475"/>
      <c r="AG466" s="7475"/>
    </row>
    <row r="467" spans="1:33" s="5959" customFormat="1" hidden="1">
      <c r="A467" s="7474"/>
      <c r="B467" s="7474"/>
      <c r="C467" s="7474"/>
      <c r="E467" s="7474"/>
      <c r="P467" s="7474"/>
      <c r="V467" s="7475"/>
      <c r="W467" s="7475"/>
      <c r="AA467" s="7475"/>
      <c r="AB467" s="7475"/>
      <c r="AF467" s="7475"/>
      <c r="AG467" s="7475"/>
    </row>
    <row r="468" spans="1:33" s="5959" customFormat="1" hidden="1">
      <c r="A468" s="7474"/>
      <c r="B468" s="7474"/>
      <c r="C468" s="7474"/>
      <c r="E468" s="7474"/>
      <c r="P468" s="7474"/>
      <c r="V468" s="7475"/>
      <c r="W468" s="7475"/>
      <c r="AA468" s="7475"/>
      <c r="AB468" s="7475"/>
      <c r="AF468" s="7475"/>
      <c r="AG468" s="7475"/>
    </row>
    <row r="469" spans="1:33" s="5959" customFormat="1" hidden="1">
      <c r="A469" s="7474"/>
      <c r="B469" s="7474"/>
      <c r="C469" s="7474"/>
      <c r="E469" s="7474"/>
      <c r="P469" s="7474"/>
      <c r="V469" s="7475"/>
      <c r="W469" s="7475"/>
      <c r="AA469" s="7475"/>
      <c r="AB469" s="7475"/>
      <c r="AF469" s="7475"/>
      <c r="AG469" s="7475"/>
    </row>
    <row r="470" spans="1:33" s="5959" customFormat="1" hidden="1">
      <c r="A470" s="7474"/>
      <c r="B470" s="7474"/>
      <c r="C470" s="7474"/>
      <c r="E470" s="7474"/>
      <c r="P470" s="7474"/>
      <c r="V470" s="7475"/>
      <c r="W470" s="7475"/>
      <c r="AA470" s="7475"/>
      <c r="AB470" s="7475"/>
      <c r="AF470" s="7475"/>
      <c r="AG470" s="7475"/>
    </row>
    <row r="471" spans="1:33" s="5959" customFormat="1" hidden="1">
      <c r="A471" s="7474"/>
      <c r="B471" s="7474"/>
      <c r="C471" s="7474"/>
      <c r="E471" s="7474"/>
      <c r="P471" s="7474"/>
      <c r="V471" s="7475"/>
      <c r="W471" s="7475"/>
      <c r="AA471" s="7475"/>
      <c r="AB471" s="7475"/>
      <c r="AF471" s="7475"/>
      <c r="AG471" s="7475"/>
    </row>
    <row r="472" spans="1:33" s="5959" customFormat="1" hidden="1">
      <c r="A472" s="7474"/>
      <c r="B472" s="7474"/>
      <c r="C472" s="7474"/>
      <c r="E472" s="7474"/>
      <c r="P472" s="7474"/>
      <c r="V472" s="7475"/>
      <c r="W472" s="7475"/>
      <c r="AA472" s="7475"/>
      <c r="AB472" s="7475"/>
      <c r="AF472" s="7475"/>
      <c r="AG472" s="7475"/>
    </row>
    <row r="473" spans="1:33" s="5959" customFormat="1" hidden="1">
      <c r="A473" s="7474"/>
      <c r="B473" s="7474"/>
      <c r="C473" s="7474"/>
      <c r="E473" s="7474"/>
      <c r="P473" s="7474"/>
      <c r="V473" s="7475"/>
      <c r="W473" s="7475"/>
      <c r="AA473" s="7475"/>
      <c r="AB473" s="7475"/>
      <c r="AF473" s="7475"/>
      <c r="AG473" s="7475"/>
    </row>
    <row r="474" spans="1:33" s="5959" customFormat="1" hidden="1">
      <c r="A474" s="7474"/>
      <c r="B474" s="7474"/>
      <c r="C474" s="7474"/>
      <c r="E474" s="7474"/>
      <c r="P474" s="7474"/>
      <c r="V474" s="7475"/>
      <c r="W474" s="7475"/>
      <c r="AA474" s="7475"/>
      <c r="AB474" s="7475"/>
      <c r="AF474" s="7475"/>
      <c r="AG474" s="7475"/>
    </row>
    <row r="475" spans="1:33" s="5959" customFormat="1" hidden="1">
      <c r="A475" s="7474"/>
      <c r="B475" s="7474"/>
      <c r="C475" s="7474"/>
      <c r="E475" s="7474"/>
      <c r="P475" s="7474"/>
      <c r="V475" s="7475"/>
      <c r="W475" s="7475"/>
      <c r="AA475" s="7475"/>
      <c r="AB475" s="7475"/>
      <c r="AF475" s="7475"/>
      <c r="AG475" s="7475"/>
    </row>
    <row r="476" spans="1:33" s="5959" customFormat="1" hidden="1">
      <c r="A476" s="7474"/>
      <c r="B476" s="7474"/>
      <c r="C476" s="7474"/>
      <c r="E476" s="7474"/>
      <c r="P476" s="7474"/>
      <c r="V476" s="7475"/>
      <c r="W476" s="7475"/>
      <c r="AA476" s="7475"/>
      <c r="AB476" s="7475"/>
      <c r="AF476" s="7475"/>
      <c r="AG476" s="7475"/>
    </row>
    <row r="477" spans="1:33" s="5959" customFormat="1" hidden="1">
      <c r="A477" s="7474"/>
      <c r="B477" s="7474"/>
      <c r="C477" s="7474"/>
      <c r="E477" s="7474"/>
      <c r="P477" s="7474"/>
      <c r="V477" s="7475"/>
      <c r="W477" s="7475"/>
      <c r="AA477" s="7475"/>
      <c r="AB477" s="7475"/>
      <c r="AF477" s="7475"/>
      <c r="AG477" s="7475"/>
    </row>
    <row r="478" spans="1:33" s="5959" customFormat="1" hidden="1">
      <c r="A478" s="7474"/>
      <c r="B478" s="7474"/>
      <c r="C478" s="7474"/>
      <c r="E478" s="7474"/>
      <c r="P478" s="7474"/>
      <c r="V478" s="7475"/>
      <c r="W478" s="7475"/>
      <c r="AA478" s="7475"/>
      <c r="AB478" s="7475"/>
      <c r="AF478" s="7475"/>
      <c r="AG478" s="7475"/>
    </row>
    <row r="479" spans="1:33" s="5959" customFormat="1" hidden="1">
      <c r="A479" s="7474"/>
      <c r="B479" s="7474"/>
      <c r="C479" s="7474"/>
      <c r="E479" s="7474"/>
      <c r="P479" s="7474"/>
      <c r="V479" s="7475"/>
      <c r="W479" s="7475"/>
      <c r="AA479" s="7475"/>
      <c r="AB479" s="7475"/>
      <c r="AF479" s="7475"/>
      <c r="AG479" s="7475"/>
    </row>
    <row r="480" spans="1:33" s="5959" customFormat="1" hidden="1">
      <c r="A480" s="7474"/>
      <c r="B480" s="7474"/>
      <c r="C480" s="7474"/>
      <c r="E480" s="7474"/>
      <c r="P480" s="7474"/>
      <c r="V480" s="7475"/>
      <c r="W480" s="7475"/>
      <c r="AA480" s="7475"/>
      <c r="AB480" s="7475"/>
      <c r="AF480" s="7475"/>
      <c r="AG480" s="7475"/>
    </row>
    <row r="481" spans="1:33" s="5959" customFormat="1" hidden="1">
      <c r="A481" s="7474"/>
      <c r="B481" s="7474"/>
      <c r="C481" s="7474"/>
      <c r="E481" s="7474"/>
      <c r="P481" s="7474"/>
      <c r="V481" s="7475"/>
      <c r="W481" s="7475"/>
      <c r="AA481" s="7475"/>
      <c r="AB481" s="7475"/>
      <c r="AF481" s="7475"/>
      <c r="AG481" s="7475"/>
    </row>
    <row r="482" spans="1:33" s="5959" customFormat="1" hidden="1">
      <c r="A482" s="7474"/>
      <c r="B482" s="7474"/>
      <c r="C482" s="7474"/>
      <c r="E482" s="7474"/>
      <c r="P482" s="7474"/>
      <c r="V482" s="7475"/>
      <c r="W482" s="7475"/>
      <c r="AA482" s="7475"/>
      <c r="AB482" s="7475"/>
      <c r="AF482" s="7475"/>
      <c r="AG482" s="7475"/>
    </row>
    <row r="483" spans="1:33" s="5959" customFormat="1" hidden="1">
      <c r="A483" s="7474"/>
      <c r="B483" s="7474"/>
      <c r="C483" s="7474"/>
      <c r="E483" s="7474"/>
      <c r="P483" s="7474"/>
      <c r="V483" s="7475"/>
      <c r="W483" s="7475"/>
      <c r="AA483" s="7475"/>
      <c r="AB483" s="7475"/>
      <c r="AF483" s="7475"/>
      <c r="AG483" s="7475"/>
    </row>
    <row r="484" spans="1:33" s="5959" customFormat="1" hidden="1">
      <c r="A484" s="7474"/>
      <c r="B484" s="7474"/>
      <c r="C484" s="7474"/>
      <c r="E484" s="7474"/>
      <c r="P484" s="7474"/>
      <c r="V484" s="7475"/>
      <c r="W484" s="7475"/>
      <c r="AA484" s="7475"/>
      <c r="AB484" s="7475"/>
      <c r="AF484" s="7475"/>
      <c r="AG484" s="7475"/>
    </row>
    <row r="485" spans="1:33" s="5959" customFormat="1" hidden="1">
      <c r="A485" s="7474"/>
      <c r="B485" s="7474"/>
      <c r="C485" s="7474"/>
      <c r="E485" s="7474"/>
      <c r="P485" s="7474"/>
      <c r="V485" s="7475"/>
      <c r="W485" s="7475"/>
      <c r="AA485" s="7475"/>
      <c r="AB485" s="7475"/>
      <c r="AF485" s="7475"/>
      <c r="AG485" s="7475"/>
    </row>
    <row r="486" spans="1:33" s="5959" customFormat="1" hidden="1">
      <c r="A486" s="7474"/>
      <c r="B486" s="7474"/>
      <c r="C486" s="7474"/>
      <c r="E486" s="7474"/>
      <c r="P486" s="7474"/>
      <c r="V486" s="7475"/>
      <c r="W486" s="7475"/>
      <c r="AA486" s="7475"/>
      <c r="AB486" s="7475"/>
      <c r="AF486" s="7475"/>
      <c r="AG486" s="7475"/>
    </row>
    <row r="487" spans="1:33" s="5959" customFormat="1" hidden="1">
      <c r="A487" s="7474"/>
      <c r="B487" s="7474"/>
      <c r="C487" s="7474"/>
      <c r="E487" s="7474"/>
      <c r="P487" s="7474"/>
      <c r="V487" s="7475"/>
      <c r="W487" s="7475"/>
      <c r="AA487" s="7475"/>
      <c r="AB487" s="7475"/>
      <c r="AF487" s="7475"/>
      <c r="AG487" s="7475"/>
    </row>
    <row r="488" spans="1:33" s="5959" customFormat="1" hidden="1">
      <c r="A488" s="7474"/>
      <c r="B488" s="7474"/>
      <c r="C488" s="7474"/>
      <c r="E488" s="7474"/>
      <c r="P488" s="7474"/>
      <c r="V488" s="7475"/>
      <c r="W488" s="7475"/>
      <c r="AA488" s="7475"/>
      <c r="AB488" s="7475"/>
      <c r="AF488" s="7475"/>
      <c r="AG488" s="7475"/>
    </row>
    <row r="489" spans="1:33" s="5959" customFormat="1" hidden="1">
      <c r="A489" s="7474"/>
      <c r="B489" s="7474"/>
      <c r="C489" s="7474"/>
      <c r="D489" s="7474"/>
      <c r="E489" s="7474"/>
      <c r="P489" s="7474"/>
      <c r="V489" s="7475"/>
      <c r="W489" s="7475"/>
      <c r="AA489" s="7475"/>
      <c r="AB489" s="7475"/>
      <c r="AF489" s="7475"/>
      <c r="AG489" s="7475"/>
    </row>
    <row r="490" spans="1:33" s="5959" customFormat="1" hidden="1">
      <c r="A490" s="7474"/>
      <c r="B490" s="7474"/>
      <c r="C490" s="7474"/>
      <c r="D490" s="7474"/>
      <c r="E490" s="7474"/>
      <c r="P490" s="7474"/>
      <c r="V490" s="7475"/>
      <c r="W490" s="7475"/>
      <c r="AA490" s="7475"/>
      <c r="AB490" s="7475"/>
      <c r="AF490" s="7475"/>
      <c r="AG490" s="7475"/>
    </row>
    <row r="491" spans="1:33" s="5959" customFormat="1" hidden="1">
      <c r="A491" s="7474"/>
      <c r="B491" s="7474"/>
      <c r="C491" s="7474"/>
      <c r="D491" s="7474"/>
      <c r="E491" s="7474"/>
      <c r="P491" s="7474"/>
      <c r="V491" s="7475"/>
      <c r="W491" s="7475"/>
      <c r="AA491" s="7475"/>
      <c r="AB491" s="7475"/>
      <c r="AF491" s="7475"/>
      <c r="AG491" s="7475"/>
    </row>
    <row r="492" spans="1:33" s="5959" customFormat="1" hidden="1">
      <c r="A492" s="7474"/>
      <c r="B492" s="7474"/>
      <c r="C492" s="7474"/>
      <c r="D492" s="7474"/>
      <c r="E492" s="7474"/>
      <c r="P492" s="7474"/>
      <c r="V492" s="7475"/>
      <c r="W492" s="7475"/>
      <c r="AA492" s="7475"/>
      <c r="AB492" s="7475"/>
      <c r="AF492" s="7475"/>
      <c r="AG492" s="7475"/>
    </row>
    <row r="493" spans="1:33" s="5959" customFormat="1" hidden="1">
      <c r="A493" s="7474"/>
      <c r="B493" s="7474"/>
      <c r="C493" s="7474"/>
      <c r="D493" s="7474"/>
      <c r="E493" s="7474"/>
      <c r="P493" s="7474"/>
      <c r="V493" s="7475"/>
      <c r="W493" s="7475"/>
      <c r="AA493" s="7475"/>
      <c r="AB493" s="7475"/>
      <c r="AF493" s="7475"/>
      <c r="AG493" s="7475"/>
    </row>
    <row r="494" spans="1:33" s="5959" customFormat="1" hidden="1">
      <c r="A494" s="7474"/>
      <c r="B494" s="7474"/>
      <c r="C494" s="7474"/>
      <c r="D494" s="7474"/>
      <c r="E494" s="7474"/>
      <c r="P494" s="7474"/>
      <c r="V494" s="7475"/>
      <c r="W494" s="7475"/>
      <c r="AA494" s="7475"/>
      <c r="AB494" s="7475"/>
      <c r="AF494" s="7475"/>
      <c r="AG494" s="7475"/>
    </row>
    <row r="495" spans="1:33" s="5959" customFormat="1" hidden="1">
      <c r="A495" s="7474"/>
      <c r="B495" s="7474"/>
      <c r="C495" s="7474"/>
      <c r="D495" s="7474"/>
      <c r="E495" s="7474"/>
      <c r="P495" s="7474"/>
      <c r="V495" s="7475"/>
      <c r="W495" s="7475"/>
      <c r="AA495" s="7475"/>
      <c r="AB495" s="7475"/>
      <c r="AF495" s="7475"/>
      <c r="AG495" s="7475"/>
    </row>
    <row r="496" spans="1:33" s="5959" customFormat="1" hidden="1">
      <c r="P496" s="7474"/>
      <c r="V496" s="7475"/>
      <c r="W496" s="7475"/>
      <c r="AA496" s="7475"/>
      <c r="AB496" s="7475"/>
      <c r="AF496" s="7475"/>
      <c r="AG496" s="7475"/>
    </row>
    <row r="497" spans="16:33" s="5959" customFormat="1" hidden="1">
      <c r="P497" s="7474"/>
      <c r="V497" s="7475"/>
      <c r="W497" s="7475"/>
      <c r="AA497" s="7475"/>
      <c r="AB497" s="7475"/>
      <c r="AF497" s="7475"/>
      <c r="AG497" s="7475"/>
    </row>
    <row r="498" spans="16:33" s="5959" customFormat="1" hidden="1">
      <c r="P498" s="7474"/>
      <c r="V498" s="7475"/>
      <c r="W498" s="7475"/>
      <c r="AA498" s="7475"/>
      <c r="AB498" s="7475"/>
      <c r="AF498" s="7475"/>
      <c r="AG498" s="7475"/>
    </row>
    <row r="499" spans="16:33" s="5959" customFormat="1" hidden="1">
      <c r="P499" s="7474"/>
      <c r="V499" s="7475"/>
      <c r="W499" s="7475"/>
      <c r="AA499" s="7475"/>
      <c r="AB499" s="7475"/>
      <c r="AF499" s="7475"/>
      <c r="AG499" s="7475"/>
    </row>
    <row r="500" spans="16:33" s="5959" customFormat="1" hidden="1">
      <c r="P500" s="7474"/>
      <c r="V500" s="7475"/>
      <c r="W500" s="7475"/>
      <c r="AA500" s="7475"/>
      <c r="AB500" s="7475"/>
      <c r="AF500" s="7475"/>
      <c r="AG500" s="7475"/>
    </row>
    <row r="501" spans="16:33" s="5959" customFormat="1" hidden="1">
      <c r="P501" s="7474"/>
      <c r="V501" s="7475"/>
      <c r="W501" s="7475"/>
      <c r="AA501" s="7475"/>
      <c r="AB501" s="7475"/>
      <c r="AF501" s="7475"/>
      <c r="AG501" s="7475"/>
    </row>
    <row r="502" spans="16:33" s="5959" customFormat="1" hidden="1">
      <c r="P502" s="7474"/>
      <c r="V502" s="7475"/>
      <c r="W502" s="7475"/>
      <c r="AA502" s="7475"/>
      <c r="AB502" s="7475"/>
      <c r="AF502" s="7475"/>
      <c r="AG502" s="7475"/>
    </row>
    <row r="503" spans="16:33" s="5959" customFormat="1" hidden="1">
      <c r="P503" s="7474"/>
      <c r="V503" s="7475"/>
      <c r="W503" s="7475"/>
      <c r="AA503" s="7475"/>
      <c r="AB503" s="7475"/>
      <c r="AF503" s="7475"/>
      <c r="AG503" s="7475"/>
    </row>
    <row r="504" spans="16:33" hidden="1"/>
    <row r="505" spans="16:33" hidden="1"/>
    <row r="506" spans="16:33" hidden="1"/>
    <row r="507" spans="16:33" hidden="1"/>
    <row r="508" spans="16:33" hidden="1"/>
    <row r="509" spans="16:33" hidden="1"/>
    <row r="510" spans="16:33" hidden="1"/>
    <row r="511" spans="16:33" hidden="1"/>
    <row r="512" spans="16:33"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sheetData>
  <sheetProtection password="C665" sheet="1" objects="1" scenarios="1"/>
  <mergeCells count="1146">
    <mergeCell ref="AE30:AF31"/>
    <mergeCell ref="AD58:AG60"/>
    <mergeCell ref="AE63:AG64"/>
    <mergeCell ref="AE112:AF113"/>
    <mergeCell ref="AE156:AF157"/>
    <mergeCell ref="AE198:AF199"/>
    <mergeCell ref="AE237:AF238"/>
    <mergeCell ref="AC297:AG298"/>
    <mergeCell ref="AD340:AG341"/>
    <mergeCell ref="AD414:AG416"/>
    <mergeCell ref="Y414:AA417"/>
    <mergeCell ref="T414:V416"/>
    <mergeCell ref="K57:Q58"/>
    <mergeCell ref="M158:M169"/>
    <mergeCell ref="T142:V142"/>
    <mergeCell ref="X142:X147"/>
    <mergeCell ref="X158:X163"/>
    <mergeCell ref="Q158:Q169"/>
    <mergeCell ref="X164:X169"/>
    <mergeCell ref="T190:V191"/>
    <mergeCell ref="M239:M241"/>
    <mergeCell ref="M242:M244"/>
    <mergeCell ref="O233:O235"/>
    <mergeCell ref="M230:M232"/>
    <mergeCell ref="N230:N232"/>
    <mergeCell ref="O230:O232"/>
    <mergeCell ref="Q182:Q183"/>
    <mergeCell ref="Q233:Q235"/>
    <mergeCell ref="Q227:Q229"/>
    <mergeCell ref="M212:M223"/>
    <mergeCell ref="N212:N223"/>
    <mergeCell ref="U233:V235"/>
    <mergeCell ref="AC184:AC189"/>
    <mergeCell ref="N224:N226"/>
    <mergeCell ref="AC224:AC235"/>
    <mergeCell ref="U216:V216"/>
    <mergeCell ref="Z216:AA216"/>
    <mergeCell ref="Z189:AA189"/>
    <mergeCell ref="Y190:AA191"/>
    <mergeCell ref="Z204:AA204"/>
    <mergeCell ref="U227:U228"/>
    <mergeCell ref="U231:V232"/>
    <mergeCell ref="V229:V230"/>
    <mergeCell ref="O173:O178"/>
    <mergeCell ref="O206:O211"/>
    <mergeCell ref="AD173:AF174"/>
    <mergeCell ref="AD218:AF219"/>
    <mergeCell ref="T200:V201"/>
    <mergeCell ref="AC200:AC205"/>
    <mergeCell ref="AD224:AF226"/>
    <mergeCell ref="AE217:AF217"/>
    <mergeCell ref="AE223:AF223"/>
    <mergeCell ref="AD231:AD232"/>
    <mergeCell ref="AE231:AF232"/>
    <mergeCell ref="AD212:AF213"/>
    <mergeCell ref="AD190:AF191"/>
    <mergeCell ref="AD200:AF201"/>
    <mergeCell ref="AC190:AC195"/>
    <mergeCell ref="X190:X195"/>
    <mergeCell ref="U210:V210"/>
    <mergeCell ref="AC206:AC211"/>
    <mergeCell ref="AC218:AC223"/>
    <mergeCell ref="Y218:AA219"/>
    <mergeCell ref="T218:V219"/>
    <mergeCell ref="Z222:AA222"/>
    <mergeCell ref="Z217:AA217"/>
    <mergeCell ref="Z223:AA223"/>
    <mergeCell ref="R206:R211"/>
    <mergeCell ref="R200:R205"/>
    <mergeCell ref="R190:R195"/>
    <mergeCell ref="X206:X211"/>
    <mergeCell ref="Z205:AA205"/>
    <mergeCell ref="Z211:AA211"/>
    <mergeCell ref="Y200:AA201"/>
    <mergeCell ref="X218:X223"/>
    <mergeCell ref="U217:V217"/>
    <mergeCell ref="U223:V223"/>
    <mergeCell ref="R212:R217"/>
    <mergeCell ref="S190:S195"/>
    <mergeCell ref="S200:S205"/>
    <mergeCell ref="S206:S211"/>
    <mergeCell ref="Z210:AA210"/>
    <mergeCell ref="S212:S217"/>
    <mergeCell ref="Z195:AA195"/>
    <mergeCell ref="Y184:AA185"/>
    <mergeCell ref="U169:V169"/>
    <mergeCell ref="U163:V163"/>
    <mergeCell ref="Y181:AA183"/>
    <mergeCell ref="Z152:AA152"/>
    <mergeCell ref="X200:X205"/>
    <mergeCell ref="Y206:AA207"/>
    <mergeCell ref="Y212:AA213"/>
    <mergeCell ref="T206:V207"/>
    <mergeCell ref="X148:X153"/>
    <mergeCell ref="U195:V195"/>
    <mergeCell ref="Z162:AA162"/>
    <mergeCell ref="T164:V165"/>
    <mergeCell ref="Z163:AA163"/>
    <mergeCell ref="T179:V180"/>
    <mergeCell ref="T181:V183"/>
    <mergeCell ref="U194:V194"/>
    <mergeCell ref="Z194:AA194"/>
    <mergeCell ref="T173:V174"/>
    <mergeCell ref="T184:V185"/>
    <mergeCell ref="U189:V189"/>
    <mergeCell ref="U204:V204"/>
    <mergeCell ref="U205:V205"/>
    <mergeCell ref="Z188:AA188"/>
    <mergeCell ref="Y179:AA180"/>
    <mergeCell ref="U178:V178"/>
    <mergeCell ref="T212:V213"/>
    <mergeCell ref="Y164:AA165"/>
    <mergeCell ref="Z169:AA169"/>
    <mergeCell ref="AC158:AC163"/>
    <mergeCell ref="S130:S135"/>
    <mergeCell ref="S179:S183"/>
    <mergeCell ref="X212:X217"/>
    <mergeCell ref="AC212:AC217"/>
    <mergeCell ref="AC164:AC169"/>
    <mergeCell ref="Z129:AA129"/>
    <mergeCell ref="Z140:AA140"/>
    <mergeCell ref="Z168:AA168"/>
    <mergeCell ref="Z128:AA128"/>
    <mergeCell ref="Z153:AA153"/>
    <mergeCell ref="S184:S189"/>
    <mergeCell ref="X173:X178"/>
    <mergeCell ref="X179:X183"/>
    <mergeCell ref="X184:X189"/>
    <mergeCell ref="S142:S147"/>
    <mergeCell ref="Z178:AA178"/>
    <mergeCell ref="U162:V162"/>
    <mergeCell ref="T148:V148"/>
    <mergeCell ref="T149:V149"/>
    <mergeCell ref="U152:V152"/>
    <mergeCell ref="Y143:AA143"/>
    <mergeCell ref="Z146:AA146"/>
    <mergeCell ref="U135:V135"/>
    <mergeCell ref="U141:V141"/>
    <mergeCell ref="U153:V153"/>
    <mergeCell ref="Y148:AA148"/>
    <mergeCell ref="U168:V168"/>
    <mergeCell ref="T158:V159"/>
    <mergeCell ref="Z177:AA177"/>
    <mergeCell ref="Y173:AA174"/>
    <mergeCell ref="U147:V147"/>
    <mergeCell ref="AD148:AF148"/>
    <mergeCell ref="Y149:AA149"/>
    <mergeCell ref="AD149:AF149"/>
    <mergeCell ref="AD114:AF114"/>
    <mergeCell ref="AE117:AF117"/>
    <mergeCell ref="AD119:AF119"/>
    <mergeCell ref="AE122:AF122"/>
    <mergeCell ref="AE109:AF109"/>
    <mergeCell ref="AC90:AC94"/>
    <mergeCell ref="Z134:AA134"/>
    <mergeCell ref="AE135:AF135"/>
    <mergeCell ref="AD131:AF131"/>
    <mergeCell ref="AE129:AF129"/>
    <mergeCell ref="AC136:AC141"/>
    <mergeCell ref="AC130:AC135"/>
    <mergeCell ref="AC124:AC129"/>
    <mergeCell ref="Z135:AA135"/>
    <mergeCell ref="AD124:AF124"/>
    <mergeCell ref="AD125:AF125"/>
    <mergeCell ref="AC142:AC147"/>
    <mergeCell ref="Z122:AA122"/>
    <mergeCell ref="AC148:AC153"/>
    <mergeCell ref="AE147:AF147"/>
    <mergeCell ref="AC119:AC123"/>
    <mergeCell ref="AC114:AC118"/>
    <mergeCell ref="AD105:AF105"/>
    <mergeCell ref="AE108:AF108"/>
    <mergeCell ref="Z147:AA147"/>
    <mergeCell ref="Y142:AA142"/>
    <mergeCell ref="Z118:AA118"/>
    <mergeCell ref="Z123:AA123"/>
    <mergeCell ref="Z93:AA93"/>
    <mergeCell ref="Y66:AA66"/>
    <mergeCell ref="U88:V88"/>
    <mergeCell ref="T131:V131"/>
    <mergeCell ref="U123:V123"/>
    <mergeCell ref="T137:V137"/>
    <mergeCell ref="T119:V119"/>
    <mergeCell ref="T124:V124"/>
    <mergeCell ref="T125:V125"/>
    <mergeCell ref="T130:V130"/>
    <mergeCell ref="I47:I49"/>
    <mergeCell ref="Z70:AA70"/>
    <mergeCell ref="Z76:AA76"/>
    <mergeCell ref="Z82:AA82"/>
    <mergeCell ref="Z88:AA88"/>
    <mergeCell ref="Z46:AA47"/>
    <mergeCell ref="P32:P55"/>
    <mergeCell ref="Q32:Q55"/>
    <mergeCell ref="T32:V33"/>
    <mergeCell ref="M35:M37"/>
    <mergeCell ref="M38:M40"/>
    <mergeCell ref="M50:M52"/>
    <mergeCell ref="M53:M55"/>
    <mergeCell ref="O32:O55"/>
    <mergeCell ref="N38:N43"/>
    <mergeCell ref="X40:X47"/>
    <mergeCell ref="Y34:Y35"/>
    <mergeCell ref="Y32:AA33"/>
    <mergeCell ref="T42:T43"/>
    <mergeCell ref="M32:M34"/>
    <mergeCell ref="N32:N37"/>
    <mergeCell ref="U42:U43"/>
    <mergeCell ref="X72:X77"/>
    <mergeCell ref="E48:E55"/>
    <mergeCell ref="B35:B37"/>
    <mergeCell ref="B38:B40"/>
    <mergeCell ref="B44:B46"/>
    <mergeCell ref="B50:B52"/>
    <mergeCell ref="B41:B43"/>
    <mergeCell ref="B47:B49"/>
    <mergeCell ref="I32:I34"/>
    <mergeCell ref="J32:J55"/>
    <mergeCell ref="K32:K55"/>
    <mergeCell ref="I38:I40"/>
    <mergeCell ref="K66:K109"/>
    <mergeCell ref="I114:I153"/>
    <mergeCell ref="J114:J153"/>
    <mergeCell ref="E105:E109"/>
    <mergeCell ref="E100:E104"/>
    <mergeCell ref="E148:E153"/>
    <mergeCell ref="E114:E118"/>
    <mergeCell ref="R78:R83"/>
    <mergeCell ref="R84:R89"/>
    <mergeCell ref="T73:V73"/>
    <mergeCell ref="S66:S71"/>
    <mergeCell ref="U82:V82"/>
    <mergeCell ref="U93:V93"/>
    <mergeCell ref="S72:S77"/>
    <mergeCell ref="Y84:AA84"/>
    <mergeCell ref="S84:S89"/>
    <mergeCell ref="T46:T47"/>
    <mergeCell ref="AC25:AG25"/>
    <mergeCell ref="B32:B34"/>
    <mergeCell ref="L32:L55"/>
    <mergeCell ref="I35:I37"/>
    <mergeCell ref="M41:M43"/>
    <mergeCell ref="M44:M46"/>
    <mergeCell ref="N44:N49"/>
    <mergeCell ref="M47:M49"/>
    <mergeCell ref="I50:I52"/>
    <mergeCell ref="I53:I55"/>
    <mergeCell ref="I41:I43"/>
    <mergeCell ref="I44:I46"/>
    <mergeCell ref="N50:N55"/>
    <mergeCell ref="D41:D43"/>
    <mergeCell ref="D44:D46"/>
    <mergeCell ref="D47:D49"/>
    <mergeCell ref="D50:D52"/>
    <mergeCell ref="D53:D55"/>
    <mergeCell ref="B53:B55"/>
    <mergeCell ref="AC40:AC47"/>
    <mergeCell ref="E32:E39"/>
    <mergeCell ref="E40:E47"/>
    <mergeCell ref="AE37:AF37"/>
    <mergeCell ref="AE45:AF45"/>
    <mergeCell ref="Z38:AA39"/>
    <mergeCell ref="AE38:AF39"/>
    <mergeCell ref="Y46:Y47"/>
    <mergeCell ref="AD34:AD35"/>
    <mergeCell ref="X48:X55"/>
    <mergeCell ref="Y48:AA49"/>
    <mergeCell ref="AA34:AA35"/>
    <mergeCell ref="Z37:AA37"/>
    <mergeCell ref="U53:V53"/>
    <mergeCell ref="AC48:AC55"/>
    <mergeCell ref="T54:T55"/>
    <mergeCell ref="U54:V55"/>
    <mergeCell ref="R32:R39"/>
    <mergeCell ref="T48:V49"/>
    <mergeCell ref="T50:T51"/>
    <mergeCell ref="R40:R47"/>
    <mergeCell ref="U50:U51"/>
    <mergeCell ref="T41:V41"/>
    <mergeCell ref="U34:U35"/>
    <mergeCell ref="T38:T39"/>
    <mergeCell ref="T40:V40"/>
    <mergeCell ref="S40:S47"/>
    <mergeCell ref="S32:S39"/>
    <mergeCell ref="U38:V39"/>
    <mergeCell ref="U46:V47"/>
    <mergeCell ref="U45:V45"/>
    <mergeCell ref="T34:T35"/>
    <mergeCell ref="V42:V43"/>
    <mergeCell ref="AE34:AE35"/>
    <mergeCell ref="AE89:AF89"/>
    <mergeCell ref="AD84:AF84"/>
    <mergeCell ref="X32:X39"/>
    <mergeCell ref="Y41:AA41"/>
    <mergeCell ref="Z71:AA71"/>
    <mergeCell ref="Y78:AA78"/>
    <mergeCell ref="Y72:AA72"/>
    <mergeCell ref="Y73:AA73"/>
    <mergeCell ref="AE53:AF53"/>
    <mergeCell ref="AE70:AF70"/>
    <mergeCell ref="V50:V51"/>
    <mergeCell ref="AD72:AF72"/>
    <mergeCell ref="AD73:AF73"/>
    <mergeCell ref="Y54:Y55"/>
    <mergeCell ref="Y50:Y51"/>
    <mergeCell ref="Z50:Z51"/>
    <mergeCell ref="AA50:AA51"/>
    <mergeCell ref="Z53:AA53"/>
    <mergeCell ref="AD40:AF40"/>
    <mergeCell ref="U71:V71"/>
    <mergeCell ref="T66:V66"/>
    <mergeCell ref="T67:V67"/>
    <mergeCell ref="U70:V70"/>
    <mergeCell ref="AF34:AF35"/>
    <mergeCell ref="AD38:AD39"/>
    <mergeCell ref="AC84:AC89"/>
    <mergeCell ref="X78:X83"/>
    <mergeCell ref="T78:V78"/>
    <mergeCell ref="T79:V79"/>
    <mergeCell ref="AD32:AF33"/>
    <mergeCell ref="AC32:AC39"/>
    <mergeCell ref="Y67:AA67"/>
    <mergeCell ref="X66:X71"/>
    <mergeCell ref="S148:S153"/>
    <mergeCell ref="Y119:AA119"/>
    <mergeCell ref="Y125:AA125"/>
    <mergeCell ref="Y124:AA124"/>
    <mergeCell ref="X119:X123"/>
    <mergeCell ref="X124:X129"/>
    <mergeCell ref="Y114:AA114"/>
    <mergeCell ref="Z117:AA117"/>
    <mergeCell ref="AC105:AC109"/>
    <mergeCell ref="AD95:AF95"/>
    <mergeCell ref="AE98:AF98"/>
    <mergeCell ref="AE88:AF88"/>
    <mergeCell ref="AD90:AF90"/>
    <mergeCell ref="AC100:AC104"/>
    <mergeCell ref="AD100:AF100"/>
    <mergeCell ref="AE94:AF94"/>
    <mergeCell ref="AC95:AC99"/>
    <mergeCell ref="Y79:AA79"/>
    <mergeCell ref="Y90:AA90"/>
    <mergeCell ref="Z83:AA83"/>
    <mergeCell ref="AE82:AF82"/>
    <mergeCell ref="Y85:AA85"/>
    <mergeCell ref="AE76:AF76"/>
    <mergeCell ref="AE71:AF71"/>
    <mergeCell ref="AC66:AC71"/>
    <mergeCell ref="AE83:AF83"/>
    <mergeCell ref="Z99:AA99"/>
    <mergeCell ref="Z104:AA104"/>
    <mergeCell ref="T72:V72"/>
    <mergeCell ref="U98:V98"/>
    <mergeCell ref="U89:V89"/>
    <mergeCell ref="Z89:AA89"/>
    <mergeCell ref="U94:V94"/>
    <mergeCell ref="Y158:AA159"/>
    <mergeCell ref="X136:X141"/>
    <mergeCell ref="T84:V84"/>
    <mergeCell ref="X114:X118"/>
    <mergeCell ref="X90:X94"/>
    <mergeCell ref="Z108:AA108"/>
    <mergeCell ref="Y95:AA95"/>
    <mergeCell ref="Y105:AA105"/>
    <mergeCell ref="Z94:AA94"/>
    <mergeCell ref="T105:V105"/>
    <mergeCell ref="U99:V99"/>
    <mergeCell ref="U118:V118"/>
    <mergeCell ref="T143:V143"/>
    <mergeCell ref="U146:V146"/>
    <mergeCell ref="X95:X99"/>
    <mergeCell ref="T95:V95"/>
    <mergeCell ref="T85:V85"/>
    <mergeCell ref="X130:X135"/>
    <mergeCell ref="X105:X109"/>
    <mergeCell ref="X100:X104"/>
    <mergeCell ref="AD66:AF66"/>
    <mergeCell ref="AD67:AF67"/>
    <mergeCell ref="AE162:AF162"/>
    <mergeCell ref="X405:X410"/>
    <mergeCell ref="AD158:AF159"/>
    <mergeCell ref="AD78:AF78"/>
    <mergeCell ref="AD79:AF79"/>
    <mergeCell ref="AC72:AC77"/>
    <mergeCell ref="AE77:AF77"/>
    <mergeCell ref="U104:V104"/>
    <mergeCell ref="U103:V103"/>
    <mergeCell ref="Z103:AA103"/>
    <mergeCell ref="U109:V109"/>
    <mergeCell ref="AD85:AF85"/>
    <mergeCell ref="Y100:AA100"/>
    <mergeCell ref="Y239:AA240"/>
    <mergeCell ref="Y231:Y232"/>
    <mergeCell ref="Y233:Y235"/>
    <mergeCell ref="Z109:AA109"/>
    <mergeCell ref="Z77:AA77"/>
    <mergeCell ref="U211:V211"/>
    <mergeCell ref="AD143:AF143"/>
    <mergeCell ref="AE146:AF146"/>
    <mergeCell ref="AE118:AF118"/>
    <mergeCell ref="AD142:AF142"/>
    <mergeCell ref="AC78:AC83"/>
    <mergeCell ref="AD130:AF130"/>
    <mergeCell ref="AD137:AF137"/>
    <mergeCell ref="AE140:AF140"/>
    <mergeCell ref="AE123:AF123"/>
    <mergeCell ref="AE134:AF134"/>
    <mergeCell ref="Z409:AA409"/>
    <mergeCell ref="E399:E404"/>
    <mergeCell ref="E405:E410"/>
    <mergeCell ref="I393:I410"/>
    <mergeCell ref="Q393:Q410"/>
    <mergeCell ref="Q383:Q392"/>
    <mergeCell ref="R399:R404"/>
    <mergeCell ref="M383:M392"/>
    <mergeCell ref="N383:N392"/>
    <mergeCell ref="K383:K411"/>
    <mergeCell ref="O393:O410"/>
    <mergeCell ref="P393:P410"/>
    <mergeCell ref="R411:AF411"/>
    <mergeCell ref="AE403:AF403"/>
    <mergeCell ref="Y399:AA400"/>
    <mergeCell ref="U403:V403"/>
    <mergeCell ref="Z403:AA403"/>
    <mergeCell ref="U397:V397"/>
    <mergeCell ref="Z397:AA397"/>
    <mergeCell ref="Z386:AA386"/>
    <mergeCell ref="Z391:AA391"/>
    <mergeCell ref="R405:R410"/>
    <mergeCell ref="T405:V406"/>
    <mergeCell ref="Y405:AA406"/>
    <mergeCell ref="AD405:AF406"/>
    <mergeCell ref="O383:O392"/>
    <mergeCell ref="U409:V409"/>
    <mergeCell ref="S405:S410"/>
    <mergeCell ref="X388:X392"/>
    <mergeCell ref="X393:X398"/>
    <mergeCell ref="X399:X404"/>
    <mergeCell ref="T388:V388"/>
    <mergeCell ref="U386:V386"/>
    <mergeCell ref="T229:T230"/>
    <mergeCell ref="U188:V188"/>
    <mergeCell ref="R239:R244"/>
    <mergeCell ref="S302:S307"/>
    <mergeCell ref="S218:S223"/>
    <mergeCell ref="Q212:Q223"/>
    <mergeCell ref="R289:R294"/>
    <mergeCell ref="T289:V290"/>
    <mergeCell ref="R265:R270"/>
    <mergeCell ref="U288:V288"/>
    <mergeCell ref="U282:V282"/>
    <mergeCell ref="Q230:Q232"/>
    <mergeCell ref="S259:S264"/>
    <mergeCell ref="S253:S258"/>
    <mergeCell ref="S271:S276"/>
    <mergeCell ref="S289:S294"/>
    <mergeCell ref="S308:S313"/>
    <mergeCell ref="R253:R258"/>
    <mergeCell ref="T239:V240"/>
    <mergeCell ref="U222:V222"/>
    <mergeCell ref="U229:U230"/>
    <mergeCell ref="T231:T232"/>
    <mergeCell ref="R184:R189"/>
    <mergeCell ref="R271:R276"/>
    <mergeCell ref="P224:P235"/>
    <mergeCell ref="Q224:Q226"/>
    <mergeCell ref="R326:R331"/>
    <mergeCell ref="Q265:Q276"/>
    <mergeCell ref="R218:R223"/>
    <mergeCell ref="S283:S288"/>
    <mergeCell ref="S277:S282"/>
    <mergeCell ref="S224:S235"/>
    <mergeCell ref="Q239:Q244"/>
    <mergeCell ref="R224:R235"/>
    <mergeCell ref="S265:S270"/>
    <mergeCell ref="P239:P244"/>
    <mergeCell ref="P253:P264"/>
    <mergeCell ref="R259:R264"/>
    <mergeCell ref="O320:O337"/>
    <mergeCell ref="N227:N229"/>
    <mergeCell ref="T283:V284"/>
    <mergeCell ref="E383:E387"/>
    <mergeCell ref="I383:I392"/>
    <mergeCell ref="J383:J411"/>
    <mergeCell ref="M393:M410"/>
    <mergeCell ref="N393:N410"/>
    <mergeCell ref="L393:L411"/>
    <mergeCell ref="E388:E392"/>
    <mergeCell ref="E289:E294"/>
    <mergeCell ref="U312:V312"/>
    <mergeCell ref="R332:R337"/>
    <mergeCell ref="R314:R319"/>
    <mergeCell ref="Q302:Q319"/>
    <mergeCell ref="U330:V330"/>
    <mergeCell ref="O277:O294"/>
    <mergeCell ref="P277:P294"/>
    <mergeCell ref="Q277:Q294"/>
    <mergeCell ref="R277:R282"/>
    <mergeCell ref="T277:V278"/>
    <mergeCell ref="M277:M294"/>
    <mergeCell ref="U391:V391"/>
    <mergeCell ref="U281:V281"/>
    <mergeCell ref="R283:R288"/>
    <mergeCell ref="R302:R307"/>
    <mergeCell ref="K302:K337"/>
    <mergeCell ref="T399:V400"/>
    <mergeCell ref="S332:S337"/>
    <mergeCell ref="S326:S331"/>
    <mergeCell ref="S320:S325"/>
    <mergeCell ref="S314:S319"/>
    <mergeCell ref="O359:O370"/>
    <mergeCell ref="M347:M358"/>
    <mergeCell ref="S365:S370"/>
    <mergeCell ref="S359:S364"/>
    <mergeCell ref="S353:S357"/>
    <mergeCell ref="S347:S352"/>
    <mergeCell ref="R347:R352"/>
    <mergeCell ref="R353:R358"/>
    <mergeCell ref="R359:R364"/>
    <mergeCell ref="R365:R370"/>
    <mergeCell ref="J347:J370"/>
    <mergeCell ref="K347:K370"/>
    <mergeCell ref="P359:P370"/>
    <mergeCell ref="P320:P337"/>
    <mergeCell ref="N302:N319"/>
    <mergeCell ref="J302:J337"/>
    <mergeCell ref="I320:I337"/>
    <mergeCell ref="L347:L370"/>
    <mergeCell ref="I359:I370"/>
    <mergeCell ref="P347:P358"/>
    <mergeCell ref="I302:I319"/>
    <mergeCell ref="M302:M319"/>
    <mergeCell ref="N320:N337"/>
    <mergeCell ref="M320:M337"/>
    <mergeCell ref="L302:L337"/>
    <mergeCell ref="O302:O319"/>
    <mergeCell ref="N347:N358"/>
    <mergeCell ref="O347:O358"/>
    <mergeCell ref="R320:R325"/>
    <mergeCell ref="Q320:Q337"/>
    <mergeCell ref="I347:I358"/>
    <mergeCell ref="R308:R313"/>
    <mergeCell ref="D265:D276"/>
    <mergeCell ref="L190:L195"/>
    <mergeCell ref="I277:I294"/>
    <mergeCell ref="B393:B410"/>
    <mergeCell ref="B383:B392"/>
    <mergeCell ref="L383:L392"/>
    <mergeCell ref="Q347:Q358"/>
    <mergeCell ref="Q359:Q370"/>
    <mergeCell ref="E320:E325"/>
    <mergeCell ref="E326:E331"/>
    <mergeCell ref="D320:D337"/>
    <mergeCell ref="E314:E319"/>
    <mergeCell ref="E302:E307"/>
    <mergeCell ref="E308:E313"/>
    <mergeCell ref="E347:E352"/>
    <mergeCell ref="E353:E358"/>
    <mergeCell ref="E393:E398"/>
    <mergeCell ref="M359:M370"/>
    <mergeCell ref="N359:N370"/>
    <mergeCell ref="B320:B337"/>
    <mergeCell ref="D302:D319"/>
    <mergeCell ref="B347:B358"/>
    <mergeCell ref="B359:B370"/>
    <mergeCell ref="B302:B319"/>
    <mergeCell ref="D347:D358"/>
    <mergeCell ref="D359:D370"/>
    <mergeCell ref="P302:P319"/>
    <mergeCell ref="E359:E364"/>
    <mergeCell ref="E365:E370"/>
    <mergeCell ref="E271:E276"/>
    <mergeCell ref="E332:E337"/>
    <mergeCell ref="P383:P392"/>
    <mergeCell ref="Q173:Q178"/>
    <mergeCell ref="R173:R178"/>
    <mergeCell ref="E239:E244"/>
    <mergeCell ref="E224:E235"/>
    <mergeCell ref="I239:I244"/>
    <mergeCell ref="Q184:Q189"/>
    <mergeCell ref="Q206:Q211"/>
    <mergeCell ref="Q200:Q205"/>
    <mergeCell ref="O212:O223"/>
    <mergeCell ref="O227:O229"/>
    <mergeCell ref="P173:P178"/>
    <mergeCell ref="Q190:Q195"/>
    <mergeCell ref="O200:O205"/>
    <mergeCell ref="O253:O264"/>
    <mergeCell ref="AE409:AF409"/>
    <mergeCell ref="AE397:AF397"/>
    <mergeCell ref="S383:S387"/>
    <mergeCell ref="S399:S404"/>
    <mergeCell ref="S393:S398"/>
    <mergeCell ref="S388:S392"/>
    <mergeCell ref="R393:R398"/>
    <mergeCell ref="R383:R387"/>
    <mergeCell ref="R388:R392"/>
    <mergeCell ref="P206:P211"/>
    <mergeCell ref="N190:N195"/>
    <mergeCell ref="O190:O195"/>
    <mergeCell ref="P190:P195"/>
    <mergeCell ref="M265:M276"/>
    <mergeCell ref="N265:N276"/>
    <mergeCell ref="O265:O276"/>
    <mergeCell ref="P265:P276"/>
    <mergeCell ref="E265:E270"/>
    <mergeCell ref="B265:B276"/>
    <mergeCell ref="B190:B195"/>
    <mergeCell ref="M173:M178"/>
    <mergeCell ref="N173:N178"/>
    <mergeCell ref="N158:N169"/>
    <mergeCell ref="C158:C169"/>
    <mergeCell ref="D158:D169"/>
    <mergeCell ref="M233:M235"/>
    <mergeCell ref="I158:I169"/>
    <mergeCell ref="J158:J169"/>
    <mergeCell ref="K158:K169"/>
    <mergeCell ref="B158:B169"/>
    <mergeCell ref="L158:L169"/>
    <mergeCell ref="R179:R183"/>
    <mergeCell ref="P212:P223"/>
    <mergeCell ref="Q253:Q264"/>
    <mergeCell ref="O242:O244"/>
    <mergeCell ref="O239:O241"/>
    <mergeCell ref="N233:N235"/>
    <mergeCell ref="O224:O226"/>
    <mergeCell ref="B200:B205"/>
    <mergeCell ref="L200:L205"/>
    <mergeCell ref="M200:M205"/>
    <mergeCell ref="N200:N205"/>
    <mergeCell ref="E200:E205"/>
    <mergeCell ref="E206:E211"/>
    <mergeCell ref="I206:I211"/>
    <mergeCell ref="J173:J211"/>
    <mergeCell ref="D173:D178"/>
    <mergeCell ref="E182:E183"/>
    <mergeCell ref="E179:E181"/>
    <mergeCell ref="Q179:Q181"/>
    <mergeCell ref="E283:E288"/>
    <mergeCell ref="E277:E282"/>
    <mergeCell ref="L206:L211"/>
    <mergeCell ref="M206:M211"/>
    <mergeCell ref="N206:N211"/>
    <mergeCell ref="K173:K195"/>
    <mergeCell ref="K200:K235"/>
    <mergeCell ref="B230:B232"/>
    <mergeCell ref="I253:I264"/>
    <mergeCell ref="J253:J294"/>
    <mergeCell ref="K253:K294"/>
    <mergeCell ref="B253:B264"/>
    <mergeCell ref="L253:L294"/>
    <mergeCell ref="I265:I276"/>
    <mergeCell ref="M224:M226"/>
    <mergeCell ref="K239:K244"/>
    <mergeCell ref="N242:N244"/>
    <mergeCell ref="D253:D264"/>
    <mergeCell ref="N277:N294"/>
    <mergeCell ref="N239:N241"/>
    <mergeCell ref="B277:B294"/>
    <mergeCell ref="D277:D294"/>
    <mergeCell ref="J212:J235"/>
    <mergeCell ref="D239:D241"/>
    <mergeCell ref="D242:D244"/>
    <mergeCell ref="I173:I178"/>
    <mergeCell ref="L212:L235"/>
    <mergeCell ref="I224:I226"/>
    <mergeCell ref="B224:B226"/>
    <mergeCell ref="I233:I235"/>
    <mergeCell ref="B233:B235"/>
    <mergeCell ref="I227:I229"/>
    <mergeCell ref="I200:I205"/>
    <mergeCell ref="I190:I195"/>
    <mergeCell ref="E184:E189"/>
    <mergeCell ref="B212:B223"/>
    <mergeCell ref="E173:E178"/>
    <mergeCell ref="M190:M195"/>
    <mergeCell ref="E253:E258"/>
    <mergeCell ref="B206:B211"/>
    <mergeCell ref="I184:I189"/>
    <mergeCell ref="I212:I223"/>
    <mergeCell ref="M253:M264"/>
    <mergeCell ref="N253:N264"/>
    <mergeCell ref="B239:B241"/>
    <mergeCell ref="B242:B244"/>
    <mergeCell ref="J239:J244"/>
    <mergeCell ref="L239:L244"/>
    <mergeCell ref="B173:B178"/>
    <mergeCell ref="L173:L178"/>
    <mergeCell ref="B227:B229"/>
    <mergeCell ref="I230:I232"/>
    <mergeCell ref="E259:E264"/>
    <mergeCell ref="B184:B189"/>
    <mergeCell ref="E190:E195"/>
    <mergeCell ref="L184:L189"/>
    <mergeCell ref="M184:M189"/>
    <mergeCell ref="N184:N189"/>
    <mergeCell ref="E212:E217"/>
    <mergeCell ref="E218:E223"/>
    <mergeCell ref="O184:O189"/>
    <mergeCell ref="P184:P189"/>
    <mergeCell ref="P200:P205"/>
    <mergeCell ref="M227:M229"/>
    <mergeCell ref="S164:S169"/>
    <mergeCell ref="S136:S141"/>
    <mergeCell ref="B114:B153"/>
    <mergeCell ref="M66:M109"/>
    <mergeCell ref="N66:N109"/>
    <mergeCell ref="E119:E123"/>
    <mergeCell ref="E124:E129"/>
    <mergeCell ref="E130:E135"/>
    <mergeCell ref="E66:E71"/>
    <mergeCell ref="E72:E77"/>
    <mergeCell ref="E78:E83"/>
    <mergeCell ref="E84:E89"/>
    <mergeCell ref="E90:E94"/>
    <mergeCell ref="E95:E99"/>
    <mergeCell ref="O66:O109"/>
    <mergeCell ref="R105:R109"/>
    <mergeCell ref="I66:I109"/>
    <mergeCell ref="J66:J109"/>
    <mergeCell ref="R158:R163"/>
    <mergeCell ref="E136:E141"/>
    <mergeCell ref="M114:M153"/>
    <mergeCell ref="L114:L153"/>
    <mergeCell ref="Q114:Q153"/>
    <mergeCell ref="P158:P169"/>
    <mergeCell ref="E158:E163"/>
    <mergeCell ref="E164:E169"/>
    <mergeCell ref="K114:K153"/>
    <mergeCell ref="N114:N153"/>
    <mergeCell ref="O158:O169"/>
    <mergeCell ref="U83:V83"/>
    <mergeCell ref="T100:V100"/>
    <mergeCell ref="U129:V129"/>
    <mergeCell ref="S105:S109"/>
    <mergeCell ref="B66:B109"/>
    <mergeCell ref="C66:C109"/>
    <mergeCell ref="R66:R71"/>
    <mergeCell ref="R90:R94"/>
    <mergeCell ref="P66:P109"/>
    <mergeCell ref="Q66:Q109"/>
    <mergeCell ref="D66:D109"/>
    <mergeCell ref="R95:R99"/>
    <mergeCell ref="R72:R77"/>
    <mergeCell ref="L66:L109"/>
    <mergeCell ref="O114:O153"/>
    <mergeCell ref="P114:P153"/>
    <mergeCell ref="R124:R129"/>
    <mergeCell ref="S78:S83"/>
    <mergeCell ref="C114:C153"/>
    <mergeCell ref="D114:D153"/>
    <mergeCell ref="S90:S94"/>
    <mergeCell ref="S95:S99"/>
    <mergeCell ref="S100:S104"/>
    <mergeCell ref="R142:R147"/>
    <mergeCell ref="R114:R118"/>
    <mergeCell ref="R130:R135"/>
    <mergeCell ref="S114:S118"/>
    <mergeCell ref="E142:E147"/>
    <mergeCell ref="U77:V77"/>
    <mergeCell ref="U76:V76"/>
    <mergeCell ref="R100:R104"/>
    <mergeCell ref="S173:S178"/>
    <mergeCell ref="L179:L183"/>
    <mergeCell ref="P179:P183"/>
    <mergeCell ref="AC173:AC178"/>
    <mergeCell ref="X84:X89"/>
    <mergeCell ref="Y130:AA130"/>
    <mergeCell ref="Y131:AA131"/>
    <mergeCell ref="Y136:AA136"/>
    <mergeCell ref="Y137:AA137"/>
    <mergeCell ref="Z141:AA141"/>
    <mergeCell ref="AE103:AF103"/>
    <mergeCell ref="AE99:AF99"/>
    <mergeCell ref="AE141:AF141"/>
    <mergeCell ref="AC179:AC183"/>
    <mergeCell ref="S124:S129"/>
    <mergeCell ref="T114:V114"/>
    <mergeCell ref="U117:V117"/>
    <mergeCell ref="Z98:AA98"/>
    <mergeCell ref="U108:V108"/>
    <mergeCell ref="T136:V136"/>
    <mergeCell ref="R148:R153"/>
    <mergeCell ref="R164:R169"/>
    <mergeCell ref="S119:S123"/>
    <mergeCell ref="S158:S163"/>
    <mergeCell ref="U122:V122"/>
    <mergeCell ref="U128:V128"/>
    <mergeCell ref="U134:V134"/>
    <mergeCell ref="U140:V140"/>
    <mergeCell ref="R119:R123"/>
    <mergeCell ref="R136:R141"/>
    <mergeCell ref="AE178:AF178"/>
    <mergeCell ref="T90:V90"/>
    <mergeCell ref="AE216:AF216"/>
    <mergeCell ref="AE222:AF222"/>
    <mergeCell ref="AD227:AD228"/>
    <mergeCell ref="AE227:AE228"/>
    <mergeCell ref="AF227:AF228"/>
    <mergeCell ref="AD229:AD230"/>
    <mergeCell ref="AE229:AE230"/>
    <mergeCell ref="AF229:AF230"/>
    <mergeCell ref="AD206:AF207"/>
    <mergeCell ref="AD393:AF394"/>
    <mergeCell ref="AD164:AF165"/>
    <mergeCell ref="AE168:AF168"/>
    <mergeCell ref="AE104:AF104"/>
    <mergeCell ref="AE152:AF152"/>
    <mergeCell ref="AE169:AF169"/>
    <mergeCell ref="AE163:AF163"/>
    <mergeCell ref="AE93:AF93"/>
    <mergeCell ref="AE153:AF153"/>
    <mergeCell ref="AE211:AF211"/>
    <mergeCell ref="AD136:AF136"/>
    <mergeCell ref="AE128:AF128"/>
    <mergeCell ref="AE177:AF177"/>
    <mergeCell ref="AD179:AF180"/>
    <mergeCell ref="AE369:AF369"/>
    <mergeCell ref="AD383:AF383"/>
    <mergeCell ref="AE386:AF386"/>
    <mergeCell ref="AD388:AF388"/>
    <mergeCell ref="AE391:AF391"/>
    <mergeCell ref="AD283:AF284"/>
    <mergeCell ref="AE336:AF336"/>
    <mergeCell ref="AE287:AF287"/>
    <mergeCell ref="AE337:AF337"/>
    <mergeCell ref="AE331:AF331"/>
    <mergeCell ref="AE325:AF325"/>
    <mergeCell ref="AE319:AF319"/>
    <mergeCell ref="AE313:AF313"/>
    <mergeCell ref="AE307:AF307"/>
    <mergeCell ref="AE370:AF370"/>
    <mergeCell ref="AE352:AF352"/>
    <mergeCell ref="T393:V394"/>
    <mergeCell ref="T302:V303"/>
    <mergeCell ref="T308:V309"/>
    <mergeCell ref="T314:V315"/>
    <mergeCell ref="T365:V366"/>
    <mergeCell ref="U363:V363"/>
    <mergeCell ref="T347:V348"/>
    <mergeCell ref="T353:V354"/>
    <mergeCell ref="T359:V360"/>
    <mergeCell ref="U306:V306"/>
    <mergeCell ref="AE392:AF392"/>
    <mergeCell ref="AD302:AF303"/>
    <mergeCell ref="AE357:AF357"/>
    <mergeCell ref="AD359:AF360"/>
    <mergeCell ref="AE363:AF363"/>
    <mergeCell ref="AD365:AF366"/>
    <mergeCell ref="AE358:AF358"/>
    <mergeCell ref="Z358:AA358"/>
    <mergeCell ref="U358:V358"/>
    <mergeCell ref="U337:V337"/>
    <mergeCell ref="X332:X337"/>
    <mergeCell ref="U336:V336"/>
    <mergeCell ref="T320:V321"/>
    <mergeCell ref="U318:V318"/>
    <mergeCell ref="X308:X313"/>
    <mergeCell ref="Y283:AA284"/>
    <mergeCell ref="Z287:AA287"/>
    <mergeCell ref="X302:X307"/>
    <mergeCell ref="U351:V351"/>
    <mergeCell ref="AE288:AF288"/>
    <mergeCell ref="AE276:AF276"/>
    <mergeCell ref="AE270:AF270"/>
    <mergeCell ref="AE264:AF264"/>
    <mergeCell ref="U324:V324"/>
    <mergeCell ref="AE306:AF306"/>
    <mergeCell ref="AD308:AF309"/>
    <mergeCell ref="AE312:AF312"/>
    <mergeCell ref="Y314:AA315"/>
    <mergeCell ref="Y320:AA321"/>
    <mergeCell ref="Y308:AA309"/>
    <mergeCell ref="X283:X288"/>
    <mergeCell ref="X289:X294"/>
    <mergeCell ref="AC314:AC319"/>
    <mergeCell ref="Z331:AA331"/>
    <mergeCell ref="U331:V331"/>
    <mergeCell ref="Z325:AA325"/>
    <mergeCell ref="Z319:AA319"/>
    <mergeCell ref="U325:V325"/>
    <mergeCell ref="U319:V319"/>
    <mergeCell ref="Y332:AA333"/>
    <mergeCell ref="AC277:AC282"/>
    <mergeCell ref="AC283:AC288"/>
    <mergeCell ref="AC289:AC294"/>
    <mergeCell ref="AD332:AF333"/>
    <mergeCell ref="AC320:AC325"/>
    <mergeCell ref="AC326:AC331"/>
    <mergeCell ref="Z337:AA337"/>
    <mergeCell ref="AD233:AD235"/>
    <mergeCell ref="AE233:AF235"/>
    <mergeCell ref="AD239:AF240"/>
    <mergeCell ref="AE243:AF243"/>
    <mergeCell ref="Z233:AA235"/>
    <mergeCell ref="U258:V258"/>
    <mergeCell ref="U243:V243"/>
    <mergeCell ref="X224:X235"/>
    <mergeCell ref="AA229:AA230"/>
    <mergeCell ref="U276:V276"/>
    <mergeCell ref="U270:V270"/>
    <mergeCell ref="Y259:AA260"/>
    <mergeCell ref="Y265:AA266"/>
    <mergeCell ref="Z243:AA243"/>
    <mergeCell ref="Z269:AA269"/>
    <mergeCell ref="T265:V266"/>
    <mergeCell ref="U307:V307"/>
    <mergeCell ref="U244:V244"/>
    <mergeCell ref="Z244:AA244"/>
    <mergeCell ref="Y271:AA272"/>
    <mergeCell ref="Z257:AA257"/>
    <mergeCell ref="Z263:AA263"/>
    <mergeCell ref="Z275:AA275"/>
    <mergeCell ref="Z282:AA282"/>
    <mergeCell ref="Z276:AA276"/>
    <mergeCell ref="Z281:AA281"/>
    <mergeCell ref="Z307:AA307"/>
    <mergeCell ref="U294:V294"/>
    <mergeCell ref="Y229:Y230"/>
    <mergeCell ref="AC259:AC264"/>
    <mergeCell ref="AC265:AC270"/>
    <mergeCell ref="AC271:AC276"/>
    <mergeCell ref="J21:J23"/>
    <mergeCell ref="AE11:AF11"/>
    <mergeCell ref="Z11:AA11"/>
    <mergeCell ref="Z16:AA16"/>
    <mergeCell ref="AE16:AF16"/>
    <mergeCell ref="D32:D34"/>
    <mergeCell ref="D35:D37"/>
    <mergeCell ref="D38:D40"/>
    <mergeCell ref="C32:C55"/>
    <mergeCell ref="AD41:AF41"/>
    <mergeCell ref="AD42:AD43"/>
    <mergeCell ref="AE42:AE43"/>
    <mergeCell ref="AF42:AF43"/>
    <mergeCell ref="AD46:AD47"/>
    <mergeCell ref="AD50:AD51"/>
    <mergeCell ref="AE50:AE51"/>
    <mergeCell ref="AF50:AF51"/>
    <mergeCell ref="AD54:AD55"/>
    <mergeCell ref="AE54:AF55"/>
    <mergeCell ref="AE46:AF47"/>
    <mergeCell ref="M14:Q16"/>
    <mergeCell ref="V14:V15"/>
    <mergeCell ref="T16:V17"/>
    <mergeCell ref="S48:S55"/>
    <mergeCell ref="Z34:Z35"/>
    <mergeCell ref="Y38:Y39"/>
    <mergeCell ref="Y40:AA40"/>
    <mergeCell ref="Y42:Y43"/>
    <mergeCell ref="Z42:Z43"/>
    <mergeCell ref="AA42:AA43"/>
    <mergeCell ref="Z45:AA45"/>
    <mergeCell ref="AD48:AF49"/>
    <mergeCell ref="AE189:AF189"/>
    <mergeCell ref="AE195:AF195"/>
    <mergeCell ref="AE205:AF205"/>
    <mergeCell ref="AE194:AF194"/>
    <mergeCell ref="AE204:AF204"/>
    <mergeCell ref="AE210:AF210"/>
    <mergeCell ref="AD181:AF183"/>
    <mergeCell ref="AE188:AF188"/>
    <mergeCell ref="AD184:AF185"/>
    <mergeCell ref="Y302:AA303"/>
    <mergeCell ref="AC302:AC307"/>
    <mergeCell ref="AC308:AC313"/>
    <mergeCell ref="R22:R24"/>
    <mergeCell ref="V34:V35"/>
    <mergeCell ref="Y28:AA28"/>
    <mergeCell ref="Z54:AA55"/>
    <mergeCell ref="R48:R55"/>
    <mergeCell ref="S23:W23"/>
    <mergeCell ref="T24:V24"/>
    <mergeCell ref="T28:W28"/>
    <mergeCell ref="X22:AB22"/>
    <mergeCell ref="Y24:AA24"/>
    <mergeCell ref="S25:W25"/>
    <mergeCell ref="Y224:AA226"/>
    <mergeCell ref="Z229:Z230"/>
    <mergeCell ref="T233:T235"/>
    <mergeCell ref="T224:V226"/>
    <mergeCell ref="Y227:Y228"/>
    <mergeCell ref="Z227:Z228"/>
    <mergeCell ref="AA227:AA228"/>
    <mergeCell ref="T227:T228"/>
    <mergeCell ref="V227:V228"/>
    <mergeCell ref="Z231:AA232"/>
    <mergeCell ref="Y253:AA254"/>
    <mergeCell ref="U264:V264"/>
    <mergeCell ref="D383:D392"/>
    <mergeCell ref="D393:D410"/>
    <mergeCell ref="C173:C211"/>
    <mergeCell ref="C212:C235"/>
    <mergeCell ref="C239:C244"/>
    <mergeCell ref="C253:C294"/>
    <mergeCell ref="C302:C337"/>
    <mergeCell ref="C347:C370"/>
    <mergeCell ref="C383:C411"/>
    <mergeCell ref="D184:D189"/>
    <mergeCell ref="D190:D195"/>
    <mergeCell ref="D200:D205"/>
    <mergeCell ref="D206:D211"/>
    <mergeCell ref="D212:D223"/>
    <mergeCell ref="D224:D226"/>
    <mergeCell ref="D227:D229"/>
    <mergeCell ref="D230:D232"/>
    <mergeCell ref="D233:D235"/>
    <mergeCell ref="Y359:AA360"/>
    <mergeCell ref="Y365:AA366"/>
    <mergeCell ref="Z324:AA324"/>
    <mergeCell ref="Z330:AA330"/>
    <mergeCell ref="Z351:AA351"/>
    <mergeCell ref="Z357:AA357"/>
    <mergeCell ref="Y347:AA348"/>
    <mergeCell ref="U313:V313"/>
    <mergeCell ref="T326:V327"/>
    <mergeCell ref="U357:V357"/>
    <mergeCell ref="Y353:AA354"/>
    <mergeCell ref="AE244:AF244"/>
    <mergeCell ref="AE294:AF294"/>
    <mergeCell ref="AE282:AF282"/>
    <mergeCell ref="AE258:AF258"/>
    <mergeCell ref="AD277:AF278"/>
    <mergeCell ref="AE281:AF281"/>
    <mergeCell ref="AD289:AF290"/>
    <mergeCell ref="AE293:AF293"/>
    <mergeCell ref="X253:X258"/>
    <mergeCell ref="X259:X264"/>
    <mergeCell ref="X265:X270"/>
    <mergeCell ref="X271:X276"/>
    <mergeCell ref="T253:V254"/>
    <mergeCell ref="T259:V260"/>
    <mergeCell ref="U257:V257"/>
    <mergeCell ref="U263:V263"/>
    <mergeCell ref="X277:X282"/>
    <mergeCell ref="Z294:AA294"/>
    <mergeCell ref="Z270:AA270"/>
    <mergeCell ref="Z288:AA288"/>
    <mergeCell ref="T271:V272"/>
    <mergeCell ref="U269:V269"/>
    <mergeCell ref="U275:V275"/>
    <mergeCell ref="AC239:AC244"/>
    <mergeCell ref="X239:X244"/>
    <mergeCell ref="AC253:AC258"/>
    <mergeCell ref="Y289:AA290"/>
    <mergeCell ref="Z293:AA293"/>
    <mergeCell ref="Y277:AA278"/>
    <mergeCell ref="U293:V293"/>
    <mergeCell ref="U287:V287"/>
    <mergeCell ref="Z248:AA248"/>
    <mergeCell ref="X314:X319"/>
    <mergeCell ref="T332:V333"/>
    <mergeCell ref="X320:X325"/>
    <mergeCell ref="X326:X331"/>
    <mergeCell ref="AD399:AF400"/>
    <mergeCell ref="Y393:AA394"/>
    <mergeCell ref="AC399:AC404"/>
    <mergeCell ref="AC405:AC410"/>
    <mergeCell ref="T383:V383"/>
    <mergeCell ref="Z312:AA312"/>
    <mergeCell ref="AD314:AF315"/>
    <mergeCell ref="AE318:AF318"/>
    <mergeCell ref="AD320:AF321"/>
    <mergeCell ref="AE324:AF324"/>
    <mergeCell ref="AD326:AF327"/>
    <mergeCell ref="AE330:AF330"/>
    <mergeCell ref="AD347:AF348"/>
    <mergeCell ref="AE351:AF351"/>
    <mergeCell ref="AD353:AF354"/>
    <mergeCell ref="Z363:AA363"/>
    <mergeCell ref="Z369:AA369"/>
    <mergeCell ref="AE410:AF410"/>
    <mergeCell ref="U410:V410"/>
    <mergeCell ref="AE404:AF404"/>
    <mergeCell ref="U404:V404"/>
    <mergeCell ref="AE398:AF398"/>
    <mergeCell ref="U398:V398"/>
    <mergeCell ref="U392:V392"/>
    <mergeCell ref="AE387:AF387"/>
    <mergeCell ref="X365:X370"/>
    <mergeCell ref="AC347:AC352"/>
    <mergeCell ref="AC353:AC357"/>
    <mergeCell ref="AC359:AC364"/>
    <mergeCell ref="AC365:AC370"/>
    <mergeCell ref="Y383:AA383"/>
    <mergeCell ref="AC383:AC387"/>
    <mergeCell ref="M17:Q19"/>
    <mergeCell ref="T18:V19"/>
    <mergeCell ref="X25:AB25"/>
    <mergeCell ref="X353:X357"/>
    <mergeCell ref="X359:X364"/>
    <mergeCell ref="AC393:AC398"/>
    <mergeCell ref="Z264:AA264"/>
    <mergeCell ref="Z258:AA258"/>
    <mergeCell ref="AD253:AF254"/>
    <mergeCell ref="AE257:AF257"/>
    <mergeCell ref="AD259:AF260"/>
    <mergeCell ref="AE263:AF263"/>
    <mergeCell ref="AD265:AF266"/>
    <mergeCell ref="AE269:AF269"/>
    <mergeCell ref="AD271:AF272"/>
    <mergeCell ref="AE275:AF275"/>
    <mergeCell ref="AE248:AF248"/>
    <mergeCell ref="AC332:AC337"/>
    <mergeCell ref="Z318:AA318"/>
    <mergeCell ref="Z336:AA336"/>
    <mergeCell ref="Y326:AA327"/>
    <mergeCell ref="Y388:AA388"/>
    <mergeCell ref="Z313:AA313"/>
    <mergeCell ref="AC388:AC392"/>
    <mergeCell ref="X347:X352"/>
    <mergeCell ref="Z370:AA370"/>
    <mergeCell ref="Z352:AA352"/>
    <mergeCell ref="U352:V352"/>
    <mergeCell ref="X383:X387"/>
    <mergeCell ref="U369:V369"/>
    <mergeCell ref="Z306:AA306"/>
    <mergeCell ref="AD28:AG28"/>
    <mergeCell ref="X23:AA23"/>
    <mergeCell ref="S22:W22"/>
    <mergeCell ref="U370:V370"/>
    <mergeCell ref="AE364:AF364"/>
    <mergeCell ref="Z364:AA364"/>
    <mergeCell ref="U364:V364"/>
    <mergeCell ref="U63:AA64"/>
    <mergeCell ref="U112:AA113"/>
    <mergeCell ref="R10:W10"/>
    <mergeCell ref="AC23:AF23"/>
    <mergeCell ref="AD24:AG24"/>
    <mergeCell ref="I21:I24"/>
    <mergeCell ref="K21:K24"/>
    <mergeCell ref="Q21:Q24"/>
    <mergeCell ref="P21:P24"/>
    <mergeCell ref="O21:O24"/>
    <mergeCell ref="N21:N24"/>
    <mergeCell ref="M21:M24"/>
    <mergeCell ref="L21:L24"/>
    <mergeCell ref="T14:U15"/>
    <mergeCell ref="T12:T13"/>
    <mergeCell ref="U12:U13"/>
    <mergeCell ref="V12:V13"/>
    <mergeCell ref="T11:V11"/>
    <mergeCell ref="R11:R19"/>
    <mergeCell ref="R21:AG21"/>
    <mergeCell ref="AC22:AG22"/>
    <mergeCell ref="K10:Q12"/>
  </mergeCells>
  <dataValidations disablePrompts="1" count="3">
    <dataValidation type="list" allowBlank="1" showInputMessage="1" showErrorMessage="1" sqref="U412 Z412 AE412 AE338 Z338 U338 U371 Z371 AE371 U236 U154 Z154 AE154 U196 Z196 AE196 Z236 AE236 U170 Z170 AE170 AE56 Z56 U56 AE110:AE111 Z110:Z111 U110:U111 AE245 Z245 U245 AE295 Z295 U295">
      <formula1>"lb/MMBtu,ppmvd"</formula1>
    </dataValidation>
    <dataValidation type="list" allowBlank="1" showInputMessage="1" showErrorMessage="1" sqref="AA12 AA17 AF12 AF17">
      <formula1>"5, 10, 15, 20, 25, 30, 35, 40, 45, 50"</formula1>
    </dataValidation>
    <dataValidation type="list" allowBlank="1" showInputMessage="1" showErrorMessage="1" sqref="AA13 AA18 AF18 AF13">
      <formula1>"0.01,0.02,0.03,0.04,0.05,0.06,0.07,0.08,0.09,0.10"</formula1>
    </dataValidation>
  </dataValidations>
  <hyperlinks>
    <hyperlink ref="H7" location="'Table of Contents'!A1" display="x"/>
  </hyperlinks>
  <printOptions horizontalCentered="1"/>
  <pageMargins left="0.25" right="0.1" top="0.75" bottom="0.25" header="0" footer="0"/>
  <pageSetup paperSize="5" scale="70" orientation="landscape" r:id="rId1"/>
  <headerFooter>
    <oddFooter>&amp;RPage &amp;P of &amp;N</oddFooter>
  </headerFooter>
  <ignoredErrors>
    <ignoredError sqref="E259:E276 E278:E294 D183 R259:R276 R353 K199 R359" formula="1"/>
  </ignoredErrors>
</worksheet>
</file>

<file path=xl/worksheets/sheet4.xml><?xml version="1.0" encoding="utf-8"?>
<worksheet xmlns="http://schemas.openxmlformats.org/spreadsheetml/2006/main" xmlns:r="http://schemas.openxmlformats.org/officeDocument/2006/relationships">
  <sheetPr>
    <tabColor rgb="FFFFFFD5"/>
  </sheetPr>
  <dimension ref="A1:V80"/>
  <sheetViews>
    <sheetView zoomScale="80" zoomScaleNormal="80" workbookViewId="0">
      <selection activeCell="H27" sqref="H27"/>
    </sheetView>
  </sheetViews>
  <sheetFormatPr defaultColWidth="0" defaultRowHeight="12.75" zeroHeight="1"/>
  <cols>
    <col min="1" max="1" width="15.28515625" style="271" customWidth="1"/>
    <col min="2" max="2" width="2.28515625" style="271" customWidth="1"/>
    <col min="3" max="3" width="4.140625" style="271" customWidth="1"/>
    <col min="4" max="4" width="16.85546875" style="271" customWidth="1"/>
    <col min="5" max="5" width="32" style="271" customWidth="1"/>
    <col min="6" max="6" width="16" style="271" customWidth="1"/>
    <col min="7" max="7" width="30.140625" style="271" customWidth="1"/>
    <col min="8" max="8" width="16.28515625" style="271" customWidth="1"/>
    <col min="9" max="9" width="13" style="271" customWidth="1"/>
    <col min="10" max="10" width="15.42578125" style="271" customWidth="1"/>
    <col min="11" max="11" width="10.7109375" style="271" customWidth="1"/>
    <col min="12" max="12" width="10.42578125" style="271" customWidth="1"/>
    <col min="13" max="13" width="21.42578125" style="271" customWidth="1"/>
    <col min="14" max="14" width="10.7109375" style="271" customWidth="1"/>
    <col min="15" max="15" width="1.7109375" style="271" customWidth="1"/>
    <col min="16" max="16" width="15.28515625" style="271" customWidth="1"/>
    <col min="17" max="17" width="1.7109375" style="271" customWidth="1"/>
    <col min="18" max="19" width="30.7109375" style="271" customWidth="1"/>
    <col min="20" max="22" width="0" style="271" hidden="1" customWidth="1"/>
    <col min="23" max="16384" width="9.140625" style="271" hidden="1"/>
  </cols>
  <sheetData>
    <row r="1" spans="1:19" s="5132" customFormat="1" ht="9.9499999999999993" customHeight="1">
      <c r="B1" s="5133"/>
      <c r="C1" s="5133"/>
      <c r="D1" s="5133"/>
      <c r="E1" s="5133"/>
      <c r="F1" s="5133"/>
      <c r="G1" s="5133"/>
      <c r="H1" s="5133"/>
      <c r="I1" s="5133"/>
      <c r="J1" s="5133"/>
      <c r="K1" s="5133"/>
      <c r="L1" s="5133"/>
      <c r="M1" s="5133"/>
      <c r="N1" s="5133"/>
      <c r="O1" s="5133"/>
      <c r="P1" s="5133"/>
      <c r="Q1" s="5133"/>
    </row>
    <row r="2" spans="1:19" ht="12.75" customHeight="1">
      <c r="A2" s="5132"/>
      <c r="B2" s="5133"/>
      <c r="C2" s="5133"/>
      <c r="D2" s="5185" t="s">
        <v>2023</v>
      </c>
      <c r="E2" s="5187"/>
      <c r="F2" s="5187"/>
      <c r="G2" s="5187"/>
      <c r="H2" s="5187"/>
      <c r="I2" s="5987"/>
      <c r="J2" s="5951"/>
      <c r="K2" s="5951"/>
      <c r="L2" s="5951"/>
      <c r="M2" s="5951"/>
      <c r="N2" s="5951"/>
      <c r="O2" s="5951"/>
      <c r="P2" s="5951"/>
      <c r="Q2" s="5133"/>
      <c r="R2" s="5132"/>
      <c r="S2" s="5132"/>
    </row>
    <row r="3" spans="1:19" ht="12.75" customHeight="1">
      <c r="A3" s="5132"/>
      <c r="B3" s="5133"/>
      <c r="C3" s="5133"/>
      <c r="D3" s="5186" t="s">
        <v>2798</v>
      </c>
      <c r="E3" s="5121"/>
      <c r="F3" s="5121"/>
      <c r="G3" s="5121"/>
      <c r="H3" s="5121"/>
      <c r="I3" s="5988"/>
      <c r="J3" s="5951"/>
      <c r="K3" s="5951"/>
      <c r="L3" s="5951"/>
      <c r="M3" s="5951"/>
      <c r="N3" s="5951"/>
      <c r="O3" s="5951"/>
      <c r="P3" s="5951"/>
      <c r="Q3" s="5133"/>
      <c r="R3" s="5132"/>
      <c r="S3" s="5132"/>
    </row>
    <row r="4" spans="1:19" ht="12.75" customHeight="1">
      <c r="A4" s="5132"/>
      <c r="B4" s="5133"/>
      <c r="C4" s="5133"/>
      <c r="D4" s="5186" t="s">
        <v>2538</v>
      </c>
      <c r="E4" s="5121"/>
      <c r="F4" s="5121"/>
      <c r="G4" s="5121"/>
      <c r="H4" s="5121"/>
      <c r="I4" s="5988"/>
      <c r="J4" s="5951"/>
      <c r="K4" s="5951"/>
      <c r="L4" s="5951"/>
      <c r="M4" s="5951"/>
      <c r="N4" s="5951"/>
      <c r="O4" s="5951"/>
      <c r="P4" s="5951"/>
      <c r="Q4" s="5133"/>
      <c r="R4" s="5132"/>
      <c r="S4" s="5132"/>
    </row>
    <row r="5" spans="1:19" ht="12.75" customHeight="1">
      <c r="A5" s="5132"/>
      <c r="B5" s="5133"/>
      <c r="C5" s="5133"/>
      <c r="D5" s="5989" t="s">
        <v>2030</v>
      </c>
      <c r="E5" s="5121"/>
      <c r="F5" s="5121"/>
      <c r="G5" s="5121"/>
      <c r="H5" s="5121"/>
      <c r="I5" s="5988"/>
      <c r="J5" s="5951"/>
      <c r="K5" s="5951"/>
      <c r="L5" s="5951"/>
      <c r="M5" s="5951"/>
      <c r="N5" s="5951"/>
      <c r="O5" s="5951"/>
      <c r="P5" s="5951"/>
      <c r="Q5" s="5133"/>
      <c r="R5" s="5132"/>
      <c r="S5" s="5132"/>
    </row>
    <row r="6" spans="1:19" ht="12.75" customHeight="1">
      <c r="A6" s="5132"/>
      <c r="B6" s="5133"/>
      <c r="C6" s="5133"/>
      <c r="D6" s="5989" t="s">
        <v>2022</v>
      </c>
      <c r="E6" s="5121"/>
      <c r="F6" s="5121"/>
      <c r="G6" s="5121"/>
      <c r="H6" s="5121"/>
      <c r="I6" s="5988"/>
      <c r="J6" s="5951"/>
      <c r="K6" s="5951"/>
      <c r="L6" s="5951"/>
      <c r="M6" s="5951"/>
      <c r="N6" s="5951"/>
      <c r="O6" s="5951"/>
      <c r="P6" s="5951"/>
      <c r="Q6" s="5133"/>
      <c r="R6" s="5132"/>
      <c r="S6" s="5132"/>
    </row>
    <row r="7" spans="1:19" ht="12.75" customHeight="1">
      <c r="A7" s="5132"/>
      <c r="B7" s="5133"/>
      <c r="C7" s="5133"/>
      <c r="D7" s="5989" t="s">
        <v>2031</v>
      </c>
      <c r="E7" s="5121"/>
      <c r="F7" s="5121"/>
      <c r="G7" s="5121"/>
      <c r="H7" s="5121"/>
      <c r="I7" s="5988"/>
      <c r="J7" s="5951"/>
      <c r="K7" s="5951"/>
      <c r="L7" s="5951"/>
      <c r="M7" s="5951"/>
      <c r="N7" s="5951"/>
      <c r="O7" s="5951"/>
      <c r="P7" s="5951"/>
      <c r="Q7" s="5133"/>
      <c r="R7" s="5132"/>
      <c r="S7" s="5132"/>
    </row>
    <row r="8" spans="1:19" ht="12.75" customHeight="1">
      <c r="A8" s="5132"/>
      <c r="B8" s="5133"/>
      <c r="C8" s="5133"/>
      <c r="D8" s="5186" t="s">
        <v>2099</v>
      </c>
      <c r="E8" s="5121"/>
      <c r="F8" s="5121"/>
      <c r="G8" s="5121"/>
      <c r="H8" s="5121"/>
      <c r="I8" s="5988"/>
      <c r="J8" s="5951"/>
      <c r="K8" s="5951"/>
      <c r="L8" s="5951"/>
      <c r="M8" s="5951"/>
      <c r="N8" s="5951"/>
      <c r="O8" s="5951"/>
      <c r="P8" s="5951"/>
      <c r="Q8" s="5133"/>
      <c r="R8" s="5132"/>
      <c r="S8" s="5132"/>
    </row>
    <row r="9" spans="1:19" ht="18" customHeight="1">
      <c r="A9" s="5132"/>
      <c r="B9" s="5133"/>
      <c r="C9" s="5133"/>
      <c r="D9" s="7908" t="s">
        <v>2025</v>
      </c>
      <c r="E9" s="8803" t="s">
        <v>2027</v>
      </c>
      <c r="F9" s="8803"/>
      <c r="G9" s="8803"/>
      <c r="H9" s="8803"/>
      <c r="I9" s="9269"/>
      <c r="J9" s="5951"/>
      <c r="K9" s="5951"/>
      <c r="L9" s="5951"/>
      <c r="M9" s="5951"/>
      <c r="N9" s="5951"/>
      <c r="O9" s="5951"/>
      <c r="P9" s="5951"/>
      <c r="Q9" s="5133"/>
      <c r="R9" s="5132"/>
      <c r="S9" s="5132"/>
    </row>
    <row r="10" spans="1:19" ht="26.1" customHeight="1">
      <c r="A10" s="5132"/>
      <c r="B10" s="5133"/>
      <c r="C10" s="5133"/>
      <c r="D10" s="7908" t="s">
        <v>2026</v>
      </c>
      <c r="E10" s="8803" t="s">
        <v>2028</v>
      </c>
      <c r="F10" s="8803"/>
      <c r="G10" s="8803"/>
      <c r="H10" s="8803"/>
      <c r="I10" s="9269"/>
      <c r="J10" s="5951"/>
      <c r="K10" s="5951"/>
      <c r="L10" s="5951"/>
      <c r="M10" s="5951"/>
      <c r="N10" s="5951"/>
      <c r="O10" s="5951"/>
      <c r="P10" s="5951"/>
      <c r="Q10" s="5133"/>
      <c r="R10" s="5132"/>
      <c r="S10" s="5132"/>
    </row>
    <row r="11" spans="1:19" ht="26.1" customHeight="1">
      <c r="A11" s="5132"/>
      <c r="B11" s="5133"/>
      <c r="C11" s="5133"/>
      <c r="D11" s="7908" t="s">
        <v>2024</v>
      </c>
      <c r="E11" s="8803" t="s">
        <v>2029</v>
      </c>
      <c r="F11" s="8803"/>
      <c r="G11" s="8803"/>
      <c r="H11" s="8803"/>
      <c r="I11" s="9269"/>
      <c r="J11" s="5951"/>
      <c r="K11" s="5951"/>
      <c r="L11" s="5951"/>
      <c r="M11" s="5951"/>
      <c r="N11" s="5951"/>
      <c r="O11" s="5951"/>
      <c r="P11" s="5951"/>
      <c r="Q11" s="5133"/>
      <c r="R11" s="5132"/>
      <c r="S11" s="5132"/>
    </row>
    <row r="12" spans="1:19">
      <c r="A12" s="5132"/>
      <c r="B12" s="5133"/>
      <c r="C12" s="5133"/>
      <c r="D12" s="5990" t="s">
        <v>912</v>
      </c>
      <c r="E12" s="5121"/>
      <c r="F12" s="5121"/>
      <c r="G12" s="5121"/>
      <c r="H12" s="5121"/>
      <c r="I12" s="5988"/>
      <c r="J12" s="5951"/>
      <c r="K12" s="5951"/>
      <c r="L12" s="5951"/>
      <c r="M12" s="5951"/>
      <c r="N12" s="5951"/>
      <c r="O12" s="5951"/>
      <c r="P12" s="5951"/>
      <c r="Q12" s="5133"/>
      <c r="R12" s="5132"/>
      <c r="S12" s="5132"/>
    </row>
    <row r="13" spans="1:19">
      <c r="A13" s="5132"/>
      <c r="B13" s="7405"/>
      <c r="C13" s="7405"/>
      <c r="D13" s="5991" t="s">
        <v>2098</v>
      </c>
      <c r="E13" s="5992"/>
      <c r="F13" s="5992"/>
      <c r="G13" s="5992"/>
      <c r="H13" s="5992"/>
      <c r="I13" s="5993"/>
      <c r="J13" s="5951"/>
      <c r="K13" s="5951"/>
      <c r="L13" s="5951"/>
      <c r="M13" s="5951"/>
      <c r="N13" s="5951"/>
      <c r="O13" s="5951"/>
      <c r="P13" s="5951"/>
      <c r="Q13" s="5133"/>
      <c r="R13" s="5132"/>
      <c r="S13" s="5132"/>
    </row>
    <row r="14" spans="1:19">
      <c r="A14" s="5132"/>
      <c r="B14" s="8691" t="s">
        <v>2430</v>
      </c>
      <c r="C14" s="7405"/>
      <c r="D14" s="5947"/>
      <c r="E14" s="5947"/>
      <c r="F14" s="5947"/>
      <c r="G14" s="5947"/>
      <c r="H14" s="5947"/>
      <c r="I14" s="5994"/>
      <c r="J14" s="5951"/>
      <c r="K14" s="5951"/>
      <c r="L14" s="5951"/>
      <c r="M14" s="5951"/>
      <c r="N14" s="7422"/>
      <c r="O14" s="7422"/>
      <c r="P14" s="7422"/>
      <c r="Q14" s="5133"/>
      <c r="R14" s="5132"/>
      <c r="S14" s="5132"/>
    </row>
    <row r="15" spans="1:19" ht="12.75" hidden="1" customHeight="1">
      <c r="A15" s="5132"/>
      <c r="B15" s="5996"/>
      <c r="C15" s="7406"/>
      <c r="D15" s="5985" t="str">
        <f>+IF(N15="","",VLOOKUP(MATCH(N15,tid,0),tao,'12(id)'!$K$20,FALSE))</f>
        <v/>
      </c>
      <c r="E15" s="5985" t="str">
        <f>+IF(N15="","",VLOOKUP(MATCH(N15,tid,0),tao,'12(id)'!$I$20,FALSE))</f>
        <v/>
      </c>
      <c r="F15" s="5985" t="str">
        <f>+IF(N15="","",VLOOKUP(MATCH(N15,tid,0),tao,'12(id)'!$J$20,FALSE))</f>
        <v/>
      </c>
      <c r="G15" s="5985" t="str">
        <f>+IF(N15="","",VLOOKUP(MATCH(N15,tid,0),tao,'12(id)'!$L$20,FALSE))</f>
        <v/>
      </c>
      <c r="H15" s="5985" t="str">
        <f>+IF(N15="","",VLOOKUP(MATCH(N15,tid,0),tao,'12(id)'!$Q$20,FALSE))</f>
        <v/>
      </c>
      <c r="I15" s="5995"/>
      <c r="J15" s="5986" t="str">
        <f>+IF(ISERROR(MATCH(N15,tid,0)),"",IF(VLOOKUP(MATCH(N15,tid,0),tao,'12(id)'!$CT$20,FALSE)="","",VLOOKUP(MATCH(N15,tid,0),tao,'12(id)'!$CT$20,FALSE)))</f>
        <v/>
      </c>
      <c r="K15" s="5986" t="str">
        <f>+IF(N15="","",VLOOKUP(MATCH(N15,tid,0),tao,'12(id)'!$U$20,FALSE))</f>
        <v/>
      </c>
      <c r="L15" s="5986" t="str">
        <f>+IF(ISERROR(MATCH(N15,tid,0)),"",IF(VLOOKUP(MATCH(N15,tid,0),tao,'12(id)'!$DE$20,FALSE)="","",ROUND(VLOOKUP(MATCH(N15,tid,0),tao,'12(id)'!$DE$20,FALSE),0)&amp;" yrs"))</f>
        <v/>
      </c>
      <c r="M15" s="5986" t="str">
        <f>+IF(N15="","",IF(VLOOKUP(MATCH(N15,tid,0),tao,'12(id)'!$DI$20,FALSE)="","",VLOOKUP(MATCH(N15,tid,0),tao,'12(id)'!$DI$20,FALSE))&amp;";  "&amp;IF(VLOOKUP(MATCH(N15,tid,0),tao,'12(id)'!$DQ$20,FALSE)="","",VLOOKUP(MATCH(N15,tid,0),tao,'12(id)'!$DQ$20,FALSE)))</f>
        <v/>
      </c>
      <c r="N15" s="5986" t="str">
        <f>+IF('12(id)'!A12=0,"",'12(id)'!A12)</f>
        <v/>
      </c>
      <c r="O15" s="7405"/>
      <c r="P15" s="7405"/>
      <c r="Q15" s="5133"/>
      <c r="R15" s="5132"/>
      <c r="S15" s="5132"/>
    </row>
    <row r="16" spans="1:19" ht="9.75" customHeight="1">
      <c r="A16" s="5132"/>
      <c r="B16" s="5132"/>
      <c r="C16" s="5132"/>
      <c r="D16" s="5143"/>
      <c r="E16" s="5143"/>
      <c r="F16" s="5143"/>
      <c r="G16" s="5143"/>
      <c r="H16" s="5143"/>
      <c r="I16" s="5143"/>
      <c r="J16" s="5132"/>
      <c r="K16" s="5132"/>
      <c r="L16" s="5132"/>
      <c r="M16" s="5132"/>
      <c r="N16" s="5132"/>
      <c r="O16" s="5132"/>
      <c r="P16" s="5132"/>
      <c r="Q16" s="5132"/>
      <c r="R16" s="5132"/>
      <c r="S16" s="5132"/>
    </row>
    <row r="17" spans="1:19">
      <c r="A17" s="5132"/>
      <c r="B17" s="5133"/>
      <c r="C17" s="5133"/>
      <c r="D17" s="5121"/>
      <c r="E17" s="5121"/>
      <c r="F17" s="5121"/>
      <c r="G17" s="5121"/>
      <c r="H17" s="5121"/>
      <c r="I17" s="5121"/>
      <c r="J17" s="5133"/>
      <c r="K17" s="5133"/>
      <c r="L17" s="5133"/>
      <c r="M17" s="5133"/>
      <c r="N17" s="5133"/>
      <c r="O17" s="5133"/>
      <c r="P17" s="5133"/>
      <c r="Q17" s="5133"/>
      <c r="R17" s="5132"/>
      <c r="S17" s="5132"/>
    </row>
    <row r="18" spans="1:19">
      <c r="A18" s="5132"/>
      <c r="B18" s="5133"/>
      <c r="C18" s="5133"/>
      <c r="D18" s="5133"/>
      <c r="E18" s="5133"/>
      <c r="F18" s="5133"/>
      <c r="G18" s="5133"/>
      <c r="H18" s="5133"/>
      <c r="I18" s="5133"/>
      <c r="J18" s="5133"/>
      <c r="K18" s="5133"/>
      <c r="L18" s="5133"/>
      <c r="M18" s="5133"/>
      <c r="N18" s="5133"/>
      <c r="O18" s="5133"/>
      <c r="P18" s="5133"/>
      <c r="Q18" s="5133"/>
      <c r="R18" s="5132"/>
      <c r="S18" s="5132"/>
    </row>
    <row r="19" spans="1:19" ht="18" customHeight="1">
      <c r="A19" s="5132"/>
      <c r="B19" s="5133"/>
      <c r="C19" s="5133"/>
      <c r="D19" s="5133"/>
      <c r="E19" s="5133"/>
      <c r="F19" s="5133"/>
      <c r="G19" s="5373" t="s">
        <v>2076</v>
      </c>
      <c r="H19" s="5133"/>
      <c r="I19" s="5133"/>
      <c r="J19" s="5133"/>
      <c r="K19" s="5133"/>
      <c r="L19" s="5133"/>
      <c r="M19" s="5133"/>
      <c r="N19" s="5133"/>
      <c r="O19" s="5133"/>
      <c r="P19" s="5133"/>
      <c r="Q19" s="5133"/>
      <c r="R19" s="5132"/>
      <c r="S19" s="5132"/>
    </row>
    <row r="20" spans="1:19" ht="13.5" thickBot="1">
      <c r="A20" s="5132"/>
      <c r="B20" s="5133"/>
      <c r="C20" s="5133"/>
      <c r="D20" s="5133"/>
      <c r="E20" s="5133"/>
      <c r="F20" s="5133"/>
      <c r="G20" s="5133"/>
      <c r="H20" s="5133"/>
      <c r="I20" s="5133"/>
      <c r="J20" s="5133"/>
      <c r="K20" s="5133"/>
      <c r="L20" s="5133"/>
      <c r="M20" s="5133"/>
      <c r="N20" s="5997" t="s">
        <v>2534</v>
      </c>
      <c r="O20" s="5133"/>
      <c r="P20" s="5133"/>
      <c r="Q20" s="5133"/>
      <c r="R20" s="5132"/>
      <c r="S20" s="5132"/>
    </row>
    <row r="21" spans="1:19" ht="12.75" customHeight="1">
      <c r="A21" s="5132"/>
      <c r="B21" s="5133"/>
      <c r="C21" s="9320" t="s">
        <v>1970</v>
      </c>
      <c r="D21" s="9278" t="s">
        <v>254</v>
      </c>
      <c r="E21" s="9278" t="s">
        <v>255</v>
      </c>
      <c r="F21" s="9278" t="s">
        <v>1872</v>
      </c>
      <c r="G21" s="9278" t="s">
        <v>1488</v>
      </c>
      <c r="H21" s="9280" t="s">
        <v>1493</v>
      </c>
      <c r="I21" s="9281"/>
      <c r="J21" s="9281"/>
      <c r="K21" s="9281"/>
      <c r="L21" s="9281"/>
      <c r="M21" s="9281"/>
      <c r="N21" s="9282"/>
      <c r="O21" s="5133"/>
      <c r="P21" s="5133"/>
      <c r="Q21" s="5133"/>
      <c r="R21" s="5132"/>
      <c r="S21" s="5132"/>
    </row>
    <row r="22" spans="1:19" ht="39.950000000000003" customHeight="1">
      <c r="A22" s="5132"/>
      <c r="B22" s="5133"/>
      <c r="C22" s="9321"/>
      <c r="D22" s="9279"/>
      <c r="E22" s="9279"/>
      <c r="F22" s="9279"/>
      <c r="G22" s="9279"/>
      <c r="H22" s="5998" t="s">
        <v>1494</v>
      </c>
      <c r="I22" s="5999" t="s">
        <v>1933</v>
      </c>
      <c r="J22" s="5999" t="s">
        <v>1190</v>
      </c>
      <c r="K22" s="5999" t="s">
        <v>1490</v>
      </c>
      <c r="L22" s="5999" t="s">
        <v>984</v>
      </c>
      <c r="M22" s="5999" t="s">
        <v>1873</v>
      </c>
      <c r="N22" s="6000" t="s">
        <v>1086</v>
      </c>
      <c r="O22" s="5133"/>
      <c r="P22" s="5133"/>
      <c r="Q22" s="5133"/>
      <c r="R22" s="5132"/>
      <c r="S22" s="5132"/>
    </row>
    <row r="23" spans="1:19" ht="13.5" thickBot="1">
      <c r="A23" s="5132"/>
      <c r="B23" s="5133"/>
      <c r="C23" s="6001">
        <f>1+B23</f>
        <v>1</v>
      </c>
      <c r="D23" s="6002">
        <f>1+C23</f>
        <v>2</v>
      </c>
      <c r="E23" s="6002">
        <f t="shared" ref="E23:N23" si="0">1+D23</f>
        <v>3</v>
      </c>
      <c r="F23" s="6002">
        <f t="shared" si="0"/>
        <v>4</v>
      </c>
      <c r="G23" s="6002">
        <f t="shared" si="0"/>
        <v>5</v>
      </c>
      <c r="H23" s="6002">
        <f t="shared" si="0"/>
        <v>6</v>
      </c>
      <c r="I23" s="6002">
        <f t="shared" si="0"/>
        <v>7</v>
      </c>
      <c r="J23" s="6002">
        <f t="shared" si="0"/>
        <v>8</v>
      </c>
      <c r="K23" s="6002">
        <f t="shared" si="0"/>
        <v>9</v>
      </c>
      <c r="L23" s="6002">
        <f t="shared" si="0"/>
        <v>10</v>
      </c>
      <c r="M23" s="6002">
        <f t="shared" si="0"/>
        <v>11</v>
      </c>
      <c r="N23" s="6002">
        <f t="shared" si="0"/>
        <v>12</v>
      </c>
      <c r="O23" s="5133"/>
      <c r="P23" s="5133"/>
      <c r="Q23" s="5133"/>
      <c r="R23" s="5132"/>
      <c r="S23" s="5132"/>
    </row>
    <row r="24" spans="1:19" ht="27.95" customHeight="1" thickBot="1">
      <c r="A24" s="5142"/>
      <c r="B24" s="5936"/>
      <c r="C24" s="8694">
        <f>+IF(VLOOKUP(MATCH(N24,tid,0),tao,'12(id)'!$H$20,FALSE)="","",VLOOKUP(MATCH(N24,tid,0),tao,'12(id)'!$H$20,FALSE))</f>
        <v>1</v>
      </c>
      <c r="D24" s="7404">
        <f>+IF(N24="","",VLOOKUP(MATCH(N24,tid,0),tao,'12(id)'!$K$20,FALSE))</f>
        <v>8298</v>
      </c>
      <c r="E24" s="6003" t="str">
        <f>+IF(N24="","",VLOOKUP(MATCH(N24,tid,0),tao,'12(id)'!$I$20,FALSE))</f>
        <v>Capitol District Energy Center Cogeneration Associates</v>
      </c>
      <c r="F24" s="7403" t="str">
        <f>+IF(N24="","",VLOOKUP(MATCH(N24,tid,0),tao,'12(id)'!$J$20,FALSE))</f>
        <v>CDECCA</v>
      </c>
      <c r="G24" s="6004" t="str">
        <f>+IF(N24="","",VLOOKUP(MATCH(N24,tid,0),tao,'12(id)'!$L$20,FALSE))</f>
        <v>Capitol District Energy Center</v>
      </c>
      <c r="H24" s="6004" t="str">
        <f>+IF(N24="","",VLOOKUP(MATCH(N24,tid,0),tao,'12(id)'!$Q$20,FALSE))</f>
        <v>GT </v>
      </c>
      <c r="I24" s="9273" t="s">
        <v>794</v>
      </c>
      <c r="J24" s="6005" t="str">
        <f>+IF(ISERROR(MATCH(N24,tid,0)),"",IF(VLOOKUP(MATCH(N24,tid,0),tao,'12(id)'!$CT$20,FALSE)="","",VLOOKUP(MATCH(N24,tid,0),tao,'12(id)'!$CT$20,FALSE)))</f>
        <v/>
      </c>
      <c r="K24" s="6006">
        <f>+IF(N24="","",VLOOKUP(MATCH(N24,tid,0),tao,'12(id)'!$U$20,FALSE))</f>
        <v>1</v>
      </c>
      <c r="L24" s="6007" t="str">
        <f ca="1">+IF(ISERROR(MATCH(N24,tid,0)),"",IF(VLOOKUP(MATCH(N24,tid,0),tao,'12(id)'!$DE$20,FALSE)="","",ROUND(VLOOKUP(MATCH(N24,tid,0),tao,'12(id)'!$DE$20,FALSE),0)&amp;" yrs"))</f>
        <v>25 yrs</v>
      </c>
      <c r="M24" s="6007" t="str">
        <f>+IF(N24="","",IF(VLOOKUP(MATCH(N24,tid,0),tao,'12(id)'!$DI$20,FALSE)="","",VLOOKUP(MATCH(N24,tid,0),tao,'12(id)'!$DI$20,FALSE))&amp;";  "&amp;IF(VLOOKUP(MATCH(N24,tid,0),tao,'12(id)'!$DQ$20,FALSE)="","",VLOOKUP(MATCH(N24,tid,0),tao,'12(id)'!$DQ$20,FALSE)))</f>
        <v>Natural Gas;  No. 2 oil</v>
      </c>
      <c r="N24" s="6008" t="str">
        <f>+'12(id)'!A21</f>
        <v>8298-01</v>
      </c>
      <c r="O24" s="5133"/>
      <c r="P24" s="5133"/>
      <c r="Q24" s="5133"/>
      <c r="R24" s="5132"/>
      <c r="S24" s="5132"/>
    </row>
    <row r="25" spans="1:19" ht="21.95" customHeight="1">
      <c r="A25" s="5142"/>
      <c r="B25" s="5936"/>
      <c r="C25" s="9274">
        <f>+IF(VLOOKUP(MATCH(N25,tid,0),tao,'12(id)'!$H$20,FALSE)="","",VLOOKUP(MATCH(N25,tid,0),tao,'12(id)'!$H$20,FALSE))</f>
        <v>2</v>
      </c>
      <c r="D25" s="9286">
        <f>+IF(VLOOKUP(MATCH(N25,tid,0),tao,'12(id)'!$K$20,FALSE)="","",VLOOKUP(MATCH(N25,tid,0),tao,'12(id)'!$K$20,FALSE))</f>
        <v>8302</v>
      </c>
      <c r="E25" s="9289" t="str">
        <f>+IF(VLOOKUP(MATCH(N25,tid,0),tao,'12(id)'!$I$20,FALSE)="","",VLOOKUP(MATCH(N25,tid,0),tao,'12(id)'!$I$20,FALSE))</f>
        <v>Connecticut Resources Recovery Authority</v>
      </c>
      <c r="F25" s="9289" t="str">
        <f>+IF(VLOOKUP(MATCH(N25,tid,0),tao,'12(id)'!$J$20,FALSE)="","",VLOOKUP(MATCH(N25,tid,0),tao,'12(id)'!$J$20,FALSE))</f>
        <v>CRRA</v>
      </c>
      <c r="G25" s="9312" t="str">
        <f>+IF(N25="","",VLOOKUP(MATCH(N25,tid,0),tao,'12(id)'!$L$20,FALSE))</f>
        <v>South Meadow Station</v>
      </c>
      <c r="H25" s="6009" t="str">
        <f>+IF(N25="","",VLOOKUP(MATCH(N25,tid,0),tao,'12(id)'!$Q$20,FALSE))</f>
        <v>11A</v>
      </c>
      <c r="I25" s="9271"/>
      <c r="J25" s="9307">
        <f>+IF(ISERROR(MATCH(N25,tid,0)),"",IF(VLOOKUP(MATCH(N25,tid,0),tao,'12(id)'!$CT$20,FALSE)="","",VLOOKUP(MATCH(N25,tid,0),tao,'12(id)'!$CT$20,FALSE)))</f>
        <v>40</v>
      </c>
      <c r="K25" s="9283">
        <f>+IF(N25="","",VLOOKUP(MATCH(N25,tid,0),tao,'12(id)'!$U$20,FALSE))</f>
        <v>8</v>
      </c>
      <c r="L25" s="9292" t="str">
        <f ca="1">+IF(ISERROR(MATCH(N25,tid,0)),"",IF(VLOOKUP(MATCH(N25,tid,0),tao,'12(id)'!$DE$20,FALSE)="","",ROUND(VLOOKUP(MATCH(N25,tid,0),tao,'12(id)'!$DE$20,FALSE),0)&amp;" yrs"))</f>
        <v>45 yrs</v>
      </c>
      <c r="M25" s="9295" t="str">
        <f>+IF(N25="","",IF(VLOOKUP(MATCH(N25,tid,0),tao,'12(id)'!$DI$20,FALSE)="","",VLOOKUP(MATCH(N25,tid,0),tao,'12(id)'!$DI$20,FALSE))&amp;";  "&amp;IF(VLOOKUP(MATCH(N25,tid,0),tao,'12(id)'!$DQ$20,FALSE)="","",VLOOKUP(MATCH(N25,tid,0),tao,'12(id)'!$DQ$20,FALSE)))</f>
        <v>Jet Fuel A (Kerosene K1);  No. 2 oil</v>
      </c>
      <c r="N25" s="6010" t="str">
        <f>+'12(id)'!A22</f>
        <v>8302-01</v>
      </c>
      <c r="O25" s="5133"/>
      <c r="P25" s="5133"/>
      <c r="Q25" s="5133"/>
      <c r="R25" s="5132"/>
      <c r="S25" s="5132"/>
    </row>
    <row r="26" spans="1:19" ht="21.95" customHeight="1">
      <c r="A26" s="5142"/>
      <c r="B26" s="5936"/>
      <c r="C26" s="9275" t="str">
        <f>+IF(VLOOKUP(MATCH(N26,tid,0),tao,'12(id)'!$H$20,FALSE)="","",VLOOKUP(MATCH(N26,tid,0),tao,'12(id)'!$H$20,FALSE))</f>
        <v/>
      </c>
      <c r="D26" s="9287"/>
      <c r="E26" s="9290" t="str">
        <f>+IF(VLOOKUP(MATCH(N26,tid,0),tao,'12(id)'!$I$20,FALSE)="","",VLOOKUP(MATCH(N26,tid,0),tao,'12(id)'!$I$20,FALSE))</f>
        <v/>
      </c>
      <c r="F26" s="9290" t="str">
        <f>+IF(VLOOKUP(MATCH(N26,tid,0),tao,'12(id)'!$J$20,FALSE)="","",VLOOKUP(MATCH(N26,tid,0),tao,'12(id)'!$J$20,FALSE))</f>
        <v/>
      </c>
      <c r="G26" s="9313" t="str">
        <f>+IF(N26="","",VLOOKUP(MATCH(N26,tid,0),tao,'12(id)'!$L$20,FALSE))</f>
        <v>South Meadow Station</v>
      </c>
      <c r="H26" s="6011" t="str">
        <f>+IF(N26="","",VLOOKUP(MATCH(N26,tid,0),tao,'12(id)'!$Q$20,FALSE))</f>
        <v>11B</v>
      </c>
      <c r="I26" s="9271"/>
      <c r="J26" s="9309" t="str">
        <f>+IF(ISERROR(MATCH(N26,tid,0)),"",IF(VLOOKUP(MATCH(N26,tid,0),tao,'12(id)'!$CT$20,FALSE)="","",VLOOKUP(MATCH(N26,tid,0),tao,'12(id)'!$CT$20,FALSE)))</f>
        <v/>
      </c>
      <c r="K26" s="9284">
        <f>+IF(N26="","",VLOOKUP(MATCH(N26,tid,0),tao,'12(id)'!$U$20,FALSE))</f>
        <v>8</v>
      </c>
      <c r="L26" s="9293" t="str">
        <f ca="1">+IF(ISERROR(MATCH(N26,tid,0)),"",IF(VLOOKUP(MATCH(N26,tid,0),tao,'12(id)'!$DE$20,FALSE)="","",ROUND(VLOOKUP(MATCH(N26,tid,0),tao,'12(id)'!$DE$20,FALSE),0)&amp;" yrs"))</f>
        <v>45 yrs</v>
      </c>
      <c r="M26" s="9296" t="str">
        <f>+IF(N26="","",IF(VLOOKUP(MATCH(N26,tid,0),tao,'12(id)'!$DI$20,FALSE)="","",VLOOKUP(MATCH(N26,tid,0),tao,'12(id)'!$DI$20,FALSE))&amp;";  "&amp;IF(VLOOKUP(MATCH(N26,tid,0),tao,'12(id)'!$DQ$20,FALSE)="","",VLOOKUP(MATCH(N26,tid,0),tao,'12(id)'!$DQ$20,FALSE)))</f>
        <v>Jet Fuel A (Kerosene K1);  No. 2 oil</v>
      </c>
      <c r="N26" s="6012" t="str">
        <f>+'12(id)'!A23</f>
        <v>8302-02</v>
      </c>
      <c r="O26" s="5133"/>
      <c r="P26" s="5133"/>
      <c r="Q26" s="5133"/>
      <c r="R26" s="5132"/>
      <c r="S26" s="5132"/>
    </row>
    <row r="27" spans="1:19" ht="21.95" customHeight="1">
      <c r="A27" s="5142"/>
      <c r="B27" s="5936"/>
      <c r="C27" s="9275" t="str">
        <f>+IF(VLOOKUP(MATCH(N27,tid,0),tao,'12(id)'!$H$20,FALSE)="","",VLOOKUP(MATCH(N27,tid,0),tao,'12(id)'!$H$20,FALSE))</f>
        <v/>
      </c>
      <c r="D27" s="9287"/>
      <c r="E27" s="9290" t="str">
        <f>+IF(VLOOKUP(MATCH(N27,tid,0),tao,'12(id)'!$I$20,FALSE)="","",VLOOKUP(MATCH(N27,tid,0),tao,'12(id)'!$I$20,FALSE))</f>
        <v/>
      </c>
      <c r="F27" s="9290" t="str">
        <f>+IF(VLOOKUP(MATCH(N27,tid,0),tao,'12(id)'!$J$20,FALSE)="","",VLOOKUP(MATCH(N27,tid,0),tao,'12(id)'!$J$20,FALSE))</f>
        <v/>
      </c>
      <c r="G27" s="9313" t="str">
        <f>+IF(N27="","",VLOOKUP(MATCH(N27,tid,0),tao,'12(id)'!$L$20,FALSE))</f>
        <v>South Meadow Station</v>
      </c>
      <c r="H27" s="6011" t="str">
        <f>+IF(N27="","",VLOOKUP(MATCH(N27,tid,0),tao,'12(id)'!$Q$20,FALSE))</f>
        <v>12A</v>
      </c>
      <c r="I27" s="9271"/>
      <c r="J27" s="9310">
        <f>+IF(ISERROR(MATCH(N27,tid,0)),"",IF(VLOOKUP(MATCH(N27,tid,0),tao,'12(id)'!$CT$20,FALSE)="","",VLOOKUP(MATCH(N27,tid,0),tao,'12(id)'!$CT$20,FALSE)))</f>
        <v>40</v>
      </c>
      <c r="K27" s="9284">
        <f>+IF(N27="","",VLOOKUP(MATCH(N27,tid,0),tao,'12(id)'!$U$20,FALSE))</f>
        <v>8</v>
      </c>
      <c r="L27" s="9293" t="str">
        <f ca="1">+IF(ISERROR(MATCH(N27,tid,0)),"",IF(VLOOKUP(MATCH(N27,tid,0),tao,'12(id)'!$DE$20,FALSE)="","",ROUND(VLOOKUP(MATCH(N27,tid,0),tao,'12(id)'!$DE$20,FALSE),0)&amp;" yrs"))</f>
        <v>45 yrs</v>
      </c>
      <c r="M27" s="9296" t="str">
        <f>+IF(N27="","",IF(VLOOKUP(MATCH(N27,tid,0),tao,'12(id)'!$DI$20,FALSE)="","",VLOOKUP(MATCH(N27,tid,0),tao,'12(id)'!$DI$20,FALSE))&amp;";  "&amp;IF(VLOOKUP(MATCH(N27,tid,0),tao,'12(id)'!$DQ$20,FALSE)="","",VLOOKUP(MATCH(N27,tid,0),tao,'12(id)'!$DQ$20,FALSE)))</f>
        <v>Jet Fuel A (Kerosene K1);  No. 2 oil</v>
      </c>
      <c r="N27" s="6012" t="str">
        <f>+'12(id)'!A24</f>
        <v>8302-03</v>
      </c>
      <c r="O27" s="5133"/>
      <c r="P27" s="5133"/>
      <c r="Q27" s="5133"/>
      <c r="R27" s="5132"/>
      <c r="S27" s="5132"/>
    </row>
    <row r="28" spans="1:19" ht="21.95" customHeight="1">
      <c r="A28" s="5142"/>
      <c r="B28" s="5936"/>
      <c r="C28" s="9275" t="str">
        <f>+IF(VLOOKUP(MATCH(N28,tid,0),tao,'12(id)'!$H$20,FALSE)="","",VLOOKUP(MATCH(N28,tid,0),tao,'12(id)'!$H$20,FALSE))</f>
        <v/>
      </c>
      <c r="D28" s="9287"/>
      <c r="E28" s="9290" t="str">
        <f>+IF(VLOOKUP(MATCH(N28,tid,0),tao,'12(id)'!$I$20,FALSE)="","",VLOOKUP(MATCH(N28,tid,0),tao,'12(id)'!$I$20,FALSE))</f>
        <v/>
      </c>
      <c r="F28" s="9290" t="str">
        <f>+IF(VLOOKUP(MATCH(N28,tid,0),tao,'12(id)'!$J$20,FALSE)="","",VLOOKUP(MATCH(N28,tid,0),tao,'12(id)'!$J$20,FALSE))</f>
        <v/>
      </c>
      <c r="G28" s="9313" t="str">
        <f>+IF(N28="","",VLOOKUP(MATCH(N28,tid,0),tao,'12(id)'!$L$20,FALSE))</f>
        <v>South Meadow Station</v>
      </c>
      <c r="H28" s="6011" t="str">
        <f>+IF(N28="","",VLOOKUP(MATCH(N28,tid,0),tao,'12(id)'!$Q$20,FALSE))</f>
        <v>12B</v>
      </c>
      <c r="I28" s="9271"/>
      <c r="J28" s="9310" t="str">
        <f>+IF(ISERROR(MATCH(N28,tid,0)),"",IF(VLOOKUP(MATCH(N28,tid,0),tao,'12(id)'!$CT$20,FALSE)="","",VLOOKUP(MATCH(N28,tid,0),tao,'12(id)'!$CT$20,FALSE)))</f>
        <v/>
      </c>
      <c r="K28" s="9284">
        <f>+IF(N28="","",VLOOKUP(MATCH(N28,tid,0),tao,'12(id)'!$U$20,FALSE))</f>
        <v>8</v>
      </c>
      <c r="L28" s="9293" t="str">
        <f ca="1">+IF(ISERROR(MATCH(N28,tid,0)),"",IF(VLOOKUP(MATCH(N28,tid,0),tao,'12(id)'!$DE$20,FALSE)="","",ROUND(VLOOKUP(MATCH(N28,tid,0),tao,'12(id)'!$DE$20,FALSE),0)&amp;" yrs"))</f>
        <v>45 yrs</v>
      </c>
      <c r="M28" s="9296" t="str">
        <f>+IF(N28="","",IF(VLOOKUP(MATCH(N28,tid,0),tao,'12(id)'!$DI$20,FALSE)="","",VLOOKUP(MATCH(N28,tid,0),tao,'12(id)'!$DI$20,FALSE))&amp;";  "&amp;IF(VLOOKUP(MATCH(N28,tid,0),tao,'12(id)'!$DQ$20,FALSE)="","",VLOOKUP(MATCH(N28,tid,0),tao,'12(id)'!$DQ$20,FALSE)))</f>
        <v>Jet Fuel A (Kerosene K1);  No. 2 oil</v>
      </c>
      <c r="N28" s="6012" t="str">
        <f>+'12(id)'!A25</f>
        <v>8302-04</v>
      </c>
      <c r="O28" s="5133"/>
      <c r="P28" s="5133"/>
      <c r="Q28" s="5133"/>
      <c r="R28" s="5132"/>
      <c r="S28" s="5132"/>
    </row>
    <row r="29" spans="1:19" ht="21.95" customHeight="1">
      <c r="A29" s="5142"/>
      <c r="B29" s="5936"/>
      <c r="C29" s="9275" t="str">
        <f>+IF(VLOOKUP(MATCH(N29,tid,0),tao,'12(id)'!$H$20,FALSE)="","",VLOOKUP(MATCH(N29,tid,0),tao,'12(id)'!$H$20,FALSE))</f>
        <v/>
      </c>
      <c r="D29" s="9287"/>
      <c r="E29" s="9290" t="str">
        <f>+IF(VLOOKUP(MATCH(N29,tid,0),tao,'12(id)'!$I$20,FALSE)="","",VLOOKUP(MATCH(N29,tid,0),tao,'12(id)'!$I$20,FALSE))</f>
        <v/>
      </c>
      <c r="F29" s="9290" t="str">
        <f>+IF(VLOOKUP(MATCH(N29,tid,0),tao,'12(id)'!$J$20,FALSE)="","",VLOOKUP(MATCH(N29,tid,0),tao,'12(id)'!$J$20,FALSE))</f>
        <v/>
      </c>
      <c r="G29" s="9313" t="str">
        <f>+IF(N29="","",VLOOKUP(MATCH(N29,tid,0),tao,'12(id)'!$L$20,FALSE))</f>
        <v>South Meadow Station</v>
      </c>
      <c r="H29" s="6011" t="str">
        <f>+IF(N29="","",VLOOKUP(MATCH(N29,tid,0),tao,'12(id)'!$Q$20,FALSE))</f>
        <v>13A</v>
      </c>
      <c r="I29" s="9271"/>
      <c r="J29" s="9310">
        <f>+IF(ISERROR(MATCH(N29,tid,0)),"",IF(VLOOKUP(MATCH(N29,tid,0),tao,'12(id)'!$CT$20,FALSE)="","",VLOOKUP(MATCH(N29,tid,0),tao,'12(id)'!$CT$20,FALSE)))</f>
        <v>40</v>
      </c>
      <c r="K29" s="9284">
        <f>+IF(N29="","",VLOOKUP(MATCH(N29,tid,0),tao,'12(id)'!$U$20,FALSE))</f>
        <v>8</v>
      </c>
      <c r="L29" s="9293" t="str">
        <f ca="1">+IF(ISERROR(MATCH(N29,tid,0)),"",IF(VLOOKUP(MATCH(N29,tid,0),tao,'12(id)'!$DE$20,FALSE)="","",ROUND(VLOOKUP(MATCH(N29,tid,0),tao,'12(id)'!$DE$20,FALSE),0)&amp;" yrs"))</f>
        <v>45 yrs</v>
      </c>
      <c r="M29" s="9296" t="str">
        <f>+IF(N29="","",IF(VLOOKUP(MATCH(N29,tid,0),tao,'12(id)'!$DI$20,FALSE)="","",VLOOKUP(MATCH(N29,tid,0),tao,'12(id)'!$DI$20,FALSE))&amp;";  "&amp;IF(VLOOKUP(MATCH(N29,tid,0),tao,'12(id)'!$DQ$20,FALSE)="","",VLOOKUP(MATCH(N29,tid,0),tao,'12(id)'!$DQ$20,FALSE)))</f>
        <v>Jet Fuel A (Kerosene K1);  No. 2 oil</v>
      </c>
      <c r="N29" s="6012" t="str">
        <f>+'12(id)'!A26</f>
        <v>8302-05</v>
      </c>
      <c r="O29" s="5133"/>
      <c r="P29" s="5133"/>
      <c r="Q29" s="5133"/>
      <c r="R29" s="5132"/>
      <c r="S29" s="5132"/>
    </row>
    <row r="30" spans="1:19" ht="21.95" customHeight="1">
      <c r="A30" s="5142"/>
      <c r="B30" s="5936"/>
      <c r="C30" s="9275" t="str">
        <f>+IF(VLOOKUP(MATCH(N30,tid,0),tao,'12(id)'!$H$20,FALSE)="","",VLOOKUP(MATCH(N30,tid,0),tao,'12(id)'!$H$20,FALSE))</f>
        <v/>
      </c>
      <c r="D30" s="9287"/>
      <c r="E30" s="9290" t="str">
        <f>+IF(VLOOKUP(MATCH(N30,tid,0),tao,'12(id)'!$I$20,FALSE)="","",VLOOKUP(MATCH(N30,tid,0),tao,'12(id)'!$I$20,FALSE))</f>
        <v/>
      </c>
      <c r="F30" s="9290" t="str">
        <f>+IF(VLOOKUP(MATCH(N30,tid,0),tao,'12(id)'!$J$20,FALSE)="","",VLOOKUP(MATCH(N30,tid,0),tao,'12(id)'!$J$20,FALSE))</f>
        <v/>
      </c>
      <c r="G30" s="9313" t="str">
        <f>+IF(N30="","",VLOOKUP(MATCH(N30,tid,0),tao,'12(id)'!$L$20,FALSE))</f>
        <v>South Meadow Station</v>
      </c>
      <c r="H30" s="6011" t="str">
        <f>+IF(N30="","",VLOOKUP(MATCH(N30,tid,0),tao,'12(id)'!$Q$20,FALSE))</f>
        <v>13B</v>
      </c>
      <c r="I30" s="9271"/>
      <c r="J30" s="9310" t="str">
        <f>+IF(ISERROR(MATCH(N30,tid,0)),"",IF(VLOOKUP(MATCH(N30,tid,0),tao,'12(id)'!$CT$20,FALSE)="","",VLOOKUP(MATCH(N30,tid,0),tao,'12(id)'!$CT$20,FALSE)))</f>
        <v/>
      </c>
      <c r="K30" s="9284">
        <f>+IF(N30="","",VLOOKUP(MATCH(N30,tid,0),tao,'12(id)'!$U$20,FALSE))</f>
        <v>8</v>
      </c>
      <c r="L30" s="9293" t="str">
        <f ca="1">+IF(ISERROR(MATCH(N30,tid,0)),"",IF(VLOOKUP(MATCH(N30,tid,0),tao,'12(id)'!$DE$20,FALSE)="","",ROUND(VLOOKUP(MATCH(N30,tid,0),tao,'12(id)'!$DE$20,FALSE),0)&amp;" yrs"))</f>
        <v>45 yrs</v>
      </c>
      <c r="M30" s="9296" t="str">
        <f>+IF(N30="","",IF(VLOOKUP(MATCH(N30,tid,0),tao,'12(id)'!$DI$20,FALSE)="","",VLOOKUP(MATCH(N30,tid,0),tao,'12(id)'!$DI$20,FALSE))&amp;";  "&amp;IF(VLOOKUP(MATCH(N30,tid,0),tao,'12(id)'!$DQ$20,FALSE)="","",VLOOKUP(MATCH(N30,tid,0),tao,'12(id)'!$DQ$20,FALSE)))</f>
        <v>Jet Fuel A (Kerosene K1);  No. 2 oil</v>
      </c>
      <c r="N30" s="6012" t="str">
        <f>+'12(id)'!A27</f>
        <v>8302-06</v>
      </c>
      <c r="O30" s="5133"/>
      <c r="P30" s="5133"/>
      <c r="Q30" s="5133"/>
      <c r="R30" s="5132"/>
      <c r="S30" s="5132"/>
    </row>
    <row r="31" spans="1:19" ht="21.95" customHeight="1">
      <c r="A31" s="5142"/>
      <c r="B31" s="5936"/>
      <c r="C31" s="9275" t="str">
        <f>+IF(VLOOKUP(MATCH(N31,tid,0),tao,'12(id)'!$H$20,FALSE)="","",VLOOKUP(MATCH(N31,tid,0),tao,'12(id)'!$H$20,FALSE))</f>
        <v/>
      </c>
      <c r="D31" s="9287"/>
      <c r="E31" s="9290" t="str">
        <f>+IF(VLOOKUP(MATCH(N31,tid,0),tao,'12(id)'!$I$20,FALSE)="","",VLOOKUP(MATCH(N31,tid,0),tao,'12(id)'!$I$20,FALSE))</f>
        <v/>
      </c>
      <c r="F31" s="9290" t="str">
        <f>+IF(VLOOKUP(MATCH(N31,tid,0),tao,'12(id)'!$J$20,FALSE)="","",VLOOKUP(MATCH(N31,tid,0),tao,'12(id)'!$J$20,FALSE))</f>
        <v/>
      </c>
      <c r="G31" s="9313" t="str">
        <f>+IF(N31="","",VLOOKUP(MATCH(N31,tid,0),tao,'12(id)'!$L$20,FALSE))</f>
        <v>South Meadow Station</v>
      </c>
      <c r="H31" s="6011" t="str">
        <f>+IF(N31="","",VLOOKUP(MATCH(N31,tid,0),tao,'12(id)'!$Q$20,FALSE))</f>
        <v>14A</v>
      </c>
      <c r="I31" s="9271"/>
      <c r="J31" s="9310">
        <f>+IF(ISERROR(MATCH(N31,tid,0)),"",IF(VLOOKUP(MATCH(N31,tid,0),tao,'12(id)'!$CT$20,FALSE)="","",VLOOKUP(MATCH(N31,tid,0),tao,'12(id)'!$CT$20,FALSE)))</f>
        <v>40</v>
      </c>
      <c r="K31" s="9284">
        <f>+IF(N31="","",VLOOKUP(MATCH(N31,tid,0),tao,'12(id)'!$U$20,FALSE))</f>
        <v>8</v>
      </c>
      <c r="L31" s="9293" t="str">
        <f ca="1">+IF(ISERROR(MATCH(N31,tid,0)),"",IF(VLOOKUP(MATCH(N31,tid,0),tao,'12(id)'!$DE$20,FALSE)="","",ROUND(VLOOKUP(MATCH(N31,tid,0),tao,'12(id)'!$DE$20,FALSE),0)&amp;" yrs"))</f>
        <v>45 yrs</v>
      </c>
      <c r="M31" s="9296" t="str">
        <f>+IF(N31="","",IF(VLOOKUP(MATCH(N31,tid,0),tao,'12(id)'!$DI$20,FALSE)="","",VLOOKUP(MATCH(N31,tid,0),tao,'12(id)'!$DI$20,FALSE))&amp;";  "&amp;IF(VLOOKUP(MATCH(N31,tid,0),tao,'12(id)'!$DQ$20,FALSE)="","",VLOOKUP(MATCH(N31,tid,0),tao,'12(id)'!$DQ$20,FALSE)))</f>
        <v>Jet Fuel A (Kerosene K1);  No. 2 oil</v>
      </c>
      <c r="N31" s="6012" t="str">
        <f>+'12(id)'!A28</f>
        <v>8302-07</v>
      </c>
      <c r="O31" s="5133"/>
      <c r="P31" s="5133"/>
      <c r="Q31" s="5133"/>
      <c r="R31" s="5132"/>
      <c r="S31" s="5132"/>
    </row>
    <row r="32" spans="1:19" ht="21.95" customHeight="1" thickBot="1">
      <c r="A32" s="5142"/>
      <c r="B32" s="5936"/>
      <c r="C32" s="9276" t="str">
        <f>+IF(VLOOKUP(MATCH(N32,tid,0),tao,'12(id)'!$H$20,FALSE)="","",VLOOKUP(MATCH(N32,tid,0),tao,'12(id)'!$H$20,FALSE))</f>
        <v/>
      </c>
      <c r="D32" s="9288"/>
      <c r="E32" s="9291" t="str">
        <f>+IF(VLOOKUP(MATCH(N32,tid,0),tao,'12(id)'!$I$20,FALSE)="","",VLOOKUP(MATCH(N32,tid,0),tao,'12(id)'!$I$20,FALSE))</f>
        <v/>
      </c>
      <c r="F32" s="9291" t="str">
        <f>+IF(VLOOKUP(MATCH(N32,tid,0),tao,'12(id)'!$J$20,FALSE)="","",VLOOKUP(MATCH(N32,tid,0),tao,'12(id)'!$J$20,FALSE))</f>
        <v/>
      </c>
      <c r="G32" s="9314" t="str">
        <f>+IF(N32="","",VLOOKUP(MATCH(N32,tid,0),tao,'12(id)'!$L$20,FALSE))</f>
        <v>South Meadow Station</v>
      </c>
      <c r="H32" s="6013" t="str">
        <f>+IF(N32="","",VLOOKUP(MATCH(N32,tid,0),tao,'12(id)'!$Q$20,FALSE))</f>
        <v>14B</v>
      </c>
      <c r="I32" s="9271"/>
      <c r="J32" s="9311" t="str">
        <f>+IF(ISERROR(MATCH(N32,tid,0)),"",IF(VLOOKUP(MATCH(N32,tid,0),tao,'12(id)'!$CT$20,FALSE)="","",VLOOKUP(MATCH(N32,tid,0),tao,'12(id)'!$CT$20,FALSE)))</f>
        <v/>
      </c>
      <c r="K32" s="9285">
        <f>+IF(N32="","",VLOOKUP(MATCH(N32,tid,0),tao,'12(id)'!$U$20,FALSE))</f>
        <v>8</v>
      </c>
      <c r="L32" s="9294" t="str">
        <f ca="1">+IF(ISERROR(MATCH(N32,tid,0)),"",IF(VLOOKUP(MATCH(N32,tid,0),tao,'12(id)'!$DE$20,FALSE)="","",ROUND(VLOOKUP(MATCH(N32,tid,0),tao,'12(id)'!$DE$20,FALSE),0)&amp;" yrs"))</f>
        <v>45 yrs</v>
      </c>
      <c r="M32" s="9297" t="str">
        <f>+IF(N32="","",IF(VLOOKUP(MATCH(N32,tid,0),tao,'12(id)'!$DI$20,FALSE)="","",VLOOKUP(MATCH(N32,tid,0),tao,'12(id)'!$DI$20,FALSE))&amp;";  "&amp;IF(VLOOKUP(MATCH(N32,tid,0),tao,'12(id)'!$DQ$20,FALSE)="","",VLOOKUP(MATCH(N32,tid,0),tao,'12(id)'!$DQ$20,FALSE)))</f>
        <v>Jet Fuel A (Kerosene K1);  No. 2 oil</v>
      </c>
      <c r="N32" s="6014" t="str">
        <f>+'12(id)'!A29</f>
        <v>8302-08</v>
      </c>
      <c r="O32" s="5133"/>
      <c r="P32" s="5133"/>
      <c r="Q32" s="5133"/>
      <c r="R32" s="5132"/>
      <c r="S32" s="5132"/>
    </row>
    <row r="33" spans="1:20" ht="27.95" customHeight="1" thickBot="1">
      <c r="A33" s="5142"/>
      <c r="B33" s="5936"/>
      <c r="C33" s="8693">
        <f>+IF(VLOOKUP(MATCH(N33,tid,0),tao,'12(id)'!$H$20,FALSE)="","",VLOOKUP(MATCH(N33,tid,0),tao,'12(id)'!$H$20,FALSE))</f>
        <v>3</v>
      </c>
      <c r="D33" s="6015">
        <f>+IF(N33="","",VLOOKUP(MATCH(N33,tid,0),tao,'12(id)'!$K$20,FALSE))</f>
        <v>8303</v>
      </c>
      <c r="E33" s="6016" t="str">
        <f>+IF(N33="","",VLOOKUP(MATCH(N33,tid,0),tao,'12(id)'!$I$20,FALSE))</f>
        <v>FirstLight Hydro Generating Company</v>
      </c>
      <c r="F33" s="7402" t="str">
        <f>+IF(N33="","",VLOOKUP(MATCH(N33,tid,0),tao,'12(id)'!$J$20,FALSE))</f>
        <v>FirstLight</v>
      </c>
      <c r="G33" s="6017" t="str">
        <f>+IF(N33="","",VLOOKUP(MATCH(N33,tid,0),tao,'12(id)'!$L$20,FALSE))</f>
        <v>Tunnel</v>
      </c>
      <c r="H33" s="6018">
        <f>+IF(N33="","",VLOOKUP(MATCH(N33,tid,0),tao,'12(id)'!$Q$20,FALSE))</f>
        <v>10</v>
      </c>
      <c r="I33" s="9271"/>
      <c r="J33" s="6019">
        <f>+IF(ISERROR(MATCH(N33,tid,0)),"",IF(VLOOKUP(MATCH(N33,tid,0),tao,'12(id)'!$CT$20,FALSE)="","",VLOOKUP(MATCH(N33,tid,0),tao,'12(id)'!$CT$20,FALSE)))</f>
        <v>20</v>
      </c>
      <c r="K33" s="6020">
        <f>+IF(N33="","",VLOOKUP(MATCH(N33,tid,0),tao,'12(id)'!$U$20,FALSE))</f>
        <v>1</v>
      </c>
      <c r="L33" s="6021" t="str">
        <f ca="1">+IF(ISERROR(MATCH(N33,tid,0)),"",IF(VLOOKUP(MATCH(N33,tid,0),tao,'12(id)'!$DE$20,FALSE)="","",ROUND(VLOOKUP(MATCH(N33,tid,0),tao,'12(id)'!$DE$20,FALSE),0)&amp;" yrs"))</f>
        <v>46 yrs</v>
      </c>
      <c r="M33" s="6022" t="str">
        <f>+IF(N33="","",IF(VLOOKUP(MATCH(N33,tid,0),tao,'12(id)'!$DI$20,FALSE)="","",VLOOKUP(MATCH(N33,tid,0),tao,'12(id)'!$DI$20,FALSE))&amp;";  "&amp;IF(VLOOKUP(MATCH(N33,tid,0),tao,'12(id)'!$DQ$20,FALSE)="","",VLOOKUP(MATCH(N33,tid,0),tao,'12(id)'!$DQ$20,FALSE)))</f>
        <v xml:space="preserve">Jet Fuel A (Kerosene K1);  </v>
      </c>
      <c r="N33" s="6023" t="str">
        <f>+'12(id)'!A30</f>
        <v>8303-01</v>
      </c>
      <c r="O33" s="5133"/>
      <c r="P33" s="5133"/>
      <c r="Q33" s="5133"/>
      <c r="R33" s="5132"/>
      <c r="S33" s="5132"/>
    </row>
    <row r="34" spans="1:20" ht="25.5" customHeight="1" thickBot="1">
      <c r="A34" s="5142"/>
      <c r="B34" s="5936"/>
      <c r="C34" s="8693">
        <f>+IF(VLOOKUP(MATCH(N34,tid,0),tao,'12(id)'!$H$20,FALSE)="","",VLOOKUP(MATCH(N34,tid,0),tao,'12(id)'!$H$20,FALSE))</f>
        <v>4</v>
      </c>
      <c r="D34" s="6015">
        <f>+IF(N34="","",VLOOKUP(MATCH(N34,tid,0),tao,'12(id)'!$K$20,FALSE))</f>
        <v>8304</v>
      </c>
      <c r="E34" s="6016" t="str">
        <f>+IF(N34="","",VLOOKUP(MATCH(N34,tid,0),tao,'12(id)'!$I$20,FALSE))</f>
        <v>Norwich Public Utilities</v>
      </c>
      <c r="F34" s="7402" t="str">
        <f>+IF(N34="","",VLOOKUP(MATCH(N34,tid,0),tao,'12(id)'!$J$20,FALSE))</f>
        <v>NPU</v>
      </c>
      <c r="G34" s="6017" t="str">
        <f>+IF(N34="","",VLOOKUP(MATCH(N34,tid,0),tao,'12(id)'!$L$20,FALSE))</f>
        <v>Norwich</v>
      </c>
      <c r="H34" s="6024" t="str">
        <f>+IF(N34="","",VLOOKUP(MATCH(N34,tid,0),tao,'12(id)'!$Q$20,FALSE))</f>
        <v>TRBINE</v>
      </c>
      <c r="I34" s="9271"/>
      <c r="J34" s="6019">
        <f>+IF(ISERROR(MATCH(N34,tid,0)),"",IF(VLOOKUP(MATCH(N34,tid,0),tao,'12(id)'!$CT$20,FALSE)="","",VLOOKUP(MATCH(N34,tid,0),tao,'12(id)'!$CT$20,FALSE)))</f>
        <v>18.8</v>
      </c>
      <c r="K34" s="6020">
        <f>+IF(N34="","",VLOOKUP(MATCH(N34,tid,0),tao,'12(id)'!$U$20,FALSE))</f>
        <v>1</v>
      </c>
      <c r="L34" s="6021" t="str">
        <f ca="1">+IF(ISERROR(MATCH(N34,tid,0)),"",IF(VLOOKUP(MATCH(N34,tid,0),tao,'12(id)'!$DE$20,FALSE)="","",ROUND(VLOOKUP(MATCH(N34,tid,0),tao,'12(id)'!$DE$20,FALSE),0)&amp;" yrs"))</f>
        <v>43 yrs</v>
      </c>
      <c r="M34" s="6022" t="str">
        <f>+IF(N34="","",IF(VLOOKUP(MATCH(N34,tid,0),tao,'12(id)'!$DI$20,FALSE)="","",VLOOKUP(MATCH(N34,tid,0),tao,'12(id)'!$DI$20,FALSE))&amp;";  "&amp;IF(VLOOKUP(MATCH(N34,tid,0),tao,'12(id)'!$DQ$20,FALSE)="","",VLOOKUP(MATCH(N34,tid,0),tao,'12(id)'!$DQ$20,FALSE)))</f>
        <v xml:space="preserve">No. 2 oil;  </v>
      </c>
      <c r="N34" s="6023" t="str">
        <f>+'12(id)'!A31</f>
        <v>8304-01</v>
      </c>
      <c r="O34" s="5133"/>
      <c r="P34" s="5133"/>
      <c r="Q34" s="5133"/>
      <c r="R34" s="5132"/>
      <c r="S34" s="5132"/>
    </row>
    <row r="35" spans="1:20" ht="27.95" customHeight="1" thickBot="1">
      <c r="A35" s="5142"/>
      <c r="B35" s="5936"/>
      <c r="C35" s="8693">
        <f>+IF(VLOOKUP(MATCH(N35,tid,0),tao,'12(id)'!$H$20,FALSE)="","",VLOOKUP(MATCH(N35,tid,0),tao,'12(id)'!$H$20,FALSE))</f>
        <v>5</v>
      </c>
      <c r="D35" s="6015">
        <f>+IF(N35="","",VLOOKUP(MATCH(N35,tid,0),tao,'12(id)'!$K$20,FALSE))</f>
        <v>8301</v>
      </c>
      <c r="E35" s="6025" t="str">
        <f>+IF(N35="","",VLOOKUP(MATCH(N35,tid,0),tao,'12(id)'!$I$20,FALSE))</f>
        <v>PSEG Power LLC, PSEG Fossil LLC, PSEG Power Connecticut</v>
      </c>
      <c r="F35" s="6026" t="str">
        <f>+IF(N35="","",VLOOKUP(MATCH(N35,tid,0),tao,'12(id)'!$J$20,FALSE))</f>
        <v>PSEG</v>
      </c>
      <c r="G35" s="6017" t="str">
        <f>+IF(N35="","",VLOOKUP(MATCH(N35,tid,0),tao,'12(id)'!$L$20,FALSE))</f>
        <v>Bridgeport Harbor Station</v>
      </c>
      <c r="H35" s="6024" t="str">
        <f>+IF(N35="","",VLOOKUP(MATCH(N35,tid,0),tao,'12(id)'!$Q$20,FALSE))</f>
        <v>BHB4 </v>
      </c>
      <c r="I35" s="9271"/>
      <c r="J35" s="6019">
        <f>+IF(ISERROR(MATCH(N35,tid,0)),"",IF(VLOOKUP(MATCH(N35,tid,0),tao,'12(id)'!$CT$20,FALSE)="","",VLOOKUP(MATCH(N35,tid,0),tao,'12(id)'!$CT$20,FALSE)))</f>
        <v>22</v>
      </c>
      <c r="K35" s="6020">
        <f>+IF(N35="","",VLOOKUP(MATCH(N35,tid,0),tao,'12(id)'!$U$20,FALSE))</f>
        <v>1</v>
      </c>
      <c r="L35" s="6021" t="str">
        <f ca="1">+IF(ISERROR(MATCH(N35,tid,0)),"",IF(VLOOKUP(MATCH(N35,tid,0),tao,'12(id)'!$DE$20,FALSE)="","",ROUND(VLOOKUP(MATCH(N35,tid,0),tao,'12(id)'!$DE$20,FALSE),0)&amp;" yrs"))</f>
        <v>47 yrs</v>
      </c>
      <c r="M35" s="6022" t="str">
        <f>+IF(N35="","",IF(VLOOKUP(MATCH(N35,tid,0),tao,'12(id)'!$DI$20,FALSE)="","",VLOOKUP(MATCH(N35,tid,0),tao,'12(id)'!$DI$20,FALSE))&amp;";  "&amp;IF(VLOOKUP(MATCH(N35,tid,0),tao,'12(id)'!$DQ$20,FALSE)="","",VLOOKUP(MATCH(N35,tid,0),tao,'12(id)'!$DQ$20,FALSE)))</f>
        <v xml:space="preserve">Jet Fuel A (Kerosene K1);  </v>
      </c>
      <c r="N35" s="6023" t="str">
        <f>+'12(id)'!A32</f>
        <v>8301-01</v>
      </c>
      <c r="O35" s="5133"/>
      <c r="P35" s="5133"/>
      <c r="Q35" s="5133"/>
      <c r="R35" s="5132"/>
      <c r="S35" s="5132"/>
    </row>
    <row r="36" spans="1:20" ht="25.5" customHeight="1" thickBot="1">
      <c r="A36" s="5142"/>
      <c r="B36" s="5936"/>
      <c r="C36" s="8693">
        <f>+IF(VLOOKUP(MATCH(N36,tid,0),tao,'12(id)'!$H$20,FALSE)="","",VLOOKUP(MATCH(N36,tid,0),tao,'12(id)'!$H$20,FALSE))</f>
        <v>6</v>
      </c>
      <c r="D36" s="9315">
        <f>+IF(N36="","",VLOOKUP(MATCH(N36,tid,0),tao,'12(id)'!$K$20,FALSE))</f>
        <v>8300</v>
      </c>
      <c r="E36" s="9318" t="str">
        <f>+IF(N36="","",VLOOKUP(MATCH(N36,tid,0),tao,'12(id)'!$I$20,FALSE))</f>
        <v>NRG Energy, Inc</v>
      </c>
      <c r="F36" s="9319" t="str">
        <f>+IF(N36="","",VLOOKUP(MATCH(N36,tid,0),tao,'12(id)'!$J$20,FALSE))</f>
        <v>NRG</v>
      </c>
      <c r="G36" s="6027" t="str">
        <f>+IF(N36="","",VLOOKUP(MATCH(N36,tid,0),tao,'12(id)'!$L$20,FALSE))</f>
        <v>Branford</v>
      </c>
      <c r="H36" s="6028" t="str">
        <f>+IF(N36="","",VLOOKUP(MATCH(N36,tid,0),tao,'12(id)'!$Q$20,FALSE))</f>
        <v>BR10</v>
      </c>
      <c r="I36" s="9271" t="s">
        <v>794</v>
      </c>
      <c r="J36" s="6019">
        <f>+IF(ISERROR(MATCH(N36,tid,0)),"",IF(VLOOKUP(MATCH(N36,tid,0),tao,'12(id)'!$CT$20,FALSE)="","",VLOOKUP(MATCH(N36,tid,0),tao,'12(id)'!$CT$20,FALSE)))</f>
        <v>20</v>
      </c>
      <c r="K36" s="6020">
        <f>+IF(N36="","",VLOOKUP(MATCH(N36,tid,0),tao,'12(id)'!$U$20,FALSE))</f>
        <v>1</v>
      </c>
      <c r="L36" s="6021" t="str">
        <f ca="1">+IF(ISERROR(MATCH(N36,tid,0)),"",IF(VLOOKUP(MATCH(N36,tid,0),tao,'12(id)'!$DE$20,FALSE)="","",ROUND(VLOOKUP(MATCH(N36,tid,0),tao,'12(id)'!$DE$20,FALSE),0)&amp;" yrs"))</f>
        <v>45 yrs</v>
      </c>
      <c r="M36" s="6022" t="str">
        <f>+IF(N36="","",IF(VLOOKUP(MATCH(N36,tid,0),tao,'12(id)'!$DI$20,FALSE)="","",VLOOKUP(MATCH(N36,tid,0),tao,'12(id)'!$DI$20,FALSE))&amp;";  "&amp;IF(VLOOKUP(MATCH(N36,tid,0),tao,'12(id)'!$DQ$20,FALSE)="","",VLOOKUP(MATCH(N36,tid,0),tao,'12(id)'!$DQ$20,FALSE)))</f>
        <v xml:space="preserve">Ultra low sulfur kerosene  oil (ULSD);  </v>
      </c>
      <c r="N36" s="6023" t="str">
        <f>+'12(id)'!A33</f>
        <v>8300-01</v>
      </c>
      <c r="O36" s="5133"/>
      <c r="P36" s="5133"/>
      <c r="Q36" s="5133"/>
      <c r="R36" s="5132"/>
      <c r="S36" s="5132"/>
    </row>
    <row r="37" spans="1:20" ht="21.95" customHeight="1" thickBot="1">
      <c r="A37" s="5142"/>
      <c r="B37" s="5936"/>
      <c r="C37" s="9277">
        <f>+IF(VLOOKUP(MATCH(N37,tid,0),tao,'12(id)'!$H$20,FALSE)="","",VLOOKUP(MATCH(N37,tid,0),tao,'12(id)'!$H$20,FALSE))</f>
        <v>7</v>
      </c>
      <c r="D37" s="9316"/>
      <c r="E37" s="9318">
        <f>+IF(N37="","",VLOOKUP(MATCH(N37,tid,0),tao,'12(id)'!$I$20,FALSE))</f>
        <v>0</v>
      </c>
      <c r="F37" s="9319" t="str">
        <f>+IF(N37="","",VLOOKUP(MATCH(N37,tid,0),tao,'12(id)'!$J$20,FALSE))</f>
        <v>NRG</v>
      </c>
      <c r="G37" s="6029" t="str">
        <f>+IF(N37="","",VLOOKUP(MATCH(N37,tid,0),tao,'12(id)'!$L$20,FALSE))</f>
        <v>Cos Cob</v>
      </c>
      <c r="H37" s="6030" t="str">
        <f>+IF(N37="","",VLOOKUP(MATCH(N37,tid,0),tao,'12(id)'!$Q$20,FALSE))</f>
        <v>CC10</v>
      </c>
      <c r="I37" s="9271"/>
      <c r="J37" s="9307">
        <f>+IF(ISERROR(MATCH(N37,tid,0)),"",IF(VLOOKUP(MATCH(N37,tid,0),tao,'12(id)'!$CT$20,FALSE)="","",VLOOKUP(MATCH(N37,tid,0),tao,'12(id)'!$CT$20,FALSE)))</f>
        <v>20</v>
      </c>
      <c r="K37" s="9298">
        <f>+IF(N37="","",VLOOKUP(MATCH(N37,tid,0),tao,'12(id)'!$U$20,FALSE))</f>
        <v>3</v>
      </c>
      <c r="L37" s="9303" t="str">
        <f ca="1">+IF(ISERROR(MATCH(N37,tid,0)),"",IF(VLOOKUP(MATCH(N37,tid,0),tao,'12(id)'!$DE$20,FALSE)="","",ROUND(VLOOKUP(MATCH(N37,tid,0),tao,'12(id)'!$DE$20,FALSE),0)&amp;" yrs"))</f>
        <v>45 yrs</v>
      </c>
      <c r="M37" s="9303" t="str">
        <f>+IF(N37="","",IF(VLOOKUP(MATCH(N37,tid,0),tao,'12(id)'!$DI$20,FALSE)="","",VLOOKUP(MATCH(N37,tid,0),tao,'12(id)'!$DI$20,FALSE))&amp;";  "&amp;IF(VLOOKUP(MATCH(N37,tid,0),tao,'12(id)'!$DQ$20,FALSE)="","",VLOOKUP(MATCH(N37,tid,0),tao,'12(id)'!$DQ$20,FALSE)))</f>
        <v xml:space="preserve">Ultra low sulfur kerosene  oil (ULSD);  </v>
      </c>
      <c r="N37" s="6010" t="str">
        <f>+'12(id)'!A34</f>
        <v>8300-02</v>
      </c>
      <c r="O37" s="5133"/>
      <c r="P37" s="5133"/>
      <c r="Q37" s="5133"/>
      <c r="R37" s="5132"/>
      <c r="S37" s="5132"/>
    </row>
    <row r="38" spans="1:20" ht="21.95" customHeight="1" thickBot="1">
      <c r="A38" s="5142"/>
      <c r="B38" s="5936"/>
      <c r="C38" s="9277" t="str">
        <f>+IF(VLOOKUP(MATCH(N38,tid,0),tao,'12(id)'!$H$20,FALSE)="","",VLOOKUP(MATCH(N38,tid,0),tao,'12(id)'!$H$20,FALSE))</f>
        <v/>
      </c>
      <c r="D38" s="9316"/>
      <c r="E38" s="9318">
        <f>+IF(N38="","",VLOOKUP(MATCH(N38,tid,0),tao,'12(id)'!$I$20,FALSE))</f>
        <v>0</v>
      </c>
      <c r="F38" s="9319" t="str">
        <f>+IF(N38="","",VLOOKUP(MATCH(N38,tid,0),tao,'12(id)'!$J$20,FALSE))</f>
        <v>NRG</v>
      </c>
      <c r="G38" s="6031" t="str">
        <f>+IF(N38="","",VLOOKUP(MATCH(N38,tid,0),tao,'12(id)'!$L$20,FALSE))</f>
        <v>Cos Cob</v>
      </c>
      <c r="H38" s="6032" t="str">
        <f>+IF(N38="","",VLOOKUP(MATCH(N38,tid,0),tao,'12(id)'!$Q$20,FALSE))</f>
        <v>CC11</v>
      </c>
      <c r="I38" s="9271"/>
      <c r="J38" s="9306">
        <f>+IF(ISERROR(MATCH(N38,tid,0)),"",IF(VLOOKUP(MATCH(N38,tid,0),tao,'12(id)'!$CT$20,FALSE)="","",VLOOKUP(MATCH(N38,tid,0),tao,'12(id)'!$CT$20,FALSE)))</f>
        <v>20</v>
      </c>
      <c r="K38" s="9299">
        <f>+IF(N38="","",VLOOKUP(MATCH(N38,tid,0),tao,'12(id)'!$U$20,FALSE))</f>
        <v>3</v>
      </c>
      <c r="L38" s="9305" t="str">
        <f ca="1">+IF(ISERROR(MATCH(N38,tid,0)),"",IF(VLOOKUP(MATCH(N38,tid,0),tao,'12(id)'!$DE$20,FALSE)="","",ROUND(VLOOKUP(MATCH(N38,tid,0),tao,'12(id)'!$DE$20,FALSE),0)&amp;" yrs"))</f>
        <v>45 yrs</v>
      </c>
      <c r="M38" s="9305" t="str">
        <f>+IF(N38="","",IF(VLOOKUP(MATCH(N38,tid,0),tao,'12(id)'!$DI$20,FALSE)="","",VLOOKUP(MATCH(N38,tid,0),tao,'12(id)'!$DI$20,FALSE))&amp;";  "&amp;IF(VLOOKUP(MATCH(N38,tid,0),tao,'12(id)'!$DQ$20,FALSE)="","",VLOOKUP(MATCH(N38,tid,0),tao,'12(id)'!$DQ$20,FALSE)))</f>
        <v xml:space="preserve">Ultra low sulfur kerosene  oil (ULSD);  </v>
      </c>
      <c r="N38" s="6012" t="str">
        <f>+'12(id)'!A35</f>
        <v>8300-03</v>
      </c>
      <c r="O38" s="5133"/>
      <c r="P38" s="5133"/>
      <c r="Q38" s="5133"/>
      <c r="R38" s="5132"/>
      <c r="S38" s="5132"/>
    </row>
    <row r="39" spans="1:20" ht="21.95" customHeight="1" thickBot="1">
      <c r="A39" s="5142"/>
      <c r="B39" s="5936"/>
      <c r="C39" s="9277" t="str">
        <f>+IF(VLOOKUP(MATCH(N39,tid,0),tao,'12(id)'!$H$20,FALSE)="","",VLOOKUP(MATCH(N39,tid,0),tao,'12(id)'!$H$20,FALSE))</f>
        <v/>
      </c>
      <c r="D39" s="9316"/>
      <c r="E39" s="9318">
        <f>+IF(N39="","",VLOOKUP(MATCH(N39,tid,0),tao,'12(id)'!$I$20,FALSE))</f>
        <v>0</v>
      </c>
      <c r="F39" s="9319" t="str">
        <f>+IF(N39="","",VLOOKUP(MATCH(N39,tid,0),tao,'12(id)'!$J$20,FALSE))</f>
        <v>NRG</v>
      </c>
      <c r="G39" s="6033" t="str">
        <f>+IF(N39="","",VLOOKUP(MATCH(N39,tid,0),tao,'12(id)'!$L$20,FALSE))</f>
        <v>Cos Cob</v>
      </c>
      <c r="H39" s="6034" t="str">
        <f>+IF(N39="","",VLOOKUP(MATCH(N39,tid,0),tao,'12(id)'!$Q$20,FALSE))</f>
        <v>CC12</v>
      </c>
      <c r="I39" s="9271"/>
      <c r="J39" s="9308">
        <f>+IF(ISERROR(MATCH(N39,tid,0)),"",IF(VLOOKUP(MATCH(N39,tid,0),tao,'12(id)'!$CT$20,FALSE)="","",VLOOKUP(MATCH(N39,tid,0),tao,'12(id)'!$CT$20,FALSE)))</f>
        <v>20</v>
      </c>
      <c r="K39" s="9300">
        <f>+IF(N39="","",VLOOKUP(MATCH(N39,tid,0),tao,'12(id)'!$U$20,FALSE))</f>
        <v>3</v>
      </c>
      <c r="L39" s="9304" t="str">
        <f ca="1">+IF(ISERROR(MATCH(N39,tid,0)),"",IF(VLOOKUP(MATCH(N39,tid,0),tao,'12(id)'!$DE$20,FALSE)="","",ROUND(VLOOKUP(MATCH(N39,tid,0),tao,'12(id)'!$DE$20,FALSE),0)&amp;" yrs"))</f>
        <v>45 yrs</v>
      </c>
      <c r="M39" s="9304" t="str">
        <f>+IF(N39="","",IF(VLOOKUP(MATCH(N39,tid,0),tao,'12(id)'!$DI$20,FALSE)="","",VLOOKUP(MATCH(N39,tid,0),tao,'12(id)'!$DI$20,FALSE))&amp;";  "&amp;IF(VLOOKUP(MATCH(N39,tid,0),tao,'12(id)'!$DQ$20,FALSE)="","",VLOOKUP(MATCH(N39,tid,0),tao,'12(id)'!$DQ$20,FALSE)))</f>
        <v xml:space="preserve">Ultra low sulfur kerosene  oil (ULSD);  </v>
      </c>
      <c r="N39" s="6014" t="str">
        <f>+'12(id)'!A36</f>
        <v>8300-04</v>
      </c>
      <c r="O39" s="5133"/>
      <c r="P39" s="5133"/>
      <c r="Q39" s="5133"/>
      <c r="R39" s="5132"/>
      <c r="S39" s="5132"/>
    </row>
    <row r="40" spans="1:20" ht="21.95" customHeight="1" thickBot="1">
      <c r="A40" s="5142"/>
      <c r="B40" s="5936"/>
      <c r="C40" s="9277">
        <f>+IF(VLOOKUP(MATCH(N40,tid,0),tao,'12(id)'!$H$20,FALSE)="","",VLOOKUP(MATCH(N40,tid,0),tao,'12(id)'!$H$20,FALSE))</f>
        <v>8</v>
      </c>
      <c r="D40" s="9316"/>
      <c r="E40" s="9318">
        <f>+IF(N40="","",VLOOKUP(MATCH(N40,tid,0),tao,'12(id)'!$I$20,FALSE))</f>
        <v>0</v>
      </c>
      <c r="F40" s="9319" t="str">
        <f>+IF(N40="","",VLOOKUP(MATCH(N40,tid,0),tao,'12(id)'!$J$20,FALSE))</f>
        <v>NRG</v>
      </c>
      <c r="G40" s="6035" t="str">
        <f>+IF(N40="","",VLOOKUP(MATCH(N40,tid,0),tao,'12(id)'!$L$20,FALSE))</f>
        <v>Cos Cob</v>
      </c>
      <c r="H40" s="6030" t="str">
        <f>+IF(N40="","",VLOOKUP(MATCH(N40,tid,0),tao,'12(id)'!$Q$20,FALSE))</f>
        <v>CC13</v>
      </c>
      <c r="I40" s="9271"/>
      <c r="J40" s="9306">
        <f>+IF(ISERROR(MATCH(N40,tid,0)),"",IF(VLOOKUP(MATCH(N40,tid,0),tao,'12(id)'!$CT$20,FALSE)="","",VLOOKUP(MATCH(N40,tid,0),tao,'12(id)'!$CT$20,FALSE)))</f>
        <v>20</v>
      </c>
      <c r="K40" s="9299">
        <f>+IF(N40="","",VLOOKUP(MATCH(N40,tid,0),tao,'12(id)'!$U$20,FALSE))</f>
        <v>2</v>
      </c>
      <c r="L40" s="9303" t="str">
        <f ca="1">+IF(ISERROR(MATCH(N40,tid,0)),"",IF(VLOOKUP(MATCH(N40,tid,0),tao,'12(id)'!$DE$20,FALSE)="","",ROUND(VLOOKUP(MATCH(N40,tid,0),tao,'12(id)'!$DE$20,FALSE),0)&amp;" yrs"))</f>
        <v>45 yrs</v>
      </c>
      <c r="M40" s="9303" t="str">
        <f>+IF(N40="","",IF(VLOOKUP(MATCH(N40,tid,0),tao,'12(id)'!$DI$20,FALSE)="","",VLOOKUP(MATCH(N40,tid,0),tao,'12(id)'!$DI$20,FALSE))&amp;";  "&amp;IF(VLOOKUP(MATCH(N40,tid,0),tao,'12(id)'!$DQ$20,FALSE)="","",VLOOKUP(MATCH(N40,tid,0),tao,'12(id)'!$DQ$20,FALSE)))</f>
        <v>Ultra low sulfur kerosene  oil (ULSD);  Natural Gas</v>
      </c>
      <c r="N40" s="6010" t="str">
        <f>+'12(id)'!A37</f>
        <v>8300-05</v>
      </c>
      <c r="O40" s="5133"/>
      <c r="P40" s="5133"/>
      <c r="Q40" s="5133"/>
      <c r="R40" s="5132"/>
      <c r="S40" s="5132"/>
    </row>
    <row r="41" spans="1:20" ht="21.95" customHeight="1" thickBot="1">
      <c r="A41" s="5142"/>
      <c r="B41" s="5936"/>
      <c r="C41" s="9277" t="str">
        <f>+IF(VLOOKUP(MATCH(N41,tid,0),tao,'12(id)'!$H$20,FALSE)="","",VLOOKUP(MATCH(N41,tid,0),tao,'12(id)'!$H$20,FALSE))</f>
        <v/>
      </c>
      <c r="D41" s="9316"/>
      <c r="E41" s="9318">
        <f>+IF(N41="","",VLOOKUP(MATCH(N41,tid,0),tao,'12(id)'!$I$20,FALSE))</f>
        <v>0</v>
      </c>
      <c r="F41" s="9319" t="str">
        <f>+IF(N41="","",VLOOKUP(MATCH(N41,tid,0),tao,'12(id)'!$J$20,FALSE))</f>
        <v>NRG</v>
      </c>
      <c r="G41" s="6033" t="str">
        <f>+IF(N41="","",VLOOKUP(MATCH(N41,tid,0),tao,'12(id)'!$L$20,FALSE))</f>
        <v>Cos Cob</v>
      </c>
      <c r="H41" s="6034" t="str">
        <f>+IF(N41="","",VLOOKUP(MATCH(N41,tid,0),tao,'12(id)'!$Q$20,FALSE))</f>
        <v>CC14</v>
      </c>
      <c r="I41" s="9271"/>
      <c r="J41" s="9306">
        <f>+IF(ISERROR(MATCH(N41,tid,0)),"",IF(VLOOKUP(MATCH(N41,tid,0),tao,'12(id)'!$CT$20,FALSE)="","",VLOOKUP(MATCH(N41,tid,0),tao,'12(id)'!$CT$20,FALSE)))</f>
        <v>20</v>
      </c>
      <c r="K41" s="9299">
        <f>+IF(N41="","",VLOOKUP(MATCH(N41,tid,0),tao,'12(id)'!$U$20,FALSE))</f>
        <v>2</v>
      </c>
      <c r="L41" s="9305" t="str">
        <f ca="1">+IF(ISERROR(MATCH(N41,tid,0)),"",IF(VLOOKUP(MATCH(N41,tid,0),tao,'12(id)'!$DE$20,FALSE)="","",ROUND(VLOOKUP(MATCH(N41,tid,0),tao,'12(id)'!$DE$20,FALSE),0)&amp;" yrs"))</f>
        <v>45 yrs</v>
      </c>
      <c r="M41" s="9304" t="str">
        <f>+IF(N41="","",IF(VLOOKUP(MATCH(N41,tid,0),tao,'12(id)'!$DI$20,FALSE)="","",VLOOKUP(MATCH(N41,tid,0),tao,'12(id)'!$DI$20,FALSE))&amp;";  "&amp;IF(VLOOKUP(MATCH(N41,tid,0),tao,'12(id)'!$DQ$20,FALSE)="","",VLOOKUP(MATCH(N41,tid,0),tao,'12(id)'!$DQ$20,FALSE)))</f>
        <v>Ultra low sulfur kerosene  oil (ULSD);  Natural Gas</v>
      </c>
      <c r="N41" s="6014" t="str">
        <f>+'12(id)'!A38</f>
        <v>8300-06</v>
      </c>
      <c r="O41" s="5133"/>
      <c r="P41" s="5133"/>
      <c r="Q41" s="5133"/>
      <c r="R41" s="5132"/>
      <c r="S41" s="5132"/>
    </row>
    <row r="42" spans="1:20" ht="25.5" customHeight="1" thickBot="1">
      <c r="A42" s="5142"/>
      <c r="B42" s="5936"/>
      <c r="C42" s="8693">
        <f>+IF(VLOOKUP(MATCH(N42,tid,0),tao,'12(id)'!$H$20,FALSE)="","",VLOOKUP(MATCH(N42,tid,0),tao,'12(id)'!$H$20,FALSE))</f>
        <v>9</v>
      </c>
      <c r="D42" s="9316"/>
      <c r="E42" s="9318">
        <f>+IF(N42="","",VLOOKUP(MATCH(N42,tid,0),tao,'12(id)'!$I$20,FALSE))</f>
        <v>0</v>
      </c>
      <c r="F42" s="9319" t="str">
        <f>+IF(N42="","",VLOOKUP(MATCH(N42,tid,0),tao,'12(id)'!$J$20,FALSE))</f>
        <v>NRG</v>
      </c>
      <c r="G42" s="6017" t="str">
        <f>+IF(N42="","",VLOOKUP(MATCH(N42,tid,0),tao,'12(id)'!$L$20,FALSE))</f>
        <v>Franklin Drive</v>
      </c>
      <c r="H42" s="6028" t="str">
        <f>+IF(N42="","",VLOOKUP(MATCH(N42,tid,0),tao,'12(id)'!$Q$20,FALSE))</f>
        <v>FD10</v>
      </c>
      <c r="I42" s="9271"/>
      <c r="J42" s="6019">
        <f>+IF(ISERROR(MATCH(N42,tid,0)),"",IF(VLOOKUP(MATCH(N42,tid,0),tao,'12(id)'!$CT$20,FALSE)="","",VLOOKUP(MATCH(N42,tid,0),tao,'12(id)'!$CT$20,FALSE)))</f>
        <v>20</v>
      </c>
      <c r="K42" s="6020">
        <f>+IF(N42="","",VLOOKUP(MATCH(N42,tid,0),tao,'12(id)'!$U$20,FALSE))</f>
        <v>1</v>
      </c>
      <c r="L42" s="6021" t="str">
        <f ca="1">+IF(ISERROR(MATCH(N42,tid,0)),"",IF(VLOOKUP(MATCH(N42,tid,0),tao,'12(id)'!$DE$20,FALSE)="","",ROUND(VLOOKUP(MATCH(N42,tid,0),tao,'12(id)'!$DE$20,FALSE),0)&amp;" yrs"))</f>
        <v>46 yrs</v>
      </c>
      <c r="M42" s="6022" t="str">
        <f>+IF(N42="","",IF(VLOOKUP(MATCH(N42,tid,0),tao,'12(id)'!$DI$20,FALSE)="","",VLOOKUP(MATCH(N42,tid,0),tao,'12(id)'!$DI$20,FALSE))&amp;";  "&amp;IF(VLOOKUP(MATCH(N42,tid,0),tao,'12(id)'!$DQ$20,FALSE)="","",VLOOKUP(MATCH(N42,tid,0),tao,'12(id)'!$DQ$20,FALSE)))</f>
        <v xml:space="preserve">Ultra low sulfur kerosene  oil (ULSD);  </v>
      </c>
      <c r="N42" s="6023" t="str">
        <f>+'12(id)'!A39</f>
        <v>8300-07</v>
      </c>
      <c r="O42" s="5133"/>
      <c r="P42" s="5133"/>
      <c r="Q42" s="5133"/>
      <c r="R42" s="5132"/>
      <c r="S42" s="5132"/>
    </row>
    <row r="43" spans="1:20" ht="25.5" customHeight="1" thickBot="1">
      <c r="A43" s="5142"/>
      <c r="B43" s="5936"/>
      <c r="C43" s="8693">
        <f>+IF(VLOOKUP(MATCH(N43,tid,0),tao,'12(id)'!$H$20,FALSE)="","",VLOOKUP(MATCH(N43,tid,0),tao,'12(id)'!$H$20,FALSE))</f>
        <v>10</v>
      </c>
      <c r="D43" s="9316"/>
      <c r="E43" s="9318">
        <f>+IF(N43="","",VLOOKUP(MATCH(N43,tid,0),tao,'12(id)'!$I$20,FALSE))</f>
        <v>0</v>
      </c>
      <c r="F43" s="9319" t="str">
        <f>+IF(N43="","",VLOOKUP(MATCH(N43,tid,0),tao,'12(id)'!$J$20,FALSE))</f>
        <v>NRG</v>
      </c>
      <c r="G43" s="6017" t="str">
        <f>+IF(N43="","",VLOOKUP(MATCH(N43,tid,0),tao,'12(id)'!$L$20,FALSE))</f>
        <v>Torrington Terminal</v>
      </c>
      <c r="H43" s="6028" t="str">
        <f>+IF(N43="","",VLOOKUP(MATCH(N43,tid,0),tao,'12(id)'!$Q$20,FALSE))</f>
        <v>TT10</v>
      </c>
      <c r="I43" s="9271"/>
      <c r="J43" s="6019">
        <f>+IF(ISERROR(MATCH(N43,tid,0)),"",IF(VLOOKUP(MATCH(N43,tid,0),tao,'12(id)'!$CT$20,FALSE)="","",VLOOKUP(MATCH(N43,tid,0),tao,'12(id)'!$CT$20,FALSE)))</f>
        <v>20</v>
      </c>
      <c r="K43" s="6020">
        <f>+IF(N43="","",VLOOKUP(MATCH(N43,tid,0),tao,'12(id)'!$U$20,FALSE))</f>
        <v>1</v>
      </c>
      <c r="L43" s="6021" t="str">
        <f ca="1">+IF(ISERROR(MATCH(N43,tid,0)),"",IF(VLOOKUP(MATCH(N43,tid,0),tao,'12(id)'!$DE$20,FALSE)="","",ROUND(VLOOKUP(MATCH(N43,tid,0),tao,'12(id)'!$DE$20,FALSE),0)&amp;" yrs"))</f>
        <v>46 yrs</v>
      </c>
      <c r="M43" s="6022" t="str">
        <f>+IF(N43="","",IF(VLOOKUP(MATCH(N43,tid,0),tao,'12(id)'!$DI$20,FALSE)="","",VLOOKUP(MATCH(N43,tid,0),tao,'12(id)'!$DI$20,FALSE))&amp;";  "&amp;IF(VLOOKUP(MATCH(N43,tid,0),tao,'12(id)'!$DQ$20,FALSE)="","",VLOOKUP(MATCH(N43,tid,0),tao,'12(id)'!$DQ$20,FALSE)))</f>
        <v xml:space="preserve">Ultra low sulfur kerosene  oil (ULSD);  </v>
      </c>
      <c r="N43" s="6023" t="str">
        <f>+'12(id)'!A40</f>
        <v>8300-08</v>
      </c>
      <c r="O43" s="5133"/>
      <c r="P43" s="5133"/>
      <c r="Q43" s="5133"/>
      <c r="R43" s="5132"/>
      <c r="S43" s="5132"/>
      <c r="T43" s="2"/>
    </row>
    <row r="44" spans="1:20" ht="25.5" customHeight="1" thickBot="1">
      <c r="A44" s="5142"/>
      <c r="B44" s="5936"/>
      <c r="C44" s="8693">
        <f>+IF(VLOOKUP(MATCH(N44,tid,0),tao,'12(id)'!$H$20,FALSE)="","",VLOOKUP(MATCH(N44,tid,0),tao,'12(id)'!$H$20,FALSE))</f>
        <v>11</v>
      </c>
      <c r="D44" s="9316"/>
      <c r="E44" s="9318">
        <f>+IF(N44="","",VLOOKUP(MATCH(N44,tid,0),tao,'12(id)'!$I$20,FALSE))</f>
        <v>0</v>
      </c>
      <c r="F44" s="9319" t="str">
        <f>+IF(N44="","",VLOOKUP(MATCH(N44,tid,0),tao,'12(id)'!$J$20,FALSE))</f>
        <v>NRG</v>
      </c>
      <c r="G44" s="6017" t="str">
        <f>+IF(N44="","",VLOOKUP(MATCH(N44,tid,0),tao,'12(id)'!$L$20,FALSE))</f>
        <v>Middletown</v>
      </c>
      <c r="H44" s="6028" t="str">
        <f>+IF(N44="","",VLOOKUP(MATCH(N44,tid,0),tao,'12(id)'!$Q$20,FALSE))</f>
        <v>MD10</v>
      </c>
      <c r="I44" s="9271"/>
      <c r="J44" s="6019">
        <f>+IF(ISERROR(MATCH(N44,tid,0)),"",IF(VLOOKUP(MATCH(N44,tid,0),tao,'12(id)'!$CT$20,FALSE)="","",VLOOKUP(MATCH(N44,tid,0),tao,'12(id)'!$CT$20,FALSE)))</f>
        <v>20</v>
      </c>
      <c r="K44" s="6020">
        <f>+IF(N44="","",VLOOKUP(MATCH(N44,tid,0),tao,'12(id)'!$U$20,FALSE))</f>
        <v>1</v>
      </c>
      <c r="L44" s="6021" t="str">
        <f ca="1">+IF(ISERROR(MATCH(N44,tid,0)),"",IF(VLOOKUP(MATCH(N44,tid,0),tao,'12(id)'!$DE$20,FALSE)="","",ROUND(VLOOKUP(MATCH(N44,tid,0),tao,'12(id)'!$DE$20,FALSE),0)&amp;" yrs"))</f>
        <v>48 yrs</v>
      </c>
      <c r="M44" s="6022" t="str">
        <f>+IF(N44="","",IF(VLOOKUP(MATCH(N44,tid,0),tao,'12(id)'!$DI$20,FALSE)="","",VLOOKUP(MATCH(N44,tid,0),tao,'12(id)'!$DI$20,FALSE))&amp;";  "&amp;IF(VLOOKUP(MATCH(N44,tid,0),tao,'12(id)'!$DQ$20,FALSE)="","",VLOOKUP(MATCH(N44,tid,0),tao,'12(id)'!$DQ$20,FALSE)))</f>
        <v xml:space="preserve">Ultra low sulfur kerosene  oil (ULSD);  </v>
      </c>
      <c r="N44" s="6023" t="str">
        <f>+'12(id)'!A41</f>
        <v>8300-09</v>
      </c>
      <c r="O44" s="5133"/>
      <c r="P44" s="5133"/>
      <c r="Q44" s="5133"/>
      <c r="R44" s="5132"/>
      <c r="S44" s="5132"/>
    </row>
    <row r="45" spans="1:20" ht="25.5" customHeight="1" thickBot="1">
      <c r="A45" s="5142"/>
      <c r="B45" s="5936"/>
      <c r="C45" s="8693">
        <f>+IF(VLOOKUP(MATCH(N45,tid,0),tao,'12(id)'!$H$20,FALSE)="","",VLOOKUP(MATCH(N45,tid,0),tao,'12(id)'!$H$20,FALSE))</f>
        <v>12</v>
      </c>
      <c r="D45" s="9316"/>
      <c r="E45" s="9318">
        <f>+IF(N45="","",VLOOKUP(MATCH(N45,tid,0),tao,'12(id)'!$I$20,FALSE))</f>
        <v>0</v>
      </c>
      <c r="F45" s="9319" t="str">
        <f>+IF(N45="","",VLOOKUP(MATCH(N45,tid,0),tao,'12(id)'!$J$20,FALSE))</f>
        <v>NRG</v>
      </c>
      <c r="G45" s="6017" t="str">
        <f>+IF(N45="","",VLOOKUP(MATCH(N45,tid,0),tao,'12(id)'!$L$20,FALSE))</f>
        <v>Norwalk Harbor Station</v>
      </c>
      <c r="H45" s="6028" t="str">
        <f>+IF(N45="","",VLOOKUP(MATCH(N45,tid,0),tao,'12(id)'!$Q$20,FALSE))</f>
        <v>NH10</v>
      </c>
      <c r="I45" s="9271"/>
      <c r="J45" s="6019">
        <f>+IF(ISERROR(MATCH(N45,tid,0)),"",IF(VLOOKUP(MATCH(N45,tid,0),tao,'12(id)'!$CT$20,FALSE)="","",VLOOKUP(MATCH(N45,tid,0),tao,'12(id)'!$CT$20,FALSE)))</f>
        <v>17</v>
      </c>
      <c r="K45" s="6020">
        <f>+IF(N45="","",VLOOKUP(MATCH(N45,tid,0),tao,'12(id)'!$U$20,FALSE))</f>
        <v>1</v>
      </c>
      <c r="L45" s="6021" t="str">
        <f ca="1">+IF(ISERROR(MATCH(N45,tid,0)),"",IF(VLOOKUP(MATCH(N45,tid,0),tao,'12(id)'!$DE$20,FALSE)="","",ROUND(VLOOKUP(MATCH(N45,tid,0),tao,'12(id)'!$DE$20,FALSE),0)&amp;" yrs"))</f>
        <v>48 yrs</v>
      </c>
      <c r="M45" s="6022" t="str">
        <f>+IF(N45="","",IF(VLOOKUP(MATCH(N45,tid,0),tao,'12(id)'!$DI$20,FALSE)="","",VLOOKUP(MATCH(N45,tid,0),tao,'12(id)'!$DI$20,FALSE))&amp;";  "&amp;IF(VLOOKUP(MATCH(N45,tid,0),tao,'12(id)'!$DQ$20,FALSE)="","",VLOOKUP(MATCH(N45,tid,0),tao,'12(id)'!$DQ$20,FALSE)))</f>
        <v xml:space="preserve">No.2 Oil;  </v>
      </c>
      <c r="N45" s="6023" t="str">
        <f>+'12(id)'!A42</f>
        <v>8300-10</v>
      </c>
      <c r="O45" s="5133"/>
      <c r="P45" s="5133"/>
      <c r="Q45" s="5133"/>
      <c r="R45" s="5132"/>
      <c r="S45" s="5132"/>
    </row>
    <row r="46" spans="1:20" ht="25.5" customHeight="1" thickBot="1">
      <c r="A46" s="5142"/>
      <c r="B46" s="5936"/>
      <c r="C46" s="8693">
        <f>+IF(VLOOKUP(MATCH(N46,tid,0),tao,'12(id)'!$H$20,FALSE)="","",VLOOKUP(MATCH(N46,tid,0),tao,'12(id)'!$H$20,FALSE))</f>
        <v>13</v>
      </c>
      <c r="D46" s="9316"/>
      <c r="E46" s="9318">
        <f>+IF(N46="","",VLOOKUP(MATCH(N46,tid,0),tao,'12(id)'!$I$20,FALSE))</f>
        <v>0</v>
      </c>
      <c r="F46" s="9319" t="str">
        <f>+IF(N46="","",VLOOKUP(MATCH(N46,tid,0),tao,'12(id)'!$J$20,FALSE))</f>
        <v>NRG</v>
      </c>
      <c r="G46" s="6017" t="str">
        <f>+IF(N46="","",VLOOKUP(MATCH(N46,tid,0),tao,'12(id)'!$L$20,FALSE))</f>
        <v>Devon</v>
      </c>
      <c r="H46" s="6028" t="str">
        <f>+IF(N46="","",VLOOKUP(MATCH(N46,tid,0),tao,'12(id)'!$Q$20,FALSE))</f>
        <v>DV10</v>
      </c>
      <c r="I46" s="9271"/>
      <c r="J46" s="6019">
        <f>+IF(ISERROR(MATCH(N46,tid,0)),"",IF(VLOOKUP(MATCH(N46,tid,0),tao,'12(id)'!$CT$20,FALSE)="","",VLOOKUP(MATCH(N46,tid,0),tao,'12(id)'!$CT$20,FALSE)))</f>
        <v>20</v>
      </c>
      <c r="K46" s="6020">
        <f>+IF(N46="","",VLOOKUP(MATCH(N46,tid,0),tao,'12(id)'!$U$20,FALSE))</f>
        <v>1</v>
      </c>
      <c r="L46" s="6021" t="str">
        <f ca="1">+IF(ISERROR(MATCH(N46,tid,0)),"",IF(VLOOKUP(MATCH(N46,tid,0),tao,'12(id)'!$DE$20,FALSE)="","",ROUND(VLOOKUP(MATCH(N46,tid,0),tao,'12(id)'!$DE$20,FALSE),0)&amp;" yrs"))</f>
        <v>26 yrs</v>
      </c>
      <c r="M46" s="6022" t="str">
        <f>+IF(N46="","",IF(VLOOKUP(MATCH(N46,tid,0),tao,'12(id)'!$DI$20,FALSE)="","",VLOOKUP(MATCH(N46,tid,0),tao,'12(id)'!$DI$20,FALSE))&amp;";  "&amp;IF(VLOOKUP(MATCH(N46,tid,0),tao,'12(id)'!$DQ$20,FALSE)="","",VLOOKUP(MATCH(N46,tid,0),tao,'12(id)'!$DQ$20,FALSE)))</f>
        <v xml:space="preserve">Ultra low sulfur kerosene  oil (ULSD);  </v>
      </c>
      <c r="N46" s="6023" t="str">
        <f>+'12(id)'!A43</f>
        <v>8300-11</v>
      </c>
      <c r="O46" s="5133"/>
      <c r="P46" s="5133"/>
      <c r="Q46" s="5133"/>
      <c r="R46" s="5132"/>
      <c r="S46" s="5132"/>
    </row>
    <row r="47" spans="1:20" ht="20.100000000000001" customHeight="1" thickBot="1">
      <c r="A47" s="5142"/>
      <c r="B47" s="5936"/>
      <c r="C47" s="9277">
        <f>+VLOOKUP(MATCH(N47,tid,0),tao,'12(id)'!$H$20,FALSE)</f>
        <v>14</v>
      </c>
      <c r="D47" s="9316"/>
      <c r="E47" s="9318">
        <f>+IF(N47="","",VLOOKUP(MATCH(N47,tid,0),tao,'12(id)'!$I$20,FALSE))</f>
        <v>0</v>
      </c>
      <c r="F47" s="9319" t="str">
        <f>+IF(N47="","",VLOOKUP(MATCH(N47,tid,0),tao,'12(id)'!$J$20,FALSE))</f>
        <v>NRG</v>
      </c>
      <c r="G47" s="6035" t="str">
        <f>+IF(N47="","",VLOOKUP(MATCH(N47,tid,0),tao,'12(id)'!$L$20,FALSE))</f>
        <v>Devon</v>
      </c>
      <c r="H47" s="6030" t="str">
        <f>+IF(N47="","",VLOOKUP(MATCH(N47,tid,0),tao,'12(id)'!$Q$20,FALSE))</f>
        <v>DV11</v>
      </c>
      <c r="I47" s="9271"/>
      <c r="J47" s="9306">
        <f>+IF(ISERROR(MATCH(N47,tid,0)),"",IF(VLOOKUP(MATCH(N47,tid,0),tao,'12(id)'!$CT$20,FALSE)="","",VLOOKUP(MATCH(N47,tid,0),tao,'12(id)'!$CT$20,FALSE)))</f>
        <v>40</v>
      </c>
      <c r="K47" s="9299">
        <f>+IF(N47="","",VLOOKUP(MATCH(N47,tid,0),tao,'12(id)'!$U$20,FALSE))</f>
        <v>4</v>
      </c>
      <c r="L47" s="9305" t="str">
        <f ca="1">+IF(ISERROR(MATCH(N47,tid,0)),"",IF(VLOOKUP(MATCH(N47,tid,0),tao,'12(id)'!$DE$20,FALSE)="","",ROUND(VLOOKUP(MATCH(N47,tid,0),tao,'12(id)'!$DE$20,FALSE),0)&amp;" yrs"))</f>
        <v>18 yrs</v>
      </c>
      <c r="M47" s="9303" t="str">
        <f>+IF(N47="","",IF(VLOOKUP(MATCH(N47,tid,0),tao,'12(id)'!$DI$20,FALSE)="","",VLOOKUP(MATCH(N47,tid,0),tao,'12(id)'!$DI$20,FALSE))&amp;";  "&amp;IF(VLOOKUP(MATCH(N47,tid,0),tao,'12(id)'!$DQ$20,FALSE)="","",VLOOKUP(MATCH(N47,tid,0),tao,'12(id)'!$DQ$20,FALSE)))</f>
        <v>ULSD oil;  Natural Gas</v>
      </c>
      <c r="N47" s="6010" t="str">
        <f>+'12(id)'!A44</f>
        <v>8300-12</v>
      </c>
      <c r="O47" s="5133"/>
      <c r="P47" s="5133"/>
      <c r="Q47" s="5133"/>
      <c r="R47" s="5132"/>
      <c r="S47" s="5132"/>
    </row>
    <row r="48" spans="1:20" ht="20.100000000000001" customHeight="1" thickBot="1">
      <c r="A48" s="5142"/>
      <c r="B48" s="5936"/>
      <c r="C48" s="9277">
        <f>+VLOOKUP(MATCH(N48,tid,0),tao,'12(id)'!$H$20,FALSE)</f>
        <v>0</v>
      </c>
      <c r="D48" s="9316"/>
      <c r="E48" s="9318">
        <f>+IF(N48="","",VLOOKUP(MATCH(N48,tid,0),tao,'12(id)'!$I$20,FALSE))</f>
        <v>0</v>
      </c>
      <c r="F48" s="9319" t="str">
        <f>+IF(N48="","",VLOOKUP(MATCH(N48,tid,0),tao,'12(id)'!$J$20,FALSE))</f>
        <v>NRG</v>
      </c>
      <c r="G48" s="6031" t="str">
        <f>+IF(N48="","",VLOOKUP(MATCH(N48,tid,0),tao,'12(id)'!$L$20,FALSE))</f>
        <v>Devon</v>
      </c>
      <c r="H48" s="6032" t="str">
        <f>+IF(N48="","",VLOOKUP(MATCH(N48,tid,0),tao,'12(id)'!$Q$20,FALSE))</f>
        <v>DV12</v>
      </c>
      <c r="I48" s="9271"/>
      <c r="J48" s="9306">
        <f>+IF(ISERROR(MATCH(N48,tid,0)),"",IF(VLOOKUP(MATCH(N48,tid,0),tao,'12(id)'!$CT$20,FALSE)="","",VLOOKUP(MATCH(N48,tid,0),tao,'12(id)'!$CT$20,FALSE)))</f>
        <v>40</v>
      </c>
      <c r="K48" s="9299">
        <f>+IF(N48="","",VLOOKUP(MATCH(N48,tid,0),tao,'12(id)'!$U$20,FALSE))</f>
        <v>4</v>
      </c>
      <c r="L48" s="9305" t="str">
        <f ca="1">+IF(ISERROR(MATCH(N48,tid,0)),"",IF(VLOOKUP(MATCH(N48,tid,0),tao,'12(id)'!$DE$20,FALSE)="","",ROUND(VLOOKUP(MATCH(N48,tid,0),tao,'12(id)'!$DE$20,FALSE),0)&amp;" yrs"))</f>
        <v>18 yrs</v>
      </c>
      <c r="M48" s="9305" t="str">
        <f>+IF(N48="","",IF(VLOOKUP(MATCH(N48,tid,0),tao,'12(id)'!$DI$20,FALSE)="","",VLOOKUP(MATCH(N48,tid,0),tao,'12(id)'!$DI$20,FALSE))&amp;";  "&amp;IF(VLOOKUP(MATCH(N48,tid,0),tao,'12(id)'!$DQ$20,FALSE)="","",VLOOKUP(MATCH(N48,tid,0),tao,'12(id)'!$DQ$20,FALSE)))</f>
        <v>ULSD oil;  Natural Gas</v>
      </c>
      <c r="N48" s="6012" t="str">
        <f>+'12(id)'!A45</f>
        <v>8300-13</v>
      </c>
      <c r="O48" s="5133"/>
      <c r="P48" s="5133"/>
      <c r="Q48" s="5133"/>
      <c r="R48" s="5132"/>
      <c r="S48" s="5132"/>
    </row>
    <row r="49" spans="1:19" ht="20.100000000000001" customHeight="1" thickBot="1">
      <c r="A49" s="5142"/>
      <c r="B49" s="5936"/>
      <c r="C49" s="9277">
        <f>+VLOOKUP(MATCH(N49,tid,0),tao,'12(id)'!$H$20,FALSE)</f>
        <v>0</v>
      </c>
      <c r="D49" s="9316"/>
      <c r="E49" s="9318">
        <f>+IF(N49="","",VLOOKUP(MATCH(N49,tid,0),tao,'12(id)'!$I$20,FALSE))</f>
        <v>0</v>
      </c>
      <c r="F49" s="9319" t="str">
        <f>+IF(N49="","",VLOOKUP(MATCH(N49,tid,0),tao,'12(id)'!$J$20,FALSE))</f>
        <v>NRG</v>
      </c>
      <c r="G49" s="6031" t="str">
        <f>+IF(N49="","",VLOOKUP(MATCH(N49,tid,0),tao,'12(id)'!$L$20,FALSE))</f>
        <v>Devon</v>
      </c>
      <c r="H49" s="6032" t="str">
        <f>+IF(N49="","",VLOOKUP(MATCH(N49,tid,0),tao,'12(id)'!$Q$20,FALSE))</f>
        <v>DV13</v>
      </c>
      <c r="I49" s="9271"/>
      <c r="J49" s="9306">
        <f>+IF(ISERROR(MATCH(N49,tid,0)),"",IF(VLOOKUP(MATCH(N49,tid,0),tao,'12(id)'!$CT$20,FALSE)="","",VLOOKUP(MATCH(N49,tid,0),tao,'12(id)'!$CT$20,FALSE)))</f>
        <v>40</v>
      </c>
      <c r="K49" s="9299">
        <f>+IF(N49="","",VLOOKUP(MATCH(N49,tid,0),tao,'12(id)'!$U$20,FALSE))</f>
        <v>4</v>
      </c>
      <c r="L49" s="9305" t="str">
        <f ca="1">+IF(ISERROR(MATCH(N49,tid,0)),"",IF(VLOOKUP(MATCH(N49,tid,0),tao,'12(id)'!$DE$20,FALSE)="","",ROUND(VLOOKUP(MATCH(N49,tid,0),tao,'12(id)'!$DE$20,FALSE),0)&amp;" yrs"))</f>
        <v>18 yrs</v>
      </c>
      <c r="M49" s="9305" t="str">
        <f>+IF(N49="","",IF(VLOOKUP(MATCH(N49,tid,0),tao,'12(id)'!$DI$20,FALSE)="","",VLOOKUP(MATCH(N49,tid,0),tao,'12(id)'!$DI$20,FALSE))&amp;";  "&amp;IF(VLOOKUP(MATCH(N49,tid,0),tao,'12(id)'!$DQ$20,FALSE)="","",VLOOKUP(MATCH(N49,tid,0),tao,'12(id)'!$DQ$20,FALSE)))</f>
        <v>ULSD oil;  Natural Gas</v>
      </c>
      <c r="N49" s="6012" t="str">
        <f>+'12(id)'!A46</f>
        <v>8300-14</v>
      </c>
      <c r="O49" s="5133"/>
      <c r="P49" s="5133"/>
      <c r="Q49" s="5133"/>
      <c r="R49" s="5132"/>
      <c r="S49" s="5132"/>
    </row>
    <row r="50" spans="1:19" ht="20.100000000000001" customHeight="1" thickBot="1">
      <c r="A50" s="5142"/>
      <c r="B50" s="5936"/>
      <c r="C50" s="9277">
        <f>+VLOOKUP(MATCH(N50,tid,0),tao,'12(id)'!$H$20,FALSE)</f>
        <v>0</v>
      </c>
      <c r="D50" s="9317"/>
      <c r="E50" s="9318">
        <f>+IF(N50="","",VLOOKUP(MATCH(N50,tid,0),tao,'12(id)'!$I$20,FALSE))</f>
        <v>0</v>
      </c>
      <c r="F50" s="9319" t="str">
        <f>+IF(N50="","",VLOOKUP(MATCH(N50,tid,0),tao,'12(id)'!$J$20,FALSE))</f>
        <v>NRG</v>
      </c>
      <c r="G50" s="6033" t="str">
        <f>+IF(N50="","",VLOOKUP(MATCH(N50,tid,0),tao,'12(id)'!$L$20,FALSE))</f>
        <v>Devon</v>
      </c>
      <c r="H50" s="6034" t="str">
        <f>+IF(N50="","",VLOOKUP(MATCH(N50,tid,0),tao,'12(id)'!$Q$20,FALSE))</f>
        <v>DV14</v>
      </c>
      <c r="I50" s="9272"/>
      <c r="J50" s="9306">
        <f>+IF(ISERROR(MATCH(N50,tid,0)),"",IF(VLOOKUP(MATCH(N50,tid,0),tao,'12(id)'!$CT$20,FALSE)="","",VLOOKUP(MATCH(N50,tid,0),tao,'12(id)'!$CT$20,FALSE)))</f>
        <v>40</v>
      </c>
      <c r="K50" s="9299">
        <f>+IF(N50="","",VLOOKUP(MATCH(N50,tid,0),tao,'12(id)'!$U$20,FALSE))</f>
        <v>4</v>
      </c>
      <c r="L50" s="9304" t="str">
        <f ca="1">+IF(ISERROR(MATCH(N50,tid,0)),"",IF(VLOOKUP(MATCH(N50,tid,0),tao,'12(id)'!$DE$20,FALSE)="","",ROUND(VLOOKUP(MATCH(N50,tid,0),tao,'12(id)'!$DE$20,FALSE),0)&amp;" yrs"))</f>
        <v>18 yrs</v>
      </c>
      <c r="M50" s="9304" t="str">
        <f>+IF(N50="","",IF(VLOOKUP(MATCH(N50,tid,0),tao,'12(id)'!$DI$20,FALSE)="","",VLOOKUP(MATCH(N50,tid,0),tao,'12(id)'!$DI$20,FALSE))&amp;";  "&amp;IF(VLOOKUP(MATCH(N50,tid,0),tao,'12(id)'!$DQ$20,FALSE)="","",VLOOKUP(MATCH(N50,tid,0),tao,'12(id)'!$DQ$20,FALSE)))</f>
        <v>ULSD oil;  Natural Gas</v>
      </c>
      <c r="N50" s="6014" t="str">
        <f>+'12(id)'!A47</f>
        <v>8300-15</v>
      </c>
      <c r="O50" s="6036"/>
      <c r="P50" s="6037">
        <f>+COUNTA(N24:N50)</f>
        <v>27</v>
      </c>
      <c r="Q50" s="5133"/>
      <c r="R50" s="5141"/>
      <c r="S50" s="5132"/>
    </row>
    <row r="51" spans="1:19" ht="21" customHeight="1">
      <c r="A51" s="5142"/>
      <c r="B51" s="5936"/>
      <c r="C51" s="9274">
        <f>+VLOOKUP(MATCH(N51,tid,0),tao,'12(id)'!$H$20,FALSE)</f>
        <v>15</v>
      </c>
      <c r="D51" s="9329">
        <f>+IF(N51="","",VLOOKUP(MATCH(N51,tid,0),tao,'12(id)'!$K$20,FALSE))</f>
        <v>8300</v>
      </c>
      <c r="E51" s="9330" t="str">
        <f>+IF(N51="","",VLOOKUP(MATCH(N51,tid,0),tao,'12(id)'!$I$20,FALSE))</f>
        <v>NRG Energy, Inc</v>
      </c>
      <c r="F51" s="9330" t="str">
        <f>+IF(N51="","",VLOOKUP(MATCH(N51,tid,0),tao,'12(id)'!$J$20,FALSE))</f>
        <v>NRG</v>
      </c>
      <c r="G51" s="6035" t="str">
        <f>+IF(N51="","",VLOOKUP(MATCH(N51,tid,0),tao,'12(id)'!$L$20,FALSE))</f>
        <v>Montville</v>
      </c>
      <c r="H51" s="6030" t="str">
        <f>+IF(N51="","",VLOOKUP(MATCH(N51,tid,0),tao,'12(id)'!$Q$20,FALSE))</f>
        <v>MV10</v>
      </c>
      <c r="I51" s="9301" t="s">
        <v>99</v>
      </c>
      <c r="J51" s="9307">
        <f>+IF(ISERROR(MATCH(N51,tid,0)),"",IF(VLOOKUP(MATCH(N51,tid,0),tao,'12(id)'!$CT$20,FALSE)="","",VLOOKUP(MATCH(N51,tid,0),tao,'12(id)'!$CT$20,FALSE)))</f>
        <v>2.75</v>
      </c>
      <c r="K51" s="9301">
        <f>+IF(N51="","",VLOOKUP(MATCH(N51,tid,0),tao,'12(id)'!$U$20,FALSE))</f>
        <v>2</v>
      </c>
      <c r="L51" s="9303" t="str">
        <f ca="1">+IF(ISERROR(MATCH(N51,tid,0)),"",IF(VLOOKUP(MATCH(N51,tid,0),tao,'12(id)'!$DE$20,FALSE)="","",ROUND(VLOOKUP(MATCH(N51,tid,0),tao,'12(id)'!$DE$20,FALSE),0)&amp;" yrs"))</f>
        <v>48 yrs</v>
      </c>
      <c r="M51" s="9303" t="str">
        <f>+IF(N51="","",IF(VLOOKUP(MATCH(N51,tid,0),tao,'12(id)'!$DI$20,FALSE)="","",VLOOKUP(MATCH(N51,tid,0),tao,'12(id)'!$DI$20,FALSE))&amp;";  "&amp;IF(VLOOKUP(MATCH(N51,tid,0),tao,'12(id)'!$DQ$20,FALSE)="","",VLOOKUP(MATCH(N51,tid,0),tao,'12(id)'!$DQ$20,FALSE)))</f>
        <v xml:space="preserve">0.05% sulfur distillate oil;  </v>
      </c>
      <c r="N51" s="6010" t="str">
        <f>+'12(id)'!A48</f>
        <v>8300-16</v>
      </c>
      <c r="O51" s="5354"/>
      <c r="P51" s="7420"/>
      <c r="Q51" s="5133"/>
      <c r="R51" s="5138"/>
      <c r="S51" s="5132"/>
    </row>
    <row r="52" spans="1:19" ht="21" customHeight="1" thickBot="1">
      <c r="A52" s="5142"/>
      <c r="B52" s="5936"/>
      <c r="C52" s="9276">
        <f>+VLOOKUP(MATCH(N52,tid,0),tao,'12(id)'!$H$20,FALSE)</f>
        <v>0</v>
      </c>
      <c r="D52" s="9288"/>
      <c r="E52" s="9331">
        <f>+IF(N52="","",VLOOKUP(MATCH(N52,tid,0),tao,'12(id)'!$I$20,FALSE))</f>
        <v>0</v>
      </c>
      <c r="F52" s="9331" t="str">
        <f>+IF(N52="","",VLOOKUP(MATCH(N52,tid,0),tao,'12(id)'!$J$20,FALSE))</f>
        <v>NRG</v>
      </c>
      <c r="G52" s="6033" t="str">
        <f>+IF(N52="","",VLOOKUP(MATCH(N52,tid,0),tao,'12(id)'!$L$20,FALSE))</f>
        <v>Montville</v>
      </c>
      <c r="H52" s="6034" t="str">
        <f>+IF(N52="","",VLOOKUP(MATCH(N52,tid,0),tao,'12(id)'!$Q$20,FALSE))</f>
        <v>MV11</v>
      </c>
      <c r="I52" s="9302"/>
      <c r="J52" s="9308">
        <f>+IF(ISERROR(MATCH(N52,tid,0)),"",IF(VLOOKUP(MATCH(N52,tid,0),tao,'12(id)'!$CT$20,FALSE)="","",VLOOKUP(MATCH(N52,tid,0),tao,'12(id)'!$CT$20,FALSE)))</f>
        <v>2.75</v>
      </c>
      <c r="K52" s="9302">
        <f>+IF(N52="","",VLOOKUP(MATCH(N52,tid,0),tao,'12(id)'!$U$20,FALSE))</f>
        <v>2</v>
      </c>
      <c r="L52" s="9304" t="str">
        <f ca="1">+IF(ISERROR(MATCH(N52,tid,0)),"",IF(VLOOKUP(MATCH(N52,tid,0),tao,'12(id)'!$DE$20,FALSE)="","",ROUND(VLOOKUP(MATCH(N52,tid,0),tao,'12(id)'!$DE$20,FALSE),0)&amp;" yrs"))</f>
        <v>48 yrs</v>
      </c>
      <c r="M52" s="9304" t="str">
        <f>+IF(N52="","",IF(VLOOKUP(MATCH(N52,tid,0),tao,'12(id)'!$DI$20,FALSE)="","",VLOOKUP(MATCH(N52,tid,0),tao,'12(id)'!$DI$20,FALSE))&amp;";  "&amp;IF(VLOOKUP(MATCH(N52,tid,0),tao,'12(id)'!$DQ$20,FALSE)="","",VLOOKUP(MATCH(N52,tid,0),tao,'12(id)'!$DQ$20,FALSE)))</f>
        <v xml:space="preserve">0.05% sulfur distillate oil;  </v>
      </c>
      <c r="N52" s="6014" t="str">
        <f>+'12(id)'!A49</f>
        <v>8300-17</v>
      </c>
      <c r="O52" s="6036"/>
      <c r="P52" s="6037">
        <f>+COUNTA(N51:N52)</f>
        <v>2</v>
      </c>
      <c r="Q52" s="5133"/>
      <c r="R52" s="5141"/>
      <c r="S52" s="5132"/>
    </row>
    <row r="53" spans="1:19" ht="21" customHeight="1" thickBot="1">
      <c r="A53" s="5142"/>
      <c r="B53" s="5936"/>
      <c r="C53" s="8693">
        <f>+VLOOKUP(MATCH(N53,tid,0),tao,'12(id)'!$H$20,FALSE)</f>
        <v>16</v>
      </c>
      <c r="D53" s="9286">
        <f>+IF(N53="","",VLOOKUP(MATCH(N53,tid,0),tao,'12(id)'!$K$20,FALSE))</f>
        <v>8306</v>
      </c>
      <c r="E53" s="9327" t="str">
        <f>+IF(N53="","",VLOOKUP(MATCH(N53,tid,0),tao,'12(id)'!$I$20,FALSE))</f>
        <v>NRG Energy, Inc</v>
      </c>
      <c r="F53" s="9327" t="str">
        <f>+IF(N53="","",VLOOKUP(MATCH(N53,tid,0),tao,'12(id)'!$J$20,FALSE))</f>
        <v>NRG</v>
      </c>
      <c r="G53" s="6035" t="str">
        <f>+IF(N53="","",VLOOKUP(MATCH(N53,tid,0),tao,'12(id)'!$L$20,FALSE))</f>
        <v>Middletown</v>
      </c>
      <c r="H53" s="6039" t="str">
        <f>+IF(N53="","",VLOOKUP(MATCH(N53,tid,0),tao,'12(id)'!$Q$20,FALSE))</f>
        <v>MD2</v>
      </c>
      <c r="I53" s="9322" t="s">
        <v>544</v>
      </c>
      <c r="J53" s="6040">
        <f>+IF(ISERROR(MATCH(N53,tid,0)),"",IF(VLOOKUP(MATCH(N53,tid,0),tao,'12(id)'!$CT$20,FALSE)="","",VLOOKUP(MATCH(N53,tid,0),tao,'12(id)'!$CT$20,FALSE)))</f>
        <v>120</v>
      </c>
      <c r="K53" s="6041">
        <f>+IF(N53="","",VLOOKUP(MATCH(N53,tid,0),tao,'12(id)'!$U$20,FALSE))</f>
        <v>1</v>
      </c>
      <c r="L53" s="6042" t="str">
        <f>+IF(ISERROR(MATCH(N53,tid,0)),"",IF(VLOOKUP(MATCH(N53,tid,0),tao,'12(id)'!$DE$20,FALSE)="","",ROUND(VLOOKUP(MATCH(N53,tid,0),tao,'12(id)'!$DE$20,FALSE),0)&amp;" yrs"))</f>
        <v/>
      </c>
      <c r="M53" s="6043" t="str">
        <f>+IF(N53="","",IF(VLOOKUP(MATCH(N53,tid,0),tao,'12(id)'!$DI$20,FALSE)="","",VLOOKUP(MATCH(N53,tid,0),tao,'12(id)'!$DI$20,FALSE))&amp;";  "&amp;IF(VLOOKUP(MATCH(N53,tid,0),tao,'12(id)'!$DQ$20,FALSE)="","",VLOOKUP(MATCH(N53,tid,0),tao,'12(id)'!$DQ$20,FALSE)))</f>
        <v>No. 6 oil;  No. 2 oil</v>
      </c>
      <c r="N53" s="6010" t="str">
        <f>+'12(id)'!A50</f>
        <v>8306-01</v>
      </c>
      <c r="O53" s="5133"/>
      <c r="P53" s="7420"/>
      <c r="Q53" s="5133"/>
      <c r="R53" s="5138"/>
      <c r="S53" s="5132"/>
    </row>
    <row r="54" spans="1:19" ht="21" customHeight="1" thickBot="1">
      <c r="A54" s="5142"/>
      <c r="B54" s="5936"/>
      <c r="C54" s="8693">
        <f>+VLOOKUP(MATCH(N54,tid,0),tao,'12(id)'!$H$20,FALSE)</f>
        <v>17</v>
      </c>
      <c r="D54" s="9325">
        <f>+IF(N54="","",VLOOKUP(MATCH(N54,tid,0),tao,'12(id)'!$K$20,FALSE))</f>
        <v>8306</v>
      </c>
      <c r="E54" s="9327">
        <f>+IF(N54="","",VLOOKUP(MATCH(N54,tid,0),tao,'12(id)'!$I$20,FALSE))</f>
        <v>0</v>
      </c>
      <c r="F54" s="9328" t="str">
        <f>+IF(N54="","",VLOOKUP(MATCH(N54,tid,0),tao,'12(id)'!$J$20,FALSE))</f>
        <v>NRG</v>
      </c>
      <c r="G54" s="6044" t="str">
        <f>+IF(N54="","",VLOOKUP(MATCH(N54,tid,0),tao,'12(id)'!$L$20,FALSE))</f>
        <v>Middletown</v>
      </c>
      <c r="H54" s="6045" t="str">
        <f>+IF(N54="","",VLOOKUP(MATCH(N54,tid,0),tao,'12(id)'!$Q$20,FALSE))</f>
        <v>MD3 </v>
      </c>
      <c r="I54" s="9323"/>
      <c r="J54" s="6046">
        <f>+IF(ISERROR(MATCH(N54,tid,0)),"",IF(VLOOKUP(MATCH(N54,tid,0),tao,'12(id)'!$CT$20,FALSE)="","",VLOOKUP(MATCH(N54,tid,0),tao,'12(id)'!$CT$20,FALSE)))</f>
        <v>236</v>
      </c>
      <c r="K54" s="6047">
        <f>+IF(N54="","",VLOOKUP(MATCH(N54,tid,0),tao,'12(id)'!$U$20,FALSE))</f>
        <v>1</v>
      </c>
      <c r="L54" s="6048" t="str">
        <f>+IF(ISERROR(MATCH(N54,tid,0)),"",IF(VLOOKUP(MATCH(N54,tid,0),tao,'12(id)'!$DE$20,FALSE)="","",ROUND(VLOOKUP(MATCH(N54,tid,0),tao,'12(id)'!$DE$20,FALSE),0)&amp;" yrs"))</f>
        <v/>
      </c>
      <c r="M54" s="6049" t="str">
        <f>+IF(N54="","",IF(VLOOKUP(MATCH(N54,tid,0),tao,'12(id)'!$DI$20,FALSE)="","",VLOOKUP(MATCH(N54,tid,0),tao,'12(id)'!$DI$20,FALSE))&amp;";  "&amp;IF(VLOOKUP(MATCH(N54,tid,0),tao,'12(id)'!$DQ$20,FALSE)="","",VLOOKUP(MATCH(N54,tid,0),tao,'12(id)'!$DQ$20,FALSE)))</f>
        <v>No. 6 oil;  No. 2 oil</v>
      </c>
      <c r="N54" s="6050" t="str">
        <f>+'12(id)'!A51</f>
        <v>8306-02</v>
      </c>
      <c r="O54" s="5133"/>
      <c r="P54" s="7420"/>
      <c r="Q54" s="5133"/>
      <c r="R54" s="5138"/>
      <c r="S54" s="5132"/>
    </row>
    <row r="55" spans="1:19" ht="21" customHeight="1" thickBot="1">
      <c r="A55" s="5142"/>
      <c r="B55" s="5936"/>
      <c r="C55" s="8693">
        <f>+VLOOKUP(MATCH(N55,tid,0),tao,'12(id)'!$H$20,FALSE)</f>
        <v>18</v>
      </c>
      <c r="D55" s="9325">
        <f>+IF(N55="","",VLOOKUP(MATCH(N55,tid,0),tao,'12(id)'!$K$20,FALSE))</f>
        <v>8306</v>
      </c>
      <c r="E55" s="9327">
        <f>+IF(N55="","",VLOOKUP(MATCH(N55,tid,0),tao,'12(id)'!$I$20,FALSE))</f>
        <v>0</v>
      </c>
      <c r="F55" s="9328" t="str">
        <f>+IF(N55="","",VLOOKUP(MATCH(N55,tid,0),tao,'12(id)'!$J$20,FALSE))</f>
        <v>NRG</v>
      </c>
      <c r="G55" s="6044" t="str">
        <f>+IF(N55="","",VLOOKUP(MATCH(N55,tid,0),tao,'12(id)'!$L$20,FALSE))</f>
        <v>Middletown</v>
      </c>
      <c r="H55" s="6045" t="str">
        <f>+IF(N55="","",VLOOKUP(MATCH(N55,tid,0),tao,'12(id)'!$Q$20,FALSE))</f>
        <v>MD4 </v>
      </c>
      <c r="I55" s="9323"/>
      <c r="J55" s="6046">
        <f>+IF(ISERROR(MATCH(N55,tid,0)),"",IF(VLOOKUP(MATCH(N55,tid,0),tao,'12(id)'!$CT$20,FALSE)="","",VLOOKUP(MATCH(N55,tid,0),tao,'12(id)'!$CT$20,FALSE)))</f>
        <v>400</v>
      </c>
      <c r="K55" s="6047">
        <f>+IF(N55="","",VLOOKUP(MATCH(N55,tid,0),tao,'12(id)'!$U$20,FALSE))</f>
        <v>1</v>
      </c>
      <c r="L55" s="6048" t="str">
        <f>+IF(ISERROR(MATCH(N55,tid,0)),"",IF(VLOOKUP(MATCH(N55,tid,0),tao,'12(id)'!$DE$20,FALSE)="","",ROUND(VLOOKUP(MATCH(N55,tid,0),tao,'12(id)'!$DE$20,FALSE),0)&amp;" yrs"))</f>
        <v/>
      </c>
      <c r="M55" s="6049" t="str">
        <f>+IF(N55="","",IF(VLOOKUP(MATCH(N55,tid,0),tao,'12(id)'!$DI$20,FALSE)="","",VLOOKUP(MATCH(N55,tid,0),tao,'12(id)'!$DI$20,FALSE))&amp;";  "&amp;IF(VLOOKUP(MATCH(N55,tid,0),tao,'12(id)'!$DQ$20,FALSE)="","",VLOOKUP(MATCH(N55,tid,0),tao,'12(id)'!$DQ$20,FALSE)))</f>
        <v>No. 6 oil;  No. 2 oil</v>
      </c>
      <c r="N55" s="6050" t="str">
        <f>+'12(id)'!A52</f>
        <v>8306-03</v>
      </c>
      <c r="O55" s="5133"/>
      <c r="P55" s="7420"/>
      <c r="Q55" s="5133"/>
      <c r="R55" s="5138"/>
      <c r="S55" s="5132"/>
    </row>
    <row r="56" spans="1:19" ht="21" customHeight="1" thickBot="1">
      <c r="A56" s="5142"/>
      <c r="B56" s="5936"/>
      <c r="C56" s="8693">
        <f>+VLOOKUP(MATCH(N56,tid,0),tao,'12(id)'!$H$20,FALSE)</f>
        <v>19</v>
      </c>
      <c r="D56" s="9325">
        <f>+IF(N56="","",VLOOKUP(MATCH(N56,tid,0),tao,'12(id)'!$K$20,FALSE))</f>
        <v>8306</v>
      </c>
      <c r="E56" s="9327" t="str">
        <f>+IF(N56="","",VLOOKUP(MATCH(N56,tid,0),tao,'12(id)'!$I$20,FALSE))</f>
        <v>NRG Energy, Inc</v>
      </c>
      <c r="F56" s="9328" t="str">
        <f>+IF(N56="","",VLOOKUP(MATCH(N56,tid,0),tao,'12(id)'!$J$20,FALSE))</f>
        <v>NRG</v>
      </c>
      <c r="G56" s="6051" t="str">
        <f>+IF(N56="","",VLOOKUP(MATCH(N56,tid,0),tao,'12(id)'!$L$20,FALSE))</f>
        <v>Montville</v>
      </c>
      <c r="H56" s="6045" t="str">
        <f>+IF(N56="","",VLOOKUP(MATCH(N56,tid,0),tao,'12(id)'!$Q$20,FALSE))</f>
        <v>MV5 </v>
      </c>
      <c r="I56" s="9323"/>
      <c r="J56" s="6046">
        <f>+IF(ISERROR(MATCH(N56,tid,0)),"",IF(VLOOKUP(MATCH(N56,tid,0),tao,'12(id)'!$CT$20,FALSE)="","",VLOOKUP(MATCH(N56,tid,0),tao,'12(id)'!$CT$20,FALSE)))</f>
        <v>81</v>
      </c>
      <c r="K56" s="6047">
        <f>+IF(N56="","",VLOOKUP(MATCH(N56,tid,0),tao,'12(id)'!$U$20,FALSE))</f>
        <v>1</v>
      </c>
      <c r="L56" s="6048" t="str">
        <f>+IF(ISERROR(MATCH(N56,tid,0)),"",IF(VLOOKUP(MATCH(N56,tid,0),tao,'12(id)'!$DE$20,FALSE)="","",ROUND(VLOOKUP(MATCH(N56,tid,0),tao,'12(id)'!$DE$20,FALSE),0)&amp;" yrs"))</f>
        <v/>
      </c>
      <c r="M56" s="6049" t="str">
        <f>+IF(N56="","",IF(VLOOKUP(MATCH(N56,tid,0),tao,'12(id)'!$DI$20,FALSE)="","",VLOOKUP(MATCH(N56,tid,0),tao,'12(id)'!$DI$20,FALSE))&amp;";  "&amp;IF(VLOOKUP(MATCH(N56,tid,0),tao,'12(id)'!$DQ$20,FALSE)="","",VLOOKUP(MATCH(N56,tid,0),tao,'12(id)'!$DQ$20,FALSE)))</f>
        <v>No. 6 oil;  Nat. Gas</v>
      </c>
      <c r="N56" s="6050" t="str">
        <f>+'12(id)'!A53</f>
        <v>8306-04</v>
      </c>
      <c r="O56" s="5133"/>
      <c r="P56" s="7420"/>
      <c r="Q56" s="5133"/>
      <c r="R56" s="5138"/>
      <c r="S56" s="5132"/>
    </row>
    <row r="57" spans="1:19" ht="21" customHeight="1" thickBot="1">
      <c r="A57" s="5142"/>
      <c r="B57" s="5936"/>
      <c r="C57" s="8693">
        <f>+VLOOKUP(MATCH(N57,tid,0),tao,'12(id)'!$H$20,FALSE)</f>
        <v>20</v>
      </c>
      <c r="D57" s="9325">
        <f>+IF(N57="","",VLOOKUP(MATCH(N57,tid,0),tao,'12(id)'!$K$20,FALSE))</f>
        <v>8306</v>
      </c>
      <c r="E57" s="9327">
        <f>+IF(N57="","",VLOOKUP(MATCH(N57,tid,0),tao,'12(id)'!$I$20,FALSE))</f>
        <v>0</v>
      </c>
      <c r="F57" s="9328" t="str">
        <f>+IF(N57="","",VLOOKUP(MATCH(N57,tid,0),tao,'12(id)'!$J$20,FALSE))</f>
        <v>NRG</v>
      </c>
      <c r="G57" s="6051" t="str">
        <f>+IF(N57="","",VLOOKUP(MATCH(N57,tid,0),tao,'12(id)'!$L$20,FALSE))</f>
        <v>Montville</v>
      </c>
      <c r="H57" s="6045" t="str">
        <f>+IF(N57="","",VLOOKUP(MATCH(N57,tid,0),tao,'12(id)'!$Q$20,FALSE))</f>
        <v>MV6 </v>
      </c>
      <c r="I57" s="9323"/>
      <c r="J57" s="6046">
        <f>+IF(ISERROR(MATCH(N57,tid,0)),"",IF(VLOOKUP(MATCH(N57,tid,0),tao,'12(id)'!$CT$20,FALSE)="","",VLOOKUP(MATCH(N57,tid,0),tao,'12(id)'!$CT$20,FALSE)))</f>
        <v>402</v>
      </c>
      <c r="K57" s="6047">
        <f>+IF(N57="","",VLOOKUP(MATCH(N57,tid,0),tao,'12(id)'!$U$20,FALSE))</f>
        <v>1</v>
      </c>
      <c r="L57" s="6048" t="str">
        <f>+IF(ISERROR(MATCH(N57,tid,0)),"",IF(VLOOKUP(MATCH(N57,tid,0),tao,'12(id)'!$DE$20,FALSE)="","",ROUND(VLOOKUP(MATCH(N57,tid,0),tao,'12(id)'!$DE$20,FALSE),0)&amp;" yrs"))</f>
        <v/>
      </c>
      <c r="M57" s="6049" t="str">
        <f>+IF(N57="","",IF(VLOOKUP(MATCH(N57,tid,0),tao,'12(id)'!$DI$20,FALSE)="","",VLOOKUP(MATCH(N57,tid,0),tao,'12(id)'!$DI$20,FALSE))&amp;";  "&amp;IF(VLOOKUP(MATCH(N57,tid,0),tao,'12(id)'!$DQ$20,FALSE)="","",VLOOKUP(MATCH(N57,tid,0),tao,'12(id)'!$DQ$20,FALSE)))</f>
        <v>No. 6 oil;  No. 2 oil</v>
      </c>
      <c r="N57" s="6050" t="str">
        <f>+'12(id)'!A54</f>
        <v>8306-05</v>
      </c>
      <c r="O57" s="5133"/>
      <c r="P57" s="7420"/>
      <c r="Q57" s="5133"/>
      <c r="R57" s="5138"/>
      <c r="S57" s="5132"/>
    </row>
    <row r="58" spans="1:19" ht="21" customHeight="1" thickBot="1">
      <c r="A58" s="5142"/>
      <c r="B58" s="5936"/>
      <c r="C58" s="8693">
        <f>+VLOOKUP(MATCH(N58,tid,0),tao,'12(id)'!$H$20,FALSE)</f>
        <v>21</v>
      </c>
      <c r="D58" s="9325">
        <f>+IF(N58="","",VLOOKUP(MATCH(N58,tid,0),tao,'12(id)'!$K$20,FALSE))</f>
        <v>8306</v>
      </c>
      <c r="E58" s="9327" t="str">
        <f>+IF(N58="","",VLOOKUP(MATCH(N58,tid,0),tao,'12(id)'!$I$20,FALSE))</f>
        <v>NRG Energy, Inc</v>
      </c>
      <c r="F58" s="9328" t="str">
        <f>+IF(N58="","",VLOOKUP(MATCH(N58,tid,0),tao,'12(id)'!$J$20,FALSE))</f>
        <v>NRG</v>
      </c>
      <c r="G58" s="6051" t="str">
        <f>+IF(N58="","",VLOOKUP(MATCH(N58,tid,0),tao,'12(id)'!$L$20,FALSE))</f>
        <v>Norwalk Harbor Station</v>
      </c>
      <c r="H58" s="6045" t="str">
        <f>+IF(N58="","",VLOOKUP(MATCH(N58,tid,0),tao,'12(id)'!$Q$20,FALSE))</f>
        <v>NH1 </v>
      </c>
      <c r="I58" s="9323"/>
      <c r="J58" s="6046">
        <f>+IF(ISERROR(MATCH(N58,tid,0)),"",IF(VLOOKUP(MATCH(N58,tid,0),tao,'12(id)'!$CT$20,FALSE)="","",VLOOKUP(MATCH(N58,tid,0),tao,'12(id)'!$CT$20,FALSE)))</f>
        <v>164</v>
      </c>
      <c r="K58" s="6047">
        <f>+IF(N58="","",VLOOKUP(MATCH(N58,tid,0),tao,'12(id)'!$U$20,FALSE))</f>
        <v>1</v>
      </c>
      <c r="L58" s="6048" t="str">
        <f>+IF(ISERROR(MATCH(N58,tid,0)),"",IF(VLOOKUP(MATCH(N58,tid,0),tao,'12(id)'!$DE$20,FALSE)="","",ROUND(VLOOKUP(MATCH(N58,tid,0),tao,'12(id)'!$DE$20,FALSE),0)&amp;" yrs"))</f>
        <v/>
      </c>
      <c r="M58" s="6049" t="str">
        <f>+IF(N58="","",IF(VLOOKUP(MATCH(N58,tid,0),tao,'12(id)'!$DI$20,FALSE)="","",VLOOKUP(MATCH(N58,tid,0),tao,'12(id)'!$DI$20,FALSE))&amp;";  "&amp;IF(VLOOKUP(MATCH(N58,tid,0),tao,'12(id)'!$DQ$20,FALSE)="","",VLOOKUP(MATCH(N58,tid,0),tao,'12(id)'!$DQ$20,FALSE)))</f>
        <v>No. 6 oil;  No. 2 oil</v>
      </c>
      <c r="N58" s="6050" t="str">
        <f>+'12(id)'!A55</f>
        <v>8306-06</v>
      </c>
      <c r="O58" s="5133"/>
      <c r="P58" s="7420"/>
      <c r="Q58" s="5133"/>
      <c r="R58" s="5138"/>
      <c r="S58" s="5132"/>
    </row>
    <row r="59" spans="1:19" ht="21" customHeight="1" thickBot="1">
      <c r="A59" s="5142"/>
      <c r="B59" s="5936"/>
      <c r="C59" s="8693">
        <f>+VLOOKUP(MATCH(N59,tid,0),tao,'12(id)'!$H$20,FALSE)</f>
        <v>22</v>
      </c>
      <c r="D59" s="9326">
        <f>+IF(N59="","",VLOOKUP(MATCH(N59,tid,0),tao,'12(id)'!$K$20,FALSE))</f>
        <v>8306</v>
      </c>
      <c r="E59" s="9327">
        <f>+IF(N59="","",VLOOKUP(MATCH(N59,tid,0),tao,'12(id)'!$I$20,FALSE))</f>
        <v>0</v>
      </c>
      <c r="F59" s="9328" t="str">
        <f>+IF(N59="","",VLOOKUP(MATCH(N59,tid,0),tao,'12(id)'!$J$20,FALSE))</f>
        <v>NRG</v>
      </c>
      <c r="G59" s="6052" t="str">
        <f>+IF(N59="","",VLOOKUP(MATCH(N59,tid,0),tao,'12(id)'!$L$20,FALSE))</f>
        <v>Norwalk Harbor Station</v>
      </c>
      <c r="H59" s="6053" t="str">
        <f>+IF(N59="","",VLOOKUP(MATCH(N59,tid,0),tao,'12(id)'!$Q$20,FALSE))</f>
        <v>NH2 </v>
      </c>
      <c r="I59" s="9323"/>
      <c r="J59" s="6054">
        <f>+IF(ISERROR(MATCH(N59,tid,0)),"",IF(VLOOKUP(MATCH(N59,tid,0),tao,'12(id)'!$CT$20,FALSE)="","",VLOOKUP(MATCH(N59,tid,0),tao,'12(id)'!$CT$20,FALSE)))</f>
        <v>172</v>
      </c>
      <c r="K59" s="6055">
        <f>+IF(N59="","",VLOOKUP(MATCH(N59,tid,0),tao,'12(id)'!$U$20,FALSE))</f>
        <v>1</v>
      </c>
      <c r="L59" s="6056" t="str">
        <f>+IF(ISERROR(MATCH(N59,tid,0)),"",IF(VLOOKUP(MATCH(N59,tid,0),tao,'12(id)'!$DE$20,FALSE)="","",ROUND(VLOOKUP(MATCH(N59,tid,0),tao,'12(id)'!$DE$20,FALSE),0)&amp;" yrs"))</f>
        <v/>
      </c>
      <c r="M59" s="6057" t="str">
        <f>+IF(N59="","",IF(VLOOKUP(MATCH(N59,tid,0),tao,'12(id)'!$DI$20,FALSE)="","",VLOOKUP(MATCH(N59,tid,0),tao,'12(id)'!$DI$20,FALSE))&amp;";  "&amp;IF(VLOOKUP(MATCH(N59,tid,0),tao,'12(id)'!$DQ$20,FALSE)="","",VLOOKUP(MATCH(N59,tid,0),tao,'12(id)'!$DQ$20,FALSE)))</f>
        <v>No. 6 oil;  No. 2 oil</v>
      </c>
      <c r="N59" s="6058" t="str">
        <f>+'12(id)'!A56</f>
        <v>8306-07</v>
      </c>
      <c r="O59" s="5133"/>
      <c r="P59" s="7420"/>
      <c r="Q59" s="5133"/>
      <c r="R59" s="5138"/>
      <c r="S59" s="5132"/>
    </row>
    <row r="60" spans="1:19" ht="25.5" customHeight="1" thickBot="1">
      <c r="A60" s="5142"/>
      <c r="B60" s="5936"/>
      <c r="C60" s="8693">
        <f>+VLOOKUP(MATCH(N60,tid,0),tao,'12(id)'!$H$20,FALSE)</f>
        <v>23</v>
      </c>
      <c r="D60" s="9286">
        <f>+IF(N60="","",VLOOKUP(MATCH(N60,tid,0),tao,'12(id)'!$K$20,FALSE))</f>
        <v>8305</v>
      </c>
      <c r="E60" s="9290" t="str">
        <f>+IF(N60="","",VLOOKUP(MATCH(N60,tid,0),tao,'12(id)'!$I$20,FALSE))</f>
        <v>PSEG Power LLC, PSEG Fossil LLC, PSEG Power Connecticut</v>
      </c>
      <c r="F60" s="9290" t="str">
        <f>+IF(N60="","",VLOOKUP(MATCH(N60,tid,0),tao,'12(id)'!$J$20,FALSE))</f>
        <v>PSEG</v>
      </c>
      <c r="G60" s="6059" t="str">
        <f>+IF(N60="","",VLOOKUP(MATCH(N60,tid,0),tao,'12(id)'!$L$20,FALSE))</f>
        <v>New Haven Harbor</v>
      </c>
      <c r="H60" s="6042" t="str">
        <f>+IF(N60="","",VLOOKUP(MATCH(N60,tid,0),tao,'12(id)'!$Q$20,FALSE))</f>
        <v>NHB1</v>
      </c>
      <c r="I60" s="9323"/>
      <c r="J60" s="6040" t="str">
        <f>+IF(ISERROR(MATCH(N60,tid,0)),"",IF(VLOOKUP(MATCH(N60,tid,0),tao,'12(id)'!$CT$20,FALSE)="","",VLOOKUP(MATCH(N60,tid,0),tao,'12(id)'!$CT$20,FALSE)))</f>
        <v>Unit is a steam boiler, only</v>
      </c>
      <c r="K60" s="6041">
        <f>+IF(N60="","",VLOOKUP(MATCH(N60,tid,0),tao,'12(id)'!$U$20,FALSE))</f>
        <v>1</v>
      </c>
      <c r="L60" s="6042" t="str">
        <f ca="1">+IF(ISERROR(MATCH(N60,tid,0)),"",IF(VLOOKUP(MATCH(N60,tid,0),tao,'12(id)'!$DE$20,FALSE)="","",ROUND(VLOOKUP(MATCH(N60,tid,0),tao,'12(id)'!$DE$20,FALSE),0)&amp;" yrs"))</f>
        <v>40 yrs</v>
      </c>
      <c r="M60" s="6043" t="str">
        <f>+IF(N60="","",IF(VLOOKUP(MATCH(N60,tid,0),tao,'12(id)'!$DI$20,FALSE)="","",VLOOKUP(MATCH(N60,tid,0),tao,'12(id)'!$DI$20,FALSE))&amp;";  "&amp;IF(VLOOKUP(MATCH(N60,tid,0),tao,'12(id)'!$DQ$20,FALSE)="","",VLOOKUP(MATCH(N60,tid,0),tao,'12(id)'!$DQ$20,FALSE)))</f>
        <v xml:space="preserve">No. 6 oil;  </v>
      </c>
      <c r="N60" s="6010" t="str">
        <f>+'12(id)'!A57</f>
        <v>8305-01</v>
      </c>
      <c r="O60" s="5133"/>
      <c r="P60" s="7420"/>
      <c r="Q60" s="5133"/>
      <c r="R60" s="5138"/>
      <c r="S60" s="5132"/>
    </row>
    <row r="61" spans="1:19" ht="21" customHeight="1" thickBot="1">
      <c r="A61" s="5142"/>
      <c r="B61" s="5936"/>
      <c r="C61" s="8693">
        <f>+VLOOKUP(MATCH(N61,tid,0),tao,'12(id)'!$H$20,FALSE)</f>
        <v>24</v>
      </c>
      <c r="D61" s="9325">
        <f>+IF(N61="","",VLOOKUP(MATCH(N61,tid,0),tao,'12(id)'!$K$20,FALSE))</f>
        <v>8305</v>
      </c>
      <c r="E61" s="9290">
        <f>+IF(N61="","",VLOOKUP(MATCH(N61,tid,0),tao,'12(id)'!$I$20,FALSE))</f>
        <v>0</v>
      </c>
      <c r="F61" s="9290" t="str">
        <f>+IF(N61="","",VLOOKUP(MATCH(N61,tid,0),tao,'12(id)'!$J$20,FALSE))</f>
        <v>PSEG</v>
      </c>
      <c r="G61" s="6051" t="str">
        <f>+IF(N61="","",VLOOKUP(MATCH(N61,tid,0),tao,'12(id)'!$L$20,FALSE))</f>
        <v>Bridgeport Harbor Station</v>
      </c>
      <c r="H61" s="6048" t="str">
        <f>+IF(N61="","",VLOOKUP(MATCH(N61,tid,0),tao,'12(id)'!$Q$20,FALSE))</f>
        <v>BHB2</v>
      </c>
      <c r="I61" s="9323"/>
      <c r="J61" s="6046">
        <f>+IF(ISERROR(MATCH(N61,tid,0)),"",IF(VLOOKUP(MATCH(N61,tid,0),tao,'12(id)'!$CT$20,FALSE)="","",VLOOKUP(MATCH(N61,tid,0),tao,'12(id)'!$CT$20,FALSE)))</f>
        <v>170</v>
      </c>
      <c r="K61" s="6047">
        <f>+IF(N61="","",VLOOKUP(MATCH(N61,tid,0),tao,'12(id)'!$U$20,FALSE))</f>
        <v>1</v>
      </c>
      <c r="L61" s="6048" t="str">
        <f ca="1">+IF(ISERROR(MATCH(N61,tid,0)),"",IF(VLOOKUP(MATCH(N61,tid,0),tao,'12(id)'!$DE$20,FALSE)="","",ROUND(VLOOKUP(MATCH(N61,tid,0),tao,'12(id)'!$DE$20,FALSE),0)&amp;" yrs"))</f>
        <v>54 yrs</v>
      </c>
      <c r="M61" s="6049" t="str">
        <f>+IF(N61="","",IF(VLOOKUP(MATCH(N61,tid,0),tao,'12(id)'!$DI$20,FALSE)="","",VLOOKUP(MATCH(N61,tid,0),tao,'12(id)'!$DI$20,FALSE))&amp;";  "&amp;IF(VLOOKUP(MATCH(N61,tid,0),tao,'12(id)'!$DQ$20,FALSE)="","",VLOOKUP(MATCH(N61,tid,0),tao,'12(id)'!$DQ$20,FALSE)))</f>
        <v>No. 6 oil;  No. 2 oil</v>
      </c>
      <c r="N61" s="6050" t="str">
        <f>+'12(id)'!A58</f>
        <v>8305-02</v>
      </c>
      <c r="O61" s="5133"/>
      <c r="P61" s="7420"/>
      <c r="Q61" s="5133"/>
      <c r="R61" s="5138"/>
      <c r="S61" s="5132"/>
    </row>
    <row r="62" spans="1:19" ht="20.100000000000001" customHeight="1" thickBot="1">
      <c r="A62" s="5142"/>
      <c r="B62" s="5936"/>
      <c r="C62" s="8693">
        <f>+VLOOKUP(MATCH(N62,tid,0),tao,'12(id)'!$H$20,FALSE)</f>
        <v>25</v>
      </c>
      <c r="D62" s="9326">
        <f>+IF(N62="","",VLOOKUP(MATCH(N62,tid,0),tao,'12(id)'!$K$20,FALSE))</f>
        <v>8305</v>
      </c>
      <c r="E62" s="9291">
        <f>+IF(N62="","",VLOOKUP(MATCH(N62,tid,0),tao,'12(id)'!$I$20,FALSE))</f>
        <v>0</v>
      </c>
      <c r="F62" s="9291" t="str">
        <f>+IF(N62="","",VLOOKUP(MATCH(N62,tid,0),tao,'12(id)'!$J$20,FALSE))</f>
        <v>PSEG</v>
      </c>
      <c r="G62" s="6052" t="str">
        <f>+IF(N62="","",VLOOKUP(MATCH(N62,tid,0),tao,'12(id)'!$L$20,FALSE))</f>
        <v>Bridgeport Harbor Station</v>
      </c>
      <c r="H62" s="6056" t="str">
        <f>+IF(N62="","",VLOOKUP(MATCH(N62,tid,0),tao,'12(id)'!$Q$20,FALSE))</f>
        <v>BHB3</v>
      </c>
      <c r="I62" s="9324"/>
      <c r="J62" s="6054">
        <f>+IF(ISERROR(MATCH(N62,tid,0)),"",IF(VLOOKUP(MATCH(N62,tid,0),tao,'12(id)'!$CT$20,FALSE)="","",VLOOKUP(MATCH(N62,tid,0),tao,'12(id)'!$CT$20,FALSE)))</f>
        <v>410</v>
      </c>
      <c r="K62" s="6055">
        <f>+IF(N62="","",VLOOKUP(MATCH(N62,tid,0),tao,'12(id)'!$U$20,FALSE))</f>
        <v>1</v>
      </c>
      <c r="L62" s="6056" t="str">
        <f ca="1">+IF(ISERROR(MATCH(N62,tid,0)),"",IF(VLOOKUP(MATCH(N62,tid,0),tao,'12(id)'!$DE$20,FALSE)="","",ROUND(VLOOKUP(MATCH(N62,tid,0),tao,'12(id)'!$DE$20,FALSE),0)&amp;" yrs"))</f>
        <v>46 yrs</v>
      </c>
      <c r="M62" s="6057" t="str">
        <f>+IF(N62="","",IF(VLOOKUP(MATCH(N62,tid,0),tao,'12(id)'!$DI$20,FALSE)="","",VLOOKUP(MATCH(N62,tid,0),tao,'12(id)'!$DI$20,FALSE))&amp;";  "&amp;IF(VLOOKUP(MATCH(N62,tid,0),tao,'12(id)'!$DQ$20,FALSE)="","",VLOOKUP(MATCH(N62,tid,0),tao,'12(id)'!$DQ$20,FALSE)))</f>
        <v>Coal;  No. 6 oil</v>
      </c>
      <c r="N62" s="6058" t="str">
        <f>+'12(id)'!A59</f>
        <v>8305-03</v>
      </c>
      <c r="O62" s="6036"/>
      <c r="P62" s="6037">
        <f>+COUNTA(N53:N62)</f>
        <v>10</v>
      </c>
      <c r="Q62" s="5133"/>
      <c r="R62" s="5141"/>
      <c r="S62" s="5132"/>
    </row>
    <row r="63" spans="1:19">
      <c r="A63" s="5132"/>
      <c r="B63" s="5936"/>
      <c r="C63" s="9270">
        <f>+COUNT(D24,D25,D33,D34,D35,D36,D53,D60)</f>
        <v>8</v>
      </c>
      <c r="D63" s="9270"/>
      <c r="E63" s="5133"/>
      <c r="F63" s="5133"/>
      <c r="G63" s="5133"/>
      <c r="H63" s="5133"/>
      <c r="I63" s="5133"/>
      <c r="J63" s="5133"/>
      <c r="K63" s="5133"/>
      <c r="L63" s="5133"/>
      <c r="M63" s="5133"/>
      <c r="N63" s="5133"/>
      <c r="O63" s="5133"/>
      <c r="P63" s="5133"/>
      <c r="Q63" s="5133"/>
      <c r="R63" s="5132"/>
      <c r="S63" s="5132"/>
    </row>
    <row r="64" spans="1:19" s="5132" customFormat="1" ht="219.95" customHeight="1">
      <c r="B64" s="5142"/>
    </row>
    <row r="65" s="5132" customFormat="1" ht="219.95" customHeight="1"/>
    <row r="66" hidden="1"/>
    <row r="67" hidden="1"/>
    <row r="68" hidden="1"/>
    <row r="69" hidden="1"/>
    <row r="70" hidden="1"/>
    <row r="71" hidden="1"/>
    <row r="72" hidden="1"/>
    <row r="73" hidden="1"/>
    <row r="74" hidden="1"/>
    <row r="75" hidden="1"/>
    <row r="76" hidden="1"/>
    <row r="77" hidden="1"/>
    <row r="78" hidden="1"/>
    <row r="79" hidden="1"/>
    <row r="80"/>
  </sheetData>
  <sheetProtection password="C665" sheet="1" objects="1" scenarios="1"/>
  <sortState ref="E65:E103">
    <sortCondition ref="E55:E93"/>
  </sortState>
  <mergeCells count="58">
    <mergeCell ref="I51:I52"/>
    <mergeCell ref="I53:I62"/>
    <mergeCell ref="C47:C50"/>
    <mergeCell ref="C51:C52"/>
    <mergeCell ref="D53:D59"/>
    <mergeCell ref="E53:E59"/>
    <mergeCell ref="F53:F59"/>
    <mergeCell ref="D60:D62"/>
    <mergeCell ref="E60:E62"/>
    <mergeCell ref="F60:F62"/>
    <mergeCell ref="D51:D52"/>
    <mergeCell ref="E51:E52"/>
    <mergeCell ref="F51:F52"/>
    <mergeCell ref="G25:G32"/>
    <mergeCell ref="D36:D50"/>
    <mergeCell ref="E36:E50"/>
    <mergeCell ref="F36:F50"/>
    <mergeCell ref="C21:C22"/>
    <mergeCell ref="E21:E22"/>
    <mergeCell ref="F21:F22"/>
    <mergeCell ref="G21:G22"/>
    <mergeCell ref="J40:J41"/>
    <mergeCell ref="J47:J50"/>
    <mergeCell ref="J51:J52"/>
    <mergeCell ref="J25:J26"/>
    <mergeCell ref="J27:J28"/>
    <mergeCell ref="J29:J30"/>
    <mergeCell ref="J31:J32"/>
    <mergeCell ref="J37:J39"/>
    <mergeCell ref="M25:M32"/>
    <mergeCell ref="K37:K39"/>
    <mergeCell ref="K40:K41"/>
    <mergeCell ref="K47:K50"/>
    <mergeCell ref="K51:K52"/>
    <mergeCell ref="L51:L52"/>
    <mergeCell ref="L37:L39"/>
    <mergeCell ref="L40:L41"/>
    <mergeCell ref="L47:L50"/>
    <mergeCell ref="M51:M52"/>
    <mergeCell ref="M47:M50"/>
    <mergeCell ref="M40:M41"/>
    <mergeCell ref="M37:M39"/>
    <mergeCell ref="E9:I9"/>
    <mergeCell ref="E10:I10"/>
    <mergeCell ref="E11:I11"/>
    <mergeCell ref="C63:D63"/>
    <mergeCell ref="I36:I50"/>
    <mergeCell ref="I24:I35"/>
    <mergeCell ref="C25:C32"/>
    <mergeCell ref="C37:C39"/>
    <mergeCell ref="C40:C41"/>
    <mergeCell ref="D21:D22"/>
    <mergeCell ref="H21:N21"/>
    <mergeCell ref="K25:K32"/>
    <mergeCell ref="D25:D32"/>
    <mergeCell ref="E25:E32"/>
    <mergeCell ref="F25:F32"/>
    <mergeCell ref="L25:L32"/>
  </mergeCells>
  <phoneticPr fontId="8" type="noConversion"/>
  <hyperlinks>
    <hyperlink ref="C24" location="'4(rd)'!C20" display="'4(rd)'!C20"/>
    <hyperlink ref="C25:C32" location="'4(rd)'!C20" display="'4(rd)'!C20"/>
    <hyperlink ref="C33" location="'4(rd)'!C20" display="'4(rd)'!C20"/>
    <hyperlink ref="C34" location="'4(rd)'!C20" display="'4(rd)'!C20"/>
    <hyperlink ref="C35" location="'4(rd)'!C20" display="'4(rd)'!C20"/>
    <hyperlink ref="C36" location="'4(rd)'!C20" display="'4(rd)'!C20"/>
    <hyperlink ref="C37:C39" location="'4(rd)'!C20" display="'4(rd)'!C20"/>
    <hyperlink ref="C40:C41" location="'4(rd)'!C20" display="'4(rd)'!C20"/>
    <hyperlink ref="C42" location="'4(rd)'!C20" display="'4(rd)'!C20"/>
    <hyperlink ref="C43" location="'4(rd)'!C20" display="'4(rd)'!C20"/>
    <hyperlink ref="C44" location="'4(rd)'!C20" display="'4(rd)'!C20"/>
    <hyperlink ref="C45" location="'4(rd)'!C20" display="'4(rd)'!C20"/>
    <hyperlink ref="C46" location="'4(rd)'!C20" display="'4(rd)'!C20"/>
    <hyperlink ref="C47:C50" location="'4(rd)'!C20" display="'4(rd)'!C20"/>
    <hyperlink ref="C51:C52" location="'4(rd)'!C20" display="'4(rd)'!C20"/>
    <hyperlink ref="C53" location="'4(rd)'!C20" display="'4(rd)'!C20"/>
    <hyperlink ref="C54" location="'3(lst)'!C20" display="'3(lst)'!C20"/>
    <hyperlink ref="C55" location="'4(rd)'!C20" display="'4(rd)'!C20"/>
    <hyperlink ref="C56" location="'4(rd)'!C20" display="'4(rd)'!C20"/>
    <hyperlink ref="C57" location="'4(rd)'!C20" display="'4(rd)'!C20"/>
    <hyperlink ref="C58" location="'4(rd)'!C20" display="'4(rd)'!C20"/>
    <hyperlink ref="C59" location="'4(rd)'!C20" display="'4(rd)'!C20"/>
    <hyperlink ref="C60" location="'4(rd)'!C20" display="'4(rd)'!C20"/>
    <hyperlink ref="C61" location="'4(rd)'!C20" display="'4(rd)'!C20"/>
    <hyperlink ref="C62" location="'4(rd)'!C20" display="'4(rd)'!C20"/>
    <hyperlink ref="B14" location="'Table of Contents'!A1" display="x"/>
  </hyperlinks>
  <pageMargins left="0.7" right="0.2" top="0.75" bottom="0.25" header="0.05" footer="0.25"/>
  <pageSetup paperSize="5" scale="75" orientation="landscape" r:id="rId1"/>
</worksheet>
</file>

<file path=xl/worksheets/sheet5.xml><?xml version="1.0" encoding="utf-8"?>
<worksheet xmlns="http://schemas.openxmlformats.org/spreadsheetml/2006/main" xmlns:r="http://schemas.openxmlformats.org/officeDocument/2006/relationships">
  <sheetPr>
    <tabColor rgb="FFFFFFD5"/>
  </sheetPr>
  <dimension ref="A1:AQ218"/>
  <sheetViews>
    <sheetView showGridLines="0" showRowColHeaders="0" zoomScale="90" zoomScaleNormal="90" workbookViewId="0">
      <pane xSplit="4" ySplit="15" topLeftCell="E62" activePane="bottomRight" state="frozen"/>
      <selection activeCell="G6" sqref="G6"/>
      <selection pane="topRight" activeCell="G6" sqref="G6"/>
      <selection pane="bottomLeft" activeCell="G6" sqref="G6"/>
      <selection pane="bottomRight" activeCell="P67" sqref="P67:AE67"/>
    </sheetView>
  </sheetViews>
  <sheetFormatPr defaultColWidth="0" defaultRowHeight="12.75" zeroHeight="1"/>
  <cols>
    <col min="1" max="1" width="11.5703125" style="271" customWidth="1"/>
    <col min="2" max="2" width="13.140625" style="271" customWidth="1"/>
    <col min="3" max="3" width="8.28515625" style="271" customWidth="1"/>
    <col min="4" max="6" width="1.7109375" style="271" customWidth="1"/>
    <col min="7" max="9" width="3.7109375" style="271" customWidth="1"/>
    <col min="10" max="10" width="7.7109375" style="271" customWidth="1"/>
    <col min="11" max="13" width="3.7109375" style="271" customWidth="1"/>
    <col min="14" max="15" width="3.28515625" style="271" customWidth="1"/>
    <col min="16" max="16" width="9.7109375" style="271" customWidth="1"/>
    <col min="17" max="17" width="11.7109375" style="271" customWidth="1"/>
    <col min="18" max="19" width="3.28515625" style="271" customWidth="1"/>
    <col min="20" max="20" width="5.7109375" style="271" customWidth="1"/>
    <col min="21" max="21" width="4.7109375" style="271" customWidth="1"/>
    <col min="22" max="23" width="3.7109375" style="271" customWidth="1"/>
    <col min="24" max="26" width="3.28515625" style="271" customWidth="1"/>
    <col min="27" max="28" width="4.7109375" style="271" customWidth="1"/>
    <col min="29" max="29" width="3.7109375" style="271" customWidth="1"/>
    <col min="30" max="30" width="3.28515625" style="271" customWidth="1"/>
    <col min="31" max="32" width="2.7109375" style="271" customWidth="1"/>
    <col min="33" max="33" width="1.7109375" style="271" customWidth="1"/>
    <col min="34" max="36" width="40.7109375" style="5132" customWidth="1"/>
    <col min="37" max="43" width="0" style="271" hidden="1" customWidth="1"/>
    <col min="44" max="16384" width="0" style="271" hidden="1"/>
  </cols>
  <sheetData>
    <row r="1" spans="1:43" s="5132" customFormat="1">
      <c r="T1" s="5135"/>
      <c r="U1" s="5135"/>
      <c r="V1" s="5135"/>
      <c r="W1" s="5135"/>
      <c r="X1" s="5135"/>
      <c r="Y1" s="5135"/>
      <c r="Z1" s="5135"/>
      <c r="AA1" s="5135"/>
      <c r="AB1" s="5135"/>
      <c r="AC1" s="5135"/>
      <c r="AD1" s="5135"/>
      <c r="AE1" s="5135"/>
      <c r="AF1" s="5135"/>
      <c r="AG1" s="5135"/>
      <c r="AH1" s="5135"/>
      <c r="AI1" s="5135"/>
      <c r="AJ1" s="5135"/>
      <c r="AQ1" s="5136"/>
    </row>
    <row r="2" spans="1:43" ht="9.9499999999999993" customHeight="1">
      <c r="A2" s="5132"/>
      <c r="B2" s="5132"/>
      <c r="C2" s="5132"/>
      <c r="D2" s="5132"/>
      <c r="E2" s="5132"/>
      <c r="T2" s="216"/>
      <c r="U2" s="216"/>
      <c r="V2" s="216"/>
      <c r="W2" s="216"/>
      <c r="X2" s="216"/>
      <c r="Y2" s="216"/>
      <c r="Z2" s="216"/>
      <c r="AA2" s="216"/>
      <c r="AB2" s="216"/>
      <c r="AC2" s="216"/>
      <c r="AD2" s="216"/>
      <c r="AE2" s="216"/>
      <c r="AF2" s="216"/>
      <c r="AG2" s="216"/>
      <c r="AH2" s="5135"/>
      <c r="AI2" s="5135"/>
      <c r="AJ2" s="5135"/>
      <c r="AQ2" s="12"/>
    </row>
    <row r="3" spans="1:43">
      <c r="A3" s="5132"/>
      <c r="B3" s="5132"/>
      <c r="C3" s="5132"/>
      <c r="D3" s="5132"/>
      <c r="E3" s="5132"/>
      <c r="G3" s="5174" t="s">
        <v>2023</v>
      </c>
      <c r="H3" s="5175"/>
      <c r="I3" s="5176"/>
      <c r="J3" s="5176"/>
      <c r="K3" s="5176"/>
      <c r="L3" s="5176"/>
      <c r="M3" s="5176"/>
      <c r="N3" s="5176"/>
      <c r="O3" s="5176"/>
      <c r="P3" s="5176"/>
      <c r="Q3" s="5176"/>
      <c r="R3" s="5176"/>
      <c r="S3" s="5176"/>
      <c r="T3" s="5176"/>
      <c r="U3" s="5176"/>
      <c r="V3" s="5176"/>
      <c r="W3" s="5176"/>
      <c r="X3" s="5176"/>
      <c r="Y3" s="5176"/>
      <c r="Z3" s="5176"/>
      <c r="AA3" s="5176"/>
      <c r="AB3" s="5176"/>
      <c r="AC3" s="5176"/>
      <c r="AD3" s="5176"/>
      <c r="AE3" s="5176"/>
      <c r="AF3" s="5177"/>
      <c r="AG3" s="216"/>
      <c r="AH3" s="5135"/>
      <c r="AI3" s="5135"/>
      <c r="AJ3" s="5135"/>
      <c r="AQ3" s="12"/>
    </row>
    <row r="4" spans="1:43">
      <c r="A4" s="5132"/>
      <c r="B4" s="5132"/>
      <c r="C4" s="5132"/>
      <c r="D4" s="5132"/>
      <c r="E4" s="5132"/>
      <c r="G4" s="5178" t="s">
        <v>2021</v>
      </c>
      <c r="H4" s="6" t="s">
        <v>2799</v>
      </c>
      <c r="I4" s="216"/>
      <c r="J4" s="216"/>
      <c r="K4" s="216"/>
      <c r="L4" s="216"/>
      <c r="M4" s="216"/>
      <c r="N4" s="216"/>
      <c r="O4" s="216"/>
      <c r="P4" s="216"/>
      <c r="Q4" s="216"/>
      <c r="R4" s="216"/>
      <c r="S4" s="216"/>
      <c r="T4" s="216"/>
      <c r="U4" s="216"/>
      <c r="V4" s="216"/>
      <c r="W4" s="216"/>
      <c r="X4" s="216"/>
      <c r="Y4" s="216"/>
      <c r="Z4" s="216"/>
      <c r="AA4" s="216"/>
      <c r="AB4" s="216"/>
      <c r="AC4" s="216"/>
      <c r="AD4" s="216"/>
      <c r="AE4" s="216"/>
      <c r="AF4" s="5179"/>
      <c r="AG4" s="216"/>
      <c r="AH4" s="5135"/>
      <c r="AI4" s="5135"/>
      <c r="AJ4" s="5135"/>
      <c r="AQ4" s="12"/>
    </row>
    <row r="5" spans="1:43">
      <c r="A5" s="5132"/>
      <c r="B5" s="5132"/>
      <c r="C5" s="5132"/>
      <c r="D5" s="5132"/>
      <c r="E5" s="5132"/>
      <c r="G5" s="5178" t="s">
        <v>2021</v>
      </c>
      <c r="H5" s="216" t="s">
        <v>2035</v>
      </c>
      <c r="I5" s="216"/>
      <c r="J5" s="216"/>
      <c r="K5" s="216"/>
      <c r="L5" s="216"/>
      <c r="M5" s="216"/>
      <c r="N5" s="216"/>
      <c r="O5" s="216"/>
      <c r="P5" s="216"/>
      <c r="Q5" s="216"/>
      <c r="R5" s="216"/>
      <c r="S5" s="216"/>
      <c r="T5" s="216"/>
      <c r="U5" s="216"/>
      <c r="V5" s="216"/>
      <c r="W5" s="216"/>
      <c r="X5" s="216"/>
      <c r="Y5" s="216"/>
      <c r="Z5" s="216"/>
      <c r="AA5" s="216"/>
      <c r="AB5" s="216"/>
      <c r="AC5" s="216"/>
      <c r="AD5" s="216"/>
      <c r="AE5" s="216"/>
      <c r="AF5" s="5179"/>
      <c r="AG5" s="216"/>
      <c r="AH5" s="5135"/>
      <c r="AI5" s="5135"/>
      <c r="AJ5" s="5135"/>
      <c r="AQ5" s="12"/>
    </row>
    <row r="6" spans="1:43">
      <c r="A6" s="5132"/>
      <c r="B6" s="5132"/>
      <c r="C6" s="5132"/>
      <c r="D6" s="5132"/>
      <c r="E6" s="5132"/>
      <c r="G6" s="5180"/>
      <c r="H6" s="1363" t="s">
        <v>2036</v>
      </c>
      <c r="I6" s="216" t="s">
        <v>2037</v>
      </c>
      <c r="J6" s="216"/>
      <c r="K6" s="216"/>
      <c r="L6" s="216"/>
      <c r="M6" s="216"/>
      <c r="N6" s="216"/>
      <c r="O6" s="216"/>
      <c r="P6" s="216"/>
      <c r="Q6" s="216"/>
      <c r="R6" s="216"/>
      <c r="S6" s="216"/>
      <c r="T6" s="216"/>
      <c r="U6" s="216"/>
      <c r="V6" s="216"/>
      <c r="W6" s="216"/>
      <c r="X6" s="216"/>
      <c r="Y6" s="216"/>
      <c r="Z6" s="216"/>
      <c r="AA6" s="216"/>
      <c r="AB6" s="216"/>
      <c r="AC6" s="216"/>
      <c r="AD6" s="216"/>
      <c r="AE6" s="216"/>
      <c r="AF6" s="5179"/>
      <c r="AG6" s="216"/>
      <c r="AH6" s="5135"/>
      <c r="AI6" s="5135"/>
      <c r="AJ6" s="5135"/>
      <c r="AQ6" s="12"/>
    </row>
    <row r="7" spans="1:43">
      <c r="A7" s="5132"/>
      <c r="B7" s="5132"/>
      <c r="C7" s="5132"/>
      <c r="D7" s="5132"/>
      <c r="E7" s="5132"/>
      <c r="G7" s="5180"/>
      <c r="H7" s="1363" t="s">
        <v>2036</v>
      </c>
      <c r="I7" s="216" t="s">
        <v>2038</v>
      </c>
      <c r="J7" s="216"/>
      <c r="K7" s="216"/>
      <c r="L7" s="216"/>
      <c r="M7" s="216"/>
      <c r="N7" s="216"/>
      <c r="O7" s="216"/>
      <c r="P7" s="216"/>
      <c r="Q7" s="216"/>
      <c r="R7" s="216"/>
      <c r="S7" s="216"/>
      <c r="T7" s="216"/>
      <c r="U7" s="216"/>
      <c r="V7" s="216"/>
      <c r="W7" s="216"/>
      <c r="X7" s="216"/>
      <c r="Y7" s="216"/>
      <c r="Z7" s="216"/>
      <c r="AA7" s="216"/>
      <c r="AB7" s="216"/>
      <c r="AC7" s="216"/>
      <c r="AD7" s="216"/>
      <c r="AE7" s="216"/>
      <c r="AF7" s="5179"/>
      <c r="AG7" s="216"/>
      <c r="AH7" s="5135"/>
      <c r="AI7" s="5135"/>
      <c r="AJ7" s="5135"/>
      <c r="AQ7" s="12"/>
    </row>
    <row r="8" spans="1:43">
      <c r="A8" s="5132"/>
      <c r="B8" s="5132"/>
      <c r="C8" s="5132"/>
      <c r="D8" s="5132"/>
      <c r="E8" s="5132"/>
      <c r="G8" s="5180"/>
      <c r="H8" s="1363" t="s">
        <v>2036</v>
      </c>
      <c r="I8" s="216" t="s">
        <v>2039</v>
      </c>
      <c r="J8" s="216"/>
      <c r="K8" s="216"/>
      <c r="L8" s="216"/>
      <c r="M8" s="216"/>
      <c r="N8" s="216"/>
      <c r="O8" s="216"/>
      <c r="P8" s="216"/>
      <c r="Q8" s="216"/>
      <c r="R8" s="216"/>
      <c r="S8" s="216"/>
      <c r="T8" s="216"/>
      <c r="U8" s="216"/>
      <c r="V8" s="216"/>
      <c r="W8" s="216"/>
      <c r="X8" s="216"/>
      <c r="Y8" s="216"/>
      <c r="Z8" s="216"/>
      <c r="AA8" s="216"/>
      <c r="AB8" s="216"/>
      <c r="AC8" s="216"/>
      <c r="AD8" s="216"/>
      <c r="AE8" s="216"/>
      <c r="AF8" s="5179"/>
      <c r="AG8" s="216"/>
      <c r="AH8" s="5135"/>
      <c r="AI8" s="5135"/>
      <c r="AJ8" s="5135"/>
      <c r="AQ8" s="12"/>
    </row>
    <row r="9" spans="1:43">
      <c r="A9" s="5132"/>
      <c r="B9" s="5132"/>
      <c r="C9" s="5132"/>
      <c r="D9" s="5132"/>
      <c r="E9" s="5132"/>
      <c r="G9" s="5180"/>
      <c r="H9" s="1363" t="s">
        <v>2036</v>
      </c>
      <c r="I9" s="716" t="s">
        <v>2040</v>
      </c>
      <c r="J9" s="216"/>
      <c r="K9" s="216"/>
      <c r="L9" s="216"/>
      <c r="M9" s="216"/>
      <c r="N9" s="216"/>
      <c r="O9" s="216"/>
      <c r="P9" s="216"/>
      <c r="Q9" s="216"/>
      <c r="R9" s="216"/>
      <c r="S9" s="216"/>
      <c r="T9" s="216"/>
      <c r="U9" s="216"/>
      <c r="V9" s="216"/>
      <c r="W9" s="216"/>
      <c r="X9" s="216"/>
      <c r="Y9" s="216"/>
      <c r="Z9" s="216"/>
      <c r="AA9" s="216"/>
      <c r="AB9" s="216"/>
      <c r="AC9" s="216"/>
      <c r="AD9" s="216"/>
      <c r="AE9" s="216"/>
      <c r="AF9" s="5179"/>
      <c r="AG9" s="216"/>
      <c r="AH9" s="5135"/>
      <c r="AI9" s="5135"/>
      <c r="AJ9" s="5135"/>
      <c r="AQ9" s="12"/>
    </row>
    <row r="10" spans="1:43">
      <c r="A10" s="5132"/>
      <c r="B10" s="5132"/>
      <c r="C10" s="5132"/>
      <c r="D10" s="5132"/>
      <c r="E10" s="5132"/>
      <c r="G10" s="5180"/>
      <c r="H10" s="1363" t="s">
        <v>2036</v>
      </c>
      <c r="I10" s="716" t="s">
        <v>2041</v>
      </c>
      <c r="J10" s="216"/>
      <c r="K10" s="216"/>
      <c r="L10" s="216"/>
      <c r="M10" s="216"/>
      <c r="N10" s="216"/>
      <c r="O10" s="216"/>
      <c r="P10" s="216"/>
      <c r="Q10" s="216"/>
      <c r="R10" s="216"/>
      <c r="S10" s="216"/>
      <c r="T10" s="216"/>
      <c r="U10" s="216"/>
      <c r="V10" s="216"/>
      <c r="W10" s="216"/>
      <c r="X10" s="216"/>
      <c r="Y10" s="216"/>
      <c r="Z10" s="216"/>
      <c r="AA10" s="216"/>
      <c r="AB10" s="216"/>
      <c r="AC10" s="216"/>
      <c r="AD10" s="216"/>
      <c r="AE10" s="216"/>
      <c r="AF10" s="5179"/>
      <c r="AG10" s="216"/>
      <c r="AH10" s="5135"/>
      <c r="AI10" s="5135"/>
      <c r="AJ10" s="5135"/>
      <c r="AQ10" s="12"/>
    </row>
    <row r="11" spans="1:43">
      <c r="A11" s="5132"/>
      <c r="B11" s="5132"/>
      <c r="C11" s="5132"/>
      <c r="D11" s="5132"/>
      <c r="E11" s="5132"/>
      <c r="G11" s="5180"/>
      <c r="H11" s="1363" t="s">
        <v>2036</v>
      </c>
      <c r="I11" s="716" t="s">
        <v>2042</v>
      </c>
      <c r="J11" s="216"/>
      <c r="K11" s="216"/>
      <c r="L11" s="216"/>
      <c r="M11" s="216"/>
      <c r="N11" s="216"/>
      <c r="O11" s="216"/>
      <c r="P11" s="216"/>
      <c r="Q11" s="216"/>
      <c r="R11" s="216"/>
      <c r="S11" s="216"/>
      <c r="T11" s="216"/>
      <c r="U11" s="216"/>
      <c r="V11" s="216"/>
      <c r="W11" s="216"/>
      <c r="X11" s="216"/>
      <c r="Y11" s="216"/>
      <c r="Z11" s="216"/>
      <c r="AA11" s="216"/>
      <c r="AB11" s="216"/>
      <c r="AC11" s="216"/>
      <c r="AD11" s="216"/>
      <c r="AE11" s="216"/>
      <c r="AF11" s="5179"/>
      <c r="AG11" s="216"/>
      <c r="AH11" s="5135"/>
      <c r="AI11" s="5135"/>
      <c r="AJ11" s="5135"/>
      <c r="AQ11" s="12"/>
    </row>
    <row r="12" spans="1:43" ht="18" customHeight="1">
      <c r="A12" s="5132"/>
      <c r="B12" s="5132"/>
      <c r="C12" s="5132"/>
      <c r="D12" s="5132"/>
      <c r="E12" s="5132"/>
      <c r="G12" s="5181" t="s">
        <v>2021</v>
      </c>
      <c r="H12" s="5182" t="s">
        <v>2077</v>
      </c>
      <c r="I12" s="5183"/>
      <c r="J12" s="5183"/>
      <c r="K12" s="5183"/>
      <c r="L12" s="5183"/>
      <c r="M12" s="5183"/>
      <c r="N12" s="5183"/>
      <c r="O12" s="5183"/>
      <c r="P12" s="5183"/>
      <c r="Q12" s="5183"/>
      <c r="R12" s="5183"/>
      <c r="S12" s="5183"/>
      <c r="T12" s="5183"/>
      <c r="U12" s="5183"/>
      <c r="V12" s="5183"/>
      <c r="W12" s="5183"/>
      <c r="X12" s="5183"/>
      <c r="Y12" s="5183"/>
      <c r="Z12" s="5183"/>
      <c r="AA12" s="5183"/>
      <c r="AB12" s="5183"/>
      <c r="AC12" s="5183"/>
      <c r="AD12" s="5183"/>
      <c r="AE12" s="5183"/>
      <c r="AF12" s="5184"/>
      <c r="AG12" s="216"/>
      <c r="AH12" s="5135"/>
      <c r="AI12" s="5135"/>
      <c r="AJ12" s="5135"/>
      <c r="AQ12" s="12"/>
    </row>
    <row r="13" spans="1:43" ht="9.9499999999999993" customHeight="1">
      <c r="A13" s="5132"/>
      <c r="B13" s="5132"/>
      <c r="C13" s="5132"/>
      <c r="D13" s="5132"/>
      <c r="E13" s="5132"/>
      <c r="T13" s="216"/>
      <c r="U13" s="216"/>
      <c r="V13" s="216"/>
      <c r="W13" s="216"/>
      <c r="X13" s="216"/>
      <c r="Y13" s="216"/>
      <c r="Z13" s="216"/>
      <c r="AA13" s="216"/>
      <c r="AB13" s="216"/>
      <c r="AC13" s="216"/>
      <c r="AD13" s="216"/>
      <c r="AE13" s="216"/>
      <c r="AF13" s="216"/>
      <c r="AG13" s="216"/>
      <c r="AH13" s="5135"/>
      <c r="AI13" s="5135"/>
      <c r="AJ13" s="5135"/>
      <c r="AQ13" s="12"/>
    </row>
    <row r="14" spans="1:43">
      <c r="A14" s="5132"/>
      <c r="B14" s="5132"/>
      <c r="C14" s="5132"/>
      <c r="D14" s="5132"/>
      <c r="E14" s="5132"/>
      <c r="T14" s="216"/>
      <c r="U14" s="216"/>
      <c r="V14" s="216"/>
      <c r="W14" s="216" t="s">
        <v>1937</v>
      </c>
      <c r="X14" s="216"/>
      <c r="Y14" s="216"/>
      <c r="Z14" s="216"/>
      <c r="AA14" s="9463" t="str">
        <f>+PROPER(P22)</f>
        <v>South Meadow Station</v>
      </c>
      <c r="AB14" s="9463"/>
      <c r="AC14" s="9463"/>
      <c r="AD14" s="9463"/>
      <c r="AE14" s="9463"/>
      <c r="AF14" s="9463"/>
      <c r="AG14" s="7407"/>
      <c r="AH14" s="5138"/>
      <c r="AI14" s="5138"/>
      <c r="AJ14" s="5135"/>
      <c r="AQ14" s="12"/>
    </row>
    <row r="15" spans="1:43">
      <c r="A15" s="5132"/>
      <c r="B15" s="5132"/>
      <c r="C15" s="5132"/>
      <c r="D15" s="5132"/>
      <c r="E15" s="5132"/>
      <c r="F15" s="8" t="s">
        <v>2430</v>
      </c>
      <c r="T15" s="216"/>
      <c r="U15" s="216"/>
      <c r="V15" s="216"/>
      <c r="W15" s="216" t="s">
        <v>1938</v>
      </c>
      <c r="X15" s="216"/>
      <c r="Y15" s="216"/>
      <c r="Z15" s="216"/>
      <c r="AA15" s="9463" t="str">
        <f>+IF(OR(C20="",C20=0, C20&gt;25),"",IF(VLOOKUP(MATCH(C20,lst_id,0),tao,'12(id)'!$X$20,FALSE)="","",VLOOKUP(MATCH(C20,lst_id,0),tao,'12(id)'!$X$20,FALSE)))</f>
        <v>8302-01</v>
      </c>
      <c r="AB15" s="9463"/>
      <c r="AC15" s="9463"/>
      <c r="AD15" s="9463"/>
      <c r="AE15" s="9463"/>
      <c r="AJ15" s="5135"/>
      <c r="AQ15" s="12"/>
    </row>
    <row r="16" spans="1:43" s="5132" customFormat="1" ht="9.9499999999999993" customHeight="1">
      <c r="T16" s="5135"/>
      <c r="U16" s="5135"/>
      <c r="V16" s="5135"/>
      <c r="W16" s="5135"/>
      <c r="X16" s="5135"/>
      <c r="Y16" s="5135"/>
      <c r="Z16" s="5135"/>
      <c r="AA16" s="5138"/>
      <c r="AB16" s="5138"/>
      <c r="AC16" s="5138"/>
      <c r="AD16" s="5138"/>
      <c r="AE16" s="5138"/>
      <c r="AJ16" s="5135"/>
      <c r="AQ16" s="5136"/>
    </row>
    <row r="17" spans="1:43" s="5132" customFormat="1" ht="12.75" customHeight="1">
      <c r="D17" s="5134"/>
      <c r="E17" s="5134"/>
      <c r="F17" s="5133"/>
      <c r="G17" s="5133"/>
      <c r="H17" s="5133"/>
      <c r="I17" s="5133"/>
      <c r="J17" s="5133"/>
      <c r="K17" s="5133"/>
      <c r="L17" s="5133"/>
      <c r="M17" s="5133"/>
      <c r="N17" s="5133"/>
      <c r="O17" s="5133"/>
      <c r="P17" s="5133"/>
      <c r="Q17" s="5133"/>
      <c r="R17" s="5133"/>
      <c r="S17" s="5133"/>
      <c r="T17" s="5133"/>
      <c r="U17" s="5133"/>
      <c r="V17" s="5133"/>
      <c r="W17" s="5133"/>
      <c r="X17" s="5133"/>
      <c r="Y17" s="5133"/>
      <c r="Z17" s="5133"/>
      <c r="AA17" s="5133"/>
      <c r="AB17" s="5133"/>
      <c r="AC17" s="5133"/>
      <c r="AD17" s="5133"/>
      <c r="AE17" s="5133"/>
      <c r="AF17" s="5133"/>
      <c r="AG17" s="5133"/>
      <c r="AJ17" s="5135"/>
      <c r="AQ17" s="5136"/>
    </row>
    <row r="18" spans="1:43">
      <c r="A18" s="5132"/>
      <c r="B18" s="5132"/>
      <c r="C18" s="5132"/>
      <c r="D18" s="5132"/>
      <c r="E18" s="5132"/>
      <c r="F18" s="7405"/>
      <c r="G18" s="716"/>
      <c r="I18" s="716"/>
      <c r="J18" s="716"/>
      <c r="K18" s="716"/>
      <c r="L18" s="716"/>
      <c r="M18" s="716"/>
      <c r="N18" s="716"/>
      <c r="O18" s="716"/>
      <c r="P18" s="716"/>
      <c r="Q18" s="716"/>
      <c r="R18" s="716"/>
      <c r="S18" s="716"/>
      <c r="T18" s="716"/>
      <c r="U18" s="716"/>
      <c r="V18" s="716"/>
      <c r="W18" s="716"/>
      <c r="X18" s="716"/>
      <c r="Y18" s="716"/>
      <c r="Z18" s="647" t="s">
        <v>1934</v>
      </c>
      <c r="AC18" s="9423">
        <v>1</v>
      </c>
      <c r="AD18" s="9424"/>
      <c r="AE18" s="9425"/>
      <c r="AF18" s="717"/>
      <c r="AG18" s="717"/>
      <c r="AQ18" s="12"/>
    </row>
    <row r="19" spans="1:43" ht="12.75" customHeight="1">
      <c r="A19" s="9334" t="s">
        <v>1980</v>
      </c>
      <c r="B19" s="9334"/>
      <c r="C19" s="1"/>
      <c r="E19" s="5132"/>
      <c r="F19" s="7405"/>
      <c r="G19" s="216"/>
      <c r="H19" s="216"/>
      <c r="I19" s="216"/>
      <c r="J19" s="216"/>
      <c r="K19" s="216"/>
      <c r="L19" s="216"/>
      <c r="M19" s="216"/>
      <c r="N19" s="216"/>
      <c r="O19" s="216"/>
      <c r="P19" s="15"/>
      <c r="Q19" s="15"/>
      <c r="R19" s="216"/>
      <c r="S19" s="216"/>
      <c r="T19" s="216"/>
      <c r="U19" s="216"/>
      <c r="V19" s="216"/>
      <c r="W19" s="216"/>
      <c r="Z19" s="20" t="s">
        <v>1935</v>
      </c>
      <c r="AC19" s="9426">
        <v>40872</v>
      </c>
      <c r="AD19" s="9427"/>
      <c r="AE19" s="9428"/>
      <c r="AQ19" s="12"/>
    </row>
    <row r="20" spans="1:43" ht="18">
      <c r="A20" s="9332" t="s">
        <v>2043</v>
      </c>
      <c r="B20" s="9333"/>
      <c r="C20" s="5146">
        <v>2</v>
      </c>
      <c r="E20" s="5132"/>
      <c r="F20" s="5133"/>
      <c r="J20" s="14"/>
      <c r="O20" s="216"/>
      <c r="P20" s="9432" t="s">
        <v>613</v>
      </c>
      <c r="Q20" s="9432"/>
      <c r="R20" s="9432"/>
      <c r="S20" s="9432"/>
      <c r="T20" s="9432"/>
      <c r="U20" s="9432"/>
      <c r="V20" s="9432"/>
      <c r="W20" s="9432"/>
      <c r="X20" s="9432"/>
      <c r="AQ20" s="12"/>
    </row>
    <row r="21" spans="1:43" ht="13.5" thickBot="1">
      <c r="E21" s="5132"/>
      <c r="F21" s="5133"/>
      <c r="G21" s="7"/>
      <c r="H21" s="7"/>
      <c r="I21" s="7"/>
      <c r="P21" s="17"/>
      <c r="Q21" s="17"/>
      <c r="R21" s="17"/>
      <c r="S21" s="17"/>
      <c r="T21" s="17"/>
      <c r="U21" s="17"/>
      <c r="V21" s="17"/>
      <c r="W21" s="17"/>
      <c r="X21" s="17"/>
    </row>
    <row r="22" spans="1:43">
      <c r="A22" s="9348" t="s">
        <v>1973</v>
      </c>
      <c r="B22" s="9348"/>
      <c r="C22" s="9349"/>
      <c r="E22" s="5132"/>
      <c r="F22" s="5133"/>
      <c r="P22" s="9433" t="str">
        <f>+UPPER(P50)</f>
        <v>SOUTH MEADOW STATION</v>
      </c>
      <c r="Q22" s="9434"/>
      <c r="R22" s="9434"/>
      <c r="S22" s="9434"/>
      <c r="T22" s="9434"/>
      <c r="U22" s="9434"/>
      <c r="V22" s="9434"/>
      <c r="W22" s="9434"/>
      <c r="X22" s="9435"/>
    </row>
    <row r="23" spans="1:43">
      <c r="A23" s="9342" t="s">
        <v>1972</v>
      </c>
      <c r="B23" s="9344" t="s">
        <v>1971</v>
      </c>
      <c r="C23" s="9346" t="s">
        <v>777</v>
      </c>
      <c r="E23" s="5132"/>
      <c r="F23" s="5133"/>
      <c r="P23" s="9433" t="str">
        <f>+IF(OR(C20="",C20=0,C20&gt;25),"",IF(VLOOKUP(MATCH(C20,lst_id,0),tao,'12(id)'!$BL$20,FALSE)="","",UPPER(VLOOKUP(MATCH(C20,lst_id,0),tao,'12(id)'!$BL$20,FALSE))))</f>
        <v>CONNECTICUT RESOURCES RECOVERY AUTHORITY</v>
      </c>
      <c r="Q23" s="9434"/>
      <c r="R23" s="9434"/>
      <c r="S23" s="9434"/>
      <c r="T23" s="9434"/>
      <c r="U23" s="9434"/>
      <c r="V23" s="9434"/>
      <c r="W23" s="9434"/>
      <c r="X23" s="9435"/>
    </row>
    <row r="24" spans="1:43" ht="13.5" thickBot="1">
      <c r="A24" s="9343"/>
      <c r="B24" s="9345"/>
      <c r="C24" s="9347"/>
      <c r="E24" s="5132"/>
      <c r="F24" s="5133"/>
      <c r="P24" s="17"/>
      <c r="Q24" s="17"/>
      <c r="R24" s="17"/>
      <c r="S24" s="17"/>
      <c r="T24" s="17"/>
      <c r="U24" s="17"/>
      <c r="V24" s="17"/>
      <c r="W24" s="17"/>
      <c r="X24" s="17"/>
    </row>
    <row r="25" spans="1:43">
      <c r="A25" s="4718" t="str">
        <f>+VLOOKUP(MATCH(C25,tln,0),tao,'12(id)'!$J$20,FALSE)</f>
        <v>CDECCA</v>
      </c>
      <c r="B25" s="4719" t="str">
        <f>+VLOOKUP(MATCH(C25,tln,0),tao,'12(id)'!$Q$20,FALSE)&amp;IF(VLOOKUP(MATCH(C25,tln,0),tao,'12(id)'!$U$20,FALSE)-1=0,"","-"&amp;RIGHT(VLOOKUP(MATCH(C25,tln,0)+VLOOKUP(MATCH(C25,tln,0),tao,'12(id)'!$U$20,FALSE)-1,tao,'12(id)'!$Q$20,FALSE),2))</f>
        <v>GT </v>
      </c>
      <c r="C25" s="4727">
        <v>1</v>
      </c>
      <c r="E25" s="5132"/>
      <c r="F25" s="5133"/>
      <c r="P25" s="9354" t="s">
        <v>2097</v>
      </c>
      <c r="Q25" s="9354"/>
      <c r="R25" s="9354"/>
      <c r="S25" s="9354"/>
      <c r="T25" s="9354"/>
      <c r="U25" s="9354"/>
      <c r="V25" s="9354"/>
      <c r="W25" s="9354"/>
      <c r="X25" s="9354"/>
    </row>
    <row r="26" spans="1:43">
      <c r="A26" s="4720" t="str">
        <f>+VLOOKUP(MATCH(C26,tln,0),tao,'12(id)'!$J$20,FALSE)</f>
        <v>CRRA</v>
      </c>
      <c r="B26" s="4721" t="str">
        <f>+VLOOKUP(MATCH(C26,tln,0),tao,'12(id)'!$Q$20,FALSE)&amp;","&amp;RIGHT(VLOOKUP(MATCH(C26,tln,0)+1,tao,'12(id)'!$Q$20,FALSE),1)&amp;"-"&amp;RIGHT(VLOOKUP(MATCH(C26,tln,0)+VLOOKUP(MATCH(C26,tln,0),tao,'12(id)'!$U$20,FALSE)-2,tao,'12(id)'!$Q$20,FALSE),3)&amp;","&amp;RIGHT(VLOOKUP(MATCH(C26,tln,0)+VLOOKUP(MATCH(C26,tln,0),tao,'12(id)'!$U$20,FALSE)-1,tao,'12(id)'!$Q$20,FALSE),1)</f>
        <v>11A,B-14A,B</v>
      </c>
      <c r="C26" s="4728">
        <f>1+C25</f>
        <v>2</v>
      </c>
      <c r="E26" s="5132"/>
      <c r="F26" s="5133"/>
      <c r="R26" s="24"/>
    </row>
    <row r="27" spans="1:43" ht="12" customHeight="1">
      <c r="A27" s="4720" t="str">
        <f>+VLOOKUP(MATCH(C27,tln,0),tao,'12(id)'!$J$20,FALSE)</f>
        <v>FirstLight</v>
      </c>
      <c r="B27" s="4721" t="str">
        <f>+VLOOKUP(MATCH(C27,tln,0),tao,'12(id)'!$Q$20,FALSE)&amp;IF(VLOOKUP(MATCH(C27,tln,0),tao,'12(id)'!$U$20,FALSE)-1=0,"","-"&amp;RIGHT(VLOOKUP(MATCH(C27,tln,0)+VLOOKUP(MATCH(C27,tln,0),tao,'12(id)'!$U$20,FALSE)-1,tao,'12(id)'!$Q$20,FALSE),2))</f>
        <v>10</v>
      </c>
      <c r="C27" s="4728">
        <f t="shared" ref="C27:C49" si="0">1+C26</f>
        <v>3</v>
      </c>
      <c r="E27" s="5132"/>
      <c r="F27" s="5133"/>
      <c r="Y27" s="4" t="s">
        <v>1936</v>
      </c>
      <c r="Z27" s="4"/>
      <c r="AA27" s="9377">
        <f ca="1">+NOW()</f>
        <v>41830.561664236113</v>
      </c>
      <c r="AB27" s="9378"/>
      <c r="AC27" s="9378"/>
      <c r="AD27" s="9378"/>
      <c r="AE27" s="9379"/>
    </row>
    <row r="28" spans="1:43">
      <c r="A28" s="4720" t="str">
        <f>+VLOOKUP(MATCH(C28,tln,0),tao,'12(id)'!$J$20,FALSE)</f>
        <v>NPU</v>
      </c>
      <c r="B28" s="4721" t="str">
        <f>+VLOOKUP(MATCH(C28,tln,0),tao,'12(id)'!$Q$20,FALSE)&amp;IF(VLOOKUP(MATCH(C28,tln,0),tao,'12(id)'!$U$20,FALSE)-1=0,"","-"&amp;RIGHT(VLOOKUP(MATCH(C28,tln,0)+VLOOKUP(MATCH(C28,tln,0),tao,'12(id)'!$U$20,FALSE)-1,tao,'12(id)'!$Q$20,FALSE),2))</f>
        <v>TRBINE</v>
      </c>
      <c r="C28" s="4728">
        <f t="shared" si="0"/>
        <v>4</v>
      </c>
      <c r="E28" s="5132"/>
      <c r="F28" s="5133"/>
    </row>
    <row r="29" spans="1:43" s="2" customFormat="1">
      <c r="A29" s="4722" t="str">
        <f>+VLOOKUP(MATCH(C29,tln,0),tao,'12(id)'!$J$20,FALSE)</f>
        <v>PSEG</v>
      </c>
      <c r="B29" s="4723" t="str">
        <f>+VLOOKUP(MATCH(C29,tln,0),tao,'12(id)'!$Q$20,FALSE)&amp;IF(VLOOKUP(MATCH(C29,tln,0),tao,'12(id)'!$U$20,FALSE)-1=0,"","-"&amp;RIGHT(VLOOKUP(MATCH(C29,tln,0)+VLOOKUP(MATCH(C29,tln,0),tao,'12(id)'!$U$20,FALSE)-1,tao,'12(id)'!$Q$20,FALSE),2))</f>
        <v>BHB4 </v>
      </c>
      <c r="C29" s="4728">
        <f t="shared" si="0"/>
        <v>5</v>
      </c>
      <c r="E29" s="5134"/>
      <c r="F29" s="5131"/>
      <c r="G29" s="2" t="s">
        <v>614</v>
      </c>
      <c r="P29" s="9383">
        <f>+IF(OR(C20="",C20=0,C20&gt;25),"",IF(VLOOKUP(MATCH(C20,lst_id,0),tao,'12(id)'!$K$20,FALSE)="","",VLOOKUP(MATCH(C20,lst_id,0),tao,'12(id)'!$K$20,FALSE)))</f>
        <v>8302</v>
      </c>
      <c r="Q29" s="9384"/>
      <c r="R29" s="20"/>
      <c r="S29" s="20"/>
      <c r="T29" s="20"/>
      <c r="U29" s="20"/>
      <c r="V29" s="20"/>
      <c r="AH29" s="5134"/>
      <c r="AI29" s="5134"/>
      <c r="AJ29" s="5134"/>
    </row>
    <row r="30" spans="1:43" s="2" customFormat="1">
      <c r="A30" s="9350" t="str">
        <f>+VLOOKUP(MATCH(C30,tln,0),tao,'12(id)'!$J$20,FALSE)</f>
        <v>NRG</v>
      </c>
      <c r="B30" s="4724" t="str">
        <f>+VLOOKUP(MATCH(C30,tln,0),tao,'12(id)'!$Q$20,FALSE)&amp;IF(VLOOKUP(MATCH(C30,tln,0),tao,'12(id)'!$U$20,FALSE)-1=0,"","-"&amp;RIGHT(VLOOKUP(MATCH(C30,tln,0)+VLOOKUP(MATCH(C30,tln,0),tao,'12(id)'!$U$20,FALSE)-1,tao,'12(id)'!$Q$20,FALSE),2))</f>
        <v>BR10</v>
      </c>
      <c r="C30" s="4729">
        <f t="shared" si="0"/>
        <v>6</v>
      </c>
      <c r="E30" s="5134"/>
      <c r="F30" s="5131"/>
      <c r="G30" s="2" t="str">
        <f>+'12(id)'!AL$18</f>
        <v>TA&amp;O Objective</v>
      </c>
      <c r="P30" s="9385" t="str">
        <f>+IF(OR(C20="",C20=0,C20&gt;25),"",IF(VLOOKUP(MATCH(C20,lst_id,0),tao,'12(id)'!$AL$20,FALSE)="","",VLOOKUP(MATCH(C20,lst_id,0),tao,'12(id)'!$AL$20,FALSE)))</f>
        <v>NOx RACT Compliance</v>
      </c>
      <c r="Q30" s="9386"/>
      <c r="R30" s="20"/>
      <c r="S30" s="20"/>
      <c r="T30" s="9380" t="str">
        <f>+IF(OR(C20="",C20=0,C20&gt;25),"",IF(VLOOKUP(MATCH(C20,lst_id,0),tao,'12(id)'!$AM$20,FALSE)="","","RCSA "&amp;VLOOKUP(MATCH(C20,lst_id,0),tao,'12(id)'!$AM$20,FALSE)))</f>
        <v>RCSA 22a-174-22c (CAIR)</v>
      </c>
      <c r="U30" s="9381"/>
      <c r="V30" s="9381"/>
      <c r="W30" s="9381"/>
      <c r="X30" s="9381"/>
      <c r="Y30" s="9381"/>
      <c r="Z30" s="9381"/>
      <c r="AA30" s="9381"/>
      <c r="AB30" s="9381"/>
      <c r="AC30" s="9381"/>
      <c r="AD30" s="9381"/>
      <c r="AE30" s="9382"/>
      <c r="AH30" s="5134"/>
      <c r="AI30" s="5134"/>
      <c r="AJ30" s="5134"/>
    </row>
    <row r="31" spans="1:43" s="2" customFormat="1">
      <c r="A31" s="9351"/>
      <c r="B31" s="4715" t="str">
        <f>+VLOOKUP(MATCH(C31,tln,0),tao,'12(id)'!$Q$20,FALSE)&amp;IF(VLOOKUP(MATCH(C31,tln,0),tao,'12(id)'!$U$20,FALSE)-1=0,"","-"&amp;RIGHT(VLOOKUP(MATCH(C31,tln,0)+VLOOKUP(MATCH(C31,tln,0),tao,'12(id)'!$U$20,FALSE)-1,tao,'12(id)'!$Q$20,FALSE),2))</f>
        <v>CC10-12</v>
      </c>
      <c r="C31" s="4730">
        <f t="shared" si="0"/>
        <v>7</v>
      </c>
      <c r="E31" s="5134"/>
      <c r="F31" s="5131"/>
      <c r="G31" s="2" t="str">
        <f>+'12(id)'!AN18</f>
        <v>Date Issued By DEP</v>
      </c>
      <c r="P31" s="9400">
        <f>+IF(OR(C20="",C20=0,C20&gt;25),"",IF(VLOOKUP(MATCH(C20,lst_id,0),tao,'12(id)'!$AN$20,FALSE)="","",VLOOKUP(MATCH(C20,lst_id,0),tao,'12(id)'!$AN$20,FALSE)))</f>
        <v>40297</v>
      </c>
      <c r="Q31" s="9401"/>
      <c r="AH31" s="5134"/>
      <c r="AI31" s="5134"/>
      <c r="AJ31" s="5134"/>
    </row>
    <row r="32" spans="1:43" s="2" customFormat="1">
      <c r="A32" s="9351"/>
      <c r="B32" s="4715" t="str">
        <f>+VLOOKUP(MATCH(C32,tln,0),tao,'12(id)'!$Q$20,FALSE)&amp;IF(VLOOKUP(MATCH(C32,tln,0),tao,'12(id)'!$U$20,FALSE)-1=0,"","-"&amp;RIGHT(VLOOKUP(MATCH(C32,tln,0)+VLOOKUP(MATCH(C32,tln,0),tao,'12(id)'!$U$20,FALSE)-1,tao,'12(id)'!$Q$20,FALSE),2))</f>
        <v>CC13-14</v>
      </c>
      <c r="C32" s="4730">
        <f t="shared" si="0"/>
        <v>8</v>
      </c>
      <c r="E32" s="5134"/>
      <c r="F32" s="5131"/>
      <c r="G32" s="2" t="str">
        <f>+'12(id)'!$AO$18</f>
        <v>Expiration Date</v>
      </c>
      <c r="P32" s="9400">
        <f>+IF(OR(C20="",C20=0,C20&gt;25),"",IF(VLOOKUP(MATCH(C20,lst_id,0),tao,'12(id)'!$AO$20,FALSE)="","",VLOOKUP(MATCH(C20,lst_id,0),tao,'12(id)'!$AO$20,FALSE)))</f>
        <v>41790</v>
      </c>
      <c r="Q32" s="9401"/>
      <c r="AH32" s="5134"/>
      <c r="AI32" s="5134"/>
      <c r="AJ32" s="5134"/>
    </row>
    <row r="33" spans="1:36" s="2" customFormat="1">
      <c r="A33" s="9351"/>
      <c r="B33" s="4715" t="str">
        <f>+VLOOKUP(MATCH(C33,tln,0),tao,'12(id)'!$Q$20,FALSE)&amp;IF(VLOOKUP(MATCH(C33,tln,0),tao,'12(id)'!$U$20,FALSE)-1=0,"","-"&amp;RIGHT(VLOOKUP(MATCH(C33,tln,0)+VLOOKUP(MATCH(C33,tln,0),tao,'12(id)'!$U$20,FALSE)-1,tao,'12(id)'!$Q$20,FALSE),2))</f>
        <v>FD10</v>
      </c>
      <c r="C33" s="4730">
        <f t="shared" si="0"/>
        <v>9</v>
      </c>
      <c r="E33" s="5134"/>
      <c r="F33" s="5131"/>
      <c r="G33" s="2" t="s">
        <v>778</v>
      </c>
      <c r="P33" s="9387" t="str">
        <f ca="1">+IF(P32="","",ROUNDDOWN(ROUNDUP(P32-NOW(),0)/365.25,0)&amp;IF(ROUNDDOWN(ROUNDUP(P32-NOW(),0)/365.25,0)=1," year "," years ")&amp;ROUNDDOWN((ROUNDUP(P32-NOW(),0)-ROUNDDOWN(ROUNDUP(P32-NOW(),0)/365.25,0)*365.25)/(365.25/12),0)&amp;IF(ROUNDDOWN((ROUNDUP(P32-NOW(),0)-ROUNDDOWN(ROUNDUP(P32-NOW(),0)/365.25,0)*365.25)/(365.25/12),0)=1," month"," months"))</f>
        <v>0 years -1 months</v>
      </c>
      <c r="Q33" s="9388"/>
      <c r="AH33" s="5134"/>
      <c r="AI33" s="5134"/>
      <c r="AJ33" s="5134"/>
    </row>
    <row r="34" spans="1:36" s="2" customFormat="1">
      <c r="A34" s="9351"/>
      <c r="B34" s="4715" t="str">
        <f>+VLOOKUP(MATCH(C34,tln,0),tao,'12(id)'!$Q$20,FALSE)&amp;IF(VLOOKUP(MATCH(C34,tln,0),tao,'12(id)'!$U$20,FALSE)-1=0,"","-"&amp;RIGHT(VLOOKUP(MATCH(C34,tln,0)+VLOOKUP(MATCH(C34,tln,0),tao,'12(id)'!$U$20,FALSE)-1,tao,'12(id)'!$Q$20,FALSE),2))</f>
        <v>TT10</v>
      </c>
      <c r="C34" s="4730">
        <f t="shared" si="0"/>
        <v>10</v>
      </c>
      <c r="E34" s="5134"/>
      <c r="F34" s="5131"/>
      <c r="G34" s="2" t="s">
        <v>807</v>
      </c>
      <c r="P34" s="9389" t="str">
        <f>+IF(OR(C20="",C20=0,C20&gt;25),"",IF(VLOOKUP(MATCH(C20,lst_id,0),tao,'12(id)'!$AT$20,FALSE)="","",VLOOKUP(MATCH(C20,lst_id,0),tao,'12(id)'!$AT$20,FALSE)))</f>
        <v>8116B</v>
      </c>
      <c r="Q34" s="9390"/>
      <c r="T34" s="9335" t="str">
        <f>+IF(OR(C20="",C20=0,C20&gt;25),"",IF(VLOOKUP(MATCH(C20,lst_id,0),tao,'12(id)'!$AV$20,FALSE)="","",VLOOKUP(MATCH(C20,lst_id,0),tao,'12(id)'!$AV$20,FALSE)))</f>
        <v/>
      </c>
      <c r="U34" s="9336"/>
      <c r="V34" s="9336"/>
      <c r="W34" s="9336"/>
      <c r="X34" s="9337"/>
      <c r="Y34" s="285"/>
      <c r="Z34" s="285"/>
      <c r="AA34" s="9335" t="str">
        <f>+IF(OR(C20="",C20=0,C20&gt;25),"",IF(VLOOKUP(MATCH(C20,lst_id,0),tao,'12(id)'!$AX$20,FALSE)="","",VLOOKUP(MATCH(C20,lst_id,0),tao,'12(id)'!$AX$20,FALSE)))</f>
        <v/>
      </c>
      <c r="AB34" s="9336"/>
      <c r="AC34" s="9336"/>
      <c r="AD34" s="9336"/>
      <c r="AE34" s="9337"/>
      <c r="AH34" s="5134"/>
      <c r="AI34" s="5134"/>
      <c r="AJ34" s="5134"/>
    </row>
    <row r="35" spans="1:36" s="2" customFormat="1">
      <c r="A35" s="9351"/>
      <c r="B35" s="4715" t="str">
        <f>+VLOOKUP(MATCH(C35,tln,0),tao,'12(id)'!$Q$20,FALSE)&amp;IF(VLOOKUP(MATCH(C35,tln,0),tao,'12(id)'!$U$20,FALSE)-1=0,"","-"&amp;RIGHT(VLOOKUP(MATCH(C35,tln,0)+VLOOKUP(MATCH(C35,tln,0),tao,'12(id)'!$U$20,FALSE)-1,tao,'12(id)'!$Q$20,FALSE),2))</f>
        <v>MD10</v>
      </c>
      <c r="C35" s="4730">
        <f t="shared" si="0"/>
        <v>11</v>
      </c>
      <c r="E35" s="5134"/>
      <c r="F35" s="5131"/>
      <c r="G35" s="2" t="s">
        <v>808</v>
      </c>
      <c r="P35" s="9377" t="str">
        <f>+IF(OR(C20="",C20=0,C20&gt;25),"",IF(VLOOKUP(MATCH(C20,lst_id,0),tao,'12(id)'!$AU$20,FALSE)="","",VLOOKUP(MATCH(C20,lst_id,0),tao,'12(id)'!$AU$20,FALSE)))</f>
        <v/>
      </c>
      <c r="Q35" s="9379"/>
      <c r="T35" s="9377" t="str">
        <f>+IF(OR(C20="",C20=0,C20&gt;25),"",IF(VLOOKUP(MATCH(C20,lst_id,0),tao,'12(id)'!$AW$20,FALSE)="","",VLOOKUP(MATCH(C20,lst_id,0),tao,'12(id)'!$AW$20,FALSE)))</f>
        <v/>
      </c>
      <c r="U35" s="9378"/>
      <c r="V35" s="9378"/>
      <c r="W35" s="9378"/>
      <c r="X35" s="9379"/>
      <c r="Y35" s="285"/>
      <c r="Z35" s="285"/>
      <c r="AA35" s="9377" t="str">
        <f>+IF(OR(C20="",C20=0,C20&gt;25),"",IF(VLOOKUP(MATCH(C20,lst_id,0),tao,'12(id)'!$AY$20,FALSE)="","",VLOOKUP(MATCH(C20,lst_id,0),tao,'12(id)'!$AY$20,FALSE)))</f>
        <v/>
      </c>
      <c r="AB35" s="9378"/>
      <c r="AC35" s="9378"/>
      <c r="AD35" s="9378"/>
      <c r="AE35" s="9379"/>
      <c r="AF35" s="22"/>
      <c r="AG35" s="22"/>
      <c r="AH35" s="5139"/>
      <c r="AI35" s="5139"/>
      <c r="AJ35" s="5134"/>
    </row>
    <row r="36" spans="1:36" s="2" customFormat="1">
      <c r="A36" s="9351"/>
      <c r="B36" s="4715" t="str">
        <f>+VLOOKUP(MATCH(C36,tln,0),tao,'12(id)'!$Q$20,FALSE)&amp;IF(VLOOKUP(MATCH(C36,tln,0),tao,'12(id)'!$U$20,FALSE)-1=0,"","-"&amp;RIGHT(VLOOKUP(MATCH(C36,tln,0)+VLOOKUP(MATCH(C36,tln,0),tao,'12(id)'!$U$20,FALSE)-1,tao,'12(id)'!$Q$20,FALSE),2))</f>
        <v>NH10</v>
      </c>
      <c r="C36" s="4730">
        <f t="shared" si="0"/>
        <v>12</v>
      </c>
      <c r="E36" s="5134"/>
      <c r="F36" s="5131"/>
      <c r="N36" s="10"/>
      <c r="O36" s="10"/>
      <c r="P36" s="28"/>
      <c r="Q36" s="28"/>
      <c r="R36" s="10"/>
      <c r="S36" s="10"/>
      <c r="T36" s="10"/>
      <c r="U36" s="10"/>
      <c r="V36" s="10"/>
      <c r="W36" s="10"/>
      <c r="X36" s="10"/>
      <c r="Y36" s="10"/>
      <c r="Z36" s="10"/>
      <c r="AA36" s="10"/>
      <c r="AB36" s="10"/>
      <c r="AC36" s="10"/>
      <c r="AD36" s="10"/>
      <c r="AE36" s="10"/>
      <c r="AH36" s="5134"/>
      <c r="AI36" s="5134"/>
      <c r="AJ36" s="5134"/>
    </row>
    <row r="37" spans="1:36" s="2" customFormat="1">
      <c r="A37" s="9351"/>
      <c r="B37" s="4715" t="str">
        <f>+VLOOKUP(MATCH(C37,tln,0),tao,'12(id)'!$Q$20,FALSE)&amp;IF(VLOOKUP(MATCH(C37,tln,0),tao,'12(id)'!$U$20,FALSE)-1=0,"","-"&amp;RIGHT(VLOOKUP(MATCH(C37,tln,0)+VLOOKUP(MATCH(C37,tln,0),tao,'12(id)'!$U$20,FALSE)-1,tao,'12(id)'!$Q$20,FALSE),2))</f>
        <v>DV10</v>
      </c>
      <c r="C37" s="4730">
        <f t="shared" si="0"/>
        <v>13</v>
      </c>
      <c r="E37" s="5134"/>
      <c r="F37" s="5131"/>
      <c r="G37" s="2" t="s">
        <v>788</v>
      </c>
      <c r="N37" s="10"/>
      <c r="O37" s="10"/>
      <c r="P37" s="9402" t="str">
        <f>+IF(OR(C20="",C20=0,C20&gt;25),"",IF(VLOOKUP(MATCH(C20,lst_id,0),tao,'12(id)'!$AI$20,FALSE)="","",VLOOKUP(MATCH(C20,lst_id,0),tao,'12(id)'!$AI$20,FALSE)))</f>
        <v>075-0252-TV</v>
      </c>
      <c r="Q37" s="9403"/>
      <c r="R37" s="10"/>
      <c r="S37" s="10"/>
      <c r="T37" s="10"/>
      <c r="U37" s="10"/>
      <c r="V37" s="10"/>
      <c r="W37" s="10"/>
      <c r="X37" s="10"/>
      <c r="Y37" s="10"/>
      <c r="Z37" s="10"/>
      <c r="AA37" s="10"/>
      <c r="AB37" s="10"/>
      <c r="AC37" s="10"/>
      <c r="AD37" s="10"/>
      <c r="AE37" s="10"/>
      <c r="AH37" s="5134"/>
      <c r="AI37" s="5134"/>
      <c r="AJ37" s="5134"/>
    </row>
    <row r="38" spans="1:36" s="2" customFormat="1">
      <c r="A38" s="9351"/>
      <c r="B38" s="4715" t="str">
        <f>+VLOOKUP(MATCH(C38,tln,0),tao,'12(id)'!$Q$20,FALSE)&amp;IF(VLOOKUP(MATCH(C38,tln,0),tao,'12(id)'!$U$20,FALSE)-1=0,"","-"&amp;RIGHT(VLOOKUP(MATCH(C38,tln,0)+VLOOKUP(MATCH(C38,tln,0),tao,'12(id)'!$U$20,FALSE)-1,tao,'12(id)'!$Q$20,FALSE),2))</f>
        <v>DV11-14</v>
      </c>
      <c r="C38" s="4730">
        <f t="shared" si="0"/>
        <v>14</v>
      </c>
      <c r="E38" s="5134"/>
      <c r="F38" s="5131"/>
      <c r="G38" s="2" t="str">
        <f>+'12(id)'!$AJ$18</f>
        <v>Date Issued</v>
      </c>
      <c r="N38" s="10"/>
      <c r="O38" s="10"/>
      <c r="P38" s="9400">
        <f>+IF(OR(C20="",C20=0,C20&gt;25),"",IF(VLOOKUP(MATCH(C20,lst_id,0),tao,'12(id)'!$AJ$20,FALSE)="","",VLOOKUP(MATCH(C20,lst_id,0),tao,'12(id)'!$AJ$20,FALSE)))</f>
        <v>39041</v>
      </c>
      <c r="Q38" s="9401"/>
      <c r="R38" s="10"/>
      <c r="S38" s="10"/>
      <c r="T38" s="10"/>
      <c r="U38" s="10"/>
      <c r="V38" s="10"/>
      <c r="W38" s="10"/>
      <c r="X38" s="10"/>
      <c r="Y38" s="10"/>
      <c r="Z38" s="10"/>
      <c r="AA38" s="10"/>
      <c r="AB38" s="10"/>
      <c r="AC38" s="10"/>
      <c r="AD38" s="10"/>
      <c r="AE38" s="10"/>
      <c r="AH38" s="5134"/>
      <c r="AI38" s="5134"/>
      <c r="AJ38" s="5134"/>
    </row>
    <row r="39" spans="1:36" s="2" customFormat="1">
      <c r="A39" s="9352"/>
      <c r="B39" s="4716" t="str">
        <f>+VLOOKUP(MATCH(C39,tln,0),tao,'12(id)'!$Q$20,FALSE)&amp;IF(VLOOKUP(MATCH(C39,tln,0),tao,'12(id)'!$U$20,FALSE)-1=0,"","-"&amp;RIGHT(VLOOKUP(MATCH(C39,tln,0)+VLOOKUP(MATCH(C39,tln,0),tao,'12(id)'!$U$20,FALSE)-1,tao,'12(id)'!$Q$20,FALSE),2))</f>
        <v>MV10-11</v>
      </c>
      <c r="C39" s="4731">
        <f t="shared" si="0"/>
        <v>15</v>
      </c>
      <c r="E39" s="5134"/>
      <c r="F39" s="5131"/>
      <c r="G39" s="2" t="s">
        <v>789</v>
      </c>
      <c r="N39" s="10"/>
      <c r="O39" s="10"/>
      <c r="P39" s="9400">
        <f>+IF(OR(C20="",C20=0,C20&gt;25),"",IF(VLOOKUP(MATCH(C20,lst_id,0),tao,'12(id)'!$AK$20,FALSE)="","",VLOOKUP(MATCH(C20,lst_id,0),tao,'12(id)'!$AK$20,FALSE)))</f>
        <v>40867</v>
      </c>
      <c r="Q39" s="9401"/>
      <c r="R39" s="10"/>
      <c r="S39" s="10"/>
      <c r="T39" s="10"/>
      <c r="U39" s="10"/>
      <c r="V39" s="10"/>
      <c r="W39" s="10"/>
      <c r="X39" s="10"/>
      <c r="Y39" s="10"/>
      <c r="Z39" s="10"/>
      <c r="AA39" s="10"/>
      <c r="AB39" s="10"/>
      <c r="AC39" s="10"/>
      <c r="AD39" s="10"/>
      <c r="AE39" s="10"/>
      <c r="AH39" s="5134"/>
      <c r="AI39" s="5134"/>
      <c r="AJ39" s="5134"/>
    </row>
    <row r="40" spans="1:36" s="2" customFormat="1">
      <c r="A40" s="9350" t="str">
        <f>+VLOOKUP(MATCH(C40,tln,0),tao,'12(id)'!$J$20,FALSE)</f>
        <v>NRG</v>
      </c>
      <c r="B40" s="4724" t="str">
        <f>+VLOOKUP(MATCH(C40,tln,0),tao,'12(id)'!$Q$20,FALSE)&amp;IF(VLOOKUP(MATCH(C40,tln,0),tao,'12(id)'!$U$20,FALSE)-1=0,"","-"&amp;RIGHT(VLOOKUP(MATCH(C40,tln,0)+VLOOKUP(MATCH(C40,tln,0),tao,'12(id)'!$U$20,FALSE)-1,tao,'12(id)'!$Q$20,FALSE),2))</f>
        <v>MD2</v>
      </c>
      <c r="C40" s="4729">
        <f t="shared" si="0"/>
        <v>16</v>
      </c>
      <c r="E40" s="5134"/>
      <c r="F40" s="5131"/>
      <c r="G40" s="2" t="s">
        <v>941</v>
      </c>
      <c r="N40" s="10"/>
      <c r="O40" s="10"/>
      <c r="P40" s="9387" t="str">
        <f>+IF(OR(C20="",C20=0,C20&gt;25),"",IF(VLOOKUP(MATCH(C20,lst_id,0),tao,'12(id)'!$BC$20,FALSE)="","",VLOOKUP(MATCH(C20,lst_id,0),tao,'12(id)'!$BC$20,FALSE)))</f>
        <v>5497 / 002 / 075 / 0158</v>
      </c>
      <c r="Q40" s="9388"/>
      <c r="R40" s="10"/>
      <c r="S40" s="10"/>
      <c r="T40" s="10"/>
      <c r="U40" s="10"/>
      <c r="V40" s="10"/>
      <c r="W40" s="10"/>
      <c r="X40" s="10"/>
      <c r="Y40" s="10"/>
      <c r="Z40" s="10"/>
      <c r="AA40" s="10"/>
      <c r="AB40" s="10"/>
      <c r="AC40" s="10"/>
      <c r="AD40" s="10"/>
      <c r="AE40" s="10"/>
      <c r="AH40" s="5134"/>
      <c r="AI40" s="5134"/>
      <c r="AJ40" s="5134"/>
    </row>
    <row r="41" spans="1:36" s="2" customFormat="1">
      <c r="A41" s="9351"/>
      <c r="B41" s="4715" t="str">
        <f>+VLOOKUP(MATCH(C41,tln,0),tao,'12(id)'!$Q$20,FALSE)&amp;IF(VLOOKUP(MATCH(C41,tln,0),tao,'12(id)'!$U$20,FALSE)-1=0,"","-"&amp;RIGHT(VLOOKUP(MATCH(C41,tln,0)+VLOOKUP(MATCH(C41,tln,0),tao,'12(id)'!$U$20,FALSE)-1,tao,'12(id)'!$Q$20,FALSE),2))</f>
        <v>MD3 </v>
      </c>
      <c r="C41" s="4730">
        <f t="shared" si="0"/>
        <v>17</v>
      </c>
      <c r="E41" s="5134"/>
      <c r="F41" s="5131"/>
      <c r="N41" s="10"/>
      <c r="O41" s="10"/>
      <c r="P41" s="28"/>
      <c r="Q41" s="28"/>
      <c r="R41" s="10"/>
      <c r="S41" s="10"/>
      <c r="T41" s="10"/>
      <c r="U41" s="10"/>
      <c r="V41" s="10"/>
      <c r="W41" s="10"/>
      <c r="X41" s="10"/>
      <c r="Y41" s="10"/>
      <c r="Z41" s="10"/>
      <c r="AA41" s="10"/>
      <c r="AB41" s="10"/>
      <c r="AC41" s="10"/>
      <c r="AD41" s="10"/>
      <c r="AE41" s="10"/>
      <c r="AH41" s="5134"/>
      <c r="AI41" s="5134"/>
      <c r="AJ41" s="5134"/>
    </row>
    <row r="42" spans="1:36" s="2" customFormat="1">
      <c r="A42" s="9351"/>
      <c r="B42" s="4715" t="str">
        <f>+VLOOKUP(MATCH(C42,tln,0),tao,'12(id)'!$Q$20,FALSE)&amp;IF(VLOOKUP(MATCH(C42,tln,0),tao,'12(id)'!$U$20,FALSE)-1=0,"","-"&amp;RIGHT(VLOOKUP(MATCH(C42,tln,0)+VLOOKUP(MATCH(C42,tln,0),tao,'12(id)'!$U$20,FALSE)-1,tao,'12(id)'!$Q$20,FALSE),2))</f>
        <v>MD4 </v>
      </c>
      <c r="C42" s="4730">
        <f t="shared" si="0"/>
        <v>18</v>
      </c>
      <c r="E42" s="5134"/>
      <c r="F42" s="5131"/>
      <c r="G42" s="2" t="s">
        <v>398</v>
      </c>
      <c r="N42" s="10"/>
      <c r="O42" s="10"/>
      <c r="P42" s="9335" t="str">
        <f>+IF(OR(C20="",C20=0,C20&gt;25),"",IF(VLOOKUP(MATCH(C20,lst_id,0),tao,'12(id)'!$BF$20,FALSE)="","",VLOOKUP(MATCH(C20,lst_id,0),tao,'12(id)'!$BF$20,FALSE)))</f>
        <v>Connecticut Resources Recovery Authority</v>
      </c>
      <c r="Q42" s="9336"/>
      <c r="R42" s="9336"/>
      <c r="S42" s="9336"/>
      <c r="T42" s="9336"/>
      <c r="U42" s="9336"/>
      <c r="V42" s="9336"/>
      <c r="W42" s="9336"/>
      <c r="X42" s="9336"/>
      <c r="Y42" s="9336"/>
      <c r="Z42" s="9336"/>
      <c r="AA42" s="9336"/>
      <c r="AB42" s="9336"/>
      <c r="AC42" s="9336"/>
      <c r="AD42" s="9336"/>
      <c r="AE42" s="9337"/>
      <c r="AH42" s="5134"/>
      <c r="AI42" s="5134"/>
      <c r="AJ42" s="5134"/>
    </row>
    <row r="43" spans="1:36" s="2" customFormat="1">
      <c r="A43" s="9351"/>
      <c r="B43" s="4715" t="str">
        <f>+VLOOKUP(MATCH(C43,tln,0),tao,'12(id)'!$Q$20,FALSE)&amp;IF(VLOOKUP(MATCH(C43,tln,0),tao,'12(id)'!$U$20,FALSE)-1=0,"","-"&amp;RIGHT(VLOOKUP(MATCH(C43,tln,0)+VLOOKUP(MATCH(C43,tln,0),tao,'12(id)'!$U$20,FALSE)-1,tao,'12(id)'!$Q$20,FALSE),2))</f>
        <v>MV5 </v>
      </c>
      <c r="C43" s="4730">
        <f t="shared" si="0"/>
        <v>19</v>
      </c>
      <c r="E43" s="5134"/>
      <c r="F43" s="5131"/>
      <c r="G43" s="2" t="s">
        <v>780</v>
      </c>
      <c r="N43" s="10"/>
      <c r="O43" s="10"/>
      <c r="P43" s="9335" t="str">
        <f>+IF(OR(C20="",C20=0,C20&gt;25),"",IF(VLOOKUP(MATCH(C20,lst_id,0),tao,'12(id)'!$BJ$20,FALSE)="","",VLOOKUP(MATCH(C20,lst_id,0),tao,'12(id)'!$BJ$20,FALSE)))</f>
        <v/>
      </c>
      <c r="Q43" s="9336"/>
      <c r="R43" s="5158"/>
      <c r="S43" s="5158"/>
      <c r="T43" s="5158"/>
      <c r="U43" s="5158"/>
      <c r="V43" s="5158"/>
      <c r="W43" s="5158"/>
      <c r="X43" s="5158"/>
      <c r="Y43" s="5158"/>
      <c r="Z43" s="5158"/>
      <c r="AA43" s="5158"/>
      <c r="AB43" s="5158"/>
      <c r="AC43" s="5158"/>
      <c r="AD43" s="5158"/>
      <c r="AE43" s="5144"/>
      <c r="AH43" s="5134"/>
      <c r="AI43" s="5134"/>
      <c r="AJ43" s="5134"/>
    </row>
    <row r="44" spans="1:36" s="2" customFormat="1">
      <c r="A44" s="9351"/>
      <c r="B44" s="4715" t="str">
        <f>+VLOOKUP(MATCH(C44,tln,0),tao,'12(id)'!$Q$20,FALSE)&amp;IF(VLOOKUP(MATCH(C44,tln,0),tao,'12(id)'!$U$20,FALSE)-1=0,"","-"&amp;RIGHT(VLOOKUP(MATCH(C44,tln,0)+VLOOKUP(MATCH(C44,tln,0),tao,'12(id)'!$U$20,FALSE)-1,tao,'12(id)'!$Q$20,FALSE),2))</f>
        <v>MV6 </v>
      </c>
      <c r="C44" s="4730">
        <f t="shared" si="0"/>
        <v>20</v>
      </c>
      <c r="E44" s="5134"/>
      <c r="F44" s="5131"/>
      <c r="G44" s="2" t="s">
        <v>783</v>
      </c>
      <c r="N44" s="10"/>
      <c r="O44" s="10"/>
      <c r="P44" s="9335" t="str">
        <f>+IF(OR(C20="",C20=0,C20&gt;25),"",IF(VLOOKUP(MATCH(C20,lst_id,0),tao,'12(id)'!$BO$20,FALSE)="","",VLOOKUP(MATCH(C20,lst_id,0),tao,'12(id)'!$BO$20,FALSE))&amp;", "&amp;IF(VLOOKUP(MATCH(C20,lst_id,0),tao,'12(id)'!$BP$20,FALSE)="","",VLOOKUP(MATCH(C20,lst_id,0),tao,'12(id)'!$BP$20,FALSE)))</f>
        <v>Peter W. Egan, Director of Environmental Affairs and Development</v>
      </c>
      <c r="Q44" s="9336"/>
      <c r="R44" s="9336"/>
      <c r="S44" s="9336"/>
      <c r="T44" s="9336"/>
      <c r="U44" s="9336"/>
      <c r="V44" s="9336"/>
      <c r="W44" s="9336"/>
      <c r="X44" s="9336"/>
      <c r="Y44" s="9336"/>
      <c r="Z44" s="9336"/>
      <c r="AA44" s="9336"/>
      <c r="AB44" s="9336"/>
      <c r="AC44" s="9336"/>
      <c r="AD44" s="9336"/>
      <c r="AE44" s="9337"/>
      <c r="AH44" s="5134"/>
      <c r="AI44" s="5134"/>
      <c r="AJ44" s="5134"/>
    </row>
    <row r="45" spans="1:36" s="2" customFormat="1">
      <c r="A45" s="9351"/>
      <c r="B45" s="4715" t="str">
        <f>+VLOOKUP(MATCH(C45,tln,0),tao,'12(id)'!$Q$20,FALSE)&amp;IF(VLOOKUP(MATCH(C45,tln,0),tao,'12(id)'!$U$20,FALSE)-1=0,"","-"&amp;RIGHT(VLOOKUP(MATCH(C45,tln,0)+VLOOKUP(MATCH(C45,tln,0),tao,'12(id)'!$U$20,FALSE)-1,tao,'12(id)'!$Q$20,FALSE),2))</f>
        <v>NH1 </v>
      </c>
      <c r="C45" s="4730">
        <f t="shared" si="0"/>
        <v>21</v>
      </c>
      <c r="E45" s="5134"/>
      <c r="F45" s="5131"/>
      <c r="G45" s="2" t="s">
        <v>815</v>
      </c>
      <c r="N45" s="10"/>
      <c r="O45" s="10"/>
      <c r="P45" s="9335" t="str">
        <f>+IF(OR(C20="",C20=0,C20&gt;25),"",IF(VLOOKUP(MATCH(C20,lst_id,0),tao,'12(id)'!$BN$20,FALSE)="",VLOOKUP(MATCH(C20,lst_id,0),tao,'12(id)'!#REF!,FALSE),IF(VLOOKUP(MATCH(C20,lst_id,0),tao,'12(id)'!$BL$20,FALSE)="","",VLOOKUP(MATCH(C20,lst_id,0),tao,'12(id)'!$BL$20,FALSE))&amp;" - "&amp;IF(VLOOKUP(MATCH(C20,lst_id,0),tao,'12(id)'!$BN$20,FALSE)="","",VLOOKUP(MATCH(C20,lst_id,0),tao,'12(id)'!$BN$20,FALSE))))</f>
        <v>Connecticut Resources Recovery Authority - CRRA</v>
      </c>
      <c r="Q45" s="9336"/>
      <c r="R45" s="9336"/>
      <c r="S45" s="9336"/>
      <c r="T45" s="9336"/>
      <c r="U45" s="9336"/>
      <c r="V45" s="9336"/>
      <c r="W45" s="9336"/>
      <c r="X45" s="9336"/>
      <c r="Y45" s="9336"/>
      <c r="Z45" s="9336"/>
      <c r="AA45" s="9336"/>
      <c r="AB45" s="9336"/>
      <c r="AC45" s="9336"/>
      <c r="AD45" s="9336"/>
      <c r="AE45" s="9337"/>
      <c r="AH45" s="5134"/>
      <c r="AI45" s="5134"/>
      <c r="AJ45" s="5134"/>
    </row>
    <row r="46" spans="1:36" s="2" customFormat="1">
      <c r="A46" s="9352"/>
      <c r="B46" s="4716" t="str">
        <f>+VLOOKUP(MATCH(C46,tln,0),tao,'12(id)'!$Q$20,FALSE)&amp;IF(VLOOKUP(MATCH(C46,tln,0),tao,'12(id)'!$U$20,FALSE)-1=0,"","-"&amp;RIGHT(VLOOKUP(MATCH(C46,tln,0)+VLOOKUP(MATCH(C46,tln,0),tao,'12(id)'!$U$20,FALSE)-1,tao,'12(id)'!$Q$20,FALSE),2))</f>
        <v>NH2 </v>
      </c>
      <c r="C46" s="4731">
        <f t="shared" si="0"/>
        <v>22</v>
      </c>
      <c r="E46" s="5134"/>
      <c r="F46" s="5131"/>
      <c r="G46" s="2" t="s">
        <v>786</v>
      </c>
      <c r="N46" s="10"/>
      <c r="O46" s="10"/>
      <c r="P46" s="9335" t="str">
        <f>+IF(OR(C20="",C20=0,C20&gt;25),"",IF(VLOOKUP(MATCH(C20,lst_id,0),tao,'12(id)'!$BM$20,FALSE)="","",VLOOKUP(MATCH(C20,lst_id,0),tao,'12(id)'!$BM$20,FALSE)))</f>
        <v>100 Constitution Plaza, 6th Floor, Hartford, CT 06103</v>
      </c>
      <c r="Q46" s="9336"/>
      <c r="R46" s="9336"/>
      <c r="S46" s="9336"/>
      <c r="T46" s="9336"/>
      <c r="U46" s="9336"/>
      <c r="V46" s="9336"/>
      <c r="W46" s="9336"/>
      <c r="X46" s="9336"/>
      <c r="Y46" s="9336"/>
      <c r="Z46" s="9336"/>
      <c r="AA46" s="9336"/>
      <c r="AB46" s="9336"/>
      <c r="AC46" s="9336"/>
      <c r="AD46" s="9336"/>
      <c r="AE46" s="9337"/>
      <c r="AH46" s="5134"/>
      <c r="AI46" s="5134"/>
      <c r="AJ46" s="5134"/>
    </row>
    <row r="47" spans="1:36">
      <c r="A47" s="9350" t="str">
        <f>+VLOOKUP(MATCH(C47,tln,0),tao,'12(id)'!$J$20,FALSE)</f>
        <v>PSEG</v>
      </c>
      <c r="B47" s="4717" t="str">
        <f>+VLOOKUP(MATCH(C47,tln,0),tao,'12(id)'!$Q$20,FALSE)&amp;IF(VLOOKUP(MATCH(C47,tln,0),tao,'12(id)'!$U$20,FALSE)-1=0,"","-"&amp;RIGHT(VLOOKUP(MATCH(C47,tln,0)+VLOOKUP(MATCH(C47,tln,0),tao,'12(id)'!$U$20,FALSE)-1,tao,'12(id)'!$Q$20,FALSE),2))</f>
        <v>NHB1</v>
      </c>
      <c r="C47" s="4732">
        <f t="shared" si="0"/>
        <v>23</v>
      </c>
      <c r="E47" s="5132"/>
      <c r="F47" s="5133"/>
      <c r="G47" s="2" t="s">
        <v>784</v>
      </c>
      <c r="N47" s="717"/>
      <c r="O47" s="10"/>
      <c r="P47" s="9380" t="str">
        <f>+IF(OR(C20="",C20=0,C20&gt;25),"",IF(VLOOKUP(MATCH(C20,lst_id,0),tao,'12(id)'!$BQ$20,FALSE)="","",VLOOKUP(MATCH(C20,lst_id,0),tao,'12(id)'!$BQ$20,FALSE))&amp;IF(VLOOKUP(MATCH(C20,lst_id,0),tao,'12(id)'!$BR$20,FALSE)="","",", "&amp;VLOOKUP(MATCH(C20,lst_id,0),tao,'12(id)'!$BR$20,FALSE)))</f>
        <v>Steven E. Yates, Air Compliance Manager</v>
      </c>
      <c r="Q47" s="9381"/>
      <c r="R47" s="9381"/>
      <c r="S47" s="9381"/>
      <c r="T47" s="9381"/>
      <c r="U47" s="9381"/>
      <c r="V47" s="9381"/>
      <c r="W47" s="9381"/>
      <c r="X47" s="9381"/>
      <c r="Y47" s="9381"/>
      <c r="Z47" s="9381"/>
      <c r="AA47" s="9381"/>
      <c r="AB47" s="9381"/>
      <c r="AC47" s="9381"/>
      <c r="AD47" s="9381"/>
      <c r="AE47" s="9382"/>
    </row>
    <row r="48" spans="1:36" s="2" customFormat="1">
      <c r="A48" s="9351"/>
      <c r="B48" s="4715" t="str">
        <f>+VLOOKUP(MATCH(C48,tln,0),tao,'12(id)'!$Q$20,FALSE)&amp;IF(VLOOKUP(MATCH(C48,tln,0),tao,'12(id)'!$U$20,FALSE)-1=0,"","-"&amp;RIGHT(VLOOKUP(MATCH(C48,tln,0)+VLOOKUP(MATCH(C48,tln,0),tao,'12(id)'!$U$20,FALSE)-1,tao,'12(id)'!$Q$20,FALSE),2))</f>
        <v>BHB2</v>
      </c>
      <c r="C48" s="4730">
        <f t="shared" si="0"/>
        <v>24</v>
      </c>
      <c r="E48" s="5134"/>
      <c r="F48" s="5131"/>
      <c r="G48" s="2" t="s">
        <v>785</v>
      </c>
      <c r="N48" s="10"/>
      <c r="O48" s="10"/>
      <c r="P48" s="9335" t="str">
        <f>+IF(OR(C20="",C20=0,C20&gt;25),"",IF(VLOOKUP(MATCH(C20,lst_id,0),tao,'12(id)'!$BT$20,FALSE)="","",VLOOKUP(MATCH(C20,lst_id,0),tao,'12(id)'!$BT$20,FALSE)))</f>
        <v>(860) 757-7725</v>
      </c>
      <c r="Q48" s="9337"/>
      <c r="R48" s="10"/>
      <c r="S48" s="10"/>
      <c r="T48" s="9445" t="str">
        <f>+IF(OR(C20="",C20=0,C20&gt;25),"",IF(VLOOKUP(MATCH(C20,lst_id,0),tao,'12(id)'!$BV$20,FALSE)="","",VLOOKUP(MATCH(C20,lst_id,0),tao,'12(id)'!$BV$20,FALSE)))</f>
        <v/>
      </c>
      <c r="U48" s="9446"/>
      <c r="V48" s="9446"/>
      <c r="W48" s="9446"/>
      <c r="X48" s="9447"/>
      <c r="Y48" s="10"/>
      <c r="Z48" s="10"/>
      <c r="AA48" s="10"/>
      <c r="AB48" s="10"/>
      <c r="AC48" s="10"/>
      <c r="AD48" s="10"/>
      <c r="AE48" s="10"/>
      <c r="AH48" s="5134"/>
      <c r="AI48" s="5134"/>
      <c r="AJ48" s="5134"/>
    </row>
    <row r="49" spans="1:36" s="2" customFormat="1" ht="13.5" thickBot="1">
      <c r="A49" s="9353"/>
      <c r="B49" s="4725" t="str">
        <f>+VLOOKUP(MATCH(C49,tln,0),tao,'12(id)'!$Q$20,FALSE)&amp;IF(VLOOKUP(MATCH(C49,tln,0),tao,'12(id)'!$U$20,FALSE)-1=0,"","-"&amp;RIGHT(VLOOKUP(MATCH(C49,tln,0)+VLOOKUP(MATCH(C49,tln,0),tao,'12(id)'!$U$20,FALSE)-1,tao,'12(id)'!$Q$20,FALSE),2))</f>
        <v>BHB3</v>
      </c>
      <c r="C49" s="4733">
        <f t="shared" si="0"/>
        <v>25</v>
      </c>
      <c r="E49" s="5134"/>
      <c r="F49" s="5131"/>
      <c r="N49" s="10"/>
      <c r="O49" s="10"/>
      <c r="P49" s="10"/>
      <c r="Q49" s="10"/>
      <c r="R49" s="10"/>
      <c r="S49" s="10"/>
      <c r="T49" s="10"/>
      <c r="U49" s="10"/>
      <c r="V49" s="10"/>
      <c r="W49" s="10"/>
      <c r="X49" s="10"/>
      <c r="Y49" s="10"/>
      <c r="Z49" s="10"/>
      <c r="AA49" s="10"/>
      <c r="AB49" s="10"/>
      <c r="AC49" s="10"/>
      <c r="AD49" s="10"/>
      <c r="AE49" s="10"/>
      <c r="AH49" s="5134"/>
      <c r="AI49" s="5134"/>
      <c r="AJ49" s="5134"/>
    </row>
    <row r="50" spans="1:36" s="2" customFormat="1">
      <c r="A50" s="271"/>
      <c r="B50" s="271"/>
      <c r="C50" s="271"/>
      <c r="E50" s="5134"/>
      <c r="F50" s="5131"/>
      <c r="G50" s="2" t="s">
        <v>940</v>
      </c>
      <c r="N50" s="10"/>
      <c r="O50" s="10"/>
      <c r="P50" s="5159" t="str">
        <f>+IF(OR(C20="",C20=0,C20&gt;25),"",IF(VLOOKUP(MATCH(C20,lst_id,0),tao,'12(id)'!$M$20,FALSE)="","",VLOOKUP(MATCH(C20,lst_id,0),tao,'12(id)'!$M$20,FALSE)))</f>
        <v>South Meadow Station</v>
      </c>
      <c r="Q50" s="5160"/>
      <c r="R50" s="10"/>
      <c r="S50" s="10"/>
      <c r="T50" s="10"/>
      <c r="U50" s="10"/>
      <c r="V50" s="10"/>
      <c r="W50" s="29"/>
      <c r="X50" s="10"/>
      <c r="Y50" s="10"/>
      <c r="Z50" s="10"/>
      <c r="AA50" s="10"/>
      <c r="AB50" s="10"/>
      <c r="AC50" s="10"/>
      <c r="AD50" s="10"/>
      <c r="AE50" s="10"/>
      <c r="AH50" s="5134"/>
      <c r="AI50" s="5134"/>
      <c r="AJ50" s="5134"/>
    </row>
    <row r="51" spans="1:36" s="2" customFormat="1">
      <c r="A51" s="5132"/>
      <c r="B51" s="5132"/>
      <c r="C51" s="5132"/>
      <c r="D51" s="5134"/>
      <c r="E51" s="5134"/>
      <c r="F51" s="5131"/>
      <c r="G51" s="2" t="str">
        <f>+'12(id)'!$S$18</f>
        <v>Facility ID (ORISPL)</v>
      </c>
      <c r="N51" s="10"/>
      <c r="O51" s="10"/>
      <c r="P51" s="9443">
        <f>+IF(OR(C20="",C20=0,C20&gt;25),"",IF(VLOOKUP(MATCH(C20,lst_id,0),tao,'12(id)'!$S$20,FALSE)="","",VLOOKUP(MATCH(C20,lst_id,0),tao,'12(id)'!$S$20,FALSE)))</f>
        <v>563</v>
      </c>
      <c r="Q51" s="9444"/>
      <c r="R51" s="10"/>
      <c r="S51" s="10"/>
      <c r="T51" s="9440" t="str">
        <f>+IF(P51="","","Note: EPA NOx - CAIROS program listed")</f>
        <v>Note: EPA NOx - CAIROS program listed</v>
      </c>
      <c r="U51" s="9441"/>
      <c r="V51" s="9441"/>
      <c r="W51" s="9441"/>
      <c r="X51" s="9441"/>
      <c r="Y51" s="9441"/>
      <c r="Z51" s="9441"/>
      <c r="AA51" s="9441"/>
      <c r="AB51" s="9441"/>
      <c r="AC51" s="9441"/>
      <c r="AD51" s="9441"/>
      <c r="AE51" s="9442"/>
      <c r="AH51" s="5134"/>
      <c r="AI51" s="5134"/>
      <c r="AJ51" s="5134"/>
    </row>
    <row r="52" spans="1:36" s="2" customFormat="1">
      <c r="A52" s="5132"/>
      <c r="B52" s="5132"/>
      <c r="C52" s="5132"/>
      <c r="D52" s="5134"/>
      <c r="E52" s="5134"/>
      <c r="F52" s="5131"/>
      <c r="G52" s="2" t="str">
        <f>+'12(id)'!$BD$17</f>
        <v>Site</v>
      </c>
      <c r="N52" s="10"/>
      <c r="O52" s="10"/>
      <c r="P52" s="9436" t="str">
        <f>+IF(OR(C20="",C20=0,C20&gt;25),"",IF(VLOOKUP(MATCH(C20,lst_id,0),tao,'12(id)'!$BD$20,FALSE)="","",VLOOKUP(MATCH(C20,lst_id,0),tao,'12(id)'!$BD$20,FALSE)))</f>
        <v>Reserve - Maxim Roads, Hartford</v>
      </c>
      <c r="Q52" s="9437"/>
      <c r="R52" s="9437"/>
      <c r="S52" s="9437"/>
      <c r="T52" s="9437"/>
      <c r="U52" s="9437"/>
      <c r="V52" s="9437"/>
      <c r="W52" s="9437"/>
      <c r="X52" s="9437"/>
      <c r="Y52" s="9437"/>
      <c r="Z52" s="9437"/>
      <c r="AA52" s="9437"/>
      <c r="AB52" s="9437"/>
      <c r="AC52" s="9437"/>
      <c r="AD52" s="9437"/>
      <c r="AE52" s="9438"/>
      <c r="AH52" s="5134"/>
      <c r="AI52" s="5134"/>
      <c r="AJ52" s="5134"/>
    </row>
    <row r="53" spans="1:36" s="2" customFormat="1">
      <c r="A53" s="5132"/>
      <c r="B53" s="5132"/>
      <c r="C53" s="5132"/>
      <c r="D53" s="5134"/>
      <c r="E53" s="5134"/>
      <c r="F53" s="5131"/>
      <c r="G53" s="2" t="str">
        <f>+'12(id)'!$BE$17</f>
        <v>Physical Address</v>
      </c>
      <c r="N53" s="10"/>
      <c r="O53" s="10"/>
      <c r="P53" s="9387" t="str">
        <f>+IF(OR(C20="",C20=0,C20&gt;25),"",IF(VLOOKUP(MATCH(C20,lst_id,0),tao,'12(id)'!$BE$20,FALSE)="","",IF(VLOOKUP(MATCH(C20,lst_id,0),tao,'12(id)'!$BE$20,FALSE)=P52,"(same as above)",VLOOKUP(MATCH(C20,lst_id,0),tao,'12(id)'!$BE$20,FALSE))))</f>
        <v>20 Reserve Rd Hartford, CT 06114</v>
      </c>
      <c r="Q53" s="9439"/>
      <c r="R53" s="9439"/>
      <c r="S53" s="9439"/>
      <c r="T53" s="9439"/>
      <c r="U53" s="9439"/>
      <c r="V53" s="9439"/>
      <c r="W53" s="9439"/>
      <c r="X53" s="9439"/>
      <c r="Y53" s="9439"/>
      <c r="Z53" s="9439"/>
      <c r="AA53" s="9439"/>
      <c r="AB53" s="9439"/>
      <c r="AC53" s="9439"/>
      <c r="AD53" s="9439"/>
      <c r="AE53" s="9388"/>
      <c r="AH53" s="5134"/>
      <c r="AI53" s="5134"/>
      <c r="AJ53" s="5134"/>
    </row>
    <row r="54" spans="1:36" s="2" customFormat="1">
      <c r="A54" s="5132"/>
      <c r="B54" s="5132"/>
      <c r="C54" s="5132"/>
      <c r="D54" s="5134"/>
      <c r="E54" s="5134"/>
      <c r="F54" s="5131"/>
      <c r="N54" s="10"/>
      <c r="O54" s="10"/>
      <c r="P54" s="28"/>
      <c r="Q54" s="28"/>
      <c r="R54" s="10"/>
      <c r="S54" s="10"/>
      <c r="T54" s="10"/>
      <c r="U54" s="10"/>
      <c r="V54" s="10"/>
      <c r="W54" s="10"/>
      <c r="X54" s="10"/>
      <c r="Y54" s="10"/>
      <c r="Z54" s="10"/>
      <c r="AA54" s="10"/>
      <c r="AB54" s="10"/>
      <c r="AC54" s="10"/>
      <c r="AD54" s="10"/>
      <c r="AE54" s="10"/>
      <c r="AH54" s="5134"/>
      <c r="AI54" s="5134"/>
      <c r="AJ54" s="5134"/>
    </row>
    <row r="55" spans="1:36" s="2" customFormat="1">
      <c r="A55" s="5132"/>
      <c r="B55" s="5132"/>
      <c r="C55" s="5132"/>
      <c r="D55" s="5134"/>
      <c r="E55" s="5134"/>
      <c r="F55" s="5131"/>
      <c r="G55" s="2" t="str">
        <f>+'12(id)'!O18</f>
        <v>Emission Units Group ID</v>
      </c>
      <c r="N55" s="10"/>
      <c r="O55" s="10"/>
      <c r="P55" s="9429" t="str">
        <f>+IF(OR(C20="",C20=0,C20&gt;25),"",IF(VLOOKUP(MATCH(C20,lst_id,0),tao,'12(id)'!$O$20,FALSE)="","",VLOOKUP(MATCH(C20,lst_id,0),tao,'12(id)'!$O$20,FALSE)))</f>
        <v>GEU-1</v>
      </c>
      <c r="Q55" s="9431"/>
      <c r="R55" s="10"/>
      <c r="S55" s="10"/>
      <c r="T55" s="10"/>
      <c r="U55" s="10"/>
      <c r="V55" s="10"/>
      <c r="W55" s="10"/>
      <c r="X55" s="10"/>
      <c r="Y55" s="10"/>
      <c r="Z55" s="10"/>
      <c r="AA55" s="10"/>
      <c r="AB55" s="10"/>
      <c r="AC55" s="10"/>
      <c r="AD55" s="10"/>
      <c r="AE55" s="10"/>
      <c r="AH55" s="5134"/>
      <c r="AI55" s="5134"/>
      <c r="AJ55" s="5134"/>
    </row>
    <row r="56" spans="1:36" s="2" customFormat="1">
      <c r="A56" s="5134"/>
      <c r="B56" s="5134"/>
      <c r="C56" s="5132"/>
      <c r="D56" s="5134"/>
      <c r="E56" s="5134"/>
      <c r="F56" s="5131"/>
      <c r="G56" s="2" t="str">
        <f>+'12(id)'!N18</f>
        <v>Group Name (per owner)</v>
      </c>
      <c r="N56" s="10"/>
      <c r="O56" s="10"/>
      <c r="P56" s="9335" t="str">
        <f>+IF(OR(C20="",C20=0,C20&gt;25),"",IF(VLOOKUP(MATCH(C20,lst_id,0),tao,'12(id)'!$N$20,FALSE)="","",VLOOKUP(MATCH(C20,lst_id,0),tao,'12(id)'!$N$20,FALSE)))</f>
        <v>South Meadows Jets</v>
      </c>
      <c r="Q56" s="9337"/>
      <c r="R56" s="10"/>
      <c r="S56" s="10"/>
      <c r="T56" s="10"/>
      <c r="U56" s="10"/>
      <c r="V56" s="10"/>
      <c r="W56" s="10"/>
      <c r="X56" s="10"/>
      <c r="Y56" s="10"/>
      <c r="Z56" s="10"/>
      <c r="AA56" s="10"/>
      <c r="AB56" s="10"/>
      <c r="AC56" s="10"/>
      <c r="AD56" s="10"/>
      <c r="AE56" s="10"/>
      <c r="AH56" s="5134"/>
      <c r="AI56" s="5134"/>
      <c r="AJ56" s="5134"/>
    </row>
    <row r="57" spans="1:36" s="2" customFormat="1">
      <c r="A57" s="5134"/>
      <c r="B57" s="5134"/>
      <c r="C57" s="5132"/>
      <c r="D57" s="5134"/>
      <c r="E57" s="5134"/>
      <c r="F57" s="5131"/>
      <c r="G57" s="6" t="s">
        <v>831</v>
      </c>
      <c r="N57" s="10"/>
      <c r="O57" s="10"/>
      <c r="P57" s="9380" t="str">
        <f>+IF(OR(C20="",C20=0,C20&gt;25),"",IF(VLOOKUP(MATCH(C20,lst_id,0),tao,'12(id)'!$U$20,FALSE)="","",VLOOKUP(MATCH(C20,lst_id,0),tao,'12(id)'!$U$20,FALSE)&amp;IF(VLOOKUP(MATCH(C20,lst_id,0),tao,'12(id)'!$U$20,FALSE)=1," Emission Unit"," Emission Units")))</f>
        <v>8 Emission Units</v>
      </c>
      <c r="Q57" s="9382"/>
      <c r="R57" s="10"/>
      <c r="S57" s="10"/>
      <c r="T57" s="9335" t="str">
        <f>+IF(OR(C20="",C20=0,C20&gt;25),"",IF(VLOOKUP(MATCH(C20,lst_id,0),tao,'12(id)'!$V$20,FALSE)="","",IF(VLOOKUP(MATCH(C20,lst_id,0),tao,'12(id)'!$V$20,FALSE)=2,VLOOKUP(MATCH(C20,lst_id,0),tao,'12(id)'!$U$20,FALSE)/VLOOKUP(MATCH(C20,lst_id,0),tao,'12(id)'!$V$20,FALSE)&amp;" Twin-pack Modules","")))</f>
        <v>4 Twin-pack Modules</v>
      </c>
      <c r="U57" s="9336"/>
      <c r="V57" s="9336"/>
      <c r="W57" s="9336"/>
      <c r="X57" s="9337"/>
      <c r="Y57" s="10"/>
      <c r="Z57" s="10"/>
      <c r="AA57" s="10"/>
      <c r="AB57" s="10"/>
      <c r="AC57" s="10"/>
      <c r="AD57" s="10"/>
      <c r="AE57" s="10"/>
      <c r="AH57" s="5134"/>
      <c r="AI57" s="5134"/>
      <c r="AJ57" s="5134"/>
    </row>
    <row r="58" spans="1:36" s="2" customFormat="1">
      <c r="A58" s="5134"/>
      <c r="B58" s="5134"/>
      <c r="C58" s="5132"/>
      <c r="D58" s="5134"/>
      <c r="E58" s="5134"/>
      <c r="F58" s="5131"/>
      <c r="G58" s="6"/>
      <c r="N58" s="10"/>
      <c r="O58" s="10"/>
      <c r="P58" s="7407"/>
      <c r="Q58" s="7407"/>
      <c r="R58" s="10"/>
      <c r="S58" s="10"/>
      <c r="T58" s="5161"/>
      <c r="U58" s="5161"/>
      <c r="V58" s="5161"/>
      <c r="W58" s="5161"/>
      <c r="X58" s="5161"/>
      <c r="Y58" s="10"/>
      <c r="Z58" s="10"/>
      <c r="AA58" s="10"/>
      <c r="AB58" s="10"/>
      <c r="AC58" s="10"/>
      <c r="AD58" s="10"/>
      <c r="AE58" s="10"/>
      <c r="AH58" s="5134"/>
      <c r="AI58" s="5134"/>
      <c r="AJ58" s="5134"/>
    </row>
    <row r="59" spans="1:36" s="2" customFormat="1" ht="12.75" customHeight="1">
      <c r="A59" s="5134"/>
      <c r="B59" s="5134"/>
      <c r="C59" s="5132"/>
      <c r="D59" s="5134"/>
      <c r="E59" s="5134"/>
      <c r="F59" s="5131"/>
      <c r="G59" s="2" t="s">
        <v>900</v>
      </c>
      <c r="N59" s="10"/>
      <c r="O59" s="10"/>
      <c r="P59" s="9404" t="str">
        <f>+IF(OR(C20="",C20=0,C20&gt;25),"",IF(VLOOKUP(MATCH(C20,lst_id,0),tao,'12(id)'!$CS$20,FALSE)="","",VLOOKUP(MATCH(C20,lst_id,0),tao,'12(id)'!$CS$20,FALSE)))</f>
        <v>Eight (four twin-packs) identical simple cycle gas turbine engine; two turbines per generator operating simultaneously, each turbine has its own stack</v>
      </c>
      <c r="Q59" s="9405"/>
      <c r="R59" s="9405"/>
      <c r="S59" s="9405"/>
      <c r="T59" s="9405"/>
      <c r="U59" s="9405"/>
      <c r="V59" s="9405"/>
      <c r="W59" s="9405"/>
      <c r="X59" s="9405"/>
      <c r="Y59" s="9405"/>
      <c r="Z59" s="9405"/>
      <c r="AA59" s="9405"/>
      <c r="AB59" s="9405"/>
      <c r="AC59" s="9405"/>
      <c r="AD59" s="9405"/>
      <c r="AE59" s="9406"/>
      <c r="AH59" s="5134"/>
      <c r="AI59" s="5134"/>
      <c r="AJ59" s="5134"/>
    </row>
    <row r="60" spans="1:36" s="2" customFormat="1">
      <c r="A60" s="5134"/>
      <c r="B60" s="5134"/>
      <c r="C60" s="5132"/>
      <c r="D60" s="5134"/>
      <c r="E60" s="5134"/>
      <c r="F60" s="5131"/>
      <c r="N60" s="10"/>
      <c r="O60" s="10"/>
      <c r="P60" s="9404"/>
      <c r="Q60" s="9405"/>
      <c r="R60" s="9405"/>
      <c r="S60" s="9405"/>
      <c r="T60" s="9405"/>
      <c r="U60" s="9405"/>
      <c r="V60" s="9405"/>
      <c r="W60" s="9405"/>
      <c r="X60" s="9405"/>
      <c r="Y60" s="9405"/>
      <c r="Z60" s="9405"/>
      <c r="AA60" s="9405"/>
      <c r="AB60" s="9405"/>
      <c r="AC60" s="9405"/>
      <c r="AD60" s="9405"/>
      <c r="AE60" s="9406"/>
      <c r="AH60" s="5134"/>
      <c r="AI60" s="5134"/>
      <c r="AJ60" s="5134"/>
    </row>
    <row r="61" spans="1:36" s="2" customFormat="1">
      <c r="A61" s="5134"/>
      <c r="B61" s="5134"/>
      <c r="C61" s="5132"/>
      <c r="D61" s="5134"/>
      <c r="E61" s="5134"/>
      <c r="F61" s="5131"/>
      <c r="N61" s="10"/>
      <c r="O61" s="10"/>
      <c r="P61" s="10"/>
      <c r="Q61" s="10"/>
      <c r="R61" s="10"/>
      <c r="S61" s="10"/>
      <c r="T61" s="10"/>
      <c r="U61" s="10"/>
      <c r="V61" s="10"/>
      <c r="W61" s="10"/>
      <c r="X61" s="10"/>
      <c r="Y61" s="10"/>
      <c r="Z61" s="10"/>
      <c r="AA61" s="10"/>
      <c r="AB61" s="10"/>
      <c r="AC61" s="10"/>
      <c r="AD61" s="10"/>
      <c r="AE61" s="10"/>
      <c r="AH61" s="5134"/>
      <c r="AI61" s="5134"/>
      <c r="AJ61" s="5134"/>
    </row>
    <row r="62" spans="1:36" s="2" customFormat="1">
      <c r="A62" s="5134"/>
      <c r="B62" s="5134"/>
      <c r="C62" s="5132"/>
      <c r="D62" s="5134"/>
      <c r="E62" s="5134"/>
      <c r="F62" s="5131"/>
      <c r="G62" s="2" t="str">
        <f>+'12(id)'!P18</f>
        <v>TA&amp;O Unit Registration Tag</v>
      </c>
      <c r="N62" s="10"/>
      <c r="O62" s="10"/>
      <c r="P62" s="9429" t="str">
        <f>+IF(OR(C20="",C20=0,C20&gt;25),"",IF(VLOOKUP(MATCH(C20,lst_id,0),tao,'12(id)'!$P$20,FALSE)="","",VLOOKUP(MATCH(C20,lst_id,0),tao,'12(id)'!$P$20,FALSE))&amp;IF(VLOOKUP(MATCH(C20,lst_id,0),tao,'12(id)'!$U$20,FALSE)=1,"",IF(MATCH(C20,lst_id,0)+1&gt;MATCH(C20,lst_id,0)-1+VLOOKUP(MATCH(C20,lst_id,0),tao,'12(id)'!$U$20,FALSE),"",", "&amp;RIGHT(VLOOKUP(MATCH(C20,lst_id,0)+1,tao,'12(id)'!$P$20,FALSE),3))&amp;IF(MATCH(C20,lst_id,0)+2&gt;MATCH(C20,lst_id,0)-1+VLOOKUP(MATCH(C20,lst_id,0),tao,'12(id)'!$U$20,FALSE),"",", "&amp;RIGHT(VLOOKUP(MATCH(C20,lst_id,0)+2,tao,'12(id)'!$P$20,FALSE),3))&amp;IF(MATCH(C20,lst_id,0)+3&gt;MATCH(C20,lst_id,0)-1+VLOOKUP(MATCH(C20,lst_id,0),tao,'12(id)'!$U$20,FALSE),"",", "&amp;RIGHT(VLOOKUP(MATCH(C20,lst_id,0)+3,tao,'12(id)'!$P$20,FALSE),3))&amp;IF(MATCH(C20,lst_id,0)+4&gt;MATCH(C20,lst_id,0)-1+VLOOKUP(MATCH(C20,lst_id,0),tao,'12(id)'!$U$20,FALSE),"",", "&amp;RIGHT(VLOOKUP(MATCH(C20,lst_id,0)+4,tao,'12(id)'!$P$20,FALSE),3))&amp;IF(MATCH(C20,lst_id,0)+5&gt;MATCH(C20,lst_id,0)-1+VLOOKUP(MATCH(C20,lst_id,0),tao,'12(id)'!$U$20,FALSE),"",", "&amp;RIGHT(VLOOKUP(MATCH(C20,lst_id,0)+5,tao,'12(id)'!$P$20,FALSE),3))&amp;IF(MATCH(C20,lst_id,0)+6&gt;MATCH(C20,lst_id,0)-1+VLOOKUP(MATCH(C20,lst_id,0),tao,'12(id)'!$U$20,FALSE),"",", "&amp;RIGHT(VLOOKUP(MATCH(C20,lst_id,0)+6,tao,'12(id)'!$P$20,FALSE),3))&amp;IF(MATCH(C20,lst_id,0)+7&gt;MATCH(C20,lst_id,0)-1+VLOOKUP(MATCH(C20,lst_id,0),tao,'12(id)'!$U$20,FALSE),"",", "&amp;RIGHT(VLOOKUP(MATCH(C20,lst_id,0)+7,tao,'12(id)'!$P$20,FALSE),3))&amp;IF(MATCH(C20,lst_id,0)+8&gt;MATCH(C20,lst_id,0)-1+VLOOKUP(MATCH(C20,lst_id,0),tao,'12(id)'!$U$20,FALSE),"",", "&amp;RIGHT(VLOOKUP(MATCH(C20,lst_id,0)+8,tao,'12(id)'!$P$20,FALSE),3))&amp;IF(MATCH(C20,lst_id,0)+9&gt;MATCH(C20,lst_id,0)-1+VLOOKUP(MATCH(C20,lst_id,0),tao,'12(id)'!$U$20,FALSE),"",", "&amp;RIGHT(VLOOKUP(MATCH(C20,lst_id,0)+9,tao,'12(id)'!$P$20,FALSE),3))&amp;IF(MATCH(C20,lst_id,0)+10&gt;MATCH(C20,lst_id,0)-1+VLOOKUP(MATCH(C20,lst_id,0),tao,'12(id)'!$U$20,FALSE),"",", "&amp;RIGHT(VLOOKUP(MATCH(C20,lst_id,0)+10,tao,'12(id)'!$P$20,FALSE),3))))</f>
        <v>11A, 11B, 12A, 12B, 13A, 13B, 14A, 14B</v>
      </c>
      <c r="Q62" s="9430"/>
      <c r="R62" s="9430"/>
      <c r="S62" s="9430"/>
      <c r="T62" s="9430"/>
      <c r="U62" s="9430"/>
      <c r="V62" s="9430"/>
      <c r="W62" s="9430"/>
      <c r="X62" s="9430"/>
      <c r="Y62" s="9430"/>
      <c r="Z62" s="9430"/>
      <c r="AA62" s="9430"/>
      <c r="AB62" s="9430"/>
      <c r="AC62" s="9430"/>
      <c r="AD62" s="9430"/>
      <c r="AE62" s="9431"/>
      <c r="AH62" s="5134"/>
      <c r="AI62" s="5134"/>
      <c r="AJ62" s="5134"/>
    </row>
    <row r="63" spans="1:36" s="2" customFormat="1">
      <c r="A63" s="5134"/>
      <c r="B63" s="5134"/>
      <c r="C63" s="5132"/>
      <c r="D63" s="5134"/>
      <c r="E63" s="5134"/>
      <c r="F63" s="5131"/>
      <c r="G63" s="2" t="s">
        <v>1505</v>
      </c>
      <c r="K63" s="299" t="str">
        <f>+IF(OR(C20="",C20=0,C20&gt;25),"",IF(VLOOKUP(MATCH(C20,lst_id,0),tao,'12(id)'!$Q$20,FALSE)="","",VLOOKUP(MATCH(C20,lst_id,0),tao,'12(id)'!$Q$20,FALSE))&amp;IF(VLOOKUP(MATCH(C20,lst_id,0),tao,'12(id)'!$U$20,FALSE)=1,"",IF(MATCH(C20,lst_id,0)+1&gt;MATCH(C20,lst_id,0)-1+VLOOKUP(MATCH(C20,lst_id,0),tao,'12(id)'!$U$20,FALSE),"",", "&amp;VLOOKUP(MATCH(C20,lst_id,0)+1,tao,'12(id)'!$Q$20,FALSE))&amp;IF(MATCH(C20,lst_id,0)+2&gt;MATCH(C20,lst_id,0)-1+VLOOKUP(MATCH(C20,lst_id,0),tao,'12(id)'!$U$20,FALSE),"",", "&amp;VLOOKUP(MATCH(C20,lst_id,0)+2,tao,'12(id)'!$Q$20,FALSE))&amp;IF(MATCH(C20,lst_id,0)+3&gt;MATCH(C20,lst_id,0)-1+VLOOKUP(MATCH(C20,lst_id,0),tao,'12(id)'!$U$20,FALSE),"",", "&amp;VLOOKUP(MATCH(C20,lst_id,0)+3,tao,'12(id)'!$Q$20,FALSE))&amp;IF(MATCH(C20,lst_id,0)+4&gt;MATCH(C20,lst_id,0)-1+VLOOKUP(MATCH(C20,lst_id,0),tao,'12(id)'!$U$20,FALSE),"",", "&amp;VLOOKUP(MATCH(C20,lst_id,0)+4,tao,'12(id)'!$Q$20,FALSE))&amp;IF(MATCH(C20,lst_id,0)+5&gt;MATCH(C20,lst_id,0)-1+VLOOKUP(MATCH(C20,lst_id,0),tao,'12(id)'!$U$20,FALSE),"",", "&amp;VLOOKUP(MATCH(C20,lst_id,0)+5,tao,'12(id)'!$Q$20,FALSE))&amp;IF(MATCH(C20,lst_id,0)+6&gt;MATCH(C20,lst_id,0)-1+VLOOKUP(MATCH(C20,lst_id,0),tao,'12(id)'!$U$20,FALSE),"",", "&amp;VLOOKUP(MATCH(C20,lst_id,0)+6,tao,'12(id)'!$Q$20,FALSE))&amp;IF(MATCH(C20,lst_id,0)+7&gt;MATCH(C20,lst_id,0)-1+VLOOKUP(MATCH(C20,lst_id,0),tao,'12(id)'!$U$20,FALSE),"",", "&amp;VLOOKUP(MATCH(C20,lst_id,0)+7,tao,'12(id)'!$Q$20,FALSE))&amp;IF(MATCH(C20,lst_id,0)+8&gt;MATCH(C20,lst_id,0)-1+VLOOKUP(MATCH(C20,lst_id,0),tao,'12(id)'!$U$20,FALSE),"",", "&amp;VLOOKUP(MATCH(C20,lst_id,0)+8,tao,'12(id)'!$Q$20,FALSE))&amp;IF(MATCH(C20,lst_id,0)+9&gt;MATCH(C20,lst_id,0)-1+VLOOKUP(MATCH(C20,lst_id,0),tao,'12(id)'!$U$20,FALSE),"",", "&amp;VLOOKUP(MATCH(C20,lst_id,0)+9,tao,'12(id)'!$Q$20,FALSE))&amp;IF(MATCH(C20,lst_id,0)+10&gt;MATCH(C20,lst_id,0)-1+VLOOKUP(MATCH(C20,lst_id,0),tao,'12(id)'!$U$20,FALSE),"",", "&amp;VLOOKUP(MATCH(C20,lst_id,0)+10,tao,'12(id)'!$Q$20,FALSE))))</f>
        <v>11A, 11B, 12A, 12B, 13A, 13B, 14A, 14B</v>
      </c>
      <c r="L63" s="300" t="s">
        <v>1506</v>
      </c>
      <c r="N63" s="10"/>
      <c r="O63" s="10"/>
      <c r="P63" s="9417" t="str">
        <f>+IF(OR(C20="",C20=0,C20&gt;25),"",IF(K63=P62,"(same as above)",K63))</f>
        <v>(same as above)</v>
      </c>
      <c r="Q63" s="9418"/>
      <c r="R63" s="9418"/>
      <c r="S63" s="9418"/>
      <c r="T63" s="9418"/>
      <c r="U63" s="9418"/>
      <c r="V63" s="9418"/>
      <c r="W63" s="9418"/>
      <c r="X63" s="9418"/>
      <c r="Y63" s="9418"/>
      <c r="Z63" s="9418"/>
      <c r="AA63" s="9418"/>
      <c r="AB63" s="9418"/>
      <c r="AC63" s="9418"/>
      <c r="AD63" s="9418"/>
      <c r="AE63" s="9419"/>
      <c r="AH63" s="5134"/>
      <c r="AI63" s="5134"/>
      <c r="AJ63" s="5134"/>
    </row>
    <row r="64" spans="1:36" s="2" customFormat="1">
      <c r="A64" s="5134"/>
      <c r="B64" s="5134"/>
      <c r="C64" s="5132"/>
      <c r="D64" s="5134"/>
      <c r="E64" s="5134"/>
      <c r="F64" s="5131"/>
      <c r="G64" s="2" t="str">
        <f>+'12(id)'!Y18</f>
        <v>Refer to:</v>
      </c>
      <c r="N64" s="10"/>
      <c r="O64" s="10"/>
      <c r="P64" s="9420" t="str">
        <f>+IF(OR(C20="",C20=0,C20&gt;25),"",IF(VLOOKUP(MATCH(C20,lst_id,0),tao,'12(id)'!$Y$20,FALSE)="","",VLOOKUP(MATCH(C20,lst_id,0),tao,'12(id)'!$Y$20,FALSE)))</f>
        <v>Single turbine within a twin pack module</v>
      </c>
      <c r="Q64" s="9421"/>
      <c r="R64" s="9421"/>
      <c r="S64" s="9421"/>
      <c r="T64" s="9421"/>
      <c r="U64" s="9421"/>
      <c r="V64" s="9421"/>
      <c r="W64" s="9421"/>
      <c r="X64" s="9421"/>
      <c r="Y64" s="9421"/>
      <c r="Z64" s="9421"/>
      <c r="AA64" s="9421"/>
      <c r="AB64" s="9421"/>
      <c r="AC64" s="9421"/>
      <c r="AD64" s="9421"/>
      <c r="AE64" s="9422"/>
      <c r="AH64" s="5134"/>
      <c r="AI64" s="5134"/>
      <c r="AJ64" s="5134"/>
    </row>
    <row r="65" spans="1:36" s="2" customFormat="1">
      <c r="A65" s="5134"/>
      <c r="B65" s="5134"/>
      <c r="C65" s="5132"/>
      <c r="D65" s="5134"/>
      <c r="E65" s="5134"/>
      <c r="F65" s="5131"/>
      <c r="N65" s="10"/>
      <c r="O65" s="10"/>
      <c r="P65" s="30"/>
      <c r="Q65" s="30"/>
      <c r="R65" s="10"/>
      <c r="S65" s="10"/>
      <c r="T65" s="10"/>
      <c r="U65" s="10"/>
      <c r="V65" s="10"/>
      <c r="W65" s="10"/>
      <c r="X65" s="10"/>
      <c r="Y65" s="10"/>
      <c r="Z65" s="10"/>
      <c r="AA65" s="10"/>
      <c r="AB65" s="10"/>
      <c r="AC65" s="10"/>
      <c r="AD65" s="10"/>
      <c r="AE65" s="10"/>
      <c r="AH65" s="5134"/>
      <c r="AI65" s="5134"/>
      <c r="AJ65" s="5134"/>
    </row>
    <row r="66" spans="1:36" s="2" customFormat="1">
      <c r="A66" s="5134"/>
      <c r="B66" s="5134"/>
      <c r="C66" s="5132"/>
      <c r="D66" s="5134"/>
      <c r="E66" s="5134"/>
      <c r="F66" s="5131"/>
      <c r="G66" s="2" t="str">
        <f>+'12(id)'!Z18</f>
        <v>DEEP Registration type</v>
      </c>
      <c r="N66" s="10"/>
      <c r="O66" s="10"/>
      <c r="P66" s="9387" t="str">
        <f>+IF(OR(C20="",C20=0,C20&gt;25),"",IF(VLOOKUP(MATCH(C20,lst_id,0),tao,'12(id)'!$Z$20,FALSE)="","",VLOOKUP(MATCH(C20,lst_id,0),tao,'12(id)'!$Z$20,FALSE)))</f>
        <v>Registration</v>
      </c>
      <c r="Q66" s="9388"/>
      <c r="R66" s="10"/>
      <c r="S66" s="10"/>
      <c r="T66" s="10"/>
      <c r="U66" s="10"/>
      <c r="V66" s="10"/>
      <c r="W66" s="10"/>
      <c r="X66" s="10"/>
      <c r="Y66" s="10"/>
      <c r="Z66" s="10"/>
      <c r="AA66" s="10"/>
      <c r="AB66" s="10"/>
      <c r="AC66" s="10"/>
      <c r="AD66" s="10"/>
      <c r="AE66" s="10"/>
      <c r="AH66" s="5134"/>
      <c r="AI66" s="5134"/>
      <c r="AJ66" s="5134"/>
    </row>
    <row r="67" spans="1:36" s="2" customFormat="1">
      <c r="A67" s="5134"/>
      <c r="B67" s="5134"/>
      <c r="C67" s="5132"/>
      <c r="D67" s="5134"/>
      <c r="E67" s="5134"/>
      <c r="F67" s="5131"/>
      <c r="G67" s="2" t="str">
        <f>+'12(id)'!AA18</f>
        <v>DEEP Registration No.</v>
      </c>
      <c r="N67" s="10"/>
      <c r="O67" s="10"/>
      <c r="P67" s="9402" t="str">
        <f>+IF(OR(C20="",C20=0,C20&gt;25),"",IF(VLOOKUP(MATCH(C20,lst_id,0),tao,'12(id)'!$AA$20,FALSE)="","",VLOOKUP(MATCH(C20,lst_id,0),tao,'12(id)'!$AA$20,FALSE)&amp;IF(VLOOKUP(MATCH(C20,lst_id,0),tao,'12(id)'!$U$20,FALSE)=1,"",IF(MATCH(C20,lst_id,0)+1&gt;MATCH(C20,lst_id,0)-1+VLOOKUP(MATCH(C20,lst_id,0),tao,'12(id)'!$U$20,FALSE),"",", "&amp;RIGHT(VLOOKUP(MATCH(C20,lst_id,0)+1,tao,'12(id)'!$AA$20,FALSE),3))&amp;IF(MATCH(C20,lst_id,0)+2&gt;MATCH(C20,lst_id,0)-1+VLOOKUP(MATCH(C20,lst_id,0),tao,'12(id)'!$U$20,FALSE),"",", "&amp;RIGHT(VLOOKUP(MATCH(C20,lst_id,0)+2,tao,'12(id)'!$AA$20,FALSE),3))&amp;IF(MATCH(C20,lst_id,0)+3&gt;MATCH(C20,lst_id,0)-1+VLOOKUP(MATCH(C20,lst_id,0),tao,'12(id)'!$U$20,FALSE),"",", "&amp;RIGHT(VLOOKUP(MATCH(C20,lst_id,0)+3,tao,'12(id)'!$AA$20,FALSE),3))&amp;IF(MATCH(C20,lst_id,0)+4&gt;MATCH(C20,lst_id,0)-1+VLOOKUP(MATCH(C20,lst_id,0),tao,'12(id)'!$U$20,FALSE),"",", "&amp;RIGHT(VLOOKUP(MATCH(C20,lst_id,0)+4,tao,'12(id)'!$AA$20,FALSE),3))&amp;IF(MATCH(C20,lst_id,0)+5&gt;MATCH(C20,lst_id,0)-1+VLOOKUP(MATCH(C20,lst_id,0),tao,'12(id)'!$U$20,FALSE),"",", "&amp;RIGHT(VLOOKUP(MATCH(C20,lst_id,0)+5,tao,'12(id)'!$AA$20,FALSE),3))&amp;IF(MATCH(C20,lst_id,0)+6&gt;MATCH(C20,lst_id,0)-1+VLOOKUP(MATCH(C20,lst_id,0),tao,'12(id)'!$U$20,FALSE),"",", "&amp;RIGHT(VLOOKUP(MATCH(C20,lst_id,0)+6,tao,'12(id)'!$AA$20,FALSE),3))&amp;IF(MATCH(C20,lst_id,0)+7&gt;MATCH(C20,lst_id,0)-1+VLOOKUP(MATCH(C20,lst_id,0),tao,'12(id)'!$U$20,FALSE),"",", "&amp;RIGHT(VLOOKUP(MATCH(C20,lst_id,0)+7,tao,'12(id)'!$AA$20,FALSE),3))&amp;IF(MATCH(C20,lst_id,0)+8&gt;MATCH(C20,lst_id,0)-1+VLOOKUP(MATCH(C20,lst_id,0),tao,'12(id)'!$U$20,FALSE),"",", "&amp;RIGHT(VLOOKUP(MATCH(C20,lst_id,0)+8,tao,'12(id)'!$AA$20,FALSE),3))&amp;IF(MATCH(C20,lst_id,0)+9&gt;MATCH(C20,lst_id,0)-1+VLOOKUP(MATCH(C20,lst_id,0),tao,'12(id)'!$U$20,FALSE),"",", "&amp;RIGHT(VLOOKUP(MATCH(C20,lst_id,0)+9,tao,'12(id)'!$AA$20,FALSE),3))&amp;IF(MATCH(C20,lst_id,0)+10&gt;MATCH(C20,lst_id,0)-1+VLOOKUP(MATCH(C20,lst_id,0),tao,'12(id)'!$U$20,FALSE),"",", "&amp;RIGHT(VLOOKUP(MATCH(C20,lst_id,0)+10,tao,'12(id)'!$AA$20,FALSE),3)))))</f>
        <v>R-075-0260, 261, 262, 263, 264, 265, 266, 267</v>
      </c>
      <c r="Q67" s="9453"/>
      <c r="R67" s="9453"/>
      <c r="S67" s="9453"/>
      <c r="T67" s="9453"/>
      <c r="U67" s="9453"/>
      <c r="V67" s="9453"/>
      <c r="W67" s="9453"/>
      <c r="X67" s="9453"/>
      <c r="Y67" s="9453"/>
      <c r="Z67" s="9453"/>
      <c r="AA67" s="9453"/>
      <c r="AB67" s="9453"/>
      <c r="AC67" s="9453"/>
      <c r="AD67" s="9453"/>
      <c r="AE67" s="9403"/>
      <c r="AH67" s="5134"/>
      <c r="AI67" s="5134"/>
      <c r="AJ67" s="5134"/>
    </row>
    <row r="68" spans="1:36" s="2" customFormat="1">
      <c r="A68" s="5134"/>
      <c r="B68" s="5134"/>
      <c r="C68" s="5132"/>
      <c r="D68" s="5134"/>
      <c r="E68" s="5134"/>
      <c r="F68" s="5131"/>
      <c r="G68" s="2" t="str">
        <f>+'12(id)'!AB18</f>
        <v>Date Issued</v>
      </c>
      <c r="N68" s="10"/>
      <c r="O68" s="10"/>
      <c r="P68" s="9400" t="str">
        <f>+IF(OR(C20="",C20=0,C20&gt;25),"",IF(VLOOKUP(MATCH(C20,lst_id,0),tao,'12(id)'!$AB$20,FALSE)="","",VLOOKUP(MATCH(C20,lst_id,0),tao,'12(id)'!$AB$20,FALSE)))</f>
        <v/>
      </c>
      <c r="Q68" s="9401"/>
      <c r="R68" s="10"/>
      <c r="S68" s="10"/>
      <c r="T68" s="10"/>
      <c r="U68" s="10"/>
      <c r="V68" s="10"/>
      <c r="W68" s="10"/>
      <c r="X68" s="10"/>
      <c r="Y68" s="10"/>
      <c r="Z68" s="10"/>
      <c r="AA68" s="10"/>
      <c r="AB68" s="10"/>
      <c r="AC68" s="10"/>
      <c r="AD68" s="10"/>
      <c r="AE68" s="10"/>
      <c r="AH68" s="5134"/>
      <c r="AI68" s="5134"/>
      <c r="AJ68" s="5134"/>
    </row>
    <row r="69" spans="1:36" s="2" customFormat="1">
      <c r="A69" s="5134"/>
      <c r="B69" s="5134"/>
      <c r="C69" s="5132"/>
      <c r="D69" s="5134"/>
      <c r="E69" s="5134"/>
      <c r="F69" s="5131"/>
      <c r="G69" s="2" t="s">
        <v>615</v>
      </c>
      <c r="N69" s="10"/>
      <c r="O69" s="10"/>
      <c r="P69" s="9400" t="str">
        <f>+IF(OR(C20="",C20=0,C20&gt;25),"",IF(VLOOKUP(MATCH(C20,lst_id,0),tao,'12(id)'!$AC$20,FALSE)="","",VLOOKUP(MATCH(C20,lst_id,0),tao,'12(id)'!$AC$20,FALSE)))</f>
        <v>None</v>
      </c>
      <c r="Q69" s="9401"/>
      <c r="R69" s="10"/>
      <c r="S69" s="10"/>
      <c r="T69" s="10"/>
      <c r="U69" s="10"/>
      <c r="V69" s="10"/>
      <c r="W69" s="10"/>
      <c r="X69" s="10"/>
      <c r="Y69" s="10"/>
      <c r="Z69" s="10"/>
      <c r="AA69" s="10"/>
      <c r="AB69" s="10"/>
      <c r="AC69" s="10"/>
      <c r="AD69" s="10"/>
      <c r="AE69" s="10"/>
      <c r="AH69" s="5134"/>
      <c r="AI69" s="5134"/>
      <c r="AJ69" s="5134"/>
    </row>
    <row r="70" spans="1:36" s="2" customFormat="1">
      <c r="A70" s="5134"/>
      <c r="B70" s="5134"/>
      <c r="C70" s="5132"/>
      <c r="D70" s="5134"/>
      <c r="E70" s="5134"/>
      <c r="F70" s="5131"/>
      <c r="N70" s="10"/>
      <c r="O70" s="10"/>
      <c r="P70" s="10"/>
      <c r="Q70" s="10"/>
      <c r="R70" s="10"/>
      <c r="S70" s="10"/>
      <c r="T70" s="10"/>
      <c r="U70" s="10"/>
      <c r="V70" s="10"/>
      <c r="W70" s="10"/>
      <c r="X70" s="10"/>
      <c r="Y70" s="10"/>
      <c r="Z70" s="10"/>
      <c r="AA70" s="10"/>
      <c r="AB70" s="10"/>
      <c r="AC70" s="10"/>
      <c r="AD70" s="10"/>
      <c r="AE70" s="10"/>
      <c r="AH70" s="5134"/>
      <c r="AI70" s="5134"/>
      <c r="AJ70" s="5134"/>
    </row>
    <row r="71" spans="1:36" s="2" customFormat="1">
      <c r="A71" s="5134"/>
      <c r="B71" s="5134"/>
      <c r="C71" s="5132"/>
      <c r="D71" s="5134"/>
      <c r="E71" s="5134"/>
      <c r="F71" s="5131"/>
      <c r="G71" s="2" t="s">
        <v>793</v>
      </c>
      <c r="N71" s="10"/>
      <c r="O71" s="10"/>
      <c r="P71" s="9454" t="str">
        <f>+IF(OR(C20="",C20=0,C20&gt;25),"",IF(VLOOKUP(MATCH(C20,lst_id,0),tao,'12(id)'!$T$20,FALSE)="","",VLOOKUP(MATCH(C20,lst_id,0),tao,'12(id)'!$T$20,FALSE)&amp;IF(VLOOKUP(MATCH(C20,lst_id,0),tao,'12(id)'!$CN$20,FALSE)="",""," with in-line "&amp;VLOOKUP(MATCH(C20,lst_id,0),tao,'12(id)'!$CN$20,FALSE))))</f>
        <v>Combustion Turbine</v>
      </c>
      <c r="Q71" s="9455"/>
      <c r="R71" s="10"/>
      <c r="S71" s="10"/>
      <c r="T71" s="10"/>
      <c r="U71" s="10"/>
      <c r="V71" s="10"/>
      <c r="W71" s="10"/>
      <c r="X71" s="10"/>
      <c r="Y71" s="10"/>
      <c r="Z71" s="10"/>
      <c r="AA71" s="10"/>
      <c r="AB71" s="10"/>
      <c r="AC71" s="10"/>
      <c r="AD71" s="10"/>
      <c r="AE71" s="10"/>
      <c r="AH71" s="5134"/>
      <c r="AI71" s="5134"/>
      <c r="AJ71" s="5134"/>
    </row>
    <row r="72" spans="1:36" s="2" customFormat="1">
      <c r="A72" s="5134"/>
      <c r="B72" s="5134"/>
      <c r="C72" s="5132"/>
      <c r="D72" s="5134"/>
      <c r="E72" s="5134"/>
      <c r="F72" s="5131"/>
      <c r="G72" s="2" t="s">
        <v>795</v>
      </c>
      <c r="N72" s="10"/>
      <c r="O72" s="10"/>
      <c r="P72" s="9454" t="str">
        <f>+IF(OR(C20="",C20=0,C20&gt;25),"",IF(VLOOKUP(MATCH(C20,lst_id,0),tao,'12(id)'!$CO$20,FALSE)="","",VLOOKUP(MATCH(C20,lst_id,0),tao,'12(id)'!$CO$20,FALSE)))</f>
        <v>Pratt &amp; Whitney</v>
      </c>
      <c r="Q72" s="9455"/>
      <c r="R72" s="10"/>
      <c r="S72" s="10"/>
      <c r="T72" s="10"/>
      <c r="U72" s="10"/>
      <c r="V72" s="10"/>
      <c r="W72" s="10"/>
      <c r="X72" s="10"/>
      <c r="Y72" s="10"/>
      <c r="Z72" s="10"/>
      <c r="AA72" s="10"/>
      <c r="AB72" s="10"/>
      <c r="AC72" s="10"/>
      <c r="AD72" s="10"/>
      <c r="AE72" s="10"/>
      <c r="AH72" s="5134"/>
      <c r="AI72" s="5134"/>
      <c r="AJ72" s="5134"/>
    </row>
    <row r="73" spans="1:36" s="2" customFormat="1">
      <c r="A73" s="5134"/>
      <c r="B73" s="5134"/>
      <c r="C73" s="5132"/>
      <c r="D73" s="5134"/>
      <c r="E73" s="5134"/>
      <c r="F73" s="5131"/>
      <c r="G73" s="2" t="s">
        <v>796</v>
      </c>
      <c r="N73" s="10"/>
      <c r="O73" s="10"/>
      <c r="P73" s="9335" t="str">
        <f>+IF(OR(C20="",C20=0,C20&gt;25),"",IF(VLOOKUP(MATCH(C20,lst_id,0),tao,'12(id)'!$CP$20,FALSE)="","",VLOOKUP(MATCH(C20,lst_id,0),tao,'12(id)'!$CP$20,FALSE)))</f>
        <v>TP4-2(A9) LF</v>
      </c>
      <c r="Q73" s="9337"/>
      <c r="R73" s="10"/>
      <c r="S73" s="10"/>
      <c r="T73" s="10"/>
      <c r="U73" s="10"/>
      <c r="V73" s="10"/>
      <c r="W73" s="10"/>
      <c r="X73" s="10"/>
      <c r="Y73" s="10"/>
      <c r="Z73" s="10"/>
      <c r="AA73" s="10"/>
      <c r="AB73" s="10"/>
      <c r="AC73" s="10"/>
      <c r="AD73" s="10"/>
      <c r="AE73" s="10"/>
      <c r="AH73" s="5134"/>
      <c r="AI73" s="5134"/>
      <c r="AJ73" s="5134"/>
    </row>
    <row r="74" spans="1:36" s="2" customFormat="1">
      <c r="A74" s="5134"/>
      <c r="B74" s="5134"/>
      <c r="C74" s="5132"/>
      <c r="D74" s="5134"/>
      <c r="E74" s="5134"/>
      <c r="F74" s="5131"/>
      <c r="G74" s="2" t="s">
        <v>900</v>
      </c>
      <c r="N74" s="10"/>
      <c r="O74" s="10"/>
      <c r="P74" s="9404" t="str">
        <f>+IF(OR(C20="",C20=0,C20&gt;25),"",IF(VLOOKUP(MATCH(C20,lst_id,0),tao,'12(id)'!$CR$20,FALSE)="","",VLOOKUP(MATCH(C20,lst_id,0),tao,'12(id)'!$CR$20,FALSE)))</f>
        <v>Twin pack with two simple cycle turbines (A &amp; B) running simultaneously</v>
      </c>
      <c r="Q74" s="9405"/>
      <c r="R74" s="9405"/>
      <c r="S74" s="9405"/>
      <c r="T74" s="9405"/>
      <c r="U74" s="9405"/>
      <c r="V74" s="9405"/>
      <c r="W74" s="9405"/>
      <c r="X74" s="9405"/>
      <c r="Y74" s="9405"/>
      <c r="Z74" s="9405"/>
      <c r="AA74" s="9405"/>
      <c r="AB74" s="9405"/>
      <c r="AC74" s="9405"/>
      <c r="AD74" s="9406"/>
      <c r="AE74" s="10"/>
      <c r="AH74" s="5134"/>
      <c r="AI74" s="5134"/>
      <c r="AJ74" s="5134"/>
    </row>
    <row r="75" spans="1:36" s="2" customFormat="1">
      <c r="A75" s="5134"/>
      <c r="B75" s="5134"/>
      <c r="C75" s="5132"/>
      <c r="D75" s="5134"/>
      <c r="E75" s="5134"/>
      <c r="F75" s="5131"/>
      <c r="N75" s="10"/>
      <c r="O75" s="10"/>
      <c r="P75" s="9404"/>
      <c r="Q75" s="9405"/>
      <c r="R75" s="9405"/>
      <c r="S75" s="9405"/>
      <c r="T75" s="9405"/>
      <c r="U75" s="9405"/>
      <c r="V75" s="9405"/>
      <c r="W75" s="9405"/>
      <c r="X75" s="9405"/>
      <c r="Y75" s="9405"/>
      <c r="Z75" s="9405"/>
      <c r="AA75" s="9405"/>
      <c r="AB75" s="9405"/>
      <c r="AC75" s="9405"/>
      <c r="AD75" s="9406"/>
      <c r="AE75" s="10"/>
      <c r="AH75" s="5134"/>
      <c r="AI75" s="5134"/>
      <c r="AJ75" s="5134"/>
    </row>
    <row r="76" spans="1:36">
      <c r="A76" s="5132"/>
      <c r="B76" s="5132"/>
      <c r="C76" s="5132"/>
      <c r="D76" s="5132"/>
      <c r="E76" s="5132"/>
      <c r="F76" s="5133"/>
    </row>
    <row r="77" spans="1:36" s="2" customFormat="1">
      <c r="A77" s="5134"/>
      <c r="B77" s="5134"/>
      <c r="C77" s="5132"/>
      <c r="D77" s="5134"/>
      <c r="E77" s="5134"/>
      <c r="F77" s="5131"/>
      <c r="G77" s="2" t="s">
        <v>798</v>
      </c>
      <c r="N77" s="10"/>
      <c r="O77" s="10"/>
      <c r="P77" s="9410">
        <f>+IF(OR(C20="",C20=0,C20&gt;25),"",IF(VLOOKUP(MATCH(C20,lst_id,0),tao,'12(id)'!$DD$20,FALSE)="","",VLOOKUP(MATCH(C20,lst_id,0),tao,'12(id)'!$DD$20,FALSE)))</f>
        <v>25569</v>
      </c>
      <c r="Q77" s="9411"/>
      <c r="R77" s="10"/>
      <c r="S77" s="10"/>
      <c r="T77" s="10"/>
      <c r="U77" s="10"/>
      <c r="V77" s="10"/>
      <c r="W77" s="10"/>
      <c r="X77" s="10"/>
      <c r="Y77" s="10"/>
      <c r="Z77" s="10"/>
      <c r="AA77" s="10"/>
      <c r="AB77" s="10"/>
      <c r="AC77" s="10"/>
      <c r="AD77" s="10"/>
      <c r="AE77" s="10"/>
      <c r="AH77" s="5134"/>
      <c r="AI77" s="5134"/>
      <c r="AJ77" s="5134"/>
    </row>
    <row r="78" spans="1:36" s="2" customFormat="1">
      <c r="A78" s="5134"/>
      <c r="B78" s="5134"/>
      <c r="C78" s="5132"/>
      <c r="D78" s="5134"/>
      <c r="E78" s="5134"/>
      <c r="F78" s="5131"/>
      <c r="G78" s="2" t="s">
        <v>800</v>
      </c>
      <c r="N78" s="10"/>
      <c r="O78" s="10"/>
      <c r="P78" s="9448" t="str">
        <f ca="1">+IF(OR(C20="",C20=0,C20&gt;25),"",IF(VLOOKUP(MATCH(C20,lst_id,0),tao,'12(id)'!$DE$20,FALSE)="","",ROUND(VLOOKUP(MATCH(C20,lst_id,0),tao,'12(id)'!$DE$20,FALSE),0)&amp;" years old"))</f>
        <v>45 years old</v>
      </c>
      <c r="Q78" s="9449"/>
      <c r="S78" s="10"/>
      <c r="T78" s="4370" t="str">
        <f>+IF(U78="","","Note:")</f>
        <v>Note:</v>
      </c>
      <c r="U78" s="9450" t="str">
        <f>+IF(OR(C20="",C20=0,C20&gt;25),"",IF(VLOOKUP(MATCH(C20,lst_id,0),tao,'12(id)'!$DF$20,FALSE)="","",VLOOKUP(MATCH(C20,lst_id,0),tao,'12(id)'!$DF$20,FALSE)))</f>
        <v>Limited aftermarket suppliers of parts</v>
      </c>
      <c r="V78" s="9451"/>
      <c r="W78" s="9451"/>
      <c r="X78" s="9451"/>
      <c r="Y78" s="9451"/>
      <c r="Z78" s="9451"/>
      <c r="AA78" s="9451"/>
      <c r="AB78" s="9451"/>
      <c r="AC78" s="9451"/>
      <c r="AD78" s="9451"/>
      <c r="AE78" s="9452"/>
      <c r="AH78" s="5134"/>
      <c r="AI78" s="5134"/>
      <c r="AJ78" s="5134"/>
    </row>
    <row r="79" spans="1:36" s="2" customFormat="1">
      <c r="A79" s="5134"/>
      <c r="B79" s="5134"/>
      <c r="C79" s="5132"/>
      <c r="D79" s="5134"/>
      <c r="E79" s="5134"/>
      <c r="F79" s="5131"/>
      <c r="N79" s="10"/>
      <c r="O79" s="10"/>
      <c r="P79" s="31"/>
      <c r="Q79" s="10"/>
      <c r="R79" s="10"/>
      <c r="S79" s="10"/>
      <c r="T79" s="4370"/>
      <c r="U79" s="4371"/>
      <c r="V79" s="10"/>
      <c r="W79" s="10"/>
      <c r="Y79" s="10"/>
      <c r="Z79" s="10"/>
      <c r="AA79" s="10"/>
      <c r="AB79" s="10"/>
      <c r="AC79" s="10"/>
      <c r="AD79" s="10"/>
      <c r="AE79" s="10"/>
      <c r="AH79" s="5134"/>
      <c r="AI79" s="5134"/>
      <c r="AJ79" s="5134"/>
    </row>
    <row r="80" spans="1:36" s="2" customFormat="1">
      <c r="A80" s="5134"/>
      <c r="B80" s="5134"/>
      <c r="C80" s="5132"/>
      <c r="D80" s="5134"/>
      <c r="E80" s="5134"/>
      <c r="F80" s="5131"/>
      <c r="G80" s="2" t="str">
        <f>+'12(id)'!CI17</f>
        <v>Application</v>
      </c>
      <c r="N80" s="10"/>
      <c r="O80" s="10"/>
      <c r="P80" s="9448" t="str">
        <f>+IF(OR(C20="",C20=0,C20&gt;25),"",IF(VLOOKUP(MATCH(C20,lst_id,0),tao,'12(id)'!$CI$20,FALSE)="","",VLOOKUP(MATCH(C20,lst_id,0),tao,'12(id)'!$CI$20,FALSE)))</f>
        <v>EGU</v>
      </c>
      <c r="Q80" s="9449"/>
      <c r="R80" s="10"/>
      <c r="S80" s="10"/>
      <c r="T80" s="4370" t="str">
        <f>+IF(U80="","","Unit Output:")</f>
        <v>Unit Output:</v>
      </c>
      <c r="U80" s="9450" t="str">
        <f>+IF(OR(C20="",C20=0,C20&gt;25),"",IF(VLOOKUP(MATCH(C20,lst_id,0),tao,'12(id)'!$CK$20,FALSE)="","",VLOOKUP(MATCH(C20,lst_id,0),tao,'12(id)'!$CK$20,FALSE)))</f>
        <v>Electric Services</v>
      </c>
      <c r="V80" s="9451"/>
      <c r="W80" s="9451"/>
      <c r="X80" s="9451"/>
      <c r="Y80" s="9451"/>
      <c r="Z80" s="9451"/>
      <c r="AA80" s="9451"/>
      <c r="AB80" s="9451"/>
      <c r="AC80" s="9451"/>
      <c r="AD80" s="9451"/>
      <c r="AE80" s="9452"/>
      <c r="AH80" s="5134"/>
      <c r="AI80" s="5134"/>
      <c r="AJ80" s="5134"/>
    </row>
    <row r="81" spans="1:36" s="2" customFormat="1">
      <c r="A81" s="5134"/>
      <c r="B81" s="5134"/>
      <c r="C81" s="5132"/>
      <c r="D81" s="5134"/>
      <c r="E81" s="5134"/>
      <c r="F81" s="5131"/>
      <c r="G81" s="2" t="s">
        <v>991</v>
      </c>
      <c r="P81" s="9335" t="str">
        <f>+IF(OR(C20="",C20=0,C20&gt;25),"",IF(VLOOKUP(MATCH(C20,lst_id,0),tao,'12(id)'!$CL$20,FALSE)="","",VLOOKUP(MATCH(C20,lst_id,0),tao,'12(id)'!$CL$20,FALSE)))</f>
        <v>Driven by turbines A and B operating simultaneously</v>
      </c>
      <c r="Q81" s="9336"/>
      <c r="R81" s="9336"/>
      <c r="S81" s="9336"/>
      <c r="T81" s="9336"/>
      <c r="U81" s="9336"/>
      <c r="V81" s="9336"/>
      <c r="W81" s="9336"/>
      <c r="X81" s="9336"/>
      <c r="Y81" s="9336"/>
      <c r="Z81" s="9336"/>
      <c r="AA81" s="9336"/>
      <c r="AB81" s="9336"/>
      <c r="AC81" s="9336"/>
      <c r="AD81" s="9336"/>
      <c r="AE81" s="9337"/>
      <c r="AH81" s="5134"/>
      <c r="AI81" s="5134"/>
      <c r="AJ81" s="5134"/>
    </row>
    <row r="82" spans="1:36" s="2" customFormat="1">
      <c r="A82" s="5134"/>
      <c r="B82" s="5134"/>
      <c r="C82" s="5132"/>
      <c r="D82" s="5134"/>
      <c r="E82" s="5134"/>
      <c r="F82" s="5131"/>
      <c r="P82" s="9335" t="str">
        <f>+IF(OR(C20="",C20=0,C20&gt;25),"",IF(VLOOKUP(MATCH(C20,lst_id,0),tao,'12(id)'!$CM$20,FALSE)="","",VLOOKUP(MATCH(C20,lst_id,0),tao,'12(id)'!$CM$20,FALSE)))</f>
        <v/>
      </c>
      <c r="Q82" s="9336"/>
      <c r="R82" s="9336"/>
      <c r="S82" s="9336"/>
      <c r="T82" s="9336"/>
      <c r="U82" s="9336"/>
      <c r="V82" s="9336"/>
      <c r="W82" s="9336"/>
      <c r="X82" s="9336"/>
      <c r="Y82" s="9336"/>
      <c r="Z82" s="9336"/>
      <c r="AA82" s="9336"/>
      <c r="AB82" s="9336"/>
      <c r="AC82" s="9336"/>
      <c r="AD82" s="9336"/>
      <c r="AE82" s="9337"/>
      <c r="AH82" s="5134"/>
      <c r="AI82" s="5134"/>
      <c r="AJ82" s="5134"/>
    </row>
    <row r="83" spans="1:36" s="2" customFormat="1">
      <c r="A83" s="5134"/>
      <c r="B83" s="5134"/>
      <c r="C83" s="5132"/>
      <c r="D83" s="5134"/>
      <c r="E83" s="5134"/>
      <c r="F83" s="5131"/>
      <c r="AH83" s="5134"/>
      <c r="AI83" s="5134"/>
      <c r="AJ83" s="5134"/>
    </row>
    <row r="84" spans="1:36" s="2" customFormat="1">
      <c r="A84" s="5134"/>
      <c r="B84" s="5134"/>
      <c r="C84" s="5132"/>
      <c r="D84" s="5134"/>
      <c r="E84" s="5134"/>
      <c r="F84" s="5131"/>
      <c r="AH84" s="5134"/>
      <c r="AI84" s="5134"/>
      <c r="AJ84" s="5134"/>
    </row>
    <row r="85" spans="1:36" s="2" customFormat="1">
      <c r="A85" s="5134"/>
      <c r="B85" s="5134"/>
      <c r="C85" s="5132"/>
      <c r="D85" s="5134"/>
      <c r="E85" s="5134"/>
      <c r="F85" s="5131"/>
      <c r="G85" s="2" t="str">
        <f>+'12(id)'!CW17</f>
        <v>Generator Name Plate Specifications</v>
      </c>
      <c r="P85" s="9471" t="str">
        <f>+IF(OR(C20="",C20=0,C20&gt;25),"",IF(VLOOKUP(MATCH(C20,lst_id,0),tao,'12(id)'!$CW$20,FALSE)="","",VLOOKUP(MATCH(C20,lst_id,0),tao,'12(id)'!$CW$20,FALSE)))</f>
        <v>46,000 kVA, 0.9 PF, 13,800 V, 3 Phase, 60 Hz</v>
      </c>
      <c r="Q85" s="9472"/>
      <c r="R85" s="9472"/>
      <c r="S85" s="9472"/>
      <c r="T85" s="9472"/>
      <c r="U85" s="9472"/>
      <c r="V85" s="9472"/>
      <c r="W85" s="9472"/>
      <c r="X85" s="9472"/>
      <c r="Y85" s="9472"/>
      <c r="Z85" s="9472"/>
      <c r="AA85" s="9472"/>
      <c r="AB85" s="9472"/>
      <c r="AC85" s="9472"/>
      <c r="AD85" s="9472"/>
      <c r="AE85" s="9473"/>
      <c r="AH85" s="5134"/>
      <c r="AI85" s="5134"/>
      <c r="AJ85" s="5134"/>
    </row>
    <row r="86" spans="1:36" s="2" customFormat="1">
      <c r="A86" s="5134"/>
      <c r="B86" s="5134"/>
      <c r="C86" s="5132"/>
      <c r="D86" s="5134"/>
      <c r="E86" s="5134"/>
      <c r="F86" s="5131"/>
      <c r="P86" s="21"/>
      <c r="Q86" s="21"/>
      <c r="AH86" s="5134"/>
      <c r="AI86" s="5134"/>
      <c r="AJ86" s="5134"/>
    </row>
    <row r="87" spans="1:36" s="2" customFormat="1">
      <c r="A87" s="5134"/>
      <c r="B87" s="5134"/>
      <c r="C87" s="5132"/>
      <c r="D87" s="5134"/>
      <c r="E87" s="5134"/>
      <c r="F87" s="5131"/>
      <c r="G87" s="2" t="str">
        <f>+'12(id)'!CT17</f>
        <v>Power Capacity</v>
      </c>
      <c r="P87" s="4378" t="str">
        <f>+IF(P88="","","Nominal")</f>
        <v>Nominal</v>
      </c>
      <c r="Q87" s="21"/>
      <c r="T87" s="4378" t="str">
        <f>+IF(T88="","",'12(id)'!CX18&amp;" ("&amp;VLOOKUP(MATCH(C20,lst_id,0),tao,'12(id)'!$CY$20,FALSE)&amp;")")</f>
        <v>Summer Output (at 90ºF)</v>
      </c>
      <c r="U87" s="10"/>
      <c r="V87" s="10"/>
      <c r="W87" s="10"/>
      <c r="X87" s="10"/>
      <c r="Y87" s="10"/>
      <c r="Z87" s="10"/>
      <c r="AA87" s="4378" t="str">
        <f>+IF(AA88="","",'12(id)'!CZ18&amp;" ("&amp;VLOOKUP(MATCH(C20,lst_id,0),tao,'12(id)'!$DA$20,FALSE)&amp;")")</f>
        <v>Winter Output (at 90ºF)</v>
      </c>
      <c r="AH87" s="5134"/>
      <c r="AI87" s="5134"/>
      <c r="AJ87" s="5134"/>
    </row>
    <row r="88" spans="1:36" s="2" customFormat="1">
      <c r="A88" s="5134"/>
      <c r="B88" s="5134"/>
      <c r="C88" s="5132"/>
      <c r="D88" s="5134"/>
      <c r="E88" s="5134"/>
      <c r="F88" s="5131"/>
      <c r="P88" s="9467" t="str">
        <f>+IF(OR(C20="",C20=0,C20&gt;25),"",IF(VLOOKUP(MATCH(C20,lst_id,0),tao,'12(id)'!$CT$20,FALSE)="","",VLOOKUP(MATCH(C20,lst_id,0),tao,'12(id)'!$CT$20,FALSE)&amp;" MW"))</f>
        <v>40 MW</v>
      </c>
      <c r="Q88" s="9468"/>
      <c r="T88" s="9335" t="str">
        <f>+IF(OR(C20="",C20=0,C20&gt;25),"",IF(VLOOKUP(MATCH(C20,lst_id,0),tao,'12(id)'!$CX$20,FALSE)="","",VLOOKUP(MATCH(C20,lst_id,0),tao,'12(id)'!$CX$20,FALSE)&amp;" MW"))</f>
        <v>19.3 MW</v>
      </c>
      <c r="U88" s="9336"/>
      <c r="V88" s="9336"/>
      <c r="W88" s="9336"/>
      <c r="X88" s="9337"/>
      <c r="AA88" s="9335" t="str">
        <f>+IF(OR(C20="",C20=0,C20&gt;25),"",IF(VLOOKUP(MATCH(C20,lst_id,0),tao,'12(id)'!$CZ$20,FALSE)="","",VLOOKUP(MATCH(C20,lst_id,0),tao,'12(id)'!$CZ$20,FALSE)&amp;" MW"))</f>
        <v>22.1 MW</v>
      </c>
      <c r="AB88" s="9336"/>
      <c r="AC88" s="9336"/>
      <c r="AD88" s="9336"/>
      <c r="AE88" s="9337"/>
      <c r="AH88" s="5134"/>
      <c r="AI88" s="5134"/>
      <c r="AJ88" s="5134"/>
    </row>
    <row r="89" spans="1:36" s="10" customFormat="1">
      <c r="A89" s="5134"/>
      <c r="B89" s="5134"/>
      <c r="C89" s="5132"/>
      <c r="D89" s="5134"/>
      <c r="E89" s="5134"/>
      <c r="F89" s="5131"/>
      <c r="G89" s="10" t="s">
        <v>912</v>
      </c>
      <c r="P89" s="9335" t="str">
        <f>+IF(OR(C20="",C20=0,C20&gt;25),"",IF(VLOOKUP(MATCH(C20,lst_id,0),tao,'12(id)'!$CQ$20,FALSE)="","","Per "&amp;IF(VLOOKUP(MATCH(C20,lst_id,0),tao,'12(id)'!$CQ$20,FALSE)="TP","Twin-Pack module","Emission Unit")))</f>
        <v>Per Twin-Pack module</v>
      </c>
      <c r="Q89" s="9337"/>
      <c r="AH89" s="5134"/>
      <c r="AI89" s="5134"/>
      <c r="AJ89" s="5134"/>
    </row>
    <row r="90" spans="1:36">
      <c r="A90" s="5132"/>
      <c r="B90" s="5132"/>
      <c r="C90" s="5132"/>
      <c r="D90" s="5132"/>
      <c r="E90" s="5132"/>
      <c r="F90" s="5133"/>
      <c r="G90" s="271" t="str">
        <f>+IF(P90="","","Facility Total Installed")</f>
        <v>Facility Total Installed</v>
      </c>
      <c r="P90" s="9469" t="str">
        <f>+IF(OR(C20="",C20=0,C20&gt;25),"",IF(VLOOKUP(MATCH(C20,lst_id,0),tao,'12(id)'!$CU$20,FALSE)="","",VLOOKUP(MATCH(C20,lst_id,0),tao,'12(id)'!$CU$20,FALSE)&amp;" MW"))</f>
        <v>160 MW</v>
      </c>
      <c r="Q90" s="9470"/>
    </row>
    <row r="91" spans="1:36">
      <c r="A91" s="5132"/>
      <c r="B91" s="5132"/>
      <c r="C91" s="5132"/>
      <c r="D91" s="5132"/>
      <c r="E91" s="5132"/>
      <c r="F91" s="5133"/>
      <c r="P91" s="5162"/>
      <c r="Q91" s="5162"/>
    </row>
    <row r="92" spans="1:36">
      <c r="A92" s="5132"/>
      <c r="B92" s="5132"/>
      <c r="C92" s="5132"/>
      <c r="D92" s="5132"/>
      <c r="E92" s="5132"/>
      <c r="F92" s="5133"/>
      <c r="G92" s="271" t="str">
        <f>+'12(id)'!CV17</f>
        <v>Nominal BTU Capacity</v>
      </c>
      <c r="P92" s="9380" t="str">
        <f>+IF(OR(C20="",C20=0,C20&gt;25),"",IF(VLOOKUP(MATCH(C20,lst_id,0),tao,'12(id)'!$CV$20,FALSE)="","",VLOOKUP(MATCH(C20,lst_id,0),tao,'12(id)'!$CV$20,FALSE)&amp;" MMBtu/hr"))</f>
        <v/>
      </c>
      <c r="Q92" s="9382"/>
    </row>
    <row r="93" spans="1:36">
      <c r="A93" s="5132"/>
      <c r="B93" s="5132"/>
      <c r="C93" s="5132"/>
      <c r="D93" s="5132"/>
      <c r="E93" s="5132"/>
      <c r="F93" s="5133"/>
      <c r="P93" s="5162"/>
      <c r="Q93" s="5162"/>
    </row>
    <row r="94" spans="1:36" s="2" customFormat="1">
      <c r="A94" s="5134"/>
      <c r="B94" s="5134"/>
      <c r="C94" s="5132"/>
      <c r="D94" s="5134"/>
      <c r="E94" s="5134"/>
      <c r="F94" s="5131"/>
      <c r="G94" s="2" t="s">
        <v>1939</v>
      </c>
      <c r="P94" s="9373" t="str">
        <f>+IF(OR(C20="",C20=0,C20&gt;25),"",IF(VLOOKUP(MATCH(C20,lst_id,0),tao,'12(id)'!$DH$20,FALSE)="","",VLOOKUP(MATCH(C20,lst_id,0),tao,'12(id)'!$DH$20,FALSE)))</f>
        <v>Kerosene A, #2 and other oils</v>
      </c>
      <c r="Q94" s="9374"/>
      <c r="R94" s="9357"/>
      <c r="S94" s="9357"/>
      <c r="T94" s="9357"/>
      <c r="U94" s="9357"/>
      <c r="V94" s="9357"/>
      <c r="W94" s="9357"/>
      <c r="X94" s="9357"/>
      <c r="Y94" s="9357"/>
      <c r="Z94" s="9357"/>
      <c r="AA94" s="9357"/>
      <c r="AB94" s="9357"/>
      <c r="AC94" s="9357"/>
      <c r="AD94" s="9357"/>
      <c r="AE94" s="9358"/>
      <c r="AH94" s="5134"/>
      <c r="AI94" s="5134"/>
      <c r="AJ94" s="5134"/>
    </row>
    <row r="95" spans="1:36" s="2" customFormat="1">
      <c r="A95" s="5134"/>
      <c r="B95" s="5134"/>
      <c r="C95" s="5132"/>
      <c r="D95" s="5134"/>
      <c r="E95" s="5134"/>
      <c r="F95" s="5131"/>
      <c r="AH95" s="5134"/>
      <c r="AI95" s="5134"/>
      <c r="AJ95" s="5134"/>
    </row>
    <row r="96" spans="1:36" s="2" customFormat="1">
      <c r="A96" s="5134"/>
      <c r="B96" s="5134"/>
      <c r="C96" s="5132"/>
      <c r="D96" s="5134"/>
      <c r="E96" s="5134"/>
      <c r="F96" s="5131"/>
      <c r="G96" s="2" t="s">
        <v>89</v>
      </c>
      <c r="P96" s="9361" t="str">
        <f>+IF(OR(C20="",C20=0,C20&gt;25),"",IF(VLOOKUP(MATCH(C20,lst_id,0),tao,'12(id)'!$DI$20,FALSE)="","",VLOOKUP(MATCH(C20,lst_id,0),tao,'12(id)'!$DI$20,FALSE)))</f>
        <v>Jet Fuel A (Kerosene K1)</v>
      </c>
      <c r="Q96" s="9358"/>
      <c r="T96" s="9361" t="str">
        <f>+IF(OR(C20="",C20=0,C20&gt;25),"",IF(VLOOKUP(MATCH(C20,lst_id,0),tao,'12(id)'!$DJ$20,FALSE)="","",VLOOKUP(MATCH(C20,lst_id,0),tao,'12(id)'!$DJ$20,FALSE)))</f>
        <v>per TitleV Permit &amp; Operator's Report</v>
      </c>
      <c r="U96" s="9357"/>
      <c r="V96" s="9357"/>
      <c r="W96" s="9357"/>
      <c r="X96" s="9357"/>
      <c r="Y96" s="9357"/>
      <c r="Z96" s="9357"/>
      <c r="AA96" s="9357"/>
      <c r="AB96" s="9357"/>
      <c r="AC96" s="9357"/>
      <c r="AD96" s="9357"/>
      <c r="AE96" s="9358"/>
      <c r="AH96" s="5134"/>
      <c r="AI96" s="5134"/>
      <c r="AJ96" s="5134"/>
    </row>
    <row r="97" spans="1:36" s="2" customFormat="1">
      <c r="A97" s="5134"/>
      <c r="B97" s="5134"/>
      <c r="C97" s="5132"/>
      <c r="D97" s="5134"/>
      <c r="E97" s="5134"/>
      <c r="F97" s="5131"/>
      <c r="G97" s="2" t="str">
        <f>+'12(id)'!DK17</f>
        <v>Fuel Rate</v>
      </c>
      <c r="P97" s="7411">
        <f>+IF(OR(C20="",C20=0,C20&gt;25),"",IF(VLOOKUP(MATCH(C20,lst_id,0),tao,'12(id)'!$DK$20,FALSE)="","",VLOOKUP(MATCH(C20,lst_id,0),tao,'12(id)'!$DK$20,FALSE)))</f>
        <v>1900</v>
      </c>
      <c r="Q97" s="5163" t="str">
        <f>+IF(OR(C20="",C20=0,C20&gt;25),"",IF(VLOOKUP(MATCH(C20,lst_id,0),tao,'12(id)'!$DK$20,FALSE)="","",VLOOKUP(MATCH(C20,lst_id,0),tao,'12(id)'!$DL$20,FALSE)))</f>
        <v>gal/hr</v>
      </c>
      <c r="T97" s="9361" t="str">
        <f>+IF(OR(C20="",C20=0,C20&gt;25),"",IF(VLOOKUP(MATCH(C20,lst_id,0),tao,'12(id)'!$DM$20,FALSE)="","",VLOOKUP(MATCH(C20,lst_id,0),tao,'12(id)'!$DM$20,FALSE)))</f>
        <v xml:space="preserve">per TitleV Permit </v>
      </c>
      <c r="U97" s="9357"/>
      <c r="V97" s="9357"/>
      <c r="W97" s="9357"/>
      <c r="X97" s="9357"/>
      <c r="Y97" s="9357"/>
      <c r="Z97" s="9357"/>
      <c r="AA97" s="9357"/>
      <c r="AB97" s="9357"/>
      <c r="AC97" s="9357"/>
      <c r="AD97" s="9357"/>
      <c r="AE97" s="9358"/>
      <c r="AH97" s="5134"/>
      <c r="AI97" s="5134"/>
      <c r="AJ97" s="5134"/>
    </row>
    <row r="98" spans="1:36" s="2" customFormat="1">
      <c r="A98" s="5134"/>
      <c r="B98" s="5134"/>
      <c r="C98" s="5132"/>
      <c r="D98" s="5134"/>
      <c r="E98" s="5134"/>
      <c r="F98" s="5131"/>
      <c r="G98" s="2" t="s">
        <v>419</v>
      </c>
      <c r="P98" s="7411">
        <f>+IF(OR(C20="",C20=0,C20&gt;25),"",IF(VLOOKUP(MATCH(C20,lst_id,0),tao,'12(id)'!$DN$20,FALSE)="","",VLOOKUP(MATCH(C20,lst_id,0),tao,'12(id)'!$DN$20,FALSE)))</f>
        <v>256</v>
      </c>
      <c r="Q98" s="5163" t="str">
        <f>+IF(P98="","","MMBtu/hr")</f>
        <v>MMBtu/hr</v>
      </c>
      <c r="T98" s="9361" t="str">
        <f>+IF(OR(C20="",C20=0,C20&gt;25),"",IF(VLOOKUP(MATCH(C20,lst_id,0),tao,'12(id)'!$DO$20,FALSE)="","",VLOOKUP(MATCH(C20,lst_id,0),tao,'12(id)'!$DO$20,FALSE)))</f>
        <v>per TA&amp;O</v>
      </c>
      <c r="U98" s="9357"/>
      <c r="V98" s="9357"/>
      <c r="W98" s="9357"/>
      <c r="X98" s="9357"/>
      <c r="Y98" s="9357"/>
      <c r="Z98" s="9357"/>
      <c r="AA98" s="9357"/>
      <c r="AB98" s="9357"/>
      <c r="AC98" s="9357"/>
      <c r="AD98" s="9357"/>
      <c r="AE98" s="9358"/>
      <c r="AH98" s="5134"/>
      <c r="AI98" s="5134"/>
      <c r="AJ98" s="5134"/>
    </row>
    <row r="99" spans="1:36" s="2" customFormat="1">
      <c r="A99" s="5134"/>
      <c r="B99" s="5134"/>
      <c r="C99" s="5132"/>
      <c r="D99" s="5134"/>
      <c r="E99" s="5134"/>
      <c r="F99" s="5131"/>
      <c r="AH99" s="5134"/>
      <c r="AI99" s="5134"/>
      <c r="AJ99" s="5134"/>
    </row>
    <row r="100" spans="1:36" s="2" customFormat="1">
      <c r="A100" s="5134"/>
      <c r="B100" s="5134"/>
      <c r="C100" s="5132"/>
      <c r="D100" s="5134"/>
      <c r="E100" s="5134"/>
      <c r="F100" s="5131"/>
      <c r="G100" s="2" t="str">
        <f>+'12(id)'!DQ17</f>
        <v>Secodary Fuel</v>
      </c>
      <c r="P100" s="9361" t="str">
        <f>+IF(OR(C20="",C20=0,C20&gt;25),"",IF(VLOOKUP(MATCH(C20,lst_id,0),tao,'12(id)'!$DQ$20,FALSE)="","",VLOOKUP(MATCH(C20,lst_id,0),tao,'12(id)'!$DQ$20,FALSE)))</f>
        <v>No. 2 oil</v>
      </c>
      <c r="Q100" s="9358"/>
      <c r="T100" s="9361" t="str">
        <f>+IF(OR(C20="",C20=0,C20&gt;25),"",IF(VLOOKUP(MATCH(C20,lst_id,0),tao,'12(id)'!$DR$20,FALSE)="","",VLOOKUP(MATCH(C20,lst_id,0),tao,'12(id)'!$DR$20,FALSE)))</f>
        <v>per TA&amp;O</v>
      </c>
      <c r="U100" s="9357"/>
      <c r="V100" s="9357"/>
      <c r="W100" s="9357"/>
      <c r="X100" s="9357"/>
      <c r="Y100" s="9357"/>
      <c r="Z100" s="9357"/>
      <c r="AA100" s="9357"/>
      <c r="AB100" s="9357"/>
      <c r="AC100" s="9357"/>
      <c r="AD100" s="9357"/>
      <c r="AE100" s="9358"/>
      <c r="AH100" s="5134"/>
      <c r="AI100" s="5134"/>
      <c r="AJ100" s="5134"/>
    </row>
    <row r="101" spans="1:36" s="2" customFormat="1">
      <c r="A101" s="5134"/>
      <c r="B101" s="5134"/>
      <c r="C101" s="5132"/>
      <c r="D101" s="5134"/>
      <c r="E101" s="5134"/>
      <c r="F101" s="5131"/>
      <c r="G101" s="2" t="str">
        <f>+G97</f>
        <v>Fuel Rate</v>
      </c>
      <c r="P101" s="7411">
        <f>+IF(OR(C20="",C20=0,C20&gt;25),"",IF(VLOOKUP(MATCH(C20,lst_id,0),tao,'12(id)'!$DS$20,FALSE)="","",VLOOKUP(MATCH(C20,lst_id,0),tao,'12(id)'!$DS$20,FALSE)))</f>
        <v>1900</v>
      </c>
      <c r="Q101" s="5163" t="str">
        <f>+IF(OR(C20="",C20=0,C20&gt;25),"",IF(VLOOKUP(MATCH(C20,lst_id,0),tao,'12(id)'!$DS$20,FALSE)="","",VLOOKUP(MATCH(C20,lst_id,0),tao,'12(id)'!$DT$20,FALSE)))</f>
        <v>gal/hr</v>
      </c>
      <c r="T101" s="9361" t="str">
        <f>+IF(OR(C20="",C20=0,C20&gt;25),"",IF(VLOOKUP(MATCH(C20,lst_id,0),tao,'12(id)'!$DU$20,FALSE)="","",VLOOKUP(MATCH(C20,lst_id,0),tao,'12(id)'!$DU$20,FALSE)))</f>
        <v/>
      </c>
      <c r="U101" s="9357"/>
      <c r="V101" s="9357"/>
      <c r="W101" s="9357"/>
      <c r="X101" s="9357"/>
      <c r="Y101" s="9357"/>
      <c r="Z101" s="9357"/>
      <c r="AA101" s="9357"/>
      <c r="AB101" s="9357"/>
      <c r="AC101" s="9357"/>
      <c r="AD101" s="9357"/>
      <c r="AE101" s="9358"/>
      <c r="AH101" s="5134"/>
      <c r="AI101" s="5134"/>
      <c r="AJ101" s="5134"/>
    </row>
    <row r="102" spans="1:36" s="2" customFormat="1">
      <c r="A102" s="5134"/>
      <c r="B102" s="5134"/>
      <c r="C102" s="5132"/>
      <c r="D102" s="5134"/>
      <c r="E102" s="5134"/>
      <c r="F102" s="5131"/>
      <c r="G102" s="2" t="s">
        <v>419</v>
      </c>
      <c r="P102" s="7411">
        <f>+IF(OR(C20="",C20=0,C20&gt;25),"",IF(VLOOKUP(MATCH(C20,lst_id,0),tao,'12(id)'!$DV$20,FALSE)="","",VLOOKUP(MATCH(C20,lst_id,0),tao,'12(id)'!$DV$20,FALSE)))</f>
        <v>256</v>
      </c>
      <c r="Q102" s="5163" t="str">
        <f>+IF(P102="","","MMBtu/hr")</f>
        <v>MMBtu/hr</v>
      </c>
      <c r="T102" s="9361" t="str">
        <f>+IF(OR(C20="",C20=0,C20&gt;25),"",IF(VLOOKUP(MATCH(C20,lst_id,0),tao,'12(id)'!$DW$20,FALSE)="","",VLOOKUP(MATCH(C20,lst_id,0),tao,'12(id)'!$DW$20,FALSE)))</f>
        <v>per TA&amp;O</v>
      </c>
      <c r="U102" s="9357"/>
      <c r="V102" s="9357"/>
      <c r="W102" s="9357"/>
      <c r="X102" s="9357"/>
      <c r="Y102" s="9357"/>
      <c r="Z102" s="9357"/>
      <c r="AA102" s="9357"/>
      <c r="AB102" s="9357"/>
      <c r="AC102" s="9357"/>
      <c r="AD102" s="9357"/>
      <c r="AE102" s="9358"/>
      <c r="AH102" s="5134"/>
      <c r="AI102" s="5134"/>
      <c r="AJ102" s="5134"/>
    </row>
    <row r="103" spans="1:36" s="2" customFormat="1">
      <c r="A103" s="5134"/>
      <c r="B103" s="5134"/>
      <c r="C103" s="5132"/>
      <c r="D103" s="5134"/>
      <c r="E103" s="5134"/>
      <c r="F103" s="5131"/>
      <c r="P103" s="285"/>
      <c r="AH103" s="5134"/>
      <c r="AI103" s="5134"/>
      <c r="AJ103" s="5134"/>
    </row>
    <row r="104" spans="1:36" s="2" customFormat="1">
      <c r="A104" s="5134"/>
      <c r="B104" s="5134"/>
      <c r="C104" s="5132"/>
      <c r="D104" s="5134"/>
      <c r="E104" s="5134"/>
      <c r="F104" s="5131"/>
      <c r="G104" s="2" t="s">
        <v>926</v>
      </c>
      <c r="P104" s="9361" t="str">
        <f>+IF(OR(C20="",C20=0,C20&gt;25),"",IF(VLOOKUP(MATCH(C20,lst_id,0),tao,'12(id)'!$DY$20,FALSE)="","",VLOOKUP(MATCH(C20,lst_id,0),tao,'12(id)'!$DY$20,FALSE)))</f>
        <v>other distillate oil</v>
      </c>
      <c r="Q104" s="9358"/>
      <c r="T104" s="9361" t="str">
        <f>+IF(OR(C20="",C20=0,C20&gt;25),"",IF(VLOOKUP(MATCH(C20,lst_id,0),tao,'12(id)'!$DZ$20,FALSE)="","",VLOOKUP(MATCH(C20,lst_id,0),tao,'12(id)'!$DZ$20,FALSE)))</f>
        <v>per TA&amp;O</v>
      </c>
      <c r="U104" s="9357"/>
      <c r="V104" s="9357"/>
      <c r="W104" s="9357"/>
      <c r="X104" s="9357"/>
      <c r="Y104" s="9357"/>
      <c r="Z104" s="9357"/>
      <c r="AA104" s="9357"/>
      <c r="AB104" s="9357"/>
      <c r="AC104" s="9357"/>
      <c r="AD104" s="9357"/>
      <c r="AE104" s="9358"/>
      <c r="AH104" s="5134"/>
      <c r="AI104" s="5134"/>
      <c r="AJ104" s="5134"/>
    </row>
    <row r="105" spans="1:36" s="2" customFormat="1">
      <c r="A105" s="5134"/>
      <c r="B105" s="5134"/>
      <c r="C105" s="5132"/>
      <c r="D105" s="5134"/>
      <c r="E105" s="5134"/>
      <c r="F105" s="5131"/>
      <c r="G105" s="2" t="str">
        <f>+G101</f>
        <v>Fuel Rate</v>
      </c>
      <c r="P105" s="7411">
        <f>+IF(OR(C20="",C20=0,C20&gt;25),"",IF(VLOOKUP(MATCH(C20,lst_id,0),tao,'12(id)'!$EA$20,FALSE)="","",VLOOKUP(MATCH(C20,lst_id,0),tao,'12(id)'!$EA$20,FALSE)))</f>
        <v>1900</v>
      </c>
      <c r="Q105" s="5163" t="str">
        <f>+IF(OR(C20="",C20=0,C20&gt;25),"",IF(VLOOKUP(MATCH(C20,lst_id,0),tao,'12(id)'!$EA$20,FALSE)="","",VLOOKUP(MATCH(C20,lst_id,0),tao,'12(id)'!$EB$20,FALSE)))</f>
        <v>gal/hr</v>
      </c>
      <c r="T105" s="9361" t="str">
        <f>+IF(OR(C20="",C20=0,C20&gt;25),"",IF(VLOOKUP(MATCH(C20,lst_id,0),tao,'12(id)'!$EC$20,FALSE)="","",VLOOKUP(MATCH(C20,lst_id,0),tao,'12(id)'!$EC$20,FALSE)))</f>
        <v/>
      </c>
      <c r="U105" s="9357"/>
      <c r="V105" s="9357"/>
      <c r="W105" s="9357"/>
      <c r="X105" s="9357"/>
      <c r="Y105" s="9357"/>
      <c r="Z105" s="9357"/>
      <c r="AA105" s="9357"/>
      <c r="AB105" s="9357"/>
      <c r="AC105" s="9357"/>
      <c r="AD105" s="9357"/>
      <c r="AE105" s="9358"/>
      <c r="AH105" s="5134"/>
      <c r="AI105" s="5134"/>
      <c r="AJ105" s="5134"/>
    </row>
    <row r="106" spans="1:36" s="2" customFormat="1">
      <c r="A106" s="5134"/>
      <c r="B106" s="5134"/>
      <c r="C106" s="5132"/>
      <c r="D106" s="5134"/>
      <c r="E106" s="5134"/>
      <c r="F106" s="5131"/>
      <c r="G106" s="2" t="s">
        <v>419</v>
      </c>
      <c r="P106" s="7411">
        <f>+IF(OR(C20="",C20=0,C20&gt;25),"",IF(VLOOKUP(MATCH(C20,lst_id,0),tao,'12(id)'!$ED$20,FALSE)="","",VLOOKUP(MATCH(C20,lst_id,0),tao,'12(id)'!$ED$20,FALSE)))</f>
        <v>256</v>
      </c>
      <c r="Q106" s="5163" t="str">
        <f>+IF(P106="","","MMBtu/hr")</f>
        <v>MMBtu/hr</v>
      </c>
      <c r="T106" s="9361" t="str">
        <f>+IF(OR(C20="",C20=0,C20&gt;25),"",IF(VLOOKUP(MATCH(C20,lst_id,0),tao,'12(id)'!$EE$20,FALSE)="","",VLOOKUP(MATCH(C20,lst_id,0),tao,'12(id)'!$EE$20,FALSE)))</f>
        <v>per TA&amp;O</v>
      </c>
      <c r="U106" s="9357"/>
      <c r="V106" s="9357"/>
      <c r="W106" s="9357"/>
      <c r="X106" s="9357"/>
      <c r="Y106" s="9357"/>
      <c r="Z106" s="9357"/>
      <c r="AA106" s="9357"/>
      <c r="AB106" s="9357"/>
      <c r="AC106" s="9357"/>
      <c r="AD106" s="9357"/>
      <c r="AE106" s="9358"/>
      <c r="AH106" s="5134"/>
      <c r="AI106" s="5134"/>
      <c r="AJ106" s="5134"/>
    </row>
    <row r="107" spans="1:36" s="2" customFormat="1">
      <c r="A107" s="5134"/>
      <c r="B107" s="5134"/>
      <c r="C107" s="5132"/>
      <c r="D107" s="5134"/>
      <c r="E107" s="5134"/>
      <c r="F107" s="5131"/>
      <c r="P107" s="285"/>
      <c r="AH107" s="5134"/>
      <c r="AI107" s="5134"/>
      <c r="AJ107" s="5134"/>
    </row>
    <row r="108" spans="1:36" s="2" customFormat="1">
      <c r="A108" s="5134"/>
      <c r="B108" s="5134"/>
      <c r="C108" s="5132"/>
      <c r="D108" s="5134"/>
      <c r="E108" s="5134"/>
      <c r="F108" s="5131"/>
      <c r="G108" s="2" t="s">
        <v>994</v>
      </c>
      <c r="P108" s="5165" t="str">
        <f>+IF(OR(C20="",C20=0,C20&gt;25),"",IF(VLOOKUP(MATCH(C20,lst_id,0),tao,'12(id)'!$EG$20,FALSE)="","",VLOOKUP(MATCH(C20,lst_id,0),tao,'12(id)'!$EG$20,FALSE)))</f>
        <v>CEM</v>
      </c>
      <c r="Q108" s="5164"/>
      <c r="T108" s="2" t="str">
        <f>+IF(AA108="","","Date of Stack Test")</f>
        <v>Date of Stack Test</v>
      </c>
      <c r="AA108" s="9407">
        <f>+IF(OR(C20="",C20=0,C20&gt;25),"",IF(VLOOKUP(MATCH(C20,lst_id,0),tao,'12(id)'!$EZ$20,FALSE)="","",VLOOKUP(MATCH(C20,lst_id,0),tao,'12(id)'!$EZ$20,FALSE)))</f>
        <v>40132</v>
      </c>
      <c r="AB108" s="9408"/>
      <c r="AC108" s="9408"/>
      <c r="AD108" s="9408"/>
      <c r="AE108" s="9409"/>
      <c r="AH108" s="5134"/>
      <c r="AI108" s="5134"/>
      <c r="AJ108" s="5134"/>
    </row>
    <row r="109" spans="1:36" s="2" customFormat="1">
      <c r="A109" s="5134"/>
      <c r="B109" s="5134"/>
      <c r="C109" s="5132"/>
      <c r="D109" s="5134"/>
      <c r="E109" s="5134"/>
      <c r="F109" s="5131"/>
      <c r="G109" s="2" t="s">
        <v>484</v>
      </c>
      <c r="P109" s="5166">
        <f>+IF(OR(C20="",C20=0,C20&gt;25),"",IF(VLOOKUP(MATCH(C20,lst_id,0),tao,'12(id)'!$EI$20,FALSE)="","",VLOOKUP(MATCH(C20,lst_id,0),tao,'12(id)'!$EI$20,FALSE)))</f>
        <v>0.67500000000000004</v>
      </c>
      <c r="Q109" s="5164" t="str">
        <f>+IF(P109="","","lb/MMBtu")</f>
        <v>lb/MMBtu</v>
      </c>
      <c r="T109" s="2" t="str">
        <f>+IF(AA109="","","Date of Next Stack Test")</f>
        <v>Date of Next Stack Test</v>
      </c>
      <c r="AA109" s="9407">
        <f>+IF(OR(C20="",C20=0,C20&gt;25),"",IF(VLOOKUP(MATCH(C20,lst_id,0),tao,'12(id)'!$FA$20,FALSE)="","",VLOOKUP(MATCH(C20,lst_id,0),tao,'12(id)'!$FA$20,FALSE)))</f>
        <v>41958</v>
      </c>
      <c r="AB109" s="9408"/>
      <c r="AC109" s="9408"/>
      <c r="AD109" s="9408"/>
      <c r="AE109" s="9409"/>
      <c r="AH109" s="5134"/>
      <c r="AI109" s="5134"/>
      <c r="AJ109" s="5134"/>
    </row>
    <row r="110" spans="1:36" s="2" customFormat="1">
      <c r="A110" s="5134"/>
      <c r="B110" s="5134"/>
      <c r="C110" s="5132"/>
      <c r="D110" s="5134"/>
      <c r="E110" s="5134"/>
      <c r="F110" s="5131"/>
      <c r="G110" s="2" t="str">
        <f>+G109</f>
        <v>Stack Test Rate</v>
      </c>
      <c r="P110" s="5165">
        <f>+IF(OR(C20="",C20=0,C20&gt;25),"",IF(VLOOKUP(MATCH(C20,lst_id,0),tao,'12(id)'!$EJ$20,FALSE)="","",VLOOKUP(MATCH(C20,lst_id,0),tao,'12(id)'!$EJ$20,FALSE)))</f>
        <v>132.5</v>
      </c>
      <c r="Q110" s="5164" t="str">
        <f>+IF(OR(,C20="",C20=0,C20&gt;25),"",IF(VLOOKUP(MATCH(C20,lst_id,0),tao,'12(id)'!$EJ$20,FALSE)="","","ppmvd"))</f>
        <v>ppmvd</v>
      </c>
      <c r="T110" s="2" t="str">
        <f>+IF(AA110="","","Frequency")</f>
        <v>Frequency</v>
      </c>
      <c r="AA110" s="9412">
        <f>+IF(OR(C20="",C20=0,C20&gt;25),"",IF(VLOOKUP(MATCH(C20,lst_id,0),tao,'12(id)'!$FB$20,FALSE)="","",VLOOKUP(MATCH(C20,lst_id,0),tao,'12(id)'!$FB$20,FALSE)))</f>
        <v>4.9993155373032172</v>
      </c>
      <c r="AB110" s="9413"/>
      <c r="AC110" s="9413"/>
      <c r="AD110" s="9413"/>
      <c r="AE110" s="9414"/>
      <c r="AH110" s="5134"/>
      <c r="AI110" s="5134"/>
      <c r="AJ110" s="5134"/>
    </row>
    <row r="111" spans="1:36" s="2" customFormat="1">
      <c r="A111" s="5134"/>
      <c r="B111" s="5134"/>
      <c r="C111" s="5132"/>
      <c r="D111" s="5134"/>
      <c r="E111" s="5134"/>
      <c r="F111" s="5131"/>
      <c r="P111" s="285"/>
      <c r="AH111" s="5134"/>
      <c r="AI111" s="5134"/>
      <c r="AJ111" s="5134"/>
    </row>
    <row r="112" spans="1:36" s="2" customFormat="1">
      <c r="A112" s="5134"/>
      <c r="B112" s="5134"/>
      <c r="C112" s="5132"/>
      <c r="D112" s="5134"/>
      <c r="E112" s="5134"/>
      <c r="F112" s="5131"/>
      <c r="G112" s="2" t="s">
        <v>936</v>
      </c>
      <c r="P112" s="5167">
        <f>+IF(OR(C20="",C20=0,C20&gt;25),"",IF(VLOOKUP(MATCH(C20,lst_id,0),tao,'12(id)'!$EL$20,FALSE)="","",VLOOKUP(MATCH(C20,lst_id,0),tao,'12(id)'!$EL$20,FALSE)))</f>
        <v>0.81</v>
      </c>
      <c r="Q112" s="5163" t="str">
        <f>+IF(P112="","","lb/MMBtu")</f>
        <v>lb/MMBtu</v>
      </c>
      <c r="T112" s="2" t="str">
        <f>+IF(P112="","","Primary fuel")</f>
        <v>Primary fuel</v>
      </c>
      <c r="AH112" s="5134"/>
      <c r="AI112" s="5134"/>
      <c r="AJ112" s="5134"/>
    </row>
    <row r="113" spans="1:36" s="2" customFormat="1">
      <c r="A113" s="5134"/>
      <c r="B113" s="5134"/>
      <c r="C113" s="5132"/>
      <c r="D113" s="5134"/>
      <c r="E113" s="5134"/>
      <c r="F113" s="5131"/>
      <c r="P113" s="285"/>
      <c r="AH113" s="5134"/>
      <c r="AI113" s="5134"/>
      <c r="AJ113" s="5134"/>
    </row>
    <row r="114" spans="1:36" s="2" customFormat="1">
      <c r="A114" s="5134"/>
      <c r="B114" s="5134"/>
      <c r="C114" s="5132"/>
      <c r="D114" s="5134"/>
      <c r="E114" s="5134"/>
      <c r="F114" s="5131"/>
      <c r="G114" s="2" t="s">
        <v>937</v>
      </c>
      <c r="P114" s="5167">
        <f>+IF(OR(C20="",C20=0,C20&gt;25),"",IF(VLOOKUP(MATCH(C20,lst_id,0),tao,'12(id)'!$EQ$20,FALSE)="","",VLOOKUP(MATCH(C20,lst_id,0),tao,'12(id)'!$EQ$20,FALSE)))</f>
        <v>0.28899999999999998</v>
      </c>
      <c r="Q114" s="5163" t="str">
        <f>+IF(OR(C20="",C20=0,C20&gt;25),"",IF(VLOOKUP(MATCH(C20,lst_id,0),tao,'12(id)'!$EQ$20,FALSE)="","","lbs/MMBtu"))</f>
        <v>lbs/MMBtu</v>
      </c>
      <c r="T114" s="9367" t="str">
        <f>+IF(OR(C20="",C20=0,C20&gt;25),"",IF(VLOOKUP(MATCH(C20,lst_id,0),tao,'12(id)'!$ES$20,FALSE)="","",VLOOKUP(MATCH(C20,lst_id,0),tao,'12(id)'!$ES$20,FALSE)))</f>
        <v/>
      </c>
      <c r="U114" s="9368"/>
      <c r="V114" s="9368"/>
      <c r="W114" s="9368"/>
      <c r="X114" s="9368"/>
      <c r="Y114" s="9368"/>
      <c r="Z114" s="9368"/>
      <c r="AA114" s="9368"/>
      <c r="AB114" s="9368"/>
      <c r="AC114" s="9368"/>
      <c r="AD114" s="9368"/>
      <c r="AE114" s="9369"/>
      <c r="AH114" s="5134"/>
      <c r="AI114" s="5134"/>
      <c r="AJ114" s="5134"/>
    </row>
    <row r="115" spans="1:36" s="2" customFormat="1">
      <c r="A115" s="5134"/>
      <c r="B115" s="5134"/>
      <c r="C115" s="5132"/>
      <c r="D115" s="5134"/>
      <c r="E115" s="5134"/>
      <c r="F115" s="5131"/>
      <c r="P115" s="7418">
        <f>+IF(OR(C20="",C20=0,C20&gt;25),"",IF(VLOOKUP(MATCH(C20,lst_id,0),tao,'12(id)'!$ER$20,FALSE)="","",VLOOKUP(MATCH(C20,lst_id,0),tao,'12(id)'!$ER$20,FALSE)))</f>
        <v>75</v>
      </c>
      <c r="Q115" s="5163" t="str">
        <f>+IF(OR(C20="",C20=0,C20&gt;25),"",IF(VLOOKUP(MATCH(C20,lst_id,0),tao,'12(id)'!$ER$20,FALSE)="","","ppmvd"))</f>
        <v>ppmvd</v>
      </c>
      <c r="T115" s="9367"/>
      <c r="U115" s="9368"/>
      <c r="V115" s="9368"/>
      <c r="W115" s="9368"/>
      <c r="X115" s="9368"/>
      <c r="Y115" s="9368"/>
      <c r="Z115" s="9368"/>
      <c r="AA115" s="9368"/>
      <c r="AB115" s="9368"/>
      <c r="AC115" s="9368"/>
      <c r="AD115" s="9368"/>
      <c r="AE115" s="9369"/>
      <c r="AH115" s="5134"/>
      <c r="AI115" s="5134"/>
      <c r="AJ115" s="5134"/>
    </row>
    <row r="116" spans="1:36" s="2" customFormat="1">
      <c r="A116" s="5134"/>
      <c r="B116" s="5134"/>
      <c r="C116" s="5132"/>
      <c r="D116" s="5134"/>
      <c r="E116" s="5134"/>
      <c r="F116" s="5131"/>
      <c r="P116" s="285"/>
      <c r="Q116" s="298" t="s">
        <v>939</v>
      </c>
      <c r="AH116" s="5134"/>
      <c r="AI116" s="5134"/>
      <c r="AJ116" s="5134"/>
    </row>
    <row r="117" spans="1:36" s="2" customFormat="1">
      <c r="A117" s="5134"/>
      <c r="B117" s="5134"/>
      <c r="C117" s="5132"/>
      <c r="D117" s="5134"/>
      <c r="E117" s="5134"/>
      <c r="F117" s="5131"/>
      <c r="G117" s="2" t="str">
        <f>+'12(id)'!EW17</f>
        <v>AEL non-ozone season</v>
      </c>
      <c r="P117" s="7411" t="str">
        <f>+IF(OR(C20="",C20=0,C20&gt;25),"",IF(VLOOKUP(MATCH(C20,lst_id,0),tao,'12(id)'!$EW$20,FALSE)="","",VLOOKUP(MATCH(C20,lst_id,0),tao,'12(id)'!$EW$20,FALSE)))</f>
        <v/>
      </c>
      <c r="Q117" s="5163" t="str">
        <f>+IF(P117="","","lb/MMBtu")</f>
        <v/>
      </c>
      <c r="T117" s="9361" t="str">
        <f>+IF(OR(C20="",C20=0,C20&gt;25),"",IF(VLOOKUP(MATCH(C20,lst_id,0),tao,'12(id)'!$EY$20,FALSE)="","",VLOOKUP(MATCH(C20,lst_id,0),tao,'12(id)'!$EY$20,FALSE)))</f>
        <v/>
      </c>
      <c r="U117" s="9357"/>
      <c r="V117" s="9357"/>
      <c r="W117" s="9357"/>
      <c r="X117" s="9357"/>
      <c r="Y117" s="9357"/>
      <c r="Z117" s="9357"/>
      <c r="AA117" s="9357"/>
      <c r="AB117" s="9357"/>
      <c r="AC117" s="9357"/>
      <c r="AD117" s="9357"/>
      <c r="AE117" s="9358"/>
      <c r="AH117" s="5134"/>
      <c r="AI117" s="5134"/>
      <c r="AJ117" s="5134"/>
    </row>
    <row r="118" spans="1:36" s="2" customFormat="1">
      <c r="A118" s="5134"/>
      <c r="B118" s="5134"/>
      <c r="C118" s="5132"/>
      <c r="D118" s="5134"/>
      <c r="E118" s="5134"/>
      <c r="F118" s="5131"/>
      <c r="P118" s="7411" t="str">
        <f>+IF(OR(C20="",C20=0,C20&gt;25),"",IF(VLOOKUP(MATCH(C20,lst_id,0),tao,'12(id)'!$EX$20,FALSE)="","",VLOOKUP(MATCH(C20,lst_id,0),tao,'12(id)'!$EX$20,FALSE)))</f>
        <v/>
      </c>
      <c r="Q118" s="5163" t="str">
        <f>+IF(P118="","","ppmvd")</f>
        <v/>
      </c>
      <c r="T118" s="9361"/>
      <c r="U118" s="9357"/>
      <c r="V118" s="9357"/>
      <c r="W118" s="9357"/>
      <c r="X118" s="9357"/>
      <c r="Y118" s="9357"/>
      <c r="Z118" s="9357"/>
      <c r="AA118" s="9357"/>
      <c r="AB118" s="9357"/>
      <c r="AC118" s="9357"/>
      <c r="AD118" s="9357"/>
      <c r="AE118" s="9358"/>
      <c r="AH118" s="5134"/>
      <c r="AI118" s="5134"/>
      <c r="AJ118" s="5134"/>
    </row>
    <row r="119" spans="1:36" s="2" customFormat="1">
      <c r="A119" s="5134"/>
      <c r="B119" s="5134"/>
      <c r="C119" s="5132"/>
      <c r="D119" s="5134"/>
      <c r="E119" s="5134"/>
      <c r="F119" s="5131"/>
      <c r="P119" s="285"/>
      <c r="AH119" s="5134"/>
      <c r="AI119" s="5134"/>
      <c r="AJ119" s="5134"/>
    </row>
    <row r="120" spans="1:36" s="2" customFormat="1">
      <c r="A120" s="5134"/>
      <c r="B120" s="5134"/>
      <c r="C120" s="5132"/>
      <c r="D120" s="5134"/>
      <c r="E120" s="5134"/>
      <c r="F120" s="5131"/>
      <c r="G120" s="2" t="s">
        <v>943</v>
      </c>
      <c r="P120" s="5168">
        <f>+IF(OR(C20="",C20=0,C20&gt;25),"",IF(VLOOKUP(MATCH(C20,lst_id,0),tao,'12(id)'!$ET$20,FALSE)="","",VLOOKUP(MATCH(C20,lst_id,0),tao,'12(id)'!$ET$20,FALSE)))</f>
        <v>0.15</v>
      </c>
      <c r="Q120" s="5169" t="str">
        <f>+IF(P120="","","lb/MMBtu")</f>
        <v>lb/MMBtu</v>
      </c>
      <c r="R120" s="9459" t="str">
        <f>+IF(T120="","","or")</f>
        <v>or</v>
      </c>
      <c r="S120" s="9460"/>
      <c r="T120" s="9457">
        <f>+IF(OR(C20="",C20=0,C20&gt;25),"",IF(VLOOKUP(MATCH(C20,lst_id,0),tao,'12(id)'!$EU$20,FALSE)="","",VLOOKUP(MATCH(C20,lst_id,0),tao,'12(id)'!$EU$20,FALSE)))</f>
        <v>40</v>
      </c>
      <c r="U120" s="9458"/>
      <c r="V120" s="9461" t="str">
        <f>+IF(T120="","","ppmvd")</f>
        <v>ppmvd</v>
      </c>
      <c r="W120" s="9461"/>
      <c r="X120" s="9462"/>
      <c r="AH120" s="5134"/>
      <c r="AI120" s="5134"/>
      <c r="AJ120" s="5134"/>
    </row>
    <row r="121" spans="1:36" s="2" customFormat="1">
      <c r="A121" s="5134"/>
      <c r="B121" s="5134"/>
      <c r="C121" s="5132"/>
      <c r="D121" s="5134"/>
      <c r="E121" s="5134"/>
      <c r="F121" s="5131"/>
      <c r="P121" s="285"/>
      <c r="AH121" s="5134"/>
      <c r="AI121" s="5134"/>
      <c r="AJ121" s="5134"/>
    </row>
    <row r="122" spans="1:36" s="2" customFormat="1">
      <c r="A122" s="5134"/>
      <c r="B122" s="5134"/>
      <c r="C122" s="5132"/>
      <c r="D122" s="5134"/>
      <c r="E122" s="5134"/>
      <c r="F122" s="5131"/>
      <c r="G122" s="4442" t="s">
        <v>1948</v>
      </c>
      <c r="P122" s="285"/>
      <c r="AH122" s="5134"/>
      <c r="AI122" s="5134"/>
      <c r="AJ122" s="5134"/>
    </row>
    <row r="123" spans="1:36" s="2" customFormat="1">
      <c r="A123" s="5134"/>
      <c r="B123" s="5134"/>
      <c r="C123" s="5132"/>
      <c r="D123" s="5134"/>
      <c r="E123" s="5134"/>
      <c r="F123" s="5131"/>
      <c r="G123" s="4443" t="s">
        <v>104</v>
      </c>
      <c r="H123" s="6"/>
      <c r="I123" s="6"/>
      <c r="J123" s="6"/>
      <c r="K123" s="6"/>
      <c r="L123" s="6"/>
      <c r="M123" s="6"/>
      <c r="N123" s="6"/>
      <c r="O123" s="6"/>
      <c r="P123" s="9456">
        <f>+IF(OR(C20="",C20=0,C20&gt;25),"",IF(VLOOKUP(MATCH(C20,lst_id,0),em,'5(em)'!$AI$18,FALSE)="","",VLOOKUP(MATCH(C20,lst_id,0),em,'5(em)'!$AI$18,FALSE)))</f>
        <v>2010</v>
      </c>
      <c r="Q123" s="9456"/>
      <c r="R123" s="6"/>
      <c r="S123" s="6"/>
      <c r="T123" s="9456">
        <f>+IF(OR(C20="",C20=0,C20&gt;25),"",IF(VLOOKUP(MATCH(C20,lst_id,0),em,'5(em)'!$AU$18,FALSE)="","",VLOOKUP(MATCH(C20,lst_id,0),em,'5(em)'!$AU$18,FALSE)))</f>
        <v>2009</v>
      </c>
      <c r="U123" s="9456"/>
      <c r="V123" s="9456"/>
      <c r="W123" s="9456"/>
      <c r="X123" s="9456"/>
      <c r="Y123" s="6"/>
      <c r="Z123" s="6"/>
      <c r="AA123" s="9456">
        <f>+IF(OR(C20="",C20=0,C20&gt;25),"",IF(VLOOKUP(MATCH(C20,lst_id,0),em,'5(em)'!$BG$18,FALSE)="","",VLOOKUP(MATCH(C20,lst_id,0),em,'5(em)'!$BG$18,FALSE)))</f>
        <v>2008</v>
      </c>
      <c r="AB123" s="9456"/>
      <c r="AC123" s="9456"/>
      <c r="AD123" s="9456"/>
      <c r="AE123" s="9456"/>
      <c r="AH123" s="5134"/>
      <c r="AI123" s="5134"/>
      <c r="AJ123" s="5134"/>
    </row>
    <row r="124" spans="1:36" s="2" customFormat="1">
      <c r="A124" s="5134"/>
      <c r="B124" s="5134"/>
      <c r="C124" s="5132"/>
      <c r="D124" s="5134"/>
      <c r="E124" s="5134"/>
      <c r="F124" s="5131"/>
      <c r="G124" s="6" t="s">
        <v>1949</v>
      </c>
      <c r="H124" s="6"/>
      <c r="I124" s="6"/>
      <c r="J124" s="6"/>
      <c r="K124" s="6"/>
      <c r="L124" s="6"/>
      <c r="M124" s="6"/>
      <c r="N124" s="6"/>
      <c r="O124" s="6"/>
      <c r="P124" s="7409">
        <f>+IF(OR(C20="",C20=0,C20&gt;25),"",IF(VLOOKUP(MATCH(C20,lst_id,0),em,'5(em)'!$CB$18,FALSE)="","",VLOOKUP(MATCH(C20,lst_id,0),em,'5(em)'!$CB$18,FALSE)))</f>
        <v>19</v>
      </c>
      <c r="Q124" s="5144" t="str">
        <f>+IF(P124="","","hours")</f>
        <v>hours</v>
      </c>
      <c r="R124" s="6"/>
      <c r="S124" s="6"/>
      <c r="T124" s="9415">
        <f>+IF(OR(C20="",C20=0,C20&gt;25),"",IF(VLOOKUP(MATCH(C20,lst_id,0),em,'5(em)'!$CI$18,FALSE)="","",VLOOKUP(MATCH(C20,lst_id,0),em,'5(em)'!$CI$18,FALSE)))</f>
        <v>8</v>
      </c>
      <c r="U124" s="9416"/>
      <c r="V124" s="9336" t="str">
        <f>+IF(T124="","","hours")</f>
        <v>hours</v>
      </c>
      <c r="W124" s="9336"/>
      <c r="X124" s="9337"/>
      <c r="Y124" s="6"/>
      <c r="Z124" s="6"/>
      <c r="AA124" s="9415">
        <f>+IF(OR(C20="",C20=0,C20&gt;25),"",IF(VLOOKUP(MATCH(C20,lst_id,0),em,'5(em)'!$CP$18,FALSE)="","",VLOOKUP(MATCH(C20,lst_id,0),em,'5(em)'!$CP$18,FALSE)))</f>
        <v>12</v>
      </c>
      <c r="AB124" s="9416"/>
      <c r="AC124" s="9336" t="str">
        <f>+IF(AA124="","","hours")</f>
        <v>hours</v>
      </c>
      <c r="AD124" s="9336"/>
      <c r="AE124" s="9337"/>
      <c r="AH124" s="5134"/>
      <c r="AI124" s="5134"/>
      <c r="AJ124" s="5134"/>
    </row>
    <row r="125" spans="1:36" s="2" customFormat="1">
      <c r="A125" s="5134"/>
      <c r="B125" s="5134"/>
      <c r="C125" s="5132"/>
      <c r="D125" s="5134"/>
      <c r="E125" s="5134"/>
      <c r="F125" s="5131"/>
      <c r="G125" s="6" t="s">
        <v>945</v>
      </c>
      <c r="H125" s="6"/>
      <c r="I125" s="6"/>
      <c r="J125" s="6"/>
      <c r="K125" s="6"/>
      <c r="L125" s="6"/>
      <c r="M125" s="6"/>
      <c r="N125" s="6"/>
      <c r="O125" s="6"/>
      <c r="P125" s="7410">
        <f>+IF(OR(C20="",C20=0,C20&gt;25),"",IF(VLOOKUP(MATCH(C20,lst_id,0),em,'5(em)'!$AK$18,FALSE)="","",VLOOKUP(MATCH(C20,lst_id,0),em,'5(em)'!$AK$18,FALSE)))</f>
        <v>5</v>
      </c>
      <c r="Q125" s="5144" t="str">
        <f>+IF(P125="","","months")</f>
        <v>months</v>
      </c>
      <c r="R125" s="6"/>
      <c r="S125" s="6"/>
      <c r="T125" s="9335">
        <f>+IF(OR(C20="",C20=0,C20&gt;25),"",IF(VLOOKUP(MATCH(C20,lst_id,0),em,'5(em)'!$AW$18,FALSE)="","",VLOOKUP(MATCH(C20,lst_id,0),em,'5(em)'!$AW$18,FALSE)))</f>
        <v>5</v>
      </c>
      <c r="U125" s="9336"/>
      <c r="V125" s="9336" t="str">
        <f>+IF(T125="","","months")</f>
        <v>months</v>
      </c>
      <c r="W125" s="9336"/>
      <c r="X125" s="9337"/>
      <c r="Y125" s="6"/>
      <c r="Z125" s="6"/>
      <c r="AA125" s="9335">
        <f>+IF(OR(C20="",C20=0,C20&gt;25),"",IF(VLOOKUP(MATCH(C20,lst_id,0),em,'5(em)'!$BI$18,FALSE)="","",VLOOKUP(MATCH(C20,lst_id,0),em,'5(em)'!$BI$18,FALSE)))</f>
        <v>5</v>
      </c>
      <c r="AB125" s="9336"/>
      <c r="AC125" s="9336" t="str">
        <f>+IF(AA125="","","months")</f>
        <v>months</v>
      </c>
      <c r="AD125" s="9336"/>
      <c r="AE125" s="9337"/>
      <c r="AH125" s="5134"/>
      <c r="AI125" s="5134"/>
      <c r="AJ125" s="5134"/>
    </row>
    <row r="126" spans="1:36" s="2" customFormat="1">
      <c r="A126" s="5134"/>
      <c r="B126" s="5134"/>
      <c r="C126" s="5132"/>
      <c r="D126" s="5134"/>
      <c r="E126" s="5134"/>
      <c r="F126" s="5131"/>
      <c r="G126" s="6" t="s">
        <v>1371</v>
      </c>
      <c r="H126" s="6"/>
      <c r="I126" s="6"/>
      <c r="J126" s="6"/>
      <c r="K126" s="6"/>
      <c r="L126" s="6"/>
      <c r="M126" s="6"/>
      <c r="N126" s="6"/>
      <c r="O126" s="6"/>
      <c r="P126" s="7409">
        <f>+IF(OR(C20="",C20=0,C20&gt;25),"",IF(VLOOKUP(MATCH(C20,lst_id,0),em,'5(em)'!$CC$18,FALSE)="","",VLOOKUP(MATCH(C20,lst_id,0),em,'5(em)'!$CC$18,FALSE)))</f>
        <v>285</v>
      </c>
      <c r="Q126" s="5144" t="str">
        <f>+IF(P126="","","MWh")</f>
        <v>MWh</v>
      </c>
      <c r="R126" s="6"/>
      <c r="S126" s="6"/>
      <c r="T126" s="9415">
        <f>+IF(OR(C20="",C20=0,C20&gt;25),"",IF(VLOOKUP(MATCH(C20,lst_id,0),em,'5(em)'!$CJ$18,FALSE)="","",VLOOKUP(MATCH(C20,lst_id,0),em,'5(em)'!$CJ$18,FALSE)))</f>
        <v>78</v>
      </c>
      <c r="U126" s="9416"/>
      <c r="V126" s="9336" t="str">
        <f>+IF(T126="","","MWh")</f>
        <v>MWh</v>
      </c>
      <c r="W126" s="9336"/>
      <c r="X126" s="9337"/>
      <c r="Y126" s="6"/>
      <c r="Z126" s="6"/>
      <c r="AA126" s="9415">
        <f>+IF(OR(C20="",C20=0,C20&gt;25),"",IF(VLOOKUP(MATCH(C20,lst_id,0),em,'5(em)'!$CQ$18,FALSE)="","",VLOOKUP(MATCH(C20,lst_id,0),em,'5(em)'!$CQ$18,FALSE)))</f>
        <v>126</v>
      </c>
      <c r="AB126" s="9416"/>
      <c r="AC126" s="9336" t="str">
        <f>+IF(AA126="","","MWh")</f>
        <v>MWh</v>
      </c>
      <c r="AD126" s="9336"/>
      <c r="AE126" s="9337"/>
      <c r="AH126" s="5134"/>
      <c r="AI126" s="5134"/>
      <c r="AJ126" s="5134"/>
    </row>
    <row r="127" spans="1:36" s="2" customFormat="1">
      <c r="A127" s="5134"/>
      <c r="B127" s="5134"/>
      <c r="C127" s="5132"/>
      <c r="D127" s="5134"/>
      <c r="E127" s="5134"/>
      <c r="F127" s="5131"/>
      <c r="G127" s="6" t="s">
        <v>107</v>
      </c>
      <c r="H127" s="6"/>
      <c r="I127" s="6"/>
      <c r="J127" s="6"/>
      <c r="K127" s="6"/>
      <c r="L127" s="6"/>
      <c r="M127" s="6"/>
      <c r="N127" s="6"/>
      <c r="O127" s="6"/>
      <c r="P127" s="7409">
        <f>+IF(OR(C20="",C20=0,C20&gt;25),"",IF(VLOOKUP(MATCH(C20,lst_id,0),em,'5(em)'!$CD$18,FALSE)="","",VLOOKUP(MATCH(C20,lst_id,0),em,'5(em)'!$CD$18,FALSE)))</f>
        <v>3819</v>
      </c>
      <c r="Q127" s="5144" t="str">
        <f>+IF(P127="","","MMBtu")</f>
        <v>MMBtu</v>
      </c>
      <c r="R127" s="6"/>
      <c r="S127" s="6"/>
      <c r="T127" s="9415">
        <f>+IF(OR(C20="",C20=0,C20&gt;25),"",IF(VLOOKUP(MATCH(C20,lst_id,0),em,'5(em)'!$CK$18,FALSE)="","",VLOOKUP(MATCH(C20,lst_id,0),em,'5(em)'!$CK$18,FALSE)))</f>
        <v>1013</v>
      </c>
      <c r="U127" s="9416"/>
      <c r="V127" s="9336" t="str">
        <f>+IF(T127="","","MMBtu")</f>
        <v>MMBtu</v>
      </c>
      <c r="W127" s="9336"/>
      <c r="X127" s="9337"/>
      <c r="Y127" s="6"/>
      <c r="Z127" s="6"/>
      <c r="AA127" s="9415">
        <f>+IF(OR(C20="",C20=0,C20&gt;25),"",IF(VLOOKUP(MATCH(C20,lst_id,0),em,'5(em)'!$CR$18,FALSE)="","",VLOOKUP(MATCH(C20,lst_id,0),em,'5(em)'!$CR$18,FALSE)))</f>
        <v>1575</v>
      </c>
      <c r="AB127" s="9416"/>
      <c r="AC127" s="9336" t="str">
        <f>+IF(AA127="","","MMBtu")</f>
        <v>MMBtu</v>
      </c>
      <c r="AD127" s="9336"/>
      <c r="AE127" s="9337"/>
      <c r="AH127" s="5134"/>
      <c r="AI127" s="5134"/>
      <c r="AJ127" s="5134"/>
    </row>
    <row r="128" spans="1:36" s="2" customFormat="1">
      <c r="A128" s="5134"/>
      <c r="B128" s="5134"/>
      <c r="C128" s="5132"/>
      <c r="D128" s="5134"/>
      <c r="E128" s="5134"/>
      <c r="F128" s="5131"/>
      <c r="G128" s="6" t="s">
        <v>1950</v>
      </c>
      <c r="H128" s="6"/>
      <c r="I128" s="6"/>
      <c r="J128" s="6"/>
      <c r="K128" s="6"/>
      <c r="L128" s="6"/>
      <c r="M128" s="6"/>
      <c r="N128" s="6"/>
      <c r="O128" s="6"/>
      <c r="P128" s="7408">
        <f>+IF(OR(C20="",C20=0,C20&gt;25),"",IF(VLOOKUP(MATCH(C20,lst_id,0),em,'5(em)'!$CF$18,FALSE)="","",VLOOKUP(MATCH(C20,lst_id,0),em,'5(em)'!$CF$18,FALSE)))</f>
        <v>0.78</v>
      </c>
      <c r="Q128" s="5144" t="str">
        <f>+IF(P128="","","lbs/MMBtu")</f>
        <v>lbs/MMBtu</v>
      </c>
      <c r="R128" s="6"/>
      <c r="S128" s="6"/>
      <c r="T128" s="9391">
        <f>+IF(OR(C20="",C20=0,C20&gt;25),"",IF(VLOOKUP(MATCH(C20,lst_id,0),em,'5(em)'!$CM$18,FALSE)="","",VLOOKUP(MATCH(C20,lst_id,0),em,'5(em)'!$CM$18,FALSE)))</f>
        <v>0.78</v>
      </c>
      <c r="U128" s="9392"/>
      <c r="V128" s="9336" t="str">
        <f>+IF(T128="","","lbs/MMBtu")</f>
        <v>lbs/MMBtu</v>
      </c>
      <c r="W128" s="9336"/>
      <c r="X128" s="9337"/>
      <c r="Y128" s="6"/>
      <c r="Z128" s="6"/>
      <c r="AA128" s="9391">
        <f>+IF(OR(C20="",C20=0,C20&gt;25),"",IF(VLOOKUP(MATCH(C20,lst_id,0),em,'5(em)'!$CT$18,FALSE)="","",VLOOKUP(MATCH(C20,lst_id,0),em,'5(em)'!$CT$18,FALSE)))</f>
        <v>0.78</v>
      </c>
      <c r="AB128" s="9392"/>
      <c r="AC128" s="9336" t="str">
        <f>+IF(AA128="","","lbs/MMBtu")</f>
        <v>lbs/MMBtu</v>
      </c>
      <c r="AD128" s="9336"/>
      <c r="AE128" s="9337"/>
      <c r="AH128" s="5134"/>
      <c r="AI128" s="5134"/>
      <c r="AJ128" s="5134"/>
    </row>
    <row r="129" spans="1:36" s="2" customFormat="1">
      <c r="A129" s="5134"/>
      <c r="B129" s="5134"/>
      <c r="C129" s="5132"/>
      <c r="D129" s="5134"/>
      <c r="E129" s="5134"/>
      <c r="F129" s="5131"/>
      <c r="G129" s="6" t="s">
        <v>1951</v>
      </c>
      <c r="H129" s="6"/>
      <c r="I129" s="6"/>
      <c r="J129" s="6"/>
      <c r="K129" s="6"/>
      <c r="L129" s="6"/>
      <c r="M129" s="6"/>
      <c r="N129" s="6"/>
      <c r="O129" s="6"/>
      <c r="P129" s="7408">
        <f>+IF(OR(C20="",C20=0,C20&gt;25),"",IF(VLOOKUP(MATCH(C20,lst_id,0),em,'5(em)'!$CG$18,FALSE)="","",VLOOKUP(MATCH(C20,lst_id,0),em,'5(em)'!$CG$18,FALSE)))</f>
        <v>0.78554595443833453</v>
      </c>
      <c r="Q129" s="5144" t="str">
        <f>+IF(P129="","","lbs/MMBtu")</f>
        <v>lbs/MMBtu</v>
      </c>
      <c r="R129" s="6"/>
      <c r="S129" s="6"/>
      <c r="T129" s="9391">
        <f>+IF(OR(C20="",C20=0,C20&gt;25),"",IF(VLOOKUP(MATCH(C20,lst_id,0),em,'5(em)'!$CN$18,FALSE)="","",VLOOKUP(MATCH(C20,lst_id,0),em,'5(em)'!$CN$18,FALSE)))</f>
        <v>0.78973346495557761</v>
      </c>
      <c r="U129" s="9392"/>
      <c r="V129" s="9336" t="str">
        <f>+IF(T129="","","lbs/MMBtu")</f>
        <v>lbs/MMBtu</v>
      </c>
      <c r="W129" s="9336"/>
      <c r="X129" s="9337"/>
      <c r="Y129" s="6"/>
      <c r="Z129" s="6"/>
      <c r="AA129" s="9391">
        <f>+IF(OR(C20="",C20=0,C20&gt;25),"",IF(VLOOKUP(MATCH(C20,lst_id,0),em,'5(em)'!$CU$18,FALSE)="","",VLOOKUP(MATCH(C20,lst_id,0),em,'5(em)'!$CU$18,FALSE)))</f>
        <v>0.88888888888888873</v>
      </c>
      <c r="AB129" s="9392"/>
      <c r="AC129" s="9336" t="str">
        <f>+IF(AA129="","","lbs/MMBtu")</f>
        <v>lbs/MMBtu</v>
      </c>
      <c r="AD129" s="9336"/>
      <c r="AE129" s="9337"/>
      <c r="AH129" s="5134"/>
      <c r="AI129" s="5134"/>
      <c r="AJ129" s="5134"/>
    </row>
    <row r="130" spans="1:36" s="2" customFormat="1">
      <c r="A130" s="5134"/>
      <c r="B130" s="5134"/>
      <c r="C130" s="5132"/>
      <c r="D130" s="5134"/>
      <c r="E130" s="5134"/>
      <c r="F130" s="5131"/>
      <c r="G130" s="6" t="s">
        <v>1501</v>
      </c>
      <c r="H130" s="6"/>
      <c r="I130" s="6"/>
      <c r="J130" s="6"/>
      <c r="K130" s="6"/>
      <c r="L130" s="6"/>
      <c r="M130" s="6"/>
      <c r="N130" s="6"/>
      <c r="O130" s="6"/>
      <c r="P130" s="7416">
        <f>+IF(OR(C20="",C20=0,C20&gt;25),"",IF(VLOOKUP(MATCH(C20,lst_id,0),em,'5(em)'!$CE$18,FALSE)="","",VLOOKUP(MATCH(C20,lst_id,0),em,'5(em)'!$CE$18,FALSE)))</f>
        <v>1.5</v>
      </c>
      <c r="Q130" s="5145" t="str">
        <f>+IF(P130="","","tons/yr")</f>
        <v>tons/yr</v>
      </c>
      <c r="R130" s="6"/>
      <c r="S130" s="6"/>
      <c r="T130" s="9375">
        <f>+IF(OR(C20="",C20=0,C20&gt;25),"",IF(VLOOKUP(MATCH(C20,lst_id,0),em,'5(em)'!$CL$18,FALSE)="","",VLOOKUP(MATCH(C20,lst_id,0),em,'5(em)'!$CL$18,FALSE)))</f>
        <v>0.4</v>
      </c>
      <c r="U130" s="9376"/>
      <c r="V130" s="9465" t="str">
        <f>+IF(T130="","","tons/yr")</f>
        <v>tons/yr</v>
      </c>
      <c r="W130" s="9465"/>
      <c r="X130" s="9466"/>
      <c r="Y130" s="6"/>
      <c r="Z130" s="6"/>
      <c r="AA130" s="9375">
        <f>+IF(OR(C20="",C20=0,C20&gt;25),"",IF(VLOOKUP(MATCH(C20,lst_id,0),em,'5(em)'!$CS$18,FALSE)="","",VLOOKUP(MATCH(C20,lst_id,0),em,'5(em)'!$CS$18,FALSE)))</f>
        <v>0.7</v>
      </c>
      <c r="AB130" s="9376"/>
      <c r="AC130" s="9465" t="str">
        <f>+IF(AA130="","","tons/yr")</f>
        <v>tons/yr</v>
      </c>
      <c r="AD130" s="9465"/>
      <c r="AE130" s="9466"/>
      <c r="AH130" s="5134"/>
      <c r="AI130" s="5134"/>
      <c r="AJ130" s="5134"/>
    </row>
    <row r="131" spans="1:36" s="2" customFormat="1">
      <c r="A131" s="5134"/>
      <c r="B131" s="5134"/>
      <c r="C131" s="5132"/>
      <c r="D131" s="5134"/>
      <c r="E131" s="5134"/>
      <c r="F131" s="5131"/>
      <c r="G131" s="43" t="s">
        <v>1952</v>
      </c>
      <c r="H131" s="43"/>
      <c r="I131" s="43"/>
      <c r="J131" s="43"/>
      <c r="K131" s="43"/>
      <c r="L131" s="43"/>
      <c r="M131" s="43"/>
      <c r="N131" s="43"/>
      <c r="O131" s="43"/>
      <c r="P131" s="9464" t="str">
        <f>+IF(OR(C20="",C20=0,C20&gt;25),"",IF(VLOOKUP(MATCH(C20,lst_id,0),em,'5(em)'!$AS$18,FALSE)="","",VLOOKUP(MATCH(C20,lst_id,0),em,'5(em)'!$AS$18,FALSE)))</f>
        <v>Diesel Oil</v>
      </c>
      <c r="Q131" s="9464"/>
      <c r="R131" s="43"/>
      <c r="S131" s="43"/>
      <c r="T131" s="9464" t="str">
        <f>+IF(OR(C20="",C20=0,C20&gt;25),"",IF(VLOOKUP(MATCH(C20,lst_id,0),em,'5(em)'!$BE$18,FALSE)="","",VLOOKUP(MATCH(C20,lst_id,0),em,'5(em)'!$BE$18,FALSE)))</f>
        <v>Diesel Oil</v>
      </c>
      <c r="U131" s="9464"/>
      <c r="V131" s="9464"/>
      <c r="W131" s="9464"/>
      <c r="X131" s="9464"/>
      <c r="Y131" s="43"/>
      <c r="Z131" s="43"/>
      <c r="AA131" s="9464" t="str">
        <f>+IF(OR(C20="",C20=0,C20&gt;25),"",IF(VLOOKUP(MATCH(C20,lst_id,0),em,'5(em)'!$BQ$18,FALSE)="","",VLOOKUP(MATCH(C20,lst_id,0),em,'5(em)'!$BQ$18,FALSE)))</f>
        <v>Diesel Oil</v>
      </c>
      <c r="AB131" s="9464"/>
      <c r="AC131" s="9464"/>
      <c r="AD131" s="9464"/>
      <c r="AE131" s="9464"/>
      <c r="AH131" s="5134"/>
      <c r="AI131" s="5134"/>
      <c r="AJ131" s="5134"/>
    </row>
    <row r="132" spans="1:36" s="2" customFormat="1">
      <c r="A132" s="5134"/>
      <c r="B132" s="5134"/>
      <c r="C132" s="5132"/>
      <c r="D132" s="5134"/>
      <c r="E132" s="5134"/>
      <c r="F132" s="5131"/>
      <c r="G132" s="2" t="s">
        <v>912</v>
      </c>
      <c r="I132" s="2" t="s">
        <v>1955</v>
      </c>
      <c r="AH132" s="5134"/>
      <c r="AI132" s="5134"/>
      <c r="AJ132" s="5134"/>
    </row>
    <row r="133" spans="1:36" s="2" customFormat="1">
      <c r="A133" s="5134"/>
      <c r="B133" s="5134"/>
      <c r="C133" s="5132"/>
      <c r="D133" s="5134"/>
      <c r="E133" s="5134"/>
      <c r="F133" s="5131"/>
      <c r="Q133" s="5346"/>
      <c r="AH133" s="5134"/>
      <c r="AI133" s="5134"/>
      <c r="AJ133" s="5134"/>
    </row>
    <row r="134" spans="1:36" s="2" customFormat="1">
      <c r="A134" s="5134"/>
      <c r="B134" s="5134"/>
      <c r="C134" s="5132"/>
      <c r="D134" s="5134"/>
      <c r="E134" s="5134"/>
      <c r="F134" s="5131"/>
      <c r="G134" s="2" t="s">
        <v>1956</v>
      </c>
      <c r="P134" s="9393" t="str">
        <f>+IF(OR(C20="",C20=0,C20&gt;25),"",IF(VLOOKUP(MATCH(C20,lst_id,0),em,'5(em)'!$BS$18,FALSE)="","",VLOOKUP(MATCH(C20,lst_id,0),em,'5(em)'!$BS$18,FALSE)))</f>
        <v/>
      </c>
      <c r="Q134" s="9398"/>
      <c r="R134" s="9393"/>
      <c r="S134" s="9393"/>
      <c r="T134" s="9393"/>
      <c r="U134" s="9393"/>
      <c r="V134" s="9393"/>
      <c r="W134" s="9393"/>
      <c r="X134" s="9393"/>
      <c r="Y134" s="9393"/>
      <c r="Z134" s="9393"/>
      <c r="AA134" s="9393"/>
      <c r="AB134" s="9393"/>
      <c r="AC134" s="9393"/>
      <c r="AD134" s="9393"/>
      <c r="AE134" s="9393"/>
      <c r="AH134" s="5134"/>
      <c r="AI134" s="5134"/>
      <c r="AJ134" s="5134"/>
    </row>
    <row r="135" spans="1:36" s="2" customFormat="1">
      <c r="A135" s="5134"/>
      <c r="B135" s="5134"/>
      <c r="C135" s="5132"/>
      <c r="D135" s="5134"/>
      <c r="E135" s="5134"/>
      <c r="F135" s="5131"/>
      <c r="G135" s="298" t="s">
        <v>1957</v>
      </c>
      <c r="P135" s="9393" t="str">
        <f>+IF(OR(C20="",C20=0,C20&gt;25),"",IF(VLOOKUP(MATCH(C20,lst_id,0),em,'5(em)'!$BT$18,FALSE)="","",VLOOKUP(MATCH(C20,lst_id,0),em,'5(em)'!$BT$18,FALSE)))</f>
        <v/>
      </c>
      <c r="Q135" s="9393"/>
      <c r="R135" s="9393"/>
      <c r="S135" s="9393"/>
      <c r="T135" s="9393"/>
      <c r="U135" s="9393"/>
      <c r="V135" s="9393"/>
      <c r="W135" s="9393"/>
      <c r="X135" s="9393"/>
      <c r="Y135" s="9393"/>
      <c r="Z135" s="9393"/>
      <c r="AA135" s="9393"/>
      <c r="AB135" s="9393"/>
      <c r="AC135" s="9393"/>
      <c r="AD135" s="9393"/>
      <c r="AE135" s="9393"/>
      <c r="AH135" s="5134"/>
      <c r="AI135" s="5134"/>
      <c r="AJ135" s="5134"/>
    </row>
    <row r="136" spans="1:36" s="2" customFormat="1">
      <c r="A136" s="5134"/>
      <c r="B136" s="5134"/>
      <c r="C136" s="5132"/>
      <c r="D136" s="5134"/>
      <c r="E136" s="5134"/>
      <c r="F136" s="5131"/>
      <c r="P136" s="9393" t="str">
        <f>+IF(OR(C20="",C20=0,C20&gt;25),"",IF(VLOOKUP(MATCH(C20,lst_id,0),em,'5(em)'!$BU$18,FALSE)="","",VLOOKUP(MATCH(C20,lst_id,0),em,'5(em)'!$BU$18,FALSE)))</f>
        <v/>
      </c>
      <c r="Q136" s="9393"/>
      <c r="R136" s="9393"/>
      <c r="S136" s="9393"/>
      <c r="T136" s="9393"/>
      <c r="U136" s="9393"/>
      <c r="V136" s="9393"/>
      <c r="W136" s="9393"/>
      <c r="X136" s="9393"/>
      <c r="Y136" s="9393"/>
      <c r="Z136" s="9393"/>
      <c r="AA136" s="9393"/>
      <c r="AB136" s="9393"/>
      <c r="AC136" s="9393"/>
      <c r="AD136" s="9393"/>
      <c r="AE136" s="9393"/>
      <c r="AH136" s="5134"/>
      <c r="AI136" s="5134"/>
      <c r="AJ136" s="5134"/>
    </row>
    <row r="137" spans="1:36" s="2" customFormat="1">
      <c r="A137" s="5134"/>
      <c r="B137" s="5134"/>
      <c r="C137" s="5132"/>
      <c r="D137" s="5134"/>
      <c r="E137" s="5134"/>
      <c r="F137" s="5131"/>
      <c r="AH137" s="5134"/>
      <c r="AI137" s="5134"/>
      <c r="AJ137" s="5134"/>
    </row>
    <row r="138" spans="1:36" s="2" customFormat="1">
      <c r="A138" s="5134"/>
      <c r="B138" s="5134"/>
      <c r="C138" s="5132"/>
      <c r="D138" s="5134"/>
      <c r="E138" s="5134"/>
      <c r="F138" s="5131"/>
      <c r="G138" s="4447" t="s">
        <v>1953</v>
      </c>
      <c r="AH138" s="5134"/>
      <c r="AI138" s="5134"/>
      <c r="AJ138" s="5134"/>
    </row>
    <row r="139" spans="1:36" s="2" customFormat="1">
      <c r="A139" s="5134"/>
      <c r="B139" s="5134"/>
      <c r="C139" s="5132"/>
      <c r="D139" s="5134"/>
      <c r="E139" s="5134"/>
      <c r="F139" s="5131"/>
      <c r="G139" s="4448" t="s">
        <v>1954</v>
      </c>
      <c r="P139" s="9393" t="str">
        <f>+IF(OR(C20="",C20=0,C20&gt;25),"",IF(VLOOKUP(MATCH(C20,lst_id,0),tao,'12(id)'!$BW$20,FALSE)="","",VLOOKUP(MATCH(C20,lst_id,0),tao,'12(id)'!$BW$20,FALSE)))</f>
        <v>Yes</v>
      </c>
      <c r="Q139" s="9393"/>
      <c r="AH139" s="5134"/>
      <c r="AI139" s="5134"/>
      <c r="AJ139" s="5134"/>
    </row>
    <row r="140" spans="1:36" s="2" customFormat="1">
      <c r="A140" s="5134"/>
      <c r="B140" s="5134"/>
      <c r="C140" s="5132"/>
      <c r="D140" s="5134"/>
      <c r="E140" s="5134"/>
      <c r="F140" s="5131"/>
      <c r="G140" s="2" t="s">
        <v>405</v>
      </c>
      <c r="P140" s="9393" t="str">
        <f>+IF(OR(C20="",C20=0,C20&gt;25),"",IF(VLOOKUP(MATCH(C20,lst_id,0),tao,'12(id)'!$BX$20,FALSE)="","",VLOOKUP(MATCH(C20,lst_id,0),tao,'12(id)'!$BX$20,FALSE)))</f>
        <v>Combustion Components Associates, Inc. (CCA)</v>
      </c>
      <c r="Q140" s="9393"/>
      <c r="R140" s="9393"/>
      <c r="S140" s="9393"/>
      <c r="T140" s="9393"/>
      <c r="U140" s="9393"/>
      <c r="V140" s="9393"/>
      <c r="W140" s="9393"/>
      <c r="X140" s="9393"/>
      <c r="AH140" s="5134"/>
      <c r="AI140" s="5134"/>
      <c r="AJ140" s="5134"/>
    </row>
    <row r="141" spans="1:36" s="2" customFormat="1">
      <c r="A141" s="5134"/>
      <c r="B141" s="5134"/>
      <c r="C141" s="5132"/>
      <c r="D141" s="5134"/>
      <c r="E141" s="5134"/>
      <c r="F141" s="5131"/>
      <c r="G141" s="2" t="s">
        <v>822</v>
      </c>
      <c r="P141" s="9393" t="str">
        <f>+IF(OR(C20="",C20=0,C20&gt;25),"",IF(VLOOKUP(MATCH(C20,lst_id,0),tao,'12(id)'!$BY$20,FALSE)="","",VLOOKUP(MATCH(C20,lst_id,0),tao,'12(id)'!$BY$20,FALSE)))</f>
        <v>(203) 268-3139</v>
      </c>
      <c r="Q141" s="9393"/>
      <c r="R141" s="4449"/>
      <c r="S141" s="4449"/>
      <c r="T141" s="9393" t="str">
        <f>+IF(OR(C20="",C20=0,C20&gt;25),"",IF(VLOOKUP(MATCH(C20,lst_id,0),tao,'12(id)'!$BZ$20,FALSE)="","",VLOOKUP(MATCH(C20,lst_id,0),tao,'12(id)'!$BZ$20,FALSE)))</f>
        <v>(203) 261-7697</v>
      </c>
      <c r="U141" s="9393"/>
      <c r="V141" s="9393"/>
      <c r="W141" s="9393"/>
      <c r="X141" s="9393"/>
      <c r="AH141" s="5134"/>
      <c r="AI141" s="5134"/>
      <c r="AJ141" s="5134"/>
    </row>
    <row r="142" spans="1:36" s="2" customFormat="1">
      <c r="A142" s="5134"/>
      <c r="B142" s="5134"/>
      <c r="C142" s="5132"/>
      <c r="D142" s="5134"/>
      <c r="E142" s="5134"/>
      <c r="F142" s="5131"/>
      <c r="G142" s="2" t="s">
        <v>516</v>
      </c>
      <c r="P142" s="9393" t="str">
        <f>+IF(OR(C20="",C20=0,C20&gt;25),"",IF(VLOOKUP(MATCH(C20,lst_id,0),tao,'12(id)'!$CA$20,FALSE)="","",VLOOKUP(MATCH(C20,lst_id,0),tao,'12(id)'!$CA$20,FALSE)))</f>
        <v>NU-SMEADOW-10-1</v>
      </c>
      <c r="Q142" s="9393"/>
      <c r="R142" s="9393"/>
      <c r="S142" s="9393"/>
      <c r="T142" s="9393"/>
      <c r="U142" s="9393"/>
      <c r="V142" s="9393"/>
      <c r="W142" s="9393"/>
      <c r="X142" s="9393"/>
      <c r="Y142" s="90" t="str">
        <f>+IF(AA142="","","Rev:")</f>
        <v>Rev:</v>
      </c>
      <c r="AA142" s="9393" t="str">
        <f>+IF(OR(C20="",C20=0,C20&gt;25),"",IF(VLOOKUP(MATCH(C20,lst_id,0),tao,'12(id)'!$CD$20,FALSE)="","",VLOOKUP(MATCH(C20,lst_id,0),tao,'12(id)'!$CD$20,FALSE)))</f>
        <v>Re-sent modified</v>
      </c>
      <c r="AB142" s="9393"/>
      <c r="AC142" s="9393"/>
      <c r="AD142" s="9393"/>
      <c r="AE142" s="9393"/>
      <c r="AH142" s="5134"/>
      <c r="AI142" s="5134"/>
      <c r="AJ142" s="5134"/>
    </row>
    <row r="143" spans="1:36" s="2" customFormat="1">
      <c r="A143" s="5134"/>
      <c r="B143" s="5134"/>
      <c r="C143" s="5132"/>
      <c r="D143" s="5134"/>
      <c r="E143" s="5134"/>
      <c r="F143" s="5131"/>
      <c r="G143" s="2" t="s">
        <v>791</v>
      </c>
      <c r="P143" s="9371">
        <f>+IF(OR(C20="",C20=0,C20&gt;25),"",IF(VLOOKUP(MATCH(C20,lst_id,0),tao,'12(id)'!$CC$20,FALSE)="","",VLOOKUP(MATCH(C20,lst_id,0),tao,'12(id)'!$CC$20,FALSE)))</f>
        <v>40569</v>
      </c>
      <c r="Q143" s="9371"/>
      <c r="R143" s="9371"/>
      <c r="S143" s="9371"/>
      <c r="T143" s="9371"/>
      <c r="U143" s="9371"/>
      <c r="V143" s="9371"/>
      <c r="W143" s="9371"/>
      <c r="X143" s="9371"/>
      <c r="Y143" s="90" t="str">
        <f>+IF(AA143="","","Date")</f>
        <v>Date</v>
      </c>
      <c r="AA143" s="9371">
        <f>+IF(OR(C20="",C20=0,C20&gt;25),"",IF(VLOOKUP(MATCH(C20,lst_id,0),tao,'12(id)'!$CE$20,FALSE)="","",VLOOKUP(MATCH(C20,lst_id,0),tao,'12(id)'!$CE$20,FALSE)))</f>
        <v>40662</v>
      </c>
      <c r="AB143" s="9371"/>
      <c r="AC143" s="9371"/>
      <c r="AD143" s="9371"/>
      <c r="AE143" s="9371"/>
      <c r="AH143" s="5134"/>
      <c r="AI143" s="5134"/>
      <c r="AJ143" s="5134"/>
    </row>
    <row r="144" spans="1:36" s="2" customFormat="1">
      <c r="A144" s="5134"/>
      <c r="B144" s="5134"/>
      <c r="C144" s="5132"/>
      <c r="D144" s="5134"/>
      <c r="E144" s="5134"/>
      <c r="F144" s="5131"/>
      <c r="G144" s="2" t="s">
        <v>518</v>
      </c>
      <c r="P144" s="9393" t="str">
        <f>+IF(OR(C20="",C20=0,C20&gt;25),"",IF(VLOOKUP(MATCH(C20,lst_id,0),tao,'12(id)'!$CB$20,FALSE)="","",VLOOKUP(MATCH(C20,lst_id,0),tao,'12(id)'!$CB$20,FALSE)))</f>
        <v>Howard A.S. Brooks and Edmund Schindler</v>
      </c>
      <c r="Q144" s="9393"/>
      <c r="R144" s="9393"/>
      <c r="S144" s="9393"/>
      <c r="T144" s="9393"/>
      <c r="U144" s="9393"/>
      <c r="V144" s="9393"/>
      <c r="W144" s="9393"/>
      <c r="X144" s="9393"/>
      <c r="AH144" s="5134"/>
      <c r="AI144" s="5134"/>
      <c r="AJ144" s="5134"/>
    </row>
    <row r="145" spans="1:36" s="2" customFormat="1">
      <c r="A145" s="5134"/>
      <c r="B145" s="5134"/>
      <c r="C145" s="5132"/>
      <c r="D145" s="5134"/>
      <c r="E145" s="5134"/>
      <c r="F145" s="5131"/>
      <c r="AH145" s="5134"/>
      <c r="AI145" s="5134"/>
      <c r="AJ145" s="5134"/>
    </row>
    <row r="146" spans="1:36" s="2" customFormat="1">
      <c r="A146" s="5134"/>
      <c r="B146" s="5134"/>
      <c r="C146" s="5132"/>
      <c r="D146" s="5134"/>
      <c r="E146" s="5134"/>
      <c r="F146" s="5131"/>
      <c r="G146" s="2" t="str">
        <f>+'12(id)'!CF17</f>
        <v>Report Objective:</v>
      </c>
      <c r="P146" s="9370" t="str">
        <f>+IF(OR(C20="",C20=0,C20&gt;25),"",IF(VLOOKUP(MATCH(C20,lst_id,0),tao,'12(id)'!$CF$20,FALSE)="","",VLOOKUP(MATCH(C20,lst_id,0),tao,'12(id)'!$CF$20,FALSE)))</f>
        <v>Evaluate control technology options to reduce the current NOx level from 130 ppm to between 25 and 50 ppmvd at 15% oxygen</v>
      </c>
      <c r="Q146" s="9370"/>
      <c r="R146" s="9370"/>
      <c r="S146" s="9370"/>
      <c r="T146" s="9370"/>
      <c r="U146" s="9370"/>
      <c r="V146" s="9370"/>
      <c r="W146" s="9370"/>
      <c r="X146" s="9370"/>
      <c r="Y146" s="9370"/>
      <c r="Z146" s="9370"/>
      <c r="AA146" s="9370"/>
      <c r="AB146" s="9370"/>
      <c r="AC146" s="9370"/>
      <c r="AD146" s="9370"/>
      <c r="AE146" s="9370"/>
      <c r="AH146" s="5134"/>
      <c r="AI146" s="5134"/>
      <c r="AJ146" s="5134"/>
    </row>
    <row r="147" spans="1:36" s="2" customFormat="1">
      <c r="A147" s="5134"/>
      <c r="B147" s="5134"/>
      <c r="C147" s="5132"/>
      <c r="D147" s="5134"/>
      <c r="E147" s="5134"/>
      <c r="F147" s="5131"/>
      <c r="P147" s="9370"/>
      <c r="Q147" s="9370"/>
      <c r="R147" s="9370"/>
      <c r="S147" s="9370"/>
      <c r="T147" s="9370"/>
      <c r="U147" s="9370"/>
      <c r="V147" s="9370"/>
      <c r="W147" s="9370"/>
      <c r="X147" s="9370"/>
      <c r="Y147" s="9370"/>
      <c r="Z147" s="9370"/>
      <c r="AA147" s="9370"/>
      <c r="AB147" s="9370"/>
      <c r="AC147" s="9370"/>
      <c r="AD147" s="9370"/>
      <c r="AE147" s="9370"/>
      <c r="AH147" s="5134"/>
      <c r="AI147" s="5134"/>
      <c r="AJ147" s="5134"/>
    </row>
    <row r="148" spans="1:36" s="2" customFormat="1">
      <c r="A148" s="5134"/>
      <c r="B148" s="5134"/>
      <c r="C148" s="5132"/>
      <c r="D148" s="5134"/>
      <c r="E148" s="5134"/>
      <c r="F148" s="5131"/>
      <c r="AH148" s="5134"/>
      <c r="AI148" s="5134"/>
      <c r="AJ148" s="5134"/>
    </row>
    <row r="149" spans="1:36" s="2" customFormat="1">
      <c r="A149" s="5134"/>
      <c r="B149" s="5134"/>
      <c r="C149" s="5132"/>
      <c r="D149" s="5134"/>
      <c r="E149" s="5134"/>
      <c r="F149" s="5131"/>
      <c r="G149" s="2" t="str">
        <f>+'12(id)'!FP18</f>
        <v>Equipment Use</v>
      </c>
      <c r="P149" s="9399" t="str">
        <f>+IF(OR(C20="",C20=0,C20&gt;25),"",IF(VLOOKUP(MATCH(C20,lst_id,0),tao,'12(id)'!$FP$20,FALSE)="","",VLOOKUP(MATCH(C20,lst_id,0),tao,'12(id)'!$FP$20,FALSE)))</f>
        <v>Emergency and DR with black start capability, running at full load of 160 MW (40MW/EGU) for 48 hrs, plus any additional time required by ISO-NE</v>
      </c>
      <c r="Q149" s="9399"/>
      <c r="R149" s="9399"/>
      <c r="S149" s="9399"/>
      <c r="T149" s="9399"/>
      <c r="U149" s="9399"/>
      <c r="V149" s="9399"/>
      <c r="W149" s="9399"/>
      <c r="X149" s="9399"/>
      <c r="Y149" s="9399"/>
      <c r="Z149" s="9399"/>
      <c r="AA149" s="9399"/>
      <c r="AB149" s="9399"/>
      <c r="AC149" s="9399"/>
      <c r="AD149" s="9399"/>
      <c r="AE149" s="9399"/>
      <c r="AH149" s="5134"/>
      <c r="AI149" s="5134"/>
      <c r="AJ149" s="5134"/>
    </row>
    <row r="150" spans="1:36" s="2" customFormat="1">
      <c r="A150" s="5134"/>
      <c r="B150" s="5134"/>
      <c r="C150" s="5132"/>
      <c r="D150" s="5134"/>
      <c r="E150" s="5134"/>
      <c r="F150" s="5131"/>
      <c r="P150" s="9399"/>
      <c r="Q150" s="9399"/>
      <c r="R150" s="9399"/>
      <c r="S150" s="9399"/>
      <c r="T150" s="9399"/>
      <c r="U150" s="9399"/>
      <c r="V150" s="9399"/>
      <c r="W150" s="9399"/>
      <c r="X150" s="9399"/>
      <c r="Y150" s="9399"/>
      <c r="Z150" s="9399"/>
      <c r="AA150" s="9399"/>
      <c r="AB150" s="9399"/>
      <c r="AC150" s="9399"/>
      <c r="AD150" s="9399"/>
      <c r="AE150" s="9399"/>
      <c r="AH150" s="5134"/>
      <c r="AI150" s="5134"/>
      <c r="AJ150" s="5134"/>
    </row>
    <row r="151" spans="1:36" s="2" customFormat="1">
      <c r="A151" s="5134"/>
      <c r="B151" s="5134"/>
      <c r="C151" s="5132"/>
      <c r="D151" s="5134"/>
      <c r="E151" s="5134"/>
      <c r="F151" s="5131"/>
      <c r="P151" s="26"/>
      <c r="Q151" s="26"/>
      <c r="R151" s="26"/>
      <c r="S151" s="26"/>
      <c r="T151" s="26"/>
      <c r="U151" s="26"/>
      <c r="V151" s="26"/>
      <c r="W151" s="26"/>
      <c r="X151" s="26"/>
      <c r="Y151" s="26"/>
      <c r="Z151" s="26"/>
      <c r="AA151" s="26"/>
      <c r="AB151" s="26"/>
      <c r="AC151" s="26"/>
      <c r="AD151" s="26"/>
      <c r="AE151" s="26"/>
      <c r="AH151" s="5134"/>
      <c r="AI151" s="5134"/>
      <c r="AJ151" s="5134"/>
    </row>
    <row r="152" spans="1:36" s="2" customFormat="1">
      <c r="A152" s="5134"/>
      <c r="B152" s="5134"/>
      <c r="C152" s="5132"/>
      <c r="D152" s="5134"/>
      <c r="E152" s="5134"/>
      <c r="F152" s="5131"/>
      <c r="P152" s="26"/>
      <c r="Q152" s="26"/>
      <c r="R152" s="26"/>
      <c r="S152" s="26"/>
      <c r="T152" s="26"/>
      <c r="U152" s="26"/>
      <c r="V152" s="26"/>
      <c r="W152" s="26"/>
      <c r="X152" s="26"/>
      <c r="Y152" s="26"/>
      <c r="Z152" s="26"/>
      <c r="AA152" s="26"/>
      <c r="AB152" s="26"/>
      <c r="AC152" s="26"/>
      <c r="AD152" s="26"/>
      <c r="AE152" s="26"/>
      <c r="AH152" s="5134"/>
      <c r="AI152" s="5134"/>
      <c r="AJ152" s="5134"/>
    </row>
    <row r="153" spans="1:36" s="2" customFormat="1">
      <c r="A153" s="5134"/>
      <c r="B153" s="5134"/>
      <c r="C153" s="5132"/>
      <c r="D153" s="5134"/>
      <c r="E153" s="5134"/>
      <c r="F153" s="5131"/>
      <c r="G153" s="2" t="str">
        <f>+'12(id)'!FQ18</f>
        <v>Equipment Existing Operating Controls</v>
      </c>
      <c r="P153" s="9372" t="str">
        <f>+IF(OR(C20="",C20=0,C20&gt;25),"",IF(VLOOKUP(MATCH(C20,lst_id,0),tao,'12(id)'!$FQ$20,FALSE)="","",VLOOKUP(MATCH(C20,lst_id,0),tao,'12(id)'!$FQ$20,FALSE)))</f>
        <v>Modbus Modicon TSX Quantum per each EGU - for operation control</v>
      </c>
      <c r="Q153" s="9372"/>
      <c r="R153" s="9372"/>
      <c r="S153" s="9372"/>
      <c r="T153" s="9372"/>
      <c r="U153" s="9372"/>
      <c r="V153" s="9372"/>
      <c r="W153" s="9372"/>
      <c r="X153" s="9372"/>
      <c r="Y153" s="9372"/>
      <c r="Z153" s="9372"/>
      <c r="AA153" s="9372"/>
      <c r="AB153" s="9372"/>
      <c r="AC153" s="9372"/>
      <c r="AD153" s="9372"/>
      <c r="AE153" s="9372"/>
      <c r="AH153" s="5134"/>
      <c r="AI153" s="5134"/>
      <c r="AJ153" s="5134"/>
    </row>
    <row r="154" spans="1:36" s="2" customFormat="1">
      <c r="A154" s="5134"/>
      <c r="B154" s="5134"/>
      <c r="C154" s="5132"/>
      <c r="D154" s="5134"/>
      <c r="E154" s="5134"/>
      <c r="F154" s="5131"/>
      <c r="P154" s="9372"/>
      <c r="Q154" s="9372"/>
      <c r="R154" s="9372"/>
      <c r="S154" s="9372"/>
      <c r="T154" s="9372"/>
      <c r="U154" s="9372"/>
      <c r="V154" s="9372"/>
      <c r="W154" s="9372"/>
      <c r="X154" s="9372"/>
      <c r="Y154" s="9372"/>
      <c r="Z154" s="9372"/>
      <c r="AA154" s="9372"/>
      <c r="AB154" s="9372"/>
      <c r="AC154" s="9372"/>
      <c r="AD154" s="9372"/>
      <c r="AE154" s="9372"/>
      <c r="AH154" s="5134"/>
      <c r="AI154" s="5134"/>
      <c r="AJ154" s="5134"/>
    </row>
    <row r="155" spans="1:36" s="2" customFormat="1">
      <c r="A155" s="5134"/>
      <c r="B155" s="5134"/>
      <c r="C155" s="5132"/>
      <c r="D155" s="5134"/>
      <c r="E155" s="5134"/>
      <c r="F155" s="5131"/>
      <c r="AH155" s="5134"/>
      <c r="AI155" s="5134"/>
      <c r="AJ155" s="5134"/>
    </row>
    <row r="156" spans="1:36" s="2" customFormat="1">
      <c r="A156" s="5134"/>
      <c r="B156" s="5134"/>
      <c r="C156" s="5132"/>
      <c r="D156" s="5134"/>
      <c r="E156" s="5134"/>
      <c r="F156" s="5131"/>
      <c r="G156" s="2" t="str">
        <f>+'12(id)'!FR18</f>
        <v>Equipment Existing NOx Controls</v>
      </c>
      <c r="AH156" s="5134"/>
      <c r="AI156" s="5134"/>
      <c r="AJ156" s="5134"/>
    </row>
    <row r="157" spans="1:36" s="2" customFormat="1" ht="12.75" customHeight="1">
      <c r="A157" s="5134"/>
      <c r="B157" s="5134"/>
      <c r="C157" s="5132"/>
      <c r="D157" s="5134"/>
      <c r="E157" s="5134"/>
      <c r="F157" s="5131"/>
      <c r="H157" s="23" t="s">
        <v>1984</v>
      </c>
      <c r="I157" s="2" t="s">
        <v>2374</v>
      </c>
      <c r="P157" s="9395" t="str">
        <f>+IF(OR(C20="",C20=0,C20&gt;25),"",IF(VLOOKUP(MATCH(C20,lst_id,0),tao,'12(id)'!$FR$20,FALSE)="","",VLOOKUP(MATCH(C20,lst_id,0),tao,'12(id)'!$FR$20,FALSE)&amp;IF(VLOOKUP(MATCH(C20,lst_id,0),tao,'12(id)'!$FS$20,FALSE)="","",", "&amp;VLOOKUP(MATCH(C20,lst_id,0),tao,'12(id)'!$FS$20,FALSE))))</f>
        <v>None</v>
      </c>
      <c r="Q157" s="9396"/>
      <c r="R157" s="9396"/>
      <c r="S157" s="9396"/>
      <c r="T157" s="9396"/>
      <c r="U157" s="9396"/>
      <c r="V157" s="9396"/>
      <c r="W157" s="9396"/>
      <c r="X157" s="9396"/>
      <c r="Y157" s="9396"/>
      <c r="Z157" s="9396"/>
      <c r="AA157" s="9396"/>
      <c r="AB157" s="9396"/>
      <c r="AC157" s="9396"/>
      <c r="AD157" s="9396"/>
      <c r="AE157" s="9397"/>
      <c r="AH157" s="5134"/>
      <c r="AI157" s="5134"/>
      <c r="AJ157" s="5134"/>
    </row>
    <row r="158" spans="1:36" s="2" customFormat="1" ht="12.75" customHeight="1">
      <c r="A158" s="5134"/>
      <c r="B158" s="5134"/>
      <c r="C158" s="5132"/>
      <c r="D158" s="5134"/>
      <c r="E158" s="5134"/>
      <c r="F158" s="5131"/>
      <c r="H158" s="23" t="s">
        <v>1984</v>
      </c>
      <c r="I158" s="2" t="s">
        <v>2375</v>
      </c>
      <c r="P158" s="7413" t="str">
        <f>+IF(OR(C20="",C20=0,C20&gt;25),"",IF(VLOOKUP(MATCH(C20,lst_id,0),em,'5(em)'!$BS$18,FALSE)="","",VLOOKUP(MATCH(C20,lst_id,0),em,'5(em)'!$BS$18,FALSE)&amp;IF(VLOOKUP(MATCH(C20,lst_id,0),em,'5(em)'!$BT$18,FALSE)="","",", "&amp;VLOOKUP(MATCH(C20,lst_id,0),em,'5(em)'!$BT$18,FALSE))))</f>
        <v/>
      </c>
      <c r="Q158" s="7414"/>
      <c r="R158" s="7414"/>
      <c r="S158" s="7414"/>
      <c r="T158" s="7414"/>
      <c r="U158" s="7414"/>
      <c r="V158" s="7414"/>
      <c r="W158" s="7414"/>
      <c r="X158" s="7414"/>
      <c r="Y158" s="7414"/>
      <c r="Z158" s="7414"/>
      <c r="AA158" s="7414"/>
      <c r="AB158" s="7414"/>
      <c r="AC158" s="7414"/>
      <c r="AD158" s="7414"/>
      <c r="AE158" s="7415"/>
      <c r="AH158" s="5134"/>
      <c r="AI158" s="5134"/>
      <c r="AJ158" s="5134"/>
    </row>
    <row r="159" spans="1:36" s="2" customFormat="1">
      <c r="A159" s="5134"/>
      <c r="B159" s="5134"/>
      <c r="C159" s="5132"/>
      <c r="D159" s="5134"/>
      <c r="E159" s="5134"/>
      <c r="F159" s="5131"/>
      <c r="G159" s="2" t="s">
        <v>977</v>
      </c>
      <c r="P159" s="9395" t="str">
        <f>+IF(OR(C20="",C20=0,C20&gt;25),"",IF(VLOOKUP(MATCH(C20,lst_id,0),tao,'12(id)'!$FV$20,FALSE)="","",VLOOKUP(MATCH(C20,lst_id,0),tao,'12(id)'!$FV$20,FALSE)))</f>
        <v>None</v>
      </c>
      <c r="Q159" s="9396"/>
      <c r="R159" s="9396"/>
      <c r="S159" s="9396"/>
      <c r="T159" s="9396"/>
      <c r="U159" s="9396"/>
      <c r="V159" s="9396"/>
      <c r="W159" s="9396"/>
      <c r="X159" s="9396"/>
      <c r="Y159" s="9396"/>
      <c r="Z159" s="9396"/>
      <c r="AA159" s="9396"/>
      <c r="AB159" s="9396"/>
      <c r="AC159" s="9396"/>
      <c r="AD159" s="9396"/>
      <c r="AE159" s="9397"/>
      <c r="AH159" s="5134"/>
      <c r="AI159" s="5134"/>
      <c r="AJ159" s="5134"/>
    </row>
    <row r="160" spans="1:36" s="2" customFormat="1">
      <c r="A160" s="5134"/>
      <c r="B160" s="5134"/>
      <c r="C160" s="5132"/>
      <c r="D160" s="5134"/>
      <c r="E160" s="5134"/>
      <c r="F160" s="5131"/>
      <c r="P160" s="44"/>
      <c r="Q160" s="44"/>
      <c r="R160" s="44"/>
      <c r="S160" s="44"/>
      <c r="T160" s="44"/>
      <c r="U160" s="44"/>
      <c r="V160" s="44"/>
      <c r="W160" s="44"/>
      <c r="X160" s="44"/>
      <c r="Y160" s="44"/>
      <c r="Z160" s="44"/>
      <c r="AA160" s="44"/>
      <c r="AB160" s="44"/>
      <c r="AC160" s="44"/>
      <c r="AD160" s="44"/>
      <c r="AE160" s="44"/>
      <c r="AH160" s="5134"/>
      <c r="AI160" s="5134"/>
      <c r="AJ160" s="5134"/>
    </row>
    <row r="161" spans="1:36" s="2" customFormat="1" ht="12.75" customHeight="1">
      <c r="A161" s="5134"/>
      <c r="B161" s="5134"/>
      <c r="C161" s="5132"/>
      <c r="D161" s="5134"/>
      <c r="E161" s="5134"/>
      <c r="F161" s="5131"/>
      <c r="P161" s="44"/>
      <c r="Q161" s="44"/>
      <c r="R161" s="44"/>
      <c r="S161" s="44"/>
      <c r="T161" s="44"/>
      <c r="U161" s="44"/>
      <c r="V161" s="44"/>
      <c r="W161" s="44"/>
      <c r="X161" s="44"/>
      <c r="Y161" s="44"/>
      <c r="Z161" s="44"/>
      <c r="AA161" s="44"/>
      <c r="AB161" s="44"/>
      <c r="AC161" s="44"/>
      <c r="AD161" s="44"/>
      <c r="AE161" s="44"/>
      <c r="AH161" s="5134"/>
      <c r="AI161" s="5134"/>
      <c r="AJ161" s="5134"/>
    </row>
    <row r="162" spans="1:36" s="2" customFormat="1">
      <c r="A162" s="5134"/>
      <c r="B162" s="5134"/>
      <c r="C162" s="5132"/>
      <c r="D162" s="5134"/>
      <c r="E162" s="5134"/>
      <c r="F162" s="5131"/>
      <c r="G162" s="6" t="s">
        <v>104</v>
      </c>
      <c r="H162" s="6"/>
      <c r="I162" s="6"/>
      <c r="J162" s="6"/>
      <c r="K162" s="6"/>
      <c r="L162" s="6"/>
      <c r="M162" s="6"/>
      <c r="N162" s="6"/>
      <c r="O162" s="6"/>
      <c r="P162" s="9362" t="str">
        <f>+IF(OR(C20="",C20=0,C20&gt;25),"",IF(VLOOKUP(MATCH(C20,lst_id,0),tao,'12(id)'!$FW$20,FALSE)="","",VLOOKUP(MATCH(C20,lst_id,0),tao,'12(id)'!$FW$20,FALSE)))</f>
        <v/>
      </c>
      <c r="Q162" s="9363"/>
      <c r="R162" s="6"/>
      <c r="S162" s="6"/>
      <c r="T162" s="9364" t="str">
        <f>+IF(OR(C20="",C20=0,C20&gt;25),"",IF(VLOOKUP(MATCH(C20,lst_id,0),tao,'12(id)'!$GK$20,FALSE)="","",VLOOKUP(MATCH(C20,lst_id,0),tao,'12(id)'!$GK$20,FALSE)))</f>
        <v/>
      </c>
      <c r="U162" s="9365"/>
      <c r="V162" s="9365"/>
      <c r="W162" s="9365"/>
      <c r="X162" s="9366"/>
      <c r="Y162" s="6"/>
      <c r="Z162" s="6"/>
      <c r="AA162" s="9364" t="str">
        <f>+IF(OR(C20="",C20=0,T162=""),"",IF(AND(P162&gt;0,T162&gt;0),"Average",""))</f>
        <v/>
      </c>
      <c r="AB162" s="9365"/>
      <c r="AC162" s="9365"/>
      <c r="AD162" s="9365"/>
      <c r="AE162" s="9366"/>
      <c r="AH162" s="5134"/>
      <c r="AI162" s="5134"/>
      <c r="AJ162" s="5134"/>
    </row>
    <row r="163" spans="1:36" s="2" customFormat="1" ht="12.75" customHeight="1">
      <c r="A163" s="5134"/>
      <c r="B163" s="5134"/>
      <c r="C163" s="5132"/>
      <c r="D163" s="5134"/>
      <c r="E163" s="5134"/>
      <c r="F163" s="5131"/>
      <c r="G163" s="6" t="s">
        <v>833</v>
      </c>
      <c r="H163" s="6"/>
      <c r="I163" s="6"/>
      <c r="J163" s="6"/>
      <c r="K163" s="6"/>
      <c r="L163" s="6"/>
      <c r="M163" s="6"/>
      <c r="N163" s="6"/>
      <c r="O163" s="6"/>
      <c r="P163" s="5170" t="str">
        <f>+IF(OR(C20="",C20=0,C20&gt;25),"",IF(VLOOKUP(MATCH(C20,lst_id,0),tao,'12(id)'!$FX$20,FALSE)="","",VLOOKUP(MATCH(C20,lst_id,0),tao,'12(id)'!$FX$20,FALSE)))</f>
        <v/>
      </c>
      <c r="Q163" s="7412" t="str">
        <f>+IF(P163="","","hours")</f>
        <v/>
      </c>
      <c r="R163" s="7421"/>
      <c r="S163" s="7421"/>
      <c r="T163" s="9355" t="str">
        <f>+IF(OR(C20="",C20=0,C20&gt;25),"",IF(VLOOKUP(MATCH(C20,lst_id,0),tao,'12(id)'!$GL$20,FALSE)="","",VLOOKUP(MATCH(C20,lst_id,0),tao,'12(id)'!$GL$20,FALSE)))</f>
        <v/>
      </c>
      <c r="U163" s="9356"/>
      <c r="V163" s="9357" t="str">
        <f>+IF(T163="","","hours")</f>
        <v/>
      </c>
      <c r="W163" s="9357"/>
      <c r="X163" s="9358"/>
      <c r="Y163" s="216"/>
      <c r="Z163" s="216"/>
      <c r="AA163" s="9355" t="str">
        <f>+IF(OR(C20="",C20=0,C20&gt;25),"",IF(VLOOKUP(MATCH(C20,lst_id,0),tao,'12(id)'!$GY$20,FALSE)="","",VLOOKUP(MATCH(C20,lst_id,0),tao,'12(id)'!$GY$20,FALSE)))</f>
        <v/>
      </c>
      <c r="AB163" s="9356"/>
      <c r="AC163" s="9357" t="str">
        <f>+IF(AA163="","","hours")</f>
        <v/>
      </c>
      <c r="AD163" s="9357"/>
      <c r="AE163" s="9358"/>
      <c r="AH163" s="5134"/>
      <c r="AI163" s="5134"/>
      <c r="AJ163" s="5134"/>
    </row>
    <row r="164" spans="1:36" s="2" customFormat="1" ht="12.75" customHeight="1">
      <c r="A164" s="5134"/>
      <c r="B164" s="5134"/>
      <c r="C164" s="5132"/>
      <c r="D164" s="5134"/>
      <c r="E164" s="5134"/>
      <c r="F164" s="5131"/>
      <c r="G164" s="6" t="s">
        <v>105</v>
      </c>
      <c r="H164" s="6"/>
      <c r="I164" s="6"/>
      <c r="J164" s="6"/>
      <c r="K164" s="6"/>
      <c r="L164" s="6"/>
      <c r="M164" s="6"/>
      <c r="N164" s="6"/>
      <c r="O164" s="6"/>
      <c r="P164" s="5170" t="str">
        <f>+IF(OR(C20="",C20=0,C20&gt;25),"",IF(VLOOKUP(MATCH(C20,lst_id,0),tao,'12(id)'!$FY$20,FALSE)="","",VLOOKUP(MATCH(C20,lst_id,0),tao,'12(id)'!$FY$20,FALSE)))</f>
        <v/>
      </c>
      <c r="Q164" s="7412" t="str">
        <f>+IF(P164="","","hours")</f>
        <v/>
      </c>
      <c r="R164" s="7421"/>
      <c r="S164" s="7421"/>
      <c r="T164" s="9355" t="str">
        <f>+IF(OR(C20="",C20=0,C20&gt;25),"",IF(VLOOKUP(MATCH(C20,lst_id,0),tao,'12(id)'!$GM$20,FALSE)="","",VLOOKUP(MATCH(C20,lst_id,0),tao,'12(id)'!$GM$20,FALSE)))</f>
        <v/>
      </c>
      <c r="U164" s="9356"/>
      <c r="V164" s="9357" t="str">
        <f>+IF(T164="","","hours")</f>
        <v/>
      </c>
      <c r="W164" s="9357"/>
      <c r="X164" s="9358"/>
      <c r="Y164" s="216"/>
      <c r="Z164" s="216"/>
      <c r="AA164" s="9355" t="str">
        <f>+IF(OR(C20="",C20=0,C20&gt;25),"",IF(VLOOKUP(MATCH(C20,lst_id,0),tao,'12(id)'!$HA$20,FALSE)="","",VLOOKUP(MATCH(C20,lst_id,0),tao,'12(id)'!$HA$20,FALSE)))</f>
        <v/>
      </c>
      <c r="AB164" s="9356"/>
      <c r="AC164" s="9357" t="str">
        <f>+IF(AA164="","","hours")</f>
        <v/>
      </c>
      <c r="AD164" s="9357"/>
      <c r="AE164" s="9358"/>
      <c r="AH164" s="5134"/>
      <c r="AI164" s="5134"/>
      <c r="AJ164" s="5134"/>
    </row>
    <row r="165" spans="1:36" s="2" customFormat="1" ht="12.75" customHeight="1">
      <c r="A165" s="5134"/>
      <c r="B165" s="5134"/>
      <c r="C165" s="5132"/>
      <c r="D165" s="5134"/>
      <c r="E165" s="5134"/>
      <c r="F165" s="5131"/>
      <c r="G165" s="6" t="s">
        <v>106</v>
      </c>
      <c r="H165" s="6"/>
      <c r="I165" s="6"/>
      <c r="J165" s="6"/>
      <c r="K165" s="6"/>
      <c r="L165" s="6"/>
      <c r="M165" s="6"/>
      <c r="N165" s="6"/>
      <c r="O165" s="6"/>
      <c r="P165" s="5170" t="str">
        <f>+IF(OR(C20="",C20=0,C20&gt;25),"",IF(VLOOKUP(MATCH(C20,lst_id,0),tao,'12(id)'!$FZ$20,FALSE)="","",VLOOKUP(MATCH(C20,lst_id,0),tao,'12(id)'!$FZ$20,FALSE)))</f>
        <v/>
      </c>
      <c r="Q165" s="7412" t="str">
        <f>+IF(P165="","","hours")</f>
        <v/>
      </c>
      <c r="R165" s="7421"/>
      <c r="S165" s="7421"/>
      <c r="T165" s="9355" t="str">
        <f>+IF(OR(C20="",C20=0,C20&gt;25),"",IF(VLOOKUP(MATCH(C20,lst_id,0),tao,'12(id)'!$GN$20,FALSE)="","",VLOOKUP(MATCH(C20,lst_id,0),tao,'12(id)'!$GN$20,FALSE)))</f>
        <v/>
      </c>
      <c r="U165" s="9356"/>
      <c r="V165" s="9357" t="str">
        <f>+IF(T165="","","hours")</f>
        <v/>
      </c>
      <c r="W165" s="9357"/>
      <c r="X165" s="9358"/>
      <c r="Y165" s="216"/>
      <c r="Z165" s="216"/>
      <c r="AA165" s="9355" t="str">
        <f>+IF(OR(C20="",C20=0,C20&gt;25),"",IF(VLOOKUP(MATCH(C20,lst_id,0),tao,'12(id)'!$HB$20,FALSE)="","",VLOOKUP(MATCH(C20,lst_id,0),tao,'12(id)'!$HB$20,FALSE)))</f>
        <v/>
      </c>
      <c r="AB165" s="9356"/>
      <c r="AC165" s="9357" t="str">
        <f>+IF(AA165="","","hours")</f>
        <v/>
      </c>
      <c r="AD165" s="9357"/>
      <c r="AE165" s="9358"/>
      <c r="AH165" s="5134"/>
      <c r="AI165" s="5134"/>
      <c r="AJ165" s="5134"/>
    </row>
    <row r="166" spans="1:36" s="2" customFormat="1">
      <c r="A166" s="5134"/>
      <c r="B166" s="5134"/>
      <c r="C166" s="5132"/>
      <c r="D166" s="5134"/>
      <c r="E166" s="5134"/>
      <c r="F166" s="5131"/>
      <c r="G166" s="6" t="s">
        <v>107</v>
      </c>
      <c r="H166" s="6"/>
      <c r="I166" s="6"/>
      <c r="J166" s="6"/>
      <c r="K166" s="6"/>
      <c r="L166" s="6"/>
      <c r="M166" s="6"/>
      <c r="N166" s="6"/>
      <c r="O166" s="6"/>
      <c r="P166" s="5171" t="str">
        <f>+IF(OR(C20="",C20=0,C20&gt;25),"",IF(VLOOKUP(MATCH(C20,lst_id,0),tao,'12(id)'!$GD$20,FALSE)="","",VLOOKUP(MATCH(C20,lst_id,0),tao,'12(id)'!$GD$20,FALSE)))</f>
        <v/>
      </c>
      <c r="Q166" s="7412" t="str">
        <f>+IF(P166="","","MMBtu")</f>
        <v/>
      </c>
      <c r="R166" s="7421"/>
      <c r="S166" s="7421"/>
      <c r="T166" s="9359" t="str">
        <f>+IF(OR(C20="",C20=0,C20&gt;25),"",IF(VLOOKUP(MATCH(C20,lst_id,0),tao,'12(id)'!$GR$20,FALSE)="","",VLOOKUP(MATCH(C20,lst_id,0),tao,'12(id)'!$GR$20,FALSE)))</f>
        <v/>
      </c>
      <c r="U166" s="9360"/>
      <c r="V166" s="9357" t="str">
        <f>+IF(T166="","","MMBtu")</f>
        <v/>
      </c>
      <c r="W166" s="9357"/>
      <c r="X166" s="9358"/>
      <c r="Y166" s="216"/>
      <c r="Z166" s="216"/>
      <c r="AA166" s="9359" t="str">
        <f>+IF(OR(C20="",C20=0,C20&gt;25),"",IF(VLOOKUP(MATCH(C20,lst_id,0),tao,'12(id)'!$HF$20,FALSE)="","",VLOOKUP(MATCH(C20,lst_id,0),tao,'12(id)'!$HF$20,FALSE)))</f>
        <v/>
      </c>
      <c r="AB166" s="9360"/>
      <c r="AC166" s="9357" t="str">
        <f>+IF(AA166="","","MMBtu")</f>
        <v/>
      </c>
      <c r="AD166" s="9357"/>
      <c r="AE166" s="9358"/>
      <c r="AH166" s="5134"/>
      <c r="AI166" s="5134"/>
      <c r="AJ166" s="5134"/>
    </row>
    <row r="167" spans="1:36" s="2" customFormat="1">
      <c r="A167" s="5134"/>
      <c r="B167" s="5134"/>
      <c r="C167" s="5132"/>
      <c r="D167" s="5134"/>
      <c r="E167" s="5134"/>
      <c r="F167" s="5131"/>
      <c r="G167" s="6" t="s">
        <v>1109</v>
      </c>
      <c r="H167" s="6"/>
      <c r="I167" s="6"/>
      <c r="J167" s="6"/>
      <c r="K167" s="6"/>
      <c r="L167" s="6"/>
      <c r="M167" s="6"/>
      <c r="N167" s="6"/>
      <c r="O167" s="6"/>
      <c r="P167" s="5171" t="str">
        <f>+IF(OR(C20="",C20=0,C20&gt;25),"",IF(VLOOKUP(MATCH(C20,lst_id,0),tao,'12(id)'!$GF$20,FALSE)="","",VLOOKUP(MATCH(C20,lst_id,0),tao,'12(id)'!$GF$20,FALSE)))</f>
        <v/>
      </c>
      <c r="Q167" s="7415" t="str">
        <f>+IF(P167="","","MWh")</f>
        <v/>
      </c>
      <c r="R167" s="7421"/>
      <c r="S167" s="7421"/>
      <c r="T167" s="9359" t="str">
        <f>+IF(OR(C20="",C20=0,C20&gt;25),"",IF(VLOOKUP(MATCH(C20,lst_id,0),tao,'12(id)'!$GT$20,FALSE)="","",VLOOKUP(MATCH(C20,lst_id,0),tao,'12(id)'!$GT$20,FALSE)))</f>
        <v/>
      </c>
      <c r="U167" s="9360"/>
      <c r="V167" s="9357" t="str">
        <f>+IF(T167="","","MWh")</f>
        <v/>
      </c>
      <c r="W167" s="9357"/>
      <c r="X167" s="9358"/>
      <c r="Y167" s="216"/>
      <c r="Z167" s="216"/>
      <c r="AA167" s="9359" t="str">
        <f>+IF(OR(C20="",C20=0,C20&gt;25),"",IF(VLOOKUP(MATCH(C20,lst_id,0),tao,'12(id)'!$HG$20,FALSE)="","",VLOOKUP(MATCH(C20,lst_id,0),tao,'12(id)'!$HG$20,FALSE)))</f>
        <v/>
      </c>
      <c r="AB167" s="9360"/>
      <c r="AC167" s="9357" t="str">
        <f>+IF(AA167="","","MWh")</f>
        <v/>
      </c>
      <c r="AD167" s="9357"/>
      <c r="AE167" s="9358"/>
      <c r="AH167" s="5134"/>
      <c r="AI167" s="5134"/>
      <c r="AJ167" s="5134"/>
    </row>
    <row r="168" spans="1:36" s="2" customFormat="1">
      <c r="A168" s="5134"/>
      <c r="B168" s="5134"/>
      <c r="C168" s="5132"/>
      <c r="D168" s="5134"/>
      <c r="E168" s="5134"/>
      <c r="F168" s="5131"/>
      <c r="G168" s="6" t="s">
        <v>834</v>
      </c>
      <c r="H168" s="6"/>
      <c r="I168" s="6"/>
      <c r="J168" s="6"/>
      <c r="K168" s="6"/>
      <c r="L168" s="6"/>
      <c r="M168" s="6"/>
      <c r="N168" s="6"/>
      <c r="O168" s="6"/>
      <c r="P168" s="5170" t="str">
        <f>+IF(OR(C20="",C20=0,C20&gt;25),"",IF(VLOOKUP(MATCH(C20,lst_id,0),tao,'12(id)'!$GH$20,FALSE)="","",VLOOKUP(MATCH(C20,lst_id,0),tao,'12(id)'!$GH$20,FALSE)))</f>
        <v/>
      </c>
      <c r="Q168" s="7415"/>
      <c r="R168" s="7421"/>
      <c r="S168" s="7421"/>
      <c r="T168" s="9355" t="str">
        <f>+IF(OR(C20="",C20=0,C20&gt;25),"",IF(VLOOKUP(MATCH(C20,lst_id,0),tao,'12(id)'!$GV$20,FALSE)="","",VLOOKUP(MATCH(C20,lst_id,0),tao,'12(id)'!$GV$20,FALSE)))</f>
        <v/>
      </c>
      <c r="U168" s="9356"/>
      <c r="V168" s="9357" t="str">
        <f>+IF(T168="","","tons/year")</f>
        <v/>
      </c>
      <c r="W168" s="9357"/>
      <c r="X168" s="9358"/>
      <c r="Y168" s="216"/>
      <c r="Z168" s="216"/>
      <c r="AA168" s="9355" t="str">
        <f>+IF(OR(C20="",C20=0,C20&gt;25),"",IF(VLOOKUP(MATCH(C20,lst_id,0),tao,'12(id)'!$HM$20,FALSE)="","",VLOOKUP(MATCH(C20,lst_id,0),tao,'12(id)'!$HM$20,FALSE)))</f>
        <v/>
      </c>
      <c r="AB168" s="9356"/>
      <c r="AC168" s="9357" t="str">
        <f>+IF(AA168="","","tons/year")</f>
        <v/>
      </c>
      <c r="AD168" s="9357"/>
      <c r="AE168" s="9358"/>
      <c r="AH168" s="5134"/>
      <c r="AI168" s="5134"/>
      <c r="AJ168" s="5134"/>
    </row>
    <row r="169" spans="1:36" s="2" customFormat="1">
      <c r="A169" s="5134"/>
      <c r="B169" s="5134"/>
      <c r="C169" s="5132"/>
      <c r="D169" s="5134"/>
      <c r="E169" s="5134"/>
      <c r="F169" s="5131"/>
      <c r="G169" s="6"/>
      <c r="H169" s="6"/>
      <c r="I169" s="6"/>
      <c r="J169" s="6"/>
      <c r="K169" s="6"/>
      <c r="L169" s="6"/>
      <c r="M169" s="6"/>
      <c r="N169" s="6"/>
      <c r="O169" s="6"/>
      <c r="P169" s="7421"/>
      <c r="Q169" s="7421"/>
      <c r="R169" s="7421"/>
      <c r="S169" s="7421"/>
      <c r="T169" s="81"/>
      <c r="U169" s="81"/>
      <c r="V169" s="216"/>
      <c r="W169" s="216"/>
      <c r="X169" s="216"/>
      <c r="Y169" s="216"/>
      <c r="Z169" s="216"/>
      <c r="AA169" s="216"/>
      <c r="AB169" s="216"/>
      <c r="AC169" s="216"/>
      <c r="AD169" s="216"/>
      <c r="AE169" s="7421"/>
      <c r="AH169" s="5134"/>
      <c r="AI169" s="5134"/>
      <c r="AJ169" s="5134"/>
    </row>
    <row r="170" spans="1:36" s="2" customFormat="1">
      <c r="A170" s="5134"/>
      <c r="B170" s="5134"/>
      <c r="C170" s="5132"/>
      <c r="D170" s="5134"/>
      <c r="E170" s="5134"/>
      <c r="F170" s="5131"/>
      <c r="G170" s="4452" t="s">
        <v>1958</v>
      </c>
      <c r="H170" s="6"/>
      <c r="I170" s="6"/>
      <c r="J170" s="6"/>
      <c r="K170" s="6"/>
      <c r="L170" s="6"/>
      <c r="M170" s="6"/>
      <c r="N170" s="6"/>
      <c r="O170" s="6"/>
      <c r="P170" s="7421"/>
      <c r="Q170" s="7421"/>
      <c r="R170" s="7421"/>
      <c r="S170" s="7421"/>
      <c r="T170" s="81"/>
      <c r="U170" s="81"/>
      <c r="V170" s="216"/>
      <c r="W170" s="216"/>
      <c r="X170" s="216"/>
      <c r="Y170" s="216"/>
      <c r="Z170" s="216"/>
      <c r="AA170" s="216"/>
      <c r="AB170" s="216"/>
      <c r="AC170" s="216"/>
      <c r="AD170" s="216"/>
      <c r="AE170" s="7421"/>
      <c r="AH170" s="5134"/>
      <c r="AI170" s="5134"/>
      <c r="AJ170" s="5134"/>
    </row>
    <row r="171" spans="1:36" s="2" customFormat="1">
      <c r="A171" s="5134"/>
      <c r="B171" s="5134"/>
      <c r="C171" s="5132"/>
      <c r="D171" s="5134"/>
      <c r="E171" s="5134"/>
      <c r="F171" s="5131"/>
      <c r="G171" s="6" t="s">
        <v>836</v>
      </c>
      <c r="H171" s="6"/>
      <c r="I171" s="6"/>
      <c r="J171" s="6"/>
      <c r="K171" s="6"/>
      <c r="L171" s="6"/>
      <c r="M171" s="6"/>
      <c r="N171" s="6"/>
      <c r="O171" s="6"/>
      <c r="P171" s="5172">
        <f>+IF(OR(C20="",C20=0,C20&gt;25),"",IF(VLOOKUP(MATCH(C20,lst_id,0),tao,'12(id)'!$HJ$20,FALSE)="","",VLOOKUP(MATCH(C20,lst_id,0),tao,'12(id)'!$HJ$20,FALSE)))</f>
        <v>0.73049999999999993</v>
      </c>
      <c r="Q171" s="7415" t="str">
        <f>+IF(P171="","","lbs/MMBtu")</f>
        <v>lbs/MMBtu</v>
      </c>
      <c r="R171" s="7421"/>
      <c r="S171" s="7421"/>
      <c r="T171" s="216"/>
      <c r="U171" s="81"/>
      <c r="V171" s="216"/>
      <c r="W171" s="216"/>
      <c r="X171" s="216"/>
      <c r="Y171" s="216"/>
      <c r="Z171" s="216"/>
      <c r="AA171" s="216"/>
      <c r="AB171" s="216"/>
      <c r="AC171" s="216"/>
      <c r="AD171" s="216"/>
      <c r="AE171" s="7421"/>
      <c r="AH171" s="5134"/>
      <c r="AI171" s="5134"/>
      <c r="AJ171" s="5134"/>
    </row>
    <row r="172" spans="1:36" s="2" customFormat="1">
      <c r="A172" s="5134"/>
      <c r="B172" s="5134"/>
      <c r="C172" s="5132"/>
      <c r="D172" s="5134"/>
      <c r="E172" s="5134"/>
      <c r="F172" s="5131"/>
      <c r="G172" s="6"/>
      <c r="H172" s="6"/>
      <c r="I172" s="6"/>
      <c r="J172" s="6"/>
      <c r="K172" s="6"/>
      <c r="L172" s="6"/>
      <c r="M172" s="6"/>
      <c r="N172" s="6"/>
      <c r="O172" s="6"/>
      <c r="P172" s="5173">
        <f>+IF(OR(C20="",C20=0,C20&gt;25),"",IF(VLOOKUP(MATCH(C20,lst_id,0),tao,'12(id)'!$HK$20,FALSE)="","",VLOOKUP(MATCH(C20,lst_id,0),tao,'12(id)'!$HK$20,FALSE)))</f>
        <v>129.36842099334265</v>
      </c>
      <c r="Q172" s="7415" t="str">
        <f>+IF(P172="","","ppmvd")</f>
        <v>ppmvd</v>
      </c>
      <c r="R172" s="7421"/>
      <c r="S172" s="7421"/>
      <c r="T172" s="216"/>
      <c r="U172" s="81"/>
      <c r="V172" s="216"/>
      <c r="W172" s="216"/>
      <c r="X172" s="216"/>
      <c r="Y172" s="216"/>
      <c r="Z172" s="216"/>
      <c r="AA172" s="216"/>
      <c r="AB172" s="216"/>
      <c r="AC172" s="216"/>
      <c r="AD172" s="216"/>
      <c r="AE172" s="7421"/>
      <c r="AH172" s="5134"/>
      <c r="AI172" s="5134"/>
      <c r="AJ172" s="5134"/>
    </row>
    <row r="173" spans="1:36" s="2" customFormat="1">
      <c r="A173" s="5134"/>
      <c r="B173" s="5134"/>
      <c r="C173" s="5132"/>
      <c r="D173" s="5134"/>
      <c r="E173" s="5134"/>
      <c r="F173" s="5131"/>
      <c r="G173" s="2" t="s">
        <v>837</v>
      </c>
      <c r="H173" s="6"/>
      <c r="I173" s="6"/>
      <c r="J173" s="6"/>
      <c r="K173" s="6"/>
      <c r="L173" s="6"/>
      <c r="M173" s="6"/>
      <c r="N173" s="6"/>
      <c r="O173" s="6"/>
      <c r="P173" s="5173" t="str">
        <f>+IF(OR(C20="",C20=0,C20&gt;25),"",IF(VLOOKUP(MATCH(C20,lst_id,0),tao,'12(id)'!$GY$20,FALSE)="","",VLOOKUP(MATCH(C20,lst_id,0),tao,'12(id)'!$GY$20,FALSE)))</f>
        <v/>
      </c>
      <c r="Q173" s="7415" t="str">
        <f>+IF(P173="","","hours")</f>
        <v/>
      </c>
      <c r="R173" s="7421"/>
      <c r="S173" s="7421"/>
      <c r="T173" s="216"/>
      <c r="U173" s="81"/>
      <c r="V173" s="216"/>
      <c r="W173" s="216"/>
      <c r="X173" s="216"/>
      <c r="Y173" s="216"/>
      <c r="Z173" s="216"/>
      <c r="AA173" s="9394"/>
      <c r="AB173" s="9394"/>
      <c r="AC173" s="9394"/>
      <c r="AD173" s="216"/>
      <c r="AE173" s="7421"/>
      <c r="AH173" s="5134"/>
      <c r="AI173" s="5134"/>
      <c r="AJ173" s="5134"/>
    </row>
    <row r="174" spans="1:36" s="2" customFormat="1">
      <c r="A174" s="5134"/>
      <c r="B174" s="5134"/>
      <c r="C174" s="5132"/>
      <c r="D174" s="5134"/>
      <c r="E174" s="5134"/>
      <c r="F174" s="5131"/>
      <c r="G174" s="2" t="s">
        <v>834</v>
      </c>
      <c r="H174" s="6"/>
      <c r="I174" s="6"/>
      <c r="J174" s="6"/>
      <c r="K174" s="6"/>
      <c r="L174" s="6"/>
      <c r="M174" s="6"/>
      <c r="N174" s="6"/>
      <c r="O174" s="6"/>
      <c r="P174" s="5173" t="str">
        <f>+IF(OR(C20="",C20=0,C20&gt;25),"",IF(VLOOKUP(MATCH(C20,lst_id,0),tao,'12(id)'!$HM$20,FALSE)="","",VLOOKUP(MATCH(C20,lst_id,0),tao,'12(id)'!$HM$20,FALSE)))</f>
        <v/>
      </c>
      <c r="Q174" s="7415" t="str">
        <f>+IF(P174="","","tons/year")</f>
        <v/>
      </c>
      <c r="R174" s="7421"/>
      <c r="S174" s="7421"/>
      <c r="T174" s="216"/>
      <c r="U174" s="81"/>
      <c r="V174" s="216"/>
      <c r="W174" s="216"/>
      <c r="X174" s="216"/>
      <c r="Y174" s="216"/>
      <c r="Z174" s="216"/>
      <c r="AA174" s="7417"/>
      <c r="AB174" s="7417"/>
      <c r="AC174" s="7417"/>
      <c r="AD174" s="216"/>
      <c r="AE174" s="7421"/>
      <c r="AH174" s="5134"/>
      <c r="AI174" s="5134"/>
      <c r="AJ174" s="5134"/>
    </row>
    <row r="175" spans="1:36" s="2" customFormat="1">
      <c r="A175" s="5134"/>
      <c r="B175" s="5134"/>
      <c r="C175" s="5132"/>
      <c r="D175" s="5134"/>
      <c r="E175" s="5134"/>
      <c r="F175" s="5131"/>
      <c r="G175" s="10"/>
      <c r="H175" s="6"/>
      <c r="I175" s="6"/>
      <c r="J175" s="6"/>
      <c r="K175" s="6"/>
      <c r="L175" s="6"/>
      <c r="M175" s="6"/>
      <c r="N175" s="6"/>
      <c r="O175" s="6"/>
      <c r="P175" s="216"/>
      <c r="Q175" s="7421"/>
      <c r="R175" s="7421"/>
      <c r="S175" s="7421"/>
      <c r="T175" s="81"/>
      <c r="U175" s="81"/>
      <c r="V175" s="216"/>
      <c r="W175" s="216"/>
      <c r="X175" s="216"/>
      <c r="Y175" s="216"/>
      <c r="Z175" s="216"/>
      <c r="AA175" s="7417"/>
      <c r="AB175" s="7417"/>
      <c r="AC175" s="7417"/>
      <c r="AD175" s="216"/>
      <c r="AE175" s="7421"/>
      <c r="AH175" s="5134"/>
      <c r="AI175" s="5134"/>
      <c r="AJ175" s="5134"/>
    </row>
    <row r="176" spans="1:36" s="2" customFormat="1" ht="12.75" customHeight="1">
      <c r="A176" s="5134"/>
      <c r="B176" s="5134"/>
      <c r="C176" s="5132"/>
      <c r="D176" s="5134"/>
      <c r="E176" s="5134"/>
      <c r="F176" s="5131"/>
      <c r="G176" s="10" t="s">
        <v>1959</v>
      </c>
      <c r="P176" s="9395" t="str">
        <f>+IF(OR(C20="",C20=0,C20&gt;25),"",IF(OR(VLOOKUP(MATCH($C$20,op_lst,0),op,'7(op)'!$P$18,FALSE)="",ISERROR(MATCH($C$20,op_lst,0))),"",VLOOKUP(MATCH($C$20,op_lst,0),op,'7(op)'!$P$18,FALSE)))</f>
        <v>Very compact, congested if adding new NOx reducing technology. Additional real estate and extensive civil engineering work to re-arrange the site will be needed. Existence of high-voltage power lines limit the available space for new equipment.</v>
      </c>
      <c r="Q176" s="9396"/>
      <c r="R176" s="9396"/>
      <c r="S176" s="9396"/>
      <c r="T176" s="9396"/>
      <c r="U176" s="9396"/>
      <c r="V176" s="9396"/>
      <c r="W176" s="9396"/>
      <c r="X176" s="9396"/>
      <c r="Y176" s="9396"/>
      <c r="Z176" s="9396"/>
      <c r="AA176" s="9396"/>
      <c r="AB176" s="9396"/>
      <c r="AC176" s="9396"/>
      <c r="AD176" s="9396"/>
      <c r="AE176" s="9397"/>
      <c r="AH176" s="5134"/>
      <c r="AI176" s="5134"/>
      <c r="AJ176" s="5134"/>
    </row>
    <row r="177" spans="1:36" s="2" customFormat="1">
      <c r="A177" s="5134"/>
      <c r="B177" s="5134"/>
      <c r="C177" s="5132"/>
      <c r="D177" s="5134"/>
      <c r="E177" s="5134"/>
      <c r="F177" s="5131"/>
      <c r="G177" s="10"/>
      <c r="P177" s="9395"/>
      <c r="Q177" s="9396"/>
      <c r="R177" s="9396"/>
      <c r="S177" s="9396"/>
      <c r="T177" s="9396"/>
      <c r="U177" s="9396"/>
      <c r="V177" s="9396"/>
      <c r="W177" s="9396"/>
      <c r="X177" s="9396"/>
      <c r="Y177" s="9396"/>
      <c r="Z177" s="9396"/>
      <c r="AA177" s="9396"/>
      <c r="AB177" s="9396"/>
      <c r="AC177" s="9396"/>
      <c r="AD177" s="9396"/>
      <c r="AE177" s="9397"/>
      <c r="AH177" s="5134"/>
      <c r="AI177" s="5134"/>
      <c r="AJ177" s="5134"/>
    </row>
    <row r="178" spans="1:36" s="2" customFormat="1">
      <c r="A178" s="5134"/>
      <c r="B178" s="5134"/>
      <c r="C178" s="5132"/>
      <c r="D178" s="5134"/>
      <c r="E178" s="5134"/>
      <c r="F178" s="5131"/>
      <c r="G178" s="10"/>
      <c r="P178" s="9395"/>
      <c r="Q178" s="9396"/>
      <c r="R178" s="9396"/>
      <c r="S178" s="9396"/>
      <c r="T178" s="9396"/>
      <c r="U178" s="9396"/>
      <c r="V178" s="9396"/>
      <c r="W178" s="9396"/>
      <c r="X178" s="9396"/>
      <c r="Y178" s="9396"/>
      <c r="Z178" s="9396"/>
      <c r="AA178" s="9396"/>
      <c r="AB178" s="9396"/>
      <c r="AC178" s="9396"/>
      <c r="AD178" s="9396"/>
      <c r="AE178" s="9397"/>
      <c r="AH178" s="5134"/>
      <c r="AI178" s="5134"/>
      <c r="AJ178" s="5134"/>
    </row>
    <row r="179" spans="1:36" s="2" customFormat="1">
      <c r="A179" s="5134"/>
      <c r="B179" s="5134"/>
      <c r="C179" s="5132"/>
      <c r="D179" s="5134"/>
      <c r="E179" s="5134"/>
      <c r="F179" s="5131"/>
      <c r="G179" s="10"/>
      <c r="P179" s="9395"/>
      <c r="Q179" s="9396"/>
      <c r="R179" s="9396"/>
      <c r="S179" s="9396"/>
      <c r="T179" s="9396"/>
      <c r="U179" s="9396"/>
      <c r="V179" s="9396"/>
      <c r="W179" s="9396"/>
      <c r="X179" s="9396"/>
      <c r="Y179" s="9396"/>
      <c r="Z179" s="9396"/>
      <c r="AA179" s="9396"/>
      <c r="AB179" s="9396"/>
      <c r="AC179" s="9396"/>
      <c r="AD179" s="9396"/>
      <c r="AE179" s="9397"/>
      <c r="AH179" s="5134"/>
      <c r="AI179" s="5134"/>
      <c r="AJ179" s="5134"/>
    </row>
    <row r="180" spans="1:36" s="2" customFormat="1">
      <c r="A180" s="5134"/>
      <c r="B180" s="5134"/>
      <c r="C180" s="5132"/>
      <c r="D180" s="5134"/>
      <c r="E180" s="5134"/>
      <c r="F180" s="5131"/>
      <c r="G180" s="10"/>
      <c r="P180" s="25"/>
      <c r="Q180" s="25"/>
      <c r="R180" s="25"/>
      <c r="S180" s="25"/>
      <c r="T180" s="25"/>
      <c r="U180" s="25"/>
      <c r="V180" s="25"/>
      <c r="W180" s="25"/>
      <c r="X180" s="25"/>
      <c r="Y180" s="25"/>
      <c r="Z180" s="25"/>
      <c r="AA180" s="25"/>
      <c r="AB180" s="25"/>
      <c r="AC180" s="25"/>
      <c r="AD180" s="25"/>
      <c r="AE180" s="25"/>
      <c r="AH180" s="5134"/>
      <c r="AI180" s="5134"/>
      <c r="AJ180" s="5134"/>
    </row>
    <row r="181" spans="1:36" s="2" customFormat="1" ht="12.75" customHeight="1">
      <c r="A181" s="5134"/>
      <c r="B181" s="5134"/>
      <c r="C181" s="5132"/>
      <c r="D181" s="5134"/>
      <c r="E181" s="5134"/>
      <c r="F181" s="5131"/>
      <c r="G181" s="10" t="s">
        <v>1975</v>
      </c>
      <c r="P181" s="9395" t="str">
        <f>+IF(OR(C20="",C20=0,C20&gt;25),"",IF(OR(VLOOKUP(MATCH($C$20,op_lst,0),op,'7(op)'!$Q$18,FALSE)="",ISERROR(MATCH($C$20,op_lst,0))),"",VLOOKUP(MATCH($C$20,op_lst,0),op,'7(op)'!$Q$18,FALSE)))</f>
        <v>Existing fuel tank must be replaced by new smaller tanks. 
City water is available to supply 200-250 gpm for a new low NOx reduction equipment.</v>
      </c>
      <c r="Q181" s="9396"/>
      <c r="R181" s="9396"/>
      <c r="S181" s="9396"/>
      <c r="T181" s="9396"/>
      <c r="U181" s="9396"/>
      <c r="V181" s="9396"/>
      <c r="W181" s="9396"/>
      <c r="X181" s="9396"/>
      <c r="Y181" s="9396"/>
      <c r="Z181" s="9396"/>
      <c r="AA181" s="9396"/>
      <c r="AB181" s="9396"/>
      <c r="AC181" s="9396"/>
      <c r="AD181" s="9396"/>
      <c r="AE181" s="9397"/>
      <c r="AH181" s="5134"/>
      <c r="AI181" s="5134"/>
      <c r="AJ181" s="5134"/>
    </row>
    <row r="182" spans="1:36" s="2" customFormat="1" ht="12.75" customHeight="1">
      <c r="A182" s="5134"/>
      <c r="B182" s="5134"/>
      <c r="C182" s="5132"/>
      <c r="D182" s="5134"/>
      <c r="E182" s="5134"/>
      <c r="F182" s="5131"/>
      <c r="G182" s="10"/>
      <c r="P182" s="9395"/>
      <c r="Q182" s="9396"/>
      <c r="R182" s="9396"/>
      <c r="S182" s="9396"/>
      <c r="T182" s="9396"/>
      <c r="U182" s="9396"/>
      <c r="V182" s="9396"/>
      <c r="W182" s="9396"/>
      <c r="X182" s="9396"/>
      <c r="Y182" s="9396"/>
      <c r="Z182" s="9396"/>
      <c r="AA182" s="9396"/>
      <c r="AB182" s="9396"/>
      <c r="AC182" s="9396"/>
      <c r="AD182" s="9396"/>
      <c r="AE182" s="9397"/>
      <c r="AH182" s="5134"/>
      <c r="AI182" s="5134"/>
      <c r="AJ182" s="5134"/>
    </row>
    <row r="183" spans="1:36" s="2" customFormat="1">
      <c r="A183" s="5134"/>
      <c r="B183" s="5134"/>
      <c r="C183" s="5132"/>
      <c r="D183" s="5134"/>
      <c r="E183" s="5134"/>
      <c r="F183" s="5131"/>
      <c r="G183" s="10"/>
      <c r="P183" s="9395"/>
      <c r="Q183" s="9396"/>
      <c r="R183" s="9396"/>
      <c r="S183" s="9396"/>
      <c r="T183" s="9396"/>
      <c r="U183" s="9396"/>
      <c r="V183" s="9396"/>
      <c r="W183" s="9396"/>
      <c r="X183" s="9396"/>
      <c r="Y183" s="9396"/>
      <c r="Z183" s="9396"/>
      <c r="AA183" s="9396"/>
      <c r="AB183" s="9396"/>
      <c r="AC183" s="9396"/>
      <c r="AD183" s="9396"/>
      <c r="AE183" s="9397"/>
      <c r="AH183" s="5134"/>
      <c r="AI183" s="5134"/>
      <c r="AJ183" s="5134"/>
    </row>
    <row r="184" spans="1:36">
      <c r="A184" s="5132"/>
      <c r="B184" s="5132"/>
      <c r="C184" s="5132"/>
      <c r="D184" s="5132"/>
      <c r="E184" s="5132"/>
      <c r="F184" s="5133"/>
    </row>
    <row r="185" spans="1:36">
      <c r="A185" s="5132"/>
      <c r="B185" s="5132"/>
      <c r="C185" s="5132"/>
      <c r="D185" s="5132"/>
      <c r="E185" s="5132"/>
      <c r="F185" s="5133"/>
    </row>
    <row r="186" spans="1:36" s="2" customFormat="1">
      <c r="A186" s="5134"/>
      <c r="B186" s="5134"/>
      <c r="C186" s="5132"/>
      <c r="D186" s="5134"/>
      <c r="E186" s="5134"/>
      <c r="F186" s="5131"/>
      <c r="G186" s="27" t="s">
        <v>1977</v>
      </c>
      <c r="P186" s="25"/>
      <c r="Q186" s="25"/>
      <c r="R186" s="25"/>
      <c r="S186" s="25"/>
      <c r="T186" s="25"/>
      <c r="U186" s="25"/>
      <c r="V186" s="25"/>
      <c r="W186" s="25"/>
      <c r="X186" s="25"/>
      <c r="Y186" s="25"/>
      <c r="Z186" s="25"/>
      <c r="AA186" s="25"/>
      <c r="AB186" s="25"/>
      <c r="AC186" s="25"/>
      <c r="AD186" s="25"/>
      <c r="AE186" s="25"/>
      <c r="AH186" s="5134"/>
      <c r="AI186" s="5134"/>
      <c r="AJ186" s="5134"/>
    </row>
    <row r="187" spans="1:36" s="2" customFormat="1">
      <c r="A187" s="5134"/>
      <c r="B187" s="5134"/>
      <c r="C187" s="5132"/>
      <c r="D187" s="5134"/>
      <c r="E187" s="5134"/>
      <c r="F187" s="5131"/>
      <c r="G187" s="27"/>
      <c r="P187" s="25"/>
      <c r="Q187" s="25"/>
      <c r="R187" s="25"/>
      <c r="S187" s="25"/>
      <c r="T187" s="25"/>
      <c r="U187" s="25"/>
      <c r="V187" s="25"/>
      <c r="W187" s="25"/>
      <c r="X187" s="25"/>
      <c r="Y187" s="25"/>
      <c r="Z187" s="25"/>
      <c r="AA187" s="25"/>
      <c r="AB187" s="25"/>
      <c r="AC187" s="25"/>
      <c r="AD187" s="25"/>
      <c r="AE187" s="25"/>
      <c r="AH187" s="5134"/>
      <c r="AI187" s="5134"/>
      <c r="AJ187" s="5134"/>
    </row>
    <row r="188" spans="1:36" s="2" customFormat="1">
      <c r="A188" s="5134"/>
      <c r="B188" s="5137"/>
      <c r="C188" s="5132"/>
      <c r="D188" s="5134"/>
      <c r="E188" s="5134"/>
      <c r="F188" s="5131"/>
      <c r="G188" s="9338" t="str">
        <f>+IF(OR($C$20="",$C$20=0),"",IF(ISERROR(MATCH($AA$15&amp;"-01",op_id,0)),"",VLOOKUP(MATCH($C$20,op_lst,0),op,'7(op)'!$S$18,FALSE)&amp;".-"))</f>
        <v>1.-</v>
      </c>
      <c r="H188" s="9339"/>
      <c r="P188" s="9335" t="str">
        <f>+IF(OR(C20="",C20=0,ISERROR(MATCH($AA$15&amp;"-01",op_id,0))),"",VLOOKUP(MATCH($AA$15&amp;"-01",op_id,0),op,'7(op)'!$T$18,FALSE))</f>
        <v>Selective Catalytic Reduction (SCR)</v>
      </c>
      <c r="Q188" s="9336"/>
      <c r="R188" s="9336"/>
      <c r="S188" s="9336"/>
      <c r="T188" s="9336"/>
      <c r="U188" s="9336"/>
      <c r="V188" s="9336"/>
      <c r="W188" s="9336"/>
      <c r="X188" s="9336"/>
      <c r="Y188" s="9336"/>
      <c r="Z188" s="9336"/>
      <c r="AA188" s="9336"/>
      <c r="AB188" s="9336"/>
      <c r="AC188" s="9336"/>
      <c r="AD188" s="9336"/>
      <c r="AE188" s="9337"/>
      <c r="AH188" s="5134"/>
      <c r="AI188" s="5134"/>
      <c r="AJ188" s="5134"/>
    </row>
    <row r="189" spans="1:36" s="2" customFormat="1">
      <c r="A189" s="5134"/>
      <c r="B189" s="5137"/>
      <c r="C189" s="5132"/>
      <c r="D189" s="5134"/>
      <c r="E189" s="5134"/>
      <c r="F189" s="5131"/>
      <c r="G189" s="9338" t="str">
        <f t="shared" ref="G189:G197" si="1">+IF(OR($C$20="",$C$20=0),"",IF(ISERROR(MATCH($AA$15&amp;IF(VALUE(LEFT(G188,2))+1&lt;10,"-0"&amp;VALUE(LEFT(G188,2))+1,"-"&amp;VALUE(LEFT(G188,2))+1),op_id,0)),"",VALUE(LEFT(G188,2))+1&amp;".-"))</f>
        <v>2.-</v>
      </c>
      <c r="H189" s="9339"/>
      <c r="P189" s="9335" t="str">
        <f>+IF(OR($C$20="",$C$20=0),"",IF(ISERROR(MATCH($AA$15&amp;IF(VALUE(LEFT(G188,2))+1&lt;10,"-0"&amp;VALUE(LEFT(G188,2))+1,"-"&amp;VALUE(LEFT(G188,2))+1),op_id,0)),"",VLOOKUP(MATCH($AA$15&amp;IF(VALUE(LEFT(G188,2))+1&lt;10,"-0"&amp;VALUE(LEFT(G188,2))+1,"-"&amp;VALUE(LEFT(G188,2))+1),op_id,0),op,'7(op)'!$T$18,FALSE)))</f>
        <v>HPWI + Ultra Low Sulfur Fuel</v>
      </c>
      <c r="Q189" s="9336"/>
      <c r="R189" s="9336"/>
      <c r="S189" s="9336"/>
      <c r="T189" s="9336"/>
      <c r="U189" s="9336"/>
      <c r="V189" s="9336"/>
      <c r="W189" s="9336"/>
      <c r="X189" s="9336"/>
      <c r="Y189" s="9336"/>
      <c r="Z189" s="9336"/>
      <c r="AA189" s="9336"/>
      <c r="AB189" s="9336"/>
      <c r="AC189" s="9336"/>
      <c r="AD189" s="9336"/>
      <c r="AE189" s="9337"/>
      <c r="AH189" s="5134"/>
      <c r="AI189" s="5134"/>
      <c r="AJ189" s="5134"/>
    </row>
    <row r="190" spans="1:36" s="2" customFormat="1">
      <c r="A190" s="5134"/>
      <c r="B190" s="5137"/>
      <c r="C190" s="5132"/>
      <c r="D190" s="5134"/>
      <c r="E190" s="5134"/>
      <c r="F190" s="5131"/>
      <c r="G190" s="9338" t="str">
        <f t="shared" si="1"/>
        <v>3.-</v>
      </c>
      <c r="H190" s="9339"/>
      <c r="P190" s="9335" t="str">
        <f>+IF(OR($C$20="",$C$20=0),"",IF(ISERROR(MATCH($AA$15&amp;IF(VALUE(LEFT(G189,2))+1&lt;10,"-0"&amp;VALUE(LEFT(G189,2))+1,"-"&amp;VALUE(LEFT(G189,2))+1),op_id,0)),"",VLOOKUP(MATCH($AA$15&amp;IF(VALUE(LEFT(G189,2))+1&lt;10,"-0"&amp;VALUE(LEFT(G189,2))+1,"-"&amp;VALUE(LEFT(G189,2))+1),op_id,0),op,'7(op)'!$T$18,FALSE)))</f>
        <v>High Pressure Water Injection (HPWI)</v>
      </c>
      <c r="Q190" s="9336"/>
      <c r="R190" s="9336"/>
      <c r="S190" s="9336"/>
      <c r="T190" s="9336"/>
      <c r="U190" s="9336"/>
      <c r="V190" s="9336"/>
      <c r="W190" s="9336"/>
      <c r="X190" s="9336"/>
      <c r="Y190" s="9336"/>
      <c r="Z190" s="9336"/>
      <c r="AA190" s="9336"/>
      <c r="AB190" s="9336"/>
      <c r="AC190" s="9336"/>
      <c r="AD190" s="9336"/>
      <c r="AE190" s="9337"/>
      <c r="AH190" s="5134"/>
      <c r="AI190" s="5134"/>
      <c r="AJ190" s="5134"/>
    </row>
    <row r="191" spans="1:36">
      <c r="A191" s="5132"/>
      <c r="B191" s="5137"/>
      <c r="C191" s="5132"/>
      <c r="D191" s="5132"/>
      <c r="E191" s="5132"/>
      <c r="F191" s="5133"/>
      <c r="G191" s="9338" t="str">
        <f t="shared" si="1"/>
        <v>4.-</v>
      </c>
      <c r="H191" s="9339"/>
      <c r="P191" s="9335" t="str">
        <f>+IF(OR($C$20="",$C$20=0),"",IF(ISERROR(MATCH($AA$15&amp;IF(VALUE(LEFT(G190,2))+1&lt;10,"-0"&amp;VALUE(LEFT(G190,2))+1,"-"&amp;VALUE(LEFT(G190,2))+1),op_id,0)),"",VLOOKUP(MATCH($AA$15&amp;IF(VALUE(LEFT(G190,2))+1&lt;10,"-0"&amp;VALUE(LEFT(G190,2))+1,"-"&amp;VALUE(LEFT(G190,2))+1),op_id,0),op,'7(op)'!$T$18,FALSE)))</f>
        <v>Dry Low NOx Combustor - DLNC</v>
      </c>
      <c r="Q191" s="9336"/>
      <c r="R191" s="9336"/>
      <c r="S191" s="9336"/>
      <c r="T191" s="9336"/>
      <c r="U191" s="9336"/>
      <c r="V191" s="9336"/>
      <c r="W191" s="9336"/>
      <c r="X191" s="9336"/>
      <c r="Y191" s="9336"/>
      <c r="Z191" s="9336"/>
      <c r="AA191" s="9336"/>
      <c r="AB191" s="9336"/>
      <c r="AC191" s="9336"/>
      <c r="AD191" s="9336"/>
      <c r="AE191" s="9337"/>
    </row>
    <row r="192" spans="1:36">
      <c r="A192" s="5132"/>
      <c r="B192" s="5137"/>
      <c r="C192" s="5132"/>
      <c r="D192" s="5132"/>
      <c r="E192" s="5132"/>
      <c r="F192" s="5133"/>
      <c r="G192" s="9338" t="str">
        <f t="shared" si="1"/>
        <v/>
      </c>
      <c r="H192" s="9339"/>
      <c r="P192" s="9335" t="str">
        <f>+IF(OR($C$20="",$C$20=0),"",IF(ISERROR(MATCH($AA$15&amp;IF(VALUE(LEFT(G191,2))+1&lt;10,"-0"&amp;VALUE(LEFT(G191,2))+1,"-"&amp;VALUE(LEFT(G191,2))+1),op_id,0)),"",VLOOKUP(MATCH($AA$15&amp;IF(VALUE(LEFT(G191,2))+1&lt;10,"-0"&amp;VALUE(LEFT(G191,2))+1,"-"&amp;VALUE(LEFT(G191,2))+1),op_id,0),op,'7(op)'!$T$18,FALSE)))</f>
        <v/>
      </c>
      <c r="Q192" s="9336"/>
      <c r="R192" s="9336"/>
      <c r="S192" s="9336"/>
      <c r="T192" s="9336"/>
      <c r="U192" s="9336"/>
      <c r="V192" s="9336"/>
      <c r="W192" s="9336"/>
      <c r="X192" s="9336"/>
      <c r="Y192" s="9336"/>
      <c r="Z192" s="9336"/>
      <c r="AA192" s="9336"/>
      <c r="AB192" s="9336"/>
      <c r="AC192" s="9336"/>
      <c r="AD192" s="9336"/>
      <c r="AE192" s="9337"/>
    </row>
    <row r="193" spans="1:33">
      <c r="A193" s="5132"/>
      <c r="B193" s="5137"/>
      <c r="C193" s="5132"/>
      <c r="D193" s="5132"/>
      <c r="E193" s="5132"/>
      <c r="F193" s="5133"/>
      <c r="G193" s="9338" t="str">
        <f t="shared" si="1"/>
        <v/>
      </c>
      <c r="H193" s="9339"/>
      <c r="P193" s="9335" t="str">
        <f>+IF(OR($C$20="",$C$20=0),"",IF(ISERROR(MATCH($AA$15&amp;IF(VALUE(LEFT(G192,2))+1&lt;10,"-0"&amp;VALUE(LEFT(G192,2))+1,"-"&amp;VALUE(LEFT(G192,2))+1),op_id,0)),"",VLOOKUP(MATCH($AA$15&amp;IF(VALUE(LEFT(G192,2))+1&lt;10,"-0"&amp;VALUE(LEFT(G192,2))+1,"-"&amp;VALUE(LEFT(G192,2))+1),op_id,0),op,'7(op)'!$T$18,FALSE)))</f>
        <v/>
      </c>
      <c r="Q193" s="9336"/>
      <c r="R193" s="9336"/>
      <c r="S193" s="9336"/>
      <c r="T193" s="9336"/>
      <c r="U193" s="9336"/>
      <c r="V193" s="9336"/>
      <c r="W193" s="9336"/>
      <c r="X193" s="9336"/>
      <c r="Y193" s="9336"/>
      <c r="Z193" s="9336"/>
      <c r="AA193" s="9336"/>
      <c r="AB193" s="9336"/>
      <c r="AC193" s="9336"/>
      <c r="AD193" s="9336"/>
      <c r="AE193" s="9337"/>
    </row>
    <row r="194" spans="1:33">
      <c r="A194" s="5132"/>
      <c r="B194" s="5137"/>
      <c r="C194" s="5132"/>
      <c r="D194" s="5132"/>
      <c r="E194" s="5132"/>
      <c r="F194" s="5133"/>
      <c r="G194" s="9338" t="str">
        <f t="shared" si="1"/>
        <v/>
      </c>
      <c r="H194" s="9339"/>
      <c r="P194" s="9335" t="str">
        <f>+IF(OR($C$20="",$C$20=0),"",IF(ISERROR(MATCH($AA$15&amp;IF(VALUE(LEFT(G193,2))+1&lt;10,"-0"&amp;VALUE(LEFT(G193,2))+1,"-"&amp;VALUE(LEFT(G193,2))+1),op_id,0)),"",VLOOKUP(MATCH($AA$15&amp;IF(VALUE(LEFT(G193,2))+1&lt;10,"-0"&amp;VALUE(LEFT(G193,2))+1,"-"&amp;VALUE(LEFT(G193,2))+1),op_id,0),op,'7(op)'!$T$18,FALSE)))</f>
        <v/>
      </c>
      <c r="Q194" s="9336"/>
      <c r="R194" s="9336"/>
      <c r="S194" s="9336"/>
      <c r="T194" s="9336"/>
      <c r="U194" s="9336"/>
      <c r="V194" s="9336"/>
      <c r="W194" s="9336"/>
      <c r="X194" s="9336"/>
      <c r="Y194" s="9336"/>
      <c r="Z194" s="9336"/>
      <c r="AA194" s="9336"/>
      <c r="AB194" s="9336"/>
      <c r="AC194" s="9336"/>
      <c r="AD194" s="9336"/>
      <c r="AE194" s="9337"/>
    </row>
    <row r="195" spans="1:33">
      <c r="A195" s="5132"/>
      <c r="B195" s="5137"/>
      <c r="C195" s="5132"/>
      <c r="D195" s="5132"/>
      <c r="E195" s="5132"/>
      <c r="F195" s="5133"/>
      <c r="G195" s="9338" t="str">
        <f t="shared" si="1"/>
        <v/>
      </c>
      <c r="H195" s="9339"/>
      <c r="P195" s="9335" t="str">
        <f>+IF(OR($C$20="",$C$20=0),"",IF(ISERROR(MATCH($AA$15&amp;IF(VALUE(LEFT(G194,2))+1&lt;10,"-0"&amp;VALUE(LEFT(G194,2))+1,"-"&amp;VALUE(LEFT(G194,2))+1),op_id,0)),"",VLOOKUP(MATCH($AA$15&amp;IF(VALUE(LEFT(G194,2))+1&lt;10,"-0"&amp;VALUE(LEFT(G194,2))+1,"-"&amp;VALUE(LEFT(G194,2))+1),op_id,0),op,'7(op)'!$T$18,FALSE)))</f>
        <v/>
      </c>
      <c r="Q195" s="9336"/>
      <c r="R195" s="9336"/>
      <c r="S195" s="9336"/>
      <c r="T195" s="9336"/>
      <c r="U195" s="9336"/>
      <c r="V195" s="9336"/>
      <c r="W195" s="9336"/>
      <c r="X195" s="9336"/>
      <c r="Y195" s="9336"/>
      <c r="Z195" s="9336"/>
      <c r="AA195" s="9336"/>
      <c r="AB195" s="9336"/>
      <c r="AC195" s="9336"/>
      <c r="AD195" s="9336"/>
      <c r="AE195" s="9337"/>
    </row>
    <row r="196" spans="1:33">
      <c r="A196" s="5132"/>
      <c r="B196" s="5137"/>
      <c r="C196" s="5132"/>
      <c r="D196" s="5132"/>
      <c r="E196" s="5132"/>
      <c r="F196" s="5133"/>
      <c r="G196" s="9338" t="str">
        <f t="shared" si="1"/>
        <v/>
      </c>
      <c r="H196" s="9339"/>
      <c r="P196" s="9335" t="str">
        <f>+IF(OR($C$20="",$C$20=0),"",IF(ISERROR(MATCH($AA$15&amp;IF(VALUE(LEFT(G195,2))+1&lt;10,"-0"&amp;VALUE(LEFT(G195,2))+1,"-"&amp;VALUE(LEFT(G195,2))+1),op_id,0)),"",VLOOKUP(MATCH($AA$15&amp;IF(VALUE(LEFT(G195,2))+1&lt;10,"-0"&amp;VALUE(LEFT(G195,2))+1,"-"&amp;VALUE(LEFT(G195,2))+1),op_id,0),op,'7(op)'!$T$18,FALSE)))</f>
        <v/>
      </c>
      <c r="Q196" s="9336"/>
      <c r="R196" s="9336"/>
      <c r="S196" s="9336"/>
      <c r="T196" s="9336"/>
      <c r="U196" s="9336"/>
      <c r="V196" s="9336"/>
      <c r="W196" s="9336"/>
      <c r="X196" s="9336"/>
      <c r="Y196" s="9336"/>
      <c r="Z196" s="9336"/>
      <c r="AA196" s="9336"/>
      <c r="AB196" s="9336"/>
      <c r="AC196" s="9336"/>
      <c r="AD196" s="9336"/>
      <c r="AE196" s="9337"/>
    </row>
    <row r="197" spans="1:33">
      <c r="A197" s="5132"/>
      <c r="B197" s="5137"/>
      <c r="C197" s="5132"/>
      <c r="D197" s="5132"/>
      <c r="E197" s="5132"/>
      <c r="F197" s="5133"/>
      <c r="G197" s="9340" t="str">
        <f t="shared" si="1"/>
        <v/>
      </c>
      <c r="H197" s="9341"/>
      <c r="P197" s="9335" t="str">
        <f>+IF(OR($C$20="",$C$20=0),"",IF(ISERROR(MATCH($AA$15&amp;IF(VALUE(LEFT(G196,2))+1&lt;10,"-0"&amp;VALUE(LEFT(G196,2))+1,"-"&amp;VALUE(LEFT(G196,2))+1),op_id,0)),"",VLOOKUP(MATCH($AA$15&amp;IF(VALUE(LEFT(G196,2))+1&lt;10,"-0"&amp;VALUE(LEFT(G196,2))+1,"-"&amp;VALUE(LEFT(G196,2))+1),op_id,0),op,'7(op)'!$T$18,FALSE)))</f>
        <v/>
      </c>
      <c r="Q197" s="9336"/>
      <c r="R197" s="9336"/>
      <c r="S197" s="9336"/>
      <c r="T197" s="9336"/>
      <c r="U197" s="9336"/>
      <c r="V197" s="9336"/>
      <c r="W197" s="9336"/>
      <c r="X197" s="9336"/>
      <c r="Y197" s="9336"/>
      <c r="Z197" s="9336"/>
      <c r="AA197" s="9336"/>
      <c r="AB197" s="9336"/>
      <c r="AC197" s="9336"/>
      <c r="AD197" s="9336"/>
      <c r="AE197" s="9337"/>
    </row>
    <row r="198" spans="1:33">
      <c r="A198" s="5132"/>
      <c r="B198" s="5132"/>
      <c r="C198" s="5132"/>
      <c r="D198" s="5132"/>
      <c r="E198" s="5132"/>
      <c r="F198" s="5133"/>
      <c r="G198" s="5347"/>
      <c r="H198" s="5347"/>
    </row>
    <row r="199" spans="1:33">
      <c r="A199" s="5132"/>
      <c r="B199" s="5137"/>
      <c r="C199" s="5132"/>
      <c r="D199" s="5132"/>
      <c r="E199" s="5132"/>
      <c r="F199" s="5133"/>
      <c r="G199" s="216"/>
      <c r="H199" s="216"/>
    </row>
    <row r="200" spans="1:33">
      <c r="A200" s="5132"/>
      <c r="B200" s="5132"/>
      <c r="C200" s="5132"/>
      <c r="D200" s="5132"/>
      <c r="E200" s="5132"/>
      <c r="F200" s="5133"/>
    </row>
    <row r="201" spans="1:33">
      <c r="A201" s="5132"/>
      <c r="B201" s="5132"/>
      <c r="C201" s="5132"/>
      <c r="D201" s="5132"/>
      <c r="E201" s="5132"/>
      <c r="F201" s="5133"/>
    </row>
    <row r="202" spans="1:33">
      <c r="A202" s="5132"/>
      <c r="B202" s="5132"/>
      <c r="C202" s="5132"/>
      <c r="D202" s="5132"/>
      <c r="E202" s="5132"/>
      <c r="F202" s="5133"/>
    </row>
    <row r="203" spans="1:33">
      <c r="A203" s="5132"/>
      <c r="B203" s="5132"/>
      <c r="C203" s="5132"/>
      <c r="D203" s="5132"/>
      <c r="E203" s="5132"/>
      <c r="F203" s="5133"/>
    </row>
    <row r="204" spans="1:33">
      <c r="A204" s="5132"/>
      <c r="B204" s="5132"/>
      <c r="C204" s="5132"/>
      <c r="D204" s="5132"/>
      <c r="E204" s="5132"/>
      <c r="F204" s="5133"/>
    </row>
    <row r="205" spans="1:33" ht="219.95" customHeight="1">
      <c r="A205" s="5132"/>
      <c r="B205" s="5132"/>
      <c r="C205" s="5132"/>
      <c r="D205" s="5132"/>
      <c r="E205" s="5132"/>
      <c r="F205" s="5132"/>
      <c r="G205" s="5132"/>
      <c r="H205" s="5132"/>
      <c r="I205" s="5132"/>
      <c r="J205" s="5132"/>
      <c r="K205" s="5132"/>
      <c r="L205" s="5132"/>
      <c r="M205" s="5132"/>
      <c r="N205" s="5132"/>
      <c r="O205" s="5132"/>
      <c r="P205" s="5132"/>
      <c r="Q205" s="5132"/>
      <c r="R205" s="5132"/>
      <c r="S205" s="5132"/>
      <c r="T205" s="5132"/>
      <c r="U205" s="5132"/>
      <c r="V205" s="5132"/>
      <c r="W205" s="5132"/>
      <c r="X205" s="5132"/>
      <c r="Y205" s="5132"/>
      <c r="Z205" s="5132"/>
      <c r="AA205" s="5132"/>
      <c r="AB205" s="5132"/>
      <c r="AC205" s="5132"/>
      <c r="AD205" s="5132"/>
      <c r="AE205" s="5132"/>
      <c r="AF205" s="5132"/>
      <c r="AG205" s="5132"/>
    </row>
    <row r="206" spans="1:33" ht="219.95" customHeight="1">
      <c r="A206" s="5132"/>
      <c r="B206" s="5132"/>
      <c r="C206" s="5132"/>
      <c r="D206" s="5132"/>
      <c r="E206" s="5132"/>
      <c r="F206" s="5132"/>
      <c r="G206" s="5132"/>
      <c r="H206" s="5132"/>
      <c r="I206" s="5132"/>
      <c r="J206" s="5132"/>
      <c r="K206" s="5132"/>
      <c r="L206" s="5132"/>
      <c r="M206" s="5132"/>
      <c r="N206" s="5132"/>
      <c r="O206" s="5132"/>
      <c r="P206" s="5132"/>
      <c r="Q206" s="5132"/>
      <c r="R206" s="5132"/>
      <c r="S206" s="5132"/>
      <c r="T206" s="5132"/>
      <c r="U206" s="5132"/>
      <c r="V206" s="5132"/>
      <c r="W206" s="5132"/>
      <c r="X206" s="5132"/>
      <c r="Y206" s="5132"/>
      <c r="Z206" s="5132"/>
      <c r="AA206" s="5132"/>
      <c r="AB206" s="5132"/>
      <c r="AC206" s="5132"/>
      <c r="AD206" s="5132"/>
      <c r="AE206" s="5132"/>
      <c r="AF206" s="5132"/>
      <c r="AG206" s="5132"/>
    </row>
    <row r="207" spans="1:33" hidden="1"/>
    <row r="208" spans="1:33" hidden="1"/>
    <row r="209" hidden="1"/>
    <row r="210" hidden="1"/>
    <row r="211" hidden="1"/>
    <row r="212" hidden="1"/>
    <row r="213" hidden="1"/>
    <row r="214" hidden="1"/>
    <row r="215" hidden="1"/>
    <row r="216" hidden="1"/>
    <row r="217" hidden="1"/>
    <row r="218" s="5132" customFormat="1" ht="219.95" customHeight="1"/>
  </sheetData>
  <sheetProtection password="C665" sheet="1" objects="1" scenarios="1"/>
  <mergeCells count="198">
    <mergeCell ref="AA14:AF14"/>
    <mergeCell ref="T129:U129"/>
    <mergeCell ref="P131:Q131"/>
    <mergeCell ref="V124:X124"/>
    <mergeCell ref="V125:X125"/>
    <mergeCell ref="T131:X131"/>
    <mergeCell ref="V130:X130"/>
    <mergeCell ref="V129:X129"/>
    <mergeCell ref="V128:X128"/>
    <mergeCell ref="V127:X127"/>
    <mergeCell ref="V126:X126"/>
    <mergeCell ref="AA129:AB129"/>
    <mergeCell ref="AA131:AE131"/>
    <mergeCell ref="AC130:AE130"/>
    <mergeCell ref="AC129:AE129"/>
    <mergeCell ref="AC128:AE128"/>
    <mergeCell ref="T126:U126"/>
    <mergeCell ref="AA15:AE15"/>
    <mergeCell ref="P88:Q88"/>
    <mergeCell ref="P89:Q89"/>
    <mergeCell ref="P90:Q90"/>
    <mergeCell ref="P82:AE82"/>
    <mergeCell ref="P80:Q80"/>
    <mergeCell ref="P85:AE85"/>
    <mergeCell ref="AC125:AE125"/>
    <mergeCell ref="AC124:AE124"/>
    <mergeCell ref="P123:Q123"/>
    <mergeCell ref="T123:X123"/>
    <mergeCell ref="AA123:AE123"/>
    <mergeCell ref="T106:AE106"/>
    <mergeCell ref="T117:AE118"/>
    <mergeCell ref="T120:U120"/>
    <mergeCell ref="R120:S120"/>
    <mergeCell ref="V120:X120"/>
    <mergeCell ref="AA125:AB125"/>
    <mergeCell ref="P73:Q73"/>
    <mergeCell ref="P78:Q78"/>
    <mergeCell ref="U78:AE78"/>
    <mergeCell ref="U80:AE80"/>
    <mergeCell ref="P81:AE81"/>
    <mergeCell ref="P66:Q66"/>
    <mergeCell ref="P67:AE67"/>
    <mergeCell ref="P69:Q69"/>
    <mergeCell ref="P71:Q71"/>
    <mergeCell ref="P72:Q72"/>
    <mergeCell ref="AC18:AE18"/>
    <mergeCell ref="AC19:AE19"/>
    <mergeCell ref="P62:AE62"/>
    <mergeCell ref="P20:X20"/>
    <mergeCell ref="P22:X22"/>
    <mergeCell ref="P23:X23"/>
    <mergeCell ref="P55:Q55"/>
    <mergeCell ref="P56:Q56"/>
    <mergeCell ref="T57:X57"/>
    <mergeCell ref="P44:AE44"/>
    <mergeCell ref="P45:AE45"/>
    <mergeCell ref="P46:AE46"/>
    <mergeCell ref="P47:AE47"/>
    <mergeCell ref="P52:AE52"/>
    <mergeCell ref="P53:AE53"/>
    <mergeCell ref="T51:AE51"/>
    <mergeCell ref="P51:Q51"/>
    <mergeCell ref="P40:Q40"/>
    <mergeCell ref="P48:Q48"/>
    <mergeCell ref="T48:X48"/>
    <mergeCell ref="P42:AE42"/>
    <mergeCell ref="P31:Q31"/>
    <mergeCell ref="P32:Q32"/>
    <mergeCell ref="P38:Q38"/>
    <mergeCell ref="P181:AE183"/>
    <mergeCell ref="P149:AE150"/>
    <mergeCell ref="T125:U125"/>
    <mergeCell ref="P39:Q39"/>
    <mergeCell ref="P37:Q37"/>
    <mergeCell ref="P57:Q57"/>
    <mergeCell ref="P74:AD75"/>
    <mergeCell ref="AA108:AE108"/>
    <mergeCell ref="P77:Q77"/>
    <mergeCell ref="P68:Q68"/>
    <mergeCell ref="AA110:AE110"/>
    <mergeCell ref="AA126:AB126"/>
    <mergeCell ref="AA124:AB124"/>
    <mergeCell ref="T124:U124"/>
    <mergeCell ref="P59:AE60"/>
    <mergeCell ref="AA109:AE109"/>
    <mergeCell ref="T127:U127"/>
    <mergeCell ref="AA130:AB130"/>
    <mergeCell ref="AA127:AB127"/>
    <mergeCell ref="P63:AE63"/>
    <mergeCell ref="P64:AE64"/>
    <mergeCell ref="P92:Q92"/>
    <mergeCell ref="T88:X88"/>
    <mergeCell ref="P176:AE179"/>
    <mergeCell ref="T128:U128"/>
    <mergeCell ref="AA128:AB128"/>
    <mergeCell ref="P139:Q139"/>
    <mergeCell ref="P141:Q141"/>
    <mergeCell ref="T141:X141"/>
    <mergeCell ref="P142:X142"/>
    <mergeCell ref="P143:X143"/>
    <mergeCell ref="P140:X140"/>
    <mergeCell ref="AA173:AC173"/>
    <mergeCell ref="P157:AE157"/>
    <mergeCell ref="AA142:AE142"/>
    <mergeCell ref="P159:AE159"/>
    <mergeCell ref="P134:AE134"/>
    <mergeCell ref="P135:AE135"/>
    <mergeCell ref="P136:AE136"/>
    <mergeCell ref="T162:X162"/>
    <mergeCell ref="V164:X164"/>
    <mergeCell ref="T164:U164"/>
    <mergeCell ref="V163:X163"/>
    <mergeCell ref="P144:X144"/>
    <mergeCell ref="AA166:AB166"/>
    <mergeCell ref="AC166:AE166"/>
    <mergeCell ref="AA27:AE27"/>
    <mergeCell ref="AA34:AE34"/>
    <mergeCell ref="T34:X34"/>
    <mergeCell ref="T35:X35"/>
    <mergeCell ref="AA35:AE35"/>
    <mergeCell ref="T30:AE30"/>
    <mergeCell ref="P29:Q29"/>
    <mergeCell ref="P30:Q30"/>
    <mergeCell ref="P33:Q33"/>
    <mergeCell ref="P34:Q34"/>
    <mergeCell ref="P35:Q35"/>
    <mergeCell ref="AA88:AE88"/>
    <mergeCell ref="T96:AE96"/>
    <mergeCell ref="AA167:AB167"/>
    <mergeCell ref="AC167:AE167"/>
    <mergeCell ref="P162:Q162"/>
    <mergeCell ref="AA162:AE162"/>
    <mergeCell ref="T102:AE102"/>
    <mergeCell ref="T114:AE115"/>
    <mergeCell ref="P100:Q100"/>
    <mergeCell ref="P104:Q104"/>
    <mergeCell ref="T104:AE104"/>
    <mergeCell ref="T105:AE105"/>
    <mergeCell ref="T97:AE97"/>
    <mergeCell ref="T98:AE98"/>
    <mergeCell ref="P96:Q96"/>
    <mergeCell ref="T100:AE100"/>
    <mergeCell ref="T101:AE101"/>
    <mergeCell ref="AC126:AE126"/>
    <mergeCell ref="P146:AE147"/>
    <mergeCell ref="AA143:AE143"/>
    <mergeCell ref="P153:AE154"/>
    <mergeCell ref="P94:AE94"/>
    <mergeCell ref="AC127:AE127"/>
    <mergeCell ref="T130:U130"/>
    <mergeCell ref="C23:C24"/>
    <mergeCell ref="A22:C22"/>
    <mergeCell ref="A30:A39"/>
    <mergeCell ref="A40:A46"/>
    <mergeCell ref="A47:A49"/>
    <mergeCell ref="P43:Q43"/>
    <mergeCell ref="P25:X25"/>
    <mergeCell ref="AA168:AB168"/>
    <mergeCell ref="AC168:AE168"/>
    <mergeCell ref="T163:U163"/>
    <mergeCell ref="T165:U165"/>
    <mergeCell ref="V165:X165"/>
    <mergeCell ref="T166:U166"/>
    <mergeCell ref="V166:X166"/>
    <mergeCell ref="T167:U167"/>
    <mergeCell ref="V167:X167"/>
    <mergeCell ref="T168:U168"/>
    <mergeCell ref="V168:X168"/>
    <mergeCell ref="AA163:AB163"/>
    <mergeCell ref="AC163:AE163"/>
    <mergeCell ref="AA164:AB164"/>
    <mergeCell ref="AC164:AE164"/>
    <mergeCell ref="AA165:AB165"/>
    <mergeCell ref="AC165:AE165"/>
    <mergeCell ref="A20:B20"/>
    <mergeCell ref="A19:B19"/>
    <mergeCell ref="P197:AE197"/>
    <mergeCell ref="G188:H188"/>
    <mergeCell ref="G189:H189"/>
    <mergeCell ref="G190:H190"/>
    <mergeCell ref="G191:H191"/>
    <mergeCell ref="G192:H192"/>
    <mergeCell ref="G193:H193"/>
    <mergeCell ref="G194:H194"/>
    <mergeCell ref="G195:H195"/>
    <mergeCell ref="G196:H196"/>
    <mergeCell ref="G197:H197"/>
    <mergeCell ref="P188:AE188"/>
    <mergeCell ref="P189:AE189"/>
    <mergeCell ref="P190:AE190"/>
    <mergeCell ref="P191:AE191"/>
    <mergeCell ref="P192:AE192"/>
    <mergeCell ref="P193:AE193"/>
    <mergeCell ref="P194:AE194"/>
    <mergeCell ref="P195:AE195"/>
    <mergeCell ref="P196:AE196"/>
    <mergeCell ref="A23:A24"/>
    <mergeCell ref="B23:B24"/>
  </mergeCells>
  <phoneticPr fontId="8" type="noConversion"/>
  <dataValidations count="1">
    <dataValidation type="list" allowBlank="1" showInputMessage="1" showErrorMessage="1" sqref="C20">
      <formula1>"1,2,3,4,5,6,7,8,9,10,11,12,13,14,15,16,17,18,19,20,21,22,23,24,25"</formula1>
    </dataValidation>
  </dataValidations>
  <hyperlinks>
    <hyperlink ref="F15" location="'Table of Contents'!A1" display="x"/>
  </hyperlinks>
  <pageMargins left="0.75" right="0.25" top="0.5" bottom="0.25" header="0" footer="0.25"/>
  <pageSetup scale="85" orientation="portrait" r:id="rId1"/>
  <headerFooter>
    <oddFooter>&amp;CPage &amp;P of &amp;N</oddFooter>
  </headerFooter>
  <ignoredErrors>
    <ignoredError sqref="B26" formula="1"/>
  </ignoredErrors>
  <drawing r:id="rId2"/>
</worksheet>
</file>

<file path=xl/worksheets/sheet6.xml><?xml version="1.0" encoding="utf-8"?>
<worksheet xmlns="http://schemas.openxmlformats.org/spreadsheetml/2006/main" xmlns:r="http://schemas.openxmlformats.org/officeDocument/2006/relationships">
  <sheetPr>
    <tabColor rgb="FFFFFFCC"/>
  </sheetPr>
  <dimension ref="A1:DI76"/>
  <sheetViews>
    <sheetView zoomScale="70" zoomScaleNormal="70" workbookViewId="0">
      <pane xSplit="7" ySplit="17" topLeftCell="H18" activePane="bottomRight" state="frozen"/>
      <selection activeCell="G6" sqref="G6"/>
      <selection pane="topRight" activeCell="G6" sqref="G6"/>
      <selection pane="bottomLeft" activeCell="G6" sqref="G6"/>
      <selection pane="bottomRight" activeCell="J15" sqref="J15:J17"/>
    </sheetView>
  </sheetViews>
  <sheetFormatPr defaultColWidth="0" defaultRowHeight="12.75" zeroHeight="1"/>
  <cols>
    <col min="1" max="1" width="9.140625" style="271" customWidth="1"/>
    <col min="2" max="2" width="11" style="271" customWidth="1"/>
    <col min="3" max="3" width="8.85546875" style="271" customWidth="1"/>
    <col min="4" max="6" width="2.7109375" style="271" customWidth="1"/>
    <col min="7" max="8" width="5.7109375" style="271" customWidth="1"/>
    <col min="9" max="9" width="6.140625" style="271" customWidth="1"/>
    <col min="10" max="10" width="29.7109375" style="271" customWidth="1"/>
    <col min="11" max="11" width="8.28515625" style="271" customWidth="1"/>
    <col min="12" max="12" width="11.5703125" style="271" customWidth="1"/>
    <col min="13" max="13" width="20.140625" style="271" customWidth="1"/>
    <col min="14" max="14" width="33.28515625" style="271" customWidth="1"/>
    <col min="15" max="15" width="11.42578125" style="271" customWidth="1"/>
    <col min="16" max="16" width="14" style="271" customWidth="1"/>
    <col min="17" max="17" width="13.140625" style="271" customWidth="1"/>
    <col min="18" max="18" width="14.7109375" style="271" customWidth="1"/>
    <col min="19" max="19" width="12.7109375" style="271" customWidth="1"/>
    <col min="20" max="20" width="18.140625" style="271" customWidth="1"/>
    <col min="21" max="21" width="8.85546875" style="271" customWidth="1"/>
    <col min="22" max="22" width="14" style="271" customWidth="1"/>
    <col min="23" max="23" width="28" style="271" customWidth="1"/>
    <col min="24" max="24" width="17.42578125" style="271" customWidth="1"/>
    <col min="25" max="26" width="12.5703125" style="271" customWidth="1"/>
    <col min="27" max="28" width="10.5703125" style="271" customWidth="1"/>
    <col min="29" max="29" width="8.5703125" style="271" customWidth="1"/>
    <col min="30" max="30" width="16" style="271" customWidth="1"/>
    <col min="31" max="31" width="10.42578125" style="271" customWidth="1"/>
    <col min="32" max="32" width="10.85546875" style="271" customWidth="1"/>
    <col min="33" max="33" width="10.140625" style="271" customWidth="1"/>
    <col min="34" max="34" width="10.5703125" style="271" customWidth="1"/>
    <col min="35" max="35" width="8.42578125" style="271" customWidth="1"/>
    <col min="36" max="36" width="10.7109375" style="271" customWidth="1"/>
    <col min="37" max="37" width="9.28515625" style="271" customWidth="1"/>
    <col min="38" max="38" width="9.7109375" style="271" customWidth="1"/>
    <col min="39" max="39" width="10.5703125" style="271" customWidth="1"/>
    <col min="40" max="40" width="10" style="271" customWidth="1"/>
    <col min="41" max="41" width="10.42578125" style="271" customWidth="1"/>
    <col min="42" max="42" width="11.28515625" style="271" customWidth="1"/>
    <col min="43" max="43" width="11.42578125" style="271" customWidth="1"/>
    <col min="44" max="44" width="12.140625" style="271" customWidth="1"/>
    <col min="45" max="45" width="13.7109375" style="271" customWidth="1"/>
    <col min="46" max="46" width="14.7109375" style="271" customWidth="1"/>
    <col min="47" max="47" width="8.42578125" style="271" customWidth="1"/>
    <col min="48" max="48" width="10.7109375" style="271" customWidth="1"/>
    <col min="49" max="49" width="9.28515625" style="271" customWidth="1"/>
    <col min="50" max="50" width="10.28515625" style="271" customWidth="1"/>
    <col min="51" max="51" width="10.5703125" style="271" customWidth="1"/>
    <col min="52" max="52" width="9.140625" style="271" customWidth="1"/>
    <col min="53" max="53" width="10.42578125" style="271" customWidth="1"/>
    <col min="54" max="54" width="11.28515625" style="271" customWidth="1"/>
    <col min="55" max="55" width="11.42578125" style="271" customWidth="1"/>
    <col min="56" max="56" width="12.5703125" style="271" customWidth="1"/>
    <col min="57" max="57" width="14.28515625" style="271" customWidth="1"/>
    <col min="58" max="58" width="14.7109375" style="271" customWidth="1"/>
    <col min="59" max="59" width="8.42578125" style="271" customWidth="1"/>
    <col min="60" max="60" width="10.7109375" style="271" customWidth="1"/>
    <col min="61" max="61" width="9.28515625" style="271" customWidth="1"/>
    <col min="62" max="62" width="13.5703125" style="271" customWidth="1"/>
    <col min="63" max="63" width="10.5703125" style="271" customWidth="1"/>
    <col min="64" max="64" width="10.28515625" style="271" customWidth="1"/>
    <col min="65" max="65" width="10.42578125" style="271" customWidth="1"/>
    <col min="66" max="66" width="11.28515625" style="271" customWidth="1"/>
    <col min="67" max="67" width="11.42578125" style="271" customWidth="1"/>
    <col min="68" max="68" width="14" style="271" customWidth="1"/>
    <col min="69" max="69" width="14.28515625" style="271" customWidth="1"/>
    <col min="70" max="70" width="14.7109375" style="271" customWidth="1"/>
    <col min="71" max="74" width="20.7109375" style="271" customWidth="1"/>
    <col min="75" max="75" width="14.42578125" style="271" customWidth="1"/>
    <col min="76" max="76" width="10.7109375" style="271" customWidth="1"/>
    <col min="77" max="77" width="6" style="271" customWidth="1"/>
    <col min="78" max="78" width="10.7109375" style="271" customWidth="1"/>
    <col min="79" max="79" width="5.85546875" style="216" customWidth="1"/>
    <col min="80" max="80" width="10.85546875" style="271" customWidth="1"/>
    <col min="81" max="81" width="10.42578125" style="271" customWidth="1"/>
    <col min="82" max="82" width="9.140625" style="271" customWidth="1"/>
    <col min="83" max="83" width="9.42578125" style="271" customWidth="1"/>
    <col min="84" max="85" width="10.42578125" style="271" customWidth="1"/>
    <col min="86" max="86" width="10.7109375" style="271" customWidth="1"/>
    <col min="87" max="87" width="9.42578125" style="271" customWidth="1"/>
    <col min="88" max="88" width="10.42578125" style="271" customWidth="1"/>
    <col min="89" max="89" width="9.42578125" style="271" customWidth="1"/>
    <col min="90" max="90" width="8.85546875" style="271" customWidth="1"/>
    <col min="91" max="91" width="10.42578125" style="271" customWidth="1"/>
    <col min="92" max="92" width="9.85546875" style="271" customWidth="1"/>
    <col min="93" max="93" width="10.28515625" style="271" customWidth="1"/>
    <col min="94" max="94" width="10.42578125" style="271" customWidth="1"/>
    <col min="95" max="96" width="8.5703125" style="271" customWidth="1"/>
    <col min="97" max="97" width="8.140625" style="271" customWidth="1"/>
    <col min="98" max="98" width="10.42578125" style="271" customWidth="1"/>
    <col min="99" max="99" width="9" style="271" customWidth="1"/>
    <col min="100" max="100" width="9.5703125" style="271" customWidth="1"/>
    <col min="101" max="101" width="9.28515625" style="271" customWidth="1"/>
    <col min="102" max="102" width="10.42578125" style="271" customWidth="1"/>
    <col min="103" max="103" width="9" style="271" customWidth="1"/>
    <col min="104" max="104" width="9.5703125" style="271" customWidth="1"/>
    <col min="105" max="105" width="10.85546875" style="271" customWidth="1"/>
    <col min="106" max="106" width="9.140625" style="271" customWidth="1"/>
    <col min="107" max="107" width="12.140625" style="271" customWidth="1"/>
    <col min="108" max="108" width="9.42578125" style="271" customWidth="1"/>
    <col min="109" max="109" width="12.140625" style="271" customWidth="1"/>
    <col min="110" max="110" width="44.5703125" style="271" customWidth="1"/>
    <col min="111" max="111" width="3" style="271" customWidth="1"/>
    <col min="112" max="113" width="40.7109375" style="5132" customWidth="1"/>
    <col min="114" max="16384" width="9.140625" style="271" hidden="1"/>
  </cols>
  <sheetData>
    <row r="1" spans="1:113">
      <c r="A1" s="5132"/>
      <c r="B1" s="5132"/>
      <c r="C1" s="5132"/>
      <c r="D1" s="5132"/>
      <c r="E1" s="5132"/>
      <c r="F1" s="5133"/>
      <c r="G1" s="5133"/>
      <c r="H1" s="5133"/>
      <c r="I1" s="5133"/>
      <c r="J1" s="5133"/>
      <c r="K1" s="5133"/>
      <c r="L1" s="5133"/>
      <c r="M1" s="5133"/>
      <c r="N1" s="5133"/>
      <c r="O1" s="5353"/>
      <c r="P1" s="5133"/>
      <c r="Q1" s="5133"/>
      <c r="R1" s="5133"/>
      <c r="S1" s="5133"/>
      <c r="T1" s="5133"/>
      <c r="U1" s="5133"/>
      <c r="V1" s="5133"/>
      <c r="W1" s="5133"/>
      <c r="X1" s="5133"/>
      <c r="Y1" s="5133"/>
      <c r="Z1" s="5133"/>
      <c r="AA1" s="5133"/>
      <c r="AB1" s="5133"/>
      <c r="AC1" s="5133"/>
      <c r="AD1" s="5133"/>
      <c r="AE1" s="5133"/>
      <c r="AF1" s="5133"/>
      <c r="AG1" s="5133"/>
      <c r="AH1" s="5133"/>
      <c r="AI1" s="5133"/>
      <c r="AJ1" s="5133"/>
      <c r="AK1" s="5133"/>
      <c r="AL1" s="5133"/>
      <c r="AM1" s="5133"/>
      <c r="AN1" s="5133"/>
      <c r="AO1" s="5133"/>
      <c r="AP1" s="5133"/>
      <c r="AQ1" s="5133"/>
      <c r="AR1" s="5133"/>
      <c r="AS1" s="5133"/>
      <c r="AT1" s="5133"/>
      <c r="AU1" s="5133"/>
      <c r="AV1" s="5133"/>
      <c r="AW1" s="5133"/>
      <c r="AX1" s="5133"/>
      <c r="AY1" s="5133"/>
      <c r="AZ1" s="5133"/>
      <c r="BA1" s="5133"/>
      <c r="BB1" s="5133"/>
      <c r="BC1" s="5133"/>
      <c r="BD1" s="5133"/>
      <c r="BE1" s="5133"/>
      <c r="BF1" s="5133"/>
      <c r="BG1" s="5133"/>
      <c r="BH1" s="5133"/>
      <c r="BI1" s="5133"/>
      <c r="BJ1" s="5133"/>
      <c r="BK1" s="5133"/>
      <c r="BL1" s="5133"/>
      <c r="BM1" s="5133"/>
      <c r="BN1" s="5133"/>
      <c r="BO1" s="5133"/>
      <c r="BP1" s="5133"/>
      <c r="BQ1" s="5133"/>
      <c r="BR1" s="5133"/>
      <c r="BS1" s="5133"/>
      <c r="BT1" s="5133"/>
      <c r="BU1" s="5133"/>
      <c r="BV1" s="5133"/>
      <c r="BW1" s="5133"/>
      <c r="BX1" s="5133"/>
      <c r="BY1" s="5133"/>
      <c r="BZ1" s="5133"/>
      <c r="CA1" s="7405"/>
      <c r="CB1" s="5133"/>
      <c r="CC1" s="5133"/>
      <c r="CD1" s="5133"/>
      <c r="CE1" s="5133"/>
      <c r="CF1" s="5133"/>
      <c r="CG1" s="5133"/>
      <c r="CH1" s="5133"/>
      <c r="CI1" s="5133"/>
      <c r="CJ1" s="5133"/>
      <c r="CK1" s="5133"/>
      <c r="CL1" s="5133"/>
      <c r="CM1" s="5133"/>
      <c r="CN1" s="5133"/>
      <c r="CO1" s="5133"/>
      <c r="CP1" s="5133"/>
      <c r="CQ1" s="5133"/>
      <c r="CR1" s="5133"/>
      <c r="CS1" s="5133"/>
      <c r="CT1" s="5133"/>
      <c r="CU1" s="5133"/>
      <c r="CV1" s="5133"/>
      <c r="CW1" s="5133"/>
      <c r="CX1" s="5133"/>
      <c r="CY1" s="5133"/>
      <c r="CZ1" s="5133"/>
      <c r="DA1" s="5133"/>
      <c r="DB1" s="5133"/>
      <c r="DC1" s="5133"/>
      <c r="DD1" s="5133"/>
      <c r="DE1" s="5133"/>
      <c r="DF1" s="5133"/>
      <c r="DG1" s="5133"/>
    </row>
    <row r="2" spans="1:113">
      <c r="A2" s="5132"/>
      <c r="B2" s="5132"/>
      <c r="C2" s="5132"/>
      <c r="D2" s="5132"/>
      <c r="E2" s="5132"/>
      <c r="F2" s="5133"/>
      <c r="G2" s="5133"/>
      <c r="H2" s="7770" t="s">
        <v>2023</v>
      </c>
      <c r="I2" s="7771"/>
      <c r="J2" s="7424"/>
      <c r="K2" s="7424"/>
      <c r="L2" s="7424"/>
      <c r="M2" s="7772"/>
      <c r="N2" s="7424"/>
      <c r="O2" s="7424"/>
      <c r="P2" s="7424"/>
      <c r="Q2" s="7424"/>
      <c r="R2" s="7424"/>
      <c r="S2" s="7424"/>
      <c r="T2" s="7424"/>
      <c r="U2" s="7428"/>
      <c r="V2" s="5951"/>
      <c r="W2" s="5951"/>
      <c r="X2" s="5951"/>
      <c r="Y2" s="5951"/>
      <c r="Z2" s="5951"/>
      <c r="AA2" s="5951"/>
      <c r="AB2" s="5951"/>
      <c r="AC2" s="5951"/>
      <c r="AD2" s="5951"/>
      <c r="AE2" s="5951"/>
      <c r="AF2" s="5951"/>
      <c r="AG2" s="5951"/>
      <c r="AH2" s="5951"/>
      <c r="AI2" s="5951"/>
      <c r="AJ2" s="7912"/>
      <c r="AK2" s="5951"/>
      <c r="AL2" s="5951"/>
      <c r="AM2" s="5951"/>
      <c r="AN2" s="5951"/>
      <c r="AO2" s="5951"/>
      <c r="AP2" s="5951"/>
      <c r="AQ2" s="5951"/>
      <c r="AR2" s="5951"/>
      <c r="AS2" s="5951"/>
      <c r="AT2" s="5951"/>
      <c r="AU2" s="5951"/>
      <c r="AV2" s="5951"/>
      <c r="AW2" s="5951"/>
      <c r="AX2" s="5951"/>
      <c r="AY2" s="5951"/>
      <c r="AZ2" s="5951"/>
      <c r="BA2" s="5951"/>
      <c r="BB2" s="5951"/>
      <c r="BC2" s="5951"/>
      <c r="BD2" s="5951"/>
      <c r="BE2" s="5951"/>
      <c r="BF2" s="5951"/>
      <c r="BG2" s="5951"/>
      <c r="BH2" s="5951"/>
      <c r="BI2" s="5951"/>
      <c r="BJ2" s="5951"/>
      <c r="BK2" s="5951"/>
      <c r="BL2" s="5951"/>
      <c r="BM2" s="5951"/>
      <c r="BN2" s="5951"/>
      <c r="BO2" s="5951"/>
      <c r="BP2" s="5951"/>
      <c r="BQ2" s="5951"/>
      <c r="BR2" s="5951"/>
      <c r="BS2" s="5951"/>
      <c r="BT2" s="5951"/>
      <c r="BU2" s="5951"/>
      <c r="BV2" s="5951"/>
      <c r="BW2" s="5951"/>
      <c r="BX2" s="5951"/>
      <c r="BY2" s="5951"/>
      <c r="BZ2" s="5951"/>
      <c r="CA2" s="7422"/>
      <c r="CB2" s="5951"/>
      <c r="CC2" s="5951"/>
      <c r="CD2" s="5951"/>
      <c r="CE2" s="5951"/>
      <c r="CF2" s="5951"/>
      <c r="CG2" s="5951"/>
      <c r="CH2" s="5951"/>
      <c r="CI2" s="5951"/>
      <c r="CJ2" s="5951"/>
      <c r="CK2" s="5951"/>
      <c r="CL2" s="5951"/>
      <c r="CM2" s="5951"/>
      <c r="CN2" s="5951"/>
      <c r="CO2" s="5951"/>
      <c r="CP2" s="5951"/>
      <c r="CQ2" s="5951"/>
      <c r="CR2" s="5951"/>
      <c r="CS2" s="5951"/>
      <c r="CT2" s="5951"/>
      <c r="CU2" s="5951"/>
      <c r="CV2" s="5951"/>
      <c r="CW2" s="5951"/>
      <c r="CX2" s="5951"/>
      <c r="CY2" s="5951"/>
      <c r="CZ2" s="5951"/>
      <c r="DA2" s="5951"/>
      <c r="DB2" s="5951"/>
      <c r="DC2" s="5951"/>
      <c r="DD2" s="5951"/>
      <c r="DE2" s="5951"/>
      <c r="DF2" s="5951"/>
      <c r="DG2" s="5133"/>
    </row>
    <row r="3" spans="1:113">
      <c r="A3" s="5132"/>
      <c r="B3" s="5132"/>
      <c r="C3" s="5132"/>
      <c r="D3" s="5132"/>
      <c r="E3" s="5132"/>
      <c r="F3" s="5133"/>
      <c r="G3" s="5133"/>
      <c r="H3" s="7773" t="s">
        <v>2021</v>
      </c>
      <c r="I3" s="7566" t="s">
        <v>2558</v>
      </c>
      <c r="J3" s="7783"/>
      <c r="K3" s="7783"/>
      <c r="L3" s="7783"/>
      <c r="M3" s="7794"/>
      <c r="N3" s="7783"/>
      <c r="O3" s="7783"/>
      <c r="P3" s="7783"/>
      <c r="Q3" s="7783"/>
      <c r="R3" s="7783"/>
      <c r="S3" s="7783"/>
      <c r="T3" s="7783"/>
      <c r="U3" s="7433"/>
      <c r="V3" s="5951"/>
      <c r="W3" s="5951"/>
      <c r="X3" s="5951"/>
      <c r="Y3" s="5951"/>
      <c r="Z3" s="5951"/>
      <c r="AA3" s="5951"/>
      <c r="AB3" s="5951"/>
      <c r="AC3" s="5951"/>
      <c r="AD3" s="5951"/>
      <c r="AE3" s="5951"/>
      <c r="AF3" s="5951"/>
      <c r="AG3" s="5951"/>
      <c r="AH3" s="5951"/>
      <c r="AI3" s="5951"/>
      <c r="AJ3" s="7912"/>
      <c r="AK3" s="5951"/>
      <c r="AL3" s="5951"/>
      <c r="AM3" s="5951"/>
      <c r="AN3" s="5951"/>
      <c r="AO3" s="5951"/>
      <c r="AP3" s="5951"/>
      <c r="AQ3" s="5951"/>
      <c r="AR3" s="5951"/>
      <c r="AS3" s="5951"/>
      <c r="AT3" s="5951"/>
      <c r="AU3" s="5951"/>
      <c r="AV3" s="5951"/>
      <c r="AW3" s="5951"/>
      <c r="AX3" s="5951"/>
      <c r="AY3" s="5951"/>
      <c r="AZ3" s="5951"/>
      <c r="BA3" s="5951"/>
      <c r="BB3" s="5951"/>
      <c r="BC3" s="5951"/>
      <c r="BD3" s="5951"/>
      <c r="BE3" s="5951"/>
      <c r="BF3" s="5951"/>
      <c r="BG3" s="5951"/>
      <c r="BH3" s="5951"/>
      <c r="BI3" s="5951"/>
      <c r="BJ3" s="5951"/>
      <c r="BK3" s="5951"/>
      <c r="BL3" s="5951"/>
      <c r="BM3" s="5951"/>
      <c r="BN3" s="5951"/>
      <c r="BO3" s="5951"/>
      <c r="BP3" s="5951"/>
      <c r="BQ3" s="5951"/>
      <c r="BR3" s="5951"/>
      <c r="BS3" s="5951"/>
      <c r="BT3" s="5951"/>
      <c r="BU3" s="5951"/>
      <c r="BV3" s="5951"/>
      <c r="BW3" s="5951"/>
      <c r="BX3" s="5951"/>
      <c r="BY3" s="5951"/>
      <c r="BZ3" s="5951"/>
      <c r="CA3" s="7422"/>
      <c r="CB3" s="5951"/>
      <c r="CC3" s="5951"/>
      <c r="CD3" s="5951"/>
      <c r="CE3" s="5951"/>
      <c r="CF3" s="5951"/>
      <c r="CG3" s="5951"/>
      <c r="CH3" s="5951"/>
      <c r="CI3" s="5951"/>
      <c r="CJ3" s="5951"/>
      <c r="CK3" s="5951"/>
      <c r="CL3" s="5951"/>
      <c r="CM3" s="5951"/>
      <c r="CN3" s="5951"/>
      <c r="CO3" s="5951"/>
      <c r="CP3" s="5951"/>
      <c r="CQ3" s="5951"/>
      <c r="CR3" s="5951"/>
      <c r="CS3" s="5951"/>
      <c r="CT3" s="5951"/>
      <c r="CU3" s="5951"/>
      <c r="CV3" s="5951"/>
      <c r="CW3" s="5951"/>
      <c r="CX3" s="5951"/>
      <c r="CY3" s="5951"/>
      <c r="CZ3" s="5951"/>
      <c r="DA3" s="5951"/>
      <c r="DB3" s="5951"/>
      <c r="DC3" s="5951"/>
      <c r="DD3" s="5951"/>
      <c r="DE3" s="5951"/>
      <c r="DF3" s="5951"/>
      <c r="DG3" s="5133"/>
    </row>
    <row r="4" spans="1:113">
      <c r="A4" s="5132"/>
      <c r="B4" s="5132"/>
      <c r="C4" s="5132"/>
      <c r="D4" s="5132"/>
      <c r="E4" s="5132"/>
      <c r="F4" s="5133"/>
      <c r="G4" s="5133"/>
      <c r="H4" s="7773" t="s">
        <v>2021</v>
      </c>
      <c r="I4" s="7566" t="s">
        <v>2531</v>
      </c>
      <c r="J4" s="7783"/>
      <c r="K4" s="7783"/>
      <c r="L4" s="7783"/>
      <c r="M4" s="7794"/>
      <c r="N4" s="7774"/>
      <c r="O4" s="7774"/>
      <c r="P4" s="7783"/>
      <c r="Q4" s="7783"/>
      <c r="R4" s="7783"/>
      <c r="S4" s="7783"/>
      <c r="T4" s="7783"/>
      <c r="U4" s="7433"/>
      <c r="V4" s="5951"/>
      <c r="W4" s="5951"/>
      <c r="X4" s="5951"/>
      <c r="Y4" s="5951"/>
      <c r="Z4" s="5951"/>
      <c r="AA4" s="5951"/>
      <c r="AB4" s="5951"/>
      <c r="AC4" s="5951"/>
      <c r="AD4" s="5951"/>
      <c r="AE4" s="5951"/>
      <c r="AF4" s="5951"/>
      <c r="AG4" s="5951"/>
      <c r="AH4" s="5951"/>
      <c r="AI4" s="5951"/>
      <c r="AJ4" s="7912"/>
      <c r="AK4" s="5951"/>
      <c r="AL4" s="5951"/>
      <c r="AM4" s="5951"/>
      <c r="AN4" s="5951"/>
      <c r="AO4" s="5951"/>
      <c r="AP4" s="5951"/>
      <c r="AQ4" s="5951"/>
      <c r="AR4" s="5951"/>
      <c r="AS4" s="5951"/>
      <c r="AT4" s="5951"/>
      <c r="AU4" s="5951"/>
      <c r="AV4" s="5951"/>
      <c r="AW4" s="5951"/>
      <c r="AX4" s="5951"/>
      <c r="AY4" s="5951"/>
      <c r="AZ4" s="5951"/>
      <c r="BA4" s="5951"/>
      <c r="BB4" s="5951"/>
      <c r="BC4" s="5951"/>
      <c r="BD4" s="5951"/>
      <c r="BE4" s="5951"/>
      <c r="BF4" s="5951"/>
      <c r="BG4" s="5951"/>
      <c r="BH4" s="5951"/>
      <c r="BI4" s="5951"/>
      <c r="BJ4" s="5951"/>
      <c r="BK4" s="5951"/>
      <c r="BL4" s="5951"/>
      <c r="BM4" s="5951"/>
      <c r="BN4" s="5951"/>
      <c r="BO4" s="5951"/>
      <c r="BP4" s="5951"/>
      <c r="BQ4" s="5951"/>
      <c r="BR4" s="5951"/>
      <c r="BS4" s="5951"/>
      <c r="BT4" s="5951"/>
      <c r="BU4" s="5951"/>
      <c r="BV4" s="5951"/>
      <c r="BW4" s="5951"/>
      <c r="BX4" s="5951"/>
      <c r="BY4" s="5951"/>
      <c r="BZ4" s="5951"/>
      <c r="CA4" s="7422"/>
      <c r="CB4" s="5951"/>
      <c r="CC4" s="5951"/>
      <c r="CD4" s="5951"/>
      <c r="CE4" s="5951"/>
      <c r="CF4" s="5951"/>
      <c r="CG4" s="5951"/>
      <c r="CH4" s="5951"/>
      <c r="CI4" s="5951"/>
      <c r="CJ4" s="5951"/>
      <c r="CK4" s="5951"/>
      <c r="CL4" s="5951"/>
      <c r="CM4" s="5951"/>
      <c r="CN4" s="5951"/>
      <c r="CO4" s="5951"/>
      <c r="CP4" s="5951"/>
      <c r="CQ4" s="5951"/>
      <c r="CR4" s="5951"/>
      <c r="CS4" s="5951"/>
      <c r="CT4" s="5951"/>
      <c r="CU4" s="5951"/>
      <c r="CV4" s="5951"/>
      <c r="CW4" s="5951"/>
      <c r="CX4" s="5951"/>
      <c r="CY4" s="5951"/>
      <c r="CZ4" s="5951"/>
      <c r="DA4" s="5951"/>
      <c r="DB4" s="5951"/>
      <c r="DC4" s="5951"/>
      <c r="DD4" s="5951"/>
      <c r="DE4" s="5951"/>
      <c r="DF4" s="5951"/>
      <c r="DG4" s="5133"/>
    </row>
    <row r="5" spans="1:113">
      <c r="A5" s="5132"/>
      <c r="B5" s="5132"/>
      <c r="C5" s="5132"/>
      <c r="D5" s="5132"/>
      <c r="E5" s="5132"/>
      <c r="F5" s="5133"/>
      <c r="G5" s="5133"/>
      <c r="H5" s="7773" t="s">
        <v>2021</v>
      </c>
      <c r="I5" s="7566" t="s">
        <v>2532</v>
      </c>
      <c r="J5" s="7783"/>
      <c r="K5" s="7783"/>
      <c r="L5" s="7783"/>
      <c r="M5" s="7794"/>
      <c r="N5" s="7774"/>
      <c r="O5" s="7774"/>
      <c r="P5" s="7783"/>
      <c r="Q5" s="7783"/>
      <c r="R5" s="7783"/>
      <c r="S5" s="7783"/>
      <c r="T5" s="7783"/>
      <c r="U5" s="7433"/>
      <c r="V5" s="5951"/>
      <c r="W5" s="5951"/>
      <c r="X5" s="5951"/>
      <c r="Y5" s="5951"/>
      <c r="Z5" s="5951"/>
      <c r="AA5" s="5951"/>
      <c r="AB5" s="5951"/>
      <c r="AC5" s="5951"/>
      <c r="AD5" s="5951"/>
      <c r="AE5" s="5951"/>
      <c r="AF5" s="5951"/>
      <c r="AG5" s="5951"/>
      <c r="AH5" s="5951"/>
      <c r="AI5" s="5951"/>
      <c r="AJ5" s="7912"/>
      <c r="AK5" s="5951"/>
      <c r="AL5" s="5951"/>
      <c r="AM5" s="5951"/>
      <c r="AN5" s="5951"/>
      <c r="AO5" s="5951"/>
      <c r="AP5" s="5951"/>
      <c r="AQ5" s="5951"/>
      <c r="AR5" s="5951"/>
      <c r="AS5" s="5951"/>
      <c r="AT5" s="5951"/>
      <c r="AU5" s="5951"/>
      <c r="AV5" s="5951"/>
      <c r="AW5" s="5951"/>
      <c r="AX5" s="5951"/>
      <c r="AY5" s="5951"/>
      <c r="AZ5" s="5951"/>
      <c r="BA5" s="5951"/>
      <c r="BB5" s="5951"/>
      <c r="BC5" s="5951"/>
      <c r="BD5" s="5951"/>
      <c r="BE5" s="5951"/>
      <c r="BF5" s="5951"/>
      <c r="BG5" s="5951"/>
      <c r="BH5" s="5951"/>
      <c r="BI5" s="5951"/>
      <c r="BJ5" s="5951"/>
      <c r="BK5" s="5951"/>
      <c r="BL5" s="5951"/>
      <c r="BM5" s="5951"/>
      <c r="BN5" s="5951"/>
      <c r="BO5" s="5951"/>
      <c r="BP5" s="5951"/>
      <c r="BQ5" s="5951"/>
      <c r="BR5" s="5951"/>
      <c r="BS5" s="5951"/>
      <c r="BT5" s="5951"/>
      <c r="BU5" s="5951"/>
      <c r="BV5" s="5951"/>
      <c r="BW5" s="5951"/>
      <c r="BX5" s="5951"/>
      <c r="BY5" s="5951"/>
      <c r="BZ5" s="5951"/>
      <c r="CA5" s="5951"/>
      <c r="CB5" s="5951"/>
      <c r="CC5" s="5951"/>
      <c r="CD5" s="5951"/>
      <c r="CE5" s="5951"/>
      <c r="CF5" s="5951"/>
      <c r="CG5" s="5951"/>
      <c r="CH5" s="5951"/>
      <c r="CI5" s="5951"/>
      <c r="CJ5" s="5951"/>
      <c r="CK5" s="5951"/>
      <c r="CL5" s="5951"/>
      <c r="CM5" s="5951"/>
      <c r="CN5" s="5951"/>
      <c r="CO5" s="5951"/>
      <c r="CP5" s="5951"/>
      <c r="CQ5" s="5951"/>
      <c r="CR5" s="5951"/>
      <c r="CS5" s="5951"/>
      <c r="CT5" s="5951"/>
      <c r="CU5" s="5951"/>
      <c r="CV5" s="5951"/>
      <c r="CW5" s="5951"/>
      <c r="CX5" s="5951"/>
      <c r="CY5" s="5951"/>
      <c r="CZ5" s="5951"/>
      <c r="DA5" s="5951"/>
      <c r="DB5" s="5951"/>
      <c r="DC5" s="5951"/>
      <c r="DD5" s="5951"/>
      <c r="DE5" s="5951"/>
      <c r="DF5" s="5951"/>
      <c r="DG5" s="5133"/>
    </row>
    <row r="6" spans="1:113">
      <c r="A6" s="5132"/>
      <c r="B6" s="5132"/>
      <c r="C6" s="5132"/>
      <c r="D6" s="5132"/>
      <c r="E6" s="5132"/>
      <c r="F6" s="5133"/>
      <c r="G6" s="5133"/>
      <c r="H6" s="7773" t="s">
        <v>2021</v>
      </c>
      <c r="I6" s="7566" t="s">
        <v>2559</v>
      </c>
      <c r="J6" s="7783"/>
      <c r="K6" s="7783"/>
      <c r="L6" s="7783"/>
      <c r="M6" s="7794"/>
      <c r="N6" s="7774"/>
      <c r="O6" s="7774"/>
      <c r="P6" s="7783"/>
      <c r="Q6" s="7783"/>
      <c r="R6" s="7783"/>
      <c r="S6" s="7783"/>
      <c r="T6" s="7783"/>
      <c r="U6" s="7433"/>
      <c r="V6" s="5951"/>
      <c r="W6" s="5951"/>
      <c r="X6" s="5951"/>
      <c r="Y6" s="5951"/>
      <c r="Z6" s="5951"/>
      <c r="AA6" s="5951"/>
      <c r="AB6" s="5951"/>
      <c r="AC6" s="5951"/>
      <c r="AD6" s="5951"/>
      <c r="AE6" s="5951"/>
      <c r="AF6" s="5951"/>
      <c r="AG6" s="5951"/>
      <c r="AH6" s="5951"/>
      <c r="AI6" s="5951"/>
      <c r="AJ6" s="7912"/>
      <c r="AK6" s="5951"/>
      <c r="AL6" s="5951"/>
      <c r="AM6" s="5951"/>
      <c r="AN6" s="5951"/>
      <c r="AO6" s="5951"/>
      <c r="AP6" s="5951"/>
      <c r="AQ6" s="5951"/>
      <c r="AR6" s="5951"/>
      <c r="AS6" s="5951"/>
      <c r="AT6" s="5951"/>
      <c r="AU6" s="5951"/>
      <c r="AV6" s="5951"/>
      <c r="AW6" s="5951"/>
      <c r="AX6" s="5951"/>
      <c r="AY6" s="5951"/>
      <c r="AZ6" s="5951"/>
      <c r="BA6" s="5951"/>
      <c r="BB6" s="5951"/>
      <c r="BC6" s="5951"/>
      <c r="BD6" s="5951"/>
      <c r="BE6" s="5951"/>
      <c r="BF6" s="5951"/>
      <c r="BG6" s="5951"/>
      <c r="BH6" s="5951"/>
      <c r="BI6" s="5951"/>
      <c r="BJ6" s="5951"/>
      <c r="BK6" s="5951"/>
      <c r="BL6" s="5951"/>
      <c r="BM6" s="5951"/>
      <c r="BN6" s="5951"/>
      <c r="BO6" s="5951"/>
      <c r="BP6" s="5951"/>
      <c r="BQ6" s="5951"/>
      <c r="BR6" s="5951"/>
      <c r="BS6" s="5951"/>
      <c r="BT6" s="5951"/>
      <c r="BU6" s="5951"/>
      <c r="BV6" s="5951"/>
      <c r="BW6" s="5951"/>
      <c r="BX6" s="5951"/>
      <c r="BY6" s="5951"/>
      <c r="BZ6" s="5951"/>
      <c r="CA6" s="5951"/>
      <c r="CB6" s="5951"/>
      <c r="CC6" s="5951"/>
      <c r="CD6" s="5951"/>
      <c r="CE6" s="5951"/>
      <c r="CF6" s="5951"/>
      <c r="CG6" s="5951"/>
      <c r="CH6" s="5951"/>
      <c r="CI6" s="5951"/>
      <c r="CJ6" s="5951"/>
      <c r="CK6" s="5951"/>
      <c r="CL6" s="5951"/>
      <c r="CM6" s="5951"/>
      <c r="CN6" s="5951"/>
      <c r="CO6" s="5951"/>
      <c r="CP6" s="5951"/>
      <c r="CQ6" s="5951"/>
      <c r="CR6" s="5951"/>
      <c r="CS6" s="5951"/>
      <c r="CT6" s="5951"/>
      <c r="CU6" s="5951"/>
      <c r="CV6" s="5951"/>
      <c r="CW6" s="5951"/>
      <c r="CX6" s="5951"/>
      <c r="CY6" s="5951"/>
      <c r="CZ6" s="5951"/>
      <c r="DA6" s="5951"/>
      <c r="DB6" s="5951"/>
      <c r="DC6" s="5951"/>
      <c r="DD6" s="5951"/>
      <c r="DE6" s="5951"/>
      <c r="DF6" s="5951"/>
      <c r="DG6" s="5133"/>
    </row>
    <row r="7" spans="1:113">
      <c r="A7" s="5132"/>
      <c r="B7" s="5132"/>
      <c r="C7" s="5132"/>
      <c r="D7" s="5132"/>
      <c r="E7" s="5132"/>
      <c r="F7" s="5133"/>
      <c r="G7" s="5133"/>
      <c r="H7" s="7906" t="s">
        <v>2021</v>
      </c>
      <c r="I7" s="7907" t="s">
        <v>2533</v>
      </c>
      <c r="J7" s="7439"/>
      <c r="K7" s="7439"/>
      <c r="L7" s="7439"/>
      <c r="M7" s="7775"/>
      <c r="N7" s="7776"/>
      <c r="O7" s="7776"/>
      <c r="P7" s="7439"/>
      <c r="Q7" s="7439"/>
      <c r="R7" s="7439"/>
      <c r="S7" s="7439"/>
      <c r="T7" s="7439"/>
      <c r="U7" s="7443"/>
      <c r="V7" s="5951"/>
      <c r="W7" s="5951"/>
      <c r="X7" s="5951"/>
      <c r="Y7" s="5951"/>
      <c r="Z7" s="5951"/>
      <c r="AA7" s="5951"/>
      <c r="AB7" s="5951"/>
      <c r="AC7" s="5951"/>
      <c r="AD7" s="5951"/>
      <c r="AE7" s="5951"/>
      <c r="AF7" s="5951"/>
      <c r="AG7" s="5951"/>
      <c r="AH7" s="5951"/>
      <c r="AI7" s="5951"/>
      <c r="AJ7" s="7912"/>
      <c r="AK7" s="5951"/>
      <c r="AL7" s="5951"/>
      <c r="AM7" s="5951"/>
      <c r="AN7" s="5951"/>
      <c r="AO7" s="5951"/>
      <c r="AP7" s="5951"/>
      <c r="AQ7" s="5951"/>
      <c r="AR7" s="5951"/>
      <c r="AS7" s="5951"/>
      <c r="AT7" s="5951"/>
      <c r="AU7" s="5951"/>
      <c r="AV7" s="5951"/>
      <c r="AW7" s="5951"/>
      <c r="AX7" s="5951"/>
      <c r="AY7" s="5951"/>
      <c r="AZ7" s="5951"/>
      <c r="BA7" s="5951"/>
      <c r="BB7" s="5951"/>
      <c r="BC7" s="5951"/>
      <c r="BD7" s="5951"/>
      <c r="BE7" s="5951"/>
      <c r="BF7" s="5951"/>
      <c r="BG7" s="5951"/>
      <c r="BH7" s="5951"/>
      <c r="BI7" s="5951"/>
      <c r="BJ7" s="5951"/>
      <c r="BK7" s="5951"/>
      <c r="BL7" s="5951"/>
      <c r="BM7" s="5951"/>
      <c r="BN7" s="5951"/>
      <c r="BO7" s="5951"/>
      <c r="BP7" s="5951"/>
      <c r="BQ7" s="5951"/>
      <c r="BR7" s="5951"/>
      <c r="BS7" s="5951"/>
      <c r="BT7" s="5951"/>
      <c r="BU7" s="5951"/>
      <c r="BV7" s="5951"/>
      <c r="BW7" s="5951"/>
      <c r="BX7" s="5951"/>
      <c r="BY7" s="5951"/>
      <c r="BZ7" s="5951"/>
      <c r="CA7" s="5951"/>
      <c r="CB7" s="5951"/>
      <c r="CC7" s="5951"/>
      <c r="CD7" s="5951"/>
      <c r="CE7" s="5951"/>
      <c r="CF7" s="5951"/>
      <c r="CG7" s="5951"/>
      <c r="CH7" s="5951"/>
      <c r="CI7" s="5951"/>
      <c r="CJ7" s="5951"/>
      <c r="CK7" s="5951"/>
      <c r="CL7" s="5951"/>
      <c r="CM7" s="5951"/>
      <c r="CN7" s="5951"/>
      <c r="CO7" s="5951"/>
      <c r="CP7" s="5951"/>
      <c r="CQ7" s="5951"/>
      <c r="CR7" s="5951"/>
      <c r="CS7" s="5951"/>
      <c r="CT7" s="5951"/>
      <c r="CU7" s="5951"/>
      <c r="CV7" s="5951"/>
      <c r="CW7" s="5951"/>
      <c r="CX7" s="5951"/>
      <c r="CY7" s="5951"/>
      <c r="CZ7" s="5951"/>
      <c r="DA7" s="5951"/>
      <c r="DB7" s="5951"/>
      <c r="DC7" s="5951"/>
      <c r="DD7" s="5951"/>
      <c r="DE7" s="5951"/>
      <c r="DF7" s="5951"/>
      <c r="DG7" s="5133"/>
    </row>
    <row r="8" spans="1:113">
      <c r="A8" s="5132"/>
      <c r="B8" s="5132"/>
      <c r="C8" s="5132"/>
      <c r="D8" s="5132"/>
      <c r="E8" s="5132"/>
      <c r="F8" s="7086" t="s">
        <v>2430</v>
      </c>
      <c r="G8" s="5133"/>
      <c r="H8" s="7405"/>
      <c r="I8" s="7405"/>
      <c r="J8" s="7405"/>
      <c r="K8" s="7405"/>
      <c r="L8" s="7405"/>
      <c r="M8" s="7405"/>
      <c r="N8" s="7405"/>
      <c r="O8" s="5353"/>
      <c r="P8" s="5355"/>
      <c r="Q8" s="5355"/>
      <c r="R8" s="5133"/>
      <c r="S8" s="5133"/>
      <c r="T8" s="5133"/>
      <c r="U8" s="5133"/>
      <c r="V8" s="5133"/>
      <c r="W8" s="5133"/>
      <c r="X8" s="5133"/>
      <c r="Y8" s="5133"/>
      <c r="Z8" s="5133"/>
      <c r="AA8" s="5133"/>
      <c r="AB8" s="5133"/>
      <c r="AC8" s="5133"/>
      <c r="AD8" s="5133"/>
      <c r="AE8" s="5133"/>
      <c r="AF8" s="5133"/>
      <c r="AG8" s="5133"/>
      <c r="AH8" s="5133"/>
      <c r="AI8" s="5133"/>
      <c r="AJ8" s="5354"/>
      <c r="AK8" s="5133"/>
      <c r="AL8" s="5133"/>
      <c r="AM8" s="5133"/>
      <c r="AN8" s="5133"/>
      <c r="AO8" s="5133"/>
      <c r="AP8" s="5133"/>
      <c r="AQ8" s="5133"/>
      <c r="AR8" s="5133"/>
      <c r="AS8" s="5133"/>
      <c r="AT8" s="5133"/>
      <c r="AU8" s="5133"/>
      <c r="AV8" s="5133"/>
      <c r="AW8" s="5133"/>
      <c r="AX8" s="5133"/>
      <c r="AY8" s="5133"/>
      <c r="AZ8" s="5133"/>
      <c r="BA8" s="5133"/>
      <c r="BB8" s="5133"/>
      <c r="BC8" s="5133"/>
      <c r="BD8" s="5133"/>
      <c r="BE8" s="5133"/>
      <c r="BF8" s="5133"/>
      <c r="BG8" s="5133"/>
      <c r="BH8" s="5133"/>
      <c r="BI8" s="5133"/>
      <c r="BJ8" s="5133"/>
      <c r="BK8" s="5133"/>
      <c r="BL8" s="5133"/>
      <c r="BM8" s="5133"/>
      <c r="BN8" s="5133"/>
      <c r="BO8" s="5133"/>
      <c r="BP8" s="5133"/>
      <c r="BQ8" s="5133"/>
      <c r="BR8" s="5133"/>
      <c r="BS8" s="5133"/>
      <c r="BT8" s="5133"/>
      <c r="BU8" s="5133"/>
      <c r="BV8" s="5133"/>
      <c r="BW8" s="5133"/>
      <c r="BX8" s="5133"/>
      <c r="BY8" s="5133"/>
      <c r="BZ8" s="5133"/>
      <c r="CA8" s="5133"/>
      <c r="CB8" s="5133"/>
      <c r="CC8" s="5133"/>
      <c r="CD8" s="5133"/>
      <c r="CE8" s="5133"/>
      <c r="CF8" s="5133"/>
      <c r="CG8" s="5133"/>
      <c r="CH8" s="5133"/>
      <c r="CI8" s="5133"/>
      <c r="CJ8" s="5133"/>
      <c r="CK8" s="5133"/>
      <c r="CL8" s="5133"/>
      <c r="CM8" s="5133"/>
      <c r="CN8" s="5133"/>
      <c r="CO8" s="5133"/>
      <c r="CP8" s="5133"/>
      <c r="CQ8" s="5133"/>
      <c r="CR8" s="5133"/>
      <c r="CS8" s="5133"/>
      <c r="CT8" s="5133"/>
      <c r="CU8" s="5133"/>
      <c r="CV8" s="5133"/>
      <c r="CW8" s="5133"/>
      <c r="CX8" s="5133"/>
      <c r="CY8" s="5133"/>
      <c r="CZ8" s="5133"/>
      <c r="DA8" s="5133"/>
      <c r="DB8" s="5133"/>
      <c r="DC8" s="5133"/>
      <c r="DD8" s="5133"/>
      <c r="DE8" s="5133"/>
      <c r="DF8" s="5133"/>
      <c r="DG8" s="5133"/>
    </row>
    <row r="9" spans="1:113" ht="12.75" hidden="1" customHeight="1">
      <c r="A9" s="5132"/>
      <c r="B9" s="5132"/>
      <c r="C9" s="5132"/>
      <c r="D9" s="5132"/>
      <c r="E9" s="5132"/>
      <c r="F9" s="5133"/>
      <c r="G9" s="5133"/>
      <c r="H9" s="5133"/>
      <c r="I9" s="5133"/>
      <c r="J9" s="4488" t="str">
        <f>+IF(L9="","",IF(VLOOKUP(MATCH(L9,tid,0),tao,'12(id)'!$I$20,FALSE)="","",VLOOKUP(MATCH(L9,tid,0),tao,'12(id)'!$I$20,FALSE)))</f>
        <v/>
      </c>
      <c r="K9" s="4488" t="str">
        <f>+IF(L9="","",IF(VLOOKUP(MATCH(L9,tid,0),tao,'12(id)'!$K$20,FALSE)="","",VLOOKUP(MATCH(L9,tid,0),tao,'12(id)'!$K$20,FALSE)))</f>
        <v/>
      </c>
      <c r="M9" s="4489" t="str">
        <f>+IF(L9="","",IF(VLOOKUP(MATCH(L9,tid,0),tao,'12(id)'!$L$20,FALSE)="","",VLOOKUP(MATCH(L9,tid,0),tao,'12(id)'!$L$20,FALSE)))</f>
        <v/>
      </c>
      <c r="N9" s="4489" t="str">
        <f>+IF(L9="","",IF(VLOOKUP(MATCH(L9,tid,0),tao,'12(id)'!$P$20,FALSE)="","",VLOOKUP(MATCH(L9,tid,0),tao,'12(id)'!$P$20,FALSE)))</f>
        <v/>
      </c>
      <c r="O9" s="4489" t="str">
        <f>+IF(L9="","",IF(VLOOKUP(MATCH(L9,tid,0),tao,'12(id)'!$Q$20,FALSE)="","",VLOOKUP(MATCH(L9,tid,0),tao,'12(id)'!$Q$20,FALSE)))</f>
        <v/>
      </c>
      <c r="P9" s="4489" t="str">
        <f>+IF(L9="","",IF(VLOOKUP(MATCH(L9,tid,0),tao,'12(id)'!$CT$20,FALSE)="","",VLOOKUP(MATCH(L9,tid,0),tao,'12(id)'!$CT$20,FALSE)))</f>
        <v/>
      </c>
      <c r="R9" s="4489" t="str">
        <f>+IF(L9="","",IF(VLOOKUP(MATCH(L9,tid,0),tao,'12(id)'!$T$20,FALSE)="","",VLOOKUP(MATCH(L9,tid,0),tao,'12(id)'!$T$20,FALSE)))</f>
        <v/>
      </c>
      <c r="S9" s="4489" t="str">
        <f>+IF(L9="","",IF(VLOOKUP(MATCH(L9,tid,0),tao,'12(id)'!$CO$20,FALSE)="","",VLOOKUP(MATCH(L9,tid,0),tao,'12(id)'!$CO$20,FALSE)))</f>
        <v/>
      </c>
      <c r="T9" s="4489" t="str">
        <f>+IF(L9="","",IF(VLOOKUP(MATCH(L9,tid,0),tao,'12(id)'!$CP$20,FALSE)="","",VLOOKUP(MATCH(L9,tid,0),tao,'12(id)'!$CP$20,FALSE)))</f>
        <v/>
      </c>
      <c r="U9" s="4489" t="str">
        <f>+IF(L9="","",IF(VLOOKUP(MATCH(L9,tid,0),tao,'12(id)'!$DC$20,FALSE)="","",IF(VLOOKUP(MATCH(L9,tid,0),tao,'12(id)'!$DB$20,FALSE)="",VLOOKUP(MATCH(L9,tid,0),tao,'12(id)'!$DC$20,FALSE),VLOOKUP(MATCH(L9,tid,0),tao,'12(id)'!$DB$20,FALSE)&amp;" "&amp;VLOOKUP(MATCH(L9,tid,0),tao,'12(id)'!$DC$20,FALSE))))</f>
        <v/>
      </c>
      <c r="V9" s="4489" t="str">
        <f>+IF(L9="","",IF(VLOOKUP(MATCH(L9,tid,0),tao,'12(id)'!$DE$20,FALSE)="","",ROUND(VLOOKUP(MATCH(L9,tid,0),tao,'12(id)'!$DE$20,FALSE),0)))</f>
        <v/>
      </c>
      <c r="X9" s="4489" t="str">
        <f>+IF(L9="","",IF(VLOOKUP(MATCH(L9,tid,0),tao,'12(id)'!$DI$20,FALSE)="","",VLOOKUP(MATCH(L9,tid,0),tao,'12(id)'!$DI$20,FALSE)))</f>
        <v/>
      </c>
      <c r="Y9" s="4489" t="str">
        <f>+IF(L9="","",IF(VLOOKUP(MATCH(L9,tid,0),tao,'12(id)'!$DQ$20,FALSE)="","",VLOOKUP(MATCH(L9,tid,0),tao,'12(id)'!$DQ$20,FALSE)))</f>
        <v/>
      </c>
      <c r="Z9" s="4489" t="str">
        <f>+IF(L9="","",IF(VLOOKUP(MATCH(L9,tid,0),tao,'12(id)'!$EH$20,FALSE)="","",VLOOKUP(MATCH(L9,tid,0),tao,'12(id)'!$EH$20,FALSE)))</f>
        <v/>
      </c>
      <c r="AA9" s="4489" t="str">
        <f>+IF(L9="","",IF(VLOOKUP(MATCH(L9,tid,0),tao,'12(id)'!$EI$20,FALSE)="","",VLOOKUP(MATCH(L9,tid,0),tao,'12(id)'!$EI$20,FALSE)))</f>
        <v/>
      </c>
      <c r="AB9" s="4489" t="str">
        <f>+IF(L9="","",IF(VLOOKUP(MATCH(L9,tid,0),tao,'12(id)'!$EJ$20,FALSE)="","",VLOOKUP(MATCH(L9,tid,0),tao,'12(id)'!$EJ$20,FALSE)))</f>
        <v/>
      </c>
      <c r="AC9" s="4489" t="str">
        <f>+IF(L9="","",IF(VLOOKUP(MATCH(L9,tid,0),tao,'12(id)'!$EL$20,FALSE)="","",VLOOKUP(MATCH(L9,tid,0),tao,'12(id)'!$EL$20,FALSE)))</f>
        <v/>
      </c>
      <c r="AE9" s="4489" t="str">
        <f>+IF(AA9="","",AA9)</f>
        <v/>
      </c>
      <c r="AF9" s="4489" t="str">
        <f>+IF(AB9="","",AB9)</f>
        <v/>
      </c>
      <c r="AG9" s="4489" t="str">
        <f>+IF(L9="","",IF(VLOOKUP(MATCH(L9,tid,0),tao,'12(id)'!$GY$20,FALSE)="","",VLOOKUP(MATCH(L9,tid,0),tao,'12(id)'!$GY$20,FALSE)))</f>
        <v/>
      </c>
      <c r="AH9" s="4489" t="str">
        <f>+IF(L9="","",IF(VLOOKUP(MATCH(L9,tid,0),tao,'12(id)'!$HL$20,FALSE)="","",VLOOKUP(MATCH(L9,tid,0),tao,'12(id)'!$HL$20,FALSE)))</f>
        <v/>
      </c>
      <c r="AI9" s="4489" t="str">
        <f>+IF(L9="","",IF(2010-VLOOKUP(MATCH(L9,epa_id,0),epa,'A1(epa)'!$U$17,FALSE)=0,IF(VLOOKUP(MATCH(L9,epa_id,0),epa,'A1(epa)'!$U$17,FALSE)=0,"",VLOOKUP(MATCH(L9,epa_id,0),epa,'A1(epa)'!$U$17,FALSE))))</f>
        <v/>
      </c>
      <c r="AJ9" s="4489" t="str">
        <f>+IF(L9="","",IF(2010-VLOOKUP(MATCH(L9,epa_id,0),epa,'A1(epa)'!$U$17,FALSE)=0,IF(VLOOKUP(MATCH(L9,epa_id,0),epa,'A1(epa)'!$W$17,FALSE)=0,"",VLOOKUP(MATCH(L9,epa_id,0),epa,'A1(epa)'!$W$17,FALSE))))</f>
        <v/>
      </c>
      <c r="AK9" s="4489" t="str">
        <f>+IF(L9="","",IF(2010-VLOOKUP(MATCH(L9,epa_id,0),epa,'A1(epa)'!$U$17,FALSE)=0,IF(VLOOKUP(MATCH(L9,epa_id,0),epa,'A1(epa)'!$X$17,FALSE)=0,"",VLOOKUP(MATCH(L9,epa_id,0),epa,'A1(epa)'!$X$17,FALSE))))</f>
        <v/>
      </c>
      <c r="AL9" s="4489" t="str">
        <f>+IF(L9="","",IF(2010-VLOOKUP(MATCH(L9,epa_id,0),epa,'A1(epa)'!$U$17,FALSE)=0,IF(VLOOKUP(MATCH(L9,epa_id,0),epa,'A1(epa)'!$Y$17,FALSE)=0,"",VLOOKUP(MATCH(L9,epa_id,0),epa,'A1(epa)'!$Y$17,FALSE))))</f>
        <v/>
      </c>
      <c r="AM9" s="4489" t="str">
        <f>+IF(L9="","",IF(2010-VLOOKUP(MATCH(L9,epa_id,0),epa,'A1(epa)'!$U$17,FALSE)=0,IF(VLOOKUP(MATCH(L9,epa_id,0),epa,'A1(epa)'!$AA$17,FALSE)=0,"",VLOOKUP(MATCH(L9,epa_id,0),epa,'A1(epa)'!$AA$17,FALSE))))</f>
        <v/>
      </c>
      <c r="AN9" s="4489" t="str">
        <f>+IF(L9="","",IF(2010-VLOOKUP(MATCH(L9,epa_id,0),epa,'A1(epa)'!$U$17,FALSE)=0,IF(VLOOKUP(MATCH(L9,epa_id,0),epa,'A1(epa)'!$AB$17,FALSE)=0,"",VLOOKUP(MATCH(L9,epa_id,0),epa,'A1(epa)'!$AB$17,FALSE))))</f>
        <v/>
      </c>
      <c r="AO9" s="4489" t="str">
        <f>+IF(AM9&lt;1,AM9,$AA9)</f>
        <v/>
      </c>
      <c r="AP9" s="4489" t="str">
        <f>+IF(AM9="","",IF(AM9&lt;1,AN9,AO9*AR9/2000))</f>
        <v/>
      </c>
      <c r="AQ9" s="4489" t="str">
        <f>+IF(AND(AP9="",AL9=""),"",AP9*10^6/AL9)</f>
        <v/>
      </c>
      <c r="AR9" s="4489" t="str">
        <f>+IF(L9="","",IF(2010-VLOOKUP(MATCH(L9,epa_id,0),epa,'A1(epa)'!$U$17,FALSE)=0,IF(VLOOKUP(MATCH(L9,epa_id,0),epa,'A1(epa)'!$AC$17,FALSE)=0,"",VLOOKUP(MATCH(L9,epa_id,0),epa,'A1(epa)'!$AC$17,FALSE))))</f>
        <v/>
      </c>
      <c r="AS9" s="4489" t="str">
        <f>+IF(L9="","",IF(2010-VLOOKUP(MATCH(L9,epa_id,0),epa,'A1(epa)'!$U$17,FALSE)=0,IF(VLOOKUP(MATCH(L9,epa_id,0),epa,'A1(epa)'!$AP$17,FALSE)=0,"",VLOOKUP(MATCH(L9,epa_id,0),epa,'A1(epa)'!$AP$17,FALSE))))</f>
        <v/>
      </c>
      <c r="AT9" s="4489" t="str">
        <f>+IF(L9="","",IF(2010-VLOOKUP(MATCH(L9,epa_id,0),epa,'A1(epa)'!$U$17,FALSE)=0,IF(VLOOKUP(MATCH(L9,epa_id,0),epa,'A1(epa)'!$AQ$17,FALSE)=0,"",VLOOKUP(MATCH(L9,epa_id,0),epa,'A1(epa)'!$AQ$17,FALSE))))</f>
        <v/>
      </c>
      <c r="AU9" s="4489" t="str">
        <f>+IF(L9="","",IF(2009-VLOOKUP(MATCH(L9,epa_id,0)+1,epa,'A1(epa)'!$U$17,FALSE)=0,IF(VLOOKUP(MATCH(L9,epa_id,0)+1,epa,'A1(epa)'!$U$17,FALSE)=0,"",VLOOKUP(MATCH(L9,epa_id,0)+1,epa,'A1(epa)'!$U$17,FALSE))))</f>
        <v/>
      </c>
      <c r="AV9" s="4489" t="str">
        <f>+IF(L9="","",IF(2009-VLOOKUP(MATCH(L9,epa_id,0)+1,epa,'A1(epa)'!$U$17,FALSE)=0,IF(VLOOKUP(MATCH(L9,epa_id,0)+1,epa,'A1(epa)'!$W$17,FALSE)=0,"",VLOOKUP(MATCH(L9,epa_id,0)+1,epa,'A1(epa)'!$W$17,FALSE))))</f>
        <v/>
      </c>
      <c r="AW9" s="4489" t="str">
        <f>+IF(L9="","",IF(2009-VLOOKUP(MATCH(L9,epa_id,0)+1,epa,'A1(epa)'!$U$17,FALSE)=0,IF(VLOOKUP(MATCH(L9,epa_id,0)+1,epa,'A1(epa)'!$X$17,FALSE)=0,"",VLOOKUP(MATCH(L9,epa_id,0)+1,epa,'A1(epa)'!$X$17,FALSE))))</f>
        <v/>
      </c>
      <c r="AX9" s="4489" t="str">
        <f>+IF(L9="","",IF(2009-VLOOKUP(MATCH(L9,epa_id,0)+1,epa,'A1(epa)'!$U$17,FALSE)=0,IF(VLOOKUP(MATCH(L9,epa_id,0)+1,epa,'A1(epa)'!$Y$17,FALSE)=0,"",VLOOKUP(MATCH(L9,epa_id,0)+1,epa,'A1(epa)'!$Y$17,FALSE))))</f>
        <v/>
      </c>
      <c r="AY9" s="4489" t="str">
        <f>+IF(L9="","",IF(2009-VLOOKUP(MATCH(L9,epa_id,0)+1,epa,'A1(epa)'!$U$17,FALSE)=0,IF(VLOOKUP(MATCH(L9,epa_id,0)+1,epa,'A1(epa)'!$AA$17,FALSE)=0,"",VLOOKUP(MATCH(L9,epa_id,0)+1,epa,'A1(epa)'!$AA$17,FALSE))))</f>
        <v/>
      </c>
      <c r="AZ9" s="4489" t="str">
        <f>+IF(L9="","",IF(2009-VLOOKUP(MATCH(L9,epa_id,0)+1,epa,'A1(epa)'!$U$17,FALSE)=0,IF(VLOOKUP(MATCH(L9,epa_id,0)+1,epa,'A1(epa)'!$AB$17,FALSE)=0,"",VLOOKUP(MATCH(L9,epa_id,0)+1,epa,'A1(epa)'!$AB$17,FALSE))))</f>
        <v/>
      </c>
      <c r="BA9" s="4489" t="str">
        <f>+IF(AY9&lt;1,AY9,$AA9)</f>
        <v/>
      </c>
      <c r="BB9" s="4489" t="str">
        <f>+IF(AY9="","",IF(AY9&lt;1,AZ9,BA9*BD9/2000))</f>
        <v/>
      </c>
      <c r="BC9" s="4489" t="str">
        <f>+IF(AND(BB9="",AX9=""),"",BB9*10^6/AX9)</f>
        <v/>
      </c>
      <c r="BD9" s="4489" t="str">
        <f>+IF(L9="","",IF(2009-VLOOKUP(MATCH(L9,epa_id,0)+1,epa,'A1(epa)'!$U$17,FALSE)=0,IF(VLOOKUP(MATCH(L9,epa_id,0)+1,epa,'A1(epa)'!$AC$17,FALSE)=0,"",VLOOKUP(MATCH(L9,epa_id,0)+1,epa,'A1(epa)'!$AC$17,FALSE))))</f>
        <v/>
      </c>
      <c r="BE9" s="4489"/>
      <c r="BF9" s="4489"/>
      <c r="BG9" s="4489" t="str">
        <f>+IF(L9="","",IF(2008-VLOOKUP(MATCH(L9,epa_id,0)+2,epa,'A1(epa)'!$U$17,FALSE)=0,IF(VLOOKUP(MATCH(L9,epa_id,0)+2,epa,'A1(epa)'!$U$17,FALSE)=0,"",VLOOKUP(MATCH(L9,epa_id,0)+2,epa,'A1(epa)'!$U$17,FALSE))))</f>
        <v/>
      </c>
      <c r="BH9" s="4489" t="str">
        <f>+IF(L9="","",IF(2008-VLOOKUP(MATCH(L9,epa_id,0)+2,epa,'A1(epa)'!$U$17,FALSE)=0,IF(VLOOKUP(MATCH(L9,epa_id,0)+2,epa,'A1(epa)'!$W$17,FALSE)=0,"",VLOOKUP(MATCH(L9,epa_id,0)+2,epa,'A1(epa)'!$W$17,FALSE))))</f>
        <v/>
      </c>
      <c r="BI9" s="4489" t="str">
        <f>+IF(L9="","",IF(2008-VLOOKUP(MATCH(L9,epa_id,0)+2,epa,'A1(epa)'!$U$17,FALSE)=0,IF(VLOOKUP(MATCH(L9,epa_id,0)+2,epa,'A1(epa)'!$X$17,FALSE)=0,"",VLOOKUP(MATCH(L9,epa_id,0)+2,epa,'A1(epa)'!$X$17,FALSE))))</f>
        <v/>
      </c>
      <c r="BJ9" s="4489" t="str">
        <f>+IF(L9="","",IF(2008-VLOOKUP(MATCH(L9,epa_id,0)+2,epa,'A1(epa)'!$U$17,FALSE)=0,IF(VLOOKUP(MATCH(L9,epa_id,0)+2,epa,'A1(epa)'!$Y$17,FALSE)=0,"",VLOOKUP(MATCH(L9,epa_id,0)+2,epa,'A1(epa)'!$Y$17,FALSE))))</f>
        <v/>
      </c>
      <c r="BK9" s="4489" t="str">
        <f>+IF(L9="","",IF(2008-VLOOKUP(MATCH(L9,epa_id,0)+2,epa,'A1(epa)'!$U$17,FALSE)=0,IF(VLOOKUP(MATCH(L9,epa_id,0)+2,epa,'A1(epa)'!$AA$17,FALSE)=0,"",VLOOKUP(MATCH(L9,epa_id,0)+2,epa,'A1(epa)'!$AA$17,FALSE))))</f>
        <v/>
      </c>
      <c r="BL9" s="4489" t="str">
        <f>+IF(L9="","",IF(2008-VLOOKUP(MATCH(L9,epa_id,0)+2,epa,'A1(epa)'!$U$17,FALSE)=0,IF(VLOOKUP(MATCH(L9,epa_id,0)+2,epa,'A1(epa)'!$AB$17,FALSE)=0,"",VLOOKUP(MATCH(L9,epa_id,0)+2,epa,'A1(epa)'!$AB$17,FALSE))))</f>
        <v/>
      </c>
      <c r="BM9" s="4489" t="str">
        <f>+IF(BK9&lt;1,BK9,$AA9)</f>
        <v/>
      </c>
      <c r="BN9" s="4489" t="str">
        <f>+IF(BK9="","",IF(BK9&lt;1,BL9,BM9*BP9/2000))</f>
        <v/>
      </c>
      <c r="BO9" s="4489" t="str">
        <f>+IF(AND(BN9="",BJ9=""),"",BN9*10^6/BJ9)</f>
        <v/>
      </c>
      <c r="BP9" s="4489" t="str">
        <f>+IF(L9="","",IF(2008-VLOOKUP(MATCH(L9,epa_id,0)+2,epa,'A1(epa)'!$U$17,FALSE)=0,IF(VLOOKUP(MATCH(L9,epa_id,0)+2,epa,'A1(epa)'!$AC$17,FALSE)=0,"",VLOOKUP(MATCH(L9,epa_id,0)+2,epa,'A1(epa)'!$AC$17,FALSE))))</f>
        <v/>
      </c>
      <c r="BQ9" s="4489" t="str">
        <f>+IF(L9="","",IF(2008-VLOOKUP(MATCH(L9,epa_id,0)+2,epa,'A1(epa)'!$U$17,FALSE)=0,IF(VLOOKUP(MATCH(L9,epa_id,0)+2,epa,'A1(epa)'!$AP$17,FALSE)=0,"",VLOOKUP(MATCH(L9,epa_id,0)+2,epa,'A1(epa)'!$AP$17,FALSE))))</f>
        <v/>
      </c>
      <c r="BR9" s="4489" t="str">
        <f>+IF(L9="","",IF(2008-VLOOKUP(MATCH(L9,epa_id,0)+2,epa,'A1(epa)'!$U$17,FALSE)=0,IF(VLOOKUP(MATCH(L9,epa_id,0)+2,epa,'A1(epa)'!$AQ$17,FALSE)=0,"",VLOOKUP(MATCH(L9,epa_id,0)+2,epa,'A1(epa)'!$AQ$17,FALSE))))</f>
        <v/>
      </c>
      <c r="BS9" s="4489" t="str">
        <f>+IF(L9="","",IF(2010-VLOOKUP(MATCH(L9,epa_id,0),epa,'A1(epa)'!$U$17,FALSE)=0,IF(VLOOKUP(MATCH(L9,epa_id,0),epa,'A1(epa)'!$AS$17,FALSE)=0,"",VLOOKUP(MATCH(L9,epa_id,0),epa,'A1(epa)'!$AS$17,FALSE))))</f>
        <v/>
      </c>
      <c r="BT9" s="4489" t="str">
        <f>+IF(L9="","",IF(2010-VLOOKUP(MATCH(L9,epa_id,0),epa,'A1(epa)'!$U$17,FALSE)=0,IF(VLOOKUP(MATCH(L9,epa_id,0),epa,'A1(epa)'!$AT$17,FALSE)=0,"",VLOOKUP(MATCH(L9,epa_id,0),epa,'A1(epa)'!$AT$17,FALSE))))</f>
        <v/>
      </c>
      <c r="BU9" s="4489" t="str">
        <f>+IF(L9="","",IF(2010-VLOOKUP(MATCH(L9,epa_id,0),epa,'A1(epa)'!$U$17,FALSE)=0,IF(VLOOKUP(MATCH(L9,epa_id,0),epa,'A1(epa)'!$AU$17,FALSE)=0,"",VLOOKUP(MATCH(L9,epa_id,0),epa,'A1(epa)'!$AU$17,FALSE))))</f>
        <v/>
      </c>
      <c r="BV9" s="4489" t="str">
        <f>+IF(L9="","",IF(2010-VLOOKUP(MATCH(L9,epa_id,0),epa,'A1(epa)'!$U$17,FALSE)=0,IF(VLOOKUP(MATCH(L9,epa_id,0),epa,'A1(epa)'!$AR$17,FALSE)=0,"",VLOOKUP(MATCH(L9,epa_id,0),epa,'A1(epa)'!$AR$17,FALSE))))</f>
        <v/>
      </c>
      <c r="BW9" s="4489" t="str">
        <f>+IF(L9="","",IF(2010-VLOOKUP(MATCH(L9,epa_id,0),epa,'A1(epa)'!$U$17,FALSE)=0,IF(VLOOKUP(MATCH(L9,epa_id,0),epa,'A1(epa)'!$AV$17,FALSE)=0,"",VLOOKUP(MATCH(L9,epa_id,0),epa,'A1(epa)'!$AV$17,FALSE))))</f>
        <v/>
      </c>
      <c r="BX9" s="4489" t="str">
        <f>+IF(L9="","",IF(2010-VLOOKUP(MATCH(L9,epa_id,0),epa,'A1(epa)'!$U$17,FALSE)=0,IF(VLOOKUP(MATCH(L9,epa_id,0),epa,'A1(epa)'!$AW$17,FALSE)=0,"",VLOOKUP(MATCH(L9,epa_id,0),epa,'A1(epa)'!$AW$17,FALSE))))</f>
        <v/>
      </c>
      <c r="BZ9" s="4489" t="str">
        <f>IF(OR(L9="",ISERROR(AQ9+BC9+BO9=0)),"",AVERAGE(AQ9,BC9,BO9))</f>
        <v/>
      </c>
      <c r="CA9" s="271"/>
      <c r="CB9" s="4489" t="str">
        <f>+IF(AJ9="","",MAX(AJ9))</f>
        <v/>
      </c>
      <c r="CC9" s="4489" t="str">
        <f>+IF(AL9="","",MAX(AL9))</f>
        <v/>
      </c>
      <c r="CD9" s="4489" t="str">
        <f>+IF(AR9="","",MAX(AR9))</f>
        <v/>
      </c>
      <c r="CE9" s="4489" t="str">
        <f>+IF(AP9="","",MAX(AP9))</f>
        <v/>
      </c>
      <c r="CF9" s="4489" t="str">
        <f>+IF(CD9=AR9,AO9,0)</f>
        <v/>
      </c>
      <c r="CG9" s="4489" t="str">
        <f>IF(OR(CD9="",CE9=""),"",2000/CD9*CE9)</f>
        <v/>
      </c>
      <c r="CH9" s="4489" t="str">
        <f>+IF(CG9="","",CG9/CB9)</f>
        <v/>
      </c>
      <c r="CI9" s="4489" t="str">
        <f>+IF(AV9="","",MAX(AV9))</f>
        <v/>
      </c>
      <c r="CJ9" s="4489" t="str">
        <f>+IF(AX9="","",MAX(AX9))</f>
        <v/>
      </c>
      <c r="CK9" s="4489" t="str">
        <f>+IF(BD9="","",MAX(BD9))</f>
        <v/>
      </c>
      <c r="CL9" s="4489" t="str">
        <f>+IF(BB9="","",MAX(BB9))</f>
        <v/>
      </c>
      <c r="CM9" s="4489" t="str">
        <f>+IF(CK9=BD9,BA9,0)</f>
        <v/>
      </c>
      <c r="CN9" s="4489" t="str">
        <f>IF(OR(CK9="",CL9=""),"",2000/CK9*CL9)</f>
        <v/>
      </c>
      <c r="CO9" s="4489" t="str">
        <f>+IF(CN9="","",CN9/CI9)</f>
        <v/>
      </c>
      <c r="CP9" s="4489" t="str">
        <f>+IF(BH9="","",MAX(BH9))</f>
        <v/>
      </c>
      <c r="CQ9" s="4489" t="str">
        <f>+IF(BJ9="","",MAX(BJ9))</f>
        <v/>
      </c>
      <c r="CR9" s="4489" t="str">
        <f>+IF(BP9="","",MAX(BP9))</f>
        <v/>
      </c>
      <c r="CS9" s="4489" t="str">
        <f>+IF(BN9="","",MAX(BN9))</f>
        <v/>
      </c>
      <c r="CT9" s="4489" t="str">
        <f>+IF(CR9=BP9,BM9,0)</f>
        <v/>
      </c>
      <c r="CU9" s="4489" t="str">
        <f>IF(OR(CR9="",CS9=""),"",2000/CR9*CS9)</f>
        <v/>
      </c>
      <c r="CV9" s="4489" t="str">
        <f>+IF(CU9="","",CU9/CP9)</f>
        <v/>
      </c>
      <c r="CW9" s="4489" t="str">
        <f>+IF(DA9="","",IF(DA9=CE9,AI9,IF(DA9=CL9,AU9,IF(DA9=CS9,BG9))))</f>
        <v/>
      </c>
      <c r="CX9" s="4489" t="str">
        <f>+IF(DA9="","",IF(DA9=CE9,CB9,IF(DA9=CL9,CI9,IF(DA9=CS9,CP9))))</f>
        <v/>
      </c>
      <c r="CY9" s="4489" t="str">
        <f>+IF(DA9="","",IF(DA9=CE9,CC9,IF(DA9=CL9,CJ9,IF(DA9=CS9,CQ9))))</f>
        <v/>
      </c>
      <c r="CZ9" s="4489" t="str">
        <f>+IF(DA9="","",IF(DA9=CE9,CD9,IF(DA9=CL9,CK9,IF(DA9=CS9,CR9))))</f>
        <v/>
      </c>
      <c r="DA9" s="4489" t="str">
        <f>+IF(ISERROR(CE9+CL9+CS9=0),"",MAX(CE9,CL9,CS9))</f>
        <v/>
      </c>
      <c r="DB9" s="4489" t="str">
        <f>+IF(DA9="","",IF(DA9=CE9,CF9,IF(DA9=CL9,CM9,IF(DA9=CS9,CT9))))</f>
        <v/>
      </c>
      <c r="DC9" s="4489" t="str">
        <f>IF(OR(DA9="",CZ9=""),"",ROUND(2000*DA9/CZ9,3))</f>
        <v/>
      </c>
      <c r="DD9" s="4489" t="str">
        <f>+IF(CX9="","",DA9/CX9)</f>
        <v/>
      </c>
      <c r="DE9" s="4489" t="str">
        <f>+IF(DD9="","",DD9*$DE$15)</f>
        <v/>
      </c>
      <c r="DF9" s="5133"/>
      <c r="DG9" s="5133"/>
    </row>
    <row r="10" spans="1:113" s="5132" customFormat="1">
      <c r="O10" s="5152"/>
    </row>
    <row r="11" spans="1:113">
      <c r="A11" s="5133"/>
      <c r="B11" s="5133"/>
      <c r="C11" s="5133"/>
      <c r="D11" s="5133"/>
      <c r="E11" s="5132"/>
      <c r="F11" s="5133"/>
      <c r="G11" s="5133"/>
      <c r="H11" s="5133"/>
      <c r="I11" s="5133"/>
      <c r="J11" s="5133"/>
      <c r="K11" s="5133"/>
      <c r="L11" s="5133"/>
      <c r="M11" s="5133"/>
      <c r="N11" s="5133"/>
      <c r="O11" s="5353"/>
      <c r="P11" s="5133"/>
      <c r="Q11" s="5133"/>
      <c r="R11" s="5133"/>
      <c r="S11" s="5133"/>
      <c r="T11" s="5133"/>
      <c r="U11" s="5133"/>
      <c r="V11" s="5133"/>
      <c r="W11" s="5133"/>
      <c r="X11" s="5133"/>
      <c r="Y11" s="5133"/>
      <c r="Z11" s="5133"/>
      <c r="AA11" s="5133"/>
      <c r="AB11" s="5133"/>
      <c r="AC11" s="5133"/>
      <c r="AD11" s="5133"/>
      <c r="AE11" s="5133"/>
      <c r="AF11" s="5133"/>
      <c r="AG11" s="5133"/>
      <c r="AH11" s="5133"/>
      <c r="AI11" s="5133"/>
      <c r="AJ11" s="5133"/>
      <c r="AK11" s="5133"/>
      <c r="AL11" s="5133"/>
      <c r="AM11" s="5133"/>
      <c r="AN11" s="5133"/>
      <c r="AO11" s="5133"/>
      <c r="AP11" s="5133"/>
      <c r="AQ11" s="5133"/>
      <c r="AR11" s="5133"/>
      <c r="AS11" s="5133"/>
      <c r="AT11" s="5133"/>
      <c r="AU11" s="5133"/>
      <c r="AV11" s="5133"/>
      <c r="AW11" s="5133"/>
      <c r="AX11" s="5133"/>
      <c r="AY11" s="5133"/>
      <c r="AZ11" s="5133"/>
      <c r="BA11" s="5133"/>
      <c r="BB11" s="5133"/>
      <c r="BC11" s="5133"/>
      <c r="BD11" s="5133"/>
      <c r="BE11" s="5133"/>
      <c r="BF11" s="5133"/>
      <c r="BG11" s="5133"/>
      <c r="BH11" s="5133"/>
      <c r="BI11" s="5133"/>
      <c r="BJ11" s="5133"/>
      <c r="BK11" s="5133"/>
      <c r="BL11" s="5133"/>
      <c r="BM11" s="5133"/>
      <c r="BN11" s="5133"/>
      <c r="BO11" s="5133"/>
      <c r="BP11" s="5133"/>
      <c r="BQ11" s="5133"/>
      <c r="BR11" s="5133"/>
      <c r="BS11" s="5133"/>
      <c r="BT11" s="5133"/>
      <c r="BU11" s="5133"/>
      <c r="BV11" s="5133"/>
      <c r="BW11" s="5133"/>
      <c r="BX11" s="5133"/>
      <c r="BY11" s="5133"/>
      <c r="BZ11" s="5133"/>
      <c r="CA11" s="5133"/>
      <c r="CB11" s="5133"/>
      <c r="CC11" s="5133"/>
      <c r="CD11" s="5133"/>
      <c r="CE11" s="5133"/>
      <c r="CF11" s="5133"/>
      <c r="CG11" s="5133"/>
      <c r="CH11" s="5133"/>
      <c r="CI11" s="5133"/>
      <c r="CJ11" s="5133"/>
      <c r="CK11" s="5133"/>
      <c r="CL11" s="5133"/>
      <c r="CM11" s="5133"/>
      <c r="CN11" s="5133"/>
      <c r="CO11" s="5133"/>
      <c r="CP11" s="5133"/>
      <c r="CQ11" s="5133"/>
      <c r="CR11" s="5133"/>
      <c r="CS11" s="5133"/>
      <c r="CT11" s="5133"/>
      <c r="CU11" s="5133"/>
      <c r="CV11" s="5133"/>
      <c r="CW11" s="5133"/>
      <c r="CX11" s="5133"/>
      <c r="CY11" s="5133"/>
      <c r="CZ11" s="5133"/>
      <c r="DA11" s="5133"/>
      <c r="DB11" s="5133"/>
      <c r="DC11" s="5133"/>
      <c r="DD11" s="5133"/>
      <c r="DE11" s="5133"/>
      <c r="DF11" s="5133"/>
      <c r="DG11" s="5133"/>
    </row>
    <row r="12" spans="1:113">
      <c r="A12" s="5133"/>
      <c r="B12" s="5133"/>
      <c r="C12" s="5133"/>
      <c r="D12" s="5133"/>
      <c r="E12" s="5132"/>
      <c r="F12" s="5133"/>
      <c r="G12" s="5133"/>
      <c r="H12" s="5133"/>
      <c r="I12" s="5133"/>
      <c r="J12" s="5133"/>
      <c r="K12" s="5133"/>
      <c r="L12" s="5133"/>
      <c r="M12" s="5133"/>
      <c r="N12" s="5133"/>
      <c r="O12" s="5133"/>
      <c r="P12" s="5133"/>
      <c r="Q12" s="5133"/>
      <c r="R12" s="5133"/>
      <c r="S12" s="5133"/>
      <c r="T12" s="5133"/>
      <c r="U12" s="5355"/>
      <c r="V12" s="5355"/>
      <c r="W12" s="5133"/>
      <c r="X12" s="5355"/>
      <c r="Y12" s="5355"/>
      <c r="Z12" s="5355"/>
      <c r="AA12" s="5355"/>
      <c r="AB12" s="5355"/>
      <c r="AC12" s="5355"/>
      <c r="AD12" s="5133"/>
      <c r="AE12" s="5355"/>
      <c r="AF12" s="5355"/>
      <c r="AG12" s="5355"/>
      <c r="AH12" s="5355"/>
      <c r="AI12" s="5133"/>
      <c r="AJ12" s="5133"/>
      <c r="AK12" s="5133"/>
      <c r="AL12" s="5133"/>
      <c r="AM12" s="5133"/>
      <c r="AN12" s="5133"/>
      <c r="AO12" s="5133"/>
      <c r="AP12" s="5133"/>
      <c r="AQ12" s="5133"/>
      <c r="AR12" s="5133"/>
      <c r="AS12" s="5133"/>
      <c r="AT12" s="5133"/>
      <c r="AU12" s="5133"/>
      <c r="AV12" s="5133"/>
      <c r="AW12" s="5133"/>
      <c r="AX12" s="5133"/>
      <c r="AY12" s="5133"/>
      <c r="AZ12" s="5133"/>
      <c r="BA12" s="5133"/>
      <c r="BB12" s="5133"/>
      <c r="BC12" s="5133"/>
      <c r="BD12" s="5133"/>
      <c r="BE12" s="5133"/>
      <c r="BF12" s="5133"/>
      <c r="BG12" s="5133"/>
      <c r="BH12" s="5133"/>
      <c r="BI12" s="5133"/>
      <c r="BJ12" s="5133"/>
      <c r="BK12" s="5133"/>
      <c r="BL12" s="5133"/>
      <c r="BM12" s="5133"/>
      <c r="BN12" s="5133"/>
      <c r="BO12" s="5133"/>
      <c r="BP12" s="5133"/>
      <c r="BQ12" s="5133"/>
      <c r="BR12" s="5133"/>
      <c r="BS12" s="5133"/>
      <c r="BT12" s="5133"/>
      <c r="BU12" s="5133"/>
      <c r="BV12" s="5133"/>
      <c r="BW12" s="5133"/>
      <c r="BX12" s="5133"/>
      <c r="BY12" s="5133"/>
      <c r="BZ12" s="5133"/>
      <c r="CA12" s="5133"/>
      <c r="CB12" s="5133"/>
      <c r="CC12" s="5133"/>
      <c r="CD12" s="5133"/>
      <c r="CE12" s="5133"/>
      <c r="CF12" s="5133"/>
      <c r="CG12" s="5133"/>
      <c r="CH12" s="5133"/>
      <c r="CI12" s="5133"/>
      <c r="CJ12" s="5133"/>
      <c r="CK12" s="5133"/>
      <c r="CL12" s="5133"/>
      <c r="CM12" s="5133"/>
      <c r="CN12" s="5133"/>
      <c r="CO12" s="5133"/>
      <c r="CP12" s="5133"/>
      <c r="CQ12" s="5133"/>
      <c r="CR12" s="5133"/>
      <c r="CS12" s="5133"/>
      <c r="CT12" s="5133"/>
      <c r="CU12" s="5133"/>
      <c r="CV12" s="5133"/>
      <c r="CW12" s="5133"/>
      <c r="CX12" s="5133"/>
      <c r="CY12" s="5133"/>
      <c r="CZ12" s="5133"/>
      <c r="DA12" s="5133"/>
      <c r="DB12" s="5133"/>
      <c r="DC12" s="5133"/>
      <c r="DD12" s="5133"/>
      <c r="DE12" s="5133"/>
      <c r="DF12" s="5133"/>
      <c r="DG12" s="5133"/>
    </row>
    <row r="13" spans="1:113" ht="18">
      <c r="A13" s="9615" t="s">
        <v>2536</v>
      </c>
      <c r="B13" s="9615"/>
      <c r="C13" s="9615"/>
      <c r="D13" s="5133"/>
      <c r="E13" s="5132"/>
      <c r="F13" s="5133"/>
      <c r="G13" s="5133"/>
      <c r="H13" s="5373" t="s">
        <v>2536</v>
      </c>
      <c r="I13" s="5133"/>
      <c r="J13" s="5133"/>
      <c r="K13" s="5133"/>
      <c r="L13" s="5133"/>
      <c r="M13" s="5133"/>
      <c r="N13" s="5133"/>
      <c r="O13" s="5353"/>
      <c r="P13" s="5133"/>
      <c r="Q13" s="5133"/>
      <c r="R13" s="5133"/>
      <c r="S13" s="5133"/>
      <c r="T13" s="7781"/>
      <c r="U13" s="5133"/>
      <c r="V13" s="5133"/>
      <c r="W13" s="5133"/>
      <c r="X13" s="5133"/>
      <c r="Y13" s="5133"/>
      <c r="Z13" s="5133"/>
      <c r="AA13" s="5133"/>
      <c r="AB13" s="5133"/>
      <c r="AC13" s="5133"/>
      <c r="AD13" s="5133"/>
      <c r="AE13" s="5133"/>
      <c r="AF13" s="5133"/>
      <c r="AG13" s="5133"/>
      <c r="AH13" s="5133"/>
      <c r="AI13" s="5133"/>
      <c r="AJ13" s="5133"/>
      <c r="AK13" s="5133"/>
      <c r="AL13" s="5133"/>
      <c r="AM13" s="5133"/>
      <c r="AN13" s="5133"/>
      <c r="AO13" s="5133"/>
      <c r="AP13" s="5133"/>
      <c r="AQ13" s="5133"/>
      <c r="AR13" s="5375"/>
      <c r="AS13" s="5133"/>
      <c r="AT13" s="5133"/>
      <c r="AU13" s="5133"/>
      <c r="AV13" s="5133"/>
      <c r="AW13" s="5133"/>
      <c r="AX13" s="5133"/>
      <c r="AY13" s="5133"/>
      <c r="AZ13" s="5133"/>
      <c r="BA13" s="5133"/>
      <c r="BB13" s="5133"/>
      <c r="BC13" s="5133"/>
      <c r="BD13" s="5133"/>
      <c r="BE13" s="5133"/>
      <c r="BF13" s="5133"/>
      <c r="BG13" s="5133"/>
      <c r="BH13" s="5133"/>
      <c r="BI13" s="5133"/>
      <c r="BJ13" s="5133"/>
      <c r="BK13" s="5133"/>
      <c r="BL13" s="5133"/>
      <c r="BM13" s="5133"/>
      <c r="BN13" s="5133"/>
      <c r="BO13" s="5133"/>
      <c r="BP13" s="5133"/>
      <c r="BQ13" s="5133"/>
      <c r="BR13" s="5133"/>
      <c r="BS13" s="5133"/>
      <c r="BT13" s="5133"/>
      <c r="BU13" s="5133"/>
      <c r="BV13" s="5133"/>
      <c r="BW13" s="5133"/>
      <c r="BX13" s="5376"/>
      <c r="BY13" s="5133"/>
      <c r="BZ13" s="5133"/>
      <c r="CA13" s="7405"/>
      <c r="CB13" s="5377" t="s">
        <v>1942</v>
      </c>
      <c r="CC13" s="5378"/>
      <c r="CD13" s="5378"/>
      <c r="CE13" s="5133"/>
      <c r="CF13" s="5133"/>
      <c r="CG13" s="5133"/>
      <c r="CH13" s="5133"/>
      <c r="CI13" s="5133"/>
      <c r="CJ13" s="5133"/>
      <c r="CK13" s="5133"/>
      <c r="CL13" s="5133"/>
      <c r="CM13" s="5133"/>
      <c r="CN13" s="5133"/>
      <c r="CO13" s="5133"/>
      <c r="CP13" s="5133"/>
      <c r="CQ13" s="5133"/>
      <c r="CR13" s="5133"/>
      <c r="CS13" s="5133"/>
      <c r="CT13" s="5133"/>
      <c r="CU13" s="5133"/>
      <c r="CV13" s="5133"/>
      <c r="CW13" s="5133"/>
      <c r="CX13" s="5133"/>
      <c r="CY13" s="5133"/>
      <c r="CZ13" s="5133"/>
      <c r="DA13" s="5133"/>
      <c r="DB13" s="5133"/>
      <c r="DC13" s="5133"/>
      <c r="DD13" s="5133"/>
      <c r="DE13" s="5133"/>
      <c r="DF13" s="5133"/>
      <c r="DG13" s="5133"/>
    </row>
    <row r="14" spans="1:113" ht="16.5" thickBot="1">
      <c r="A14" s="9615"/>
      <c r="B14" s="9615"/>
      <c r="C14" s="9615"/>
      <c r="D14" s="5133"/>
      <c r="E14" s="5132"/>
      <c r="F14" s="5133"/>
      <c r="G14" s="5133"/>
      <c r="H14" s="5133"/>
      <c r="I14" s="5133"/>
      <c r="J14" s="5133"/>
      <c r="K14" s="5133"/>
      <c r="L14" s="5133"/>
      <c r="M14" s="5133"/>
      <c r="N14" s="5133"/>
      <c r="O14" s="5353"/>
      <c r="P14" s="5133"/>
      <c r="Q14" s="5133"/>
      <c r="R14" s="5133"/>
      <c r="S14" s="5133"/>
      <c r="U14" s="7781" t="s">
        <v>2537</v>
      </c>
      <c r="V14" s="5133"/>
      <c r="W14" s="5133"/>
      <c r="X14" s="5133"/>
      <c r="Y14" s="5133"/>
      <c r="Z14" s="5133"/>
      <c r="AA14" s="5133"/>
      <c r="AB14" s="5133"/>
      <c r="AC14" s="5133"/>
      <c r="AD14" s="5133"/>
      <c r="AE14" s="5133"/>
      <c r="AF14" s="5133"/>
      <c r="AG14" s="5133"/>
      <c r="AH14" s="5133"/>
      <c r="AI14" s="5133"/>
      <c r="AJ14" s="5133"/>
      <c r="AK14" s="5133"/>
      <c r="AL14" s="5133"/>
      <c r="AM14" s="5133" t="s">
        <v>1170</v>
      </c>
      <c r="AN14" s="5133"/>
      <c r="AO14" s="5133"/>
      <c r="AP14" s="5133"/>
      <c r="AQ14" s="5381">
        <v>2010</v>
      </c>
      <c r="AR14" s="5133"/>
      <c r="AS14" s="5133"/>
      <c r="AT14" s="5133"/>
      <c r="AU14" s="5133"/>
      <c r="AV14" s="5133"/>
      <c r="AW14" s="5133"/>
      <c r="AX14" s="5133"/>
      <c r="AY14" s="5133"/>
      <c r="AZ14" s="5133"/>
      <c r="BA14" s="5133"/>
      <c r="BB14" s="5133"/>
      <c r="BC14" s="5379">
        <v>2009</v>
      </c>
      <c r="BD14" s="5133"/>
      <c r="BE14" s="5133"/>
      <c r="BF14" s="5133"/>
      <c r="BG14" s="5133"/>
      <c r="BH14" s="5133"/>
      <c r="BI14" s="5133"/>
      <c r="BJ14" s="5133"/>
      <c r="BK14" s="5133"/>
      <c r="BL14" s="5133"/>
      <c r="BM14" s="5133"/>
      <c r="BN14" s="5133"/>
      <c r="BO14" s="5379">
        <v>2008</v>
      </c>
      <c r="BP14" s="5133"/>
      <c r="BQ14" s="5133"/>
      <c r="BR14" s="5133"/>
      <c r="BS14" s="5133"/>
      <c r="BT14" s="5133"/>
      <c r="BU14" s="5133"/>
      <c r="BV14" s="5133"/>
      <c r="BW14" s="5133"/>
      <c r="BX14" s="5133"/>
      <c r="BY14" s="7405"/>
      <c r="BZ14" s="5133"/>
      <c r="CA14" s="7405"/>
      <c r="CB14" s="5133"/>
      <c r="CC14" s="5133"/>
      <c r="CD14" s="5133"/>
      <c r="CE14" s="5133"/>
      <c r="CF14" s="5133"/>
      <c r="CG14" s="5133"/>
      <c r="CH14" s="5133"/>
      <c r="CI14" s="5133"/>
      <c r="CJ14" s="5133"/>
      <c r="CK14" s="5133"/>
      <c r="CL14" s="5133"/>
      <c r="CM14" s="5133"/>
      <c r="CN14" s="5133"/>
      <c r="CO14" s="5133"/>
      <c r="CP14" s="5133"/>
      <c r="CQ14" s="5133"/>
      <c r="CR14" s="5133"/>
      <c r="CS14" s="5133"/>
      <c r="CT14" s="5133"/>
      <c r="CU14" s="5133"/>
      <c r="CV14" s="5133"/>
      <c r="CW14" s="5133"/>
      <c r="CX14" s="5133"/>
      <c r="CY14" s="5133"/>
      <c r="CZ14" s="5133"/>
      <c r="DA14" s="5133"/>
      <c r="DB14" s="5133"/>
      <c r="DC14" s="5133"/>
      <c r="DD14" s="5133"/>
      <c r="DE14" s="5133"/>
      <c r="DF14" s="7781" t="s">
        <v>2537</v>
      </c>
      <c r="DG14" s="5133"/>
    </row>
    <row r="15" spans="1:113" s="479" customFormat="1" ht="15.95" customHeight="1" thickTop="1" thickBot="1">
      <c r="A15" s="9615"/>
      <c r="B15" s="9615"/>
      <c r="C15" s="9615"/>
      <c r="D15" s="5356"/>
      <c r="E15" s="5348"/>
      <c r="F15" s="5356"/>
      <c r="G15" s="9482" t="s">
        <v>382</v>
      </c>
      <c r="H15" s="9486" t="s">
        <v>320</v>
      </c>
      <c r="I15" s="9486" t="s">
        <v>1086</v>
      </c>
      <c r="J15" s="9486" t="s">
        <v>255</v>
      </c>
      <c r="K15" s="9486" t="s">
        <v>609</v>
      </c>
      <c r="L15" s="9486" t="s">
        <v>381</v>
      </c>
      <c r="M15" s="9486" t="s">
        <v>940</v>
      </c>
      <c r="N15" s="9486" t="s">
        <v>300</v>
      </c>
      <c r="O15" s="9486" t="s">
        <v>1777</v>
      </c>
      <c r="P15" s="9486" t="s">
        <v>301</v>
      </c>
      <c r="Q15" s="9486" t="s">
        <v>1100</v>
      </c>
      <c r="R15" s="9486" t="s">
        <v>902</v>
      </c>
      <c r="S15" s="9486" t="s">
        <v>982</v>
      </c>
      <c r="T15" s="9486" t="s">
        <v>384</v>
      </c>
      <c r="U15" s="9486" t="s">
        <v>1076</v>
      </c>
      <c r="V15" s="9486" t="s">
        <v>984</v>
      </c>
      <c r="W15" s="9486" t="s">
        <v>2376</v>
      </c>
      <c r="X15" s="9486" t="s">
        <v>89</v>
      </c>
      <c r="Y15" s="9486" t="s">
        <v>1077</v>
      </c>
      <c r="Z15" s="9486" t="s">
        <v>1527</v>
      </c>
      <c r="AA15" s="9486" t="s">
        <v>484</v>
      </c>
      <c r="AB15" s="9486" t="s">
        <v>484</v>
      </c>
      <c r="AC15" s="9486" t="s">
        <v>485</v>
      </c>
      <c r="AD15" s="9480" t="s">
        <v>2103</v>
      </c>
      <c r="AE15" s="9476" t="s">
        <v>1528</v>
      </c>
      <c r="AF15" s="9477"/>
      <c r="AG15" s="9482" t="s">
        <v>1085</v>
      </c>
      <c r="AH15" s="9480" t="s">
        <v>393</v>
      </c>
      <c r="AI15" s="9511" t="s">
        <v>1171</v>
      </c>
      <c r="AJ15" s="9511"/>
      <c r="AK15" s="9511"/>
      <c r="AL15" s="9511"/>
      <c r="AM15" s="9511"/>
      <c r="AN15" s="9511"/>
      <c r="AO15" s="9511"/>
      <c r="AP15" s="9511"/>
      <c r="AQ15" s="9511"/>
      <c r="AR15" s="9511"/>
      <c r="AS15" s="9511"/>
      <c r="AT15" s="9511"/>
      <c r="AU15" s="9508" t="s">
        <v>1172</v>
      </c>
      <c r="AV15" s="9509"/>
      <c r="AW15" s="9509"/>
      <c r="AX15" s="9509"/>
      <c r="AY15" s="9509"/>
      <c r="AZ15" s="9509"/>
      <c r="BA15" s="9509"/>
      <c r="BB15" s="9509"/>
      <c r="BC15" s="9509"/>
      <c r="BD15" s="9509"/>
      <c r="BE15" s="9509"/>
      <c r="BF15" s="9510"/>
      <c r="BG15" s="9505" t="s">
        <v>1173</v>
      </c>
      <c r="BH15" s="9506"/>
      <c r="BI15" s="9506"/>
      <c r="BJ15" s="9506"/>
      <c r="BK15" s="9506"/>
      <c r="BL15" s="9506"/>
      <c r="BM15" s="9506"/>
      <c r="BN15" s="9506"/>
      <c r="BO15" s="9506"/>
      <c r="BP15" s="9506"/>
      <c r="BQ15" s="9506"/>
      <c r="BR15" s="9507"/>
      <c r="BS15" s="9492" t="s">
        <v>2377</v>
      </c>
      <c r="BT15" s="9493"/>
      <c r="BU15" s="9493"/>
      <c r="BV15" s="9493"/>
      <c r="BW15" s="9494"/>
      <c r="BX15" s="9495" t="s">
        <v>947</v>
      </c>
      <c r="BY15" s="5415"/>
      <c r="BZ15" s="9486" t="s">
        <v>1174</v>
      </c>
      <c r="CA15" s="5415"/>
      <c r="CB15" s="9497">
        <v>2010</v>
      </c>
      <c r="CC15" s="9497"/>
      <c r="CD15" s="9497"/>
      <c r="CE15" s="9497"/>
      <c r="CF15" s="9497"/>
      <c r="CG15" s="9497"/>
      <c r="CH15" s="9497"/>
      <c r="CI15" s="9491">
        <v>2009</v>
      </c>
      <c r="CJ15" s="9491"/>
      <c r="CK15" s="9491"/>
      <c r="CL15" s="9491"/>
      <c r="CM15" s="9491"/>
      <c r="CN15" s="9491"/>
      <c r="CO15" s="9491"/>
      <c r="CP15" s="9488">
        <v>2008</v>
      </c>
      <c r="CQ15" s="9488"/>
      <c r="CR15" s="9488"/>
      <c r="CS15" s="9488"/>
      <c r="CT15" s="9489"/>
      <c r="CU15" s="9489"/>
      <c r="CV15" s="9490"/>
      <c r="CW15" s="9498" t="s">
        <v>1178</v>
      </c>
      <c r="CX15" s="9499"/>
      <c r="CY15" s="9499"/>
      <c r="CZ15" s="9499"/>
      <c r="DA15" s="9499"/>
      <c r="DB15" s="9499"/>
      <c r="DC15" s="9499"/>
      <c r="DD15" s="9500"/>
      <c r="DE15" s="4457">
        <v>50</v>
      </c>
      <c r="DF15" s="9609" t="s">
        <v>1914</v>
      </c>
      <c r="DG15" s="5356"/>
      <c r="DH15" s="5348"/>
      <c r="DI15" s="5348"/>
    </row>
    <row r="16" spans="1:113" s="479" customFormat="1" ht="51" customHeight="1">
      <c r="A16" s="5356"/>
      <c r="B16" s="5357"/>
      <c r="C16" s="5357"/>
      <c r="D16" s="5357"/>
      <c r="E16" s="5349"/>
      <c r="F16" s="5357"/>
      <c r="G16" s="9516"/>
      <c r="H16" s="9504"/>
      <c r="I16" s="9504"/>
      <c r="J16" s="9504"/>
      <c r="K16" s="9504"/>
      <c r="L16" s="9504"/>
      <c r="M16" s="9504"/>
      <c r="N16" s="9504"/>
      <c r="O16" s="9504"/>
      <c r="P16" s="9504"/>
      <c r="Q16" s="9504"/>
      <c r="R16" s="9504"/>
      <c r="S16" s="9504"/>
      <c r="T16" s="9504"/>
      <c r="U16" s="9504"/>
      <c r="V16" s="9504"/>
      <c r="W16" s="9504"/>
      <c r="X16" s="9504"/>
      <c r="Y16" s="9504"/>
      <c r="Z16" s="9513"/>
      <c r="AA16" s="9513"/>
      <c r="AB16" s="9513"/>
      <c r="AC16" s="9513"/>
      <c r="AD16" s="9512"/>
      <c r="AE16" s="9478"/>
      <c r="AF16" s="9479"/>
      <c r="AG16" s="9483"/>
      <c r="AH16" s="9481"/>
      <c r="AI16" s="9482" t="s">
        <v>413</v>
      </c>
      <c r="AJ16" s="2423" t="s">
        <v>972</v>
      </c>
      <c r="AK16" s="2423" t="s">
        <v>945</v>
      </c>
      <c r="AL16" s="2423" t="s">
        <v>1371</v>
      </c>
      <c r="AM16" s="2423" t="s">
        <v>2105</v>
      </c>
      <c r="AN16" s="2423" t="s">
        <v>946</v>
      </c>
      <c r="AO16" s="5384" t="s">
        <v>1945</v>
      </c>
      <c r="AP16" s="5385" t="s">
        <v>1597</v>
      </c>
      <c r="AQ16" s="5384" t="s">
        <v>861</v>
      </c>
      <c r="AR16" s="2423" t="s">
        <v>419</v>
      </c>
      <c r="AS16" s="9486" t="s">
        <v>955</v>
      </c>
      <c r="AT16" s="9480" t="s">
        <v>956</v>
      </c>
      <c r="AU16" s="9482" t="s">
        <v>413</v>
      </c>
      <c r="AV16" s="2423" t="s">
        <v>972</v>
      </c>
      <c r="AW16" s="2423" t="s">
        <v>945</v>
      </c>
      <c r="AX16" s="2423" t="s">
        <v>1371</v>
      </c>
      <c r="AY16" s="2423" t="s">
        <v>2105</v>
      </c>
      <c r="AZ16" s="2423" t="s">
        <v>946</v>
      </c>
      <c r="BA16" s="5401" t="s">
        <v>1945</v>
      </c>
      <c r="BB16" s="5402" t="s">
        <v>1597</v>
      </c>
      <c r="BC16" s="5401" t="s">
        <v>861</v>
      </c>
      <c r="BD16" s="2423" t="s">
        <v>419</v>
      </c>
      <c r="BE16" s="9486" t="s">
        <v>955</v>
      </c>
      <c r="BF16" s="9480" t="s">
        <v>956</v>
      </c>
      <c r="BG16" s="9482" t="s">
        <v>413</v>
      </c>
      <c r="BH16" s="2423" t="s">
        <v>972</v>
      </c>
      <c r="BI16" s="2423" t="s">
        <v>945</v>
      </c>
      <c r="BJ16" s="2423" t="s">
        <v>1371</v>
      </c>
      <c r="BK16" s="2423" t="s">
        <v>2105</v>
      </c>
      <c r="BL16" s="2423" t="s">
        <v>946</v>
      </c>
      <c r="BM16" s="5403" t="s">
        <v>1945</v>
      </c>
      <c r="BN16" s="5404" t="s">
        <v>1597</v>
      </c>
      <c r="BO16" s="5403" t="s">
        <v>861</v>
      </c>
      <c r="BP16" s="2423" t="s">
        <v>419</v>
      </c>
      <c r="BQ16" s="9486" t="s">
        <v>955</v>
      </c>
      <c r="BR16" s="9480" t="s">
        <v>956</v>
      </c>
      <c r="BS16" s="7841" t="s">
        <v>322</v>
      </c>
      <c r="BT16" s="7796" t="s">
        <v>310</v>
      </c>
      <c r="BU16" s="7796" t="s">
        <v>1360</v>
      </c>
      <c r="BV16" s="7796" t="s">
        <v>1531</v>
      </c>
      <c r="BW16" s="7844" t="s">
        <v>323</v>
      </c>
      <c r="BX16" s="9496"/>
      <c r="BY16" s="5415"/>
      <c r="BZ16" s="9513"/>
      <c r="CA16" s="5415"/>
      <c r="CB16" s="7858" t="s">
        <v>1175</v>
      </c>
      <c r="CC16" s="2423" t="s">
        <v>952</v>
      </c>
      <c r="CD16" s="7901" t="s">
        <v>419</v>
      </c>
      <c r="CE16" s="201" t="s">
        <v>1943</v>
      </c>
      <c r="CF16" s="5380" t="s">
        <v>1945</v>
      </c>
      <c r="CG16" s="7901" t="s">
        <v>1944</v>
      </c>
      <c r="CH16" s="5405" t="s">
        <v>1176</v>
      </c>
      <c r="CI16" s="7858" t="s">
        <v>1175</v>
      </c>
      <c r="CJ16" s="2423" t="s">
        <v>952</v>
      </c>
      <c r="CK16" s="7901" t="s">
        <v>419</v>
      </c>
      <c r="CL16" s="201" t="s">
        <v>1943</v>
      </c>
      <c r="CM16" s="5380" t="s">
        <v>1945</v>
      </c>
      <c r="CN16" s="7901" t="s">
        <v>1944</v>
      </c>
      <c r="CO16" s="5405" t="s">
        <v>1176</v>
      </c>
      <c r="CP16" s="7858" t="s">
        <v>1175</v>
      </c>
      <c r="CQ16" s="2423" t="s">
        <v>952</v>
      </c>
      <c r="CR16" s="7901" t="s">
        <v>419</v>
      </c>
      <c r="CS16" s="201" t="s">
        <v>1943</v>
      </c>
      <c r="CT16" s="5380" t="s">
        <v>1945</v>
      </c>
      <c r="CU16" s="7901" t="s">
        <v>1944</v>
      </c>
      <c r="CV16" s="5405" t="s">
        <v>1176</v>
      </c>
      <c r="CW16" s="9474" t="s">
        <v>2542</v>
      </c>
      <c r="CX16" s="510" t="s">
        <v>1175</v>
      </c>
      <c r="CY16" s="2423" t="s">
        <v>1371</v>
      </c>
      <c r="CZ16" s="201" t="s">
        <v>419</v>
      </c>
      <c r="DA16" s="201" t="s">
        <v>1597</v>
      </c>
      <c r="DB16" s="201" t="s">
        <v>1369</v>
      </c>
      <c r="DC16" s="201" t="s">
        <v>1599</v>
      </c>
      <c r="DD16" s="5153" t="s">
        <v>1176</v>
      </c>
      <c r="DE16" s="5405" t="s">
        <v>1177</v>
      </c>
      <c r="DF16" s="9610"/>
      <c r="DG16" s="5356"/>
      <c r="DH16" s="5348"/>
      <c r="DI16" s="5348"/>
    </row>
    <row r="17" spans="1:113" s="479" customFormat="1" ht="12.75" customHeight="1" thickBot="1">
      <c r="A17" s="5356"/>
      <c r="B17" s="5357"/>
      <c r="C17" s="5357"/>
      <c r="D17" s="5357"/>
      <c r="E17" s="5349"/>
      <c r="F17" s="5357"/>
      <c r="G17" s="9484"/>
      <c r="H17" s="9487"/>
      <c r="I17" s="9487"/>
      <c r="J17" s="9487"/>
      <c r="K17" s="9487"/>
      <c r="L17" s="9487"/>
      <c r="M17" s="9487"/>
      <c r="N17" s="9487"/>
      <c r="O17" s="9487"/>
      <c r="P17" s="9487"/>
      <c r="Q17" s="9487"/>
      <c r="R17" s="9487"/>
      <c r="S17" s="9487"/>
      <c r="T17" s="9487"/>
      <c r="U17" s="9487"/>
      <c r="V17" s="9487"/>
      <c r="W17" s="9487"/>
      <c r="X17" s="9487"/>
      <c r="Y17" s="9487"/>
      <c r="Z17" s="7840" t="s">
        <v>545</v>
      </c>
      <c r="AA17" s="7840" t="s">
        <v>481</v>
      </c>
      <c r="AB17" s="7840" t="s">
        <v>480</v>
      </c>
      <c r="AC17" s="7893" t="s">
        <v>481</v>
      </c>
      <c r="AD17" s="9485"/>
      <c r="AE17" s="7842" t="s">
        <v>481</v>
      </c>
      <c r="AF17" s="7845" t="s">
        <v>480</v>
      </c>
      <c r="AG17" s="482" t="s">
        <v>986</v>
      </c>
      <c r="AH17" s="7845" t="s">
        <v>1080</v>
      </c>
      <c r="AI17" s="9484"/>
      <c r="AJ17" s="7840" t="s">
        <v>117</v>
      </c>
      <c r="AK17" s="7840" t="s">
        <v>2106</v>
      </c>
      <c r="AL17" s="7840" t="s">
        <v>1500</v>
      </c>
      <c r="AM17" s="7840" t="s">
        <v>486</v>
      </c>
      <c r="AN17" s="7840" t="s">
        <v>1080</v>
      </c>
      <c r="AO17" s="5386" t="s">
        <v>486</v>
      </c>
      <c r="AP17" s="5386" t="s">
        <v>1080</v>
      </c>
      <c r="AQ17" s="5386" t="s">
        <v>2104</v>
      </c>
      <c r="AR17" s="7840" t="s">
        <v>985</v>
      </c>
      <c r="AS17" s="9487"/>
      <c r="AT17" s="9485"/>
      <c r="AU17" s="9484"/>
      <c r="AV17" s="7840" t="s">
        <v>117</v>
      </c>
      <c r="AW17" s="7840" t="s">
        <v>2106</v>
      </c>
      <c r="AX17" s="7840" t="s">
        <v>1500</v>
      </c>
      <c r="AY17" s="7840" t="s">
        <v>486</v>
      </c>
      <c r="AZ17" s="7840" t="s">
        <v>1080</v>
      </c>
      <c r="BA17" s="5387" t="s">
        <v>486</v>
      </c>
      <c r="BB17" s="5387" t="s">
        <v>1080</v>
      </c>
      <c r="BC17" s="5387" t="s">
        <v>2104</v>
      </c>
      <c r="BD17" s="7840" t="s">
        <v>985</v>
      </c>
      <c r="BE17" s="9487"/>
      <c r="BF17" s="9485"/>
      <c r="BG17" s="9484"/>
      <c r="BH17" s="7840" t="s">
        <v>117</v>
      </c>
      <c r="BI17" s="7840" t="s">
        <v>2106</v>
      </c>
      <c r="BJ17" s="7840" t="s">
        <v>1500</v>
      </c>
      <c r="BK17" s="7840" t="s">
        <v>486</v>
      </c>
      <c r="BL17" s="7840" t="s">
        <v>1080</v>
      </c>
      <c r="BM17" s="5396" t="s">
        <v>486</v>
      </c>
      <c r="BN17" s="5396" t="s">
        <v>1080</v>
      </c>
      <c r="BO17" s="5396" t="s">
        <v>2104</v>
      </c>
      <c r="BP17" s="7840" t="s">
        <v>985</v>
      </c>
      <c r="BQ17" s="9487"/>
      <c r="BR17" s="9485"/>
      <c r="BS17" s="7842"/>
      <c r="BT17" s="7840"/>
      <c r="BU17" s="7840"/>
      <c r="BV17" s="7840"/>
      <c r="BW17" s="7845"/>
      <c r="BX17" s="483" t="s">
        <v>545</v>
      </c>
      <c r="BY17" s="5415"/>
      <c r="BZ17" s="5156" t="s">
        <v>486</v>
      </c>
      <c r="CA17" s="5415"/>
      <c r="CB17" s="5406" t="s">
        <v>117</v>
      </c>
      <c r="CC17" s="591" t="s">
        <v>1500</v>
      </c>
      <c r="CD17" s="591" t="s">
        <v>985</v>
      </c>
      <c r="CE17" s="591" t="s">
        <v>118</v>
      </c>
      <c r="CF17" s="590" t="s">
        <v>486</v>
      </c>
      <c r="CG17" s="591" t="s">
        <v>486</v>
      </c>
      <c r="CH17" s="5407" t="s">
        <v>2110</v>
      </c>
      <c r="CI17" s="5406" t="s">
        <v>117</v>
      </c>
      <c r="CJ17" s="591" t="s">
        <v>1500</v>
      </c>
      <c r="CK17" s="591" t="s">
        <v>985</v>
      </c>
      <c r="CL17" s="591" t="s">
        <v>118</v>
      </c>
      <c r="CM17" s="590" t="s">
        <v>486</v>
      </c>
      <c r="CN17" s="591" t="s">
        <v>486</v>
      </c>
      <c r="CO17" s="5407" t="s">
        <v>2110</v>
      </c>
      <c r="CP17" s="5406" t="s">
        <v>117</v>
      </c>
      <c r="CQ17" s="591" t="s">
        <v>1500</v>
      </c>
      <c r="CR17" s="591" t="s">
        <v>985</v>
      </c>
      <c r="CS17" s="591" t="s">
        <v>118</v>
      </c>
      <c r="CT17" s="7909" t="s">
        <v>486</v>
      </c>
      <c r="CU17" s="7910" t="s">
        <v>486</v>
      </c>
      <c r="CV17" s="7911" t="s">
        <v>2110</v>
      </c>
      <c r="CW17" s="9475"/>
      <c r="CX17" s="590" t="s">
        <v>117</v>
      </c>
      <c r="CY17" s="5156" t="s">
        <v>1500</v>
      </c>
      <c r="CZ17" s="591" t="s">
        <v>985</v>
      </c>
      <c r="DA17" s="591" t="s">
        <v>118</v>
      </c>
      <c r="DB17" s="7910" t="s">
        <v>1598</v>
      </c>
      <c r="DC17" s="7910" t="s">
        <v>1598</v>
      </c>
      <c r="DD17" s="5408" t="s">
        <v>2110</v>
      </c>
      <c r="DE17" s="5409" t="s">
        <v>118</v>
      </c>
      <c r="DF17" s="9611"/>
      <c r="DG17" s="5356"/>
      <c r="DH17" s="5348"/>
      <c r="DI17" s="5348"/>
    </row>
    <row r="18" spans="1:113" s="479" customFormat="1" ht="13.5" thickBot="1">
      <c r="A18" s="9623" t="s">
        <v>1357</v>
      </c>
      <c r="B18" s="9624"/>
      <c r="C18" s="9624"/>
      <c r="D18" s="5358"/>
      <c r="E18" s="5350"/>
      <c r="F18" s="5410"/>
      <c r="G18" s="480">
        <v>1</v>
      </c>
      <c r="H18" s="480">
        <f>1+G18</f>
        <v>2</v>
      </c>
      <c r="I18" s="480">
        <f t="shared" ref="I18:BT18" si="0">1+H18</f>
        <v>3</v>
      </c>
      <c r="J18" s="480">
        <f t="shared" si="0"/>
        <v>4</v>
      </c>
      <c r="K18" s="480">
        <f t="shared" si="0"/>
        <v>5</v>
      </c>
      <c r="L18" s="480">
        <f t="shared" si="0"/>
        <v>6</v>
      </c>
      <c r="M18" s="480">
        <f t="shared" si="0"/>
        <v>7</v>
      </c>
      <c r="N18" s="480">
        <f t="shared" si="0"/>
        <v>8</v>
      </c>
      <c r="O18" s="480">
        <f t="shared" si="0"/>
        <v>9</v>
      </c>
      <c r="P18" s="480">
        <f t="shared" si="0"/>
        <v>10</v>
      </c>
      <c r="Q18" s="480">
        <f t="shared" si="0"/>
        <v>11</v>
      </c>
      <c r="R18" s="480">
        <f t="shared" si="0"/>
        <v>12</v>
      </c>
      <c r="S18" s="480">
        <f t="shared" si="0"/>
        <v>13</v>
      </c>
      <c r="T18" s="480">
        <f t="shared" si="0"/>
        <v>14</v>
      </c>
      <c r="U18" s="480">
        <f t="shared" si="0"/>
        <v>15</v>
      </c>
      <c r="V18" s="480">
        <f t="shared" si="0"/>
        <v>16</v>
      </c>
      <c r="W18" s="480">
        <f t="shared" si="0"/>
        <v>17</v>
      </c>
      <c r="X18" s="480">
        <f t="shared" si="0"/>
        <v>18</v>
      </c>
      <c r="Y18" s="480">
        <f t="shared" si="0"/>
        <v>19</v>
      </c>
      <c r="Z18" s="480">
        <f t="shared" si="0"/>
        <v>20</v>
      </c>
      <c r="AA18" s="480">
        <f t="shared" si="0"/>
        <v>21</v>
      </c>
      <c r="AB18" s="480">
        <f t="shared" si="0"/>
        <v>22</v>
      </c>
      <c r="AC18" s="480">
        <f t="shared" si="0"/>
        <v>23</v>
      </c>
      <c r="AD18" s="480">
        <f t="shared" si="0"/>
        <v>24</v>
      </c>
      <c r="AE18" s="480">
        <f t="shared" si="0"/>
        <v>25</v>
      </c>
      <c r="AF18" s="480">
        <f t="shared" si="0"/>
        <v>26</v>
      </c>
      <c r="AG18" s="480">
        <f t="shared" si="0"/>
        <v>27</v>
      </c>
      <c r="AH18" s="480">
        <f t="shared" si="0"/>
        <v>28</v>
      </c>
      <c r="AI18" s="480">
        <f t="shared" si="0"/>
        <v>29</v>
      </c>
      <c r="AJ18" s="480">
        <f t="shared" si="0"/>
        <v>30</v>
      </c>
      <c r="AK18" s="480">
        <f t="shared" si="0"/>
        <v>31</v>
      </c>
      <c r="AL18" s="480">
        <f t="shared" si="0"/>
        <v>32</v>
      </c>
      <c r="AM18" s="480">
        <f t="shared" si="0"/>
        <v>33</v>
      </c>
      <c r="AN18" s="480">
        <f t="shared" si="0"/>
        <v>34</v>
      </c>
      <c r="AO18" s="480">
        <f t="shared" si="0"/>
        <v>35</v>
      </c>
      <c r="AP18" s="480">
        <f t="shared" si="0"/>
        <v>36</v>
      </c>
      <c r="AQ18" s="480">
        <f t="shared" si="0"/>
        <v>37</v>
      </c>
      <c r="AR18" s="480">
        <f t="shared" si="0"/>
        <v>38</v>
      </c>
      <c r="AS18" s="480">
        <f t="shared" si="0"/>
        <v>39</v>
      </c>
      <c r="AT18" s="480">
        <f t="shared" si="0"/>
        <v>40</v>
      </c>
      <c r="AU18" s="480">
        <f t="shared" si="0"/>
        <v>41</v>
      </c>
      <c r="AV18" s="480">
        <f t="shared" si="0"/>
        <v>42</v>
      </c>
      <c r="AW18" s="480">
        <f t="shared" si="0"/>
        <v>43</v>
      </c>
      <c r="AX18" s="480">
        <f t="shared" si="0"/>
        <v>44</v>
      </c>
      <c r="AY18" s="480">
        <f t="shared" si="0"/>
        <v>45</v>
      </c>
      <c r="AZ18" s="480">
        <f t="shared" si="0"/>
        <v>46</v>
      </c>
      <c r="BA18" s="480">
        <f t="shared" si="0"/>
        <v>47</v>
      </c>
      <c r="BB18" s="480">
        <f t="shared" si="0"/>
        <v>48</v>
      </c>
      <c r="BC18" s="480">
        <f t="shared" si="0"/>
        <v>49</v>
      </c>
      <c r="BD18" s="480">
        <f t="shared" si="0"/>
        <v>50</v>
      </c>
      <c r="BE18" s="480">
        <f t="shared" si="0"/>
        <v>51</v>
      </c>
      <c r="BF18" s="480">
        <f t="shared" si="0"/>
        <v>52</v>
      </c>
      <c r="BG18" s="480">
        <f t="shared" si="0"/>
        <v>53</v>
      </c>
      <c r="BH18" s="480">
        <f t="shared" si="0"/>
        <v>54</v>
      </c>
      <c r="BI18" s="480">
        <f t="shared" si="0"/>
        <v>55</v>
      </c>
      <c r="BJ18" s="480">
        <f t="shared" si="0"/>
        <v>56</v>
      </c>
      <c r="BK18" s="480">
        <f t="shared" si="0"/>
        <v>57</v>
      </c>
      <c r="BL18" s="480">
        <f t="shared" si="0"/>
        <v>58</v>
      </c>
      <c r="BM18" s="480">
        <f t="shared" si="0"/>
        <v>59</v>
      </c>
      <c r="BN18" s="480">
        <f t="shared" si="0"/>
        <v>60</v>
      </c>
      <c r="BO18" s="480">
        <f t="shared" si="0"/>
        <v>61</v>
      </c>
      <c r="BP18" s="480">
        <f t="shared" si="0"/>
        <v>62</v>
      </c>
      <c r="BQ18" s="480">
        <f t="shared" si="0"/>
        <v>63</v>
      </c>
      <c r="BR18" s="480">
        <f t="shared" si="0"/>
        <v>64</v>
      </c>
      <c r="BS18" s="480">
        <f t="shared" si="0"/>
        <v>65</v>
      </c>
      <c r="BT18" s="480">
        <f t="shared" si="0"/>
        <v>66</v>
      </c>
      <c r="BU18" s="480">
        <f t="shared" ref="BU18:DF18" si="1">1+BT18</f>
        <v>67</v>
      </c>
      <c r="BV18" s="480">
        <f t="shared" si="1"/>
        <v>68</v>
      </c>
      <c r="BW18" s="480">
        <f t="shared" si="1"/>
        <v>69</v>
      </c>
      <c r="BX18" s="480">
        <f t="shared" si="1"/>
        <v>70</v>
      </c>
      <c r="BY18" s="5416">
        <f t="shared" si="1"/>
        <v>71</v>
      </c>
      <c r="BZ18" s="480">
        <f t="shared" si="1"/>
        <v>72</v>
      </c>
      <c r="CA18" s="5416">
        <f t="shared" si="1"/>
        <v>73</v>
      </c>
      <c r="CB18" s="480">
        <f t="shared" si="1"/>
        <v>74</v>
      </c>
      <c r="CC18" s="480">
        <f t="shared" si="1"/>
        <v>75</v>
      </c>
      <c r="CD18" s="480">
        <f t="shared" si="1"/>
        <v>76</v>
      </c>
      <c r="CE18" s="480">
        <f t="shared" si="1"/>
        <v>77</v>
      </c>
      <c r="CF18" s="480">
        <f t="shared" si="1"/>
        <v>78</v>
      </c>
      <c r="CG18" s="480">
        <f t="shared" si="1"/>
        <v>79</v>
      </c>
      <c r="CH18" s="480">
        <f t="shared" si="1"/>
        <v>80</v>
      </c>
      <c r="CI18" s="480">
        <f>1+CH18</f>
        <v>81</v>
      </c>
      <c r="CJ18" s="480">
        <f t="shared" si="1"/>
        <v>82</v>
      </c>
      <c r="CK18" s="480">
        <f t="shared" si="1"/>
        <v>83</v>
      </c>
      <c r="CL18" s="480">
        <f t="shared" si="1"/>
        <v>84</v>
      </c>
      <c r="CM18" s="480">
        <f t="shared" si="1"/>
        <v>85</v>
      </c>
      <c r="CN18" s="480">
        <f t="shared" si="1"/>
        <v>86</v>
      </c>
      <c r="CO18" s="480">
        <f t="shared" si="1"/>
        <v>87</v>
      </c>
      <c r="CP18" s="480">
        <f>1+CO18</f>
        <v>88</v>
      </c>
      <c r="CQ18" s="480">
        <f t="shared" si="1"/>
        <v>89</v>
      </c>
      <c r="CR18" s="480">
        <f t="shared" si="1"/>
        <v>90</v>
      </c>
      <c r="CS18" s="480">
        <f t="shared" si="1"/>
        <v>91</v>
      </c>
      <c r="CT18" s="480">
        <f t="shared" si="1"/>
        <v>92</v>
      </c>
      <c r="CU18" s="480">
        <f t="shared" si="1"/>
        <v>93</v>
      </c>
      <c r="CV18" s="480">
        <f t="shared" si="1"/>
        <v>94</v>
      </c>
      <c r="CW18" s="480">
        <f>1+CV18</f>
        <v>95</v>
      </c>
      <c r="CX18" s="480">
        <f t="shared" si="1"/>
        <v>96</v>
      </c>
      <c r="CY18" s="480">
        <f t="shared" si="1"/>
        <v>97</v>
      </c>
      <c r="CZ18" s="480">
        <f t="shared" si="1"/>
        <v>98</v>
      </c>
      <c r="DA18" s="480">
        <f t="shared" si="1"/>
        <v>99</v>
      </c>
      <c r="DB18" s="480">
        <f t="shared" si="1"/>
        <v>100</v>
      </c>
      <c r="DC18" s="480">
        <f t="shared" si="1"/>
        <v>101</v>
      </c>
      <c r="DD18" s="480">
        <f t="shared" si="1"/>
        <v>102</v>
      </c>
      <c r="DE18" s="480">
        <f>1+DD18</f>
        <v>103</v>
      </c>
      <c r="DF18" s="480">
        <f t="shared" si="1"/>
        <v>104</v>
      </c>
      <c r="DG18" s="5356"/>
      <c r="DH18" s="5348"/>
      <c r="DI18" s="5348"/>
    </row>
    <row r="19" spans="1:113" s="479" customFormat="1" ht="27.95" customHeight="1" thickBot="1">
      <c r="A19" s="5360" t="str">
        <f>+L19</f>
        <v>8298-01</v>
      </c>
      <c r="B19" s="5361" t="str">
        <f>+IF(A19="","",VLOOKUP(MATCH(A19,tid,0),tao,'12(id)'!$J$20,FALSE))</f>
        <v>CDECCA</v>
      </c>
      <c r="C19" s="7890" t="str">
        <f t="shared" ref="C19:C45" si="2">+O19</f>
        <v>GT </v>
      </c>
      <c r="D19" s="5359"/>
      <c r="E19" s="5351"/>
      <c r="F19" s="5359"/>
      <c r="G19" s="4444">
        <v>1</v>
      </c>
      <c r="H19" s="495">
        <v>1</v>
      </c>
      <c r="I19" s="485">
        <f>+IF(L19="","",IF(VLOOKUP(MATCH(L19,tid,0),tao,'12(id)'!$H$20,FALSE)="","",VLOOKUP(MATCH(L19,tid,0),tao,'12(id)'!$H$20,FALSE)))</f>
        <v>1</v>
      </c>
      <c r="J19" s="54" t="str">
        <f>+IF(L19="","",IF(VLOOKUP(MATCH(L19,tid,0),tao,'12(id)'!$I$20,FALSE)="","",VLOOKUP(MATCH(L19,tid,0),tao,'12(id)'!$I$20,FALSE)))</f>
        <v>Capitol District Energy Center Cogeneration Associates</v>
      </c>
      <c r="K19" s="486">
        <f>+IF(L19="","",IF(VLOOKUP(MATCH(L19,tid,0),tao,'12(id)'!$K$20,FALSE)="","",VLOOKUP(MATCH(L19,tid,0),tao,'12(id)'!$K$20,FALSE)))</f>
        <v>8298</v>
      </c>
      <c r="L19" s="486" t="s">
        <v>257</v>
      </c>
      <c r="M19" s="54" t="str">
        <f>+IF(L19="","",IF(VLOOKUP(MATCH(L19,tid,0),tao,'12(id)'!$L$20,FALSE)="","",VLOOKUP(MATCH(L19,tid,0),tao,'12(id)'!$L$20,FALSE)))</f>
        <v>Capitol District Energy Center</v>
      </c>
      <c r="N19" s="54" t="str">
        <f>+IF(L19="","",IF(VLOOKUP(MATCH(L19,tid,0),tao,'12(id)'!$P$20,FALSE)="","",VLOOKUP(MATCH(L19,tid,0),tao,'12(id)'!$P$20,FALSE)))</f>
        <v xml:space="preserve">Capital District Energy </v>
      </c>
      <c r="O19" s="487" t="str">
        <f>+IF(L19="","",IF(VLOOKUP(MATCH(L19,tid,0),tao,'12(id)'!$Q$20,FALSE)="","",VLOOKUP(MATCH(L19,tid,0),tao,'12(id)'!$Q$20,FALSE)))</f>
        <v>GT </v>
      </c>
      <c r="P19" s="486" t="str">
        <f>+IF(L19="","",IF(VLOOKUP(MATCH(L19,tid,0),tao,'12(id)'!$CT$20,FALSE)="","",VLOOKUP(MATCH(L19,tid,0),tao,'12(id)'!$CT$20,FALSE)))</f>
        <v/>
      </c>
      <c r="Q19" s="54" t="s">
        <v>939</v>
      </c>
      <c r="R19" s="413" t="str">
        <f>+IF(L19="","",IF(VLOOKUP(MATCH(L19,tid,0),tao,'12(id)'!$T$20,FALSE)="","",VLOOKUP(MATCH(L19,tid,0),tao,'12(id)'!$T$20,FALSE)))</f>
        <v>Combustion Turbine</v>
      </c>
      <c r="S19" s="414" t="str">
        <f>+IF(L19="","",IF(VLOOKUP(MATCH(L19,tid,0),tao,'12(id)'!$CO$20,FALSE)="","",VLOOKUP(MATCH(L19,tid,0),tao,'12(id)'!$CO$20,FALSE)))</f>
        <v>General Electric</v>
      </c>
      <c r="T19" s="413" t="str">
        <f>+IF(L19="","",IF(VLOOKUP(MATCH(L19,tid,0),tao,'12(id)'!$CP$20,FALSE)="","",VLOOKUP(MATCH(L19,tid,0),tao,'12(id)'!$CP$20,FALSE)))</f>
        <v>PG 6531</v>
      </c>
      <c r="U19" s="73" t="str">
        <f>+IF(L19="","",IF(VLOOKUP(MATCH(L19,tid,0),tao,'12(id)'!$DC$20,FALSE)="","",IF(VLOOKUP(MATCH(L19,tid,0),tao,'12(id)'!$DB$20,FALSE)="",VLOOKUP(MATCH(L19,tid,0),tao,'12(id)'!$DC$20,FALSE),VLOOKUP(MATCH(L19,tid,0),tao,'12(id)'!$DB$20,FALSE)&amp;" "&amp;VLOOKUP(MATCH(L19,tid,0),tao,'12(id)'!$DC$20,FALSE))))</f>
        <v/>
      </c>
      <c r="V19" s="133">
        <f ca="1">+IF(L19="","",IF(VLOOKUP(MATCH(L19,tid,0),tao,'12(id)'!$DE$20,FALSE)="","",ROUND(VLOOKUP(MATCH(L19,tid,0),tao,'12(id)'!$DE$20,FALSE),0)))</f>
        <v>25</v>
      </c>
      <c r="W19" s="54" t="str">
        <f>+IF(L19="","",IF(VLOOKUP(G19,tao,'12(id)'!$FR$20,FALSE)="","",VLOOKUP(G19,tao,'12(id)'!$FR$20,FALSE)&amp;IF(VLOOKUP(G19,tao,'12(id)'!$FS$20,FALSE)="","",", "&amp;VLOOKUP(G19,tao,'12(id)'!$FS$20,FALSE))))</f>
        <v/>
      </c>
      <c r="X19" s="54" t="str">
        <f>+IF(L19="","",IF(VLOOKUP(MATCH(L19,tid,0),tao,'12(id)'!$DI$20,FALSE)="","",VLOOKUP(MATCH(L19,tid,0),tao,'12(id)'!$DI$20,FALSE)))</f>
        <v>Natural Gas</v>
      </c>
      <c r="Y19" s="54" t="str">
        <f>+IF(L19="","",IF(VLOOKUP(MATCH(L19,tid,0),tao,'12(id)'!$DQ$20,FALSE)="","",VLOOKUP(MATCH(L19,tid,0),tao,'12(id)'!$DQ$20,FALSE)))</f>
        <v>No. 2 oil</v>
      </c>
      <c r="Z19" s="4401" t="str">
        <f>+IF(L19="","",IF(VLOOKUP(MATCH(L19,tid,0),tao,'12(id)'!$EH$20,FALSE)="","",VLOOKUP(MATCH(L19,tid,0),tao,'12(id)'!$EH$20,FALSE)))</f>
        <v/>
      </c>
      <c r="AA19" s="205" t="str">
        <f>+IF(L19="","",IF(VLOOKUP(MATCH(L19,tid,0),tao,'12(id)'!$EI$20,FALSE)="","",VLOOKUP(MATCH(L19,tid,0),tao,'12(id)'!$EI$20,FALSE)))</f>
        <v/>
      </c>
      <c r="AB19" s="205" t="str">
        <f>+IF(L19="","",IF(VLOOKUP(MATCH(L19,tid,0),tao,'12(id)'!$EJ$20,FALSE)="","",VLOOKUP(MATCH(L19,tid,0),tao,'12(id)'!$EJ$20,FALSE)))</f>
        <v/>
      </c>
      <c r="AC19" s="437" t="str">
        <f>+IF(L19="","",IF(VLOOKUP(MATCH(L19,tid,0),tao,'12(id)'!$EL$20,FALSE)="","",VLOOKUP(MATCH(L19,tid,0),tao,'12(id)'!$EL$20,FALSE)))</f>
        <v/>
      </c>
      <c r="AD19" s="435"/>
      <c r="AE19" s="434" t="str">
        <f t="shared" ref="AE19:AE45" si="3">+IF(AA19="","",AA19)</f>
        <v/>
      </c>
      <c r="AF19" s="435" t="str">
        <f t="shared" ref="AF19:AF45" si="4">+IF(AB19="","",AB19)</f>
        <v/>
      </c>
      <c r="AG19" s="431" t="str">
        <f>+IF(L19="","",IF(VLOOKUP(MATCH(L19,tid,0),tao,'12(id)'!$GY$20,FALSE)="","",VLOOKUP(MATCH(L19,tid,0),tao,'12(id)'!$GY$20,FALSE)))</f>
        <v/>
      </c>
      <c r="AH19" s="430" t="str">
        <f>+IF(L19="","",IF(VLOOKUP(MATCH(L19,tid,0),tao,'12(id)'!$HL$20,FALSE)="","",VLOOKUP(MATCH(L19,tid,0),tao,'12(id)'!$HL$20,FALSE)))</f>
        <v/>
      </c>
      <c r="AI19" s="484">
        <f>+IF(L19="","",IF(2010-VLOOKUP(MATCH(L19,epa_id,0),epa,'A1(epa)'!$U$17,FALSE)=0,IF(VLOOKUP(MATCH(L19,epa_id,0),epa,'A1(epa)'!$U$17,FALSE)=0,"",VLOOKUP(MATCH(L19,epa_id,0),epa,'A1(epa)'!$U$17,FALSE))))</f>
        <v>2010</v>
      </c>
      <c r="AJ19" s="623">
        <f>+IF(L19="","",IF(2010-VLOOKUP(MATCH(L19,epa_id,0),epa,'A1(epa)'!$U$17,FALSE)=0,IF(VLOOKUP(MATCH(L19,epa_id,0),epa,'A1(epa)'!$W$17,FALSE)=0,"",VLOOKUP(MATCH(L19,epa_id,0),epa,'A1(epa)'!$W$17,FALSE))))</f>
        <v>229</v>
      </c>
      <c r="AK19" s="491">
        <f>+IF(L19="","",IF(2010-VLOOKUP(MATCH(L19,epa_id,0),epa,'A1(epa)'!$U$17,FALSE)=0,IF(VLOOKUP(MATCH(L19,epa_id,0),epa,'A1(epa)'!$X$17,FALSE)=0,"",VLOOKUP(MATCH(L19,epa_id,0),epa,'A1(epa)'!$X$17,FALSE))))</f>
        <v>5</v>
      </c>
      <c r="AL19" s="623">
        <f>+IF(L19="","",IF(2010-VLOOKUP(MATCH(L19,epa_id,0),epa,'A1(epa)'!$U$17,FALSE)=0,IF(VLOOKUP(MATCH(L19,epa_id,0),epa,'A1(epa)'!$Y$17,FALSE)=0,"",VLOOKUP(MATCH(L19,epa_id,0),epa,'A1(epa)'!$Y$17,FALSE))))</f>
        <v>8884</v>
      </c>
      <c r="AM19" s="5750">
        <f>+IF(L19="","",IF(2010-VLOOKUP(MATCH(L19,epa_id,0),epa,'A1(epa)'!$U$17,FALSE)=0,IF(VLOOKUP(MATCH(L19,epa_id,0),epa,'A1(epa)'!$AA$17,FALSE)=0,"",VLOOKUP(MATCH(L19,epa_id,0),epa,'A1(epa)'!$AA$17,FALSE))))</f>
        <v>0.12</v>
      </c>
      <c r="AN19" s="5751">
        <f>+IF(L19="","",IF(2010-VLOOKUP(MATCH(L19,epa_id,0),epa,'A1(epa)'!$U$17,FALSE)=0,IF(VLOOKUP(MATCH(L19,epa_id,0),epa,'A1(epa)'!$AB$17,FALSE)=0,"",VLOOKUP(MATCH(L19,epa_id,0),epa,'A1(epa)'!$AB$17,FALSE))))</f>
        <v>4.2</v>
      </c>
      <c r="AO19" s="5752">
        <f>+IF(AM19&lt;1,AM19,$AA19)</f>
        <v>0.12</v>
      </c>
      <c r="AP19" s="5753">
        <f t="shared" ref="AP19:AP57" si="5">+IF(AM19="","",IF(AM19&lt;1,AN19,AO19*AR19/2000))</f>
        <v>4.2</v>
      </c>
      <c r="AQ19" s="5754">
        <f t="shared" ref="AQ19:AQ45" si="6">+IF(AND(AP19="",AL19=""),"",AP19*10^6/AL19)</f>
        <v>472.76001800990542</v>
      </c>
      <c r="AR19" s="623">
        <f>+IF(L19="","",IF(2010-VLOOKUP(MATCH(L19,epa_id,0),epa,'A1(epa)'!$U$17,FALSE)=0,IF(VLOOKUP(MATCH(L19,epa_id,0),epa,'A1(epa)'!$AC$17,FALSE)=0,"",VLOOKUP(MATCH(L19,epa_id,0),epa,'A1(epa)'!$AC$17,FALSE))))</f>
        <v>79936</v>
      </c>
      <c r="AS19" s="54" t="str">
        <f>+IF(L19="","",IF(2010-VLOOKUP(MATCH(L19,epa_id,0),epa,'A1(epa)'!$U$17,FALSE)=0,IF(VLOOKUP(MATCH(L19,epa_id,0),epa,'A1(epa)'!$AP$17,FALSE)=0,"",VLOOKUP(MATCH(L19,epa_id,0),epa,'A1(epa)'!$AP$17,FALSE))))</f>
        <v>Pipeline Natural Gas</v>
      </c>
      <c r="AT19" s="490" t="str">
        <f>+IF(L19="","",IF(2010-VLOOKUP(MATCH(L19,epa_id,0),epa,'A1(epa)'!$U$17,FALSE)=0,IF(VLOOKUP(MATCH(L19,epa_id,0),epa,'A1(epa)'!$AQ$17,FALSE)=0,"",VLOOKUP(MATCH(L19,epa_id,0),epa,'A1(epa)'!$AQ$17,FALSE))))</f>
        <v>Diesel Oil</v>
      </c>
      <c r="AU19" s="484">
        <f>+IF(L19="","",IF(2009-VLOOKUP(MATCH(L19,epa_id,0)+1,epa,'A1(epa)'!$U$17,FALSE)=0,IF(VLOOKUP(MATCH(L19,epa_id,0)+1,epa,'A1(epa)'!$U$17,FALSE)=0,"",VLOOKUP(MATCH(L19,epa_id,0)+1,epa,'A1(epa)'!$U$17,FALSE))))</f>
        <v>2009</v>
      </c>
      <c r="AV19" s="73">
        <f>+IF(L19="","",IF(2009-VLOOKUP(MATCH(L19,epa_id,0)+1,epa,'A1(epa)'!$U$17,FALSE)=0,IF(VLOOKUP(MATCH(L19,epa_id,0)+1,epa,'A1(epa)'!$W$17,FALSE)=0,"",VLOOKUP(MATCH(L19,epa_id,0)+1,epa,'A1(epa)'!$W$17,FALSE))))</f>
        <v>152</v>
      </c>
      <c r="AW19" s="486">
        <f>+IF(L19="","",IF(2009-VLOOKUP(MATCH(L19,epa_id,0)+1,epa,'A1(epa)'!$U$17,FALSE)=0,IF(VLOOKUP(MATCH(L19,epa_id,0)+1,epa,'A1(epa)'!$X$17,FALSE)=0,"",VLOOKUP(MATCH(L19,epa_id,0)+1,epa,'A1(epa)'!$X$17,FALSE))))</f>
        <v>5</v>
      </c>
      <c r="AX19" s="623">
        <f>+IF(L19="","",IF(2009-VLOOKUP(MATCH(L19,epa_id,0)+1,epa,'A1(epa)'!$U$17,FALSE)=0,IF(VLOOKUP(MATCH(L19,epa_id,0)+1,epa,'A1(epa)'!$Y$17,FALSE)=0,"",VLOOKUP(MATCH(L19,epa_id,0)+1,epa,'A1(epa)'!$Y$17,FALSE))))</f>
        <v>5669</v>
      </c>
      <c r="AY19" s="622">
        <f>+IF(L19="","",IF(2009-VLOOKUP(MATCH(L19,epa_id,0)+1,epa,'A1(epa)'!$U$17,FALSE)=0,IF(VLOOKUP(MATCH(L19,epa_id,0)+1,epa,'A1(epa)'!$AA$17,FALSE)=0,"",VLOOKUP(MATCH(L19,epa_id,0)+1,epa,'A1(epa)'!$AA$17,FALSE))))</f>
        <v>0.12</v>
      </c>
      <c r="AZ19" s="1947">
        <f>+IF(L19="","",IF(2009-VLOOKUP(MATCH(L19,epa_id,0)+1,epa,'A1(epa)'!$U$17,FALSE)=0,IF(VLOOKUP(MATCH(L19,epa_id,0)+1,epa,'A1(epa)'!$AB$17,FALSE)=0,"",VLOOKUP(MATCH(L19,epa_id,0)+1,epa,'A1(epa)'!$AB$17,FALSE))))</f>
        <v>2.7</v>
      </c>
      <c r="BA19" s="5651">
        <f>+IF(AY19&lt;1,AY19,$AA19)</f>
        <v>0.12</v>
      </c>
      <c r="BB19" s="5652">
        <f t="shared" ref="BB19:BB45" si="7">+IF(AY19="","",IF(AY19&lt;1,AZ19,BA19*BD19/2000))</f>
        <v>2.7</v>
      </c>
      <c r="BC19" s="5388">
        <f t="shared" ref="BC19:BC45" si="8">+IF(AND(BB19="",AX19=""),"",BB19*10^6/AX19)</f>
        <v>476.27447521608747</v>
      </c>
      <c r="BD19" s="623">
        <f>+IF(L19="","",IF(2009-VLOOKUP(MATCH(L19,epa_id,0)+1,epa,'A1(epa)'!$U$17,FALSE)=0,IF(VLOOKUP(MATCH(L19,epa_id,0)+1,epa,'A1(epa)'!$AC$17,FALSE)=0,"",VLOOKUP(MATCH(L19,epa_id,0)+1,epa,'A1(epa)'!$AC$17,FALSE))))</f>
        <v>49960</v>
      </c>
      <c r="BE19" s="486" t="str">
        <f>+IF(L19="","",IF(2009-VLOOKUP(MATCH(L19,epa_id,0)+1,epa,'A1(epa)'!$U$17,FALSE)=0,IF(VLOOKUP(MATCH(L19,epa_id,0)+1,epa,'A1(epa)'!$AP$17,FALSE)=0,"",VLOOKUP(MATCH(L19,epa_id,0)+1,epa,'A1(epa)'!$AP$17,FALSE))))</f>
        <v>Pipeline Natural Gas</v>
      </c>
      <c r="BF19" s="492" t="str">
        <f>+IF(L19="","",IF(2009-VLOOKUP(MATCH(L19,epa_id,0)+1,epa,'A1(epa)'!$U$17,FALSE)=0,IF(VLOOKUP(MATCH(L19,epa_id,0)+1,epa,'A1(epa)'!$AQ$17,FALSE)=0,"",VLOOKUP(MATCH(L19,epa_id,0)+1,epa,'A1(epa)'!$AQ$17,FALSE))))</f>
        <v>Diesel Oil</v>
      </c>
      <c r="BG19" s="88">
        <f>+IF(L19="","",IF(2008-VLOOKUP(MATCH(L19,epa_id,0)+2,epa,'A1(epa)'!$U$17,FALSE)=0,IF(VLOOKUP(MATCH(L19,epa_id,0)+2,epa,'A1(epa)'!$U$17,FALSE)=0,"",VLOOKUP(MATCH(L19,epa_id,0)+2,epa,'A1(epa)'!$U$17,FALSE))))</f>
        <v>2008</v>
      </c>
      <c r="BH19" s="486">
        <f>+IF(L19="","",IF(2008-VLOOKUP(MATCH(L19,epa_id,0)+2,epa,'A1(epa)'!$U$17,FALSE)=0,IF(VLOOKUP(MATCH(L19,epa_id,0)+2,epa,'A1(epa)'!$W$17,FALSE)=0,"",VLOOKUP(MATCH(L19,epa_id,0)+2,epa,'A1(epa)'!$W$17,FALSE))))</f>
        <v>324</v>
      </c>
      <c r="BI19" s="486">
        <f>+IF(L19="","",IF(2008-VLOOKUP(MATCH(L19,epa_id,0)+2,epa,'A1(epa)'!$U$17,FALSE)=0,IF(VLOOKUP(MATCH(L19,epa_id,0)+2,epa,'A1(epa)'!$X$17,FALSE)=0,"",VLOOKUP(MATCH(L19,epa_id,0)+2,epa,'A1(epa)'!$X$17,FALSE))))</f>
        <v>5</v>
      </c>
      <c r="BJ19" s="623">
        <f>+IF(L19="","",IF(2008-VLOOKUP(MATCH(L19,epa_id,0)+2,epa,'A1(epa)'!$U$17,FALSE)=0,IF(VLOOKUP(MATCH(L19,epa_id,0)+2,epa,'A1(epa)'!$Y$17,FALSE)=0,"",VLOOKUP(MATCH(L19,epa_id,0)+2,epa,'A1(epa)'!$Y$17,FALSE))))</f>
        <v>14379</v>
      </c>
      <c r="BK19" s="622">
        <f>+IF(L19="","",IF(2008-VLOOKUP(MATCH(L19,epa_id,0)+2,epa,'A1(epa)'!$U$17,FALSE)=0,IF(VLOOKUP(MATCH(L19,epa_id,0)+2,epa,'A1(epa)'!$AA$17,FALSE)=0,"",VLOOKUP(MATCH(L19,epa_id,0)+2,epa,'A1(epa)'!$AA$17,FALSE))))</f>
        <v>0.12</v>
      </c>
      <c r="BL19" s="1947">
        <f>+IF(L19="","",IF(2008-VLOOKUP(MATCH(L19,epa_id,0)+2,epa,'A1(epa)'!$U$17,FALSE)=0,IF(VLOOKUP(MATCH(L19,epa_id,0)+2,epa,'A1(epa)'!$AB$17,FALSE)=0,"",VLOOKUP(MATCH(L19,epa_id,0)+2,epa,'A1(epa)'!$AB$17,FALSE))))</f>
        <v>7.2</v>
      </c>
      <c r="BM19" s="5704">
        <f>+IF(BK19&lt;1,BK19,$AA19)</f>
        <v>0.12</v>
      </c>
      <c r="BN19" s="5705">
        <f t="shared" ref="BN19:BN57" si="9">+IF(BK19="","",IF(BK19&lt;1,BL19,BM19*BP19/2000))</f>
        <v>7.2</v>
      </c>
      <c r="BO19" s="5706">
        <f t="shared" ref="BO19:BO57" si="10">+IF(AND(BN19="",BJ19=""),"",BN19*10^6/BJ19)</f>
        <v>500.73023158773213</v>
      </c>
      <c r="BP19" s="5627">
        <f>+IF(L19="","",IF(2008-VLOOKUP(MATCH(L19,epa_id,0)+2,epa,'A1(epa)'!$U$17,FALSE)=0,IF(VLOOKUP(MATCH(L19,epa_id,0)+2,epa,'A1(epa)'!$AC$17,FALSE)=0,"",VLOOKUP(MATCH(L19,epa_id,0)+2,epa,'A1(epa)'!$AC$17,FALSE))))</f>
        <v>128717</v>
      </c>
      <c r="BQ19" s="5599" t="str">
        <f>+IF(L19="","",IF(2008-VLOOKUP(MATCH(L19,epa_id,0)+2,epa,'A1(epa)'!$U$17,FALSE)=0,IF(VLOOKUP(MATCH(L19,epa_id,0)+2,epa,'A1(epa)'!$AP$17,FALSE)=0,"",VLOOKUP(MATCH(L19,epa_id,0)+2,epa,'A1(epa)'!$AP$17,FALSE))))</f>
        <v>Pipeline Natural Gas</v>
      </c>
      <c r="BR19" s="490" t="str">
        <f>+IF(L19="","",IF(2008-VLOOKUP(MATCH(L19,epa_id,0)+2,epa,'A1(epa)'!$U$17,FALSE)=0,IF(VLOOKUP(MATCH(L19,epa_id,0)+2,epa,'A1(epa)'!$AQ$17,FALSE)=0,"",VLOOKUP(MATCH(L19,epa_id,0)+2,epa,'A1(epa)'!$AQ$17,FALSE))))</f>
        <v>Diesel Oil</v>
      </c>
      <c r="BS19" s="5599" t="str">
        <f>+IF(L19="","",IF(2010-VLOOKUP(MATCH(L19,epa_id,0),epa,'A1(epa)'!$U$17,FALSE)=0,IF(VLOOKUP(MATCH(L19,epa_id,0),epa,'A1(epa)'!$AS$17,FALSE)=0,"",VLOOKUP(MATCH(L19,epa_id,0),epa,'A1(epa)'!$AS$17,FALSE))))</f>
        <v/>
      </c>
      <c r="BT19" s="54" t="str">
        <f>+IF(L19="","",IF(2010-VLOOKUP(MATCH(L19,epa_id,0),epa,'A1(epa)'!$U$17,FALSE)=0,IF(VLOOKUP(MATCH(L19,epa_id,0),epa,'A1(epa)'!$AT$17,FALSE)=0,"",VLOOKUP(MATCH(L19,epa_id,0),epa,'A1(epa)'!$AT$17,FALSE))))</f>
        <v/>
      </c>
      <c r="BU19" s="54" t="str">
        <f>+IF(L19="","",IF(2010-VLOOKUP(MATCH(L19,epa_id,0),epa,'A1(epa)'!$U$17,FALSE)=0,IF(VLOOKUP(MATCH(L19,epa_id,0),epa,'A1(epa)'!$AU$17,FALSE)=0,"",VLOOKUP(MATCH(L19,epa_id,0),epa,'A1(epa)'!$AU$17,FALSE))))</f>
        <v/>
      </c>
      <c r="BV19" s="54" t="str">
        <f>+IF(L19="","",IF(2010-VLOOKUP(MATCH(L19,epa_id,0),epa,'A1(epa)'!$U$17,FALSE)=0,IF(VLOOKUP(MATCH(L19,epa_id,0),epa,'A1(epa)'!$AR$17,FALSE)=0,"",VLOOKUP(MATCH(L19,epa_id,0),epa,'A1(epa)'!$AR$17,FALSE))))</f>
        <v/>
      </c>
      <c r="BW19" s="488" t="str">
        <f>+IF(L19="","",IF(2010-VLOOKUP(MATCH(L19,epa_id,0),epa,'A1(epa)'!$U$17,FALSE)=0,IF(VLOOKUP(MATCH(L19,epa_id,0),epa,'A1(epa)'!$AV$17,FALSE)=0,"",VLOOKUP(MATCH(L19,epa_id,0),epa,'A1(epa)'!$AV$17,FALSE))))</f>
        <v/>
      </c>
      <c r="BX19" s="496">
        <f>+IF(L19="","",IF(2010-VLOOKUP(MATCH(L19,epa_id,0),epa,'A1(epa)'!$U$17,FALSE)=0,IF(VLOOKUP(MATCH(L19,epa_id,0),epa,'A1(epa)'!$AW$17,FALSE)=0,"",VLOOKUP(MATCH(L19,epa_id,0),epa,'A1(epa)'!$AW$17,FALSE))))</f>
        <v>739</v>
      </c>
      <c r="BY19" s="5415"/>
      <c r="BZ19" s="496">
        <f t="shared" ref="BZ19:BZ45" si="11">IF(OR(L19="",ISERROR(AQ19+BC19+BO19=0)),"",AVERAGE(AQ19,BC19,BO19))</f>
        <v>483.25490827124167</v>
      </c>
      <c r="CA19" s="5415"/>
      <c r="CB19" s="583">
        <f>+IF(AJ19="","",MAX(AJ19))</f>
        <v>229</v>
      </c>
      <c r="CC19" s="491">
        <f>+IF(AL19="","",MAX(AL19))</f>
        <v>8884</v>
      </c>
      <c r="CD19" s="491">
        <f>+IF(AR19="","",MAX(AR19))</f>
        <v>79936</v>
      </c>
      <c r="CE19" s="494">
        <f>+IF(AP19="","",MAX(AP19))</f>
        <v>4.2</v>
      </c>
      <c r="CF19" s="4389">
        <f>+IF(CD19=AR19,AO19,0)</f>
        <v>0.12</v>
      </c>
      <c r="CG19" s="493">
        <f>IF(OR(CD19="",CE19=""),"",2000/CD19*CE19)</f>
        <v>0.10508406725380305</v>
      </c>
      <c r="CH19" s="499">
        <f>+IF(CG19="","",CG19/CB19)</f>
        <v>4.5888238975459847E-4</v>
      </c>
      <c r="CI19" s="497">
        <f>+IF(AV19="","",MAX(AV19))</f>
        <v>152</v>
      </c>
      <c r="CJ19" s="491">
        <f>+IF(AX19="","",MAX(AX19))</f>
        <v>5669</v>
      </c>
      <c r="CK19" s="491">
        <f>+IF(BD19="","",MAX(BD19))</f>
        <v>49960</v>
      </c>
      <c r="CL19" s="498">
        <f>+IF(BB19="","",MAX(BB19))</f>
        <v>2.7</v>
      </c>
      <c r="CM19" s="493">
        <f>+IF(CK19=BD19,BA19,0)</f>
        <v>0.12</v>
      </c>
      <c r="CN19" s="493">
        <f>IF(OR(CK19="",CL19=""),"",2000/CK19*CL19)</f>
        <v>0.10808646917534027</v>
      </c>
      <c r="CO19" s="499">
        <f>+IF(CN19="","",CN19/CI19)</f>
        <v>7.1109519194302812E-4</v>
      </c>
      <c r="CP19" s="497">
        <f>+IF(BH19="","",MAX(BH19))</f>
        <v>324</v>
      </c>
      <c r="CQ19" s="491">
        <f>+IF(BJ19="","",MAX(BJ19))</f>
        <v>14379</v>
      </c>
      <c r="CR19" s="491">
        <f>+IF(BP19="","",MAX(BP19))</f>
        <v>128717</v>
      </c>
      <c r="CS19" s="498">
        <f>+IF(BN19="","",MAX(BN19))</f>
        <v>7.2</v>
      </c>
      <c r="CT19" s="493">
        <f>+IF(CR19=BP19,BM19,0)</f>
        <v>0.12</v>
      </c>
      <c r="CU19" s="493">
        <f>IF(OR(CR19="",CS19=""),"",2000/CR19*CS19)</f>
        <v>0.11187333452457718</v>
      </c>
      <c r="CV19" s="500">
        <f>+IF(CU19="","",CU19/CP19)</f>
        <v>3.4528806952029991E-4</v>
      </c>
      <c r="CW19" s="620">
        <f>+IF(DA19="","",IF(DA19=CE19,AI19,IF(DA19=CL19,AU19,IF(DA19=CS19,BG19))))</f>
        <v>2008</v>
      </c>
      <c r="CX19" s="621">
        <f>+IF(DA19="","",IF(DA19=CE19,CB19,IF(DA19=CL19,CI19,IF(DA19=CS19,CP19))))</f>
        <v>324</v>
      </c>
      <c r="CY19" s="5584">
        <f>+IF(DA19="","",IF(DA19=CE19,CC19,IF(DA19=CL19,CJ19,IF(DA19=CS19,CQ19))))</f>
        <v>14379</v>
      </c>
      <c r="CZ19" s="623">
        <f>+IF(DA19="","",IF(DA19=CE19,CD19,IF(DA19=CL19,CK19,IF(DA19=CS19,CR19))))</f>
        <v>128717</v>
      </c>
      <c r="DA19" s="494">
        <f t="shared" ref="DA19:DA45" si="12">+IF(ISERROR(CE19+CL19+CS19=0),"",MAX(CE19,CL19,CS19))</f>
        <v>7.2</v>
      </c>
      <c r="DB19" s="622">
        <f>+IF(DA19="","",IF(DA19=CE19,CF19,IF(DA19=CL19,CM19,IF(DA19=CS19,CT19))))</f>
        <v>0.12</v>
      </c>
      <c r="DC19" s="622">
        <f>IF(OR(DA19="",CZ19=""),"",ROUND(2000*DA19/CZ19,3))</f>
        <v>0.112</v>
      </c>
      <c r="DD19" s="499">
        <f>+IF(CX19="","",DA19/CX19)</f>
        <v>2.2222222222222223E-2</v>
      </c>
      <c r="DE19" s="592">
        <f>+IF(DD19="","",DD19*$DE$15)</f>
        <v>1.1111111111111112</v>
      </c>
      <c r="DF19" s="592"/>
      <c r="DG19" s="5356"/>
      <c r="DH19" s="5348"/>
      <c r="DI19" s="5348"/>
    </row>
    <row r="20" spans="1:113" s="479" customFormat="1" ht="25.5" customHeight="1">
      <c r="A20" s="5362" t="str">
        <f t="shared" ref="A20:A57" si="13">+L20</f>
        <v>8302-01</v>
      </c>
      <c r="B20" s="9570" t="str">
        <f>+IF(A20="","",VLOOKUP(MATCH(A20,tid,0),tao,'12(id)'!$J$20,FALSE))</f>
        <v>CRRA</v>
      </c>
      <c r="C20" s="5363" t="str">
        <f t="shared" si="2"/>
        <v>11A</v>
      </c>
      <c r="D20" s="5359"/>
      <c r="E20" s="5351"/>
      <c r="F20" s="5359"/>
      <c r="G20" s="4445">
        <f>1+G19</f>
        <v>2</v>
      </c>
      <c r="H20" s="433">
        <v>2</v>
      </c>
      <c r="I20" s="9620">
        <f>+IF(L20="","",IF(VLOOKUP(MATCH(L20,tid,0),tao,'12(id)'!$H$20,FALSE)="","",VLOOKUP(MATCH(L20,tid,0),tao,'12(id)'!$H$20,FALSE)))</f>
        <v>2</v>
      </c>
      <c r="J20" s="9526" t="str">
        <f>+IF(L20="","",IF(VLOOKUP(MATCH(L20,tid,0),tao,'12(id)'!$I$20,FALSE)="","",VLOOKUP(MATCH(L20,tid,0),tao,'12(id)'!$I$20,FALSE)))</f>
        <v>Connecticut Resources Recovery Authority</v>
      </c>
      <c r="K20" s="9517">
        <f>+IF(L20="","",IF(VLOOKUP(MATCH(L20,tid,0),tao,'12(id)'!$K$20,FALSE)="","",VLOOKUP(MATCH(L20,tid,0),tao,'12(id)'!$K$20,FALSE)))</f>
        <v>8302</v>
      </c>
      <c r="L20" s="4384" t="s">
        <v>278</v>
      </c>
      <c r="M20" s="9526" t="str">
        <f>+IF(L20="","",IF(VLOOKUP(MATCH(L20,tid,0),tao,'12(id)'!$L$20,FALSE)="","",VLOOKUP(MATCH(L20,tid,0),tao,'12(id)'!$L$20,FALSE)))</f>
        <v>South Meadow Station</v>
      </c>
      <c r="N20" s="51" t="str">
        <f>+IF(L20="","",IF(VLOOKUP(MATCH(L20,tid,0),tao,'12(id)'!$P$20,FALSE)="","",VLOOKUP(MATCH(L20,tid,0),tao,'12(id)'!$P$20,FALSE)))</f>
        <v>11A</v>
      </c>
      <c r="O20" s="501" t="str">
        <f>+IF(L20="","",IF(VLOOKUP(MATCH(L20,tid,0),tao,'12(id)'!$Q$20,FALSE)="","",VLOOKUP(MATCH(L20,tid,0),tao,'12(id)'!$Q$20,FALSE)))</f>
        <v>11A</v>
      </c>
      <c r="P20" s="9622">
        <f>+IF(L20="","",IF(VLOOKUP(MATCH(L20,tid,0),tao,'12(id)'!$CT$20,FALSE)="","",VLOOKUP(MATCH(L20,tid,0),tao,'12(id)'!$CT$20,FALSE)))</f>
        <v>40</v>
      </c>
      <c r="Q20" s="9565">
        <f>+SUM(P20:P27)</f>
        <v>160</v>
      </c>
      <c r="R20" s="5420" t="str">
        <f>+IF(L20="","",IF(VLOOKUP(MATCH(L20,tid,0),tao,'12(id)'!$T$20,FALSE)="","",VLOOKUP(MATCH(L20,tid,0),tao,'12(id)'!$T$20,FALSE)))</f>
        <v>Combustion Turbine</v>
      </c>
      <c r="S20" s="5421" t="str">
        <f>+IF(L20="","",IF(VLOOKUP(MATCH(L20,tid,0),tao,'12(id)'!$CO$20,FALSE)="","",VLOOKUP(MATCH(L20,tid,0),tao,'12(id)'!$CO$20,FALSE)))</f>
        <v>Pratt &amp; Whitney</v>
      </c>
      <c r="T20" s="5420" t="str">
        <f>+IF(L20="","",IF(VLOOKUP(MATCH(L20,tid,0),tao,'12(id)'!$CP$20,FALSE)="","",VLOOKUP(MATCH(L20,tid,0),tao,'12(id)'!$CP$20,FALSE)))</f>
        <v>TP4-2(A9) LF</v>
      </c>
      <c r="U20" s="5422">
        <f>+IF(L20="","",IF(VLOOKUP(MATCH(L20,tid,0),tao,'12(id)'!$DC$20,FALSE)="","",IF(VLOOKUP(MATCH(L20,tid,0),tao,'12(id)'!$DB$20,FALSE)="",VLOOKUP(MATCH(L20,tid,0),tao,'12(id)'!$DC$20,FALSE),VLOOKUP(MATCH(L20,tid,0),tao,'12(id)'!$DB$20,FALSE)&amp;" "&amp;VLOOKUP(MATCH(L20,tid,0),tao,'12(id)'!$DC$20,FALSE))))</f>
        <v>1970</v>
      </c>
      <c r="V20" s="5423">
        <f ca="1">+IF(L20="","",IF(VLOOKUP(MATCH(L20,tid,0),tao,'12(id)'!$DE$20,FALSE)="","",ROUND(VLOOKUP(MATCH(L20,tid,0),tao,'12(id)'!$DE$20,FALSE),0)))</f>
        <v>45</v>
      </c>
      <c r="W20" s="5424" t="str">
        <f>+IF(L20="","",IF(VLOOKUP(G20,tao,'12(id)'!$FR$20,FALSE)="","",VLOOKUP(G20,tao,'12(id)'!$FR$20,FALSE)&amp;IF(VLOOKUP(G20,tao,'12(id)'!$FS$20,FALSE)="","",", "&amp;VLOOKUP(G20,tao,'12(id)'!$FS$20,FALSE))))</f>
        <v>None</v>
      </c>
      <c r="X20" s="5424" t="str">
        <f>+IF(L20="","",IF(VLOOKUP(MATCH(L20,tid,0),tao,'12(id)'!$DI$20,FALSE)="","",VLOOKUP(MATCH(L20,tid,0),tao,'12(id)'!$DI$20,FALSE)))</f>
        <v>Jet Fuel A (Kerosene K1)</v>
      </c>
      <c r="Y20" s="5424" t="str">
        <f>+IF(L20="","",IF(VLOOKUP(MATCH(L20,tid,0),tao,'12(id)'!$DQ$20,FALSE)="","",VLOOKUP(MATCH(L20,tid,0),tao,'12(id)'!$DQ$20,FALSE)))</f>
        <v>No. 2 oil</v>
      </c>
      <c r="Z20" s="5425">
        <f>+IF(L20="","",IF(VLOOKUP(MATCH(L20,tid,0),tao,'12(id)'!$EH$20,FALSE)="","",VLOOKUP(MATCH(L20,tid,0),tao,'12(id)'!$EH$20,FALSE)))</f>
        <v>256</v>
      </c>
      <c r="AA20" s="5426">
        <f>+IF(L20="","",IF(VLOOKUP(MATCH(L20,tid,0),tao,'12(id)'!$EI$20,FALSE)="","",VLOOKUP(MATCH(L20,tid,0),tao,'12(id)'!$EI$20,FALSE)))</f>
        <v>0.67500000000000004</v>
      </c>
      <c r="AB20" s="5426">
        <f>+IF(L20="","",IF(VLOOKUP(MATCH(L20,tid,0),tao,'12(id)'!$EJ$20,FALSE)="","",VLOOKUP(MATCH(L20,tid,0),tao,'12(id)'!$EJ$20,FALSE)))</f>
        <v>132.5</v>
      </c>
      <c r="AC20" s="5427">
        <f>+IF(L20="","",IF(VLOOKUP(MATCH(L20,tid,0),tao,'12(id)'!$EL$20,FALSE)="","",VLOOKUP(MATCH(L20,tid,0),tao,'12(id)'!$EL$20,FALSE)))</f>
        <v>0.81</v>
      </c>
      <c r="AD20" s="5428"/>
      <c r="AE20" s="5429">
        <f t="shared" si="3"/>
        <v>0.67500000000000004</v>
      </c>
      <c r="AF20" s="5428">
        <f t="shared" si="4"/>
        <v>132.5</v>
      </c>
      <c r="AG20" s="5430" t="str">
        <f>+IF(L20="","",IF(VLOOKUP(MATCH(L20,tid,0),tao,'12(id)'!$GY$20,FALSE)="","",VLOOKUP(MATCH(L20,tid,0),tao,'12(id)'!$GY$20,FALSE)))</f>
        <v/>
      </c>
      <c r="AH20" s="5431" t="str">
        <f>+IF(L20="","",IF(VLOOKUP(MATCH(L20,tid,0),tao,'12(id)'!$HL$20,FALSE)="","",VLOOKUP(MATCH(L20,tid,0),tao,'12(id)'!$HL$20,FALSE)))</f>
        <v/>
      </c>
      <c r="AI20" s="5432">
        <f>+IF(L20="","",IF(2010-VLOOKUP(MATCH(L20,epa_id,0),epa,'A1(epa)'!$U$17,FALSE)=0,IF(VLOOKUP(MATCH(L20,epa_id,0),epa,'A1(epa)'!$U$17,FALSE)=0,"",VLOOKUP(MATCH(L20,epa_id,0),epa,'A1(epa)'!$U$17,FALSE))))</f>
        <v>2010</v>
      </c>
      <c r="AJ20" s="5642">
        <f>+IF(L20="","",IF(2010-VLOOKUP(MATCH(L20,epa_id,0),epa,'A1(epa)'!$U$17,FALSE)=0,IF(VLOOKUP(MATCH(L20,epa_id,0),epa,'A1(epa)'!$W$17,FALSE)=0,"",VLOOKUP(MATCH(L20,epa_id,0),epa,'A1(epa)'!$W$17,FALSE))))</f>
        <v>15</v>
      </c>
      <c r="AK20" s="5433">
        <f>+IF(L20="","",IF(2010-VLOOKUP(MATCH(L20,epa_id,0),epa,'A1(epa)'!$U$17,FALSE)=0,IF(VLOOKUP(MATCH(L20,epa_id,0),epa,'A1(epa)'!$X$17,FALSE)=0,"",VLOOKUP(MATCH(L20,epa_id,0),epa,'A1(epa)'!$X$17,FALSE))))</f>
        <v>5</v>
      </c>
      <c r="AL20" s="5642">
        <f>+IF(L20="","",IF(2010-VLOOKUP(MATCH(L20,epa_id,0),epa,'A1(epa)'!$U$17,FALSE)=0,IF(VLOOKUP(MATCH(L20,epa_id,0),epa,'A1(epa)'!$Y$17,FALSE)=0,"",VLOOKUP(MATCH(L20,epa_id,0),epa,'A1(epa)'!$Y$17,FALSE))))</f>
        <v>221</v>
      </c>
      <c r="AM20" s="5755">
        <f>+IF(L20="","",IF(2010-VLOOKUP(MATCH(L20,epa_id,0),epa,'A1(epa)'!$U$17,FALSE)=0,IF(VLOOKUP(MATCH(L20,epa_id,0),epa,'A1(epa)'!$AA$17,FALSE)=0,"",VLOOKUP(MATCH(L20,epa_id,0),epa,'A1(epa)'!$AA$17,FALSE))))</f>
        <v>0.75</v>
      </c>
      <c r="AN20" s="5756">
        <f>+IF(L20="","",IF(2010-VLOOKUP(MATCH(L20,epa_id,0),epa,'A1(epa)'!$U$17,FALSE)=0,IF(VLOOKUP(MATCH(L20,epa_id,0),epa,'A1(epa)'!$AB$17,FALSE)=0,"",VLOOKUP(MATCH(L20,epa_id,0),epa,'A1(epa)'!$AB$17,FALSE))))</f>
        <v>1.1000000000000001</v>
      </c>
      <c r="AO20" s="5757">
        <f t="shared" ref="AO20:AO45" si="14">+IF(AM20&lt;1,AM20,AA20)</f>
        <v>0.75</v>
      </c>
      <c r="AP20" s="5758">
        <f t="shared" si="5"/>
        <v>1.1000000000000001</v>
      </c>
      <c r="AQ20" s="5759">
        <f t="shared" si="6"/>
        <v>4977.3755656108597</v>
      </c>
      <c r="AR20" s="5642">
        <f>+IF(L20="","",IF(2010-VLOOKUP(MATCH(L20,epa_id,0),epa,'A1(epa)'!$U$17,FALSE)=0,IF(VLOOKUP(MATCH(L20,epa_id,0),epa,'A1(epa)'!$AC$17,FALSE)=0,"",VLOOKUP(MATCH(L20,epa_id,0),epa,'A1(epa)'!$AC$17,FALSE))))</f>
        <v>2925</v>
      </c>
      <c r="AS20" s="5424" t="str">
        <f>+IF(L20="","",IF(2010-VLOOKUP(MATCH(L20,epa_id,0),epa,'A1(epa)'!$U$17,FALSE)=0,IF(VLOOKUP(MATCH(L20,epa_id,0),epa,'A1(epa)'!$AP$17,FALSE)=0,"",VLOOKUP(MATCH(L20,epa_id,0),epa,'A1(epa)'!$AP$17,FALSE))))</f>
        <v>Diesel Oil</v>
      </c>
      <c r="AT20" s="5613" t="str">
        <f>+IF(L20="","",IF(2010-VLOOKUP(MATCH(L20,epa_id,0),epa,'A1(epa)'!$U$17,FALSE)=0,IF(VLOOKUP(MATCH(L20,epa_id,0),epa,'A1(epa)'!$AQ$17,FALSE)=0,"",VLOOKUP(MATCH(L20,epa_id,0),epa,'A1(epa)'!$AQ$17,FALSE))))</f>
        <v/>
      </c>
      <c r="AU20" s="5432">
        <f>+IF(L20="","",IF(2009-VLOOKUP(MATCH(L20,epa_id,0)+1,epa,'A1(epa)'!$U$17,FALSE)=0,IF(VLOOKUP(MATCH(L20,epa_id,0)+1,epa,'A1(epa)'!$U$17,FALSE)=0,"",VLOOKUP(MATCH(L20,epa_id,0)+1,epa,'A1(epa)'!$U$17,FALSE))))</f>
        <v>2009</v>
      </c>
      <c r="AV20" s="5422">
        <f>+IF(L20="","",IF(2009-VLOOKUP(MATCH(L20,epa_id,0)+1,epa,'A1(epa)'!$U$17,FALSE)=0,IF(VLOOKUP(MATCH(L20,epa_id,0)+1,epa,'A1(epa)'!$W$17,FALSE)=0,"",VLOOKUP(MATCH(L20,epa_id,0)+1,epa,'A1(epa)'!$W$17,FALSE))))</f>
        <v>8</v>
      </c>
      <c r="AW20" s="5434">
        <f>+IF(L20="","",IF(2009-VLOOKUP(MATCH(L20,epa_id,0)+1,epa,'A1(epa)'!$U$17,FALSE)=0,IF(VLOOKUP(MATCH(L20,epa_id,0)+1,epa,'A1(epa)'!$X$17,FALSE)=0,"",VLOOKUP(MATCH(L20,epa_id,0)+1,epa,'A1(epa)'!$X$17,FALSE))))</f>
        <v>5</v>
      </c>
      <c r="AX20" s="5642">
        <f>+IF(L20="","",IF(2009-VLOOKUP(MATCH(L20,epa_id,0)+1,epa,'A1(epa)'!$U$17,FALSE)=0,IF(VLOOKUP(MATCH(L20,epa_id,0)+1,epa,'A1(epa)'!$Y$17,FALSE)=0,"",VLOOKUP(MATCH(L20,epa_id,0)+1,epa,'A1(epa)'!$Y$17,FALSE))))</f>
        <v>68</v>
      </c>
      <c r="AY20" s="5653">
        <f>+IF(L20="","",IF(2009-VLOOKUP(MATCH(L20,epa_id,0)+1,epa,'A1(epa)'!$U$17,FALSE)=0,IF(VLOOKUP(MATCH(L20,epa_id,0)+1,epa,'A1(epa)'!$AA$17,FALSE)=0,"",VLOOKUP(MATCH(L20,epa_id,0)+1,epa,'A1(epa)'!$AA$17,FALSE))))</f>
        <v>0.85</v>
      </c>
      <c r="AZ20" s="5654">
        <f>+IF(L20="","",IF(2009-VLOOKUP(MATCH(L20,epa_id,0)+1,epa,'A1(epa)'!$U$17,FALSE)=0,IF(VLOOKUP(MATCH(L20,epa_id,0)+1,epa,'A1(epa)'!$AB$17,FALSE)=0,"",VLOOKUP(MATCH(L20,epa_id,0)+1,epa,'A1(epa)'!$AB$17,FALSE))))</f>
        <v>0.4</v>
      </c>
      <c r="BA20" s="5655">
        <f t="shared" ref="BA20:BA45" si="15">+IF(AY20&lt;1,AY20,$AA20)</f>
        <v>0.85</v>
      </c>
      <c r="BB20" s="5656">
        <f t="shared" si="7"/>
        <v>0.4</v>
      </c>
      <c r="BC20" s="5436">
        <f t="shared" si="8"/>
        <v>5882.3529411764703</v>
      </c>
      <c r="BD20" s="5642">
        <f>+IF(L20="","",IF(2009-VLOOKUP(MATCH(L20,epa_id,0)+1,epa,'A1(epa)'!$U$17,FALSE)=0,IF(VLOOKUP(MATCH(L20,epa_id,0)+1,epa,'A1(epa)'!$AC$17,FALSE)=0,"",VLOOKUP(MATCH(L20,epa_id,0)+1,epa,'A1(epa)'!$AC$17,FALSE))))</f>
        <v>869</v>
      </c>
      <c r="BE20" s="5434" t="str">
        <f>+IF(L20="","",IF(2009-VLOOKUP(MATCH(L20,epa_id,0)+1,epa,'A1(epa)'!$U$17,FALSE)=0,IF(VLOOKUP(MATCH(L20,epa_id,0)+1,epa,'A1(epa)'!$AP$17,FALSE)=0,"",VLOOKUP(MATCH(L20,epa_id,0)+1,epa,'A1(epa)'!$AP$17,FALSE))))</f>
        <v>Diesel Oil</v>
      </c>
      <c r="BF20" s="5435" t="str">
        <f>+IF(L20="","",IF(2009-VLOOKUP(MATCH(L20,epa_id,0)+1,epa,'A1(epa)'!$U$17,FALSE)=0,IF(VLOOKUP(MATCH(L20,epa_id,0)+1,epa,'A1(epa)'!$AQ$17,FALSE)=0,"",VLOOKUP(MATCH(L20,epa_id,0)+1,epa,'A1(epa)'!$AQ$17,FALSE))))</f>
        <v/>
      </c>
      <c r="BG20" s="5437">
        <f>+IF(L20="","",IF(2008-VLOOKUP(MATCH(L20,epa_id,0)+2,epa,'A1(epa)'!$U$17,FALSE)=0,IF(VLOOKUP(MATCH(L20,epa_id,0)+2,epa,'A1(epa)'!$U$17,FALSE)=0,"",VLOOKUP(MATCH(L20,epa_id,0)+2,epa,'A1(epa)'!$U$17,FALSE))))</f>
        <v>2008</v>
      </c>
      <c r="BH20" s="5434">
        <f>+IF(L20="","",IF(2008-VLOOKUP(MATCH(L20,epa_id,0)+2,epa,'A1(epa)'!$U$17,FALSE)=0,IF(VLOOKUP(MATCH(L20,epa_id,0)+2,epa,'A1(epa)'!$W$17,FALSE)=0,"",VLOOKUP(MATCH(L20,epa_id,0)+2,epa,'A1(epa)'!$W$17,FALSE))))</f>
        <v>12</v>
      </c>
      <c r="BI20" s="5434">
        <f>+IF(L20="","",IF(2008-VLOOKUP(MATCH(L20,epa_id,0)+2,epa,'A1(epa)'!$U$17,FALSE)=0,IF(VLOOKUP(MATCH(L20,epa_id,0)+2,epa,'A1(epa)'!$X$17,FALSE)=0,"",VLOOKUP(MATCH(L20,epa_id,0)+2,epa,'A1(epa)'!$X$17,FALSE))))</f>
        <v>5</v>
      </c>
      <c r="BJ20" s="5642">
        <f>+IF(L20="","",IF(2008-VLOOKUP(MATCH(L20,epa_id,0)+2,epa,'A1(epa)'!$U$17,FALSE)=0,IF(VLOOKUP(MATCH(L20,epa_id,0)+2,epa,'A1(epa)'!$Y$17,FALSE)=0,"",VLOOKUP(MATCH(L20,epa_id,0)+2,epa,'A1(epa)'!$Y$17,FALSE))))</f>
        <v>126</v>
      </c>
      <c r="BK20" s="5653">
        <f>+IF(L20="","",IF(2008-VLOOKUP(MATCH(L20,epa_id,0)+2,epa,'A1(epa)'!$U$17,FALSE)=0,IF(VLOOKUP(MATCH(L20,epa_id,0)+2,epa,'A1(epa)'!$AA$17,FALSE)=0,"",VLOOKUP(MATCH(L20,epa_id,0)+2,epa,'A1(epa)'!$AA$17,FALSE))))</f>
        <v>0.83</v>
      </c>
      <c r="BL20" s="5654">
        <f>+IF(L20="","",IF(2008-VLOOKUP(MATCH(L20,epa_id,0)+2,epa,'A1(epa)'!$U$17,FALSE)=0,IF(VLOOKUP(MATCH(L20,epa_id,0)+2,epa,'A1(epa)'!$AB$17,FALSE)=0,"",VLOOKUP(MATCH(L20,epa_id,0)+2,epa,'A1(epa)'!$AB$17,FALSE))))</f>
        <v>0.7</v>
      </c>
      <c r="BM20" s="5707">
        <f t="shared" ref="BM20:BM57" si="16">+IF(BK20&lt;1,BK20,$AA20)</f>
        <v>0.83</v>
      </c>
      <c r="BN20" s="5708">
        <f t="shared" si="9"/>
        <v>0.7</v>
      </c>
      <c r="BO20" s="5709">
        <f t="shared" si="10"/>
        <v>5555.5555555555557</v>
      </c>
      <c r="BP20" s="5628">
        <f>+IF(L20="","",IF(2008-VLOOKUP(MATCH(L20,epa_id,0)+2,epa,'A1(epa)'!$U$17,FALSE)=0,IF(VLOOKUP(MATCH(L20,epa_id,0)+2,epa,'A1(epa)'!$AC$17,FALSE)=0,"",VLOOKUP(MATCH(L20,epa_id,0)+2,epa,'A1(epa)'!$AC$17,FALSE))))</f>
        <v>1575</v>
      </c>
      <c r="BQ20" s="5600" t="str">
        <f>+IF(L20="","",IF(2008-VLOOKUP(MATCH(L20,epa_id,0)+2,epa,'A1(epa)'!$U$17,FALSE)=0,IF(VLOOKUP(MATCH(L20,epa_id,0)+2,epa,'A1(epa)'!$AP$17,FALSE)=0,"",VLOOKUP(MATCH(L20,epa_id,0)+2,epa,'A1(epa)'!$AP$17,FALSE))))</f>
        <v>Diesel Oil</v>
      </c>
      <c r="BR20" s="5613" t="str">
        <f>+IF(L20="","",IF(2008-VLOOKUP(MATCH(L20,epa_id,0)+2,epa,'A1(epa)'!$U$17,FALSE)=0,IF(VLOOKUP(MATCH(L20,epa_id,0)+2,epa,'A1(epa)'!$AQ$17,FALSE)=0,"",VLOOKUP(MATCH(L20,epa_id,0)+2,epa,'A1(epa)'!$AQ$17,FALSE))))</f>
        <v/>
      </c>
      <c r="BS20" s="5600" t="str">
        <f>+IF(L20="","",IF(2010-VLOOKUP(MATCH(L20,epa_id,0),epa,'A1(epa)'!$U$17,FALSE)=0,IF(VLOOKUP(MATCH(L20,epa_id,0),epa,'A1(epa)'!$AS$17,FALSE)=0,"",VLOOKUP(MATCH(L20,epa_id,0),epa,'A1(epa)'!$AS$17,FALSE))))</f>
        <v/>
      </c>
      <c r="BT20" s="5424" t="str">
        <f>+IF(L20="","",IF(2010-VLOOKUP(MATCH(L20,epa_id,0),epa,'A1(epa)'!$U$17,FALSE)=0,IF(VLOOKUP(MATCH(L20,epa_id,0),epa,'A1(epa)'!$AT$17,FALSE)=0,"",VLOOKUP(MATCH(L20,epa_id,0),epa,'A1(epa)'!$AT$17,FALSE))))</f>
        <v/>
      </c>
      <c r="BU20" s="5424" t="str">
        <f>+IF(L20="","",IF(2010-VLOOKUP(MATCH(L20,epa_id,0),epa,'A1(epa)'!$U$17,FALSE)=0,IF(VLOOKUP(MATCH(L20,epa_id,0),epa,'A1(epa)'!$AU$17,FALSE)=0,"",VLOOKUP(MATCH(L20,epa_id,0),epa,'A1(epa)'!$AU$17,FALSE))))</f>
        <v/>
      </c>
      <c r="BV20" s="5424" t="str">
        <f>+IF(L20="","",IF(2010-VLOOKUP(MATCH(L20,epa_id,0),epa,'A1(epa)'!$U$17,FALSE)=0,IF(VLOOKUP(MATCH(L20,epa_id,0),epa,'A1(epa)'!$AR$17,FALSE)=0,"",VLOOKUP(MATCH(L20,epa_id,0),epa,'A1(epa)'!$AR$17,FALSE))))</f>
        <v/>
      </c>
      <c r="BW20" s="5585" t="str">
        <f>+IF(L20="","",IF(2010-VLOOKUP(MATCH(L20,epa_id,0),epa,'A1(epa)'!$U$17,FALSE)=0,IF(VLOOKUP(MATCH(L20,epa_id,0),epa,'A1(epa)'!$AV$17,FALSE)=0,"",VLOOKUP(MATCH(L20,epa_id,0),epa,'A1(epa)'!$AV$17,FALSE))))</f>
        <v/>
      </c>
      <c r="BX20" s="5438">
        <f>+IF(L20="","",IF(2010-VLOOKUP(MATCH(L20,epa_id,0),epa,'A1(epa)'!$U$17,FALSE)=0,IF(VLOOKUP(MATCH(L20,epa_id,0),epa,'A1(epa)'!$AW$17,FALSE)=0,"",VLOOKUP(MATCH(L20,epa_id,0),epa,'A1(epa)'!$AW$17,FALSE))))</f>
        <v>266</v>
      </c>
      <c r="BY20" s="5415"/>
      <c r="BZ20" s="5477">
        <f t="shared" si="11"/>
        <v>5471.7613541142955</v>
      </c>
      <c r="CA20" s="5415"/>
      <c r="CB20" s="9564">
        <f>+IF(AJ20="","",MAX(AJ20:AJ27))</f>
        <v>19</v>
      </c>
      <c r="CC20" s="9548">
        <f>+IF(AL20="","",MAX(AL20:AL27))</f>
        <v>285</v>
      </c>
      <c r="CD20" s="9548">
        <f>+IF(AR20="","",MAX(AR20:AR27))</f>
        <v>3819</v>
      </c>
      <c r="CE20" s="9587">
        <f>+IF(AP20="","",MAX(AP20:AP27))</f>
        <v>1.5</v>
      </c>
      <c r="CF20" s="9580">
        <f>+(IF($CD$20=AR20,AO20,0)+IF($CD$20=AR21,AO21,0)+IF($CD$20=AR22,AO22,0)+IF($CD$20=AR23,AO23,0)+IF($CD$20=AR24,AO24,0)+IF($CD$20=AR25,AO25,0)+IF($CD$20=AR26,AO26,0)+IF($CD$20=AR27,AO27,0))/2</f>
        <v>0.78</v>
      </c>
      <c r="CG20" s="9580">
        <f>IF(OR(CD20="",CE20=""),"",2000/CD20*CE20)</f>
        <v>0.78554595443833453</v>
      </c>
      <c r="CH20" s="9581">
        <f>+IF(CG20="","",CG20/CB20)</f>
        <v>4.1344523917807081E-2</v>
      </c>
      <c r="CI20" s="9543">
        <f>+IF(AV20="","",MAX(AV20:AV27))</f>
        <v>8</v>
      </c>
      <c r="CJ20" s="9548">
        <f>+IF(AX20="","",MAX(AX20:AX27))</f>
        <v>78</v>
      </c>
      <c r="CK20" s="9548">
        <f>+IF(BD20="","",MAX(BD20:BD27))</f>
        <v>1013</v>
      </c>
      <c r="CL20" s="9563">
        <f>+IF(BB20="","",MAX(BB20:BB27))</f>
        <v>0.4</v>
      </c>
      <c r="CM20" s="9580">
        <f>+(IF($CK$20=BD20,BA20,0)+IF($CK$20=BD21,BA21,0)+IF($CK$20=BD22,BA22,0)+IF($CK$20=BD23,BA23,0)+IF($CK$20=BD24,BA24,0)+IF($CK$20=BD25,BA25,0)+IF($CK$20=BD26,BA26,0)+IF($CK$20=BD27,BA27,0))/2</f>
        <v>0.78</v>
      </c>
      <c r="CN20" s="9580">
        <f>IF(OR(CK20="",CL20=""),"",2000/CK20*CL20)</f>
        <v>0.78973346495557761</v>
      </c>
      <c r="CO20" s="9581">
        <f>+IF(CN20="","",CN20/CI20)</f>
        <v>9.8716683119447202E-2</v>
      </c>
      <c r="CP20" s="9543">
        <f>+IF(BH20="","",MAX(BH20:BH27))</f>
        <v>12</v>
      </c>
      <c r="CQ20" s="9548">
        <f>+IF(BJ20="","",MAX(BJ20:BJ27))</f>
        <v>126</v>
      </c>
      <c r="CR20" s="9548">
        <f>+IF(BP20="","",MAX(BP20:BP27))</f>
        <v>1575</v>
      </c>
      <c r="CS20" s="9563">
        <f>+IF(BN20="","",MAX(BN20:BN27))</f>
        <v>0.7</v>
      </c>
      <c r="CT20" s="9580">
        <f>+(IF($CR$20=BP20,BM20,0)+IF($CR$20=BP21,BM21,0)+IF($CR$20=BP22,BM22,0)+IF($CR$20=BP23,BM23,0)+IF($CR$20=BP24,BM24,0)+IF($CR$20=BP25,BM25,0)+IF($CR$20=BP26,BM26,0)+IF($CR$20=BP27,BM27,0))/2</f>
        <v>0.78</v>
      </c>
      <c r="CU20" s="9580">
        <f>IF(OR(CR20="",CS20=""),"",2000/CR20*CS20)</f>
        <v>0.88888888888888873</v>
      </c>
      <c r="CV20" s="9590">
        <f>+IF(CU20="","",CU20/CP20)</f>
        <v>7.4074074074074056E-2</v>
      </c>
      <c r="CW20" s="9614">
        <f>+IF(DA20="","",IF(DA20=CE20,AI20,IF(DA20=CL20,AU20,IF(DA20=CS20,BG20))))</f>
        <v>2010</v>
      </c>
      <c r="CX20" s="9613">
        <f>+IF(DA20="","",IF(DA20=CE20,CB20,IF(DA20=CL20,CI20,IF(DA20=CS20,CP20))))</f>
        <v>19</v>
      </c>
      <c r="CY20" s="9612">
        <f>+IF(DA20="","",IF(DA20=CE20,CC20,IF(DA20=CL20,CJ20,IF(DA20=CS20,CQ20))))</f>
        <v>285</v>
      </c>
      <c r="CZ20" s="9548">
        <f>+IF(DA20="","",IF(DA20=CE20,CD20,IF(DA20=CL20,CK20,IF(DA20=CS20,CR20))))</f>
        <v>3819</v>
      </c>
      <c r="DA20" s="9587">
        <f t="shared" si="12"/>
        <v>1.5</v>
      </c>
      <c r="DB20" s="9580">
        <f>+IF(DA20="","",IF(DA20=CE20,CF20,IF(DA20=CL20,CM20,IF(DA20=CS20,CT20))))</f>
        <v>0.78</v>
      </c>
      <c r="DC20" s="9580">
        <f>ROUND(2000*DA20/CZ20,3)</f>
        <v>0.78600000000000003</v>
      </c>
      <c r="DD20" s="9581">
        <f>+IF(CX20="","",DA20/CX20)</f>
        <v>7.8947368421052627E-2</v>
      </c>
      <c r="DE20" s="9577">
        <f>+IF(DD20="","",DD20*$DE$15)</f>
        <v>3.9473684210526314</v>
      </c>
      <c r="DF20" s="9577"/>
      <c r="DG20" s="5356"/>
      <c r="DH20" s="5348"/>
      <c r="DI20" s="5348"/>
    </row>
    <row r="21" spans="1:113" s="479" customFormat="1" ht="25.5" customHeight="1">
      <c r="A21" s="5364" t="str">
        <f t="shared" si="13"/>
        <v>8302-02</v>
      </c>
      <c r="B21" s="9571">
        <f>+IF(A21="","",VLOOKUP(MATCH(A21,tid,0),tao,'12(id)'!$J$20,FALSE))</f>
        <v>0</v>
      </c>
      <c r="C21" s="5365" t="str">
        <f t="shared" si="2"/>
        <v>11B</v>
      </c>
      <c r="D21" s="5359"/>
      <c r="E21" s="5351"/>
      <c r="F21" s="5359"/>
      <c r="G21" s="4445">
        <f t="shared" ref="G21:G57" si="17">1+G20</f>
        <v>3</v>
      </c>
      <c r="H21" s="4399">
        <v>3</v>
      </c>
      <c r="I21" s="9574" t="str">
        <f>+IF(L21="","",IF(VLOOKUP(MATCH(L21,tid,0),tao,'12(id)'!$H$20,FALSE)="","",VLOOKUP(MATCH(L21,tid,0),tao,'12(id)'!$H$20,FALSE)))</f>
        <v/>
      </c>
      <c r="J21" s="9520" t="str">
        <f>+IF(L21="","",IF(VLOOKUP(MATCH(L21,tid,0),tao,'12(id)'!$I$20,FALSE)="","",VLOOKUP(MATCH(L21,tid,0),tao,'12(id)'!$I$20,FALSE)))</f>
        <v/>
      </c>
      <c r="K21" s="9518">
        <f>+IF(L21="","",IF(VLOOKUP(MATCH(L21,tid,0),tao,'12(id)'!$K$20,FALSE)="","",VLOOKUP(MATCH(L21,tid,0),tao,'12(id)'!$K$20,FALSE)))</f>
        <v>8302</v>
      </c>
      <c r="L21" s="5154" t="s">
        <v>279</v>
      </c>
      <c r="M21" s="9520" t="str">
        <f>+IF(L21="","",IF(VLOOKUP(MATCH(L21,tid,0),tao,'12(id)'!$L$20,FALSE)="","",VLOOKUP(MATCH(L21,tid,0),tao,'12(id)'!$L$20,FALSE)))</f>
        <v>South Meadow Station</v>
      </c>
      <c r="N21" s="52" t="str">
        <f>+IF(L21="","",IF(VLOOKUP(MATCH(L21,tid,0),tao,'12(id)'!$P$20,FALSE)="","",VLOOKUP(MATCH(L21,tid,0),tao,'12(id)'!$P$20,FALSE)))</f>
        <v>11B</v>
      </c>
      <c r="O21" s="4385" t="str">
        <f>+IF(L21="","",IF(VLOOKUP(MATCH(L21,tid,0),tao,'12(id)'!$Q$20,FALSE)="","",VLOOKUP(MATCH(L21,tid,0),tao,'12(id)'!$Q$20,FALSE)))</f>
        <v>11B</v>
      </c>
      <c r="P21" s="9618" t="str">
        <f>+IF(L21="","",IF(VLOOKUP(MATCH(L21,tid,0),tao,'12(id)'!$CT$20,FALSE)="","",VLOOKUP(MATCH(L21,tid,0),tao,'12(id)'!$CT$20,FALSE)))</f>
        <v/>
      </c>
      <c r="Q21" s="9566"/>
      <c r="R21" s="5439" t="str">
        <f>+IF(L21="","",IF(VLOOKUP(MATCH(L21,tid,0),tao,'12(id)'!$T$20,FALSE)="","",VLOOKUP(MATCH(L21,tid,0),tao,'12(id)'!$T$20,FALSE)))</f>
        <v>Combustion Turbine</v>
      </c>
      <c r="S21" s="5440" t="str">
        <f>+IF(L21="","",IF(VLOOKUP(MATCH(L21,tid,0),tao,'12(id)'!$CO$20,FALSE)="","",VLOOKUP(MATCH(L21,tid,0),tao,'12(id)'!$CO$20,FALSE)))</f>
        <v>Pratt &amp; Whitney</v>
      </c>
      <c r="T21" s="5439" t="str">
        <f>+IF(L21="","",IF(VLOOKUP(MATCH(L21,tid,0),tao,'12(id)'!$CP$20,FALSE)="","",VLOOKUP(MATCH(L21,tid,0),tao,'12(id)'!$CP$20,FALSE)))</f>
        <v>TP4-2(A9) LF</v>
      </c>
      <c r="U21" s="5441">
        <f>+IF(L21="","",IF(VLOOKUP(MATCH(L21,tid,0),tao,'12(id)'!$DC$20,FALSE)="","",IF(VLOOKUP(MATCH(L21,tid,0),tao,'12(id)'!$DB$20,FALSE)="",VLOOKUP(MATCH(L21,tid,0),tao,'12(id)'!$DC$20,FALSE),VLOOKUP(MATCH(L21,tid,0),tao,'12(id)'!$DB$20,FALSE)&amp;" "&amp;VLOOKUP(MATCH(L21,tid,0),tao,'12(id)'!$DC$20,FALSE))))</f>
        <v>1970</v>
      </c>
      <c r="V21" s="5442">
        <f ca="1">+IF(L21="","",IF(VLOOKUP(MATCH(L21,tid,0),tao,'12(id)'!$DE$20,FALSE)="","",ROUND(VLOOKUP(MATCH(L21,tid,0),tao,'12(id)'!$DE$20,FALSE),0)))</f>
        <v>45</v>
      </c>
      <c r="W21" s="5443" t="str">
        <f>+IF(L21="","",IF(VLOOKUP(G21,tao,'12(id)'!$FR$20,FALSE)="","",VLOOKUP(G21,tao,'12(id)'!$FR$20,FALSE)&amp;IF(VLOOKUP(G21,tao,'12(id)'!$FS$20,FALSE)="","",", "&amp;VLOOKUP(G21,tao,'12(id)'!$FS$20,FALSE))))</f>
        <v>None</v>
      </c>
      <c r="X21" s="5443" t="str">
        <f>+IF(L21="","",IF(VLOOKUP(MATCH(L21,tid,0),tao,'12(id)'!$DI$20,FALSE)="","",VLOOKUP(MATCH(L21,tid,0),tao,'12(id)'!$DI$20,FALSE)))</f>
        <v>Jet Fuel A (Kerosene K1)</v>
      </c>
      <c r="Y21" s="5443" t="str">
        <f>+IF(L21="","",IF(VLOOKUP(MATCH(L21,tid,0),tao,'12(id)'!$DQ$20,FALSE)="","",VLOOKUP(MATCH(L21,tid,0),tao,'12(id)'!$DQ$20,FALSE)))</f>
        <v>No. 2 oil</v>
      </c>
      <c r="Z21" s="5444">
        <f>+IF(L21="","",IF(VLOOKUP(MATCH(L21,tid,0),tao,'12(id)'!$EH$20,FALSE)="","",VLOOKUP(MATCH(L21,tid,0),tao,'12(id)'!$EH$20,FALSE)))</f>
        <v>256</v>
      </c>
      <c r="AA21" s="5445">
        <f>+IF(L21="","",IF(VLOOKUP(MATCH(L21,tid,0),tao,'12(id)'!$EI$20,FALSE)="","",VLOOKUP(MATCH(L21,tid,0),tao,'12(id)'!$EI$20,FALSE)))</f>
        <v>0.71</v>
      </c>
      <c r="AB21" s="5445">
        <f>+IF(L21="","",IF(VLOOKUP(MATCH(L21,tid,0),tao,'12(id)'!$EJ$20,FALSE)="","",VLOOKUP(MATCH(L21,tid,0),tao,'12(id)'!$EJ$20,FALSE)))</f>
        <v>138.4</v>
      </c>
      <c r="AC21" s="5446">
        <f>+IF(L21="","",IF(VLOOKUP(MATCH(L21,tid,0),tao,'12(id)'!$EL$20,FALSE)="","",VLOOKUP(MATCH(L21,tid,0),tao,'12(id)'!$EL$20,FALSE)))</f>
        <v>0.81</v>
      </c>
      <c r="AD21" s="5447"/>
      <c r="AE21" s="5448">
        <f t="shared" si="3"/>
        <v>0.71</v>
      </c>
      <c r="AF21" s="5447">
        <f t="shared" si="4"/>
        <v>138.4</v>
      </c>
      <c r="AG21" s="5449" t="str">
        <f>+IF(L21="","",IF(VLOOKUP(MATCH(L21,tid,0),tao,'12(id)'!$GY$20,FALSE)="","",VLOOKUP(MATCH(L21,tid,0),tao,'12(id)'!$GY$20,FALSE)))</f>
        <v/>
      </c>
      <c r="AH21" s="5450" t="str">
        <f>+IF(L21="","",IF(VLOOKUP(MATCH(L21,tid,0),tao,'12(id)'!$HL$20,FALSE)="","",VLOOKUP(MATCH(L21,tid,0),tao,'12(id)'!$HL$20,FALSE)))</f>
        <v/>
      </c>
      <c r="AI21" s="5451">
        <f>+IF(L21="","",IF(2010-VLOOKUP(MATCH(L21,epa_id,0),epa,'A1(epa)'!$U$17,FALSE)=0,IF(VLOOKUP(MATCH(L21,epa_id,0),epa,'A1(epa)'!$U$17,FALSE)=0,"",VLOOKUP(MATCH(L21,epa_id,0),epa,'A1(epa)'!$U$17,FALSE))))</f>
        <v>2010</v>
      </c>
      <c r="AJ21" s="5643">
        <f>+IF(L21="","",IF(2010-VLOOKUP(MATCH(L21,epa_id,0),epa,'A1(epa)'!$U$17,FALSE)=0,IF(VLOOKUP(MATCH(L21,epa_id,0),epa,'A1(epa)'!$W$17,FALSE)=0,"",VLOOKUP(MATCH(L21,epa_id,0),epa,'A1(epa)'!$W$17,FALSE))))</f>
        <v>15</v>
      </c>
      <c r="AK21" s="5452">
        <f>+IF(L21="","",IF(2010-VLOOKUP(MATCH(L21,epa_id,0),epa,'A1(epa)'!$U$17,FALSE)=0,IF(VLOOKUP(MATCH(L21,epa_id,0),epa,'A1(epa)'!$X$17,FALSE)=0,"",VLOOKUP(MATCH(L21,epa_id,0),epa,'A1(epa)'!$X$17,FALSE))))</f>
        <v>5</v>
      </c>
      <c r="AL21" s="5643">
        <f>+IF(L21="","",IF(2010-VLOOKUP(MATCH(L21,epa_id,0),epa,'A1(epa)'!$U$17,FALSE)=0,IF(VLOOKUP(MATCH(L21,epa_id,0),epa,'A1(epa)'!$Y$17,FALSE)=0,"",VLOOKUP(MATCH(L21,epa_id,0),epa,'A1(epa)'!$Y$17,FALSE))))</f>
        <v>221</v>
      </c>
      <c r="AM21" s="5760">
        <f>+IF(L21="","",IF(2010-VLOOKUP(MATCH(L21,epa_id,0),epa,'A1(epa)'!$U$17,FALSE)=0,IF(VLOOKUP(MATCH(L21,epa_id,0),epa,'A1(epa)'!$AA$17,FALSE)=0,"",VLOOKUP(MATCH(L21,epa_id,0),epa,'A1(epa)'!$AA$17,FALSE))))</f>
        <v>0.76</v>
      </c>
      <c r="AN21" s="5761">
        <f>+IF(L21="","",IF(2010-VLOOKUP(MATCH(L21,epa_id,0),epa,'A1(epa)'!$U$17,FALSE)=0,IF(VLOOKUP(MATCH(L21,epa_id,0),epa,'A1(epa)'!$AB$17,FALSE)=0,"",VLOOKUP(MATCH(L21,epa_id,0),epa,'A1(epa)'!$AB$17,FALSE))))</f>
        <v>1.1000000000000001</v>
      </c>
      <c r="AO21" s="5762">
        <f t="shared" si="14"/>
        <v>0.76</v>
      </c>
      <c r="AP21" s="5763">
        <f t="shared" si="5"/>
        <v>1.1000000000000001</v>
      </c>
      <c r="AQ21" s="5764">
        <f t="shared" si="6"/>
        <v>4977.3755656108597</v>
      </c>
      <c r="AR21" s="5643">
        <f>+IF(L21="","",IF(2010-VLOOKUP(MATCH(L21,epa_id,0),epa,'A1(epa)'!$U$17,FALSE)=0,IF(VLOOKUP(MATCH(L21,epa_id,0),epa,'A1(epa)'!$AC$17,FALSE)=0,"",VLOOKUP(MATCH(L21,epa_id,0),epa,'A1(epa)'!$AC$17,FALSE))))</f>
        <v>2925</v>
      </c>
      <c r="AS21" s="5443" t="str">
        <f>+IF(L21="","",IF(2010-VLOOKUP(MATCH(L21,epa_id,0),epa,'A1(epa)'!$U$17,FALSE)=0,IF(VLOOKUP(MATCH(L21,epa_id,0),epa,'A1(epa)'!$AP$17,FALSE)=0,"",VLOOKUP(MATCH(L21,epa_id,0),epa,'A1(epa)'!$AP$17,FALSE))))</f>
        <v>Diesel Oil</v>
      </c>
      <c r="AT21" s="5614" t="str">
        <f>+IF(L21="","",IF(2010-VLOOKUP(MATCH(L21,epa_id,0),epa,'A1(epa)'!$U$17,FALSE)=0,IF(VLOOKUP(MATCH(L21,epa_id,0),epa,'A1(epa)'!$AQ$17,FALSE)=0,"",VLOOKUP(MATCH(L21,epa_id,0),epa,'A1(epa)'!$AQ$17,FALSE))))</f>
        <v/>
      </c>
      <c r="AU21" s="5451">
        <f>+IF(L21="","",IF(2009-VLOOKUP(MATCH(L21,epa_id,0)+1,epa,'A1(epa)'!$U$17,FALSE)=0,IF(VLOOKUP(MATCH(L21,epa_id,0)+1,epa,'A1(epa)'!$U$17,FALSE)=0,"",VLOOKUP(MATCH(L21,epa_id,0)+1,epa,'A1(epa)'!$U$17,FALSE))))</f>
        <v>2009</v>
      </c>
      <c r="AV21" s="5441">
        <f>+IF(L21="","",IF(2009-VLOOKUP(MATCH(L21,epa_id,0)+1,epa,'A1(epa)'!$U$17,FALSE)=0,IF(VLOOKUP(MATCH(L21,epa_id,0)+1,epa,'A1(epa)'!$W$17,FALSE)=0,"",VLOOKUP(MATCH(L21,epa_id,0)+1,epa,'A1(epa)'!$W$17,FALSE))))</f>
        <v>8</v>
      </c>
      <c r="AW21" s="5453">
        <f>+IF(L21="","",IF(2009-VLOOKUP(MATCH(L21,epa_id,0)+1,epa,'A1(epa)'!$U$17,FALSE)=0,IF(VLOOKUP(MATCH(L21,epa_id,0)+1,epa,'A1(epa)'!$X$17,FALSE)=0,"",VLOOKUP(MATCH(L21,epa_id,0)+1,epa,'A1(epa)'!$X$17,FALSE))))</f>
        <v>5</v>
      </c>
      <c r="AX21" s="5643">
        <f>+IF(L21="","",IF(2009-VLOOKUP(MATCH(L21,epa_id,0)+1,epa,'A1(epa)'!$U$17,FALSE)=0,IF(VLOOKUP(MATCH(L21,epa_id,0)+1,epa,'A1(epa)'!$Y$17,FALSE)=0,"",VLOOKUP(MATCH(L21,epa_id,0)+1,epa,'A1(epa)'!$Y$17,FALSE))))</f>
        <v>68</v>
      </c>
      <c r="AY21" s="5657">
        <f>+IF(L21="","",IF(2009-VLOOKUP(MATCH(L21,epa_id,0)+1,epa,'A1(epa)'!$U$17,FALSE)=0,IF(VLOOKUP(MATCH(L21,epa_id,0)+1,epa,'A1(epa)'!$AA$17,FALSE)=0,"",VLOOKUP(MATCH(L21,epa_id,0)+1,epa,'A1(epa)'!$AA$17,FALSE))))</f>
        <v>0.75</v>
      </c>
      <c r="AZ21" s="5658">
        <f>+IF(L21="","",IF(2009-VLOOKUP(MATCH(L21,epa_id,0)+1,epa,'A1(epa)'!$U$17,FALSE)=0,IF(VLOOKUP(MATCH(L21,epa_id,0)+1,epa,'A1(epa)'!$AB$17,FALSE)=0,"",VLOOKUP(MATCH(L21,epa_id,0)+1,epa,'A1(epa)'!$AB$17,FALSE))))</f>
        <v>0.3</v>
      </c>
      <c r="BA21" s="5659">
        <f t="shared" si="15"/>
        <v>0.75</v>
      </c>
      <c r="BB21" s="5660">
        <f t="shared" si="7"/>
        <v>0.3</v>
      </c>
      <c r="BC21" s="5455">
        <f t="shared" si="8"/>
        <v>4411.7647058823532</v>
      </c>
      <c r="BD21" s="5643">
        <f>+IF(L21="","",IF(2009-VLOOKUP(MATCH(L21,epa_id,0)+1,epa,'A1(epa)'!$U$17,FALSE)=0,IF(VLOOKUP(MATCH(L21,epa_id,0)+1,epa,'A1(epa)'!$AC$17,FALSE)=0,"",VLOOKUP(MATCH(L21,epa_id,0)+1,epa,'A1(epa)'!$AC$17,FALSE))))</f>
        <v>869</v>
      </c>
      <c r="BE21" s="5453" t="str">
        <f>+IF(L21="","",IF(2009-VLOOKUP(MATCH(L21,epa_id,0)+1,epa,'A1(epa)'!$U$17,FALSE)=0,IF(VLOOKUP(MATCH(L21,epa_id,0)+1,epa,'A1(epa)'!$AP$17,FALSE)=0,"",VLOOKUP(MATCH(L21,epa_id,0)+1,epa,'A1(epa)'!$AP$17,FALSE))))</f>
        <v>Diesel Oil</v>
      </c>
      <c r="BF21" s="5454" t="str">
        <f>+IF(L21="","",IF(2009-VLOOKUP(MATCH(L21,epa_id,0)+1,epa,'A1(epa)'!$U$17,FALSE)=0,IF(VLOOKUP(MATCH(L21,epa_id,0)+1,epa,'A1(epa)'!$AQ$17,FALSE)=0,"",VLOOKUP(MATCH(L21,epa_id,0)+1,epa,'A1(epa)'!$AQ$17,FALSE))))</f>
        <v/>
      </c>
      <c r="BG21" s="5456">
        <f>+IF(L21="","",IF(2008-VLOOKUP(MATCH(L21,epa_id,0)+2,epa,'A1(epa)'!$U$17,FALSE)=0,IF(VLOOKUP(MATCH(L21,epa_id,0)+2,epa,'A1(epa)'!$U$17,FALSE)=0,"",VLOOKUP(MATCH(L21,epa_id,0)+2,epa,'A1(epa)'!$U$17,FALSE))))</f>
        <v>2008</v>
      </c>
      <c r="BH21" s="5453">
        <f>+IF(L21="","",IF(2008-VLOOKUP(MATCH(L21,epa_id,0)+2,epa,'A1(epa)'!$U$17,FALSE)=0,IF(VLOOKUP(MATCH(L21,epa_id,0)+2,epa,'A1(epa)'!$W$17,FALSE)=0,"",VLOOKUP(MATCH(L21,epa_id,0)+2,epa,'A1(epa)'!$W$17,FALSE))))</f>
        <v>12</v>
      </c>
      <c r="BI21" s="5453">
        <f>+IF(L21="","",IF(2008-VLOOKUP(MATCH(L21,epa_id,0)+2,epa,'A1(epa)'!$U$17,FALSE)=0,IF(VLOOKUP(MATCH(L21,epa_id,0)+2,epa,'A1(epa)'!$X$17,FALSE)=0,"",VLOOKUP(MATCH(L21,epa_id,0)+2,epa,'A1(epa)'!$X$17,FALSE))))</f>
        <v>5</v>
      </c>
      <c r="BJ21" s="5643">
        <f>+IF(L21="","",IF(2008-VLOOKUP(MATCH(L21,epa_id,0)+2,epa,'A1(epa)'!$U$17,FALSE)=0,IF(VLOOKUP(MATCH(L21,epa_id,0)+2,epa,'A1(epa)'!$Y$17,FALSE)=0,"",VLOOKUP(MATCH(L21,epa_id,0)+2,epa,'A1(epa)'!$Y$17,FALSE))))</f>
        <v>126</v>
      </c>
      <c r="BK21" s="5657">
        <f>+IF(L21="","",IF(2008-VLOOKUP(MATCH(L21,epa_id,0)+2,epa,'A1(epa)'!$U$17,FALSE)=0,IF(VLOOKUP(MATCH(L21,epa_id,0)+2,epa,'A1(epa)'!$AA$17,FALSE)=0,"",VLOOKUP(MATCH(L21,epa_id,0)+2,epa,'A1(epa)'!$AA$17,FALSE))))</f>
        <v>0.73</v>
      </c>
      <c r="BL21" s="5658">
        <f>+IF(L21="","",IF(2008-VLOOKUP(MATCH(L21,epa_id,0)+2,epa,'A1(epa)'!$U$17,FALSE)=0,IF(VLOOKUP(MATCH(L21,epa_id,0)+2,epa,'A1(epa)'!$AB$17,FALSE)=0,"",VLOOKUP(MATCH(L21,epa_id,0)+2,epa,'A1(epa)'!$AB$17,FALSE))))</f>
        <v>0.6</v>
      </c>
      <c r="BM21" s="5710">
        <f t="shared" si="16"/>
        <v>0.73</v>
      </c>
      <c r="BN21" s="5711">
        <f t="shared" si="9"/>
        <v>0.6</v>
      </c>
      <c r="BO21" s="5712">
        <f t="shared" si="10"/>
        <v>4761.9047619047615</v>
      </c>
      <c r="BP21" s="5629">
        <f>+IF(L21="","",IF(2008-VLOOKUP(MATCH(L21,epa_id,0)+2,epa,'A1(epa)'!$U$17,FALSE)=0,IF(VLOOKUP(MATCH(L21,epa_id,0)+2,epa,'A1(epa)'!$AC$17,FALSE)=0,"",VLOOKUP(MATCH(L21,epa_id,0)+2,epa,'A1(epa)'!$AC$17,FALSE))))</f>
        <v>1575</v>
      </c>
      <c r="BQ21" s="5601" t="str">
        <f>+IF(L21="","",IF(2008-VLOOKUP(MATCH(L21,epa_id,0)+2,epa,'A1(epa)'!$U$17,FALSE)=0,IF(VLOOKUP(MATCH(L21,epa_id,0)+2,epa,'A1(epa)'!$AP$17,FALSE)=0,"",VLOOKUP(MATCH(L21,epa_id,0)+2,epa,'A1(epa)'!$AP$17,FALSE))))</f>
        <v>Diesel Oil</v>
      </c>
      <c r="BR21" s="5614" t="str">
        <f>+IF(L21="","",IF(2008-VLOOKUP(MATCH(L21,epa_id,0)+2,epa,'A1(epa)'!$U$17,FALSE)=0,IF(VLOOKUP(MATCH(L21,epa_id,0)+2,epa,'A1(epa)'!$AQ$17,FALSE)=0,"",VLOOKUP(MATCH(L21,epa_id,0)+2,epa,'A1(epa)'!$AQ$17,FALSE))))</f>
        <v/>
      </c>
      <c r="BS21" s="5601" t="str">
        <f>+IF(L21="","",IF(2010-VLOOKUP(MATCH(L21,epa_id,0),epa,'A1(epa)'!$U$17,FALSE)=0,IF(VLOOKUP(MATCH(L21,epa_id,0),epa,'A1(epa)'!$AS$17,FALSE)=0,"",VLOOKUP(MATCH(L21,epa_id,0),epa,'A1(epa)'!$AS$17,FALSE))))</f>
        <v/>
      </c>
      <c r="BT21" s="5443" t="str">
        <f>+IF(L21="","",IF(2010-VLOOKUP(MATCH(L21,epa_id,0),epa,'A1(epa)'!$U$17,FALSE)=0,IF(VLOOKUP(MATCH(L21,epa_id,0),epa,'A1(epa)'!$AT$17,FALSE)=0,"",VLOOKUP(MATCH(L21,epa_id,0),epa,'A1(epa)'!$AT$17,FALSE))))</f>
        <v/>
      </c>
      <c r="BU21" s="5443" t="str">
        <f>+IF(L21="","",IF(2010-VLOOKUP(MATCH(L21,epa_id,0),epa,'A1(epa)'!$U$17,FALSE)=0,IF(VLOOKUP(MATCH(L21,epa_id,0),epa,'A1(epa)'!$AU$17,FALSE)=0,"",VLOOKUP(MATCH(L21,epa_id,0),epa,'A1(epa)'!$AU$17,FALSE))))</f>
        <v/>
      </c>
      <c r="BV21" s="5443" t="str">
        <f>+IF(L21="","",IF(2010-VLOOKUP(MATCH(L21,epa_id,0),epa,'A1(epa)'!$U$17,FALSE)=0,IF(VLOOKUP(MATCH(L21,epa_id,0),epa,'A1(epa)'!$AR$17,FALSE)=0,"",VLOOKUP(MATCH(L21,epa_id,0),epa,'A1(epa)'!$AR$17,FALSE))))</f>
        <v/>
      </c>
      <c r="BW21" s="5586" t="str">
        <f>+IF(L21="","",IF(2010-VLOOKUP(MATCH(L21,epa_id,0),epa,'A1(epa)'!$U$17,FALSE)=0,IF(VLOOKUP(MATCH(L21,epa_id,0),epa,'A1(epa)'!$AV$17,FALSE)=0,"",VLOOKUP(MATCH(L21,epa_id,0),epa,'A1(epa)'!$AV$17,FALSE))))</f>
        <v/>
      </c>
      <c r="BX21" s="5457">
        <f>+IF(L21="","",IF(2010-VLOOKUP(MATCH(L21,epa_id,0),epa,'A1(epa)'!$U$17,FALSE)=0,IF(VLOOKUP(MATCH(L21,epa_id,0),epa,'A1(epa)'!$AW$17,FALSE)=0,"",VLOOKUP(MATCH(L21,epa_id,0),epa,'A1(epa)'!$AW$17,FALSE))))</f>
        <v>266</v>
      </c>
      <c r="BY21" s="5415"/>
      <c r="BZ21" s="5478">
        <f t="shared" si="11"/>
        <v>4717.0150111326575</v>
      </c>
      <c r="CA21" s="5415"/>
      <c r="CB21" s="9553"/>
      <c r="CC21" s="9538"/>
      <c r="CD21" s="9538"/>
      <c r="CE21" s="9557"/>
      <c r="CF21" s="9532"/>
      <c r="CG21" s="9532"/>
      <c r="CH21" s="9561"/>
      <c r="CI21" s="9541"/>
      <c r="CJ21" s="9538"/>
      <c r="CK21" s="9538"/>
      <c r="CL21" s="9535"/>
      <c r="CM21" s="9532"/>
      <c r="CN21" s="9532"/>
      <c r="CO21" s="9561"/>
      <c r="CP21" s="9541"/>
      <c r="CQ21" s="9538"/>
      <c r="CR21" s="9538"/>
      <c r="CS21" s="9535"/>
      <c r="CT21" s="9532"/>
      <c r="CU21" s="9532"/>
      <c r="CV21" s="9550"/>
      <c r="CW21" s="9604"/>
      <c r="CX21" s="9601"/>
      <c r="CY21" s="9598"/>
      <c r="CZ21" s="9538"/>
      <c r="DA21" s="9557">
        <f t="shared" si="12"/>
        <v>0</v>
      </c>
      <c r="DB21" s="9532"/>
      <c r="DC21" s="9532"/>
      <c r="DD21" s="9561"/>
      <c r="DE21" s="9578"/>
      <c r="DF21" s="9578"/>
      <c r="DG21" s="5374"/>
      <c r="DH21" s="5348"/>
      <c r="DI21" s="5348"/>
    </row>
    <row r="22" spans="1:113" s="479" customFormat="1" ht="25.5" customHeight="1">
      <c r="A22" s="5364" t="str">
        <f t="shared" si="13"/>
        <v>8302-03</v>
      </c>
      <c r="B22" s="9571">
        <f>+IF(A22="","",VLOOKUP(MATCH(A22,tid,0),tao,'12(id)'!$J$20,FALSE))</f>
        <v>0</v>
      </c>
      <c r="C22" s="5365" t="str">
        <f t="shared" si="2"/>
        <v>12A</v>
      </c>
      <c r="D22" s="5359"/>
      <c r="E22" s="5351"/>
      <c r="F22" s="5359"/>
      <c r="G22" s="4445">
        <f t="shared" si="17"/>
        <v>4</v>
      </c>
      <c r="H22" s="4399">
        <v>4</v>
      </c>
      <c r="I22" s="9574" t="str">
        <f>+IF(L22="","",IF(VLOOKUP(MATCH(L22,tid,0),tao,'12(id)'!$H$20,FALSE)="","",VLOOKUP(MATCH(L22,tid,0),tao,'12(id)'!$H$20,FALSE)))</f>
        <v/>
      </c>
      <c r="J22" s="9520" t="str">
        <f>+IF(L22="","",IF(VLOOKUP(MATCH(L22,tid,0),tao,'12(id)'!$I$20,FALSE)="","",VLOOKUP(MATCH(L22,tid,0),tao,'12(id)'!$I$20,FALSE)))</f>
        <v/>
      </c>
      <c r="K22" s="9518">
        <f>+IF(L22="","",IF(VLOOKUP(MATCH(L22,tid,0),tao,'12(id)'!$K$20,FALSE)="","",VLOOKUP(MATCH(L22,tid,0),tao,'12(id)'!$K$20,FALSE)))</f>
        <v>8302</v>
      </c>
      <c r="L22" s="5154" t="s">
        <v>280</v>
      </c>
      <c r="M22" s="9520" t="str">
        <f>+IF(L22="","",IF(VLOOKUP(MATCH(L22,tid,0),tao,'12(id)'!$L$20,FALSE)="","",VLOOKUP(MATCH(L22,tid,0),tao,'12(id)'!$L$20,FALSE)))</f>
        <v>South Meadow Station</v>
      </c>
      <c r="N22" s="52" t="str">
        <f>+IF(L22="","",IF(VLOOKUP(MATCH(L22,tid,0),tao,'12(id)'!$P$20,FALSE)="","",VLOOKUP(MATCH(L22,tid,0),tao,'12(id)'!$P$20,FALSE)))</f>
        <v>12A</v>
      </c>
      <c r="O22" s="4385" t="str">
        <f>+IF(L22="","",IF(VLOOKUP(MATCH(L22,tid,0),tao,'12(id)'!$Q$20,FALSE)="","",VLOOKUP(MATCH(L22,tid,0),tao,'12(id)'!$Q$20,FALSE)))</f>
        <v>12A</v>
      </c>
      <c r="P22" s="9618">
        <f>+IF(L22="","",IF(VLOOKUP(MATCH(L22,tid,0),tao,'12(id)'!$CT$20,FALSE)="","",VLOOKUP(MATCH(L22,tid,0),tao,'12(id)'!$CT$20,FALSE)))</f>
        <v>40</v>
      </c>
      <c r="Q22" s="9566"/>
      <c r="R22" s="5439" t="str">
        <f>+IF(L22="","",IF(VLOOKUP(MATCH(L22,tid,0),tao,'12(id)'!$T$20,FALSE)="","",VLOOKUP(MATCH(L22,tid,0),tao,'12(id)'!$T$20,FALSE)))</f>
        <v>Combustion Turbine</v>
      </c>
      <c r="S22" s="5440" t="str">
        <f>+IF(L22="","",IF(VLOOKUP(MATCH(L22,tid,0),tao,'12(id)'!$CO$20,FALSE)="","",VLOOKUP(MATCH(L22,tid,0),tao,'12(id)'!$CO$20,FALSE)))</f>
        <v>Pratt &amp; Whitney</v>
      </c>
      <c r="T22" s="5439" t="str">
        <f>+IF(L22="","",IF(VLOOKUP(MATCH(L22,tid,0),tao,'12(id)'!$CP$20,FALSE)="","",VLOOKUP(MATCH(L22,tid,0),tao,'12(id)'!$CP$20,FALSE)))</f>
        <v>TP4-2(A9) LF</v>
      </c>
      <c r="U22" s="5441">
        <f>+IF(L22="","",IF(VLOOKUP(MATCH(L22,tid,0),tao,'12(id)'!$DC$20,FALSE)="","",IF(VLOOKUP(MATCH(L22,tid,0),tao,'12(id)'!$DB$20,FALSE)="",VLOOKUP(MATCH(L22,tid,0),tao,'12(id)'!$DC$20,FALSE),VLOOKUP(MATCH(L22,tid,0),tao,'12(id)'!$DB$20,FALSE)&amp;" "&amp;VLOOKUP(MATCH(L22,tid,0),tao,'12(id)'!$DC$20,FALSE))))</f>
        <v>1970</v>
      </c>
      <c r="V22" s="5442">
        <f ca="1">+IF(L22="","",IF(VLOOKUP(MATCH(L22,tid,0),tao,'12(id)'!$DE$20,FALSE)="","",ROUND(VLOOKUP(MATCH(L22,tid,0),tao,'12(id)'!$DE$20,FALSE),0)))</f>
        <v>45</v>
      </c>
      <c r="W22" s="5443" t="str">
        <f>+IF(L22="","",IF(VLOOKUP(G22,tao,'12(id)'!$FR$20,FALSE)="","",VLOOKUP(G22,tao,'12(id)'!$FR$20,FALSE)&amp;IF(VLOOKUP(G22,tao,'12(id)'!$FS$20,FALSE)="","",", "&amp;VLOOKUP(G22,tao,'12(id)'!$FS$20,FALSE))))</f>
        <v>None</v>
      </c>
      <c r="X22" s="5443" t="str">
        <f>+IF(L22="","",IF(VLOOKUP(MATCH(L22,tid,0),tao,'12(id)'!$DI$20,FALSE)="","",VLOOKUP(MATCH(L22,tid,0),tao,'12(id)'!$DI$20,FALSE)))</f>
        <v>Jet Fuel A (Kerosene K1)</v>
      </c>
      <c r="Y22" s="5443" t="str">
        <f>+IF(L22="","",IF(VLOOKUP(MATCH(L22,tid,0),tao,'12(id)'!$DQ$20,FALSE)="","",VLOOKUP(MATCH(L22,tid,0),tao,'12(id)'!$DQ$20,FALSE)))</f>
        <v>No. 2 oil</v>
      </c>
      <c r="Z22" s="5444">
        <f>+IF(L22="","",IF(VLOOKUP(MATCH(L22,tid,0),tao,'12(id)'!$EH$20,FALSE)="","",VLOOKUP(MATCH(L22,tid,0),tao,'12(id)'!$EH$20,FALSE)))</f>
        <v>256</v>
      </c>
      <c r="AA22" s="5445">
        <f>+IF(L22="","",IF(VLOOKUP(MATCH(L22,tid,0),tao,'12(id)'!$EI$20,FALSE)="","",VLOOKUP(MATCH(L22,tid,0),tao,'12(id)'!$EI$20,FALSE)))</f>
        <v>0.74399999999999999</v>
      </c>
      <c r="AB22" s="5445">
        <f>+IF(L22="","",IF(VLOOKUP(MATCH(L22,tid,0),tao,'12(id)'!$EJ$20,FALSE)="","",VLOOKUP(MATCH(L22,tid,0),tao,'12(id)'!$EJ$20,FALSE)))</f>
        <v>124.8</v>
      </c>
      <c r="AC22" s="5446">
        <f>+IF(L22="","",IF(VLOOKUP(MATCH(L22,tid,0),tao,'12(id)'!$EL$20,FALSE)="","",VLOOKUP(MATCH(L22,tid,0),tao,'12(id)'!$EL$20,FALSE)))</f>
        <v>0.81</v>
      </c>
      <c r="AD22" s="5447"/>
      <c r="AE22" s="5448">
        <f t="shared" si="3"/>
        <v>0.74399999999999999</v>
      </c>
      <c r="AF22" s="5447">
        <f t="shared" si="4"/>
        <v>124.8</v>
      </c>
      <c r="AG22" s="5449" t="str">
        <f>+IF(L22="","",IF(VLOOKUP(MATCH(L22,tid,0),tao,'12(id)'!$GY$20,FALSE)="","",VLOOKUP(MATCH(L22,tid,0),tao,'12(id)'!$GY$20,FALSE)))</f>
        <v/>
      </c>
      <c r="AH22" s="5450" t="str">
        <f>+IF(L22="","",IF(VLOOKUP(MATCH(L22,tid,0),tao,'12(id)'!$HL$20,FALSE)="","",VLOOKUP(MATCH(L22,tid,0),tao,'12(id)'!$HL$20,FALSE)))</f>
        <v/>
      </c>
      <c r="AI22" s="5451">
        <f>+IF(L22="","",IF(2010-VLOOKUP(MATCH(L22,epa_id,0),epa,'A1(epa)'!$U$17,FALSE)=0,IF(VLOOKUP(MATCH(L22,epa_id,0),epa,'A1(epa)'!$U$17,FALSE)=0,"",VLOOKUP(MATCH(L22,epa_id,0),epa,'A1(epa)'!$U$17,FALSE))))</f>
        <v>2010</v>
      </c>
      <c r="AJ22" s="5643">
        <f>+IF(L22="","",IF(2010-VLOOKUP(MATCH(L22,epa_id,0),epa,'A1(epa)'!$U$17,FALSE)=0,IF(VLOOKUP(MATCH(L22,epa_id,0),epa,'A1(epa)'!$W$17,FALSE)=0,"",VLOOKUP(MATCH(L22,epa_id,0),epa,'A1(epa)'!$W$17,FALSE))))</f>
        <v>19</v>
      </c>
      <c r="AK22" s="5452">
        <f>+IF(L22="","",IF(2010-VLOOKUP(MATCH(L22,epa_id,0),epa,'A1(epa)'!$U$17,FALSE)=0,IF(VLOOKUP(MATCH(L22,epa_id,0),epa,'A1(epa)'!$X$17,FALSE)=0,"",VLOOKUP(MATCH(L22,epa_id,0),epa,'A1(epa)'!$X$17,FALSE))))</f>
        <v>5</v>
      </c>
      <c r="AL22" s="5643">
        <f>+IF(L22="","",IF(2010-VLOOKUP(MATCH(L22,epa_id,0),epa,'A1(epa)'!$U$17,FALSE)=0,IF(VLOOKUP(MATCH(L22,epa_id,0),epa,'A1(epa)'!$Y$17,FALSE)=0,"",VLOOKUP(MATCH(L22,epa_id,0),epa,'A1(epa)'!$Y$17,FALSE))))</f>
        <v>285</v>
      </c>
      <c r="AM22" s="5760">
        <f>+IF(L22="","",IF(2010-VLOOKUP(MATCH(L22,epa_id,0),epa,'A1(epa)'!$U$17,FALSE)=0,IF(VLOOKUP(MATCH(L22,epa_id,0),epa,'A1(epa)'!$AA$17,FALSE)=0,"",VLOOKUP(MATCH(L22,epa_id,0),epa,'A1(epa)'!$AA$17,FALSE))))</f>
        <v>0.8</v>
      </c>
      <c r="AN22" s="5761">
        <f>+IF(L22="","",IF(2010-VLOOKUP(MATCH(L22,epa_id,0),epa,'A1(epa)'!$U$17,FALSE)=0,IF(VLOOKUP(MATCH(L22,epa_id,0),epa,'A1(epa)'!$AB$17,FALSE)=0,"",VLOOKUP(MATCH(L22,epa_id,0),epa,'A1(epa)'!$AB$17,FALSE))))</f>
        <v>1.5</v>
      </c>
      <c r="AO22" s="5762">
        <f t="shared" si="14"/>
        <v>0.8</v>
      </c>
      <c r="AP22" s="5763">
        <f t="shared" si="5"/>
        <v>1.5</v>
      </c>
      <c r="AQ22" s="5764">
        <f t="shared" si="6"/>
        <v>5263.1578947368425</v>
      </c>
      <c r="AR22" s="5643">
        <f>+IF(L22="","",IF(2010-VLOOKUP(MATCH(L22,epa_id,0),epa,'A1(epa)'!$U$17,FALSE)=0,IF(VLOOKUP(MATCH(L22,epa_id,0),epa,'A1(epa)'!$AC$17,FALSE)=0,"",VLOOKUP(MATCH(L22,epa_id,0),epa,'A1(epa)'!$AC$17,FALSE))))</f>
        <v>3819</v>
      </c>
      <c r="AS22" s="5443" t="str">
        <f>+IF(L22="","",IF(2010-VLOOKUP(MATCH(L22,epa_id,0),epa,'A1(epa)'!$U$17,FALSE)=0,IF(VLOOKUP(MATCH(L22,epa_id,0),epa,'A1(epa)'!$AP$17,FALSE)=0,"",VLOOKUP(MATCH(L22,epa_id,0),epa,'A1(epa)'!$AP$17,FALSE))))</f>
        <v>Diesel Oil</v>
      </c>
      <c r="AT22" s="5614" t="str">
        <f>+IF(L22="","",IF(2010-VLOOKUP(MATCH(L22,epa_id,0),epa,'A1(epa)'!$U$17,FALSE)=0,IF(VLOOKUP(MATCH(L22,epa_id,0),epa,'A1(epa)'!$AQ$17,FALSE)=0,"",VLOOKUP(MATCH(L22,epa_id,0),epa,'A1(epa)'!$AQ$17,FALSE))))</f>
        <v/>
      </c>
      <c r="AU22" s="5451">
        <f>+IF(L22="","",IF(2009-VLOOKUP(MATCH(L22,epa_id,0)+1,epa,'A1(epa)'!$U$17,FALSE)=0,IF(VLOOKUP(MATCH(L22,epa_id,0)+1,epa,'A1(epa)'!$U$17,FALSE)=0,"",VLOOKUP(MATCH(L22,epa_id,0)+1,epa,'A1(epa)'!$U$17,FALSE))))</f>
        <v>2009</v>
      </c>
      <c r="AV22" s="5441">
        <f>+IF(L22="","",IF(2009-VLOOKUP(MATCH(L22,epa_id,0)+1,epa,'A1(epa)'!$U$17,FALSE)=0,IF(VLOOKUP(MATCH(L22,epa_id,0)+1,epa,'A1(epa)'!$W$17,FALSE)=0,"",VLOOKUP(MATCH(L22,epa_id,0)+1,epa,'A1(epa)'!$W$17,FALSE))))</f>
        <v>7</v>
      </c>
      <c r="AW22" s="5453">
        <f>+IF(L22="","",IF(2009-VLOOKUP(MATCH(L22,epa_id,0)+1,epa,'A1(epa)'!$U$17,FALSE)=0,IF(VLOOKUP(MATCH(L22,epa_id,0)+1,epa,'A1(epa)'!$X$17,FALSE)=0,"",VLOOKUP(MATCH(L22,epa_id,0)+1,epa,'A1(epa)'!$X$17,FALSE))))</f>
        <v>5</v>
      </c>
      <c r="AX22" s="5643">
        <f>+IF(L22="","",IF(2009-VLOOKUP(MATCH(L22,epa_id,0)+1,epa,'A1(epa)'!$U$17,FALSE)=0,IF(VLOOKUP(MATCH(L22,epa_id,0)+1,epa,'A1(epa)'!$Y$17,FALSE)=0,"",VLOOKUP(MATCH(L22,epa_id,0)+1,epa,'A1(epa)'!$Y$17,FALSE))))</f>
        <v>78</v>
      </c>
      <c r="AY22" s="5657">
        <f>+IF(L22="","",IF(2009-VLOOKUP(MATCH(L22,epa_id,0)+1,epa,'A1(epa)'!$U$17,FALSE)=0,IF(VLOOKUP(MATCH(L22,epa_id,0)+1,epa,'A1(epa)'!$AA$17,FALSE)=0,"",VLOOKUP(MATCH(L22,epa_id,0)+1,epa,'A1(epa)'!$AA$17,FALSE))))</f>
        <v>0.82</v>
      </c>
      <c r="AZ22" s="5658">
        <f>+IF(L22="","",IF(2009-VLOOKUP(MATCH(L22,epa_id,0)+1,epa,'A1(epa)'!$U$17,FALSE)=0,IF(VLOOKUP(MATCH(L22,epa_id,0)+1,epa,'A1(epa)'!$AB$17,FALSE)=0,"",VLOOKUP(MATCH(L22,epa_id,0)+1,epa,'A1(epa)'!$AB$17,FALSE))))</f>
        <v>0.4</v>
      </c>
      <c r="BA22" s="5659">
        <f t="shared" si="15"/>
        <v>0.82</v>
      </c>
      <c r="BB22" s="5660">
        <f t="shared" si="7"/>
        <v>0.4</v>
      </c>
      <c r="BC22" s="5455">
        <f t="shared" si="8"/>
        <v>5128.2051282051279</v>
      </c>
      <c r="BD22" s="5643">
        <f>+IF(L22="","",IF(2009-VLOOKUP(MATCH(L22,epa_id,0)+1,epa,'A1(epa)'!$U$17,FALSE)=0,IF(VLOOKUP(MATCH(L22,epa_id,0)+1,epa,'A1(epa)'!$AC$17,FALSE)=0,"",VLOOKUP(MATCH(L22,epa_id,0)+1,epa,'A1(epa)'!$AC$17,FALSE))))</f>
        <v>1013</v>
      </c>
      <c r="BE22" s="5453" t="str">
        <f>+IF(L22="","",IF(2009-VLOOKUP(MATCH(L22,epa_id,0)+1,epa,'A1(epa)'!$U$17,FALSE)=0,IF(VLOOKUP(MATCH(L22,epa_id,0)+1,epa,'A1(epa)'!$AP$17,FALSE)=0,"",VLOOKUP(MATCH(L22,epa_id,0)+1,epa,'A1(epa)'!$AP$17,FALSE))))</f>
        <v>Diesel Oil</v>
      </c>
      <c r="BF22" s="5454" t="str">
        <f>+IF(L22="","",IF(2009-VLOOKUP(MATCH(L22,epa_id,0)+1,epa,'A1(epa)'!$U$17,FALSE)=0,IF(VLOOKUP(MATCH(L22,epa_id,0)+1,epa,'A1(epa)'!$AQ$17,FALSE)=0,"",VLOOKUP(MATCH(L22,epa_id,0)+1,epa,'A1(epa)'!$AQ$17,FALSE))))</f>
        <v/>
      </c>
      <c r="BG22" s="5456">
        <f>+IF(L22="","",IF(2008-VLOOKUP(MATCH(L22,epa_id,0)+2,epa,'A1(epa)'!$U$17,FALSE)=0,IF(VLOOKUP(MATCH(L22,epa_id,0)+2,epa,'A1(epa)'!$U$17,FALSE)=0,"",VLOOKUP(MATCH(L22,epa_id,0)+2,epa,'A1(epa)'!$U$17,FALSE))))</f>
        <v>2008</v>
      </c>
      <c r="BH22" s="5453">
        <f>+IF(L22="","",IF(2008-VLOOKUP(MATCH(L22,epa_id,0)+2,epa,'A1(epa)'!$U$17,FALSE)=0,IF(VLOOKUP(MATCH(L22,epa_id,0)+2,epa,'A1(epa)'!$W$17,FALSE)=0,"",VLOOKUP(MATCH(L22,epa_id,0)+2,epa,'A1(epa)'!$W$17,FALSE))))</f>
        <v>11</v>
      </c>
      <c r="BI22" s="5453">
        <f>+IF(L22="","",IF(2008-VLOOKUP(MATCH(L22,epa_id,0)+2,epa,'A1(epa)'!$U$17,FALSE)=0,IF(VLOOKUP(MATCH(L22,epa_id,0)+2,epa,'A1(epa)'!$X$17,FALSE)=0,"",VLOOKUP(MATCH(L22,epa_id,0)+2,epa,'A1(epa)'!$X$17,FALSE))))</f>
        <v>5</v>
      </c>
      <c r="BJ22" s="5643">
        <f>+IF(L22="","",IF(2008-VLOOKUP(MATCH(L22,epa_id,0)+2,epa,'A1(epa)'!$U$17,FALSE)=0,IF(VLOOKUP(MATCH(L22,epa_id,0)+2,epa,'A1(epa)'!$Y$17,FALSE)=0,"",VLOOKUP(MATCH(L22,epa_id,0)+2,epa,'A1(epa)'!$Y$17,FALSE))))</f>
        <v>123</v>
      </c>
      <c r="BK22" s="5657">
        <f>+IF(L22="","",IF(2008-VLOOKUP(MATCH(L22,epa_id,0)+2,epa,'A1(epa)'!$U$17,FALSE)=0,IF(VLOOKUP(MATCH(L22,epa_id,0)+2,epa,'A1(epa)'!$AA$17,FALSE)=0,"",VLOOKUP(MATCH(L22,epa_id,0)+2,epa,'A1(epa)'!$AA$17,FALSE))))</f>
        <v>0.8</v>
      </c>
      <c r="BL22" s="5658">
        <f>+IF(L22="","",IF(2008-VLOOKUP(MATCH(L22,epa_id,0)+2,epa,'A1(epa)'!$U$17,FALSE)=0,IF(VLOOKUP(MATCH(L22,epa_id,0)+2,epa,'A1(epa)'!$AB$17,FALSE)=0,"",VLOOKUP(MATCH(L22,epa_id,0)+2,epa,'A1(epa)'!$AB$17,FALSE))))</f>
        <v>0.6</v>
      </c>
      <c r="BM22" s="5710">
        <f t="shared" si="16"/>
        <v>0.8</v>
      </c>
      <c r="BN22" s="5711">
        <f t="shared" si="9"/>
        <v>0.6</v>
      </c>
      <c r="BO22" s="5712">
        <f t="shared" si="10"/>
        <v>4878.0487804878048</v>
      </c>
      <c r="BP22" s="5629">
        <f>+IF(L22="","",IF(2008-VLOOKUP(MATCH(L22,epa_id,0)+2,epa,'A1(epa)'!$U$17,FALSE)=0,IF(VLOOKUP(MATCH(L22,epa_id,0)+2,epa,'A1(epa)'!$AC$17,FALSE)=0,"",VLOOKUP(MATCH(L22,epa_id,0)+2,epa,'A1(epa)'!$AC$17,FALSE))))</f>
        <v>1560</v>
      </c>
      <c r="BQ22" s="5601" t="str">
        <f>+IF(L22="","",IF(2008-VLOOKUP(MATCH(L22,epa_id,0)+2,epa,'A1(epa)'!$U$17,FALSE)=0,IF(VLOOKUP(MATCH(L22,epa_id,0)+2,epa,'A1(epa)'!$AP$17,FALSE)=0,"",VLOOKUP(MATCH(L22,epa_id,0)+2,epa,'A1(epa)'!$AP$17,FALSE))))</f>
        <v>Diesel Oil</v>
      </c>
      <c r="BR22" s="5614" t="str">
        <f>+IF(L22="","",IF(2008-VLOOKUP(MATCH(L22,epa_id,0)+2,epa,'A1(epa)'!$U$17,FALSE)=0,IF(VLOOKUP(MATCH(L22,epa_id,0)+2,epa,'A1(epa)'!$AQ$17,FALSE)=0,"",VLOOKUP(MATCH(L22,epa_id,0)+2,epa,'A1(epa)'!$AQ$17,FALSE))))</f>
        <v/>
      </c>
      <c r="BS22" s="5601" t="str">
        <f>+IF(L22="","",IF(2010-VLOOKUP(MATCH(L22,epa_id,0),epa,'A1(epa)'!$U$17,FALSE)=0,IF(VLOOKUP(MATCH(L22,epa_id,0),epa,'A1(epa)'!$AS$17,FALSE)=0,"",VLOOKUP(MATCH(L22,epa_id,0),epa,'A1(epa)'!$AS$17,FALSE))))</f>
        <v/>
      </c>
      <c r="BT22" s="5443" t="str">
        <f>+IF(L22="","",IF(2010-VLOOKUP(MATCH(L22,epa_id,0),epa,'A1(epa)'!$U$17,FALSE)=0,IF(VLOOKUP(MATCH(L22,epa_id,0),epa,'A1(epa)'!$AT$17,FALSE)=0,"",VLOOKUP(MATCH(L22,epa_id,0),epa,'A1(epa)'!$AT$17,FALSE))))</f>
        <v/>
      </c>
      <c r="BU22" s="5443" t="str">
        <f>+IF(L22="","",IF(2010-VLOOKUP(MATCH(L22,epa_id,0),epa,'A1(epa)'!$U$17,FALSE)=0,IF(VLOOKUP(MATCH(L22,epa_id,0),epa,'A1(epa)'!$AU$17,FALSE)=0,"",VLOOKUP(MATCH(L22,epa_id,0),epa,'A1(epa)'!$AU$17,FALSE))))</f>
        <v/>
      </c>
      <c r="BV22" s="5443" t="str">
        <f>+IF(L22="","",IF(2010-VLOOKUP(MATCH(L22,epa_id,0),epa,'A1(epa)'!$U$17,FALSE)=0,IF(VLOOKUP(MATCH(L22,epa_id,0),epa,'A1(epa)'!$AR$17,FALSE)=0,"",VLOOKUP(MATCH(L22,epa_id,0),epa,'A1(epa)'!$AR$17,FALSE))))</f>
        <v/>
      </c>
      <c r="BW22" s="5586" t="str">
        <f>+IF(L22="","",IF(2010-VLOOKUP(MATCH(L22,epa_id,0),epa,'A1(epa)'!$U$17,FALSE)=0,IF(VLOOKUP(MATCH(L22,epa_id,0),epa,'A1(epa)'!$AV$17,FALSE)=0,"",VLOOKUP(MATCH(L22,epa_id,0),epa,'A1(epa)'!$AV$17,FALSE))))</f>
        <v/>
      </c>
      <c r="BX22" s="5457">
        <f>+IF(L22="","",IF(2010-VLOOKUP(MATCH(L22,epa_id,0),epa,'A1(epa)'!$U$17,FALSE)=0,IF(VLOOKUP(MATCH(L22,epa_id,0),epa,'A1(epa)'!$AW$17,FALSE)=0,"",VLOOKUP(MATCH(L22,epa_id,0),epa,'A1(epa)'!$AW$17,FALSE))))</f>
        <v>266</v>
      </c>
      <c r="BY22" s="5415"/>
      <c r="BZ22" s="5478">
        <f t="shared" si="11"/>
        <v>5089.8039344765921</v>
      </c>
      <c r="CA22" s="5415"/>
      <c r="CB22" s="9553"/>
      <c r="CC22" s="9538"/>
      <c r="CD22" s="9538"/>
      <c r="CE22" s="9557"/>
      <c r="CF22" s="9532"/>
      <c r="CG22" s="9532"/>
      <c r="CH22" s="9561"/>
      <c r="CI22" s="9541"/>
      <c r="CJ22" s="9538"/>
      <c r="CK22" s="9538"/>
      <c r="CL22" s="9535"/>
      <c r="CM22" s="9532"/>
      <c r="CN22" s="9532"/>
      <c r="CO22" s="9561"/>
      <c r="CP22" s="9541"/>
      <c r="CQ22" s="9538"/>
      <c r="CR22" s="9538"/>
      <c r="CS22" s="9535"/>
      <c r="CT22" s="9532"/>
      <c r="CU22" s="9532"/>
      <c r="CV22" s="9550"/>
      <c r="CW22" s="9604"/>
      <c r="CX22" s="9601"/>
      <c r="CY22" s="9598"/>
      <c r="CZ22" s="9538"/>
      <c r="DA22" s="9557">
        <f t="shared" si="12"/>
        <v>0</v>
      </c>
      <c r="DB22" s="9532"/>
      <c r="DC22" s="9532"/>
      <c r="DD22" s="9561"/>
      <c r="DE22" s="9578"/>
      <c r="DF22" s="9578"/>
      <c r="DG22" s="5356"/>
      <c r="DH22" s="5348"/>
      <c r="DI22" s="5348"/>
    </row>
    <row r="23" spans="1:113" s="479" customFormat="1" ht="25.5" customHeight="1">
      <c r="A23" s="5364" t="str">
        <f t="shared" si="13"/>
        <v>8302-04</v>
      </c>
      <c r="B23" s="9571">
        <f>+IF(A23="","",VLOOKUP(MATCH(A23,tid,0),tao,'12(id)'!$J$20,FALSE))</f>
        <v>0</v>
      </c>
      <c r="C23" s="5365" t="str">
        <f t="shared" si="2"/>
        <v>12B</v>
      </c>
      <c r="D23" s="5359"/>
      <c r="E23" s="5351"/>
      <c r="F23" s="5359"/>
      <c r="G23" s="4445">
        <f t="shared" si="17"/>
        <v>5</v>
      </c>
      <c r="H23" s="4399">
        <v>5</v>
      </c>
      <c r="I23" s="9574" t="str">
        <f>+IF(L23="","",IF(VLOOKUP(MATCH(L23,tid,0),tao,'12(id)'!$H$20,FALSE)="","",VLOOKUP(MATCH(L23,tid,0),tao,'12(id)'!$H$20,FALSE)))</f>
        <v/>
      </c>
      <c r="J23" s="9520" t="str">
        <f>+IF(L23="","",IF(VLOOKUP(MATCH(L23,tid,0),tao,'12(id)'!$I$20,FALSE)="","",VLOOKUP(MATCH(L23,tid,0),tao,'12(id)'!$I$20,FALSE)))</f>
        <v/>
      </c>
      <c r="K23" s="9518">
        <f>+IF(L23="","",IF(VLOOKUP(MATCH(L23,tid,0),tao,'12(id)'!$K$20,FALSE)="","",VLOOKUP(MATCH(L23,tid,0),tao,'12(id)'!$K$20,FALSE)))</f>
        <v>8302</v>
      </c>
      <c r="L23" s="5154" t="s">
        <v>281</v>
      </c>
      <c r="M23" s="9520" t="str">
        <f>+IF(L23="","",IF(VLOOKUP(MATCH(L23,tid,0),tao,'12(id)'!$L$20,FALSE)="","",VLOOKUP(MATCH(L23,tid,0),tao,'12(id)'!$L$20,FALSE)))</f>
        <v>South Meadow Station</v>
      </c>
      <c r="N23" s="52" t="str">
        <f>+IF(L23="","",IF(VLOOKUP(MATCH(L23,tid,0),tao,'12(id)'!$P$20,FALSE)="","",VLOOKUP(MATCH(L23,tid,0),tao,'12(id)'!$P$20,FALSE)))</f>
        <v>12B</v>
      </c>
      <c r="O23" s="4385" t="str">
        <f>+IF(L23="","",IF(VLOOKUP(MATCH(L23,tid,0),tao,'12(id)'!$Q$20,FALSE)="","",VLOOKUP(MATCH(L23,tid,0),tao,'12(id)'!$Q$20,FALSE)))</f>
        <v>12B</v>
      </c>
      <c r="P23" s="9618" t="str">
        <f>+IF(L23="","",IF(VLOOKUP(MATCH(L23,tid,0),tao,'12(id)'!$CT$20,FALSE)="","",VLOOKUP(MATCH(L23,tid,0),tao,'12(id)'!$CT$20,FALSE)))</f>
        <v/>
      </c>
      <c r="Q23" s="9566"/>
      <c r="R23" s="5439" t="str">
        <f>+IF(L23="","",IF(VLOOKUP(MATCH(L23,tid,0),tao,'12(id)'!$T$20,FALSE)="","",VLOOKUP(MATCH(L23,tid,0),tao,'12(id)'!$T$20,FALSE)))</f>
        <v>Combustion Turbine</v>
      </c>
      <c r="S23" s="5440" t="str">
        <f>+IF(L23="","",IF(VLOOKUP(MATCH(L23,tid,0),tao,'12(id)'!$CO$20,FALSE)="","",VLOOKUP(MATCH(L23,tid,0),tao,'12(id)'!$CO$20,FALSE)))</f>
        <v>Pratt &amp; Whitney</v>
      </c>
      <c r="T23" s="5439" t="str">
        <f>+IF(L23="","",IF(VLOOKUP(MATCH(L23,tid,0),tao,'12(id)'!$CP$20,FALSE)="","",VLOOKUP(MATCH(L23,tid,0),tao,'12(id)'!$CP$20,FALSE)))</f>
        <v>TP4-2(A9) LF</v>
      </c>
      <c r="U23" s="5441">
        <f>+IF(L23="","",IF(VLOOKUP(MATCH(L23,tid,0),tao,'12(id)'!$DC$20,FALSE)="","",IF(VLOOKUP(MATCH(L23,tid,0),tao,'12(id)'!$DB$20,FALSE)="",VLOOKUP(MATCH(L23,tid,0),tao,'12(id)'!$DC$20,FALSE),VLOOKUP(MATCH(L23,tid,0),tao,'12(id)'!$DB$20,FALSE)&amp;" "&amp;VLOOKUP(MATCH(L23,tid,0),tao,'12(id)'!$DC$20,FALSE))))</f>
        <v>1970</v>
      </c>
      <c r="V23" s="5442">
        <f ca="1">+IF(L23="","",IF(VLOOKUP(MATCH(L23,tid,0),tao,'12(id)'!$DE$20,FALSE)="","",ROUND(VLOOKUP(MATCH(L23,tid,0),tao,'12(id)'!$DE$20,FALSE),0)))</f>
        <v>45</v>
      </c>
      <c r="W23" s="5443" t="str">
        <f>+IF(L23="","",IF(VLOOKUP(G23,tao,'12(id)'!$FR$20,FALSE)="","",VLOOKUP(G23,tao,'12(id)'!$FR$20,FALSE)&amp;IF(VLOOKUP(G23,tao,'12(id)'!$FS$20,FALSE)="","",", "&amp;VLOOKUP(G23,tao,'12(id)'!$FS$20,FALSE))))</f>
        <v>None</v>
      </c>
      <c r="X23" s="5443" t="str">
        <f>+IF(L23="","",IF(VLOOKUP(MATCH(L23,tid,0),tao,'12(id)'!$DI$20,FALSE)="","",VLOOKUP(MATCH(L23,tid,0),tao,'12(id)'!$DI$20,FALSE)))</f>
        <v>Jet Fuel A (Kerosene K1)</v>
      </c>
      <c r="Y23" s="5443" t="str">
        <f>+IF(L23="","",IF(VLOOKUP(MATCH(L23,tid,0),tao,'12(id)'!$DQ$20,FALSE)="","",VLOOKUP(MATCH(L23,tid,0),tao,'12(id)'!$DQ$20,FALSE)))</f>
        <v>No. 2 oil</v>
      </c>
      <c r="Z23" s="5444">
        <f>+IF(L23="","",IF(VLOOKUP(MATCH(L23,tid,0),tao,'12(id)'!$EH$20,FALSE)="","",VLOOKUP(MATCH(L23,tid,0),tao,'12(id)'!$EH$20,FALSE)))</f>
        <v>256</v>
      </c>
      <c r="AA23" s="5445">
        <f>+IF(L23="","",IF(VLOOKUP(MATCH(L23,tid,0),tao,'12(id)'!$EI$20,FALSE)="","",VLOOKUP(MATCH(L23,tid,0),tao,'12(id)'!$EI$20,FALSE)))</f>
        <v>0.70599999999999996</v>
      </c>
      <c r="AB23" s="5445">
        <f>+IF(L23="","",IF(VLOOKUP(MATCH(L23,tid,0),tao,'12(id)'!$EJ$20,FALSE)="","",VLOOKUP(MATCH(L23,tid,0),tao,'12(id)'!$EJ$20,FALSE)))</f>
        <v>114.8</v>
      </c>
      <c r="AC23" s="5446">
        <f>+IF(L23="","",IF(VLOOKUP(MATCH(L23,tid,0),tao,'12(id)'!$EL$20,FALSE)="","",VLOOKUP(MATCH(L23,tid,0),tao,'12(id)'!$EL$20,FALSE)))</f>
        <v>0.81</v>
      </c>
      <c r="AD23" s="5447"/>
      <c r="AE23" s="5448">
        <f t="shared" si="3"/>
        <v>0.70599999999999996</v>
      </c>
      <c r="AF23" s="5447">
        <f t="shared" si="4"/>
        <v>114.8</v>
      </c>
      <c r="AG23" s="5449" t="str">
        <f>+IF(L23="","",IF(VLOOKUP(MATCH(L23,tid,0),tao,'12(id)'!$GY$20,FALSE)="","",VLOOKUP(MATCH(L23,tid,0),tao,'12(id)'!$GY$20,FALSE)))</f>
        <v/>
      </c>
      <c r="AH23" s="5450" t="str">
        <f>+IF(L23="","",IF(VLOOKUP(MATCH(L23,tid,0),tao,'12(id)'!$HL$20,FALSE)="","",VLOOKUP(MATCH(L23,tid,0),tao,'12(id)'!$HL$20,FALSE)))</f>
        <v/>
      </c>
      <c r="AI23" s="5451">
        <f>+IF(L23="","",IF(2010-VLOOKUP(MATCH(L23,epa_id,0),epa,'A1(epa)'!$U$17,FALSE)=0,IF(VLOOKUP(MATCH(L23,epa_id,0),epa,'A1(epa)'!$U$17,FALSE)=0,"",VLOOKUP(MATCH(L23,epa_id,0),epa,'A1(epa)'!$U$17,FALSE))))</f>
        <v>2010</v>
      </c>
      <c r="AJ23" s="5643">
        <f>+IF(L23="","",IF(2010-VLOOKUP(MATCH(L23,epa_id,0),epa,'A1(epa)'!$U$17,FALSE)=0,IF(VLOOKUP(MATCH(L23,epa_id,0),epa,'A1(epa)'!$W$17,FALSE)=0,"",VLOOKUP(MATCH(L23,epa_id,0),epa,'A1(epa)'!$W$17,FALSE))))</f>
        <v>19</v>
      </c>
      <c r="AK23" s="5452">
        <f>+IF(L23="","",IF(2010-VLOOKUP(MATCH(L23,epa_id,0),epa,'A1(epa)'!$U$17,FALSE)=0,IF(VLOOKUP(MATCH(L23,epa_id,0),epa,'A1(epa)'!$X$17,FALSE)=0,"",VLOOKUP(MATCH(L23,epa_id,0),epa,'A1(epa)'!$X$17,FALSE))))</f>
        <v>5</v>
      </c>
      <c r="AL23" s="5643">
        <f>+IF(L23="","",IF(2010-VLOOKUP(MATCH(L23,epa_id,0),epa,'A1(epa)'!$U$17,FALSE)=0,IF(VLOOKUP(MATCH(L23,epa_id,0),epa,'A1(epa)'!$Y$17,FALSE)=0,"",VLOOKUP(MATCH(L23,epa_id,0),epa,'A1(epa)'!$Y$17,FALSE))))</f>
        <v>285</v>
      </c>
      <c r="AM23" s="5760">
        <f>+IF(L23="","",IF(2010-VLOOKUP(MATCH(L23,epa_id,0),epa,'A1(epa)'!$U$17,FALSE)=0,IF(VLOOKUP(MATCH(L23,epa_id,0),epa,'A1(epa)'!$AA$17,FALSE)=0,"",VLOOKUP(MATCH(L23,epa_id,0),epa,'A1(epa)'!$AA$17,FALSE))))</f>
        <v>0.76</v>
      </c>
      <c r="AN23" s="5761">
        <f>+IF(L23="","",IF(2010-VLOOKUP(MATCH(L23,epa_id,0),epa,'A1(epa)'!$U$17,FALSE)=0,IF(VLOOKUP(MATCH(L23,epa_id,0),epa,'A1(epa)'!$AB$17,FALSE)=0,"",VLOOKUP(MATCH(L23,epa_id,0),epa,'A1(epa)'!$AB$17,FALSE))))</f>
        <v>1.5</v>
      </c>
      <c r="AO23" s="5762">
        <f t="shared" si="14"/>
        <v>0.76</v>
      </c>
      <c r="AP23" s="5763">
        <f t="shared" si="5"/>
        <v>1.5</v>
      </c>
      <c r="AQ23" s="5764">
        <f t="shared" si="6"/>
        <v>5263.1578947368425</v>
      </c>
      <c r="AR23" s="5643">
        <f>+IF(L23="","",IF(2010-VLOOKUP(MATCH(L23,epa_id,0),epa,'A1(epa)'!$U$17,FALSE)=0,IF(VLOOKUP(MATCH(L23,epa_id,0),epa,'A1(epa)'!$AC$17,FALSE)=0,"",VLOOKUP(MATCH(L23,epa_id,0),epa,'A1(epa)'!$AC$17,FALSE))))</f>
        <v>3819</v>
      </c>
      <c r="AS23" s="5443" t="str">
        <f>+IF(L23="","",IF(2010-VLOOKUP(MATCH(L23,epa_id,0),epa,'A1(epa)'!$U$17,FALSE)=0,IF(VLOOKUP(MATCH(L23,epa_id,0),epa,'A1(epa)'!$AP$17,FALSE)=0,"",VLOOKUP(MATCH(L23,epa_id,0),epa,'A1(epa)'!$AP$17,FALSE))))</f>
        <v>Diesel Oil</v>
      </c>
      <c r="AT23" s="5614" t="str">
        <f>+IF(L23="","",IF(2010-VLOOKUP(MATCH(L23,epa_id,0),epa,'A1(epa)'!$U$17,FALSE)=0,IF(VLOOKUP(MATCH(L23,epa_id,0),epa,'A1(epa)'!$AQ$17,FALSE)=0,"",VLOOKUP(MATCH(L23,epa_id,0),epa,'A1(epa)'!$AQ$17,FALSE))))</f>
        <v/>
      </c>
      <c r="AU23" s="5451">
        <f>+IF(L23="","",IF(2009-VLOOKUP(MATCH(L23,epa_id,0)+1,epa,'A1(epa)'!$U$17,FALSE)=0,IF(VLOOKUP(MATCH(L23,epa_id,0)+1,epa,'A1(epa)'!$U$17,FALSE)=0,"",VLOOKUP(MATCH(L23,epa_id,0)+1,epa,'A1(epa)'!$U$17,FALSE))))</f>
        <v>2009</v>
      </c>
      <c r="AV23" s="5441">
        <f>+IF(L23="","",IF(2009-VLOOKUP(MATCH(L23,epa_id,0)+1,epa,'A1(epa)'!$U$17,FALSE)=0,IF(VLOOKUP(MATCH(L23,epa_id,0)+1,epa,'A1(epa)'!$W$17,FALSE)=0,"",VLOOKUP(MATCH(L23,epa_id,0)+1,epa,'A1(epa)'!$W$17,FALSE))))</f>
        <v>7</v>
      </c>
      <c r="AW23" s="5453">
        <f>+IF(L23="","",IF(2009-VLOOKUP(MATCH(L23,epa_id,0)+1,epa,'A1(epa)'!$U$17,FALSE)=0,IF(VLOOKUP(MATCH(L23,epa_id,0)+1,epa,'A1(epa)'!$X$17,FALSE)=0,"",VLOOKUP(MATCH(L23,epa_id,0)+1,epa,'A1(epa)'!$X$17,FALSE))))</f>
        <v>5</v>
      </c>
      <c r="AX23" s="5643">
        <f>+IF(L23="","",IF(2009-VLOOKUP(MATCH(L23,epa_id,0)+1,epa,'A1(epa)'!$U$17,FALSE)=0,IF(VLOOKUP(MATCH(L23,epa_id,0)+1,epa,'A1(epa)'!$Y$17,FALSE)=0,"",VLOOKUP(MATCH(L23,epa_id,0)+1,epa,'A1(epa)'!$Y$17,FALSE))))</f>
        <v>78</v>
      </c>
      <c r="AY23" s="5657">
        <f>+IF(L23="","",IF(2009-VLOOKUP(MATCH(L23,epa_id,0)+1,epa,'A1(epa)'!$U$17,FALSE)=0,IF(VLOOKUP(MATCH(L23,epa_id,0)+1,epa,'A1(epa)'!$AA$17,FALSE)=0,"",VLOOKUP(MATCH(L23,epa_id,0)+1,epa,'A1(epa)'!$AA$17,FALSE))))</f>
        <v>0.74</v>
      </c>
      <c r="AZ23" s="5658">
        <f>+IF(L23="","",IF(2009-VLOOKUP(MATCH(L23,epa_id,0)+1,epa,'A1(epa)'!$U$17,FALSE)=0,IF(VLOOKUP(MATCH(L23,epa_id,0)+1,epa,'A1(epa)'!$AB$17,FALSE)=0,"",VLOOKUP(MATCH(L23,epa_id,0)+1,epa,'A1(epa)'!$AB$17,FALSE))))</f>
        <v>0.4</v>
      </c>
      <c r="BA23" s="5659">
        <f t="shared" si="15"/>
        <v>0.74</v>
      </c>
      <c r="BB23" s="5660">
        <f t="shared" si="7"/>
        <v>0.4</v>
      </c>
      <c r="BC23" s="5455">
        <f t="shared" si="8"/>
        <v>5128.2051282051279</v>
      </c>
      <c r="BD23" s="5643">
        <f>+IF(L23="","",IF(2009-VLOOKUP(MATCH(L23,epa_id,0)+1,epa,'A1(epa)'!$U$17,FALSE)=0,IF(VLOOKUP(MATCH(L23,epa_id,0)+1,epa,'A1(epa)'!$AC$17,FALSE)=0,"",VLOOKUP(MATCH(L23,epa_id,0)+1,epa,'A1(epa)'!$AC$17,FALSE))))</f>
        <v>1013</v>
      </c>
      <c r="BE23" s="5453" t="str">
        <f>+IF(L23="","",IF(2009-VLOOKUP(MATCH(L23,epa_id,0)+1,epa,'A1(epa)'!$U$17,FALSE)=0,IF(VLOOKUP(MATCH(L23,epa_id,0)+1,epa,'A1(epa)'!$AP$17,FALSE)=0,"",VLOOKUP(MATCH(L23,epa_id,0)+1,epa,'A1(epa)'!$AP$17,FALSE))))</f>
        <v>Diesel Oil</v>
      </c>
      <c r="BF23" s="5454" t="str">
        <f>+IF(L23="","",IF(2009-VLOOKUP(MATCH(L23,epa_id,0)+1,epa,'A1(epa)'!$U$17,FALSE)=0,IF(VLOOKUP(MATCH(L23,epa_id,0)+1,epa,'A1(epa)'!$AQ$17,FALSE)=0,"",VLOOKUP(MATCH(L23,epa_id,0)+1,epa,'A1(epa)'!$AQ$17,FALSE))))</f>
        <v/>
      </c>
      <c r="BG23" s="5456">
        <f>+IF(L23="","",IF(2008-VLOOKUP(MATCH(L23,epa_id,0)+2,epa,'A1(epa)'!$U$17,FALSE)=0,IF(VLOOKUP(MATCH(L23,epa_id,0)+2,epa,'A1(epa)'!$U$17,FALSE)=0,"",VLOOKUP(MATCH(L23,epa_id,0)+2,epa,'A1(epa)'!$U$17,FALSE))))</f>
        <v>2008</v>
      </c>
      <c r="BH23" s="5453">
        <f>+IF(L23="","",IF(2008-VLOOKUP(MATCH(L23,epa_id,0)+2,epa,'A1(epa)'!$U$17,FALSE)=0,IF(VLOOKUP(MATCH(L23,epa_id,0)+2,epa,'A1(epa)'!$W$17,FALSE)=0,"",VLOOKUP(MATCH(L23,epa_id,0)+2,epa,'A1(epa)'!$W$17,FALSE))))</f>
        <v>11</v>
      </c>
      <c r="BI23" s="5453">
        <f>+IF(L23="","",IF(2008-VLOOKUP(MATCH(L23,epa_id,0)+2,epa,'A1(epa)'!$U$17,FALSE)=0,IF(VLOOKUP(MATCH(L23,epa_id,0)+2,epa,'A1(epa)'!$X$17,FALSE)=0,"",VLOOKUP(MATCH(L23,epa_id,0)+2,epa,'A1(epa)'!$X$17,FALSE))))</f>
        <v>5</v>
      </c>
      <c r="BJ23" s="5643">
        <f>+IF(L23="","",IF(2008-VLOOKUP(MATCH(L23,epa_id,0)+2,epa,'A1(epa)'!$U$17,FALSE)=0,IF(VLOOKUP(MATCH(L23,epa_id,0)+2,epa,'A1(epa)'!$Y$17,FALSE)=0,"",VLOOKUP(MATCH(L23,epa_id,0)+2,epa,'A1(epa)'!$Y$17,FALSE))))</f>
        <v>123</v>
      </c>
      <c r="BK23" s="5657">
        <f>+IF(L23="","",IF(2008-VLOOKUP(MATCH(L23,epa_id,0)+2,epa,'A1(epa)'!$U$17,FALSE)=0,IF(VLOOKUP(MATCH(L23,epa_id,0)+2,epa,'A1(epa)'!$AA$17,FALSE)=0,"",VLOOKUP(MATCH(L23,epa_id,0)+2,epa,'A1(epa)'!$AA$17,FALSE))))</f>
        <v>0.72</v>
      </c>
      <c r="BL23" s="5658">
        <f>+IF(L23="","",IF(2008-VLOOKUP(MATCH(L23,epa_id,0)+2,epa,'A1(epa)'!$U$17,FALSE)=0,IF(VLOOKUP(MATCH(L23,epa_id,0)+2,epa,'A1(epa)'!$AB$17,FALSE)=0,"",VLOOKUP(MATCH(L23,epa_id,0)+2,epa,'A1(epa)'!$AB$17,FALSE))))</f>
        <v>0.6</v>
      </c>
      <c r="BM23" s="5710">
        <f t="shared" si="16"/>
        <v>0.72</v>
      </c>
      <c r="BN23" s="5711">
        <f t="shared" si="9"/>
        <v>0.6</v>
      </c>
      <c r="BO23" s="5712">
        <f t="shared" si="10"/>
        <v>4878.0487804878048</v>
      </c>
      <c r="BP23" s="5629">
        <f>+IF(L23="","",IF(2008-VLOOKUP(MATCH(L23,epa_id,0)+2,epa,'A1(epa)'!$U$17,FALSE)=0,IF(VLOOKUP(MATCH(L23,epa_id,0)+2,epa,'A1(epa)'!$AC$17,FALSE)=0,"",VLOOKUP(MATCH(L23,epa_id,0)+2,epa,'A1(epa)'!$AC$17,FALSE))))</f>
        <v>1560</v>
      </c>
      <c r="BQ23" s="5601" t="str">
        <f>+IF(L23="","",IF(2008-VLOOKUP(MATCH(L23,epa_id,0)+2,epa,'A1(epa)'!$U$17,FALSE)=0,IF(VLOOKUP(MATCH(L23,epa_id,0)+2,epa,'A1(epa)'!$AP$17,FALSE)=0,"",VLOOKUP(MATCH(L23,epa_id,0)+2,epa,'A1(epa)'!$AP$17,FALSE))))</f>
        <v>Diesel Oil</v>
      </c>
      <c r="BR23" s="5614" t="str">
        <f>+IF(L23="","",IF(2008-VLOOKUP(MATCH(L23,epa_id,0)+2,epa,'A1(epa)'!$U$17,FALSE)=0,IF(VLOOKUP(MATCH(L23,epa_id,0)+2,epa,'A1(epa)'!$AQ$17,FALSE)=0,"",VLOOKUP(MATCH(L23,epa_id,0)+2,epa,'A1(epa)'!$AQ$17,FALSE))))</f>
        <v/>
      </c>
      <c r="BS23" s="5601" t="str">
        <f>+IF(L23="","",IF(2010-VLOOKUP(MATCH(L23,epa_id,0),epa,'A1(epa)'!$U$17,FALSE)=0,IF(VLOOKUP(MATCH(L23,epa_id,0),epa,'A1(epa)'!$AS$17,FALSE)=0,"",VLOOKUP(MATCH(L23,epa_id,0),epa,'A1(epa)'!$AS$17,FALSE))))</f>
        <v/>
      </c>
      <c r="BT23" s="5443" t="str">
        <f>+IF(L23="","",IF(2010-VLOOKUP(MATCH(L23,epa_id,0),epa,'A1(epa)'!$U$17,FALSE)=0,IF(VLOOKUP(MATCH(L23,epa_id,0),epa,'A1(epa)'!$AT$17,FALSE)=0,"",VLOOKUP(MATCH(L23,epa_id,0),epa,'A1(epa)'!$AT$17,FALSE))))</f>
        <v/>
      </c>
      <c r="BU23" s="5443" t="str">
        <f>+IF(L23="","",IF(2010-VLOOKUP(MATCH(L23,epa_id,0),epa,'A1(epa)'!$U$17,FALSE)=0,IF(VLOOKUP(MATCH(L23,epa_id,0),epa,'A1(epa)'!$AU$17,FALSE)=0,"",VLOOKUP(MATCH(L23,epa_id,0),epa,'A1(epa)'!$AU$17,FALSE))))</f>
        <v/>
      </c>
      <c r="BV23" s="5443" t="str">
        <f>+IF(L23="","",IF(2010-VLOOKUP(MATCH(L23,epa_id,0),epa,'A1(epa)'!$U$17,FALSE)=0,IF(VLOOKUP(MATCH(L23,epa_id,0),epa,'A1(epa)'!$AR$17,FALSE)=0,"",VLOOKUP(MATCH(L23,epa_id,0),epa,'A1(epa)'!$AR$17,FALSE))))</f>
        <v/>
      </c>
      <c r="BW23" s="5586" t="str">
        <f>+IF(L23="","",IF(2010-VLOOKUP(MATCH(L23,epa_id,0),epa,'A1(epa)'!$U$17,FALSE)=0,IF(VLOOKUP(MATCH(L23,epa_id,0),epa,'A1(epa)'!$AV$17,FALSE)=0,"",VLOOKUP(MATCH(L23,epa_id,0),epa,'A1(epa)'!$AV$17,FALSE))))</f>
        <v/>
      </c>
      <c r="BX23" s="5457">
        <f>+IF(L23="","",IF(2010-VLOOKUP(MATCH(L23,epa_id,0),epa,'A1(epa)'!$U$17,FALSE)=0,IF(VLOOKUP(MATCH(L23,epa_id,0),epa,'A1(epa)'!$AW$17,FALSE)=0,"",VLOOKUP(MATCH(L23,epa_id,0),epa,'A1(epa)'!$AW$17,FALSE))))</f>
        <v>266</v>
      </c>
      <c r="BY23" s="5415"/>
      <c r="BZ23" s="5478">
        <f t="shared" si="11"/>
        <v>5089.8039344765921</v>
      </c>
      <c r="CA23" s="5415"/>
      <c r="CB23" s="9553"/>
      <c r="CC23" s="9538"/>
      <c r="CD23" s="9538"/>
      <c r="CE23" s="9557"/>
      <c r="CF23" s="9532"/>
      <c r="CG23" s="9532"/>
      <c r="CH23" s="9561"/>
      <c r="CI23" s="9541"/>
      <c r="CJ23" s="9538"/>
      <c r="CK23" s="9538"/>
      <c r="CL23" s="9535"/>
      <c r="CM23" s="9532"/>
      <c r="CN23" s="9532"/>
      <c r="CO23" s="9561"/>
      <c r="CP23" s="9541"/>
      <c r="CQ23" s="9538"/>
      <c r="CR23" s="9538"/>
      <c r="CS23" s="9535"/>
      <c r="CT23" s="9532"/>
      <c r="CU23" s="9532"/>
      <c r="CV23" s="9550"/>
      <c r="CW23" s="9604"/>
      <c r="CX23" s="9601"/>
      <c r="CY23" s="9598"/>
      <c r="CZ23" s="9538"/>
      <c r="DA23" s="9557">
        <f t="shared" si="12"/>
        <v>0</v>
      </c>
      <c r="DB23" s="9532"/>
      <c r="DC23" s="9532"/>
      <c r="DD23" s="9561"/>
      <c r="DE23" s="9578"/>
      <c r="DF23" s="9578"/>
      <c r="DG23" s="5356"/>
      <c r="DH23" s="5348"/>
      <c r="DI23" s="5348"/>
    </row>
    <row r="24" spans="1:113" s="479" customFormat="1" ht="25.5" customHeight="1">
      <c r="A24" s="5364" t="str">
        <f t="shared" si="13"/>
        <v>8302-05</v>
      </c>
      <c r="B24" s="9571">
        <f>+IF(A24="","",VLOOKUP(MATCH(A24,tid,0),tao,'12(id)'!$J$20,FALSE))</f>
        <v>0</v>
      </c>
      <c r="C24" s="5365" t="str">
        <f t="shared" si="2"/>
        <v>13A</v>
      </c>
      <c r="D24" s="5359"/>
      <c r="E24" s="5351"/>
      <c r="F24" s="5359"/>
      <c r="G24" s="4445">
        <f t="shared" si="17"/>
        <v>6</v>
      </c>
      <c r="H24" s="4399">
        <v>6</v>
      </c>
      <c r="I24" s="9574" t="str">
        <f>+IF(L24="","",IF(VLOOKUP(MATCH(L24,tid,0),tao,'12(id)'!$H$20,FALSE)="","",VLOOKUP(MATCH(L24,tid,0),tao,'12(id)'!$H$20,FALSE)))</f>
        <v/>
      </c>
      <c r="J24" s="9520" t="str">
        <f>+IF(L24="","",IF(VLOOKUP(MATCH(L24,tid,0),tao,'12(id)'!$I$20,FALSE)="","",VLOOKUP(MATCH(L24,tid,0),tao,'12(id)'!$I$20,FALSE)))</f>
        <v/>
      </c>
      <c r="K24" s="9518">
        <f>+IF(L24="","",IF(VLOOKUP(MATCH(L24,tid,0),tao,'12(id)'!$K$20,FALSE)="","",VLOOKUP(MATCH(L24,tid,0),tao,'12(id)'!$K$20,FALSE)))</f>
        <v>8302</v>
      </c>
      <c r="L24" s="5154" t="s">
        <v>282</v>
      </c>
      <c r="M24" s="9520" t="str">
        <f>+IF(L24="","",IF(VLOOKUP(MATCH(L24,tid,0),tao,'12(id)'!$L$20,FALSE)="","",VLOOKUP(MATCH(L24,tid,0),tao,'12(id)'!$L$20,FALSE)))</f>
        <v>South Meadow Station</v>
      </c>
      <c r="N24" s="52" t="str">
        <f>+IF(L24="","",IF(VLOOKUP(MATCH(L24,tid,0),tao,'12(id)'!$P$20,FALSE)="","",VLOOKUP(MATCH(L24,tid,0),tao,'12(id)'!$P$20,FALSE)))</f>
        <v>13A</v>
      </c>
      <c r="O24" s="4385" t="str">
        <f>+IF(L24="","",IF(VLOOKUP(MATCH(L24,tid,0),tao,'12(id)'!$Q$20,FALSE)="","",VLOOKUP(MATCH(L24,tid,0),tao,'12(id)'!$Q$20,FALSE)))</f>
        <v>13A</v>
      </c>
      <c r="P24" s="9618">
        <f>+IF(L24="","",IF(VLOOKUP(MATCH(L24,tid,0),tao,'12(id)'!$CT$20,FALSE)="","",VLOOKUP(MATCH(L24,tid,0),tao,'12(id)'!$CT$20,FALSE)))</f>
        <v>40</v>
      </c>
      <c r="Q24" s="9566"/>
      <c r="R24" s="5439" t="str">
        <f>+IF(L24="","",IF(VLOOKUP(MATCH(L24,tid,0),tao,'12(id)'!$T$20,FALSE)="","",VLOOKUP(MATCH(L24,tid,0),tao,'12(id)'!$T$20,FALSE)))</f>
        <v>Combustion Turbine</v>
      </c>
      <c r="S24" s="5440" t="str">
        <f>+IF(L24="","",IF(VLOOKUP(MATCH(L24,tid,0),tao,'12(id)'!$CO$20,FALSE)="","",VLOOKUP(MATCH(L24,tid,0),tao,'12(id)'!$CO$20,FALSE)))</f>
        <v>Pratt &amp; Whitney</v>
      </c>
      <c r="T24" s="5439" t="str">
        <f>+IF(L24="","",IF(VLOOKUP(MATCH(L24,tid,0),tao,'12(id)'!$CP$20,FALSE)="","",VLOOKUP(MATCH(L24,tid,0),tao,'12(id)'!$CP$20,FALSE)))</f>
        <v>TP4-2(A9) LF</v>
      </c>
      <c r="U24" s="5441">
        <f>+IF(L24="","",IF(VLOOKUP(MATCH(L24,tid,0),tao,'12(id)'!$DC$20,FALSE)="","",IF(VLOOKUP(MATCH(L24,tid,0),tao,'12(id)'!$DB$20,FALSE)="",VLOOKUP(MATCH(L24,tid,0),tao,'12(id)'!$DC$20,FALSE),VLOOKUP(MATCH(L24,tid,0),tao,'12(id)'!$DB$20,FALSE)&amp;" "&amp;VLOOKUP(MATCH(L24,tid,0),tao,'12(id)'!$DC$20,FALSE))))</f>
        <v>1970</v>
      </c>
      <c r="V24" s="5442">
        <f ca="1">+IF(L24="","",IF(VLOOKUP(MATCH(L24,tid,0),tao,'12(id)'!$DE$20,FALSE)="","",ROUND(VLOOKUP(MATCH(L24,tid,0),tao,'12(id)'!$DE$20,FALSE),0)))</f>
        <v>45</v>
      </c>
      <c r="W24" s="5443" t="str">
        <f>+IF(L24="","",IF(VLOOKUP(G24,tao,'12(id)'!$FR$20,FALSE)="","",VLOOKUP(G24,tao,'12(id)'!$FR$20,FALSE)&amp;IF(VLOOKUP(G24,tao,'12(id)'!$FS$20,FALSE)="","",", "&amp;VLOOKUP(G24,tao,'12(id)'!$FS$20,FALSE))))</f>
        <v>None</v>
      </c>
      <c r="X24" s="5443" t="str">
        <f>+IF(L24="","",IF(VLOOKUP(MATCH(L24,tid,0),tao,'12(id)'!$DI$20,FALSE)="","",VLOOKUP(MATCH(L24,tid,0),tao,'12(id)'!$DI$20,FALSE)))</f>
        <v>Jet Fuel A (Kerosene K1)</v>
      </c>
      <c r="Y24" s="5443" t="str">
        <f>+IF(L24="","",IF(VLOOKUP(MATCH(L24,tid,0),tao,'12(id)'!$DQ$20,FALSE)="","",VLOOKUP(MATCH(L24,tid,0),tao,'12(id)'!$DQ$20,FALSE)))</f>
        <v>No. 2 oil</v>
      </c>
      <c r="Z24" s="5444">
        <f>+IF(L24="","",IF(VLOOKUP(MATCH(L24,tid,0),tao,'12(id)'!$EH$20,FALSE)="","",VLOOKUP(MATCH(L24,tid,0),tao,'12(id)'!$EH$20,FALSE)))</f>
        <v>256</v>
      </c>
      <c r="AA24" s="5445">
        <f>+IF(L24="","",IF(VLOOKUP(MATCH(L24,tid,0),tao,'12(id)'!$EI$20,FALSE)="","",VLOOKUP(MATCH(L24,tid,0),tao,'12(id)'!$EI$20,FALSE)))</f>
        <v>0.75</v>
      </c>
      <c r="AB24" s="5445">
        <f>+IF(L24="","",IF(VLOOKUP(MATCH(L24,tid,0),tao,'12(id)'!$EJ$20,FALSE)="","",VLOOKUP(MATCH(L24,tid,0),tao,'12(id)'!$EJ$20,FALSE)))</f>
        <v>132.5</v>
      </c>
      <c r="AC24" s="5446">
        <f>+IF(L24="","",IF(VLOOKUP(MATCH(L24,tid,0),tao,'12(id)'!$EL$20,FALSE)="","",VLOOKUP(MATCH(L24,tid,0),tao,'12(id)'!$EL$20,FALSE)))</f>
        <v>0.81</v>
      </c>
      <c r="AD24" s="5447"/>
      <c r="AE24" s="5448">
        <f t="shared" si="3"/>
        <v>0.75</v>
      </c>
      <c r="AF24" s="5447">
        <f t="shared" si="4"/>
        <v>132.5</v>
      </c>
      <c r="AG24" s="5449" t="str">
        <f>+IF(L24="","",IF(VLOOKUP(MATCH(L24,tid,0),tao,'12(id)'!$GY$20,FALSE)="","",VLOOKUP(MATCH(L24,tid,0),tao,'12(id)'!$GY$20,FALSE)))</f>
        <v/>
      </c>
      <c r="AH24" s="5450" t="str">
        <f>+IF(L24="","",IF(VLOOKUP(MATCH(L24,tid,0),tao,'12(id)'!$HL$20,FALSE)="","",VLOOKUP(MATCH(L24,tid,0),tao,'12(id)'!$HL$20,FALSE)))</f>
        <v/>
      </c>
      <c r="AI24" s="5451">
        <f>+IF(L24="","",IF(2010-VLOOKUP(MATCH(L24,epa_id,0),epa,'A1(epa)'!$U$17,FALSE)=0,IF(VLOOKUP(MATCH(L24,epa_id,0),epa,'A1(epa)'!$U$17,FALSE)=0,"",VLOOKUP(MATCH(L24,epa_id,0),epa,'A1(epa)'!$U$17,FALSE))))</f>
        <v>2010</v>
      </c>
      <c r="AJ24" s="5643">
        <f>+IF(L24="","",IF(2010-VLOOKUP(MATCH(L24,epa_id,0),epa,'A1(epa)'!$U$17,FALSE)=0,IF(VLOOKUP(MATCH(L24,epa_id,0),epa,'A1(epa)'!$W$17,FALSE)=0,"",VLOOKUP(MATCH(L24,epa_id,0),epa,'A1(epa)'!$W$17,FALSE))))</f>
        <v>18</v>
      </c>
      <c r="AK24" s="5452">
        <f>+IF(L24="","",IF(2010-VLOOKUP(MATCH(L24,epa_id,0),epa,'A1(epa)'!$U$17,FALSE)=0,IF(VLOOKUP(MATCH(L24,epa_id,0),epa,'A1(epa)'!$X$17,FALSE)=0,"",VLOOKUP(MATCH(L24,epa_id,0),epa,'A1(epa)'!$X$17,FALSE))))</f>
        <v>5</v>
      </c>
      <c r="AL24" s="5643">
        <f>+IF(L24="","",IF(2010-VLOOKUP(MATCH(L24,epa_id,0),epa,'A1(epa)'!$U$17,FALSE)=0,IF(VLOOKUP(MATCH(L24,epa_id,0),epa,'A1(epa)'!$Y$17,FALSE)=0,"",VLOOKUP(MATCH(L24,epa_id,0),epa,'A1(epa)'!$Y$17,FALSE))))</f>
        <v>248</v>
      </c>
      <c r="AM24" s="5760">
        <f>+IF(L24="","",IF(2010-VLOOKUP(MATCH(L24,epa_id,0),epa,'A1(epa)'!$U$17,FALSE)=0,IF(VLOOKUP(MATCH(L24,epa_id,0),epa,'A1(epa)'!$AA$17,FALSE)=0,"",VLOOKUP(MATCH(L24,epa_id,0),epa,'A1(epa)'!$AA$17,FALSE))))</f>
        <v>0.81</v>
      </c>
      <c r="AN24" s="5761">
        <f>+IF(L24="","",IF(2010-VLOOKUP(MATCH(L24,epa_id,0),epa,'A1(epa)'!$U$17,FALSE)=0,IF(VLOOKUP(MATCH(L24,epa_id,0),epa,'A1(epa)'!$AB$17,FALSE)=0,"",VLOOKUP(MATCH(L24,epa_id,0),epa,'A1(epa)'!$AB$17,FALSE))))</f>
        <v>1.4</v>
      </c>
      <c r="AO24" s="5762">
        <f t="shared" si="14"/>
        <v>0.81</v>
      </c>
      <c r="AP24" s="5763">
        <f t="shared" si="5"/>
        <v>1.4</v>
      </c>
      <c r="AQ24" s="5764">
        <f t="shared" si="6"/>
        <v>5645.1612903225805</v>
      </c>
      <c r="AR24" s="5643">
        <f>+IF(L24="","",IF(2010-VLOOKUP(MATCH(L24,epa_id,0),epa,'A1(epa)'!$U$17,FALSE)=0,IF(VLOOKUP(MATCH(L24,epa_id,0),epa,'A1(epa)'!$AC$17,FALSE)=0,"",VLOOKUP(MATCH(L24,epa_id,0),epa,'A1(epa)'!$AC$17,FALSE))))</f>
        <v>3313</v>
      </c>
      <c r="AS24" s="5443" t="str">
        <f>+IF(L24="","",IF(2010-VLOOKUP(MATCH(L24,epa_id,0),epa,'A1(epa)'!$U$17,FALSE)=0,IF(VLOOKUP(MATCH(L24,epa_id,0),epa,'A1(epa)'!$AP$17,FALSE)=0,"",VLOOKUP(MATCH(L24,epa_id,0),epa,'A1(epa)'!$AP$17,FALSE))))</f>
        <v>Diesel Oil</v>
      </c>
      <c r="AT24" s="5614" t="str">
        <f>+IF(L24="","",IF(2010-VLOOKUP(MATCH(L24,epa_id,0),epa,'A1(epa)'!$U$17,FALSE)=0,IF(VLOOKUP(MATCH(L24,epa_id,0),epa,'A1(epa)'!$AQ$17,FALSE)=0,"",VLOOKUP(MATCH(L24,epa_id,0),epa,'A1(epa)'!$AQ$17,FALSE))))</f>
        <v/>
      </c>
      <c r="AU24" s="5451">
        <f>+IF(L24="","",IF(2009-VLOOKUP(MATCH(L24,epa_id,0)+1,epa,'A1(epa)'!$U$17,FALSE)=0,IF(VLOOKUP(MATCH(L24,epa_id,0)+1,epa,'A1(epa)'!$U$17,FALSE)=0,"",VLOOKUP(MATCH(L24,epa_id,0)+1,epa,'A1(epa)'!$U$17,FALSE))))</f>
        <v>2009</v>
      </c>
      <c r="AV24" s="5441">
        <f>+IF(L24="","",IF(2009-VLOOKUP(MATCH(L24,epa_id,0)+1,epa,'A1(epa)'!$U$17,FALSE)=0,IF(VLOOKUP(MATCH(L24,epa_id,0)+1,epa,'A1(epa)'!$W$17,FALSE)=0,"",VLOOKUP(MATCH(L24,epa_id,0)+1,epa,'A1(epa)'!$W$17,FALSE))))</f>
        <v>8</v>
      </c>
      <c r="AW24" s="5453">
        <f>+IF(L24="","",IF(2009-VLOOKUP(MATCH(L24,epa_id,0)+1,epa,'A1(epa)'!$U$17,FALSE)=0,IF(VLOOKUP(MATCH(L24,epa_id,0)+1,epa,'A1(epa)'!$X$17,FALSE)=0,"",VLOOKUP(MATCH(L24,epa_id,0)+1,epa,'A1(epa)'!$X$17,FALSE))))</f>
        <v>5</v>
      </c>
      <c r="AX24" s="5643">
        <f>+IF(L24="","",IF(2009-VLOOKUP(MATCH(L24,epa_id,0)+1,epa,'A1(epa)'!$U$17,FALSE)=0,IF(VLOOKUP(MATCH(L24,epa_id,0)+1,epa,'A1(epa)'!$Y$17,FALSE)=0,"",VLOOKUP(MATCH(L24,epa_id,0)+1,epa,'A1(epa)'!$Y$17,FALSE))))</f>
        <v>72</v>
      </c>
      <c r="AY24" s="5657">
        <f>+IF(L24="","",IF(2009-VLOOKUP(MATCH(L24,epa_id,0)+1,epa,'A1(epa)'!$U$17,FALSE)=0,IF(VLOOKUP(MATCH(L24,epa_id,0)+1,epa,'A1(epa)'!$AA$17,FALSE)=0,"",VLOOKUP(MATCH(L24,epa_id,0)+1,epa,'A1(epa)'!$AA$17,FALSE))))</f>
        <v>0.86</v>
      </c>
      <c r="AZ24" s="5658">
        <f>+IF(L24="","",IF(2009-VLOOKUP(MATCH(L24,epa_id,0)+1,epa,'A1(epa)'!$U$17,FALSE)=0,IF(VLOOKUP(MATCH(L24,epa_id,0)+1,epa,'A1(epa)'!$AB$17,FALSE)=0,"",VLOOKUP(MATCH(L24,epa_id,0)+1,epa,'A1(epa)'!$AB$17,FALSE))))</f>
        <v>0.4</v>
      </c>
      <c r="BA24" s="5659">
        <f t="shared" si="15"/>
        <v>0.86</v>
      </c>
      <c r="BB24" s="5660">
        <f t="shared" si="7"/>
        <v>0.4</v>
      </c>
      <c r="BC24" s="5455">
        <f t="shared" si="8"/>
        <v>5555.5555555555557</v>
      </c>
      <c r="BD24" s="5643">
        <f>+IF(L24="","",IF(2009-VLOOKUP(MATCH(L24,epa_id,0)+1,epa,'A1(epa)'!$U$17,FALSE)=0,IF(VLOOKUP(MATCH(L24,epa_id,0)+1,epa,'A1(epa)'!$AC$17,FALSE)=0,"",VLOOKUP(MATCH(L24,epa_id,0)+1,epa,'A1(epa)'!$AC$17,FALSE))))</f>
        <v>910</v>
      </c>
      <c r="BE24" s="5453" t="str">
        <f>+IF(L24="","",IF(2009-VLOOKUP(MATCH(L24,epa_id,0)+1,epa,'A1(epa)'!$U$17,FALSE)=0,IF(VLOOKUP(MATCH(L24,epa_id,0)+1,epa,'A1(epa)'!$AP$17,FALSE)=0,"",VLOOKUP(MATCH(L24,epa_id,0)+1,epa,'A1(epa)'!$AP$17,FALSE))))</f>
        <v>Diesel Oil</v>
      </c>
      <c r="BF24" s="5454" t="str">
        <f>+IF(L24="","",IF(2009-VLOOKUP(MATCH(L24,epa_id,0)+1,epa,'A1(epa)'!$U$17,FALSE)=0,IF(VLOOKUP(MATCH(L24,epa_id,0)+1,epa,'A1(epa)'!$AQ$17,FALSE)=0,"",VLOOKUP(MATCH(L24,epa_id,0)+1,epa,'A1(epa)'!$AQ$17,FALSE))))</f>
        <v/>
      </c>
      <c r="BG24" s="5456">
        <f>+IF(L24="","",IF(2008-VLOOKUP(MATCH(L24,epa_id,0)+2,epa,'A1(epa)'!$U$17,FALSE)=0,IF(VLOOKUP(MATCH(L24,epa_id,0)+2,epa,'A1(epa)'!$U$17,FALSE)=0,"",VLOOKUP(MATCH(L24,epa_id,0)+2,epa,'A1(epa)'!$U$17,FALSE))))</f>
        <v>2008</v>
      </c>
      <c r="BH24" s="5453">
        <f>+IF(L24="","",IF(2008-VLOOKUP(MATCH(L24,epa_id,0)+2,epa,'A1(epa)'!$U$17,FALSE)=0,IF(VLOOKUP(MATCH(L24,epa_id,0)+2,epa,'A1(epa)'!$W$17,FALSE)=0,"",VLOOKUP(MATCH(L24,epa_id,0)+2,epa,'A1(epa)'!$W$17,FALSE))))</f>
        <v>12</v>
      </c>
      <c r="BI24" s="5453">
        <f>+IF(L24="","",IF(2008-VLOOKUP(MATCH(L24,epa_id,0)+2,epa,'A1(epa)'!$U$17,FALSE)=0,IF(VLOOKUP(MATCH(L24,epa_id,0)+2,epa,'A1(epa)'!$X$17,FALSE)=0,"",VLOOKUP(MATCH(L24,epa_id,0)+2,epa,'A1(epa)'!$X$17,FALSE))))</f>
        <v>5</v>
      </c>
      <c r="BJ24" s="5643">
        <f>+IF(L24="","",IF(2008-VLOOKUP(MATCH(L24,epa_id,0)+2,epa,'A1(epa)'!$U$17,FALSE)=0,IF(VLOOKUP(MATCH(L24,epa_id,0)+2,epa,'A1(epa)'!$Y$17,FALSE)=0,"",VLOOKUP(MATCH(L24,epa_id,0)+2,epa,'A1(epa)'!$Y$17,FALSE))))</f>
        <v>111</v>
      </c>
      <c r="BK24" s="5657">
        <f>+IF(L24="","",IF(2008-VLOOKUP(MATCH(L24,epa_id,0)+2,epa,'A1(epa)'!$U$17,FALSE)=0,IF(VLOOKUP(MATCH(L24,epa_id,0)+2,epa,'A1(epa)'!$AA$17,FALSE)=0,"",VLOOKUP(MATCH(L24,epa_id,0)+2,epa,'A1(epa)'!$AA$17,FALSE))))</f>
        <v>0.88</v>
      </c>
      <c r="BL24" s="5658">
        <f>+IF(L24="","",IF(2008-VLOOKUP(MATCH(L24,epa_id,0)+2,epa,'A1(epa)'!$U$17,FALSE)=0,IF(VLOOKUP(MATCH(L24,epa_id,0)+2,epa,'A1(epa)'!$AB$17,FALSE)=0,"",VLOOKUP(MATCH(L24,epa_id,0)+2,epa,'A1(epa)'!$AB$17,FALSE))))</f>
        <v>0.6</v>
      </c>
      <c r="BM24" s="5710">
        <f t="shared" si="16"/>
        <v>0.88</v>
      </c>
      <c r="BN24" s="5711">
        <f t="shared" si="9"/>
        <v>0.6</v>
      </c>
      <c r="BO24" s="5712">
        <f t="shared" si="10"/>
        <v>5405.405405405405</v>
      </c>
      <c r="BP24" s="5629">
        <f>+IF(L24="","",IF(2008-VLOOKUP(MATCH(L24,epa_id,0)+2,epa,'A1(epa)'!$U$17,FALSE)=0,IF(VLOOKUP(MATCH(L24,epa_id,0)+2,epa,'A1(epa)'!$AC$17,FALSE)=0,"",VLOOKUP(MATCH(L24,epa_id,0)+2,epa,'A1(epa)'!$AC$17,FALSE))))</f>
        <v>1405</v>
      </c>
      <c r="BQ24" s="5601" t="str">
        <f>+IF(L24="","",IF(2008-VLOOKUP(MATCH(L24,epa_id,0)+2,epa,'A1(epa)'!$U$17,FALSE)=0,IF(VLOOKUP(MATCH(L24,epa_id,0)+2,epa,'A1(epa)'!$AP$17,FALSE)=0,"",VLOOKUP(MATCH(L24,epa_id,0)+2,epa,'A1(epa)'!$AP$17,FALSE))))</f>
        <v>Diesel Oil</v>
      </c>
      <c r="BR24" s="5614" t="str">
        <f>+IF(L24="","",IF(2008-VLOOKUP(MATCH(L24,epa_id,0)+2,epa,'A1(epa)'!$U$17,FALSE)=0,IF(VLOOKUP(MATCH(L24,epa_id,0)+2,epa,'A1(epa)'!$AQ$17,FALSE)=0,"",VLOOKUP(MATCH(L24,epa_id,0)+2,epa,'A1(epa)'!$AQ$17,FALSE))))</f>
        <v/>
      </c>
      <c r="BS24" s="5601" t="str">
        <f>+IF(L24="","",IF(2010-VLOOKUP(MATCH(L24,epa_id,0),epa,'A1(epa)'!$U$17,FALSE)=0,IF(VLOOKUP(MATCH(L24,epa_id,0),epa,'A1(epa)'!$AS$17,FALSE)=0,"",VLOOKUP(MATCH(L24,epa_id,0),epa,'A1(epa)'!$AS$17,FALSE))))</f>
        <v/>
      </c>
      <c r="BT24" s="5443" t="str">
        <f>+IF(L24="","",IF(2010-VLOOKUP(MATCH(L24,epa_id,0),epa,'A1(epa)'!$U$17,FALSE)=0,IF(VLOOKUP(MATCH(L24,epa_id,0),epa,'A1(epa)'!$AT$17,FALSE)=0,"",VLOOKUP(MATCH(L24,epa_id,0),epa,'A1(epa)'!$AT$17,FALSE))))</f>
        <v/>
      </c>
      <c r="BU24" s="5443" t="str">
        <f>+IF(L24="","",IF(2010-VLOOKUP(MATCH(L24,epa_id,0),epa,'A1(epa)'!$U$17,FALSE)=0,IF(VLOOKUP(MATCH(L24,epa_id,0),epa,'A1(epa)'!$AU$17,FALSE)=0,"",VLOOKUP(MATCH(L24,epa_id,0),epa,'A1(epa)'!$AU$17,FALSE))))</f>
        <v/>
      </c>
      <c r="BV24" s="5443" t="str">
        <f>+IF(L24="","",IF(2010-VLOOKUP(MATCH(L24,epa_id,0),epa,'A1(epa)'!$U$17,FALSE)=0,IF(VLOOKUP(MATCH(L24,epa_id,0),epa,'A1(epa)'!$AR$17,FALSE)=0,"",VLOOKUP(MATCH(L24,epa_id,0),epa,'A1(epa)'!$AR$17,FALSE))))</f>
        <v/>
      </c>
      <c r="BW24" s="5586" t="str">
        <f>+IF(L24="","",IF(2010-VLOOKUP(MATCH(L24,epa_id,0),epa,'A1(epa)'!$U$17,FALSE)=0,IF(VLOOKUP(MATCH(L24,epa_id,0),epa,'A1(epa)'!$AV$17,FALSE)=0,"",VLOOKUP(MATCH(L24,epa_id,0),epa,'A1(epa)'!$AV$17,FALSE))))</f>
        <v/>
      </c>
      <c r="BX24" s="5457">
        <f>+IF(L24="","",IF(2010-VLOOKUP(MATCH(L24,epa_id,0),epa,'A1(epa)'!$U$17,FALSE)=0,IF(VLOOKUP(MATCH(L24,epa_id,0),epa,'A1(epa)'!$AW$17,FALSE)=0,"",VLOOKUP(MATCH(L24,epa_id,0),epa,'A1(epa)'!$AW$17,FALSE))))</f>
        <v>266</v>
      </c>
      <c r="BY24" s="5415"/>
      <c r="BZ24" s="5478">
        <f t="shared" si="11"/>
        <v>5535.3740837611804</v>
      </c>
      <c r="CA24" s="5415"/>
      <c r="CB24" s="9553"/>
      <c r="CC24" s="9538"/>
      <c r="CD24" s="9538"/>
      <c r="CE24" s="9557"/>
      <c r="CF24" s="9532"/>
      <c r="CG24" s="9532"/>
      <c r="CH24" s="9561"/>
      <c r="CI24" s="9541"/>
      <c r="CJ24" s="9538"/>
      <c r="CK24" s="9538"/>
      <c r="CL24" s="9535"/>
      <c r="CM24" s="9532"/>
      <c r="CN24" s="9532"/>
      <c r="CO24" s="9561"/>
      <c r="CP24" s="9541"/>
      <c r="CQ24" s="9538"/>
      <c r="CR24" s="9538"/>
      <c r="CS24" s="9535"/>
      <c r="CT24" s="9532"/>
      <c r="CU24" s="9532"/>
      <c r="CV24" s="9550"/>
      <c r="CW24" s="9604"/>
      <c r="CX24" s="9601"/>
      <c r="CY24" s="9598"/>
      <c r="CZ24" s="9538"/>
      <c r="DA24" s="9557">
        <f t="shared" si="12"/>
        <v>0</v>
      </c>
      <c r="DB24" s="9532"/>
      <c r="DC24" s="9532"/>
      <c r="DD24" s="9561"/>
      <c r="DE24" s="9578"/>
      <c r="DF24" s="9578"/>
      <c r="DG24" s="5356"/>
      <c r="DH24" s="5348"/>
      <c r="DI24" s="5348"/>
    </row>
    <row r="25" spans="1:113" s="479" customFormat="1" ht="25.5" customHeight="1">
      <c r="A25" s="5364" t="str">
        <f t="shared" si="13"/>
        <v>8302-06</v>
      </c>
      <c r="B25" s="9571">
        <f>+IF(A25="","",VLOOKUP(MATCH(A25,tid,0),tao,'12(id)'!$J$20,FALSE))</f>
        <v>0</v>
      </c>
      <c r="C25" s="5365" t="str">
        <f t="shared" si="2"/>
        <v>13B</v>
      </c>
      <c r="D25" s="5359"/>
      <c r="E25" s="5351"/>
      <c r="F25" s="5359"/>
      <c r="G25" s="4445">
        <f t="shared" si="17"/>
        <v>7</v>
      </c>
      <c r="H25" s="4399">
        <v>7</v>
      </c>
      <c r="I25" s="9574" t="str">
        <f>+IF(L25="","",IF(VLOOKUP(MATCH(L25,tid,0),tao,'12(id)'!$H$20,FALSE)="","",VLOOKUP(MATCH(L25,tid,0),tao,'12(id)'!$H$20,FALSE)))</f>
        <v/>
      </c>
      <c r="J25" s="9520" t="str">
        <f>+IF(L25="","",IF(VLOOKUP(MATCH(L25,tid,0),tao,'12(id)'!$I$20,FALSE)="","",VLOOKUP(MATCH(L25,tid,0),tao,'12(id)'!$I$20,FALSE)))</f>
        <v/>
      </c>
      <c r="K25" s="9518">
        <f>+IF(L25="","",IF(VLOOKUP(MATCH(L25,tid,0),tao,'12(id)'!$K$20,FALSE)="","",VLOOKUP(MATCH(L25,tid,0),tao,'12(id)'!$K$20,FALSE)))</f>
        <v>8302</v>
      </c>
      <c r="L25" s="5154" t="s">
        <v>283</v>
      </c>
      <c r="M25" s="9520" t="str">
        <f>+IF(L25="","",IF(VLOOKUP(MATCH(L25,tid,0),tao,'12(id)'!$L$20,FALSE)="","",VLOOKUP(MATCH(L25,tid,0),tao,'12(id)'!$L$20,FALSE)))</f>
        <v>South Meadow Station</v>
      </c>
      <c r="N25" s="52" t="str">
        <f>+IF(L25="","",IF(VLOOKUP(MATCH(L25,tid,0),tao,'12(id)'!$P$20,FALSE)="","",VLOOKUP(MATCH(L25,tid,0),tao,'12(id)'!$P$20,FALSE)))</f>
        <v>13B</v>
      </c>
      <c r="O25" s="4385" t="str">
        <f>+IF(L25="","",IF(VLOOKUP(MATCH(L25,tid,0),tao,'12(id)'!$Q$20,FALSE)="","",VLOOKUP(MATCH(L25,tid,0),tao,'12(id)'!$Q$20,FALSE)))</f>
        <v>13B</v>
      </c>
      <c r="P25" s="9618" t="str">
        <f>+IF(L25="","",IF(VLOOKUP(MATCH(L25,tid,0),tao,'12(id)'!$CT$20,FALSE)="","",VLOOKUP(MATCH(L25,tid,0),tao,'12(id)'!$CT$20,FALSE)))</f>
        <v/>
      </c>
      <c r="Q25" s="9566"/>
      <c r="R25" s="5439" t="str">
        <f>+IF(L25="","",IF(VLOOKUP(MATCH(L25,tid,0),tao,'12(id)'!$T$20,FALSE)="","",VLOOKUP(MATCH(L25,tid,0),tao,'12(id)'!$T$20,FALSE)))</f>
        <v>Combustion Turbine</v>
      </c>
      <c r="S25" s="5440" t="str">
        <f>+IF(L25="","",IF(VLOOKUP(MATCH(L25,tid,0),tao,'12(id)'!$CO$20,FALSE)="","",VLOOKUP(MATCH(L25,tid,0),tao,'12(id)'!$CO$20,FALSE)))</f>
        <v>Pratt &amp; Whitney</v>
      </c>
      <c r="T25" s="5439" t="str">
        <f>+IF(L25="","",IF(VLOOKUP(MATCH(L25,tid,0),tao,'12(id)'!$CP$20,FALSE)="","",VLOOKUP(MATCH(L25,tid,0),tao,'12(id)'!$CP$20,FALSE)))</f>
        <v>TP4-2(A9) LF</v>
      </c>
      <c r="U25" s="5441">
        <f>+IF(L25="","",IF(VLOOKUP(MATCH(L25,tid,0),tao,'12(id)'!$DC$20,FALSE)="","",IF(VLOOKUP(MATCH(L25,tid,0),tao,'12(id)'!$DB$20,FALSE)="",VLOOKUP(MATCH(L25,tid,0),tao,'12(id)'!$DC$20,FALSE),VLOOKUP(MATCH(L25,tid,0),tao,'12(id)'!$DB$20,FALSE)&amp;" "&amp;VLOOKUP(MATCH(L25,tid,0),tao,'12(id)'!$DC$20,FALSE))))</f>
        <v>1970</v>
      </c>
      <c r="V25" s="5442">
        <f ca="1">+IF(L25="","",IF(VLOOKUP(MATCH(L25,tid,0),tao,'12(id)'!$DE$20,FALSE)="","",ROUND(VLOOKUP(MATCH(L25,tid,0),tao,'12(id)'!$DE$20,FALSE),0)))</f>
        <v>45</v>
      </c>
      <c r="W25" s="5443" t="str">
        <f>+IF(L25="","",IF(VLOOKUP(G25,tao,'12(id)'!$FR$20,FALSE)="","",VLOOKUP(G25,tao,'12(id)'!$FR$20,FALSE)&amp;IF(VLOOKUP(G25,tao,'12(id)'!$FS$20,FALSE)="","",", "&amp;VLOOKUP(G25,tao,'12(id)'!$FS$20,FALSE))))</f>
        <v>None</v>
      </c>
      <c r="X25" s="5443" t="str">
        <f>+IF(L25="","",IF(VLOOKUP(MATCH(L25,tid,0),tao,'12(id)'!$DI$20,FALSE)="","",VLOOKUP(MATCH(L25,tid,0),tao,'12(id)'!$DI$20,FALSE)))</f>
        <v>Jet Fuel A (Kerosene K1)</v>
      </c>
      <c r="Y25" s="5443" t="str">
        <f>+IF(L25="","",IF(VLOOKUP(MATCH(L25,tid,0),tao,'12(id)'!$DQ$20,FALSE)="","",VLOOKUP(MATCH(L25,tid,0),tao,'12(id)'!$DQ$20,FALSE)))</f>
        <v>No. 2 oil</v>
      </c>
      <c r="Z25" s="5444">
        <f>+IF(L25="","",IF(VLOOKUP(MATCH(L25,tid,0),tao,'12(id)'!$EH$20,FALSE)="","",VLOOKUP(MATCH(L25,tid,0),tao,'12(id)'!$EH$20,FALSE)))</f>
        <v>256</v>
      </c>
      <c r="AA25" s="5445">
        <f>+IF(L25="","",IF(VLOOKUP(MATCH(L25,tid,0),tao,'12(id)'!$EI$20,FALSE)="","",VLOOKUP(MATCH(L25,tid,0),tao,'12(id)'!$EI$20,FALSE)))</f>
        <v>0.73299999999999998</v>
      </c>
      <c r="AB25" s="5445">
        <f>+IF(L25="","",IF(VLOOKUP(MATCH(L25,tid,0),tao,'12(id)'!$EJ$20,FALSE)="","",VLOOKUP(MATCH(L25,tid,0),tao,'12(id)'!$EJ$20,FALSE)))</f>
        <v>130.30000000000001</v>
      </c>
      <c r="AC25" s="5446">
        <f>+IF(L25="","",IF(VLOOKUP(MATCH(L25,tid,0),tao,'12(id)'!$EL$20,FALSE)="","",VLOOKUP(MATCH(L25,tid,0),tao,'12(id)'!$EL$20,FALSE)))</f>
        <v>0.81</v>
      </c>
      <c r="AD25" s="5447"/>
      <c r="AE25" s="5448">
        <f t="shared" si="3"/>
        <v>0.73299999999999998</v>
      </c>
      <c r="AF25" s="5447">
        <f t="shared" si="4"/>
        <v>130.30000000000001</v>
      </c>
      <c r="AG25" s="5449" t="str">
        <f>+IF(L25="","",IF(VLOOKUP(MATCH(L25,tid,0),tao,'12(id)'!$GY$20,FALSE)="","",VLOOKUP(MATCH(L25,tid,0),tao,'12(id)'!$GY$20,FALSE)))</f>
        <v/>
      </c>
      <c r="AH25" s="5450" t="str">
        <f>+IF(L25="","",IF(VLOOKUP(MATCH(L25,tid,0),tao,'12(id)'!$HL$20,FALSE)="","",VLOOKUP(MATCH(L25,tid,0),tao,'12(id)'!$HL$20,FALSE)))</f>
        <v/>
      </c>
      <c r="AI25" s="5451">
        <f>+IF(L25="","",IF(2010-VLOOKUP(MATCH(L25,epa_id,0),epa,'A1(epa)'!$U$17,FALSE)=0,IF(VLOOKUP(MATCH(L25,epa_id,0),epa,'A1(epa)'!$U$17,FALSE)=0,"",VLOOKUP(MATCH(L25,epa_id,0),epa,'A1(epa)'!$U$17,FALSE))))</f>
        <v>2010</v>
      </c>
      <c r="AJ25" s="5643">
        <f>+IF(L25="","",IF(2010-VLOOKUP(MATCH(L25,epa_id,0),epa,'A1(epa)'!$U$17,FALSE)=0,IF(VLOOKUP(MATCH(L25,epa_id,0),epa,'A1(epa)'!$W$17,FALSE)=0,"",VLOOKUP(MATCH(L25,epa_id,0),epa,'A1(epa)'!$W$17,FALSE))))</f>
        <v>18</v>
      </c>
      <c r="AK25" s="5452">
        <f>+IF(L25="","",IF(2010-VLOOKUP(MATCH(L25,epa_id,0),epa,'A1(epa)'!$U$17,FALSE)=0,IF(VLOOKUP(MATCH(L25,epa_id,0),epa,'A1(epa)'!$X$17,FALSE)=0,"",VLOOKUP(MATCH(L25,epa_id,0),epa,'A1(epa)'!$X$17,FALSE))))</f>
        <v>5</v>
      </c>
      <c r="AL25" s="5643">
        <f>+IF(L25="","",IF(2010-VLOOKUP(MATCH(L25,epa_id,0),epa,'A1(epa)'!$U$17,FALSE)=0,IF(VLOOKUP(MATCH(L25,epa_id,0),epa,'A1(epa)'!$Y$17,FALSE)=0,"",VLOOKUP(MATCH(L25,epa_id,0),epa,'A1(epa)'!$Y$17,FALSE))))</f>
        <v>248</v>
      </c>
      <c r="AM25" s="5760">
        <f>+IF(L25="","",IF(2010-VLOOKUP(MATCH(L25,epa_id,0),epa,'A1(epa)'!$U$17,FALSE)=0,IF(VLOOKUP(MATCH(L25,epa_id,0),epa,'A1(epa)'!$AA$17,FALSE)=0,"",VLOOKUP(MATCH(L25,epa_id,0),epa,'A1(epa)'!$AA$17,FALSE))))</f>
        <v>0.79</v>
      </c>
      <c r="AN25" s="5761">
        <f>+IF(L25="","",IF(2010-VLOOKUP(MATCH(L25,epa_id,0),epa,'A1(epa)'!$U$17,FALSE)=0,IF(VLOOKUP(MATCH(L25,epa_id,0),epa,'A1(epa)'!$AB$17,FALSE)=0,"",VLOOKUP(MATCH(L25,epa_id,0),epa,'A1(epa)'!$AB$17,FALSE))))</f>
        <v>1.3</v>
      </c>
      <c r="AO25" s="5762">
        <f t="shared" si="14"/>
        <v>0.79</v>
      </c>
      <c r="AP25" s="5763">
        <f t="shared" si="5"/>
        <v>1.3</v>
      </c>
      <c r="AQ25" s="5764">
        <f t="shared" si="6"/>
        <v>5241.9354838709678</v>
      </c>
      <c r="AR25" s="5643">
        <f>+IF(L25="","",IF(2010-VLOOKUP(MATCH(L25,epa_id,0),epa,'A1(epa)'!$U$17,FALSE)=0,IF(VLOOKUP(MATCH(L25,epa_id,0),epa,'A1(epa)'!$AC$17,FALSE)=0,"",VLOOKUP(MATCH(L25,epa_id,0),epa,'A1(epa)'!$AC$17,FALSE))))</f>
        <v>3313</v>
      </c>
      <c r="AS25" s="5443" t="str">
        <f>+IF(L25="","",IF(2010-VLOOKUP(MATCH(L25,epa_id,0),epa,'A1(epa)'!$U$17,FALSE)=0,IF(VLOOKUP(MATCH(L25,epa_id,0),epa,'A1(epa)'!$AP$17,FALSE)=0,"",VLOOKUP(MATCH(L25,epa_id,0),epa,'A1(epa)'!$AP$17,FALSE))))</f>
        <v>Diesel Oil</v>
      </c>
      <c r="AT25" s="5614" t="str">
        <f>+IF(L25="","",IF(2010-VLOOKUP(MATCH(L25,epa_id,0),epa,'A1(epa)'!$U$17,FALSE)=0,IF(VLOOKUP(MATCH(L25,epa_id,0),epa,'A1(epa)'!$AQ$17,FALSE)=0,"",VLOOKUP(MATCH(L25,epa_id,0),epa,'A1(epa)'!$AQ$17,FALSE))))</f>
        <v/>
      </c>
      <c r="AU25" s="5451">
        <f>+IF(L25="","",IF(2009-VLOOKUP(MATCH(L25,epa_id,0)+1,epa,'A1(epa)'!$U$17,FALSE)=0,IF(VLOOKUP(MATCH(L25,epa_id,0)+1,epa,'A1(epa)'!$U$17,FALSE)=0,"",VLOOKUP(MATCH(L25,epa_id,0)+1,epa,'A1(epa)'!$U$17,FALSE))))</f>
        <v>2009</v>
      </c>
      <c r="AV25" s="5441">
        <f>+IF(L25="","",IF(2009-VLOOKUP(MATCH(L25,epa_id,0)+1,epa,'A1(epa)'!$U$17,FALSE)=0,IF(VLOOKUP(MATCH(L25,epa_id,0)+1,epa,'A1(epa)'!$W$17,FALSE)=0,"",VLOOKUP(MATCH(L25,epa_id,0)+1,epa,'A1(epa)'!$W$17,FALSE))))</f>
        <v>8</v>
      </c>
      <c r="AW25" s="5453">
        <f>+IF(L25="","",IF(2009-VLOOKUP(MATCH(L25,epa_id,0)+1,epa,'A1(epa)'!$U$17,FALSE)=0,IF(VLOOKUP(MATCH(L25,epa_id,0)+1,epa,'A1(epa)'!$X$17,FALSE)=0,"",VLOOKUP(MATCH(L25,epa_id,0)+1,epa,'A1(epa)'!$X$17,FALSE))))</f>
        <v>5</v>
      </c>
      <c r="AX25" s="5643">
        <f>+IF(L25="","",IF(2009-VLOOKUP(MATCH(L25,epa_id,0)+1,epa,'A1(epa)'!$U$17,FALSE)=0,IF(VLOOKUP(MATCH(L25,epa_id,0)+1,epa,'A1(epa)'!$Y$17,FALSE)=0,"",VLOOKUP(MATCH(L25,epa_id,0)+1,epa,'A1(epa)'!$Y$17,FALSE))))</f>
        <v>72</v>
      </c>
      <c r="AY25" s="5657">
        <f>+IF(L25="","",IF(2009-VLOOKUP(MATCH(L25,epa_id,0)+1,epa,'A1(epa)'!$U$17,FALSE)=0,IF(VLOOKUP(MATCH(L25,epa_id,0)+1,epa,'A1(epa)'!$AA$17,FALSE)=0,"",VLOOKUP(MATCH(L25,epa_id,0)+1,epa,'A1(epa)'!$AA$17,FALSE))))</f>
        <v>0.82</v>
      </c>
      <c r="AZ25" s="5658">
        <f>+IF(L25="","",IF(2009-VLOOKUP(MATCH(L25,epa_id,0)+1,epa,'A1(epa)'!$U$17,FALSE)=0,IF(VLOOKUP(MATCH(L25,epa_id,0)+1,epa,'A1(epa)'!$AB$17,FALSE)=0,"",VLOOKUP(MATCH(L25,epa_id,0)+1,epa,'A1(epa)'!$AB$17,FALSE))))</f>
        <v>0.4</v>
      </c>
      <c r="BA25" s="5659">
        <f t="shared" si="15"/>
        <v>0.82</v>
      </c>
      <c r="BB25" s="5660">
        <f t="shared" si="7"/>
        <v>0.4</v>
      </c>
      <c r="BC25" s="5455">
        <f t="shared" si="8"/>
        <v>5555.5555555555557</v>
      </c>
      <c r="BD25" s="5643">
        <f>+IF(L25="","",IF(2009-VLOOKUP(MATCH(L25,epa_id,0)+1,epa,'A1(epa)'!$U$17,FALSE)=0,IF(VLOOKUP(MATCH(L25,epa_id,0)+1,epa,'A1(epa)'!$AC$17,FALSE)=0,"",VLOOKUP(MATCH(L25,epa_id,0)+1,epa,'A1(epa)'!$AC$17,FALSE))))</f>
        <v>910</v>
      </c>
      <c r="BE25" s="5453" t="str">
        <f>+IF(L25="","",IF(2009-VLOOKUP(MATCH(L25,epa_id,0)+1,epa,'A1(epa)'!$U$17,FALSE)=0,IF(VLOOKUP(MATCH(L25,epa_id,0)+1,epa,'A1(epa)'!$AP$17,FALSE)=0,"",VLOOKUP(MATCH(L25,epa_id,0)+1,epa,'A1(epa)'!$AP$17,FALSE))))</f>
        <v>Diesel Oil</v>
      </c>
      <c r="BF25" s="5454" t="str">
        <f>+IF(L25="","",IF(2009-VLOOKUP(MATCH(L25,epa_id,0)+1,epa,'A1(epa)'!$U$17,FALSE)=0,IF(VLOOKUP(MATCH(L25,epa_id,0)+1,epa,'A1(epa)'!$AQ$17,FALSE)=0,"",VLOOKUP(MATCH(L25,epa_id,0)+1,epa,'A1(epa)'!$AQ$17,FALSE))))</f>
        <v/>
      </c>
      <c r="BG25" s="5456">
        <f>+IF(L25="","",IF(2008-VLOOKUP(MATCH(L25,epa_id,0)+2,epa,'A1(epa)'!$U$17,FALSE)=0,IF(VLOOKUP(MATCH(L25,epa_id,0)+2,epa,'A1(epa)'!$U$17,FALSE)=0,"",VLOOKUP(MATCH(L25,epa_id,0)+2,epa,'A1(epa)'!$U$17,FALSE))))</f>
        <v>2008</v>
      </c>
      <c r="BH25" s="5453">
        <f>+IF(L25="","",IF(2008-VLOOKUP(MATCH(L25,epa_id,0)+2,epa,'A1(epa)'!$U$17,FALSE)=0,IF(VLOOKUP(MATCH(L25,epa_id,0)+2,epa,'A1(epa)'!$W$17,FALSE)=0,"",VLOOKUP(MATCH(L25,epa_id,0)+2,epa,'A1(epa)'!$W$17,FALSE))))</f>
        <v>12</v>
      </c>
      <c r="BI25" s="5453">
        <f>+IF(L25="","",IF(2008-VLOOKUP(MATCH(L25,epa_id,0)+2,epa,'A1(epa)'!$U$17,FALSE)=0,IF(VLOOKUP(MATCH(L25,epa_id,0)+2,epa,'A1(epa)'!$X$17,FALSE)=0,"",VLOOKUP(MATCH(L25,epa_id,0)+2,epa,'A1(epa)'!$X$17,FALSE))))</f>
        <v>5</v>
      </c>
      <c r="BJ25" s="5643">
        <f>+IF(L25="","",IF(2008-VLOOKUP(MATCH(L25,epa_id,0)+2,epa,'A1(epa)'!$U$17,FALSE)=0,IF(VLOOKUP(MATCH(L25,epa_id,0)+2,epa,'A1(epa)'!$Y$17,FALSE)=0,"",VLOOKUP(MATCH(L25,epa_id,0)+2,epa,'A1(epa)'!$Y$17,FALSE))))</f>
        <v>111</v>
      </c>
      <c r="BK25" s="5657">
        <f>+IF(L25="","",IF(2008-VLOOKUP(MATCH(L25,epa_id,0)+2,epa,'A1(epa)'!$U$17,FALSE)=0,IF(VLOOKUP(MATCH(L25,epa_id,0)+2,epa,'A1(epa)'!$AA$17,FALSE)=0,"",VLOOKUP(MATCH(L25,epa_id,0)+2,epa,'A1(epa)'!$AA$17,FALSE))))</f>
        <v>0.84</v>
      </c>
      <c r="BL25" s="5658">
        <f>+IF(L25="","",IF(2008-VLOOKUP(MATCH(L25,epa_id,0)+2,epa,'A1(epa)'!$U$17,FALSE)=0,IF(VLOOKUP(MATCH(L25,epa_id,0)+2,epa,'A1(epa)'!$AB$17,FALSE)=0,"",VLOOKUP(MATCH(L25,epa_id,0)+2,epa,'A1(epa)'!$AB$17,FALSE))))</f>
        <v>0.6</v>
      </c>
      <c r="BM25" s="5710">
        <f t="shared" si="16"/>
        <v>0.84</v>
      </c>
      <c r="BN25" s="5711">
        <f t="shared" si="9"/>
        <v>0.6</v>
      </c>
      <c r="BO25" s="5712">
        <f t="shared" si="10"/>
        <v>5405.405405405405</v>
      </c>
      <c r="BP25" s="5629">
        <f>+IF(L25="","",IF(2008-VLOOKUP(MATCH(L25,epa_id,0)+2,epa,'A1(epa)'!$U$17,FALSE)=0,IF(VLOOKUP(MATCH(L25,epa_id,0)+2,epa,'A1(epa)'!$AC$17,FALSE)=0,"",VLOOKUP(MATCH(L25,epa_id,0)+2,epa,'A1(epa)'!$AC$17,FALSE))))</f>
        <v>1405</v>
      </c>
      <c r="BQ25" s="5601" t="str">
        <f>+IF(L25="","",IF(2008-VLOOKUP(MATCH(L25,epa_id,0)+2,epa,'A1(epa)'!$U$17,FALSE)=0,IF(VLOOKUP(MATCH(L25,epa_id,0)+2,epa,'A1(epa)'!$AP$17,FALSE)=0,"",VLOOKUP(MATCH(L25,epa_id,0)+2,epa,'A1(epa)'!$AP$17,FALSE))))</f>
        <v>Diesel Oil</v>
      </c>
      <c r="BR25" s="5614" t="str">
        <f>+IF(L25="","",IF(2008-VLOOKUP(MATCH(L25,epa_id,0)+2,epa,'A1(epa)'!$U$17,FALSE)=0,IF(VLOOKUP(MATCH(L25,epa_id,0)+2,epa,'A1(epa)'!$AQ$17,FALSE)=0,"",VLOOKUP(MATCH(L25,epa_id,0)+2,epa,'A1(epa)'!$AQ$17,FALSE))))</f>
        <v/>
      </c>
      <c r="BS25" s="5601" t="str">
        <f>+IF(L25="","",IF(2010-VLOOKUP(MATCH(L25,epa_id,0),epa,'A1(epa)'!$U$17,FALSE)=0,IF(VLOOKUP(MATCH(L25,epa_id,0),epa,'A1(epa)'!$AS$17,FALSE)=0,"",VLOOKUP(MATCH(L25,epa_id,0),epa,'A1(epa)'!$AS$17,FALSE))))</f>
        <v/>
      </c>
      <c r="BT25" s="5443" t="str">
        <f>+IF(L25="","",IF(2010-VLOOKUP(MATCH(L25,epa_id,0),epa,'A1(epa)'!$U$17,FALSE)=0,IF(VLOOKUP(MATCH(L25,epa_id,0),epa,'A1(epa)'!$AT$17,FALSE)=0,"",VLOOKUP(MATCH(L25,epa_id,0),epa,'A1(epa)'!$AT$17,FALSE))))</f>
        <v/>
      </c>
      <c r="BU25" s="5443" t="str">
        <f>+IF(L25="","",IF(2010-VLOOKUP(MATCH(L25,epa_id,0),epa,'A1(epa)'!$U$17,FALSE)=0,IF(VLOOKUP(MATCH(L25,epa_id,0),epa,'A1(epa)'!$AU$17,FALSE)=0,"",VLOOKUP(MATCH(L25,epa_id,0),epa,'A1(epa)'!$AU$17,FALSE))))</f>
        <v/>
      </c>
      <c r="BV25" s="5443" t="str">
        <f>+IF(L25="","",IF(2010-VLOOKUP(MATCH(L25,epa_id,0),epa,'A1(epa)'!$U$17,FALSE)=0,IF(VLOOKUP(MATCH(L25,epa_id,0),epa,'A1(epa)'!$AR$17,FALSE)=0,"",VLOOKUP(MATCH(L25,epa_id,0),epa,'A1(epa)'!$AR$17,FALSE))))</f>
        <v/>
      </c>
      <c r="BW25" s="5586" t="str">
        <f>+IF(L25="","",IF(2010-VLOOKUP(MATCH(L25,epa_id,0),epa,'A1(epa)'!$U$17,FALSE)=0,IF(VLOOKUP(MATCH(L25,epa_id,0),epa,'A1(epa)'!$AV$17,FALSE)=0,"",VLOOKUP(MATCH(L25,epa_id,0),epa,'A1(epa)'!$AV$17,FALSE))))</f>
        <v/>
      </c>
      <c r="BX25" s="5457">
        <f>+IF(L25="","",IF(2010-VLOOKUP(MATCH(L25,epa_id,0),epa,'A1(epa)'!$U$17,FALSE)=0,IF(VLOOKUP(MATCH(L25,epa_id,0),epa,'A1(epa)'!$AW$17,FALSE)=0,"",VLOOKUP(MATCH(L25,epa_id,0),epa,'A1(epa)'!$AW$17,FALSE))))</f>
        <v>266</v>
      </c>
      <c r="BY25" s="5415"/>
      <c r="BZ25" s="5478">
        <f t="shared" si="11"/>
        <v>5400.9654816106431</v>
      </c>
      <c r="CA25" s="5415"/>
      <c r="CB25" s="9553"/>
      <c r="CC25" s="9538"/>
      <c r="CD25" s="9538"/>
      <c r="CE25" s="9557"/>
      <c r="CF25" s="9532"/>
      <c r="CG25" s="9532"/>
      <c r="CH25" s="9561"/>
      <c r="CI25" s="9541"/>
      <c r="CJ25" s="9538"/>
      <c r="CK25" s="9538"/>
      <c r="CL25" s="9535"/>
      <c r="CM25" s="9532"/>
      <c r="CN25" s="9532"/>
      <c r="CO25" s="9561"/>
      <c r="CP25" s="9541"/>
      <c r="CQ25" s="9538"/>
      <c r="CR25" s="9538"/>
      <c r="CS25" s="9535"/>
      <c r="CT25" s="9532"/>
      <c r="CU25" s="9532"/>
      <c r="CV25" s="9550"/>
      <c r="CW25" s="9604"/>
      <c r="CX25" s="9601"/>
      <c r="CY25" s="9598"/>
      <c r="CZ25" s="9538"/>
      <c r="DA25" s="9557">
        <f t="shared" si="12"/>
        <v>0</v>
      </c>
      <c r="DB25" s="9532"/>
      <c r="DC25" s="9532"/>
      <c r="DD25" s="9561"/>
      <c r="DE25" s="9578"/>
      <c r="DF25" s="9578"/>
      <c r="DG25" s="5356"/>
      <c r="DH25" s="5348"/>
      <c r="DI25" s="5348"/>
    </row>
    <row r="26" spans="1:113" s="479" customFormat="1" ht="25.5" customHeight="1">
      <c r="A26" s="5364" t="str">
        <f t="shared" si="13"/>
        <v>8302-07</v>
      </c>
      <c r="B26" s="9571">
        <f>+IF(A26="","",VLOOKUP(MATCH(A26,tid,0),tao,'12(id)'!$J$20,FALSE))</f>
        <v>0</v>
      </c>
      <c r="C26" s="5365" t="str">
        <f t="shared" si="2"/>
        <v>14A</v>
      </c>
      <c r="D26" s="5359"/>
      <c r="E26" s="5351"/>
      <c r="F26" s="5359"/>
      <c r="G26" s="4445">
        <f t="shared" si="17"/>
        <v>8</v>
      </c>
      <c r="H26" s="4399">
        <v>8</v>
      </c>
      <c r="I26" s="9574" t="str">
        <f>+IF(L26="","",IF(VLOOKUP(MATCH(L26,tid,0),tao,'12(id)'!$H$20,FALSE)="","",VLOOKUP(MATCH(L26,tid,0),tao,'12(id)'!$H$20,FALSE)))</f>
        <v/>
      </c>
      <c r="J26" s="9520" t="str">
        <f>+IF(L26="","",IF(VLOOKUP(MATCH(L26,tid,0),tao,'12(id)'!$I$20,FALSE)="","",VLOOKUP(MATCH(L26,tid,0),tao,'12(id)'!$I$20,FALSE)))</f>
        <v/>
      </c>
      <c r="K26" s="9518">
        <f>+IF(L26="","",IF(VLOOKUP(MATCH(L26,tid,0),tao,'12(id)'!$K$20,FALSE)="","",VLOOKUP(MATCH(L26,tid,0),tao,'12(id)'!$K$20,FALSE)))</f>
        <v>8302</v>
      </c>
      <c r="L26" s="5154" t="s">
        <v>284</v>
      </c>
      <c r="M26" s="9520" t="str">
        <f>+IF(L26="","",IF(VLOOKUP(MATCH(L26,tid,0),tao,'12(id)'!$L$20,FALSE)="","",VLOOKUP(MATCH(L26,tid,0),tao,'12(id)'!$L$20,FALSE)))</f>
        <v>South Meadow Station</v>
      </c>
      <c r="N26" s="52" t="str">
        <f>+IF(L26="","",IF(VLOOKUP(MATCH(L26,tid,0),tao,'12(id)'!$P$20,FALSE)="","",VLOOKUP(MATCH(L26,tid,0),tao,'12(id)'!$P$20,FALSE)))</f>
        <v>14A</v>
      </c>
      <c r="O26" s="4385" t="str">
        <f>+IF(L26="","",IF(VLOOKUP(MATCH(L26,tid,0),tao,'12(id)'!$Q$20,FALSE)="","",VLOOKUP(MATCH(L26,tid,0),tao,'12(id)'!$Q$20,FALSE)))</f>
        <v>14A</v>
      </c>
      <c r="P26" s="9618">
        <f>+IF(L26="","",IF(VLOOKUP(MATCH(L26,tid,0),tao,'12(id)'!$CT$20,FALSE)="","",VLOOKUP(MATCH(L26,tid,0),tao,'12(id)'!$CT$20,FALSE)))</f>
        <v>40</v>
      </c>
      <c r="Q26" s="9566"/>
      <c r="R26" s="5439" t="str">
        <f>+IF(L26="","",IF(VLOOKUP(MATCH(L26,tid,0),tao,'12(id)'!$T$20,FALSE)="","",VLOOKUP(MATCH(L26,tid,0),tao,'12(id)'!$T$20,FALSE)))</f>
        <v>Combustion Turbine</v>
      </c>
      <c r="S26" s="5440" t="str">
        <f>+IF(L26="","",IF(VLOOKUP(MATCH(L26,tid,0),tao,'12(id)'!$CO$20,FALSE)="","",VLOOKUP(MATCH(L26,tid,0),tao,'12(id)'!$CO$20,FALSE)))</f>
        <v>Pratt &amp; Whitney</v>
      </c>
      <c r="T26" s="5439" t="str">
        <f>+IF(L26="","",IF(VLOOKUP(MATCH(L26,tid,0),tao,'12(id)'!$CP$20,FALSE)="","",VLOOKUP(MATCH(L26,tid,0),tao,'12(id)'!$CP$20,FALSE)))</f>
        <v>TP4-2(A9) LF</v>
      </c>
      <c r="U26" s="5441">
        <f>+IF(L26="","",IF(VLOOKUP(MATCH(L26,tid,0),tao,'12(id)'!$DC$20,FALSE)="","",IF(VLOOKUP(MATCH(L26,tid,0),tao,'12(id)'!$DB$20,FALSE)="",VLOOKUP(MATCH(L26,tid,0),tao,'12(id)'!$DC$20,FALSE),VLOOKUP(MATCH(L26,tid,0),tao,'12(id)'!$DB$20,FALSE)&amp;" "&amp;VLOOKUP(MATCH(L26,tid,0),tao,'12(id)'!$DC$20,FALSE))))</f>
        <v>1970</v>
      </c>
      <c r="V26" s="5442">
        <f ca="1">+IF(L26="","",IF(VLOOKUP(MATCH(L26,tid,0),tao,'12(id)'!$DE$20,FALSE)="","",ROUND(VLOOKUP(MATCH(L26,tid,0),tao,'12(id)'!$DE$20,FALSE),0)))</f>
        <v>45</v>
      </c>
      <c r="W26" s="5443" t="str">
        <f>+IF(L26="","",IF(VLOOKUP(G26,tao,'12(id)'!$FR$20,FALSE)="","",VLOOKUP(G26,tao,'12(id)'!$FR$20,FALSE)&amp;IF(VLOOKUP(G26,tao,'12(id)'!$FS$20,FALSE)="","",", "&amp;VLOOKUP(G26,tao,'12(id)'!$FS$20,FALSE))))</f>
        <v>None</v>
      </c>
      <c r="X26" s="5443" t="str">
        <f>+IF(L26="","",IF(VLOOKUP(MATCH(L26,tid,0),tao,'12(id)'!$DI$20,FALSE)="","",VLOOKUP(MATCH(L26,tid,0),tao,'12(id)'!$DI$20,FALSE)))</f>
        <v>Jet Fuel A (Kerosene K1)</v>
      </c>
      <c r="Y26" s="5443" t="str">
        <f>+IF(L26="","",IF(VLOOKUP(MATCH(L26,tid,0),tao,'12(id)'!$DQ$20,FALSE)="","",VLOOKUP(MATCH(L26,tid,0),tao,'12(id)'!$DQ$20,FALSE)))</f>
        <v>No. 2 oil</v>
      </c>
      <c r="Z26" s="5444">
        <f>+IF(L26="","",IF(VLOOKUP(MATCH(L26,tid,0),tao,'12(id)'!$EH$20,FALSE)="","",VLOOKUP(MATCH(L26,tid,0),tao,'12(id)'!$EH$20,FALSE)))</f>
        <v>256</v>
      </c>
      <c r="AA26" s="5445">
        <f>+IF(L26="","",IF(VLOOKUP(MATCH(L26,tid,0),tao,'12(id)'!$EI$20,FALSE)="","",VLOOKUP(MATCH(L26,tid,0),tao,'12(id)'!$EI$20,FALSE)))</f>
        <v>0.755</v>
      </c>
      <c r="AB26" s="5445">
        <f>+IF(L26="","",IF(VLOOKUP(MATCH(L26,tid,0),tao,'12(id)'!$EJ$20,FALSE)="","",VLOOKUP(MATCH(L26,tid,0),tao,'12(id)'!$EJ$20,FALSE)))</f>
        <v>124</v>
      </c>
      <c r="AC26" s="5446">
        <f>+IF(L26="","",IF(VLOOKUP(MATCH(L26,tid,0),tao,'12(id)'!$EL$20,FALSE)="","",VLOOKUP(MATCH(L26,tid,0),tao,'12(id)'!$EL$20,FALSE)))</f>
        <v>0.81</v>
      </c>
      <c r="AD26" s="5447"/>
      <c r="AE26" s="5448">
        <f t="shared" si="3"/>
        <v>0.755</v>
      </c>
      <c r="AF26" s="5447">
        <f t="shared" si="4"/>
        <v>124</v>
      </c>
      <c r="AG26" s="5449" t="str">
        <f>+IF(L26="","",IF(VLOOKUP(MATCH(L26,tid,0),tao,'12(id)'!$GY$20,FALSE)="","",VLOOKUP(MATCH(L26,tid,0),tao,'12(id)'!$GY$20,FALSE)))</f>
        <v/>
      </c>
      <c r="AH26" s="5450" t="str">
        <f>+IF(L26="","",IF(VLOOKUP(MATCH(L26,tid,0),tao,'12(id)'!$HL$20,FALSE)="","",VLOOKUP(MATCH(L26,tid,0),tao,'12(id)'!$HL$20,FALSE)))</f>
        <v/>
      </c>
      <c r="AI26" s="5451">
        <f>+IF(L26="","",IF(2010-VLOOKUP(MATCH(L26,epa_id,0),epa,'A1(epa)'!$U$17,FALSE)=0,IF(VLOOKUP(MATCH(L26,epa_id,0),epa,'A1(epa)'!$U$17,FALSE)=0,"",VLOOKUP(MATCH(L26,epa_id,0),epa,'A1(epa)'!$U$17,FALSE))))</f>
        <v>2010</v>
      </c>
      <c r="AJ26" s="5643">
        <f>+IF(L26="","",IF(2010-VLOOKUP(MATCH(L26,epa_id,0),epa,'A1(epa)'!$U$17,FALSE)=0,IF(VLOOKUP(MATCH(L26,epa_id,0),epa,'A1(epa)'!$W$17,FALSE)=0,"",VLOOKUP(MATCH(L26,epa_id,0),epa,'A1(epa)'!$W$17,FALSE))))</f>
        <v>16</v>
      </c>
      <c r="AK26" s="5452">
        <f>+IF(L26="","",IF(2010-VLOOKUP(MATCH(L26,epa_id,0),epa,'A1(epa)'!$U$17,FALSE)=0,IF(VLOOKUP(MATCH(L26,epa_id,0),epa,'A1(epa)'!$X$17,FALSE)=0,"",VLOOKUP(MATCH(L26,epa_id,0),epa,'A1(epa)'!$X$17,FALSE))))</f>
        <v>5</v>
      </c>
      <c r="AL26" s="5643">
        <f>+IF(L26="","",IF(2010-VLOOKUP(MATCH(L26,epa_id,0),epa,'A1(epa)'!$U$17,FALSE)=0,IF(VLOOKUP(MATCH(L26,epa_id,0),epa,'A1(epa)'!$Y$17,FALSE)=0,"",VLOOKUP(MATCH(L26,epa_id,0),epa,'A1(epa)'!$Y$17,FALSE))))</f>
        <v>220</v>
      </c>
      <c r="AM26" s="5760">
        <f>+IF(L26="","",IF(2010-VLOOKUP(MATCH(L26,epa_id,0),epa,'A1(epa)'!$U$17,FALSE)=0,IF(VLOOKUP(MATCH(L26,epa_id,0),epa,'A1(epa)'!$AA$17,FALSE)=0,"",VLOOKUP(MATCH(L26,epa_id,0),epa,'A1(epa)'!$AA$17,FALSE))))</f>
        <v>0.82</v>
      </c>
      <c r="AN26" s="5761">
        <f>+IF(L26="","",IF(2010-VLOOKUP(MATCH(L26,epa_id,0),epa,'A1(epa)'!$U$17,FALSE)=0,IF(VLOOKUP(MATCH(L26,epa_id,0),epa,'A1(epa)'!$AB$17,FALSE)=0,"",VLOOKUP(MATCH(L26,epa_id,0),epa,'A1(epa)'!$AB$17,FALSE))))</f>
        <v>1.2</v>
      </c>
      <c r="AO26" s="5762">
        <f t="shared" si="14"/>
        <v>0.82</v>
      </c>
      <c r="AP26" s="5763">
        <f t="shared" si="5"/>
        <v>1.2</v>
      </c>
      <c r="AQ26" s="5764">
        <f t="shared" si="6"/>
        <v>5454.545454545455</v>
      </c>
      <c r="AR26" s="5643">
        <f>+IF(L26="","",IF(2010-VLOOKUP(MATCH(L26,epa_id,0),epa,'A1(epa)'!$U$17,FALSE)=0,IF(VLOOKUP(MATCH(L26,epa_id,0),epa,'A1(epa)'!$AC$17,FALSE)=0,"",VLOOKUP(MATCH(L26,epa_id,0),epa,'A1(epa)'!$AC$17,FALSE))))</f>
        <v>2931</v>
      </c>
      <c r="AS26" s="5443" t="str">
        <f>+IF(L26="","",IF(2010-VLOOKUP(MATCH(L26,epa_id,0),epa,'A1(epa)'!$U$17,FALSE)=0,IF(VLOOKUP(MATCH(L26,epa_id,0),epa,'A1(epa)'!$AP$17,FALSE)=0,"",VLOOKUP(MATCH(L26,epa_id,0),epa,'A1(epa)'!$AP$17,FALSE))))</f>
        <v>Diesel Oil</v>
      </c>
      <c r="AT26" s="5614" t="str">
        <f>+IF(L26="","",IF(2010-VLOOKUP(MATCH(L26,epa_id,0),epa,'A1(epa)'!$U$17,FALSE)=0,IF(VLOOKUP(MATCH(L26,epa_id,0),epa,'A1(epa)'!$AQ$17,FALSE)=0,"",VLOOKUP(MATCH(L26,epa_id,0),epa,'A1(epa)'!$AQ$17,FALSE))))</f>
        <v/>
      </c>
      <c r="AU26" s="5451">
        <f>+IF(L26="","",IF(2009-VLOOKUP(MATCH(L26,epa_id,0)+1,epa,'A1(epa)'!$U$17,FALSE)=0,IF(VLOOKUP(MATCH(L26,epa_id,0)+1,epa,'A1(epa)'!$U$17,FALSE)=0,"",VLOOKUP(MATCH(L26,epa_id,0)+1,epa,'A1(epa)'!$U$17,FALSE))))</f>
        <v>2009</v>
      </c>
      <c r="AV26" s="5441">
        <f>+IF(L26="","",IF(2009-VLOOKUP(MATCH(L26,epa_id,0)+1,epa,'A1(epa)'!$U$17,FALSE)=0,IF(VLOOKUP(MATCH(L26,epa_id,0)+1,epa,'A1(epa)'!$W$17,FALSE)=0,"",VLOOKUP(MATCH(L26,epa_id,0)+1,epa,'A1(epa)'!$W$17,FALSE))))</f>
        <v>6</v>
      </c>
      <c r="AW26" s="5453">
        <f>+IF(L26="","",IF(2009-VLOOKUP(MATCH(L26,epa_id,0)+1,epa,'A1(epa)'!$U$17,FALSE)=0,IF(VLOOKUP(MATCH(L26,epa_id,0)+1,epa,'A1(epa)'!$X$17,FALSE)=0,"",VLOOKUP(MATCH(L26,epa_id,0)+1,epa,'A1(epa)'!$X$17,FALSE))))</f>
        <v>5</v>
      </c>
      <c r="AX26" s="5643">
        <f>+IF(L26="","",IF(2009-VLOOKUP(MATCH(L26,epa_id,0)+1,epa,'A1(epa)'!$U$17,FALSE)=0,IF(VLOOKUP(MATCH(L26,epa_id,0)+1,epa,'A1(epa)'!$Y$17,FALSE)=0,"",VLOOKUP(MATCH(L26,epa_id,0)+1,epa,'A1(epa)'!$Y$17,FALSE))))</f>
        <v>64</v>
      </c>
      <c r="AY26" s="5657">
        <f>+IF(L26="","",IF(2009-VLOOKUP(MATCH(L26,epa_id,0)+1,epa,'A1(epa)'!$U$17,FALSE)=0,IF(VLOOKUP(MATCH(L26,epa_id,0)+1,epa,'A1(epa)'!$AA$17,FALSE)=0,"",VLOOKUP(MATCH(L26,epa_id,0)+1,epa,'A1(epa)'!$AA$17,FALSE))))</f>
        <v>0.86</v>
      </c>
      <c r="AZ26" s="5658">
        <f>+IF(L26="","",IF(2009-VLOOKUP(MATCH(L26,epa_id,0)+1,epa,'A1(epa)'!$U$17,FALSE)=0,IF(VLOOKUP(MATCH(L26,epa_id,0)+1,epa,'A1(epa)'!$AB$17,FALSE)=0,"",VLOOKUP(MATCH(L26,epa_id,0)+1,epa,'A1(epa)'!$AB$17,FALSE))))</f>
        <v>0.4</v>
      </c>
      <c r="BA26" s="5659">
        <f t="shared" si="15"/>
        <v>0.86</v>
      </c>
      <c r="BB26" s="5660">
        <f t="shared" si="7"/>
        <v>0.4</v>
      </c>
      <c r="BC26" s="5455">
        <f t="shared" si="8"/>
        <v>6250</v>
      </c>
      <c r="BD26" s="5643">
        <f>+IF(L26="","",IF(2009-VLOOKUP(MATCH(L26,epa_id,0)+1,epa,'A1(epa)'!$U$17,FALSE)=0,IF(VLOOKUP(MATCH(L26,epa_id,0)+1,epa,'A1(epa)'!$AC$17,FALSE)=0,"",VLOOKUP(MATCH(L26,epa_id,0)+1,epa,'A1(epa)'!$AC$17,FALSE))))</f>
        <v>825</v>
      </c>
      <c r="BE26" s="5453" t="str">
        <f>+IF(L26="","",IF(2009-VLOOKUP(MATCH(L26,epa_id,0)+1,epa,'A1(epa)'!$U$17,FALSE)=0,IF(VLOOKUP(MATCH(L26,epa_id,0)+1,epa,'A1(epa)'!$AP$17,FALSE)=0,"",VLOOKUP(MATCH(L26,epa_id,0)+1,epa,'A1(epa)'!$AP$17,FALSE))))</f>
        <v>Diesel Oil</v>
      </c>
      <c r="BF26" s="5454" t="str">
        <f>+IF(L26="","",IF(2009-VLOOKUP(MATCH(L26,epa_id,0)+1,epa,'A1(epa)'!$U$17,FALSE)=0,IF(VLOOKUP(MATCH(L26,epa_id,0)+1,epa,'A1(epa)'!$AQ$17,FALSE)=0,"",VLOOKUP(MATCH(L26,epa_id,0)+1,epa,'A1(epa)'!$AQ$17,FALSE))))</f>
        <v/>
      </c>
      <c r="BG26" s="5456">
        <f>+IF(L26="","",IF(2008-VLOOKUP(MATCH(L26,epa_id,0)+2,epa,'A1(epa)'!$U$17,FALSE)=0,IF(VLOOKUP(MATCH(L26,epa_id,0)+2,epa,'A1(epa)'!$U$17,FALSE)=0,"",VLOOKUP(MATCH(L26,epa_id,0)+2,epa,'A1(epa)'!$U$17,FALSE))))</f>
        <v>2008</v>
      </c>
      <c r="BH26" s="5453">
        <f>+IF(L26="","",IF(2008-VLOOKUP(MATCH(L26,epa_id,0)+2,epa,'A1(epa)'!$U$17,FALSE)=0,IF(VLOOKUP(MATCH(L26,epa_id,0)+2,epa,'A1(epa)'!$W$17,FALSE)=0,"",VLOOKUP(MATCH(L26,epa_id,0)+2,epa,'A1(epa)'!$W$17,FALSE))))</f>
        <v>9</v>
      </c>
      <c r="BI26" s="5453">
        <f>+IF(L26="","",IF(2008-VLOOKUP(MATCH(L26,epa_id,0)+2,epa,'A1(epa)'!$U$17,FALSE)=0,IF(VLOOKUP(MATCH(L26,epa_id,0)+2,epa,'A1(epa)'!$X$17,FALSE)=0,"",VLOOKUP(MATCH(L26,epa_id,0)+2,epa,'A1(epa)'!$X$17,FALSE))))</f>
        <v>5</v>
      </c>
      <c r="BJ26" s="5643">
        <f>+IF(L26="","",IF(2008-VLOOKUP(MATCH(L26,epa_id,0)+2,epa,'A1(epa)'!$U$17,FALSE)=0,IF(VLOOKUP(MATCH(L26,epa_id,0)+2,epa,'A1(epa)'!$Y$17,FALSE)=0,"",VLOOKUP(MATCH(L26,epa_id,0)+2,epa,'A1(epa)'!$Y$17,FALSE))))</f>
        <v>89</v>
      </c>
      <c r="BK26" s="5657">
        <f>+IF(L26="","",IF(2008-VLOOKUP(MATCH(L26,epa_id,0)+2,epa,'A1(epa)'!$U$17,FALSE)=0,IF(VLOOKUP(MATCH(L26,epa_id,0)+2,epa,'A1(epa)'!$AA$17,FALSE)=0,"",VLOOKUP(MATCH(L26,epa_id,0)+2,epa,'A1(epa)'!$AA$17,FALSE))))</f>
        <v>0.87</v>
      </c>
      <c r="BL26" s="5658">
        <f>+IF(L26="","",IF(2008-VLOOKUP(MATCH(L26,epa_id,0)+2,epa,'A1(epa)'!$U$17,FALSE)=0,IF(VLOOKUP(MATCH(L26,epa_id,0)+2,epa,'A1(epa)'!$AB$17,FALSE)=0,"",VLOOKUP(MATCH(L26,epa_id,0)+2,epa,'A1(epa)'!$AB$17,FALSE))))</f>
        <v>0.5</v>
      </c>
      <c r="BM26" s="5710">
        <f t="shared" si="16"/>
        <v>0.87</v>
      </c>
      <c r="BN26" s="5711">
        <f t="shared" si="9"/>
        <v>0.5</v>
      </c>
      <c r="BO26" s="5712">
        <f t="shared" si="10"/>
        <v>5617.9775280898875</v>
      </c>
      <c r="BP26" s="5629">
        <f>+IF(L26="","",IF(2008-VLOOKUP(MATCH(L26,epa_id,0)+2,epa,'A1(epa)'!$U$17,FALSE)=0,IF(VLOOKUP(MATCH(L26,epa_id,0)+2,epa,'A1(epa)'!$AC$17,FALSE)=0,"",VLOOKUP(MATCH(L26,epa_id,0)+2,epa,'A1(epa)'!$AC$17,FALSE))))</f>
        <v>1135</v>
      </c>
      <c r="BQ26" s="5601" t="str">
        <f>+IF(L26="","",IF(2008-VLOOKUP(MATCH(L26,epa_id,0)+2,epa,'A1(epa)'!$U$17,FALSE)=0,IF(VLOOKUP(MATCH(L26,epa_id,0)+2,epa,'A1(epa)'!$AP$17,FALSE)=0,"",VLOOKUP(MATCH(L26,epa_id,0)+2,epa,'A1(epa)'!$AP$17,FALSE))))</f>
        <v>Diesel Oil</v>
      </c>
      <c r="BR26" s="5614" t="str">
        <f>+IF(L26="","",IF(2008-VLOOKUP(MATCH(L26,epa_id,0)+2,epa,'A1(epa)'!$U$17,FALSE)=0,IF(VLOOKUP(MATCH(L26,epa_id,0)+2,epa,'A1(epa)'!$AQ$17,FALSE)=0,"",VLOOKUP(MATCH(L26,epa_id,0)+2,epa,'A1(epa)'!$AQ$17,FALSE))))</f>
        <v/>
      </c>
      <c r="BS26" s="5601" t="str">
        <f>+IF(L26="","",IF(2010-VLOOKUP(MATCH(L26,epa_id,0),epa,'A1(epa)'!$U$17,FALSE)=0,IF(VLOOKUP(MATCH(L26,epa_id,0),epa,'A1(epa)'!$AS$17,FALSE)=0,"",VLOOKUP(MATCH(L26,epa_id,0),epa,'A1(epa)'!$AS$17,FALSE))))</f>
        <v/>
      </c>
      <c r="BT26" s="5443" t="str">
        <f>+IF(L26="","",IF(2010-VLOOKUP(MATCH(L26,epa_id,0),epa,'A1(epa)'!$U$17,FALSE)=0,IF(VLOOKUP(MATCH(L26,epa_id,0),epa,'A1(epa)'!$AT$17,FALSE)=0,"",VLOOKUP(MATCH(L26,epa_id,0),epa,'A1(epa)'!$AT$17,FALSE))))</f>
        <v/>
      </c>
      <c r="BU26" s="5443" t="str">
        <f>+IF(L26="","",IF(2010-VLOOKUP(MATCH(L26,epa_id,0),epa,'A1(epa)'!$U$17,FALSE)=0,IF(VLOOKUP(MATCH(L26,epa_id,0),epa,'A1(epa)'!$AU$17,FALSE)=0,"",VLOOKUP(MATCH(L26,epa_id,0),epa,'A1(epa)'!$AU$17,FALSE))))</f>
        <v/>
      </c>
      <c r="BV26" s="5443" t="str">
        <f>+IF(L26="","",IF(2010-VLOOKUP(MATCH(L26,epa_id,0),epa,'A1(epa)'!$U$17,FALSE)=0,IF(VLOOKUP(MATCH(L26,epa_id,0),epa,'A1(epa)'!$AR$17,FALSE)=0,"",VLOOKUP(MATCH(L26,epa_id,0),epa,'A1(epa)'!$AR$17,FALSE))))</f>
        <v/>
      </c>
      <c r="BW26" s="5586" t="str">
        <f>+IF(L26="","",IF(2010-VLOOKUP(MATCH(L26,epa_id,0),epa,'A1(epa)'!$U$17,FALSE)=0,IF(VLOOKUP(MATCH(L26,epa_id,0),epa,'A1(epa)'!$AV$17,FALSE)=0,"",VLOOKUP(MATCH(L26,epa_id,0),epa,'A1(epa)'!$AV$17,FALSE))))</f>
        <v/>
      </c>
      <c r="BX26" s="5457">
        <f>+IF(L26="","",IF(2010-VLOOKUP(MATCH(L26,epa_id,0),epa,'A1(epa)'!$U$17,FALSE)=0,IF(VLOOKUP(MATCH(L26,epa_id,0),epa,'A1(epa)'!$AW$17,FALSE)=0,"",VLOOKUP(MATCH(L26,epa_id,0),epa,'A1(epa)'!$AW$17,FALSE))))</f>
        <v>266</v>
      </c>
      <c r="BY26" s="5415"/>
      <c r="BZ26" s="5478">
        <f t="shared" si="11"/>
        <v>5774.1743275451145</v>
      </c>
      <c r="CA26" s="5415"/>
      <c r="CB26" s="9553"/>
      <c r="CC26" s="9538"/>
      <c r="CD26" s="9538"/>
      <c r="CE26" s="9557"/>
      <c r="CF26" s="9532"/>
      <c r="CG26" s="9532"/>
      <c r="CH26" s="9561"/>
      <c r="CI26" s="9541"/>
      <c r="CJ26" s="9538"/>
      <c r="CK26" s="9538"/>
      <c r="CL26" s="9535"/>
      <c r="CM26" s="9532"/>
      <c r="CN26" s="9532"/>
      <c r="CO26" s="9561"/>
      <c r="CP26" s="9541"/>
      <c r="CQ26" s="9538"/>
      <c r="CR26" s="9538"/>
      <c r="CS26" s="9535"/>
      <c r="CT26" s="9532"/>
      <c r="CU26" s="9532"/>
      <c r="CV26" s="9550"/>
      <c r="CW26" s="9604"/>
      <c r="CX26" s="9601"/>
      <c r="CY26" s="9598"/>
      <c r="CZ26" s="9538"/>
      <c r="DA26" s="9557">
        <f t="shared" si="12"/>
        <v>0</v>
      </c>
      <c r="DB26" s="9532"/>
      <c r="DC26" s="9532"/>
      <c r="DD26" s="9561"/>
      <c r="DE26" s="9578"/>
      <c r="DF26" s="9578"/>
      <c r="DG26" s="5356"/>
      <c r="DH26" s="5348"/>
      <c r="DI26" s="5348"/>
    </row>
    <row r="27" spans="1:113" s="479" customFormat="1" ht="25.5" customHeight="1" thickBot="1">
      <c r="A27" s="5366" t="str">
        <f t="shared" si="13"/>
        <v>8302-08</v>
      </c>
      <c r="B27" s="9572">
        <f>+IF(A27="","",VLOOKUP(MATCH(A27,tid,0),tao,'12(id)'!$J$20,FALSE))</f>
        <v>0</v>
      </c>
      <c r="C27" s="5367" t="str">
        <f t="shared" si="2"/>
        <v>14B</v>
      </c>
      <c r="D27" s="5359"/>
      <c r="E27" s="5351"/>
      <c r="F27" s="5359"/>
      <c r="G27" s="4445">
        <f t="shared" si="17"/>
        <v>9</v>
      </c>
      <c r="H27" s="4400">
        <v>9</v>
      </c>
      <c r="I27" s="9621" t="str">
        <f>+IF(L27="","",IF(VLOOKUP(MATCH(L27,tid,0),tao,'12(id)'!$H$20,FALSE)="","",VLOOKUP(MATCH(L27,tid,0),tao,'12(id)'!$H$20,FALSE)))</f>
        <v/>
      </c>
      <c r="J27" s="9521" t="str">
        <f>+IF(L27="","",IF(VLOOKUP(MATCH(L27,tid,0),tao,'12(id)'!$I$20,FALSE)="","",VLOOKUP(MATCH(L27,tid,0),tao,'12(id)'!$I$20,FALSE)))</f>
        <v/>
      </c>
      <c r="K27" s="9519">
        <f>+IF(L27="","",IF(VLOOKUP(MATCH(L27,tid,0),tao,'12(id)'!$K$20,FALSE)="","",VLOOKUP(MATCH(L27,tid,0),tao,'12(id)'!$K$20,FALSE)))</f>
        <v>8302</v>
      </c>
      <c r="L27" s="445" t="s">
        <v>285</v>
      </c>
      <c r="M27" s="9521" t="str">
        <f>+IF(L27="","",IF(VLOOKUP(MATCH(L27,tid,0),tao,'12(id)'!$L$20,FALSE)="","",VLOOKUP(MATCH(L27,tid,0),tao,'12(id)'!$L$20,FALSE)))</f>
        <v>South Meadow Station</v>
      </c>
      <c r="N27" s="53" t="str">
        <f>+IF(L27="","",IF(VLOOKUP(MATCH(L27,tid,0),tao,'12(id)'!$P$20,FALSE)="","",VLOOKUP(MATCH(L27,tid,0),tao,'12(id)'!$P$20,FALSE)))</f>
        <v>14B</v>
      </c>
      <c r="O27" s="524" t="str">
        <f>+IF(L27="","",IF(VLOOKUP(MATCH(L27,tid,0),tao,'12(id)'!$Q$20,FALSE)="","",VLOOKUP(MATCH(L27,tid,0),tao,'12(id)'!$Q$20,FALSE)))</f>
        <v>14B</v>
      </c>
      <c r="P27" s="9619" t="str">
        <f>+IF(L27="","",IF(VLOOKUP(MATCH(L27,tid,0),tao,'12(id)'!$CT$20,FALSE)="","",VLOOKUP(MATCH(L27,tid,0),tao,'12(id)'!$CT$20,FALSE)))</f>
        <v/>
      </c>
      <c r="Q27" s="9567"/>
      <c r="R27" s="5458" t="str">
        <f>+IF(L27="","",IF(VLOOKUP(MATCH(L27,tid,0),tao,'12(id)'!$T$20,FALSE)="","",VLOOKUP(MATCH(L27,tid,0),tao,'12(id)'!$T$20,FALSE)))</f>
        <v>Combustion Turbine</v>
      </c>
      <c r="S27" s="5459" t="str">
        <f>+IF(L27="","",IF(VLOOKUP(MATCH(L27,tid,0),tao,'12(id)'!$CO$20,FALSE)="","",VLOOKUP(MATCH(L27,tid,0),tao,'12(id)'!$CO$20,FALSE)))</f>
        <v>Pratt &amp; Whitney</v>
      </c>
      <c r="T27" s="5458" t="str">
        <f>+IF(L27="","",IF(VLOOKUP(MATCH(L27,tid,0),tao,'12(id)'!$CP$20,FALSE)="","",VLOOKUP(MATCH(L27,tid,0),tao,'12(id)'!$CP$20,FALSE)))</f>
        <v>TP4-2(A9) LF</v>
      </c>
      <c r="U27" s="5460">
        <f>+IF(L27="","",IF(VLOOKUP(MATCH(L27,tid,0),tao,'12(id)'!$DC$20,FALSE)="","",IF(VLOOKUP(MATCH(L27,tid,0),tao,'12(id)'!$DB$20,FALSE)="",VLOOKUP(MATCH(L27,tid,0),tao,'12(id)'!$DC$20,FALSE),VLOOKUP(MATCH(L27,tid,0),tao,'12(id)'!$DB$20,FALSE)&amp;" "&amp;VLOOKUP(MATCH(L27,tid,0),tao,'12(id)'!$DC$20,FALSE))))</f>
        <v>1970</v>
      </c>
      <c r="V27" s="5461">
        <f ca="1">+IF(L27="","",IF(VLOOKUP(MATCH(L27,tid,0),tao,'12(id)'!$DE$20,FALSE)="","",ROUND(VLOOKUP(MATCH(L27,tid,0),tao,'12(id)'!$DE$20,FALSE),0)))</f>
        <v>45</v>
      </c>
      <c r="W27" s="5462" t="str">
        <f>+IF(L27="","",IF(VLOOKUP(G27,tao,'12(id)'!$FR$20,FALSE)="","",VLOOKUP(G27,tao,'12(id)'!$FR$20,FALSE)&amp;IF(VLOOKUP(G27,tao,'12(id)'!$FS$20,FALSE)="","",", "&amp;VLOOKUP(G27,tao,'12(id)'!$FS$20,FALSE))))</f>
        <v>None</v>
      </c>
      <c r="X27" s="5462" t="str">
        <f>+IF(L27="","",IF(VLOOKUP(MATCH(L27,tid,0),tao,'12(id)'!$DI$20,FALSE)="","",VLOOKUP(MATCH(L27,tid,0),tao,'12(id)'!$DI$20,FALSE)))</f>
        <v>Jet Fuel A (Kerosene K1)</v>
      </c>
      <c r="Y27" s="5462" t="str">
        <f>+IF(L27="","",IF(VLOOKUP(MATCH(L27,tid,0),tao,'12(id)'!$DQ$20,FALSE)="","",VLOOKUP(MATCH(L27,tid,0),tao,'12(id)'!$DQ$20,FALSE)))</f>
        <v>No. 2 oil</v>
      </c>
      <c r="Z27" s="5463">
        <f>+IF(L27="","",IF(VLOOKUP(MATCH(L27,tid,0),tao,'12(id)'!$EH$20,FALSE)="","",VLOOKUP(MATCH(L27,tid,0),tao,'12(id)'!$EH$20,FALSE)))</f>
        <v>256</v>
      </c>
      <c r="AA27" s="5464">
        <f>+IF(L27="","",IF(VLOOKUP(MATCH(L27,tid,0),tao,'12(id)'!$EI$20,FALSE)="","",VLOOKUP(MATCH(L27,tid,0),tao,'12(id)'!$EI$20,FALSE)))</f>
        <v>0.77100000000000002</v>
      </c>
      <c r="AB27" s="5464">
        <f>+IF(L27="","",IF(VLOOKUP(MATCH(L27,tid,0),tao,'12(id)'!$EJ$20,FALSE)="","",VLOOKUP(MATCH(L27,tid,0),tao,'12(id)'!$EJ$20,FALSE)))</f>
        <v>136.1</v>
      </c>
      <c r="AC27" s="5465">
        <f>+IF(L27="","",IF(VLOOKUP(MATCH(L27,tid,0),tao,'12(id)'!$EL$20,FALSE)="","",VLOOKUP(MATCH(L27,tid,0),tao,'12(id)'!$EL$20,FALSE)))</f>
        <v>0.81</v>
      </c>
      <c r="AD27" s="5466"/>
      <c r="AE27" s="5467">
        <f t="shared" si="3"/>
        <v>0.77100000000000002</v>
      </c>
      <c r="AF27" s="5466">
        <f t="shared" si="4"/>
        <v>136.1</v>
      </c>
      <c r="AG27" s="5468" t="str">
        <f>+IF(L27="","",IF(VLOOKUP(MATCH(L27,tid,0),tao,'12(id)'!$GY$20,FALSE)="","",VLOOKUP(MATCH(L27,tid,0),tao,'12(id)'!$GY$20,FALSE)))</f>
        <v/>
      </c>
      <c r="AH27" s="5469" t="str">
        <f>+IF(L27="","",IF(VLOOKUP(MATCH(L27,tid,0),tao,'12(id)'!$HL$20,FALSE)="","",VLOOKUP(MATCH(L27,tid,0),tao,'12(id)'!$HL$20,FALSE)))</f>
        <v/>
      </c>
      <c r="AI27" s="5470">
        <f>+IF(L27="","",IF(2010-VLOOKUP(MATCH(L27,epa_id,0),epa,'A1(epa)'!$U$17,FALSE)=0,IF(VLOOKUP(MATCH(L27,epa_id,0),epa,'A1(epa)'!$U$17,FALSE)=0,"",VLOOKUP(MATCH(L27,epa_id,0),epa,'A1(epa)'!$U$17,FALSE))))</f>
        <v>2010</v>
      </c>
      <c r="AJ27" s="5644">
        <f>+IF(L27="","",IF(2010-VLOOKUP(MATCH(L27,epa_id,0),epa,'A1(epa)'!$U$17,FALSE)=0,IF(VLOOKUP(MATCH(L27,epa_id,0),epa,'A1(epa)'!$W$17,FALSE)=0,"",VLOOKUP(MATCH(L27,epa_id,0),epa,'A1(epa)'!$W$17,FALSE))))</f>
        <v>16</v>
      </c>
      <c r="AK27" s="5471">
        <f>+IF(L27="","",IF(2010-VLOOKUP(MATCH(L27,epa_id,0),epa,'A1(epa)'!$U$17,FALSE)=0,IF(VLOOKUP(MATCH(L27,epa_id,0),epa,'A1(epa)'!$X$17,FALSE)=0,"",VLOOKUP(MATCH(L27,epa_id,0),epa,'A1(epa)'!$X$17,FALSE))))</f>
        <v>5</v>
      </c>
      <c r="AL27" s="5644">
        <f>+IF(L27="","",IF(2010-VLOOKUP(MATCH(L27,epa_id,0),epa,'A1(epa)'!$U$17,FALSE)=0,IF(VLOOKUP(MATCH(L27,epa_id,0),epa,'A1(epa)'!$Y$17,FALSE)=0,"",VLOOKUP(MATCH(L27,epa_id,0),epa,'A1(epa)'!$Y$17,FALSE))))</f>
        <v>220</v>
      </c>
      <c r="AM27" s="5765">
        <f>+IF(L27="","",IF(2010-VLOOKUP(MATCH(L27,epa_id,0),epa,'A1(epa)'!$U$17,FALSE)=0,IF(VLOOKUP(MATCH(L27,epa_id,0),epa,'A1(epa)'!$AA$17,FALSE)=0,"",VLOOKUP(MATCH(L27,epa_id,0),epa,'A1(epa)'!$AA$17,FALSE))))</f>
        <v>0.84</v>
      </c>
      <c r="AN27" s="5766">
        <f>+IF(L27="","",IF(2010-VLOOKUP(MATCH(L27,epa_id,0),epa,'A1(epa)'!$U$17,FALSE)=0,IF(VLOOKUP(MATCH(L27,epa_id,0),epa,'A1(epa)'!$AB$17,FALSE)=0,"",VLOOKUP(MATCH(L27,epa_id,0),epa,'A1(epa)'!$AB$17,FALSE))))</f>
        <v>1.2</v>
      </c>
      <c r="AO27" s="5767">
        <f t="shared" si="14"/>
        <v>0.84</v>
      </c>
      <c r="AP27" s="5768">
        <f t="shared" si="5"/>
        <v>1.2</v>
      </c>
      <c r="AQ27" s="5769">
        <f t="shared" si="6"/>
        <v>5454.545454545455</v>
      </c>
      <c r="AR27" s="5644">
        <f>+IF(L27="","",IF(2010-VLOOKUP(MATCH(L27,epa_id,0),epa,'A1(epa)'!$U$17,FALSE)=0,IF(VLOOKUP(MATCH(L27,epa_id,0),epa,'A1(epa)'!$AC$17,FALSE)=0,"",VLOOKUP(MATCH(L27,epa_id,0),epa,'A1(epa)'!$AC$17,FALSE))))</f>
        <v>2931</v>
      </c>
      <c r="AS27" s="5462" t="str">
        <f>+IF(L27="","",IF(2010-VLOOKUP(MATCH(L27,epa_id,0),epa,'A1(epa)'!$U$17,FALSE)=0,IF(VLOOKUP(MATCH(L27,epa_id,0),epa,'A1(epa)'!$AP$17,FALSE)=0,"",VLOOKUP(MATCH(L27,epa_id,0),epa,'A1(epa)'!$AP$17,FALSE))))</f>
        <v>Diesel Oil</v>
      </c>
      <c r="AT27" s="5615" t="str">
        <f>+IF(L27="","",IF(2010-VLOOKUP(MATCH(L27,epa_id,0),epa,'A1(epa)'!$U$17,FALSE)=0,IF(VLOOKUP(MATCH(L27,epa_id,0),epa,'A1(epa)'!$AQ$17,FALSE)=0,"",VLOOKUP(MATCH(L27,epa_id,0),epa,'A1(epa)'!$AQ$17,FALSE))))</f>
        <v/>
      </c>
      <c r="AU27" s="5470">
        <f>+IF(L27="","",IF(2009-VLOOKUP(MATCH(L27,epa_id,0)+1,epa,'A1(epa)'!$U$17,FALSE)=0,IF(VLOOKUP(MATCH(L27,epa_id,0)+1,epa,'A1(epa)'!$U$17,FALSE)=0,"",VLOOKUP(MATCH(L27,epa_id,0)+1,epa,'A1(epa)'!$U$17,FALSE))))</f>
        <v>2009</v>
      </c>
      <c r="AV27" s="5460">
        <f>+IF(L27="","",IF(2009-VLOOKUP(MATCH(L27,epa_id,0)+1,epa,'A1(epa)'!$U$17,FALSE)=0,IF(VLOOKUP(MATCH(L27,epa_id,0)+1,epa,'A1(epa)'!$W$17,FALSE)=0,"",VLOOKUP(MATCH(L27,epa_id,0)+1,epa,'A1(epa)'!$W$17,FALSE))))</f>
        <v>6</v>
      </c>
      <c r="AW27" s="5472">
        <f>+IF(L27="","",IF(2009-VLOOKUP(MATCH(L27,epa_id,0)+1,epa,'A1(epa)'!$U$17,FALSE)=0,IF(VLOOKUP(MATCH(L27,epa_id,0)+1,epa,'A1(epa)'!$X$17,FALSE)=0,"",VLOOKUP(MATCH(L27,epa_id,0)+1,epa,'A1(epa)'!$X$17,FALSE))))</f>
        <v>5</v>
      </c>
      <c r="AX27" s="5644">
        <f>+IF(L27="","",IF(2009-VLOOKUP(MATCH(L27,epa_id,0)+1,epa,'A1(epa)'!$U$17,FALSE)=0,IF(VLOOKUP(MATCH(L27,epa_id,0)+1,epa,'A1(epa)'!$Y$17,FALSE)=0,"",VLOOKUP(MATCH(L27,epa_id,0)+1,epa,'A1(epa)'!$Y$17,FALSE))))</f>
        <v>64</v>
      </c>
      <c r="AY27" s="5661">
        <f>+IF(L27="","",IF(2009-VLOOKUP(MATCH(L27,epa_id,0)+1,epa,'A1(epa)'!$U$17,FALSE)=0,IF(VLOOKUP(MATCH(L27,epa_id,0)+1,epa,'A1(epa)'!$AA$17,FALSE)=0,"",VLOOKUP(MATCH(L27,epa_id,0)+1,epa,'A1(epa)'!$AA$17,FALSE))))</f>
        <v>0.73</v>
      </c>
      <c r="AZ27" s="5662">
        <f>+IF(L27="","",IF(2009-VLOOKUP(MATCH(L27,epa_id,0)+1,epa,'A1(epa)'!$U$17,FALSE)=0,IF(VLOOKUP(MATCH(L27,epa_id,0)+1,epa,'A1(epa)'!$AB$17,FALSE)=0,"",VLOOKUP(MATCH(L27,epa_id,0)+1,epa,'A1(epa)'!$AB$17,FALSE))))</f>
        <v>0.3</v>
      </c>
      <c r="BA27" s="5663">
        <f t="shared" si="15"/>
        <v>0.73</v>
      </c>
      <c r="BB27" s="5664">
        <f t="shared" si="7"/>
        <v>0.3</v>
      </c>
      <c r="BC27" s="5474">
        <f t="shared" si="8"/>
        <v>4687.5</v>
      </c>
      <c r="BD27" s="5644">
        <f>+IF(L27="","",IF(2009-VLOOKUP(MATCH(L27,epa_id,0)+1,epa,'A1(epa)'!$U$17,FALSE)=0,IF(VLOOKUP(MATCH(L27,epa_id,0)+1,epa,'A1(epa)'!$AC$17,FALSE)=0,"",VLOOKUP(MATCH(L27,epa_id,0)+1,epa,'A1(epa)'!$AC$17,FALSE))))</f>
        <v>825</v>
      </c>
      <c r="BE27" s="5472" t="str">
        <f>+IF(L27="","",IF(2009-VLOOKUP(MATCH(L27,epa_id,0)+1,epa,'A1(epa)'!$U$17,FALSE)=0,IF(VLOOKUP(MATCH(L27,epa_id,0)+1,epa,'A1(epa)'!$AP$17,FALSE)=0,"",VLOOKUP(MATCH(L27,epa_id,0)+1,epa,'A1(epa)'!$AP$17,FALSE))))</f>
        <v>Diesel Oil</v>
      </c>
      <c r="BF27" s="5473" t="str">
        <f>+IF(L27="","",IF(2009-VLOOKUP(MATCH(L27,epa_id,0)+1,epa,'A1(epa)'!$U$17,FALSE)=0,IF(VLOOKUP(MATCH(L27,epa_id,0)+1,epa,'A1(epa)'!$AQ$17,FALSE)=0,"",VLOOKUP(MATCH(L27,epa_id,0)+1,epa,'A1(epa)'!$AQ$17,FALSE))))</f>
        <v/>
      </c>
      <c r="BG27" s="5475">
        <f>+IF(L27="","",IF(2008-VLOOKUP(MATCH(L27,epa_id,0)+2,epa,'A1(epa)'!$U$17,FALSE)=0,IF(VLOOKUP(MATCH(L27,epa_id,0)+2,epa,'A1(epa)'!$U$17,FALSE)=0,"",VLOOKUP(MATCH(L27,epa_id,0)+2,epa,'A1(epa)'!$U$17,FALSE))))</f>
        <v>2008</v>
      </c>
      <c r="BH27" s="5472">
        <f>+IF(L27="","",IF(2008-VLOOKUP(MATCH(L27,epa_id,0)+2,epa,'A1(epa)'!$U$17,FALSE)=0,IF(VLOOKUP(MATCH(L27,epa_id,0)+2,epa,'A1(epa)'!$W$17,FALSE)=0,"",VLOOKUP(MATCH(L27,epa_id,0)+2,epa,'A1(epa)'!$W$17,FALSE))))</f>
        <v>9</v>
      </c>
      <c r="BI27" s="5472">
        <f>+IF(L27="","",IF(2008-VLOOKUP(MATCH(L27,epa_id,0)+2,epa,'A1(epa)'!$U$17,FALSE)=0,IF(VLOOKUP(MATCH(L27,epa_id,0)+2,epa,'A1(epa)'!$X$17,FALSE)=0,"",VLOOKUP(MATCH(L27,epa_id,0)+2,epa,'A1(epa)'!$X$17,FALSE))))</f>
        <v>5</v>
      </c>
      <c r="BJ27" s="5644">
        <f>+IF(L27="","",IF(2008-VLOOKUP(MATCH(L27,epa_id,0)+2,epa,'A1(epa)'!$U$17,FALSE)=0,IF(VLOOKUP(MATCH(L27,epa_id,0)+2,epa,'A1(epa)'!$Y$17,FALSE)=0,"",VLOOKUP(MATCH(L27,epa_id,0)+2,epa,'A1(epa)'!$Y$17,FALSE))))</f>
        <v>89</v>
      </c>
      <c r="BK27" s="5661">
        <f>+IF(L27="","",IF(2008-VLOOKUP(MATCH(L27,epa_id,0)+2,epa,'A1(epa)'!$U$17,FALSE)=0,IF(VLOOKUP(MATCH(L27,epa_id,0)+2,epa,'A1(epa)'!$AA$17,FALSE)=0,"",VLOOKUP(MATCH(L27,epa_id,0)+2,epa,'A1(epa)'!$AA$17,FALSE))))</f>
        <v>0.74</v>
      </c>
      <c r="BL27" s="5662">
        <f>+IF(L27="","",IF(2008-VLOOKUP(MATCH(L27,epa_id,0)+2,epa,'A1(epa)'!$U$17,FALSE)=0,IF(VLOOKUP(MATCH(L27,epa_id,0)+2,epa,'A1(epa)'!$AB$17,FALSE)=0,"",VLOOKUP(MATCH(L27,epa_id,0)+2,epa,'A1(epa)'!$AB$17,FALSE))))</f>
        <v>0.4</v>
      </c>
      <c r="BM27" s="5713">
        <f t="shared" si="16"/>
        <v>0.74</v>
      </c>
      <c r="BN27" s="5714">
        <f t="shared" si="9"/>
        <v>0.4</v>
      </c>
      <c r="BO27" s="5715">
        <f t="shared" si="10"/>
        <v>4494.3820224719102</v>
      </c>
      <c r="BP27" s="5630">
        <f>+IF(L27="","",IF(2008-VLOOKUP(MATCH(L27,epa_id,0)+2,epa,'A1(epa)'!$U$17,FALSE)=0,IF(VLOOKUP(MATCH(L27,epa_id,0)+2,epa,'A1(epa)'!$AC$17,FALSE)=0,"",VLOOKUP(MATCH(L27,epa_id,0)+2,epa,'A1(epa)'!$AC$17,FALSE))))</f>
        <v>1135</v>
      </c>
      <c r="BQ27" s="5602" t="str">
        <f>+IF(L27="","",IF(2008-VLOOKUP(MATCH(L27,epa_id,0)+2,epa,'A1(epa)'!$U$17,FALSE)=0,IF(VLOOKUP(MATCH(L27,epa_id,0)+2,epa,'A1(epa)'!$AP$17,FALSE)=0,"",VLOOKUP(MATCH(L27,epa_id,0)+2,epa,'A1(epa)'!$AP$17,FALSE))))</f>
        <v>Diesel Oil</v>
      </c>
      <c r="BR27" s="5615" t="str">
        <f>+IF(L27="","",IF(2008-VLOOKUP(MATCH(L27,epa_id,0)+2,epa,'A1(epa)'!$U$17,FALSE)=0,IF(VLOOKUP(MATCH(L27,epa_id,0)+2,epa,'A1(epa)'!$AQ$17,FALSE)=0,"",VLOOKUP(MATCH(L27,epa_id,0)+2,epa,'A1(epa)'!$AQ$17,FALSE))))</f>
        <v/>
      </c>
      <c r="BS27" s="5602" t="str">
        <f>+IF(L27="","",IF(2010-VLOOKUP(MATCH(L27,epa_id,0),epa,'A1(epa)'!$U$17,FALSE)=0,IF(VLOOKUP(MATCH(L27,epa_id,0),epa,'A1(epa)'!$AS$17,FALSE)=0,"",VLOOKUP(MATCH(L27,epa_id,0),epa,'A1(epa)'!$AS$17,FALSE))))</f>
        <v/>
      </c>
      <c r="BT27" s="5462" t="str">
        <f>+IF(L27="","",IF(2010-VLOOKUP(MATCH(L27,epa_id,0),epa,'A1(epa)'!$U$17,FALSE)=0,IF(VLOOKUP(MATCH(L27,epa_id,0),epa,'A1(epa)'!$AT$17,FALSE)=0,"",VLOOKUP(MATCH(L27,epa_id,0),epa,'A1(epa)'!$AT$17,FALSE))))</f>
        <v/>
      </c>
      <c r="BU27" s="5462" t="str">
        <f>+IF(L27="","",IF(2010-VLOOKUP(MATCH(L27,epa_id,0),epa,'A1(epa)'!$U$17,FALSE)=0,IF(VLOOKUP(MATCH(L27,epa_id,0),epa,'A1(epa)'!$AU$17,FALSE)=0,"",VLOOKUP(MATCH(L27,epa_id,0),epa,'A1(epa)'!$AU$17,FALSE))))</f>
        <v/>
      </c>
      <c r="BV27" s="5462" t="str">
        <f>+IF(L27="","",IF(2010-VLOOKUP(MATCH(L27,epa_id,0),epa,'A1(epa)'!$U$17,FALSE)=0,IF(VLOOKUP(MATCH(L27,epa_id,0),epa,'A1(epa)'!$AR$17,FALSE)=0,"",VLOOKUP(MATCH(L27,epa_id,0),epa,'A1(epa)'!$AR$17,FALSE))))</f>
        <v/>
      </c>
      <c r="BW27" s="5587" t="str">
        <f>+IF(L27="","",IF(2010-VLOOKUP(MATCH(L27,epa_id,0),epa,'A1(epa)'!$U$17,FALSE)=0,IF(VLOOKUP(MATCH(L27,epa_id,0),epa,'A1(epa)'!$AV$17,FALSE)=0,"",VLOOKUP(MATCH(L27,epa_id,0),epa,'A1(epa)'!$AV$17,FALSE))))</f>
        <v/>
      </c>
      <c r="BX27" s="5476">
        <f>+IF(L27="","",IF(2010-VLOOKUP(MATCH(L27,epa_id,0),epa,'A1(epa)'!$U$17,FALSE)=0,IF(VLOOKUP(MATCH(L27,epa_id,0),epa,'A1(epa)'!$AW$17,FALSE)=0,"",VLOOKUP(MATCH(L27,epa_id,0),epa,'A1(epa)'!$AW$17,FALSE))))</f>
        <v>266</v>
      </c>
      <c r="BY27" s="5415"/>
      <c r="BZ27" s="5479">
        <f t="shared" si="11"/>
        <v>4878.8091590057884</v>
      </c>
      <c r="CA27" s="5415"/>
      <c r="CB27" s="9554"/>
      <c r="CC27" s="9539"/>
      <c r="CD27" s="9539"/>
      <c r="CE27" s="9558"/>
      <c r="CF27" s="9533"/>
      <c r="CG27" s="9533"/>
      <c r="CH27" s="9562"/>
      <c r="CI27" s="9542"/>
      <c r="CJ27" s="9539"/>
      <c r="CK27" s="9539"/>
      <c r="CL27" s="9536"/>
      <c r="CM27" s="9533"/>
      <c r="CN27" s="9533"/>
      <c r="CO27" s="9562"/>
      <c r="CP27" s="9542"/>
      <c r="CQ27" s="9539"/>
      <c r="CR27" s="9539"/>
      <c r="CS27" s="9536"/>
      <c r="CT27" s="9533"/>
      <c r="CU27" s="9533"/>
      <c r="CV27" s="9551"/>
      <c r="CW27" s="9608"/>
      <c r="CX27" s="9607"/>
      <c r="CY27" s="9606"/>
      <c r="CZ27" s="9539"/>
      <c r="DA27" s="9558">
        <f t="shared" si="12"/>
        <v>0</v>
      </c>
      <c r="DB27" s="9533"/>
      <c r="DC27" s="9533"/>
      <c r="DD27" s="9562"/>
      <c r="DE27" s="9579"/>
      <c r="DF27" s="9579"/>
      <c r="DG27" s="5356"/>
      <c r="DH27" s="5348"/>
      <c r="DI27" s="5348"/>
    </row>
    <row r="28" spans="1:113" s="479" customFormat="1" ht="25.5" customHeight="1" thickBot="1">
      <c r="A28" s="5360" t="str">
        <f t="shared" si="13"/>
        <v>8303-01</v>
      </c>
      <c r="B28" s="5361" t="str">
        <f>+IF(A28="","",VLOOKUP(MATCH(A28,tid,0),tao,'12(id)'!$J$20,FALSE))</f>
        <v>FirstLight</v>
      </c>
      <c r="C28" s="7890">
        <f t="shared" si="2"/>
        <v>10</v>
      </c>
      <c r="D28" s="5359"/>
      <c r="E28" s="5351"/>
      <c r="F28" s="5359"/>
      <c r="G28" s="4445">
        <f t="shared" si="17"/>
        <v>10</v>
      </c>
      <c r="H28" s="495">
        <v>10</v>
      </c>
      <c r="I28" s="485">
        <f>+IF(L28="","",IF(VLOOKUP(MATCH(L28,tid,0),tao,'12(id)'!$H$20,FALSE)="","",VLOOKUP(MATCH(L28,tid,0),tao,'12(id)'!$H$20,FALSE)))</f>
        <v>3</v>
      </c>
      <c r="J28" s="54" t="str">
        <f>+IF(L28="","",IF(VLOOKUP(MATCH(L28,tid,0),tao,'12(id)'!$I$20,FALSE)="","",VLOOKUP(MATCH(L28,tid,0),tao,'12(id)'!$I$20,FALSE)))</f>
        <v>FirstLight Hydro Generating Company</v>
      </c>
      <c r="K28" s="486">
        <f>+IF(L28="","",IF(VLOOKUP(MATCH(L28,tid,0),tao,'12(id)'!$K$20,FALSE)="","",VLOOKUP(MATCH(L28,tid,0),tao,'12(id)'!$K$20,FALSE)))</f>
        <v>8303</v>
      </c>
      <c r="L28" s="486" t="s">
        <v>287</v>
      </c>
      <c r="M28" s="54" t="str">
        <f>+IF(L28="","",IF(VLOOKUP(MATCH(L28,tid,0),tao,'12(id)'!$L$20,FALSE)="","",VLOOKUP(MATCH(L28,tid,0),tao,'12(id)'!$L$20,FALSE)))</f>
        <v>Tunnel</v>
      </c>
      <c r="N28" s="54" t="str">
        <f>+IF(L28="","",IF(VLOOKUP(MATCH(L28,tid,0),tao,'12(id)'!$P$20,FALSE)="","",VLOOKUP(MATCH(L28,tid,0),tao,'12(id)'!$P$20,FALSE)))</f>
        <v>Tunnel Road Preston 10</v>
      </c>
      <c r="O28" s="487">
        <f>+IF(L28="","",IF(VLOOKUP(MATCH(L28,tid,0),tao,'12(id)'!$Q$20,FALSE)="","",VLOOKUP(MATCH(L28,tid,0),tao,'12(id)'!$Q$20,FALSE)))</f>
        <v>10</v>
      </c>
      <c r="P28" s="535">
        <f>+IF(L28="","",IF(VLOOKUP(MATCH(L28,tid,0),tao,'12(id)'!$CT$20,FALSE)="","",VLOOKUP(MATCH(L28,tid,0),tao,'12(id)'!$CT$20,FALSE)))</f>
        <v>20</v>
      </c>
      <c r="Q28" s="536">
        <f>+P28</f>
        <v>20</v>
      </c>
      <c r="R28" s="413" t="str">
        <f>+IF(L28="","",IF(VLOOKUP(MATCH(L28,tid,0),tao,'12(id)'!$T$20,FALSE)="","",VLOOKUP(MATCH(L28,tid,0),tao,'12(id)'!$T$20,FALSE)))</f>
        <v>Combustion Turbine</v>
      </c>
      <c r="S28" s="414" t="str">
        <f>+IF(L28="","",IF(VLOOKUP(MATCH(L28,tid,0),tao,'12(id)'!$CO$20,FALSE)="","",VLOOKUP(MATCH(L28,tid,0),tao,'12(id)'!$CO$20,FALSE)))</f>
        <v>Pratt &amp; Whitney</v>
      </c>
      <c r="T28" s="413" t="str">
        <f>+IF(L28="","",IF(VLOOKUP(MATCH(L28,tid,0),tao,'12(id)'!$CP$20,FALSE)="","",VLOOKUP(MATCH(L28,tid,0),tao,'12(id)'!$CP$20,FALSE)))</f>
        <v>FT4-8</v>
      </c>
      <c r="U28" s="73" t="str">
        <f>+IF(L28="","",IF(VLOOKUP(MATCH(L28,tid,0),tao,'12(id)'!$DC$20,FALSE)="","",IF(VLOOKUP(MATCH(L28,tid,0),tao,'12(id)'!$DB$20,FALSE)="",VLOOKUP(MATCH(L28,tid,0),tao,'12(id)'!$DC$20,FALSE),VLOOKUP(MATCH(L28,tid,0),tao,'12(id)'!$DB$20,FALSE)&amp;" "&amp;VLOOKUP(MATCH(L28,tid,0),tao,'12(id)'!$DC$20,FALSE))))</f>
        <v>Jan 1969</v>
      </c>
      <c r="V28" s="133">
        <f ca="1">+IF(L28="","",IF(VLOOKUP(MATCH(L28,tid,0),tao,'12(id)'!$DE$20,FALSE)="","",ROUND(VLOOKUP(MATCH(L28,tid,0),tao,'12(id)'!$DE$20,FALSE),0)))</f>
        <v>46</v>
      </c>
      <c r="W28" s="54" t="str">
        <f>+IF(L28="","",IF(VLOOKUP(G28,tao,'12(id)'!$FR$20,FALSE)="","",VLOOKUP(G28,tao,'12(id)'!$FR$20,FALSE)&amp;IF(VLOOKUP(G28,tao,'12(id)'!$FS$20,FALSE)="","",", "&amp;VLOOKUP(G28,tao,'12(id)'!$FS$20,FALSE))))</f>
        <v>None</v>
      </c>
      <c r="X28" s="54" t="str">
        <f>+IF(L28="","",IF(VLOOKUP(MATCH(L28,tid,0),tao,'12(id)'!$DI$20,FALSE)="","",VLOOKUP(MATCH(L28,tid,0),tao,'12(id)'!$DI$20,FALSE)))</f>
        <v>Jet Fuel A (Kerosene K1)</v>
      </c>
      <c r="Y28" s="54" t="str">
        <f>+IF(L28="","",IF(VLOOKUP(MATCH(L28,tid,0),tao,'12(id)'!$DQ$20,FALSE)="","",VLOOKUP(MATCH(L28,tid,0),tao,'12(id)'!$DQ$20,FALSE)))</f>
        <v/>
      </c>
      <c r="Z28" s="4401" t="str">
        <f>+IF(L28="","",IF(VLOOKUP(MATCH(L28,tid,0),tao,'12(id)'!$EH$20,FALSE)="","",VLOOKUP(MATCH(L28,tid,0),tao,'12(id)'!$EH$20,FALSE)))</f>
        <v>NA</v>
      </c>
      <c r="AA28" s="4406">
        <f>+IF(L28="","",IF(VLOOKUP(MATCH(L28,tid,0),tao,'12(id)'!$EI$20,FALSE)="","",VLOOKUP(MATCH(L28,tid,0),tao,'12(id)'!$EI$20,FALSE)))</f>
        <v>0.69799999999999995</v>
      </c>
      <c r="AB28" s="4406">
        <f>+IF(L28="","",IF(VLOOKUP(MATCH(L28,tid,0),tao,'12(id)'!$EJ$20,FALSE)="","",VLOOKUP(MATCH(L28,tid,0),tao,'12(id)'!$EJ$20,FALSE)))</f>
        <v>119.6</v>
      </c>
      <c r="AC28" s="4433">
        <f>+IF(L28="","",IF(VLOOKUP(MATCH(L28,tid,0),tao,'12(id)'!$EL$20,FALSE)="","",VLOOKUP(MATCH(L28,tid,0),tao,'12(id)'!$EL$20,FALSE)))</f>
        <v>0.72</v>
      </c>
      <c r="AD28" s="4408"/>
      <c r="AE28" s="4407">
        <f t="shared" si="3"/>
        <v>0.69799999999999995</v>
      </c>
      <c r="AF28" s="4408">
        <f t="shared" si="4"/>
        <v>119.6</v>
      </c>
      <c r="AG28" s="431">
        <f>+IF(L28="","",IF(VLOOKUP(MATCH(L28,tid,0),tao,'12(id)'!$GY$20,FALSE)="","",VLOOKUP(MATCH(L28,tid,0),tao,'12(id)'!$GY$20,FALSE)))</f>
        <v>50</v>
      </c>
      <c r="AH28" s="430">
        <f>+IF(L28="","",IF(VLOOKUP(MATCH(L28,tid,0),tao,'12(id)'!$HL$20,FALSE)="","",VLOOKUP(MATCH(L28,tid,0),tao,'12(id)'!$HL$20,FALSE)))</f>
        <v>4.5816000000000008</v>
      </c>
      <c r="AI28" s="484">
        <f>+IF(L28="","",IF(2010-VLOOKUP(MATCH(L28,epa_id,0),epa,'A1(epa)'!$U$17,FALSE)=0,IF(VLOOKUP(MATCH(L28,epa_id,0),epa,'A1(epa)'!$U$17,FALSE)=0,"",VLOOKUP(MATCH(L28,epa_id,0),epa,'A1(epa)'!$U$17,FALSE))))</f>
        <v>2010</v>
      </c>
      <c r="AJ28" s="623">
        <f>+IF(L28="","",IF(2010-VLOOKUP(MATCH(L28,epa_id,0),epa,'A1(epa)'!$U$17,FALSE)=0,IF(VLOOKUP(MATCH(L28,epa_id,0),epa,'A1(epa)'!$W$17,FALSE)=0,"",VLOOKUP(MATCH(L28,epa_id,0),epa,'A1(epa)'!$W$17,FALSE))))</f>
        <v>20</v>
      </c>
      <c r="AK28" s="491">
        <f>+IF(L28="","",IF(2010-VLOOKUP(MATCH(L28,epa_id,0),epa,'A1(epa)'!$U$17,FALSE)=0,IF(VLOOKUP(MATCH(L28,epa_id,0),epa,'A1(epa)'!$X$17,FALSE)=0,"",VLOOKUP(MATCH(L28,epa_id,0),epa,'A1(epa)'!$X$17,FALSE))))</f>
        <v>5</v>
      </c>
      <c r="AL28" s="623">
        <f>+IF(L28="","",IF(2010-VLOOKUP(MATCH(L28,epa_id,0),epa,'A1(epa)'!$U$17,FALSE)=0,IF(VLOOKUP(MATCH(L28,epa_id,0),epa,'A1(epa)'!$Y$17,FALSE)=0,"",VLOOKUP(MATCH(L28,epa_id,0),epa,'A1(epa)'!$Y$17,FALSE))))</f>
        <v>301</v>
      </c>
      <c r="AM28" s="5750">
        <f>+IF(L28="","",IF(2010-VLOOKUP(MATCH(L28,epa_id,0),epa,'A1(epa)'!$U$17,FALSE)=0,IF(VLOOKUP(MATCH(L28,epa_id,0),epa,'A1(epa)'!$AA$17,FALSE)=0,"",VLOOKUP(MATCH(L28,epa_id,0),epa,'A1(epa)'!$AA$17,FALSE))))</f>
        <v>0.73</v>
      </c>
      <c r="AN28" s="5751">
        <f>+IF(L28="","",IF(2010-VLOOKUP(MATCH(L28,epa_id,0),epa,'A1(epa)'!$U$17,FALSE)=0,IF(VLOOKUP(MATCH(L28,epa_id,0),epa,'A1(epa)'!$AB$17,FALSE)=0,"",VLOOKUP(MATCH(L28,epa_id,0),epa,'A1(epa)'!$AB$17,FALSE))))</f>
        <v>1.7</v>
      </c>
      <c r="AO28" s="5752">
        <f t="shared" si="14"/>
        <v>0.73</v>
      </c>
      <c r="AP28" s="5753">
        <f>+IF(AM28="","",IF(AM28&lt;1,AN28,AO28*AR28/2000))</f>
        <v>1.7</v>
      </c>
      <c r="AQ28" s="5754">
        <f t="shared" si="6"/>
        <v>5647.8405315614618</v>
      </c>
      <c r="AR28" s="623">
        <f>+IF(L28="","",IF(2010-VLOOKUP(MATCH(L28,epa_id,0),epa,'A1(epa)'!$U$17,FALSE)=0,IF(VLOOKUP(MATCH(L28,epa_id,0),epa,'A1(epa)'!$AC$17,FALSE)=0,"",VLOOKUP(MATCH(L28,epa_id,0),epa,'A1(epa)'!$AC$17,FALSE))))</f>
        <v>4575</v>
      </c>
      <c r="AS28" s="54" t="str">
        <f>+IF(L28="","",IF(2010-VLOOKUP(MATCH(L28,epa_id,0),epa,'A1(epa)'!$U$17,FALSE)=0,IF(VLOOKUP(MATCH(L28,epa_id,0),epa,'A1(epa)'!$AP$17,FALSE)=0,"",VLOOKUP(MATCH(L28,epa_id,0),epa,'A1(epa)'!$AP$17,FALSE))))</f>
        <v>Diesel Oil</v>
      </c>
      <c r="AT28" s="490" t="str">
        <f>+IF(L28="","",IF(2010-VLOOKUP(MATCH(L28,epa_id,0),epa,'A1(epa)'!$U$17,FALSE)=0,IF(VLOOKUP(MATCH(L28,epa_id,0),epa,'A1(epa)'!$AQ$17,FALSE)=0,"",VLOOKUP(MATCH(L28,epa_id,0),epa,'A1(epa)'!$AQ$17,FALSE))))</f>
        <v/>
      </c>
      <c r="AU28" s="484">
        <f>+IF(L28="","",IF(2009-VLOOKUP(MATCH(L28,epa_id,0)+1,epa,'A1(epa)'!$U$17,FALSE)=0,IF(VLOOKUP(MATCH(L28,epa_id,0)+1,epa,'A1(epa)'!$U$17,FALSE)=0,"",VLOOKUP(MATCH(L28,epa_id,0)+1,epa,'A1(epa)'!$U$17,FALSE))))</f>
        <v>2009</v>
      </c>
      <c r="AV28" s="73">
        <f>+IF(L28="","",IF(2009-VLOOKUP(MATCH(L28,epa_id,0)+1,epa,'A1(epa)'!$U$17,FALSE)=0,IF(VLOOKUP(MATCH(L28,epa_id,0)+1,epa,'A1(epa)'!$W$17,FALSE)=0,"",VLOOKUP(MATCH(L28,epa_id,0)+1,epa,'A1(epa)'!$W$17,FALSE))))</f>
        <v>3</v>
      </c>
      <c r="AW28" s="486">
        <f>+IF(L28="","",IF(2009-VLOOKUP(MATCH(L28,epa_id,0)+1,epa,'A1(epa)'!$U$17,FALSE)=0,IF(VLOOKUP(MATCH(L28,epa_id,0)+1,epa,'A1(epa)'!$X$17,FALSE)=0,"",VLOOKUP(MATCH(L28,epa_id,0)+1,epa,'A1(epa)'!$X$17,FALSE))))</f>
        <v>5</v>
      </c>
      <c r="AX28" s="623">
        <f>+IF(L28="","",IF(2009-VLOOKUP(MATCH(L28,epa_id,0)+1,epa,'A1(epa)'!$U$17,FALSE)=0,IF(VLOOKUP(MATCH(L28,epa_id,0)+1,epa,'A1(epa)'!$Y$17,FALSE)=0,"",VLOOKUP(MATCH(L28,epa_id,0)+1,epa,'A1(epa)'!$Y$17,FALSE))))</f>
        <v>46</v>
      </c>
      <c r="AY28" s="622">
        <f>+IF(L28="","",IF(2009-VLOOKUP(MATCH(L28,epa_id,0)+1,epa,'A1(epa)'!$U$17,FALSE)=0,IF(VLOOKUP(MATCH(L28,epa_id,0)+1,epa,'A1(epa)'!$AA$17,FALSE)=0,"",VLOOKUP(MATCH(L28,epa_id,0)+1,epa,'A1(epa)'!$AA$17,FALSE))))</f>
        <v>0.79</v>
      </c>
      <c r="AZ28" s="1947">
        <f>+IF(L28="","",IF(2009-VLOOKUP(MATCH(L28,epa_id,0)+1,epa,'A1(epa)'!$U$17,FALSE)=0,IF(VLOOKUP(MATCH(L28,epa_id,0)+1,epa,'A1(epa)'!$AB$17,FALSE)=0,"",VLOOKUP(MATCH(L28,epa_id,0)+1,epa,'A1(epa)'!$AB$17,FALSE))))</f>
        <v>0.3</v>
      </c>
      <c r="BA28" s="5651">
        <f t="shared" si="15"/>
        <v>0.79</v>
      </c>
      <c r="BB28" s="5665">
        <f t="shared" si="7"/>
        <v>0.3</v>
      </c>
      <c r="BC28" s="5388">
        <f t="shared" si="8"/>
        <v>6521.739130434783</v>
      </c>
      <c r="BD28" s="623">
        <f>+IF(L28="","",IF(2009-VLOOKUP(MATCH(L28,epa_id,0)+1,epa,'A1(epa)'!$U$17,FALSE)=0,IF(VLOOKUP(MATCH(L28,epa_id,0)+1,epa,'A1(epa)'!$AC$17,FALSE)=0,"",VLOOKUP(MATCH(L28,epa_id,0)+1,epa,'A1(epa)'!$AC$17,FALSE))))</f>
        <v>808</v>
      </c>
      <c r="BE28" s="486" t="str">
        <f>+IF(L28="","",IF(2009-VLOOKUP(MATCH(L28,epa_id,0)+1,epa,'A1(epa)'!$U$17,FALSE)=0,IF(VLOOKUP(MATCH(L28,epa_id,0)+1,epa,'A1(epa)'!$AP$17,FALSE)=0,"",VLOOKUP(MATCH(L28,epa_id,0)+1,epa,'A1(epa)'!$AP$17,FALSE))))</f>
        <v>Diesel Oil</v>
      </c>
      <c r="BF28" s="492" t="str">
        <f>+IF(L28="","",IF(2009-VLOOKUP(MATCH(L28,epa_id,0)+1,epa,'A1(epa)'!$U$17,FALSE)=0,IF(VLOOKUP(MATCH(L28,epa_id,0)+1,epa,'A1(epa)'!$AQ$17,FALSE)=0,"",VLOOKUP(MATCH(L28,epa_id,0)+1,epa,'A1(epa)'!$AQ$17,FALSE))))</f>
        <v/>
      </c>
      <c r="BG28" s="88">
        <f>+IF(L28="","",IF(2008-VLOOKUP(MATCH(L28,epa_id,0)+2,epa,'A1(epa)'!$U$17,FALSE)=0,IF(VLOOKUP(MATCH(L28,epa_id,0)+2,epa,'A1(epa)'!$U$17,FALSE)=0,"",VLOOKUP(MATCH(L28,epa_id,0)+2,epa,'A1(epa)'!$U$17,FALSE))))</f>
        <v>2008</v>
      </c>
      <c r="BH28" s="486">
        <f>+IF(L28="","",IF(2008-VLOOKUP(MATCH(L28,epa_id,0)+2,epa,'A1(epa)'!$U$17,FALSE)=0,IF(VLOOKUP(MATCH(L28,epa_id,0)+2,epa,'A1(epa)'!$W$17,FALSE)=0,"",VLOOKUP(MATCH(L28,epa_id,0)+2,epa,'A1(epa)'!$W$17,FALSE))))</f>
        <v>15</v>
      </c>
      <c r="BI28" s="486">
        <f>+IF(L28="","",IF(2008-VLOOKUP(MATCH(L28,epa_id,0)+2,epa,'A1(epa)'!$U$17,FALSE)=0,IF(VLOOKUP(MATCH(L28,epa_id,0)+2,epa,'A1(epa)'!$X$17,FALSE)=0,"",VLOOKUP(MATCH(L28,epa_id,0)+2,epa,'A1(epa)'!$X$17,FALSE))))</f>
        <v>5</v>
      </c>
      <c r="BJ28" s="623">
        <f>+IF(L28="","",IF(2008-VLOOKUP(MATCH(L28,epa_id,0)+2,epa,'A1(epa)'!$U$17,FALSE)=0,IF(VLOOKUP(MATCH(L28,epa_id,0)+2,epa,'A1(epa)'!$Y$17,FALSE)=0,"",VLOOKUP(MATCH(L28,epa_id,0)+2,epa,'A1(epa)'!$Y$17,FALSE))))</f>
        <v>153</v>
      </c>
      <c r="BK28" s="5666">
        <f>+IF(L28="","",IF(2008-VLOOKUP(MATCH(L28,epa_id,0)+2,epa,'A1(epa)'!$U$17,FALSE)=0,IF(VLOOKUP(MATCH(L28,epa_id,0)+2,epa,'A1(epa)'!$AA$17,FALSE)=0,"",VLOOKUP(MATCH(L28,epa_id,0)+2,epa,'A1(epa)'!$AA$17,FALSE))))</f>
        <v>0.74</v>
      </c>
      <c r="BL28" s="5667">
        <f>+IF(L28="","",IF(2008-VLOOKUP(MATCH(L28,epa_id,0)+2,epa,'A1(epa)'!$U$17,FALSE)=0,IF(VLOOKUP(MATCH(L28,epa_id,0)+2,epa,'A1(epa)'!$AB$17,FALSE)=0,"",VLOOKUP(MATCH(L28,epa_id,0)+2,epa,'A1(epa)'!$AB$17,FALSE))))</f>
        <v>1</v>
      </c>
      <c r="BM28" s="5716">
        <f t="shared" si="16"/>
        <v>0.74</v>
      </c>
      <c r="BN28" s="5717">
        <f t="shared" si="9"/>
        <v>1</v>
      </c>
      <c r="BO28" s="5706">
        <f t="shared" si="10"/>
        <v>6535.9477124183004</v>
      </c>
      <c r="BP28" s="5631">
        <f>+IF(L28="","",IF(2008-VLOOKUP(MATCH(L28,epa_id,0)+2,epa,'A1(epa)'!$U$17,FALSE)=0,IF(VLOOKUP(MATCH(L28,epa_id,0)+2,epa,'A1(epa)'!$AC$17,FALSE)=0,"",VLOOKUP(MATCH(L28,epa_id,0)+2,epa,'A1(epa)'!$AC$17,FALSE))))</f>
        <v>2596</v>
      </c>
      <c r="BQ28" s="7859" t="str">
        <f>+IF(L28="","",IF(2008-VLOOKUP(MATCH(L28,epa_id,0)+2,epa,'A1(epa)'!$U$17,FALSE)=0,IF(VLOOKUP(MATCH(L28,epa_id,0)+2,epa,'A1(epa)'!$AP$17,FALSE)=0,"",VLOOKUP(MATCH(L28,epa_id,0)+2,epa,'A1(epa)'!$AP$17,FALSE))))</f>
        <v>Diesel Oil</v>
      </c>
      <c r="BR28" s="7846" t="str">
        <f>+IF(L28="","",IF(2008-VLOOKUP(MATCH(L28,epa_id,0)+2,epa,'A1(epa)'!$U$17,FALSE)=0,IF(VLOOKUP(MATCH(L28,epa_id,0)+2,epa,'A1(epa)'!$AQ$17,FALSE)=0,"",VLOOKUP(MATCH(L28,epa_id,0)+2,epa,'A1(epa)'!$AQ$17,FALSE))))</f>
        <v/>
      </c>
      <c r="BS28" s="7859" t="str">
        <f>+IF(L28="","",IF(2010-VLOOKUP(MATCH(L28,epa_id,0),epa,'A1(epa)'!$U$17,FALSE)=0,IF(VLOOKUP(MATCH(L28,epa_id,0),epa,'A1(epa)'!$AS$17,FALSE)=0,"",VLOOKUP(MATCH(L28,epa_id,0),epa,'A1(epa)'!$AS$17,FALSE))))</f>
        <v/>
      </c>
      <c r="BT28" s="7829" t="str">
        <f>+IF(L28="","",IF(2010-VLOOKUP(MATCH(L28,epa_id,0),epa,'A1(epa)'!$U$17,FALSE)=0,IF(VLOOKUP(MATCH(L28,epa_id,0),epa,'A1(epa)'!$AT$17,FALSE)=0,"",VLOOKUP(MATCH(L28,epa_id,0),epa,'A1(epa)'!$AT$17,FALSE))))</f>
        <v/>
      </c>
      <c r="BU28" s="7829" t="str">
        <f>+IF(L28="","",IF(2010-VLOOKUP(MATCH(L28,epa_id,0),epa,'A1(epa)'!$U$17,FALSE)=0,IF(VLOOKUP(MATCH(L28,epa_id,0),epa,'A1(epa)'!$AU$17,FALSE)=0,"",VLOOKUP(MATCH(L28,epa_id,0),epa,'A1(epa)'!$AU$17,FALSE))))</f>
        <v/>
      </c>
      <c r="BV28" s="7829" t="str">
        <f>+IF(L28="","",IF(2010-VLOOKUP(MATCH(L28,epa_id,0),epa,'A1(epa)'!$U$17,FALSE)=0,IF(VLOOKUP(MATCH(L28,epa_id,0),epa,'A1(epa)'!$AR$17,FALSE)=0,"",VLOOKUP(MATCH(L28,epa_id,0),epa,'A1(epa)'!$AR$17,FALSE))))</f>
        <v/>
      </c>
      <c r="BW28" s="5588" t="str">
        <f>+IF(L28="","",IF(2010-VLOOKUP(MATCH(L28,epa_id,0),epa,'A1(epa)'!$U$17,FALSE)=0,IF(VLOOKUP(MATCH(L28,epa_id,0),epa,'A1(epa)'!$AV$17,FALSE)=0,"",VLOOKUP(MATCH(L28,epa_id,0),epa,'A1(epa)'!$AV$17,FALSE))))</f>
        <v/>
      </c>
      <c r="BX28" s="496">
        <f>+IF(L28="","",IF(2010-VLOOKUP(MATCH(L28,epa_id,0),epa,'A1(epa)'!$U$17,FALSE)=0,IF(VLOOKUP(MATCH(L28,epa_id,0),epa,'A1(epa)'!$AW$17,FALSE)=0,"",VLOOKUP(MATCH(L28,epa_id,0),epa,'A1(epa)'!$AW$17,FALSE))))</f>
        <v>243</v>
      </c>
      <c r="BY28" s="5415"/>
      <c r="BZ28" s="496">
        <f t="shared" si="11"/>
        <v>6235.1757914715154</v>
      </c>
      <c r="CA28" s="5415"/>
      <c r="CB28" s="583">
        <f>+IF(AJ28="","",MAX(AJ28))</f>
        <v>20</v>
      </c>
      <c r="CC28" s="491">
        <f>+IF(AL28="","",MAX(AL28))</f>
        <v>301</v>
      </c>
      <c r="CD28" s="491">
        <f>+IF(AR28="","",MAX(AR28))</f>
        <v>4575</v>
      </c>
      <c r="CE28" s="494">
        <f>+IF(AP28="","",MAX(AP28))</f>
        <v>1.7</v>
      </c>
      <c r="CF28" s="4389">
        <f>+IF(CD28=AR28,AO28,0)</f>
        <v>0.73</v>
      </c>
      <c r="CG28" s="493">
        <f>IF(OR(CD28="",CE28=""),"",2000/CD28*CE28)</f>
        <v>0.74316939890710376</v>
      </c>
      <c r="CH28" s="499">
        <f>+IF(CG28="","",CG28/CB28)</f>
        <v>3.7158469945355189E-2</v>
      </c>
      <c r="CI28" s="497">
        <f>+IF(AV28="","",MAX(AV28))</f>
        <v>3</v>
      </c>
      <c r="CJ28" s="491">
        <f>+IF(AX28="","",MAX(AX28))</f>
        <v>46</v>
      </c>
      <c r="CK28" s="491">
        <f>+IF(BD28="","",MAX(BD28))</f>
        <v>808</v>
      </c>
      <c r="CL28" s="498">
        <f>+IF(BB28="","",MAX(BB28))</f>
        <v>0.3</v>
      </c>
      <c r="CM28" s="493">
        <f>+IF(CK28=BD28,BA28,0)</f>
        <v>0.79</v>
      </c>
      <c r="CN28" s="493">
        <f>IF(OR(CK28="",CL28=""),"",2000/CK28*CL28)</f>
        <v>0.74257425742574257</v>
      </c>
      <c r="CO28" s="499">
        <f>+IF(CN28="","",CN28/CI28)</f>
        <v>0.24752475247524752</v>
      </c>
      <c r="CP28" s="497">
        <f>+IF(BH28="","",MAX(BH28))</f>
        <v>15</v>
      </c>
      <c r="CQ28" s="491">
        <f>+IF(BJ28="","",MAX(BJ28))</f>
        <v>153</v>
      </c>
      <c r="CR28" s="491">
        <f>+IF(BP28="","",MAX(BP28))</f>
        <v>2596</v>
      </c>
      <c r="CS28" s="498">
        <f>+IF(BN28="","",MAX(BN28))</f>
        <v>1</v>
      </c>
      <c r="CT28" s="493">
        <f>+IF(CR28=BP28,BM28,0)</f>
        <v>0.74</v>
      </c>
      <c r="CU28" s="493">
        <f>IF(OR(CR28="",CS28=""),"",2000/CR28*CS28)</f>
        <v>0.77041602465331283</v>
      </c>
      <c r="CV28" s="500">
        <f>+IF(CU28="","",CU28/CP28)</f>
        <v>5.1361068310220852E-2</v>
      </c>
      <c r="CW28" s="620">
        <f>+IF(DA28="","",IF(DA28=CE28,AI28,IF(DA28=CL28,AU28,IF(DA28=CS28,BG28))))</f>
        <v>2010</v>
      </c>
      <c r="CX28" s="621">
        <f>+IF(DA28="","",IF(DA28=CE28,CB28,IF(DA28=CL28,CI28,IF(DA28=CS28,CP28))))</f>
        <v>20</v>
      </c>
      <c r="CY28" s="5584">
        <f>+IF(DA28="","",IF(DA28=CE28,CC28,IF(DA28=CL28,CJ28,IF(DA28=CS28,CQ28))))</f>
        <v>301</v>
      </c>
      <c r="CZ28" s="623">
        <f>+IF(DA28="","",IF(DA28=CE28,CD28,IF(DA28=CL28,CK28,IF(DA28=CS28,CR28))))</f>
        <v>4575</v>
      </c>
      <c r="DA28" s="494">
        <f t="shared" si="12"/>
        <v>1.7</v>
      </c>
      <c r="DB28" s="622">
        <f>+IF(DA28="","",IF(DA28=CE28,CF28,IF(DA28=CL28,CM28,IF(DA28=CS28,CT28))))</f>
        <v>0.73</v>
      </c>
      <c r="DC28" s="622">
        <f>IF(OR(DA28="",CZ28=""),"",ROUND(2000*DA28/CZ28,3))</f>
        <v>0.74299999999999999</v>
      </c>
      <c r="DD28" s="499">
        <f>+IF(CX28="","",DA28/CX28)</f>
        <v>8.4999999999999992E-2</v>
      </c>
      <c r="DE28" s="592">
        <f>+IF(DD28="","",DD28*$DE$15)</f>
        <v>4.25</v>
      </c>
      <c r="DF28" s="592"/>
      <c r="DG28" s="5356"/>
      <c r="DH28" s="5348"/>
      <c r="DI28" s="5348"/>
    </row>
    <row r="29" spans="1:113" s="479" customFormat="1" ht="25.5" customHeight="1" thickBot="1">
      <c r="A29" s="5360" t="str">
        <f t="shared" si="13"/>
        <v>8304-01</v>
      </c>
      <c r="B29" s="5361" t="str">
        <f>+IF(A29="","",VLOOKUP(MATCH(A29,tid,0),tao,'12(id)'!$J$20,FALSE))</f>
        <v>NPU</v>
      </c>
      <c r="C29" s="7890" t="str">
        <f t="shared" si="2"/>
        <v>TRBINE</v>
      </c>
      <c r="D29" s="5359"/>
      <c r="E29" s="5351"/>
      <c r="F29" s="5359"/>
      <c r="G29" s="4445">
        <f t="shared" si="17"/>
        <v>11</v>
      </c>
      <c r="H29" s="495">
        <v>11</v>
      </c>
      <c r="I29" s="485">
        <f>+IF(L29="","",IF(VLOOKUP(MATCH(L29,tid,0),tao,'12(id)'!$H$20,FALSE)="","",VLOOKUP(MATCH(L29,tid,0),tao,'12(id)'!$H$20,FALSE)))</f>
        <v>4</v>
      </c>
      <c r="J29" s="54" t="str">
        <f>+IF(L29="","",IF(VLOOKUP(MATCH(L29,tid,0),tao,'12(id)'!$I$20,FALSE)="","",VLOOKUP(MATCH(L29,tid,0),tao,'12(id)'!$I$20,FALSE)))</f>
        <v>Norwich Public Utilities</v>
      </c>
      <c r="K29" s="486">
        <f>+IF(L29="","",IF(VLOOKUP(MATCH(L29,tid,0),tao,'12(id)'!$K$20,FALSE)="","",VLOOKUP(MATCH(L29,tid,0),tao,'12(id)'!$K$20,FALSE)))</f>
        <v>8304</v>
      </c>
      <c r="L29" s="486" t="s">
        <v>289</v>
      </c>
      <c r="M29" s="54" t="str">
        <f>+IF(L29="","",IF(VLOOKUP(MATCH(L29,tid,0),tao,'12(id)'!$L$20,FALSE)="","",VLOOKUP(MATCH(L29,tid,0),tao,'12(id)'!$L$20,FALSE)))</f>
        <v>Norwich</v>
      </c>
      <c r="N29" s="54" t="str">
        <f>+IF(L29="","",IF(VLOOKUP(MATCH(L29,tid,0),tao,'12(id)'!$P$20,FALSE)="","",VLOOKUP(MATCH(L29,tid,0),tao,'12(id)'!$P$20,FALSE)))</f>
        <v>Rolls Royce Turbine</v>
      </c>
      <c r="O29" s="487" t="str">
        <f>+IF(L29="","",IF(VLOOKUP(MATCH(L29,tid,0),tao,'12(id)'!$Q$20,FALSE)="","",VLOOKUP(MATCH(L29,tid,0),tao,'12(id)'!$Q$20,FALSE)))</f>
        <v>TRBINE</v>
      </c>
      <c r="P29" s="535">
        <f>+IF(L29="","",IF(VLOOKUP(MATCH(L29,tid,0),tao,'12(id)'!$CT$20,FALSE)="","",VLOOKUP(MATCH(L29,tid,0),tao,'12(id)'!$CT$20,FALSE)))</f>
        <v>18.8</v>
      </c>
      <c r="Q29" s="536">
        <f>+P29</f>
        <v>18.8</v>
      </c>
      <c r="R29" s="413" t="str">
        <f>+IF(L29="","",IF(VLOOKUP(MATCH(L29,tid,0),tao,'12(id)'!$T$20,FALSE)="","",VLOOKUP(MATCH(L29,tid,0),tao,'12(id)'!$T$20,FALSE)))</f>
        <v>Combustion Turbine</v>
      </c>
      <c r="S29" s="414" t="str">
        <f>+IF(L29="","",IF(VLOOKUP(MATCH(L29,tid,0),tao,'12(id)'!$CO$20,FALSE)="","",VLOOKUP(MATCH(L29,tid,0),tao,'12(id)'!$CO$20,FALSE)))</f>
        <v>Rolls Royce</v>
      </c>
      <c r="T29" s="413" t="str">
        <f>+IF(L29="","",IF(VLOOKUP(MATCH(L29,tid,0),tao,'12(id)'!$CP$20,FALSE)="","",VLOOKUP(MATCH(L29,tid,0),tao,'12(id)'!$CP$20,FALSE)))</f>
        <v>Olympus B</v>
      </c>
      <c r="U29" s="73">
        <f>+IF(L29="","",IF(VLOOKUP(MATCH(L29,tid,0),tao,'12(id)'!$DC$20,FALSE)="","",IF(VLOOKUP(MATCH(L29,tid,0),tao,'12(id)'!$DB$20,FALSE)="",VLOOKUP(MATCH(L29,tid,0),tao,'12(id)'!$DC$20,FALSE),VLOOKUP(MATCH(L29,tid,0),tao,'12(id)'!$DB$20,FALSE)&amp;" "&amp;VLOOKUP(MATCH(L29,tid,0),tao,'12(id)'!$DC$20,FALSE))))</f>
        <v>1972</v>
      </c>
      <c r="V29" s="133">
        <f ca="1">+IF(L29="","",IF(VLOOKUP(MATCH(L29,tid,0),tao,'12(id)'!$DE$20,FALSE)="","",ROUND(VLOOKUP(MATCH(L29,tid,0),tao,'12(id)'!$DE$20,FALSE),0)))</f>
        <v>43</v>
      </c>
      <c r="W29" s="54" t="str">
        <f>+IF(L29="","",IF(VLOOKUP(G29,tao,'12(id)'!$FR$20,FALSE)="","",VLOOKUP(G29,tao,'12(id)'!$FR$20,FALSE)&amp;IF(VLOOKUP(G29,tao,'12(id)'!$FS$20,FALSE)="","",", "&amp;VLOOKUP(G29,tao,'12(id)'!$FS$20,FALSE))))</f>
        <v>None</v>
      </c>
      <c r="X29" s="54" t="str">
        <f>+IF(L29="","",IF(VLOOKUP(MATCH(L29,tid,0),tao,'12(id)'!$DI$20,FALSE)="","",VLOOKUP(MATCH(L29,tid,0),tao,'12(id)'!$DI$20,FALSE)))</f>
        <v>No. 2 oil</v>
      </c>
      <c r="Y29" s="54" t="str">
        <f>+IF(L29="","",IF(VLOOKUP(MATCH(L29,tid,0),tao,'12(id)'!$DQ$20,FALSE)="","",VLOOKUP(MATCH(L29,tid,0),tao,'12(id)'!$DQ$20,FALSE)))</f>
        <v/>
      </c>
      <c r="Z29" s="4401">
        <f>+IF(L29="","",IF(VLOOKUP(MATCH(L29,tid,0),tao,'12(id)'!$EH$20,FALSE)="","",VLOOKUP(MATCH(L29,tid,0),tao,'12(id)'!$EH$20,FALSE)))</f>
        <v>249</v>
      </c>
      <c r="AA29" s="4406">
        <f>+IF(L29="","",IF(VLOOKUP(MATCH(L29,tid,0),tao,'12(id)'!$EI$20,FALSE)="","",VLOOKUP(MATCH(L29,tid,0),tao,'12(id)'!$EI$20,FALSE)))</f>
        <v>0.55300000000000005</v>
      </c>
      <c r="AB29" s="4406">
        <f>+IF(L29="","",IF(VLOOKUP(MATCH(L29,tid,0),tao,'12(id)'!$EJ$20,FALSE)="","",VLOOKUP(MATCH(L29,tid,0),tao,'12(id)'!$EJ$20,FALSE)))</f>
        <v>141.31</v>
      </c>
      <c r="AC29" s="4433">
        <f>+IF(L29="","",IF(VLOOKUP(MATCH(L29,tid,0),tao,'12(id)'!$EL$20,FALSE)="","",VLOOKUP(MATCH(L29,tid,0),tao,'12(id)'!$EL$20,FALSE)))</f>
        <v>0.62</v>
      </c>
      <c r="AD29" s="4408"/>
      <c r="AE29" s="4407">
        <f t="shared" si="3"/>
        <v>0.55300000000000005</v>
      </c>
      <c r="AF29" s="4408">
        <f t="shared" si="4"/>
        <v>141.31</v>
      </c>
      <c r="AG29" s="431">
        <f>+IF(L29="","",IF(VLOOKUP(MATCH(L29,tid,0),tao,'12(id)'!$GY$20,FALSE)="","",VLOOKUP(MATCH(L29,tid,0),tao,'12(id)'!$GY$20,FALSE)))</f>
        <v>50</v>
      </c>
      <c r="AH29" s="430">
        <f>+IF(L29="","",IF(VLOOKUP(MATCH(L29,tid,0),tao,'12(id)'!$HL$20,FALSE)="","",VLOOKUP(MATCH(L29,tid,0),tao,'12(id)'!$HL$20,FALSE)))</f>
        <v>2.7373500000000002</v>
      </c>
      <c r="AI29" s="484">
        <f>+IF(L29="","",IF(2010-VLOOKUP(MATCH(L29,epa_id,0),epa,'A1(epa)'!$U$17,FALSE)=0,IF(VLOOKUP(MATCH(L29,epa_id,0),epa,'A1(epa)'!$U$17,FALSE)=0,"",VLOOKUP(MATCH(L29,epa_id,0),epa,'A1(epa)'!$U$17,FALSE))))</f>
        <v>2010</v>
      </c>
      <c r="AJ29" s="623">
        <f>+IF(L29="","",IF(2010-VLOOKUP(MATCH(L29,epa_id,0),epa,'A1(epa)'!$U$17,FALSE)=0,IF(VLOOKUP(MATCH(L29,epa_id,0),epa,'A1(epa)'!$W$17,FALSE)=0,"",VLOOKUP(MATCH(L29,epa_id,0),epa,'A1(epa)'!$W$17,FALSE))))</f>
        <v>19</v>
      </c>
      <c r="AK29" s="491">
        <f>+IF(L29="","",IF(2010-VLOOKUP(MATCH(L29,epa_id,0),epa,'A1(epa)'!$U$17,FALSE)=0,IF(VLOOKUP(MATCH(L29,epa_id,0),epa,'A1(epa)'!$X$17,FALSE)=0,"",VLOOKUP(MATCH(L29,epa_id,0),epa,'A1(epa)'!$X$17,FALSE))))</f>
        <v>5</v>
      </c>
      <c r="AL29" s="623">
        <f>+IF(L29="","",IF(2010-VLOOKUP(MATCH(L29,epa_id,0),epa,'A1(epa)'!$U$17,FALSE)=0,IF(VLOOKUP(MATCH(L29,epa_id,0),epa,'A1(epa)'!$Y$17,FALSE)=0,"",VLOOKUP(MATCH(L29,epa_id,0),epa,'A1(epa)'!$Y$17,FALSE))))</f>
        <v>327</v>
      </c>
      <c r="AM29" s="5750">
        <f>+IF(L29="","",IF(2010-VLOOKUP(MATCH(L29,epa_id,0),epa,'A1(epa)'!$U$17,FALSE)=0,IF(VLOOKUP(MATCH(L29,epa_id,0),epa,'A1(epa)'!$AA$17,FALSE)=0,"",VLOOKUP(MATCH(L29,epa_id,0),epa,'A1(epa)'!$AA$17,FALSE))))</f>
        <v>0.62</v>
      </c>
      <c r="AN29" s="5751">
        <f>+IF(L29="","",IF(2010-VLOOKUP(MATCH(L29,epa_id,0),epa,'A1(epa)'!$U$17,FALSE)=0,IF(VLOOKUP(MATCH(L29,epa_id,0),epa,'A1(epa)'!$AB$17,FALSE)=0,"",VLOOKUP(MATCH(L29,epa_id,0),epa,'A1(epa)'!$AB$17,FALSE))))</f>
        <v>1.5</v>
      </c>
      <c r="AO29" s="5752">
        <f t="shared" si="14"/>
        <v>0.62</v>
      </c>
      <c r="AP29" s="5753">
        <f t="shared" si="5"/>
        <v>1.5</v>
      </c>
      <c r="AQ29" s="5754">
        <f t="shared" si="6"/>
        <v>4587.1559633027518</v>
      </c>
      <c r="AR29" s="623">
        <f>+IF(L29="","",IF(2010-VLOOKUP(MATCH(L29,epa_id,0),epa,'A1(epa)'!$U$17,FALSE)=0,IF(VLOOKUP(MATCH(L29,epa_id,0),epa,'A1(epa)'!$AC$17,FALSE)=0,"",VLOOKUP(MATCH(L29,epa_id,0),epa,'A1(epa)'!$AC$17,FALSE))))</f>
        <v>4811</v>
      </c>
      <c r="AS29" s="54" t="str">
        <f>+IF(L29="","",IF(2010-VLOOKUP(MATCH(L29,epa_id,0),epa,'A1(epa)'!$U$17,FALSE)=0,IF(VLOOKUP(MATCH(L29,epa_id,0),epa,'A1(epa)'!$AP$17,FALSE)=0,"",VLOOKUP(MATCH(L29,epa_id,0),epa,'A1(epa)'!$AP$17,FALSE))))</f>
        <v>Diesel Oil</v>
      </c>
      <c r="AT29" s="490" t="str">
        <f>+IF(L29="","",IF(2010-VLOOKUP(MATCH(L29,epa_id,0),epa,'A1(epa)'!$U$17,FALSE)=0,IF(VLOOKUP(MATCH(L29,epa_id,0),epa,'A1(epa)'!$AQ$17,FALSE)=0,"",VLOOKUP(MATCH(L29,epa_id,0),epa,'A1(epa)'!$AQ$17,FALSE))))</f>
        <v/>
      </c>
      <c r="AU29" s="484">
        <f>+IF(L29="","",IF(2009-VLOOKUP(MATCH(L29,epa_id,0)+1,epa,'A1(epa)'!$U$17,FALSE)=0,IF(VLOOKUP(MATCH(L29,epa_id,0)+1,epa,'A1(epa)'!$U$17,FALSE)=0,"",VLOOKUP(MATCH(L29,epa_id,0)+1,epa,'A1(epa)'!$U$17,FALSE))))</f>
        <v>2009</v>
      </c>
      <c r="AV29" s="73">
        <f>+IF(L29="","",IF(2009-VLOOKUP(MATCH(L29,epa_id,0)+1,epa,'A1(epa)'!$U$17,FALSE)=0,IF(VLOOKUP(MATCH(L29,epa_id,0)+1,epa,'A1(epa)'!$W$17,FALSE)=0,"",VLOOKUP(MATCH(L29,epa_id,0)+1,epa,'A1(epa)'!$W$17,FALSE))))</f>
        <v>15</v>
      </c>
      <c r="AW29" s="486">
        <f>+IF(L29="","",IF(2009-VLOOKUP(MATCH(L29,epa_id,0)+1,epa,'A1(epa)'!$U$17,FALSE)=0,IF(VLOOKUP(MATCH(L29,epa_id,0)+1,epa,'A1(epa)'!$X$17,FALSE)=0,"",VLOOKUP(MATCH(L29,epa_id,0)+1,epa,'A1(epa)'!$X$17,FALSE))))</f>
        <v>5</v>
      </c>
      <c r="AX29" s="623">
        <f>+IF(L29="","",IF(2009-VLOOKUP(MATCH(L29,epa_id,0)+1,epa,'A1(epa)'!$U$17,FALSE)=0,IF(VLOOKUP(MATCH(L29,epa_id,0)+1,epa,'A1(epa)'!$Y$17,FALSE)=0,"",VLOOKUP(MATCH(L29,epa_id,0)+1,epa,'A1(epa)'!$Y$17,FALSE))))</f>
        <v>225</v>
      </c>
      <c r="AY29" s="622">
        <f>+IF(L29="","",IF(2009-VLOOKUP(MATCH(L29,epa_id,0)+1,epa,'A1(epa)'!$U$17,FALSE)=0,IF(VLOOKUP(MATCH(L29,epa_id,0)+1,epa,'A1(epa)'!$AA$17,FALSE)=0,"",VLOOKUP(MATCH(L29,epa_id,0)+1,epa,'A1(epa)'!$AA$17,FALSE))))</f>
        <v>0.62</v>
      </c>
      <c r="AZ29" s="1947">
        <f>+IF(L29="","",IF(2009-VLOOKUP(MATCH(L29,epa_id,0)+1,epa,'A1(epa)'!$U$17,FALSE)=0,IF(VLOOKUP(MATCH(L29,epa_id,0)+1,epa,'A1(epa)'!$AB$17,FALSE)=0,"",VLOOKUP(MATCH(L29,epa_id,0)+1,epa,'A1(epa)'!$AB$17,FALSE))))</f>
        <v>1.2</v>
      </c>
      <c r="BA29" s="5651">
        <f t="shared" si="15"/>
        <v>0.62</v>
      </c>
      <c r="BB29" s="5665">
        <f t="shared" si="7"/>
        <v>1.2</v>
      </c>
      <c r="BC29" s="5388">
        <f t="shared" si="8"/>
        <v>5333.333333333333</v>
      </c>
      <c r="BD29" s="623">
        <f>+IF(L29="","",IF(2009-VLOOKUP(MATCH(L29,epa_id,0)+1,epa,'A1(epa)'!$U$17,FALSE)=0,IF(VLOOKUP(MATCH(L29,epa_id,0)+1,epa,'A1(epa)'!$AC$17,FALSE)=0,"",VLOOKUP(MATCH(L29,epa_id,0)+1,epa,'A1(epa)'!$AC$17,FALSE))))</f>
        <v>3782</v>
      </c>
      <c r="BE29" s="486" t="str">
        <f>+IF(L29="","",IF(2009-VLOOKUP(MATCH(L29,epa_id,0)+1,epa,'A1(epa)'!$U$17,FALSE)=0,IF(VLOOKUP(MATCH(L29,epa_id,0)+1,epa,'A1(epa)'!$AP$17,FALSE)=0,"",VLOOKUP(MATCH(L29,epa_id,0)+1,epa,'A1(epa)'!$AP$17,FALSE))))</f>
        <v>Diesel Oil</v>
      </c>
      <c r="BF29" s="492" t="str">
        <f>+IF(L29="","",IF(2009-VLOOKUP(MATCH(L29,epa_id,0)+1,epa,'A1(epa)'!$U$17,FALSE)=0,IF(VLOOKUP(MATCH(L29,epa_id,0)+1,epa,'A1(epa)'!$AQ$17,FALSE)=0,"",VLOOKUP(MATCH(L29,epa_id,0)+1,epa,'A1(epa)'!$AQ$17,FALSE))))</f>
        <v/>
      </c>
      <c r="BG29" s="88">
        <f>+IF(L29="","",IF(2008-VLOOKUP(MATCH(L29,epa_id,0)+2,epa,'A1(epa)'!$U$17,FALSE)=0,IF(VLOOKUP(MATCH(L29,epa_id,0)+2,epa,'A1(epa)'!$U$17,FALSE)=0,"",VLOOKUP(MATCH(L29,epa_id,0)+2,epa,'A1(epa)'!$U$17,FALSE))))</f>
        <v>2008</v>
      </c>
      <c r="BH29" s="486">
        <f>+IF(L29="","",IF(2008-VLOOKUP(MATCH(L29,epa_id,0)+2,epa,'A1(epa)'!$U$17,FALSE)=0,IF(VLOOKUP(MATCH(L29,epa_id,0)+2,epa,'A1(epa)'!$W$17,FALSE)=0,"",VLOOKUP(MATCH(L29,epa_id,0)+2,epa,'A1(epa)'!$W$17,FALSE))))</f>
        <v>10</v>
      </c>
      <c r="BI29" s="486">
        <f>+IF(L29="","",IF(2008-VLOOKUP(MATCH(L29,epa_id,0)+2,epa,'A1(epa)'!$U$17,FALSE)=0,IF(VLOOKUP(MATCH(L29,epa_id,0)+2,epa,'A1(epa)'!$X$17,FALSE)=0,"",VLOOKUP(MATCH(L29,epa_id,0)+2,epa,'A1(epa)'!$X$17,FALSE))))</f>
        <v>5</v>
      </c>
      <c r="BJ29" s="623">
        <f>+IF(L29="","",IF(2008-VLOOKUP(MATCH(L29,epa_id,0)+2,epa,'A1(epa)'!$U$17,FALSE)=0,IF(VLOOKUP(MATCH(L29,epa_id,0)+2,epa,'A1(epa)'!$Y$17,FALSE)=0,"",VLOOKUP(MATCH(L29,epa_id,0)+2,epa,'A1(epa)'!$Y$17,FALSE))))</f>
        <v>151</v>
      </c>
      <c r="BK29" s="622">
        <f>+IF(L29="","",IF(2008-VLOOKUP(MATCH(L29,epa_id,0)+2,epa,'A1(epa)'!$U$17,FALSE)=0,IF(VLOOKUP(MATCH(L29,epa_id,0)+2,epa,'A1(epa)'!$AA$17,FALSE)=0,"",VLOOKUP(MATCH(L29,epa_id,0)+2,epa,'A1(epa)'!$AA$17,FALSE))))</f>
        <v>0.56999999999999995</v>
      </c>
      <c r="BL29" s="1947">
        <f>+IF(L29="","",IF(2008-VLOOKUP(MATCH(L29,epa_id,0)+2,epa,'A1(epa)'!$U$17,FALSE)=0,IF(VLOOKUP(MATCH(L29,epa_id,0)+2,epa,'A1(epa)'!$AB$17,FALSE)=0,"",VLOOKUP(MATCH(L29,epa_id,0)+2,epa,'A1(epa)'!$AB$17,FALSE))))</f>
        <v>0.7</v>
      </c>
      <c r="BM29" s="5704">
        <f t="shared" si="16"/>
        <v>0.56999999999999995</v>
      </c>
      <c r="BN29" s="5705">
        <f t="shared" si="9"/>
        <v>0.7</v>
      </c>
      <c r="BO29" s="5706">
        <f t="shared" si="10"/>
        <v>4635.7615894039736</v>
      </c>
      <c r="BP29" s="5627">
        <f>+IF(L29="","",IF(2008-VLOOKUP(MATCH(L29,epa_id,0)+2,epa,'A1(epa)'!$U$17,FALSE)=0,IF(VLOOKUP(MATCH(L29,epa_id,0)+2,epa,'A1(epa)'!$AC$17,FALSE)=0,"",VLOOKUP(MATCH(L29,epa_id,0)+2,epa,'A1(epa)'!$AC$17,FALSE))))</f>
        <v>2595</v>
      </c>
      <c r="BQ29" s="5599" t="str">
        <f>+IF(L29="","",IF(2008-VLOOKUP(MATCH(L29,epa_id,0)+2,epa,'A1(epa)'!$U$17,FALSE)=0,IF(VLOOKUP(MATCH(L29,epa_id,0)+2,epa,'A1(epa)'!$AP$17,FALSE)=0,"",VLOOKUP(MATCH(L29,epa_id,0)+2,epa,'A1(epa)'!$AP$17,FALSE))))</f>
        <v>Diesel Oil</v>
      </c>
      <c r="BR29" s="490" t="str">
        <f>+IF(L29="","",IF(2008-VLOOKUP(MATCH(L29,epa_id,0)+2,epa,'A1(epa)'!$U$17,FALSE)=0,IF(VLOOKUP(MATCH(L29,epa_id,0)+2,epa,'A1(epa)'!$AQ$17,FALSE)=0,"",VLOOKUP(MATCH(L29,epa_id,0)+2,epa,'A1(epa)'!$AQ$17,FALSE))))</f>
        <v/>
      </c>
      <c r="BS29" s="5599" t="str">
        <f>+IF(L29="","",IF(2010-VLOOKUP(MATCH(L29,epa_id,0),epa,'A1(epa)'!$U$17,FALSE)=0,IF(VLOOKUP(MATCH(L29,epa_id,0),epa,'A1(epa)'!$AS$17,FALSE)=0,"",VLOOKUP(MATCH(L29,epa_id,0),epa,'A1(epa)'!$AS$17,FALSE))))</f>
        <v/>
      </c>
      <c r="BT29" s="54" t="str">
        <f>+IF(L29="","",IF(2010-VLOOKUP(MATCH(L29,epa_id,0),epa,'A1(epa)'!$U$17,FALSE)=0,IF(VLOOKUP(MATCH(L29,epa_id,0),epa,'A1(epa)'!$AT$17,FALSE)=0,"",VLOOKUP(MATCH(L29,epa_id,0),epa,'A1(epa)'!$AT$17,FALSE))))</f>
        <v/>
      </c>
      <c r="BU29" s="54" t="str">
        <f>+IF(L29="","",IF(2010-VLOOKUP(MATCH(L29,epa_id,0),epa,'A1(epa)'!$U$17,FALSE)=0,IF(VLOOKUP(MATCH(L29,epa_id,0),epa,'A1(epa)'!$AU$17,FALSE)=0,"",VLOOKUP(MATCH(L29,epa_id,0),epa,'A1(epa)'!$AU$17,FALSE))))</f>
        <v/>
      </c>
      <c r="BV29" s="54" t="str">
        <f>+IF(L29="","",IF(2010-VLOOKUP(MATCH(L29,epa_id,0),epa,'A1(epa)'!$U$17,FALSE)=0,IF(VLOOKUP(MATCH(L29,epa_id,0),epa,'A1(epa)'!$AR$17,FALSE)=0,"",VLOOKUP(MATCH(L29,epa_id,0),epa,'A1(epa)'!$AR$17,FALSE))))</f>
        <v/>
      </c>
      <c r="BW29" s="488" t="str">
        <f>+IF(L29="","",IF(2010-VLOOKUP(MATCH(L29,epa_id,0),epa,'A1(epa)'!$U$17,FALSE)=0,IF(VLOOKUP(MATCH(L29,epa_id,0),epa,'A1(epa)'!$AV$17,FALSE)=0,"",VLOOKUP(MATCH(L29,epa_id,0),epa,'A1(epa)'!$AV$17,FALSE))))</f>
        <v/>
      </c>
      <c r="BX29" s="496">
        <f>+IF(L29="","",IF(2010-VLOOKUP(MATCH(L29,epa_id,0),epa,'A1(epa)'!$U$17,FALSE)=0,IF(VLOOKUP(MATCH(L29,epa_id,0),epa,'A1(epa)'!$AW$17,FALSE)=0,"",VLOOKUP(MATCH(L29,epa_id,0),epa,'A1(epa)'!$AW$17,FALSE))))</f>
        <v>249</v>
      </c>
      <c r="BY29" s="5415"/>
      <c r="BZ29" s="496">
        <f t="shared" si="11"/>
        <v>4852.0836286800195</v>
      </c>
      <c r="CA29" s="5415"/>
      <c r="CB29" s="583">
        <f>+IF(AJ29="","",MAX(AJ29))</f>
        <v>19</v>
      </c>
      <c r="CC29" s="491">
        <f>+IF(AL29="","",MAX(AL29))</f>
        <v>327</v>
      </c>
      <c r="CD29" s="491">
        <f>+IF(AR29="","",MAX(AR29))</f>
        <v>4811</v>
      </c>
      <c r="CE29" s="494">
        <f>+IF(AP29="","",MAX(AP29))</f>
        <v>1.5</v>
      </c>
      <c r="CF29" s="4389">
        <f>+IF(CD29=AR29,AO29,0)</f>
        <v>0.62</v>
      </c>
      <c r="CG29" s="493">
        <f>IF(OR(CD29="",CE29=""),"",2000/CD29*CE29)</f>
        <v>0.62357098316358339</v>
      </c>
      <c r="CH29" s="499">
        <f>+IF(CG29="","",CG29/CB29)</f>
        <v>3.2819525429662287E-2</v>
      </c>
      <c r="CI29" s="497">
        <f>+IF(AV29="","",MAX(AV29))</f>
        <v>15</v>
      </c>
      <c r="CJ29" s="491">
        <f>+IF(AX29="","",MAX(AX29))</f>
        <v>225</v>
      </c>
      <c r="CK29" s="491">
        <f>+IF(BD29="","",MAX(BD29))</f>
        <v>3782</v>
      </c>
      <c r="CL29" s="498">
        <f>+IF(BB29="","",MAX(BB29))</f>
        <v>1.2</v>
      </c>
      <c r="CM29" s="493">
        <f>+IF(CK29=BD29,BA29,0)</f>
        <v>0.62</v>
      </c>
      <c r="CN29" s="493">
        <f>IF(OR(CK29="",CL29=""),"",2000/CK29*CL29)</f>
        <v>0.63458487572712852</v>
      </c>
      <c r="CO29" s="499">
        <f>+IF(CN29="","",CN29/CI29)</f>
        <v>4.2305658381808567E-2</v>
      </c>
      <c r="CP29" s="497">
        <f>+IF(BH29="","",MAX(BH29))</f>
        <v>10</v>
      </c>
      <c r="CQ29" s="491">
        <f>+IF(BJ29="","",MAX(BJ29))</f>
        <v>151</v>
      </c>
      <c r="CR29" s="491">
        <f>+IF(BP29="","",MAX(BP29))</f>
        <v>2595</v>
      </c>
      <c r="CS29" s="498">
        <f>+IF(BN29="","",MAX(BN29))</f>
        <v>0.7</v>
      </c>
      <c r="CT29" s="493">
        <f>+IF(CR29=BP29,BM29,0)</f>
        <v>0.56999999999999995</v>
      </c>
      <c r="CU29" s="493">
        <f>IF(OR(CR29="",CS29=""),"",2000/CR29*CS29)</f>
        <v>0.53949903660886322</v>
      </c>
      <c r="CV29" s="500">
        <f>+IF(CU29="","",CU29/CP29)</f>
        <v>5.3949903660886325E-2</v>
      </c>
      <c r="CW29" s="620">
        <f>+IF(DA29="","",IF(DA29=CE29,AI29,IF(DA29=CL29,AU29,IF(DA29=CS29,BG29))))</f>
        <v>2010</v>
      </c>
      <c r="CX29" s="621">
        <f>+IF(DA29="","",IF(DA29=CE29,CB29,IF(DA29=CL29,CI29,IF(DA29=CS29,CP29))))</f>
        <v>19</v>
      </c>
      <c r="CY29" s="5584">
        <f>+IF(DA29="","",IF(DA29=CE29,CC29,IF(DA29=CL29,CJ29,IF(DA29=CS29,CQ29))))</f>
        <v>327</v>
      </c>
      <c r="CZ29" s="623">
        <f>+IF(DA29="","",IF(DA29=CE29,CD29,IF(DA29=CL29,CK29,IF(DA29=CS29,CR29))))</f>
        <v>4811</v>
      </c>
      <c r="DA29" s="494">
        <f t="shared" si="12"/>
        <v>1.5</v>
      </c>
      <c r="DB29" s="622">
        <f>+IF(DA29="","",IF(DA29=CE29,CF29,IF(DA29=CL29,CM29,IF(DA29=CS29,CT29))))</f>
        <v>0.62</v>
      </c>
      <c r="DC29" s="622">
        <f>IF(OR(DA29="",CZ29=""),"",ROUND(2000*DA29/CZ29,3))</f>
        <v>0.624</v>
      </c>
      <c r="DD29" s="499">
        <f>+IF(CX29="","",DA29/CX29)</f>
        <v>7.8947368421052627E-2</v>
      </c>
      <c r="DE29" s="592">
        <f>+IF(DD29="","",DD29*$DE$15)</f>
        <v>3.9473684210526314</v>
      </c>
      <c r="DF29" s="592"/>
      <c r="DG29" s="5356"/>
      <c r="DH29" s="5348"/>
      <c r="DI29" s="5348"/>
    </row>
    <row r="30" spans="1:113" s="479" customFormat="1" ht="25.5" customHeight="1" thickBot="1">
      <c r="A30" s="5360" t="str">
        <f t="shared" si="13"/>
        <v>8301-01</v>
      </c>
      <c r="B30" s="5361" t="str">
        <f>+IF(A30="","",VLOOKUP(MATCH(A30,tid,0),tao,'12(id)'!$J$20,FALSE))</f>
        <v>PSEG</v>
      </c>
      <c r="C30" s="7890" t="str">
        <f>+O30</f>
        <v>BHB4 </v>
      </c>
      <c r="D30" s="5359"/>
      <c r="E30" s="5351"/>
      <c r="F30" s="5359"/>
      <c r="G30" s="4445">
        <f t="shared" si="17"/>
        <v>12</v>
      </c>
      <c r="H30" s="495">
        <v>12</v>
      </c>
      <c r="I30" s="485">
        <f>+IF(L30="","",IF(VLOOKUP(MATCH(L30,tid,0),tao,'12(id)'!$H$20,FALSE)="","",VLOOKUP(MATCH(L30,tid,0),tao,'12(id)'!$H$20,FALSE)))</f>
        <v>5</v>
      </c>
      <c r="J30" s="54" t="str">
        <f>+IF(L30="","",IF(VLOOKUP(MATCH(L30,tid,0),tao,'12(id)'!$I$20,FALSE)="","",VLOOKUP(MATCH(L30,tid,0),tao,'12(id)'!$I$20,FALSE)))</f>
        <v>PSEG Power LLC, PSEG Fossil LLC, PSEG Power Connecticut</v>
      </c>
      <c r="K30" s="486">
        <f>+IF(L30="","",IF(VLOOKUP(MATCH(L30,tid,0),tao,'12(id)'!$K$20,FALSE)="","",VLOOKUP(MATCH(L30,tid,0),tao,'12(id)'!$K$20,FALSE)))</f>
        <v>8301</v>
      </c>
      <c r="L30" s="486" t="s">
        <v>276</v>
      </c>
      <c r="M30" s="54" t="str">
        <f>+IF(L30="","",IF(VLOOKUP(MATCH(L30,tid,0),tao,'12(id)'!$L$20,FALSE)="","",VLOOKUP(MATCH(L30,tid,0),tao,'12(id)'!$L$20,FALSE)))</f>
        <v>Bridgeport Harbor Station</v>
      </c>
      <c r="N30" s="54" t="str">
        <f>+IF(L30="","",IF(VLOOKUP(MATCH(L30,tid,0),tao,'12(id)'!$P$20,FALSE)="","",VLOOKUP(MATCH(L30,tid,0),tao,'12(id)'!$P$20,FALSE)))</f>
        <v>Bridgeport Harbor Station (BHS) Unit No. 4</v>
      </c>
      <c r="O30" s="487" t="str">
        <f>+IF(L30="","",IF(VLOOKUP(MATCH(L30,tid,0),tao,'12(id)'!$Q$20,FALSE)="","",VLOOKUP(MATCH(L30,tid,0),tao,'12(id)'!$Q$20,FALSE)))</f>
        <v>BHB4 </v>
      </c>
      <c r="P30" s="535">
        <f>+IF(L30="","",IF(VLOOKUP(MATCH(L30,tid,0),tao,'12(id)'!$CT$20,FALSE)="","",VLOOKUP(MATCH(L30,tid,0),tao,'12(id)'!$CT$20,FALSE)))</f>
        <v>22</v>
      </c>
      <c r="Q30" s="536">
        <f>+P30</f>
        <v>22</v>
      </c>
      <c r="R30" s="413" t="str">
        <f>+IF(L30="","",IF(VLOOKUP(MATCH(L30,tid,0),tao,'12(id)'!$T$20,FALSE)="","",VLOOKUP(MATCH(L30,tid,0),tao,'12(id)'!$T$20,FALSE)))</f>
        <v>Combustion Turbine</v>
      </c>
      <c r="S30" s="414" t="str">
        <f>+IF(L30="","",IF(VLOOKUP(MATCH(L30,tid,0),tao,'12(id)'!$CO$20,FALSE)="","",VLOOKUP(MATCH(L30,tid,0),tao,'12(id)'!$CO$20,FALSE)))</f>
        <v>Pratt &amp; Whitney</v>
      </c>
      <c r="T30" s="413" t="str">
        <f>+IF(L30="","",IF(VLOOKUP(MATCH(L30,tid,0),tao,'12(id)'!$CP$20,FALSE)="","",VLOOKUP(MATCH(L30,tid,0),tao,'12(id)'!$CP$20,FALSE)))</f>
        <v>FT-4A-8LI</v>
      </c>
      <c r="U30" s="73" t="str">
        <f>+IF(L30="","",IF(VLOOKUP(MATCH(L30,tid,0),tao,'12(id)'!$DC$20,FALSE)="","",IF(VLOOKUP(MATCH(L30,tid,0),tao,'12(id)'!$DB$20,FALSE)="",VLOOKUP(MATCH(L30,tid,0),tao,'12(id)'!$DC$20,FALSE),VLOOKUP(MATCH(L30,tid,0),tao,'12(id)'!$DB$20,FALSE)&amp;" "&amp;VLOOKUP(MATCH(L30,tid,0),tao,'12(id)'!$DC$20,FALSE))))</f>
        <v>Jan 1967</v>
      </c>
      <c r="V30" s="133">
        <f ca="1">+IF(L30="","",IF(VLOOKUP(MATCH(L30,tid,0),tao,'12(id)'!$DE$20,FALSE)="","",ROUND(VLOOKUP(MATCH(L30,tid,0),tao,'12(id)'!$DE$20,FALSE),0)))</f>
        <v>47</v>
      </c>
      <c r="W30" s="54" t="str">
        <f>+IF(L30="","",IF(VLOOKUP(G30,tao,'12(id)'!$FR$20,FALSE)="","",VLOOKUP(G30,tao,'12(id)'!$FR$20,FALSE)&amp;IF(VLOOKUP(G30,tao,'12(id)'!$FS$20,FALSE)="","",", "&amp;VLOOKUP(G30,tao,'12(id)'!$FS$20,FALSE))))</f>
        <v>None</v>
      </c>
      <c r="X30" s="54" t="str">
        <f>+IF(L30="","",IF(VLOOKUP(MATCH(L30,tid,0),tao,'12(id)'!$DI$20,FALSE)="","",VLOOKUP(MATCH(L30,tid,0),tao,'12(id)'!$DI$20,FALSE)))</f>
        <v>Jet Fuel A (Kerosene K1)</v>
      </c>
      <c r="Y30" s="54" t="str">
        <f>+IF(L30="","",IF(VLOOKUP(MATCH(L30,tid,0),tao,'12(id)'!$DQ$20,FALSE)="","",VLOOKUP(MATCH(L30,tid,0),tao,'12(id)'!$DQ$20,FALSE)))</f>
        <v/>
      </c>
      <c r="Z30" s="4401">
        <f>+IF(L30="","",IF(VLOOKUP(MATCH(L30,tid,0),tao,'12(id)'!$EH$20,FALSE)="","",VLOOKUP(MATCH(L30,tid,0),tao,'12(id)'!$EH$20,FALSE)))</f>
        <v>287</v>
      </c>
      <c r="AA30" s="4406">
        <f>+IF(L30="","",IF(VLOOKUP(MATCH(L30,tid,0),tao,'12(id)'!$EI$20,FALSE)="","",VLOOKUP(MATCH(L30,tid,0),tao,'12(id)'!$EI$20,FALSE)))</f>
        <v>0.70899999999999996</v>
      </c>
      <c r="AB30" s="4406">
        <f>+IF(L30="","",IF(VLOOKUP(MATCH(L30,tid,0),tao,'12(id)'!$EJ$20,FALSE)="","",VLOOKUP(MATCH(L30,tid,0),tao,'12(id)'!$EJ$20,FALSE)))</f>
        <v>186.17</v>
      </c>
      <c r="AC30" s="4433">
        <f>+IF(L30="","",IF(VLOOKUP(MATCH(L30,tid,0),tao,'12(id)'!$EL$20,FALSE)="","",VLOOKUP(MATCH(L30,tid,0),tao,'12(id)'!$EL$20,FALSE)))</f>
        <v>0.73</v>
      </c>
      <c r="AD30" s="4408"/>
      <c r="AE30" s="4407">
        <f t="shared" si="3"/>
        <v>0.70899999999999996</v>
      </c>
      <c r="AF30" s="4408">
        <f t="shared" si="4"/>
        <v>186.17</v>
      </c>
      <c r="AG30" s="431" t="str">
        <f>+IF(L30="","",IF(VLOOKUP(MATCH(L30,tid,0),tao,'12(id)'!$GY$20,FALSE)="","",VLOOKUP(MATCH(L30,tid,0),tao,'12(id)'!$GY$20,FALSE)))</f>
        <v/>
      </c>
      <c r="AH30" s="430" t="str">
        <f>+IF(L30="","",IF(VLOOKUP(MATCH(L30,tid,0),tao,'12(id)'!$HL$20,FALSE)="","",VLOOKUP(MATCH(L30,tid,0),tao,'12(id)'!$HL$20,FALSE)))</f>
        <v/>
      </c>
      <c r="AI30" s="484">
        <f>+IF(L30="","",IF(2010-VLOOKUP(MATCH(L30,epa_id,0),epa,'A1(epa)'!$U$17,FALSE)=0,IF(VLOOKUP(MATCH(L30,epa_id,0),epa,'A1(epa)'!$U$17,FALSE)=0,"",VLOOKUP(MATCH(L30,epa_id,0),epa,'A1(epa)'!$U$17,FALSE))))</f>
        <v>2010</v>
      </c>
      <c r="AJ30" s="623">
        <f>+IF(L30="","",IF(2010-VLOOKUP(MATCH(L30,epa_id,0),epa,'A1(epa)'!$U$17,FALSE)=0,IF(VLOOKUP(MATCH(L30,epa_id,0),epa,'A1(epa)'!$W$17,FALSE)=0,"",VLOOKUP(MATCH(L30,epa_id,0),epa,'A1(epa)'!$W$17,FALSE))))</f>
        <v>11</v>
      </c>
      <c r="AK30" s="491">
        <f>+IF(L30="","",IF(2010-VLOOKUP(MATCH(L30,epa_id,0),epa,'A1(epa)'!$U$17,FALSE)=0,IF(VLOOKUP(MATCH(L30,epa_id,0),epa,'A1(epa)'!$X$17,FALSE)=0,"",VLOOKUP(MATCH(L30,epa_id,0),epa,'A1(epa)'!$X$17,FALSE))))</f>
        <v>5</v>
      </c>
      <c r="AL30" s="623">
        <f>+IF(L30="","",IF(2010-VLOOKUP(MATCH(L30,epa_id,0),epa,'A1(epa)'!$U$17,FALSE)=0,IF(VLOOKUP(MATCH(L30,epa_id,0),epa,'A1(epa)'!$Y$17,FALSE)=0,"",VLOOKUP(MATCH(L30,epa_id,0),epa,'A1(epa)'!$Y$17,FALSE))))</f>
        <v>114</v>
      </c>
      <c r="AM30" s="5750">
        <f>+IF(L30="","",IF(2010-VLOOKUP(MATCH(L30,epa_id,0),epa,'A1(epa)'!$U$17,FALSE)=0,IF(VLOOKUP(MATCH(L30,epa_id,0),epa,'A1(epa)'!$AA$17,FALSE)=0,"",VLOOKUP(MATCH(L30,epa_id,0),epa,'A1(epa)'!$AA$17,FALSE))))</f>
        <v>0.71</v>
      </c>
      <c r="AN30" s="5751">
        <f>+IF(L30="","",IF(2010-VLOOKUP(MATCH(L30,epa_id,0),epa,'A1(epa)'!$U$17,FALSE)=0,IF(VLOOKUP(MATCH(L30,epa_id,0),epa,'A1(epa)'!$AB$17,FALSE)=0,"",VLOOKUP(MATCH(L30,epa_id,0),epa,'A1(epa)'!$AB$17,FALSE))))</f>
        <v>0.7</v>
      </c>
      <c r="AO30" s="5752">
        <f t="shared" si="14"/>
        <v>0.71</v>
      </c>
      <c r="AP30" s="5753">
        <f t="shared" si="5"/>
        <v>0.7</v>
      </c>
      <c r="AQ30" s="5770">
        <f t="shared" si="6"/>
        <v>6140.3508771929828</v>
      </c>
      <c r="AR30" s="623">
        <f>+IF(L30="","",IF(2010-VLOOKUP(MATCH(L30,epa_id,0),epa,'A1(epa)'!$U$17,FALSE)=0,IF(VLOOKUP(MATCH(L30,epa_id,0),epa,'A1(epa)'!$AC$17,FALSE)=0,"",VLOOKUP(MATCH(L30,epa_id,0),epa,'A1(epa)'!$AC$17,FALSE))))</f>
        <v>2026</v>
      </c>
      <c r="AS30" s="54" t="str">
        <f>+IF(L30="","",IF(2010-VLOOKUP(MATCH(L30,epa_id,0),epa,'A1(epa)'!$U$17,FALSE)=0,IF(VLOOKUP(MATCH(L30,epa_id,0),epa,'A1(epa)'!$AP$17,FALSE)=0,"",VLOOKUP(MATCH(L30,epa_id,0),epa,'A1(epa)'!$AP$17,FALSE))))</f>
        <v>Other Oil</v>
      </c>
      <c r="AT30" s="490" t="str">
        <f>+IF(L30="","",IF(2010-VLOOKUP(MATCH(L30,epa_id,0),epa,'A1(epa)'!$U$17,FALSE)=0,IF(VLOOKUP(MATCH(L30,epa_id,0),epa,'A1(epa)'!$AQ$17,FALSE)=0,"",VLOOKUP(MATCH(L30,epa_id,0),epa,'A1(epa)'!$AQ$17,FALSE))))</f>
        <v/>
      </c>
      <c r="AU30" s="484">
        <f>+IF(L30="","",IF(2009-VLOOKUP(MATCH(L30,epa_id,0)+1,epa,'A1(epa)'!$U$17,FALSE)=0,IF(VLOOKUP(MATCH(L30,epa_id,0)+1,epa,'A1(epa)'!$U$17,FALSE)=0,"",VLOOKUP(MATCH(L30,epa_id,0)+1,epa,'A1(epa)'!$U$17,FALSE))))</f>
        <v>2009</v>
      </c>
      <c r="AV30" s="73">
        <f>+IF(L30="","",IF(2009-VLOOKUP(MATCH(L30,epa_id,0)+1,epa,'A1(epa)'!$U$17,FALSE)=0,IF(VLOOKUP(MATCH(L30,epa_id,0)+1,epa,'A1(epa)'!$W$17,FALSE)=0,"",VLOOKUP(MATCH(L30,epa_id,0)+1,epa,'A1(epa)'!$W$17,FALSE))))</f>
        <v>8</v>
      </c>
      <c r="AW30" s="486">
        <f>+IF(L30="","",IF(2009-VLOOKUP(MATCH(L30,epa_id,0)+1,epa,'A1(epa)'!$U$17,FALSE)=0,IF(VLOOKUP(MATCH(L30,epa_id,0)+1,epa,'A1(epa)'!$X$17,FALSE)=0,"",VLOOKUP(MATCH(L30,epa_id,0)+1,epa,'A1(epa)'!$X$17,FALSE))))</f>
        <v>5</v>
      </c>
      <c r="AX30" s="623">
        <f>+IF(L30="","",IF(2009-VLOOKUP(MATCH(L30,epa_id,0)+1,epa,'A1(epa)'!$U$17,FALSE)=0,IF(VLOOKUP(MATCH(L30,epa_id,0)+1,epa,'A1(epa)'!$Y$17,FALSE)=0,"",VLOOKUP(MATCH(L30,epa_id,0)+1,epa,'A1(epa)'!$Y$17,FALSE))))</f>
        <v>119</v>
      </c>
      <c r="AY30" s="622">
        <f>+IF(L30="","",IF(2009-VLOOKUP(MATCH(L30,epa_id,0)+1,epa,'A1(epa)'!$U$17,FALSE)=0,IF(VLOOKUP(MATCH(L30,epa_id,0)+1,epa,'A1(epa)'!$AA$17,FALSE)=0,"",VLOOKUP(MATCH(L30,epa_id,0)+1,epa,'A1(epa)'!$AA$17,FALSE))))</f>
        <v>0.67</v>
      </c>
      <c r="AZ30" s="1947">
        <f>+IF(L30="","",IF(2009-VLOOKUP(MATCH(L30,epa_id,0)+1,epa,'A1(epa)'!$U$17,FALSE)=0,IF(VLOOKUP(MATCH(L30,epa_id,0)+1,epa,'A1(epa)'!$AB$17,FALSE)=0,"",VLOOKUP(MATCH(L30,epa_id,0)+1,epa,'A1(epa)'!$AB$17,FALSE))))</f>
        <v>0.7</v>
      </c>
      <c r="BA30" s="5651">
        <f t="shared" si="15"/>
        <v>0.67</v>
      </c>
      <c r="BB30" s="5665">
        <f t="shared" si="7"/>
        <v>0.7</v>
      </c>
      <c r="BC30" s="5388">
        <f t="shared" si="8"/>
        <v>5882.3529411764703</v>
      </c>
      <c r="BD30" s="623">
        <f>+IF(L30="","",IF(2009-VLOOKUP(MATCH(L30,epa_id,0)+1,epa,'A1(epa)'!$U$17,FALSE)=0,IF(VLOOKUP(MATCH(L30,epa_id,0)+1,epa,'A1(epa)'!$AC$17,FALSE)=0,"",VLOOKUP(MATCH(L30,epa_id,0)+1,epa,'A1(epa)'!$AC$17,FALSE))))</f>
        <v>1962</v>
      </c>
      <c r="BE30" s="486" t="str">
        <f>+IF(L30="","",IF(2009-VLOOKUP(MATCH(L30,epa_id,0)+1,epa,'A1(epa)'!$U$17,FALSE)=0,IF(VLOOKUP(MATCH(L30,epa_id,0)+1,epa,'A1(epa)'!$AP$17,FALSE)=0,"",VLOOKUP(MATCH(L30,epa_id,0)+1,epa,'A1(epa)'!$AP$17,FALSE))))</f>
        <v>Other Oil</v>
      </c>
      <c r="BF30" s="492" t="str">
        <f>+IF(L30="","",IF(2009-VLOOKUP(MATCH(L30,epa_id,0)+1,epa,'A1(epa)'!$U$17,FALSE)=0,IF(VLOOKUP(MATCH(L30,epa_id,0)+1,epa,'A1(epa)'!$AQ$17,FALSE)=0,"",VLOOKUP(MATCH(L30,epa_id,0)+1,epa,'A1(epa)'!$AQ$17,FALSE))))</f>
        <v/>
      </c>
      <c r="BG30" s="88">
        <f>+IF(L30="","",IF(2008-VLOOKUP(MATCH(L30,epa_id,0)+2,epa,'A1(epa)'!$U$17,FALSE)=0,IF(VLOOKUP(MATCH(L30,epa_id,0)+2,epa,'A1(epa)'!$U$17,FALSE)=0,"",VLOOKUP(MATCH(L30,epa_id,0)+2,epa,'A1(epa)'!$U$17,FALSE))))</f>
        <v>2008</v>
      </c>
      <c r="BH30" s="486">
        <f>+IF(L30="","",IF(2008-VLOOKUP(MATCH(L30,epa_id,0)+2,epa,'A1(epa)'!$U$17,FALSE)=0,IF(VLOOKUP(MATCH(L30,epa_id,0)+2,epa,'A1(epa)'!$W$17,FALSE)=0,"",VLOOKUP(MATCH(L30,epa_id,0)+2,epa,'A1(epa)'!$W$17,FALSE))))</f>
        <v>24</v>
      </c>
      <c r="BI30" s="486">
        <f>+IF(L30="","",IF(2008-VLOOKUP(MATCH(L30,epa_id,0)+2,epa,'A1(epa)'!$U$17,FALSE)=0,IF(VLOOKUP(MATCH(L30,epa_id,0)+2,epa,'A1(epa)'!$X$17,FALSE)=0,"",VLOOKUP(MATCH(L30,epa_id,0)+2,epa,'A1(epa)'!$X$17,FALSE))))</f>
        <v>5</v>
      </c>
      <c r="BJ30" s="623">
        <f>+IF(L30="","",IF(2008-VLOOKUP(MATCH(L30,epa_id,0)+2,epa,'A1(epa)'!$U$17,FALSE)=0,IF(VLOOKUP(MATCH(L30,epa_id,0)+2,epa,'A1(epa)'!$Y$17,FALSE)=0,"",VLOOKUP(MATCH(L30,epa_id,0)+2,epa,'A1(epa)'!$Y$17,FALSE))))</f>
        <v>105</v>
      </c>
      <c r="BK30" s="622">
        <f>+IF(L30="","",IF(2008-VLOOKUP(MATCH(L30,epa_id,0)+2,epa,'A1(epa)'!$U$17,FALSE)=0,IF(VLOOKUP(MATCH(L30,epa_id,0)+2,epa,'A1(epa)'!$AA$17,FALSE)=0,"",VLOOKUP(MATCH(L30,epa_id,0)+2,epa,'A1(epa)'!$AA$17,FALSE))))</f>
        <v>0.67</v>
      </c>
      <c r="BL30" s="1947">
        <f>+IF(L30="","",IF(2008-VLOOKUP(MATCH(L30,epa_id,0)+2,epa,'A1(epa)'!$U$17,FALSE)=0,IF(VLOOKUP(MATCH(L30,epa_id,0)+2,epa,'A1(epa)'!$AB$17,FALSE)=0,"",VLOOKUP(MATCH(L30,epa_id,0)+2,epa,'A1(epa)'!$AB$17,FALSE))))</f>
        <v>0.8</v>
      </c>
      <c r="BM30" s="5704">
        <f t="shared" si="16"/>
        <v>0.67</v>
      </c>
      <c r="BN30" s="5705">
        <f t="shared" si="9"/>
        <v>0.8</v>
      </c>
      <c r="BO30" s="5706">
        <f t="shared" si="10"/>
        <v>7619.0476190476193</v>
      </c>
      <c r="BP30" s="5627">
        <f>+IF(L30="","",IF(2008-VLOOKUP(MATCH(L30,epa_id,0)+2,epa,'A1(epa)'!$U$17,FALSE)=0,IF(VLOOKUP(MATCH(L30,epa_id,0)+2,epa,'A1(epa)'!$AC$17,FALSE)=0,"",VLOOKUP(MATCH(L30,epa_id,0)+2,epa,'A1(epa)'!$AC$17,FALSE))))</f>
        <v>2366</v>
      </c>
      <c r="BQ30" s="5599" t="str">
        <f>+IF(L30="","",IF(2008-VLOOKUP(MATCH(L30,epa_id,0)+2,epa,'A1(epa)'!$U$17,FALSE)=0,IF(VLOOKUP(MATCH(L30,epa_id,0)+2,epa,'A1(epa)'!$AP$17,FALSE)=0,"",VLOOKUP(MATCH(L30,epa_id,0)+2,epa,'A1(epa)'!$AP$17,FALSE))))</f>
        <v>Other Oil</v>
      </c>
      <c r="BR30" s="490" t="str">
        <f>+IF(L30="","",IF(2008-VLOOKUP(MATCH(L30,epa_id,0)+2,epa,'A1(epa)'!$U$17,FALSE)=0,IF(VLOOKUP(MATCH(L30,epa_id,0)+2,epa,'A1(epa)'!$AQ$17,FALSE)=0,"",VLOOKUP(MATCH(L30,epa_id,0)+2,epa,'A1(epa)'!$AQ$17,FALSE))))</f>
        <v/>
      </c>
      <c r="BS30" s="5599" t="str">
        <f>+IF(L30="","",IF(2010-VLOOKUP(MATCH(L30,epa_id,0),epa,'A1(epa)'!$U$17,FALSE)=0,IF(VLOOKUP(MATCH(L30,epa_id,0),epa,'A1(epa)'!$AS$17,FALSE)=0,"",VLOOKUP(MATCH(L30,epa_id,0),epa,'A1(epa)'!$AS$17,FALSE))))</f>
        <v/>
      </c>
      <c r="BT30" s="54" t="str">
        <f>+IF(L30="","",IF(2010-VLOOKUP(MATCH(L30,epa_id,0),epa,'A1(epa)'!$U$17,FALSE)=0,IF(VLOOKUP(MATCH(L30,epa_id,0),epa,'A1(epa)'!$AT$17,FALSE)=0,"",VLOOKUP(MATCH(L30,epa_id,0),epa,'A1(epa)'!$AT$17,FALSE))))</f>
        <v/>
      </c>
      <c r="BU30" s="54" t="str">
        <f>+IF(L30="","",IF(2010-VLOOKUP(MATCH(L30,epa_id,0),epa,'A1(epa)'!$U$17,FALSE)=0,IF(VLOOKUP(MATCH(L30,epa_id,0),epa,'A1(epa)'!$AU$17,FALSE)=0,"",VLOOKUP(MATCH(L30,epa_id,0),epa,'A1(epa)'!$AU$17,FALSE))))</f>
        <v/>
      </c>
      <c r="BV30" s="54" t="str">
        <f>+IF(L30="","",IF(2010-VLOOKUP(MATCH(L30,epa_id,0),epa,'A1(epa)'!$U$17,FALSE)=0,IF(VLOOKUP(MATCH(L30,epa_id,0),epa,'A1(epa)'!$AR$17,FALSE)=0,"",VLOOKUP(MATCH(L30,epa_id,0),epa,'A1(epa)'!$AR$17,FALSE))))</f>
        <v/>
      </c>
      <c r="BW30" s="488" t="str">
        <f>+IF(L30="","",IF(2010-VLOOKUP(MATCH(L30,epa_id,0),epa,'A1(epa)'!$U$17,FALSE)=0,IF(VLOOKUP(MATCH(L30,epa_id,0),epa,'A1(epa)'!$AV$17,FALSE)=0,"",VLOOKUP(MATCH(L30,epa_id,0),epa,'A1(epa)'!$AV$17,FALSE))))</f>
        <v/>
      </c>
      <c r="BX30" s="496">
        <f>+IF(L30="","",IF(2010-VLOOKUP(MATCH(L30,epa_id,0),epa,'A1(epa)'!$U$17,FALSE)=0,IF(VLOOKUP(MATCH(L30,epa_id,0),epa,'A1(epa)'!$AW$17,FALSE)=0,"",VLOOKUP(MATCH(L30,epa_id,0),epa,'A1(epa)'!$AW$17,FALSE))))</f>
        <v>287</v>
      </c>
      <c r="BY30" s="5415"/>
      <c r="BZ30" s="496">
        <f t="shared" si="11"/>
        <v>6547.2504791390238</v>
      </c>
      <c r="CA30" s="5415"/>
      <c r="CB30" s="583">
        <f>+IF(AJ30="","",MAX(AJ30))</f>
        <v>11</v>
      </c>
      <c r="CC30" s="491">
        <f>+IF(AL30="","",MAX(AL30))</f>
        <v>114</v>
      </c>
      <c r="CD30" s="491">
        <f>+IF(AR30="","",MAX(AR30))</f>
        <v>2026</v>
      </c>
      <c r="CE30" s="494">
        <f>+IF(AP30="","",MAX(AP30))</f>
        <v>0.7</v>
      </c>
      <c r="CF30" s="4389">
        <f>+IF(CD30=AR30,AO30,0)</f>
        <v>0.71</v>
      </c>
      <c r="CG30" s="493">
        <f>IF(OR(CD30="",CE30=""),"",2000/CD30*CE30)</f>
        <v>0.69101678183613024</v>
      </c>
      <c r="CH30" s="499">
        <f>+IF(CG30="","",CG30/CB30)</f>
        <v>6.2819707439648209E-2</v>
      </c>
      <c r="CI30" s="497">
        <f>+IF(AV30="","",MAX(AV30))</f>
        <v>8</v>
      </c>
      <c r="CJ30" s="491">
        <f>+IF(AX30="","",MAX(AX30))</f>
        <v>119</v>
      </c>
      <c r="CK30" s="491">
        <f>+IF(BD30="","",MAX(BD30))</f>
        <v>1962</v>
      </c>
      <c r="CL30" s="498">
        <f>+IF(BB30="","",MAX(BB30))</f>
        <v>0.7</v>
      </c>
      <c r="CM30" s="493">
        <f>+IF(CK30=BD30,BA30,0)</f>
        <v>0.67</v>
      </c>
      <c r="CN30" s="493">
        <f>IF(OR(CK30="",CL30=""),"",2000/CK30*CL30)</f>
        <v>0.7135575942915392</v>
      </c>
      <c r="CO30" s="499">
        <f>+IF(CN30="","",CN30/CI30)</f>
        <v>8.91946992864424E-2</v>
      </c>
      <c r="CP30" s="497">
        <f>+IF(BH30="","",MAX(BH30))</f>
        <v>24</v>
      </c>
      <c r="CQ30" s="491">
        <f>+IF(BJ30="","",MAX(BJ30))</f>
        <v>105</v>
      </c>
      <c r="CR30" s="491">
        <f>+IF(BP30="","",MAX(BP30))</f>
        <v>2366</v>
      </c>
      <c r="CS30" s="498">
        <f>+IF(BN30="","",MAX(BN30))</f>
        <v>0.8</v>
      </c>
      <c r="CT30" s="493">
        <f>+IF(CR30=BP30,BM30,0)</f>
        <v>0.67</v>
      </c>
      <c r="CU30" s="493">
        <f>IF(OR(CR30="",CS30=""),"",2000/CR30*CS30)</f>
        <v>0.67624683009298403</v>
      </c>
      <c r="CV30" s="500">
        <f>+IF(CU30="","",CU30/CP30)</f>
        <v>2.8176951253874333E-2</v>
      </c>
      <c r="CW30" s="620">
        <f>+IF(DA30="","",IF(DA30=CE30,AI30,IF(DA30=CL30,AU30,IF(DA30=CS30,BG30))))</f>
        <v>2008</v>
      </c>
      <c r="CX30" s="621">
        <f>+IF(DA30="","",IF(DA30=CE30,CB30,IF(DA30=CL30,CI30,IF(DA30=CS30,CP30))))</f>
        <v>24</v>
      </c>
      <c r="CY30" s="5584">
        <f>+IF(DA30="","",IF(DA30=CE30,CC30,IF(DA30=CL30,CJ30,IF(DA30=CS30,CQ30))))</f>
        <v>105</v>
      </c>
      <c r="CZ30" s="623">
        <f>+IF(DA30="","",IF(DA30=CE30,CD30,IF(DA30=CL30,CK30,IF(DA30=CS30,CR30))))</f>
        <v>2366</v>
      </c>
      <c r="DA30" s="494">
        <f t="shared" si="12"/>
        <v>0.8</v>
      </c>
      <c r="DB30" s="622">
        <f>+IF(DA30="","",IF(DA30=CE30,CF30,IF(DA30=CL30,CM30,IF(DA30=CS30,CT30))))</f>
        <v>0.67</v>
      </c>
      <c r="DC30" s="622">
        <f>IF(OR(DA30="",CZ30=""),"",ROUND(2000*DA30/CZ30,3))</f>
        <v>0.67600000000000005</v>
      </c>
      <c r="DD30" s="499">
        <f>+IF(CX30="","",DA30/CX30)</f>
        <v>3.3333333333333333E-2</v>
      </c>
      <c r="DE30" s="592">
        <f>+IF(DD30="","",DD30*$DE$15)</f>
        <v>1.6666666666666667</v>
      </c>
      <c r="DF30" s="592"/>
      <c r="DG30" s="5356"/>
      <c r="DH30" s="5348"/>
      <c r="DI30" s="5348"/>
    </row>
    <row r="31" spans="1:113" s="479" customFormat="1" ht="25.5" customHeight="1">
      <c r="A31" s="5362" t="str">
        <f t="shared" si="13"/>
        <v>8300-01</v>
      </c>
      <c r="B31" s="9570" t="str">
        <f>+IF(A31="","",VLOOKUP(MATCH(A31,tid,0),tao,'12(id)'!$J$20,FALSE))</f>
        <v>NRG</v>
      </c>
      <c r="C31" s="5363" t="str">
        <f t="shared" si="2"/>
        <v>BR10</v>
      </c>
      <c r="D31" s="5359"/>
      <c r="E31" s="5351"/>
      <c r="F31" s="5359"/>
      <c r="G31" s="4445">
        <f t="shared" si="17"/>
        <v>13</v>
      </c>
      <c r="H31" s="433">
        <v>13</v>
      </c>
      <c r="I31" s="538">
        <f>+IF(L31="","",IF(VLOOKUP(MATCH(L31,tid,0),tao,'12(id)'!$H$20,FALSE)="","",VLOOKUP(MATCH(L31,tid,0),tao,'12(id)'!$H$20,FALSE)))</f>
        <v>6</v>
      </c>
      <c r="J31" s="9526" t="str">
        <f>+IF(L31="","",IF(VLOOKUP(MATCH(L31,tid,0),tao,'12(id)'!$I$20,FALSE)="","",VLOOKUP(MATCH(L31,tid,0),tao,'12(id)'!$I$20,FALSE)))</f>
        <v>NRG Energy, Inc</v>
      </c>
      <c r="K31" s="9517">
        <f>+IF(L31="","",IF(VLOOKUP(MATCH(L31,tid,0),tao,'12(id)'!$K$20,FALSE)="","",VLOOKUP(MATCH(L31,tid,0),tao,'12(id)'!$K$20,FALSE)))</f>
        <v>8300</v>
      </c>
      <c r="L31" s="4384" t="s">
        <v>259</v>
      </c>
      <c r="M31" s="51" t="str">
        <f>+IF(L31="","",IF(VLOOKUP(MATCH(L31,tid,0),tao,'12(id)'!$L$20,FALSE)="","",VLOOKUP(MATCH(L31,tid,0),tao,'12(id)'!$L$20,FALSE)))</f>
        <v>Branford</v>
      </c>
      <c r="N31" s="51" t="str">
        <f>+IF(L31="","",IF(VLOOKUP(MATCH(L31,tid,0),tao,'12(id)'!$P$20,FALSE)="","",VLOOKUP(MATCH(L31,tid,0),tao,'12(id)'!$P$20,FALSE)))</f>
        <v>Boston Post Road Branford -10</v>
      </c>
      <c r="O31" s="501" t="str">
        <f>+IF(L31="","",IF(VLOOKUP(MATCH(L31,tid,0),tao,'12(id)'!$Q$20,FALSE)="","",VLOOKUP(MATCH(L31,tid,0),tao,'12(id)'!$Q$20,FALSE)))</f>
        <v>BR10</v>
      </c>
      <c r="P31" s="7835">
        <f>+IF(L31="","",IF(VLOOKUP(MATCH(L31,tid,0),tao,'12(id)'!$CT$20,FALSE)="","",VLOOKUP(MATCH(L31,tid,0),tao,'12(id)'!$CT$20,FALSE)))</f>
        <v>20</v>
      </c>
      <c r="Q31" s="536">
        <f>+P31</f>
        <v>20</v>
      </c>
      <c r="R31" s="502" t="str">
        <f>+IF(L31="","",IF(VLOOKUP(MATCH(L31,tid,0),tao,'12(id)'!$T$20,FALSE)="","",VLOOKUP(MATCH(L31,tid,0),tao,'12(id)'!$T$20,FALSE)))</f>
        <v>Combustion Turbine</v>
      </c>
      <c r="S31" s="628" t="str">
        <f>+IF(L31="","",IF(VLOOKUP(MATCH(L31,tid,0),tao,'12(id)'!$CO$20,FALSE)="","",VLOOKUP(MATCH(L31,tid,0),tao,'12(id)'!$CO$20,FALSE)))</f>
        <v>Pratt &amp; Whitney</v>
      </c>
      <c r="T31" s="502" t="str">
        <f>+IF(L31="","",IF(VLOOKUP(MATCH(L31,tid,0),tao,'12(id)'!$CP$20,FALSE)="","",VLOOKUP(MATCH(L31,tid,0),tao,'12(id)'!$CP$20,FALSE)))</f>
        <v>FT4-A8</v>
      </c>
      <c r="U31" s="629" t="str">
        <f>+IF(L31="","",IF(VLOOKUP(MATCH(L31,tid,0),tao,'12(id)'!$DC$20,FALSE)="","",IF(VLOOKUP(MATCH(L31,tid,0),tao,'12(id)'!$DB$20,FALSE)="",VLOOKUP(MATCH(L31,tid,0),tao,'12(id)'!$DC$20,FALSE),VLOOKUP(MATCH(L31,tid,0),tao,'12(id)'!$DB$20,FALSE)&amp;" "&amp;VLOOKUP(MATCH(L31,tid,0),tao,'12(id)'!$DC$20,FALSE))))</f>
        <v>Jul 1969</v>
      </c>
      <c r="V31" s="630">
        <f ca="1">+IF(L31="","",IF(VLOOKUP(MATCH(L31,tid,0),tao,'12(id)'!$DE$20,FALSE)="","",ROUND(VLOOKUP(MATCH(L31,tid,0),tao,'12(id)'!$DE$20,FALSE),0)))</f>
        <v>45</v>
      </c>
      <c r="W31" s="7829" t="str">
        <f>+IF(L31="","",IF(VLOOKUP(G31,tao,'12(id)'!$FR$20,FALSE)="","",VLOOKUP(G31,tao,'12(id)'!$FR$20,FALSE)&amp;IF(VLOOKUP(G31,tao,'12(id)'!$FS$20,FALSE)="","",", "&amp;VLOOKUP(G31,tao,'12(id)'!$FS$20,FALSE))))</f>
        <v>None, per NRG report; 
Water Injection since Jun 2008 per EPA.</v>
      </c>
      <c r="X31" s="7829" t="str">
        <f>+IF(L31="","",IF(VLOOKUP(MATCH(L31,tid,0),tao,'12(id)'!$DI$20,FALSE)="","",VLOOKUP(MATCH(L31,tid,0),tao,'12(id)'!$DI$20,FALSE)))</f>
        <v>Ultra low sulfur kerosene  oil (ULSD)</v>
      </c>
      <c r="Y31" s="7829" t="str">
        <f>+IF(L31="","",IF(VLOOKUP(MATCH(L31,tid,0),tao,'12(id)'!$DQ$20,FALSE)="","",VLOOKUP(MATCH(L31,tid,0),tao,'12(id)'!$DQ$20,FALSE)))</f>
        <v/>
      </c>
      <c r="Z31" s="4402">
        <f>+IF(L31="","",IF(VLOOKUP(MATCH(L31,tid,0),tao,'12(id)'!$EH$20,FALSE)="","",VLOOKUP(MATCH(L31,tid,0),tao,'12(id)'!$EH$20,FALSE)))</f>
        <v>256</v>
      </c>
      <c r="AA31" s="4403">
        <f>+IF(L31="","",IF(VLOOKUP(MATCH(L31,tid,0),tao,'12(id)'!$EI$20,FALSE)="","",VLOOKUP(MATCH(L31,tid,0),tao,'12(id)'!$EI$20,FALSE)))</f>
        <v>0.72599999999999998</v>
      </c>
      <c r="AB31" s="4403" t="str">
        <f>+IF(L31="","",IF(VLOOKUP(MATCH(L31,tid,0),tao,'12(id)'!$EJ$20,FALSE)="","",VLOOKUP(MATCH(L31,tid,0),tao,'12(id)'!$EJ$20,FALSE)))</f>
        <v/>
      </c>
      <c r="AC31" s="4432">
        <f>+IF(L31="","",IF(VLOOKUP(MATCH(L31,tid,0),tao,'12(id)'!$EL$20,FALSE)="","",VLOOKUP(MATCH(L31,tid,0),tao,'12(id)'!$EL$20,FALSE)))</f>
        <v>0.8</v>
      </c>
      <c r="AD31" s="4405"/>
      <c r="AE31" s="4404">
        <f t="shared" si="3"/>
        <v>0.72599999999999998</v>
      </c>
      <c r="AF31" s="4405" t="str">
        <f t="shared" si="4"/>
        <v/>
      </c>
      <c r="AG31" s="631">
        <f>+IF(L31="","",IF(VLOOKUP(MATCH(L31,tid,0),tao,'12(id)'!$GY$20,FALSE)="","",VLOOKUP(MATCH(L31,tid,0),tao,'12(id)'!$GY$20,FALSE)))</f>
        <v>29</v>
      </c>
      <c r="AH31" s="632">
        <f>+IF(L31="","",IF(VLOOKUP(MATCH(L31,tid,0),tao,'12(id)'!$HL$20,FALSE)="","",VLOOKUP(MATCH(L31,tid,0),tao,'12(id)'!$HL$20,FALSE)))</f>
        <v>3.4</v>
      </c>
      <c r="AI31" s="481">
        <f>+IF(L31="","",IF(2010-VLOOKUP(MATCH(L31,epa_id,0),epa,'A1(epa)'!$U$17,FALSE)=0,IF(VLOOKUP(MATCH(L31,epa_id,0),epa,'A1(epa)'!$U$17,FALSE)=0,"",VLOOKUP(MATCH(L31,epa_id,0),epa,'A1(epa)'!$U$17,FALSE))))</f>
        <v>2010</v>
      </c>
      <c r="AJ31" s="5645">
        <f>+IF(L31="","",IF(2010-VLOOKUP(MATCH(L31,epa_id,0),epa,'A1(epa)'!$U$17,FALSE)=0,IF(VLOOKUP(MATCH(L31,epa_id,0),epa,'A1(epa)'!$W$17,FALSE)=0,"",VLOOKUP(MATCH(L31,epa_id,0),epa,'A1(epa)'!$W$17,FALSE))))</f>
        <v>39</v>
      </c>
      <c r="AK31" s="7822">
        <f>+IF(L31="","",IF(2010-VLOOKUP(MATCH(L31,epa_id,0),epa,'A1(epa)'!$U$17,FALSE)=0,IF(VLOOKUP(MATCH(L31,epa_id,0),epa,'A1(epa)'!$X$17,FALSE)=0,"",VLOOKUP(MATCH(L31,epa_id,0),epa,'A1(epa)'!$X$17,FALSE))))</f>
        <v>5</v>
      </c>
      <c r="AL31" s="5645">
        <f>+IF(L31="","",IF(2010-VLOOKUP(MATCH(L31,epa_id,0),epa,'A1(epa)'!$U$17,FALSE)=0,IF(VLOOKUP(MATCH(L31,epa_id,0),epa,'A1(epa)'!$Y$17,FALSE)=0,"",VLOOKUP(MATCH(L31,epa_id,0),epa,'A1(epa)'!$Y$17,FALSE))))</f>
        <v>512</v>
      </c>
      <c r="AM31" s="5771">
        <f>+IF(L31="","",IF(2010-VLOOKUP(MATCH(L31,epa_id,0),epa,'A1(epa)'!$U$17,FALSE)=0,IF(VLOOKUP(MATCH(L31,epa_id,0),epa,'A1(epa)'!$AA$17,FALSE)=0,"",VLOOKUP(MATCH(L31,epa_id,0),epa,'A1(epa)'!$AA$17,FALSE))))</f>
        <v>1.2</v>
      </c>
      <c r="AN31" s="5772">
        <f>+IF(L31="","",IF(2010-VLOOKUP(MATCH(L31,epa_id,0),epa,'A1(epa)'!$U$17,FALSE)=0,IF(VLOOKUP(MATCH(L31,epa_id,0),epa,'A1(epa)'!$AB$17,FALSE)=0,"",VLOOKUP(MATCH(L31,epa_id,0),epa,'A1(epa)'!$AB$17,FALSE))))</f>
        <v>5.9</v>
      </c>
      <c r="AO31" s="5773">
        <f t="shared" si="14"/>
        <v>0.72599999999999998</v>
      </c>
      <c r="AP31" s="5774">
        <f t="shared" si="5"/>
        <v>3.53925</v>
      </c>
      <c r="AQ31" s="5775">
        <f t="shared" si="6"/>
        <v>6912.59765625</v>
      </c>
      <c r="AR31" s="5645">
        <f>+IF(L31="","",IF(2010-VLOOKUP(MATCH(L31,epa_id,0),epa,'A1(epa)'!$U$17,FALSE)=0,IF(VLOOKUP(MATCH(L31,epa_id,0),epa,'A1(epa)'!$AC$17,FALSE)=0,"",VLOOKUP(MATCH(L31,epa_id,0),epa,'A1(epa)'!$AC$17,FALSE))))</f>
        <v>9750</v>
      </c>
      <c r="AS31" s="7829" t="str">
        <f>+IF(L31="","",IF(2010-VLOOKUP(MATCH(L31,epa_id,0),epa,'A1(epa)'!$U$17,FALSE)=0,IF(VLOOKUP(MATCH(L31,epa_id,0),epa,'A1(epa)'!$AP$17,FALSE)=0,"",VLOOKUP(MATCH(L31,epa_id,0),epa,'A1(epa)'!$AP$17,FALSE))))</f>
        <v>Other Oil</v>
      </c>
      <c r="AT31" s="7846" t="str">
        <f>+IF(L31="","",IF(2010-VLOOKUP(MATCH(L31,epa_id,0),epa,'A1(epa)'!$U$17,FALSE)=0,IF(VLOOKUP(MATCH(L31,epa_id,0),epa,'A1(epa)'!$AQ$17,FALSE)=0,"",VLOOKUP(MATCH(L31,epa_id,0),epa,'A1(epa)'!$AQ$17,FALSE))))</f>
        <v/>
      </c>
      <c r="AU31" s="481">
        <f>+IF(L31="","",IF(2009-VLOOKUP(MATCH(L31,epa_id,0)+1,epa,'A1(epa)'!$U$17,FALSE)=0,IF(VLOOKUP(MATCH(L31,epa_id,0)+1,epa,'A1(epa)'!$U$17,FALSE)=0,"",VLOOKUP(MATCH(L31,epa_id,0)+1,epa,'A1(epa)'!$U$17,FALSE))))</f>
        <v>2009</v>
      </c>
      <c r="AV31" s="629">
        <f>+IF(L31="","",IF(2009-VLOOKUP(MATCH(L31,epa_id,0)+1,epa,'A1(epa)'!$U$17,FALSE)=0,IF(VLOOKUP(MATCH(L31,epa_id,0)+1,epa,'A1(epa)'!$W$17,FALSE)=0,"",VLOOKUP(MATCH(L31,epa_id,0)+1,epa,'A1(epa)'!$W$17,FALSE))))</f>
        <v>2</v>
      </c>
      <c r="AW31" s="7828">
        <f>+IF(L31="","",IF(2009-VLOOKUP(MATCH(L31,epa_id,0)+1,epa,'A1(epa)'!$U$17,FALSE)=0,IF(VLOOKUP(MATCH(L31,epa_id,0)+1,epa,'A1(epa)'!$X$17,FALSE)=0,"",VLOOKUP(MATCH(L31,epa_id,0)+1,epa,'A1(epa)'!$X$17,FALSE))))</f>
        <v>5</v>
      </c>
      <c r="AX31" s="5645">
        <f>+IF(L31="","",IF(2009-VLOOKUP(MATCH(L31,epa_id,0)+1,epa,'A1(epa)'!$U$17,FALSE)=0,IF(VLOOKUP(MATCH(L31,epa_id,0)+1,epa,'A1(epa)'!$Y$17,FALSE)=0,"",VLOOKUP(MATCH(L31,epa_id,0)+1,epa,'A1(epa)'!$Y$17,FALSE))))</f>
        <v>20</v>
      </c>
      <c r="AY31" s="5666">
        <f>+IF(L31="","",IF(2009-VLOOKUP(MATCH(L31,epa_id,0)+1,epa,'A1(epa)'!$U$17,FALSE)=0,IF(VLOOKUP(MATCH(L31,epa_id,0)+1,epa,'A1(epa)'!$AA$17,FALSE)=0,"",VLOOKUP(MATCH(L31,epa_id,0)+1,epa,'A1(epa)'!$AA$17,FALSE))))</f>
        <v>1.2</v>
      </c>
      <c r="AZ31" s="5667">
        <f>+IF(L31="","",IF(2009-VLOOKUP(MATCH(L31,epa_id,0)+1,epa,'A1(epa)'!$U$17,FALSE)=0,IF(VLOOKUP(MATCH(L31,epa_id,0)+1,epa,'A1(epa)'!$AB$17,FALSE)=0,"",VLOOKUP(MATCH(L31,epa_id,0)+1,epa,'A1(epa)'!$AB$17,FALSE))))</f>
        <v>0.3</v>
      </c>
      <c r="BA31" s="5668">
        <f t="shared" si="15"/>
        <v>0.72599999999999998</v>
      </c>
      <c r="BB31" s="5669">
        <f t="shared" si="7"/>
        <v>0.19057499999999999</v>
      </c>
      <c r="BC31" s="5389">
        <f t="shared" si="8"/>
        <v>9528.75</v>
      </c>
      <c r="BD31" s="5645">
        <f>+IF(L31="","",IF(2009-VLOOKUP(MATCH(L31,epa_id,0)+1,epa,'A1(epa)'!$U$17,FALSE)=0,IF(VLOOKUP(MATCH(L31,epa_id,0)+1,epa,'A1(epa)'!$AC$17,FALSE)=0,"",VLOOKUP(MATCH(L31,epa_id,0)+1,epa,'A1(epa)'!$AC$17,FALSE))))</f>
        <v>525</v>
      </c>
      <c r="BE31" s="7828" t="str">
        <f>+IF(L31="","",IF(2009-VLOOKUP(MATCH(L31,epa_id,0)+1,epa,'A1(epa)'!$U$17,FALSE)=0,IF(VLOOKUP(MATCH(L31,epa_id,0)+1,epa,'A1(epa)'!$AP$17,FALSE)=0,"",VLOOKUP(MATCH(L31,epa_id,0)+1,epa,'A1(epa)'!$AP$17,FALSE))))</f>
        <v>Other Oil</v>
      </c>
      <c r="BF31" s="537" t="str">
        <f>+IF(L31="","",IF(2009-VLOOKUP(MATCH(L31,epa_id,0)+1,epa,'A1(epa)'!$U$17,FALSE)=0,IF(VLOOKUP(MATCH(L31,epa_id,0)+1,epa,'A1(epa)'!$AQ$17,FALSE)=0,"",VLOOKUP(MATCH(L31,epa_id,0)+1,epa,'A1(epa)'!$AQ$17,FALSE))))</f>
        <v/>
      </c>
      <c r="BG31" s="633">
        <f>+IF(L31="","",IF(2008-VLOOKUP(MATCH(L31,epa_id,0)+2,epa,'A1(epa)'!$U$17,FALSE)=0,IF(VLOOKUP(MATCH(L31,epa_id,0)+2,epa,'A1(epa)'!$U$17,FALSE)=0,"",VLOOKUP(MATCH(L31,epa_id,0)+2,epa,'A1(epa)'!$U$17,FALSE))))</f>
        <v>2008</v>
      </c>
      <c r="BH31" s="7828">
        <f>+IF(L31="","",IF(2008-VLOOKUP(MATCH(L31,epa_id,0)+2,epa,'A1(epa)'!$U$17,FALSE)=0,IF(VLOOKUP(MATCH(L31,epa_id,0)+2,epa,'A1(epa)'!$W$17,FALSE)=0,"",VLOOKUP(MATCH(L31,epa_id,0)+2,epa,'A1(epa)'!$W$17,FALSE))))</f>
        <v>7</v>
      </c>
      <c r="BI31" s="7828">
        <f>+IF(L31="","",IF(2008-VLOOKUP(MATCH(L31,epa_id,0)+2,epa,'A1(epa)'!$U$17,FALSE)=0,IF(VLOOKUP(MATCH(L31,epa_id,0)+2,epa,'A1(epa)'!$X$17,FALSE)=0,"",VLOOKUP(MATCH(L31,epa_id,0)+2,epa,'A1(epa)'!$X$17,FALSE))))</f>
        <v>5</v>
      </c>
      <c r="BJ31" s="5645">
        <f>+IF(L31="","",IF(2008-VLOOKUP(MATCH(L31,epa_id,0)+2,epa,'A1(epa)'!$U$17,FALSE)=0,IF(VLOOKUP(MATCH(L31,epa_id,0)+2,epa,'A1(epa)'!$Y$17,FALSE)=0,"",VLOOKUP(MATCH(L31,epa_id,0)+2,epa,'A1(epa)'!$Y$17,FALSE))))</f>
        <v>123</v>
      </c>
      <c r="BK31" s="5666">
        <f>+IF(L31="","",IF(2008-VLOOKUP(MATCH(L31,epa_id,0)+2,epa,'A1(epa)'!$U$17,FALSE)=0,IF(VLOOKUP(MATCH(L31,epa_id,0)+2,epa,'A1(epa)'!$AA$17,FALSE)=0,"",VLOOKUP(MATCH(L31,epa_id,0)+2,epa,'A1(epa)'!$AA$17,FALSE))))</f>
        <v>1.2</v>
      </c>
      <c r="BL31" s="5667">
        <f>+IF(L31="","",IF(2008-VLOOKUP(MATCH(L31,epa_id,0)+2,epa,'A1(epa)'!$U$17,FALSE)=0,IF(VLOOKUP(MATCH(L31,epa_id,0)+2,epa,'A1(epa)'!$AB$17,FALSE)=0,"",VLOOKUP(MATCH(L31,epa_id,0)+2,epa,'A1(epa)'!$AB$17,FALSE))))</f>
        <v>1.1000000000000001</v>
      </c>
      <c r="BM31" s="5716">
        <f t="shared" si="16"/>
        <v>0.72599999999999998</v>
      </c>
      <c r="BN31" s="5717">
        <f t="shared" si="9"/>
        <v>0.64541399999999993</v>
      </c>
      <c r="BO31" s="5718">
        <f t="shared" si="10"/>
        <v>5247.2682926829257</v>
      </c>
      <c r="BP31" s="5631">
        <f>+IF(L31="","",IF(2008-VLOOKUP(MATCH(L31,epa_id,0)+2,epa,'A1(epa)'!$U$17,FALSE)=0,IF(VLOOKUP(MATCH(L31,epa_id,0)+2,epa,'A1(epa)'!$AC$17,FALSE)=0,"",VLOOKUP(MATCH(L31,epa_id,0)+2,epa,'A1(epa)'!$AC$17,FALSE))))</f>
        <v>1778</v>
      </c>
      <c r="BQ31" s="7859" t="str">
        <f>+IF(L31="","",IF(2008-VLOOKUP(MATCH(L31,epa_id,0)+2,epa,'A1(epa)'!$U$17,FALSE)=0,IF(VLOOKUP(MATCH(L31,epa_id,0)+2,epa,'A1(epa)'!$AP$17,FALSE)=0,"",VLOOKUP(MATCH(L31,epa_id,0)+2,epa,'A1(epa)'!$AP$17,FALSE))))</f>
        <v>Other Oil</v>
      </c>
      <c r="BR31" s="7846" t="str">
        <f>+IF(L31="","",IF(2008-VLOOKUP(MATCH(L31,epa_id,0)+2,epa,'A1(epa)'!$U$17,FALSE)=0,IF(VLOOKUP(MATCH(L31,epa_id,0)+2,epa,'A1(epa)'!$AQ$17,FALSE)=0,"",VLOOKUP(MATCH(L31,epa_id,0)+2,epa,'A1(epa)'!$AQ$17,FALSE))))</f>
        <v/>
      </c>
      <c r="BS31" s="7859" t="str">
        <f>+IF(L31="","",IF(2010-VLOOKUP(MATCH(L31,epa_id,0),epa,'A1(epa)'!$U$17,FALSE)=0,IF(VLOOKUP(MATCH(L31,epa_id,0),epa,'A1(epa)'!$AS$17,FALSE)=0,"",VLOOKUP(MATCH(L31,epa_id,0),epa,'A1(epa)'!$AS$17,FALSE))))</f>
        <v>Water Injection</v>
      </c>
      <c r="BT31" s="7829" t="str">
        <f>+IF(L31="","",IF(2010-VLOOKUP(MATCH(L31,epa_id,0),epa,'A1(epa)'!$U$17,FALSE)=0,IF(VLOOKUP(MATCH(L31,epa_id,0),epa,'A1(epa)'!$AT$17,FALSE)=0,"",VLOOKUP(MATCH(L31,epa_id,0),epa,'A1(epa)'!$AT$17,FALSE))))</f>
        <v/>
      </c>
      <c r="BU31" s="7829" t="str">
        <f>+IF(L31="","",IF(2010-VLOOKUP(MATCH(L31,epa_id,0),epa,'A1(epa)'!$U$17,FALSE)=0,IF(VLOOKUP(MATCH(L31,epa_id,0),epa,'A1(epa)'!$AU$17,FALSE)=0,"",VLOOKUP(MATCH(L31,epa_id,0),epa,'A1(epa)'!$AU$17,FALSE))))</f>
        <v/>
      </c>
      <c r="BV31" s="7829" t="str">
        <f>+IF(L31="","",IF(2010-VLOOKUP(MATCH(L31,epa_id,0),epa,'A1(epa)'!$U$17,FALSE)=0,IF(VLOOKUP(MATCH(L31,epa_id,0),epa,'A1(epa)'!$AR$17,FALSE)=0,"",VLOOKUP(MATCH(L31,epa_id,0),epa,'A1(epa)'!$AR$17,FALSE))))</f>
        <v/>
      </c>
      <c r="BW31" s="5588" t="str">
        <f>+IF(L31="","",IF(2010-VLOOKUP(MATCH(L31,epa_id,0),epa,'A1(epa)'!$U$17,FALSE)=0,IF(VLOOKUP(MATCH(L31,epa_id,0),epa,'A1(epa)'!$AV$17,FALSE)=0,"",VLOOKUP(MATCH(L31,epa_id,0),epa,'A1(epa)'!$AV$17,FALSE))))</f>
        <v/>
      </c>
      <c r="BX31" s="634">
        <f>+IF(L31="","",IF(2010-VLOOKUP(MATCH(L31,epa_id,0),epa,'A1(epa)'!$U$17,FALSE)=0,IF(VLOOKUP(MATCH(L31,epa_id,0),epa,'A1(epa)'!$AW$17,FALSE)=0,"",VLOOKUP(MATCH(L31,epa_id,0),epa,'A1(epa)'!$AW$17,FALSE))))</f>
        <v>250</v>
      </c>
      <c r="BY31" s="5415"/>
      <c r="BZ31" s="634">
        <f t="shared" si="11"/>
        <v>7229.5386496443089</v>
      </c>
      <c r="CA31" s="5415"/>
      <c r="CB31" s="7825">
        <f>+IF(AJ31="","",MAX(AJ31))</f>
        <v>39</v>
      </c>
      <c r="CC31" s="7802">
        <f>+IF(AL31="","",MAX(AL31))</f>
        <v>512</v>
      </c>
      <c r="CD31" s="7802">
        <f>+IF(AR31="","",MAX(AR31))</f>
        <v>9750</v>
      </c>
      <c r="CE31" s="7810">
        <f>+IF(AP31="","",MAX(AP31))</f>
        <v>3.53925</v>
      </c>
      <c r="CF31" s="547">
        <f>+IF(CD31=AR31,AO31,0)</f>
        <v>0.72599999999999998</v>
      </c>
      <c r="CG31" s="7797">
        <f>IF(OR(CD31="",CE31=""),"",2000/CD31*CE31)</f>
        <v>0.72599999999999998</v>
      </c>
      <c r="CH31" s="7816">
        <f>+IF(CG31="","",CG31/CB31)</f>
        <v>1.8615384615384614E-2</v>
      </c>
      <c r="CI31" s="7839">
        <f>+IF(AV31="","",MAX(AV31))</f>
        <v>2</v>
      </c>
      <c r="CJ31" s="7802">
        <f>+IF(AX31="","",MAX(AX31))</f>
        <v>20</v>
      </c>
      <c r="CK31" s="7802">
        <f>+IF(BD31="","",MAX(BD31))</f>
        <v>525</v>
      </c>
      <c r="CL31" s="541">
        <f>+IF(BB31="","",MAX(BB31))</f>
        <v>0.19057499999999999</v>
      </c>
      <c r="CM31" s="7797">
        <f>+IF(CK31=BD31,BA31,0)</f>
        <v>0.72599999999999998</v>
      </c>
      <c r="CN31" s="7797">
        <f>IF(OR(CK31="",CL31=""),"",2000/CK31*CL31)</f>
        <v>0.72599999999999998</v>
      </c>
      <c r="CO31" s="7816">
        <f>+IF(CN31="","",CN31/CI31)</f>
        <v>0.36299999999999999</v>
      </c>
      <c r="CP31" s="7839">
        <f>+IF(BH31="","",MAX(BH31))</f>
        <v>7</v>
      </c>
      <c r="CQ31" s="7802">
        <f>+IF(BJ31="","",MAX(BJ31))</f>
        <v>123</v>
      </c>
      <c r="CR31" s="7802">
        <f>+IF(BP31="","",MAX(BP31))</f>
        <v>1778</v>
      </c>
      <c r="CS31" s="541">
        <f>+IF(BN31="","",MAX(BN31))</f>
        <v>0.64541399999999993</v>
      </c>
      <c r="CT31" s="7797">
        <f>+IF(CR31=BP31,BM31,0)</f>
        <v>0.72599999999999998</v>
      </c>
      <c r="CU31" s="7797">
        <f>IF(OR(CR31="",CS31=""),"",2000/CR31*CS31)</f>
        <v>0.72599999999999998</v>
      </c>
      <c r="CV31" s="7820">
        <f>+IF(CU31="","",CU31/CP31)</f>
        <v>0.10371428571428572</v>
      </c>
      <c r="CW31" s="7807">
        <f>+IF(DA31="","",IF(DA31=CE31,AI31,IF(DA31=CL31,AU31,IF(DA31=CS31,BG31))))</f>
        <v>2010</v>
      </c>
      <c r="CX31" s="624">
        <f>+IF(DA31="","",IF(DA31=CE31,CB31,IF(DA31=CL31,CI31,IF(DA31=CS31,CP31))))</f>
        <v>39</v>
      </c>
      <c r="CY31" s="7805">
        <f>+IF(DA31="","",IF(DA31=CE31,CC31,IF(DA31=CL31,CJ31,IF(DA31=CS31,CQ31))))</f>
        <v>512</v>
      </c>
      <c r="CZ31" s="626">
        <f>+IF(DA31="","",IF(DA31=CE31,CD31,IF(DA31=CL31,CK31,IF(DA31=CS31,CR31))))</f>
        <v>9750</v>
      </c>
      <c r="DA31" s="7810">
        <f t="shared" si="12"/>
        <v>3.53925</v>
      </c>
      <c r="DB31" s="625">
        <f>+IF(DA31="","",IF(DA31=CE31,CF31,IF(DA31=CL31,CM31,IF(DA31=CS31,CT31))))</f>
        <v>0.72599999999999998</v>
      </c>
      <c r="DC31" s="625">
        <f>IF(OR(DA31="",CZ31=""),"",ROUND(2000*DA31/CZ31,3))</f>
        <v>0.72599999999999998</v>
      </c>
      <c r="DD31" s="7816">
        <f>+IF(CX31="","",DA31/CX31)</f>
        <v>9.0749999999999997E-2</v>
      </c>
      <c r="DE31" s="7801">
        <f>+IF(DD31="","",DD31*$DE$15)</f>
        <v>4.5374999999999996</v>
      </c>
      <c r="DF31" s="7801"/>
      <c r="DG31" s="5356"/>
      <c r="DH31" s="5348"/>
      <c r="DI31" s="5348"/>
    </row>
    <row r="32" spans="1:113" s="479" customFormat="1" ht="25.5" customHeight="1">
      <c r="A32" s="5364" t="str">
        <f t="shared" si="13"/>
        <v>8300-02</v>
      </c>
      <c r="B32" s="9571"/>
      <c r="C32" s="5365" t="str">
        <f t="shared" si="2"/>
        <v>CC10</v>
      </c>
      <c r="D32" s="5359"/>
      <c r="E32" s="5351"/>
      <c r="F32" s="5359"/>
      <c r="G32" s="4445">
        <f t="shared" si="17"/>
        <v>14</v>
      </c>
      <c r="H32" s="5498">
        <v>14</v>
      </c>
      <c r="I32" s="9573">
        <f>+IF(L32="","",IF(VLOOKUP(MATCH(L32,tid,0),tao,'12(id)'!$H$20,FALSE)="","",VLOOKUP(MATCH(L32,tid,0),tao,'12(id)'!$H$20,FALSE)))</f>
        <v>7</v>
      </c>
      <c r="J32" s="9520" t="str">
        <f>+IF(L32="","",IF(VLOOKUP(MATCH(L32,tid,0),tao,'12(id)'!$I$20,FALSE)="","",VLOOKUP(MATCH(L32,tid,0),tao,'12(id)'!$I$20,FALSE)))</f>
        <v/>
      </c>
      <c r="K32" s="9518">
        <f>+IF(L32="","",IF(VLOOKUP(MATCH(L32,tid,0),tao,'12(id)'!$K$20,FALSE)="","",VLOOKUP(MATCH(L32,tid,0),tao,'12(id)'!$K$20,FALSE)))</f>
        <v>8300</v>
      </c>
      <c r="L32" s="5494" t="s">
        <v>260</v>
      </c>
      <c r="M32" s="9576" t="str">
        <f>+IF(L32="","",IF(VLOOKUP(MATCH(L32,tid,0),tao,'12(id)'!$L$20,FALSE)="","",VLOOKUP(MATCH(L32,tid,0),tao,'12(id)'!$L$20,FALSE)))</f>
        <v>Cos Cob</v>
      </c>
      <c r="N32" s="5484" t="str">
        <f>+IF(L32="","",IF(VLOOKUP(MATCH(L32,tid,0),tao,'12(id)'!$P$20,FALSE)="","",VLOOKUP(MATCH(L32,tid,0),tao,'12(id)'!$P$20,FALSE)))</f>
        <v>Sound Shore Drive Greenwich-10</v>
      </c>
      <c r="O32" s="5539" t="str">
        <f>+IF(L32="","",IF(VLOOKUP(MATCH(L32,tid,0),tao,'12(id)'!$Q$20,FALSE)="","",VLOOKUP(MATCH(L32,tid,0),tao,'12(id)'!$Q$20,FALSE)))</f>
        <v>CC10</v>
      </c>
      <c r="P32" s="5540">
        <f>+IF(L32="","",IF(VLOOKUP(MATCH(L32,tid,0),tao,'12(id)'!$CT$20,FALSE)="","",VLOOKUP(MATCH(L32,tid,0),tao,'12(id)'!$CT$20,FALSE)))</f>
        <v>20</v>
      </c>
      <c r="Q32" s="9528">
        <f>+SUM(P32:P36)</f>
        <v>100</v>
      </c>
      <c r="R32" s="5480" t="str">
        <f>+IF(L32="","",IF(VLOOKUP(MATCH(L32,tid,0),tao,'12(id)'!$T$20,FALSE)="","",VLOOKUP(MATCH(L32,tid,0),tao,'12(id)'!$T$20,FALSE)))</f>
        <v>Combustion Turbine</v>
      </c>
      <c r="S32" s="5481" t="str">
        <f>+IF(L32="","",IF(VLOOKUP(MATCH(L32,tid,0),tao,'12(id)'!$CO$20,FALSE)="","",VLOOKUP(MATCH(L32,tid,0),tao,'12(id)'!$CO$20,FALSE)))</f>
        <v>Pratt &amp; Whitney</v>
      </c>
      <c r="T32" s="5480" t="str">
        <f>+IF(L32="","",IF(VLOOKUP(MATCH(L32,tid,0),tao,'12(id)'!$CP$20,FALSE)="","",VLOOKUP(MATCH(L32,tid,0),tao,'12(id)'!$CP$20,FALSE)))</f>
        <v>FT4-A9</v>
      </c>
      <c r="U32" s="5482">
        <f>+IF(L32="","",IF(VLOOKUP(MATCH(L32,tid,0),tao,'12(id)'!$DC$20,FALSE)="","",IF(VLOOKUP(MATCH(L32,tid,0),tao,'12(id)'!$DB$20,FALSE)="",VLOOKUP(MATCH(L32,tid,0),tao,'12(id)'!$DC$20,FALSE),VLOOKUP(MATCH(L32,tid,0),tao,'12(id)'!$DB$20,FALSE)&amp;" "&amp;VLOOKUP(MATCH(L32,tid,0),tao,'12(id)'!$DC$20,FALSE))))</f>
        <v>1969</v>
      </c>
      <c r="V32" s="5483">
        <f ca="1">+IF(L32="","",IF(VLOOKUP(MATCH(L32,tid,0),tao,'12(id)'!$DE$20,FALSE)="","",ROUND(VLOOKUP(MATCH(L32,tid,0),tao,'12(id)'!$DE$20,FALSE),0)))</f>
        <v>45</v>
      </c>
      <c r="W32" s="5484" t="str">
        <f>+IF(L32="","",IF(VLOOKUP(G32,tao,'12(id)'!$FR$20,FALSE)="","",VLOOKUP(G32,tao,'12(id)'!$FR$20,FALSE)&amp;IF(VLOOKUP(G32,tao,'12(id)'!$FS$20,FALSE)="","",", "&amp;VLOOKUP(G32,tao,'12(id)'!$FS$20,FALSE))))</f>
        <v>Water Injection</v>
      </c>
      <c r="X32" s="5484" t="str">
        <f>+IF(L32="","",IF(VLOOKUP(MATCH(L32,tid,0),tao,'12(id)'!$DI$20,FALSE)="","",VLOOKUP(MATCH(L32,tid,0),tao,'12(id)'!$DI$20,FALSE)))</f>
        <v>Ultra low sulfur kerosene  oil (ULSD)</v>
      </c>
      <c r="Y32" s="5484" t="str">
        <f>+IF(L32="","",IF(VLOOKUP(MATCH(L32,tid,0),tao,'12(id)'!$DQ$20,FALSE)="","",VLOOKUP(MATCH(L32,tid,0),tao,'12(id)'!$DQ$20,FALSE)))</f>
        <v/>
      </c>
      <c r="Z32" s="5485">
        <f>+IF(L32="","",IF(VLOOKUP(MATCH(L32,tid,0),tao,'12(id)'!$EH$20,FALSE)="","",VLOOKUP(MATCH(L32,tid,0),tao,'12(id)'!$EH$20,FALSE)))</f>
        <v>256</v>
      </c>
      <c r="AA32" s="5486">
        <f>+IF(L32="","",IF(VLOOKUP(MATCH(L32,tid,0),tao,'12(id)'!$EI$20,FALSE)="","",VLOOKUP(MATCH(L32,tid,0),tao,'12(id)'!$EI$20,FALSE)))</f>
        <v>0.192</v>
      </c>
      <c r="AB32" s="5486" t="str">
        <f>+IF(L32="","",IF(VLOOKUP(MATCH(L32,tid,0),tao,'12(id)'!$EJ$20,FALSE)="","",VLOOKUP(MATCH(L32,tid,0),tao,'12(id)'!$EJ$20,FALSE)))</f>
        <v/>
      </c>
      <c r="AC32" s="5487">
        <f>+IF(L32="","",IF(VLOOKUP(MATCH(L32,tid,0),tao,'12(id)'!$EL$20,FALSE)="","",VLOOKUP(MATCH(L32,tid,0),tao,'12(id)'!$EL$20,FALSE)))</f>
        <v>0.22</v>
      </c>
      <c r="AD32" s="5488"/>
      <c r="AE32" s="5489">
        <f t="shared" si="3"/>
        <v>0.192</v>
      </c>
      <c r="AF32" s="5488" t="str">
        <f t="shared" si="4"/>
        <v/>
      </c>
      <c r="AG32" s="5490" t="str">
        <f>+IF(L32="","",IF(VLOOKUP(MATCH(L32,tid,0),tao,'12(id)'!$GY$20,FALSE)="","",VLOOKUP(MATCH(L32,tid,0),tao,'12(id)'!$GY$20,FALSE)))</f>
        <v/>
      </c>
      <c r="AH32" s="5491" t="str">
        <f>+IF(L32="","",IF(VLOOKUP(MATCH(L32,tid,0),tao,'12(id)'!$HL$20,FALSE)="","",VLOOKUP(MATCH(L32,tid,0),tao,'12(id)'!$HL$20,FALSE)))</f>
        <v/>
      </c>
      <c r="AI32" s="5492">
        <f>+IF(L32="","",IF(2010-VLOOKUP(MATCH(L32,epa_id,0),epa,'A1(epa)'!$U$17,FALSE)=0,IF(VLOOKUP(MATCH(L32,epa_id,0),epa,'A1(epa)'!$U$17,FALSE)=0,"",VLOOKUP(MATCH(L32,epa_id,0),epa,'A1(epa)'!$U$17,FALSE))))</f>
        <v>2010</v>
      </c>
      <c r="AJ32" s="5646">
        <f>+IF(L32="","",IF(2010-VLOOKUP(MATCH(L32,epa_id,0),epa,'A1(epa)'!$U$17,FALSE)=0,IF(VLOOKUP(MATCH(L32,epa_id,0),epa,'A1(epa)'!$W$17,FALSE)=0,"",VLOOKUP(MATCH(L32,epa_id,0),epa,'A1(epa)'!$W$17,FALSE))))</f>
        <v>44</v>
      </c>
      <c r="AK32" s="5493">
        <f>+IF(L32="","",IF(2010-VLOOKUP(MATCH(L32,epa_id,0),epa,'A1(epa)'!$U$17,FALSE)=0,IF(VLOOKUP(MATCH(L32,epa_id,0),epa,'A1(epa)'!$X$17,FALSE)=0,"",VLOOKUP(MATCH(L32,epa_id,0),epa,'A1(epa)'!$X$17,FALSE))))</f>
        <v>5</v>
      </c>
      <c r="AL32" s="5646">
        <f>+IF(L32="","",IF(2010-VLOOKUP(MATCH(L32,epa_id,0),epa,'A1(epa)'!$U$17,FALSE)=0,IF(VLOOKUP(MATCH(L32,epa_id,0),epa,'A1(epa)'!$Y$17,FALSE)=0,"",VLOOKUP(MATCH(L32,epa_id,0),epa,'A1(epa)'!$Y$17,FALSE))))</f>
        <v>677</v>
      </c>
      <c r="AM32" s="5776">
        <f>+IF(L32="","",IF(2010-VLOOKUP(MATCH(L32,epa_id,0),epa,'A1(epa)'!$U$17,FALSE)=0,IF(VLOOKUP(MATCH(L32,epa_id,0),epa,'A1(epa)'!$AA$17,FALSE)=0,"",VLOOKUP(MATCH(L32,epa_id,0),epa,'A1(epa)'!$AA$17,FALSE))))</f>
        <v>1.2</v>
      </c>
      <c r="AN32" s="5777">
        <f>+IF(L32="","",IF(2010-VLOOKUP(MATCH(L32,epa_id,0),epa,'A1(epa)'!$U$17,FALSE)=0,IF(VLOOKUP(MATCH(L32,epa_id,0),epa,'A1(epa)'!$AB$17,FALSE)=0,"",VLOOKUP(MATCH(L32,epa_id,0),epa,'A1(epa)'!$AB$17,FALSE))))</f>
        <v>6.6</v>
      </c>
      <c r="AO32" s="5778">
        <f t="shared" si="14"/>
        <v>0.192</v>
      </c>
      <c r="AP32" s="5779">
        <f t="shared" si="5"/>
        <v>1.0596479999999999</v>
      </c>
      <c r="AQ32" s="5780">
        <f t="shared" si="6"/>
        <v>1565.2112259970459</v>
      </c>
      <c r="AR32" s="5646">
        <f>+IF(L32="","",IF(2010-VLOOKUP(MATCH(L32,epa_id,0),epa,'A1(epa)'!$U$17,FALSE)=0,IF(VLOOKUP(MATCH(L32,epa_id,0),epa,'A1(epa)'!$AC$17,FALSE)=0,"",VLOOKUP(MATCH(L32,epa_id,0),epa,'A1(epa)'!$AC$17,FALSE))))</f>
        <v>11038</v>
      </c>
      <c r="AS32" s="5484" t="str">
        <f>+IF(L32="","",IF(2010-VLOOKUP(MATCH(L32,epa_id,0),epa,'A1(epa)'!$U$17,FALSE)=0,IF(VLOOKUP(MATCH(L32,epa_id,0),epa,'A1(epa)'!$AP$17,FALSE)=0,"",VLOOKUP(MATCH(L32,epa_id,0),epa,'A1(epa)'!$AP$17,FALSE))))</f>
        <v>Other Oil</v>
      </c>
      <c r="AT32" s="5616" t="str">
        <f>+IF(L32="","",IF(2010-VLOOKUP(MATCH(L32,epa_id,0),epa,'A1(epa)'!$U$17,FALSE)=0,IF(VLOOKUP(MATCH(L32,epa_id,0),epa,'A1(epa)'!$AQ$17,FALSE)=0,"",VLOOKUP(MATCH(L32,epa_id,0),epa,'A1(epa)'!$AQ$17,FALSE))))</f>
        <v/>
      </c>
      <c r="AU32" s="5492">
        <f>+IF(L32="","",IF(2009-VLOOKUP(MATCH(L32,epa_id,0)+1,epa,'A1(epa)'!$U$17,FALSE)=0,IF(VLOOKUP(MATCH(L32,epa_id,0)+1,epa,'A1(epa)'!$U$17,FALSE)=0,"",VLOOKUP(MATCH(L32,epa_id,0)+1,epa,'A1(epa)'!$U$17,FALSE))))</f>
        <v>2009</v>
      </c>
      <c r="AV32" s="5482">
        <f>+IF(L32="","",IF(2009-VLOOKUP(MATCH(L32,epa_id,0)+1,epa,'A1(epa)'!$U$17,FALSE)=0,IF(VLOOKUP(MATCH(L32,epa_id,0)+1,epa,'A1(epa)'!$W$17,FALSE)=0,"",VLOOKUP(MATCH(L32,epa_id,0)+1,epa,'A1(epa)'!$W$17,FALSE))))</f>
        <v>8</v>
      </c>
      <c r="AW32" s="5494">
        <f>+IF(L32="","",IF(2009-VLOOKUP(MATCH(L32,epa_id,0)+1,epa,'A1(epa)'!$U$17,FALSE)=0,IF(VLOOKUP(MATCH(L32,epa_id,0)+1,epa,'A1(epa)'!$X$17,FALSE)=0,"",VLOOKUP(MATCH(L32,epa_id,0)+1,epa,'A1(epa)'!$X$17,FALSE))))</f>
        <v>5</v>
      </c>
      <c r="AX32" s="5646">
        <f>+IF(L32="","",IF(2009-VLOOKUP(MATCH(L32,epa_id,0)+1,epa,'A1(epa)'!$U$17,FALSE)=0,IF(VLOOKUP(MATCH(L32,epa_id,0)+1,epa,'A1(epa)'!$Y$17,FALSE)=0,"",VLOOKUP(MATCH(L32,epa_id,0)+1,epa,'A1(epa)'!$Y$17,FALSE))))</f>
        <v>139</v>
      </c>
      <c r="AY32" s="5670">
        <f>+IF(L32="","",IF(2009-VLOOKUP(MATCH(L32,epa_id,0)+1,epa,'A1(epa)'!$U$17,FALSE)=0,IF(VLOOKUP(MATCH(L32,epa_id,0)+1,epa,'A1(epa)'!$AA$17,FALSE)=0,"",VLOOKUP(MATCH(L32,epa_id,0)+1,epa,'A1(epa)'!$AA$17,FALSE))))</f>
        <v>1.2</v>
      </c>
      <c r="AZ32" s="5671">
        <f>+IF(L32="","",IF(2009-VLOOKUP(MATCH(L32,epa_id,0)+1,epa,'A1(epa)'!$U$17,FALSE)=0,IF(VLOOKUP(MATCH(L32,epa_id,0)+1,epa,'A1(epa)'!$AB$17,FALSE)=0,"",VLOOKUP(MATCH(L32,epa_id,0)+1,epa,'A1(epa)'!$AB$17,FALSE))))</f>
        <v>1.2</v>
      </c>
      <c r="BA32" s="5672">
        <f t="shared" si="15"/>
        <v>0.192</v>
      </c>
      <c r="BB32" s="5673">
        <f t="shared" si="7"/>
        <v>0.18892799999999998</v>
      </c>
      <c r="BC32" s="5496">
        <f t="shared" si="8"/>
        <v>1359.1942446043163</v>
      </c>
      <c r="BD32" s="5646">
        <f>+IF(L32="","",IF(2009-VLOOKUP(MATCH(L32,epa_id,0)+1,epa,'A1(epa)'!$U$17,FALSE)=0,IF(VLOOKUP(MATCH(L32,epa_id,0)+1,epa,'A1(epa)'!$AC$17,FALSE)=0,"",VLOOKUP(MATCH(L32,epa_id,0)+1,epa,'A1(epa)'!$AC$17,FALSE))))</f>
        <v>1968</v>
      </c>
      <c r="BE32" s="5494" t="str">
        <f>+IF(L32="","",IF(2009-VLOOKUP(MATCH(L32,epa_id,0)+1,epa,'A1(epa)'!$U$17,FALSE)=0,IF(VLOOKUP(MATCH(L32,epa_id,0)+1,epa,'A1(epa)'!$AP$17,FALSE)=0,"",VLOOKUP(MATCH(L32,epa_id,0)+1,epa,'A1(epa)'!$AP$17,FALSE))))</f>
        <v>Other Oil</v>
      </c>
      <c r="BF32" s="5495" t="str">
        <f>+IF(L32="","",IF(2009-VLOOKUP(MATCH(L32,epa_id,0)+1,epa,'A1(epa)'!$U$17,FALSE)=0,IF(VLOOKUP(MATCH(L32,epa_id,0)+1,epa,'A1(epa)'!$AQ$17,FALSE)=0,"",VLOOKUP(MATCH(L32,epa_id,0)+1,epa,'A1(epa)'!$AQ$17,FALSE))))</f>
        <v/>
      </c>
      <c r="BG32" s="5497">
        <f>+IF(L32="","",IF(2008-VLOOKUP(MATCH(L32,epa_id,0)+2,epa,'A1(epa)'!$U$17,FALSE)=0,IF(VLOOKUP(MATCH(L32,epa_id,0)+2,epa,'A1(epa)'!$U$17,FALSE)=0,"",VLOOKUP(MATCH(L32,epa_id,0)+2,epa,'A1(epa)'!$U$17,FALSE))))</f>
        <v>2008</v>
      </c>
      <c r="BH32" s="5494">
        <f>+IF(L32="","",IF(2008-VLOOKUP(MATCH(L32,epa_id,0)+2,epa,'A1(epa)'!$U$17,FALSE)=0,IF(VLOOKUP(MATCH(L32,epa_id,0)+2,epa,'A1(epa)'!$W$17,FALSE)=0,"",VLOOKUP(MATCH(L32,epa_id,0)+2,epa,'A1(epa)'!$W$17,FALSE))))</f>
        <v>11</v>
      </c>
      <c r="BI32" s="5494">
        <f>+IF(L32="","",IF(2008-VLOOKUP(MATCH(L32,epa_id,0)+2,epa,'A1(epa)'!$U$17,FALSE)=0,IF(VLOOKUP(MATCH(L32,epa_id,0)+2,epa,'A1(epa)'!$X$17,FALSE)=0,"",VLOOKUP(MATCH(L32,epa_id,0)+2,epa,'A1(epa)'!$X$17,FALSE))))</f>
        <v>5</v>
      </c>
      <c r="BJ32" s="5646">
        <f>+IF(L32="","",IF(2008-VLOOKUP(MATCH(L32,epa_id,0)+2,epa,'A1(epa)'!$U$17,FALSE)=0,IF(VLOOKUP(MATCH(L32,epa_id,0)+2,epa,'A1(epa)'!$Y$17,FALSE)=0,"",VLOOKUP(MATCH(L32,epa_id,0)+2,epa,'A1(epa)'!$Y$17,FALSE))))</f>
        <v>183</v>
      </c>
      <c r="BK32" s="5670">
        <f>+IF(L32="","",IF(2008-VLOOKUP(MATCH(L32,epa_id,0)+2,epa,'A1(epa)'!$U$17,FALSE)=0,IF(VLOOKUP(MATCH(L32,epa_id,0)+2,epa,'A1(epa)'!$AA$17,FALSE)=0,"",VLOOKUP(MATCH(L32,epa_id,0)+2,epa,'A1(epa)'!$AA$17,FALSE))))</f>
        <v>1.2</v>
      </c>
      <c r="BL32" s="5671">
        <f>+IF(L32="","",IF(2008-VLOOKUP(MATCH(L32,epa_id,0)+2,epa,'A1(epa)'!$U$17,FALSE)=0,IF(VLOOKUP(MATCH(L32,epa_id,0)+2,epa,'A1(epa)'!$AB$17,FALSE)=0,"",VLOOKUP(MATCH(L32,epa_id,0)+2,epa,'A1(epa)'!$AB$17,FALSE))))</f>
        <v>1.6</v>
      </c>
      <c r="BM32" s="5719">
        <f t="shared" si="16"/>
        <v>0.192</v>
      </c>
      <c r="BN32" s="5720">
        <f t="shared" si="9"/>
        <v>0.26304</v>
      </c>
      <c r="BO32" s="5721">
        <f t="shared" si="10"/>
        <v>1437.377049180328</v>
      </c>
      <c r="BP32" s="5632">
        <f>+IF(L32="","",IF(2008-VLOOKUP(MATCH(L32,epa_id,0)+2,epa,'A1(epa)'!$U$17,FALSE)=0,IF(VLOOKUP(MATCH(L32,epa_id,0)+2,epa,'A1(epa)'!$AC$17,FALSE)=0,"",VLOOKUP(MATCH(L32,epa_id,0)+2,epa,'A1(epa)'!$AC$17,FALSE))))</f>
        <v>2740</v>
      </c>
      <c r="BQ32" s="5603" t="str">
        <f>+IF(L32="","",IF(2008-VLOOKUP(MATCH(L32,epa_id,0)+2,epa,'A1(epa)'!$U$17,FALSE)=0,IF(VLOOKUP(MATCH(L32,epa_id,0)+2,epa,'A1(epa)'!$AP$17,FALSE)=0,"",VLOOKUP(MATCH(L32,epa_id,0)+2,epa,'A1(epa)'!$AP$17,FALSE))))</f>
        <v>Other Oil</v>
      </c>
      <c r="BR32" s="5616" t="str">
        <f>+IF(L32="","",IF(2008-VLOOKUP(MATCH(L32,epa_id,0)+2,epa,'A1(epa)'!$U$17,FALSE)=0,IF(VLOOKUP(MATCH(L32,epa_id,0)+2,epa,'A1(epa)'!$AQ$17,FALSE)=0,"",VLOOKUP(MATCH(L32,epa_id,0)+2,epa,'A1(epa)'!$AQ$17,FALSE))))</f>
        <v/>
      </c>
      <c r="BS32" s="5603" t="str">
        <f>+IF(L32="","",IF(2010-VLOOKUP(MATCH(L32,epa_id,0),epa,'A1(epa)'!$U$17,FALSE)=0,IF(VLOOKUP(MATCH(L32,epa_id,0),epa,'A1(epa)'!$AS$17,FALSE)=0,"",VLOOKUP(MATCH(L32,epa_id,0),epa,'A1(epa)'!$AS$17,FALSE))))</f>
        <v>Water Injection</v>
      </c>
      <c r="BT32" s="5484" t="str">
        <f>+IF(L32="","",IF(2010-VLOOKUP(MATCH(L32,epa_id,0),epa,'A1(epa)'!$U$17,FALSE)=0,IF(VLOOKUP(MATCH(L32,epa_id,0),epa,'A1(epa)'!$AT$17,FALSE)=0,"",VLOOKUP(MATCH(L32,epa_id,0),epa,'A1(epa)'!$AT$17,FALSE))))</f>
        <v/>
      </c>
      <c r="BU32" s="5484" t="str">
        <f>+IF(L32="","",IF(2010-VLOOKUP(MATCH(L32,epa_id,0),epa,'A1(epa)'!$U$17,FALSE)=0,IF(VLOOKUP(MATCH(L32,epa_id,0),epa,'A1(epa)'!$AU$17,FALSE)=0,"",VLOOKUP(MATCH(L32,epa_id,0),epa,'A1(epa)'!$AU$17,FALSE))))</f>
        <v/>
      </c>
      <c r="BV32" s="5484" t="str">
        <f>+IF(L32="","",IF(2010-VLOOKUP(MATCH(L32,epa_id,0),epa,'A1(epa)'!$U$17,FALSE)=0,IF(VLOOKUP(MATCH(L32,epa_id,0),epa,'A1(epa)'!$AR$17,FALSE)=0,"",VLOOKUP(MATCH(L32,epa_id,0),epa,'A1(epa)'!$AR$17,FALSE))))</f>
        <v/>
      </c>
      <c r="BW32" s="5589" t="str">
        <f>+IF(L32="","",IF(2010-VLOOKUP(MATCH(L32,epa_id,0),epa,'A1(epa)'!$U$17,FALSE)=0,IF(VLOOKUP(MATCH(L32,epa_id,0),epa,'A1(epa)'!$AV$17,FALSE)=0,"",VLOOKUP(MATCH(L32,epa_id,0),epa,'A1(epa)'!$AV$17,FALSE))))</f>
        <v/>
      </c>
      <c r="BX32" s="5499">
        <f>+IF(L32="","",IF(2010-VLOOKUP(MATCH(L32,epa_id,0),epa,'A1(epa)'!$U$17,FALSE)=0,IF(VLOOKUP(MATCH(L32,epa_id,0),epa,'A1(epa)'!$AW$17,FALSE)=0,"",VLOOKUP(MATCH(L32,epa_id,0),epa,'A1(epa)'!$AW$17,FALSE))))</f>
        <v>250</v>
      </c>
      <c r="BY32" s="5417"/>
      <c r="BZ32" s="5499">
        <f t="shared" si="11"/>
        <v>1453.9275065938966</v>
      </c>
      <c r="CA32" s="5417"/>
      <c r="CB32" s="9552">
        <f>+IF(AJ32="","",MAX(AJ32:AJ34))</f>
        <v>51</v>
      </c>
      <c r="CC32" s="9555">
        <f>+IF(AL32="","",MAX(AL32:AL34))</f>
        <v>790</v>
      </c>
      <c r="CD32" s="9555">
        <f>+IF(AR32="","",MAX(AR32:AR34))</f>
        <v>12848</v>
      </c>
      <c r="CE32" s="9556">
        <f>+IF(AP32="","",MAX(AP32:AP34))</f>
        <v>1.246256</v>
      </c>
      <c r="CF32" s="9531">
        <f>+(IF($CD$32=AR32,AO32,0)+IF($CD$32=AR33,AO33,0)+IF($CD$32=AR34,AO34,0))</f>
        <v>0.19400000000000001</v>
      </c>
      <c r="CG32" s="9569">
        <f>IF(OR(CD32="",CE32=""),"",2000/CD32*CE32)</f>
        <v>0.19400000000000001</v>
      </c>
      <c r="CH32" s="9560">
        <f>+IF(CG32="","",CG32/CB32)</f>
        <v>3.8039215686274512E-3</v>
      </c>
      <c r="CI32" s="9540">
        <f>+IF(AV32="","",MAX(AV32:AV34))</f>
        <v>8</v>
      </c>
      <c r="CJ32" s="9537">
        <f>+IF(AX32="","",MAX(AX32:AX34))</f>
        <v>139</v>
      </c>
      <c r="CK32" s="9537">
        <f>+IF(BD32="","",MAX(BD32:BD34))</f>
        <v>1968</v>
      </c>
      <c r="CL32" s="9534">
        <f>+IF(BB32="","",MAX(BB32:BB34))</f>
        <v>0.18892799999999998</v>
      </c>
      <c r="CM32" s="9531">
        <f>+(IF($CK$32=BD32,BA32,0)+IF($CK$32=BD33,BA33,0)+IF($CK$32=BD34,BA34,0))</f>
        <v>0.192</v>
      </c>
      <c r="CN32" s="9531">
        <f>IF(OR(CK32="",CL32=""),"",2000/CK32*CL32)</f>
        <v>0.192</v>
      </c>
      <c r="CO32" s="9560">
        <f>+IF(CN32="","",CN32/CI32)</f>
        <v>2.4E-2</v>
      </c>
      <c r="CP32" s="9540">
        <f>+IF(BH32="","",MAX(BH32))</f>
        <v>11</v>
      </c>
      <c r="CQ32" s="9537">
        <f>+IF(BJ32="","",MAX(BJ32))</f>
        <v>183</v>
      </c>
      <c r="CR32" s="9537">
        <f>+IF(BP32="","",MAX(BP32))</f>
        <v>2740</v>
      </c>
      <c r="CS32" s="9534">
        <f>+IF(BN32="","",MAX(BN32))</f>
        <v>0.26304</v>
      </c>
      <c r="CT32" s="9531">
        <f>+(IF($CR$32=BP32,BM32,0)+IF($CR$32=BP33,BM33,0)+IF($CR$32=BP34,BM34,0))</f>
        <v>0.192</v>
      </c>
      <c r="CU32" s="9531">
        <f>IF(OR(CR32="",CS32=""),"",2000/CR32*CS32)</f>
        <v>0.192</v>
      </c>
      <c r="CV32" s="9549">
        <f>+IF(CU32="","",CU32/CP32)</f>
        <v>1.7454545454545455E-2</v>
      </c>
      <c r="CW32" s="9603">
        <f>+IF(DA32="","",IF(DA32=CE32,AI32,IF(DA32=CL32,AU32,IF(DA32=CS32,BG32))))</f>
        <v>2010</v>
      </c>
      <c r="CX32" s="9600">
        <f>+IF(DA32="","",IF(DA32=CE32,CB32,IF(DA32=CL32,CI32,IF(DA32=CS32,CP32))))</f>
        <v>51</v>
      </c>
      <c r="CY32" s="9597">
        <f>+IF(DA32="","",IF(DA32=CE32,CC32,IF(DA32=CL32,CJ32,IF(DA32=CS32,CQ32))))</f>
        <v>790</v>
      </c>
      <c r="CZ32" s="9537">
        <f>+IF(DA32="","",IF(DA32=CE32,CD32,IF(DA32=CL32,CK32,IF(DA32=CS32,CR32))))</f>
        <v>12848</v>
      </c>
      <c r="DA32" s="9556">
        <f t="shared" si="12"/>
        <v>1.246256</v>
      </c>
      <c r="DB32" s="9531">
        <f>+IF(DA32="","",IF(DA32=CE32,CF32,IF(DA32=CL32,CM32,IF(DA32=CS32,CT32))))</f>
        <v>0.19400000000000001</v>
      </c>
      <c r="DC32" s="9531">
        <f>ROUND(2000*DA32/CZ32,3)</f>
        <v>0.19400000000000001</v>
      </c>
      <c r="DD32" s="9560">
        <f>+IF(CX32="","",DA32/CX32)</f>
        <v>2.4436392156862746E-2</v>
      </c>
      <c r="DE32" s="9593">
        <f>+IF(DD32="","",DD32*$DE$15)</f>
        <v>1.2218196078431374</v>
      </c>
      <c r="DF32" s="9593"/>
      <c r="DG32" s="5356"/>
      <c r="DH32" s="5348"/>
      <c r="DI32" s="5348"/>
    </row>
    <row r="33" spans="1:113" s="479" customFormat="1" ht="25.5" customHeight="1">
      <c r="A33" s="5364" t="str">
        <f t="shared" si="13"/>
        <v>8300-03</v>
      </c>
      <c r="B33" s="9571"/>
      <c r="C33" s="5365" t="str">
        <f t="shared" si="2"/>
        <v>CC11</v>
      </c>
      <c r="D33" s="5359"/>
      <c r="E33" s="5351"/>
      <c r="F33" s="5359"/>
      <c r="G33" s="4445">
        <f t="shared" si="17"/>
        <v>15</v>
      </c>
      <c r="H33" s="5518">
        <v>15</v>
      </c>
      <c r="I33" s="9574"/>
      <c r="J33" s="9520" t="str">
        <f>+IF(L33="","",IF(VLOOKUP(MATCH(L33,tid,0),tao,'12(id)'!$I$20,FALSE)="","",VLOOKUP(MATCH(L33,tid,0),tao,'12(id)'!$I$20,FALSE)))</f>
        <v/>
      </c>
      <c r="K33" s="9518">
        <f>+IF(L33="","",IF(VLOOKUP(MATCH(L33,tid,0),tao,'12(id)'!$K$20,FALSE)="","",VLOOKUP(MATCH(L33,tid,0),tao,'12(id)'!$K$20,FALSE)))</f>
        <v>8300</v>
      </c>
      <c r="L33" s="5514" t="s">
        <v>261</v>
      </c>
      <c r="M33" s="9520" t="str">
        <f>+IF(L33="","",IF(VLOOKUP(MATCH(L33,tid,0),tao,'12(id)'!$L$20,FALSE)="","",VLOOKUP(MATCH(L33,tid,0),tao,'12(id)'!$L$20,FALSE)))</f>
        <v>Cos Cob</v>
      </c>
      <c r="N33" s="5504" t="str">
        <f>+IF(L33="","",IF(VLOOKUP(MATCH(L33,tid,0),tao,'12(id)'!$P$20,FALSE)="","",VLOOKUP(MATCH(L33,tid,0),tao,'12(id)'!$P$20,FALSE)))</f>
        <v>Sound Shore Drive Greenwich-11</v>
      </c>
      <c r="O33" s="5541" t="str">
        <f>+IF(L33="","",IF(VLOOKUP(MATCH(L33,tid,0),tao,'12(id)'!$Q$20,FALSE)="","",VLOOKUP(MATCH(L33,tid,0),tao,'12(id)'!$Q$20,FALSE)))</f>
        <v>CC11</v>
      </c>
      <c r="P33" s="5542">
        <f>+IF(L33="","",IF(VLOOKUP(MATCH(L33,tid,0),tao,'12(id)'!$CT$20,FALSE)="","",VLOOKUP(MATCH(L33,tid,0),tao,'12(id)'!$CT$20,FALSE)))</f>
        <v>20</v>
      </c>
      <c r="Q33" s="9530"/>
      <c r="R33" s="5500" t="str">
        <f>+IF(L33="","",IF(VLOOKUP(MATCH(L33,tid,0),tao,'12(id)'!$T$20,FALSE)="","",VLOOKUP(MATCH(L33,tid,0),tao,'12(id)'!$T$20,FALSE)))</f>
        <v>Combustion Turbine</v>
      </c>
      <c r="S33" s="5501" t="str">
        <f>+IF(L33="","",IF(VLOOKUP(MATCH(L33,tid,0),tao,'12(id)'!$CO$20,FALSE)="","",VLOOKUP(MATCH(L33,tid,0),tao,'12(id)'!$CO$20,FALSE)))</f>
        <v>Pratt &amp; Whitney</v>
      </c>
      <c r="T33" s="5500" t="str">
        <f>+IF(L33="","",IF(VLOOKUP(MATCH(L33,tid,0),tao,'12(id)'!$CP$20,FALSE)="","",VLOOKUP(MATCH(L33,tid,0),tao,'12(id)'!$CP$20,FALSE)))</f>
        <v>FT4-A9</v>
      </c>
      <c r="U33" s="5502">
        <f>+IF(L33="","",IF(VLOOKUP(MATCH(L33,tid,0),tao,'12(id)'!$DC$20,FALSE)="","",IF(VLOOKUP(MATCH(L33,tid,0),tao,'12(id)'!$DB$20,FALSE)="",VLOOKUP(MATCH(L33,tid,0),tao,'12(id)'!$DC$20,FALSE),VLOOKUP(MATCH(L33,tid,0),tao,'12(id)'!$DB$20,FALSE)&amp;" "&amp;VLOOKUP(MATCH(L33,tid,0),tao,'12(id)'!$DC$20,FALSE))))</f>
        <v>1969</v>
      </c>
      <c r="V33" s="5503">
        <f ca="1">+IF(L33="","",IF(VLOOKUP(MATCH(L33,tid,0),tao,'12(id)'!$DE$20,FALSE)="","",ROUND(VLOOKUP(MATCH(L33,tid,0),tao,'12(id)'!$DE$20,FALSE),0)))</f>
        <v>45</v>
      </c>
      <c r="W33" s="5504" t="str">
        <f>+IF(L33="","",IF(VLOOKUP(G33,tao,'12(id)'!$FR$20,FALSE)="","",VLOOKUP(G33,tao,'12(id)'!$FR$20,FALSE)&amp;IF(VLOOKUP(G33,tao,'12(id)'!$FS$20,FALSE)="","",", "&amp;VLOOKUP(G33,tao,'12(id)'!$FS$20,FALSE))))</f>
        <v>Water Injection</v>
      </c>
      <c r="X33" s="5504" t="str">
        <f>+IF(L33="","",IF(VLOOKUP(MATCH(L33,tid,0),tao,'12(id)'!$DI$20,FALSE)="","",VLOOKUP(MATCH(L33,tid,0),tao,'12(id)'!$DI$20,FALSE)))</f>
        <v>Ultra low sulfur kerosene  oil (ULSD)</v>
      </c>
      <c r="Y33" s="5504" t="str">
        <f>+IF(L33="","",IF(VLOOKUP(MATCH(L33,tid,0),tao,'12(id)'!$DQ$20,FALSE)="","",VLOOKUP(MATCH(L33,tid,0),tao,'12(id)'!$DQ$20,FALSE)))</f>
        <v/>
      </c>
      <c r="Z33" s="5505">
        <f>+IF(L33="","",IF(VLOOKUP(MATCH(L33,tid,0),tao,'12(id)'!$EH$20,FALSE)="","",VLOOKUP(MATCH(L33,tid,0),tao,'12(id)'!$EH$20,FALSE)))</f>
        <v>256</v>
      </c>
      <c r="AA33" s="5506">
        <f>+IF(L33="","",IF(VLOOKUP(MATCH(L33,tid,0),tao,'12(id)'!$EI$20,FALSE)="","",VLOOKUP(MATCH(L33,tid,0),tao,'12(id)'!$EI$20,FALSE)))</f>
        <v>0.185</v>
      </c>
      <c r="AB33" s="5506" t="str">
        <f>+IF(L33="","",IF(VLOOKUP(MATCH(L33,tid,0),tao,'12(id)'!$EJ$20,FALSE)="","",VLOOKUP(MATCH(L33,tid,0),tao,'12(id)'!$EJ$20,FALSE)))</f>
        <v/>
      </c>
      <c r="AC33" s="5507">
        <f>+IF(L33="","",IF(VLOOKUP(MATCH(L33,tid,0),tao,'12(id)'!$EL$20,FALSE)="","",VLOOKUP(MATCH(L33,tid,0),tao,'12(id)'!$EL$20,FALSE)))</f>
        <v>0.22</v>
      </c>
      <c r="AD33" s="5508"/>
      <c r="AE33" s="5509">
        <f t="shared" si="3"/>
        <v>0.185</v>
      </c>
      <c r="AF33" s="5508" t="str">
        <f t="shared" si="4"/>
        <v/>
      </c>
      <c r="AG33" s="5510" t="str">
        <f>+IF(L33="","",IF(VLOOKUP(MATCH(L33,tid,0),tao,'12(id)'!$GY$20,FALSE)="","",VLOOKUP(MATCH(L33,tid,0),tao,'12(id)'!$GY$20,FALSE)))</f>
        <v/>
      </c>
      <c r="AH33" s="5511" t="str">
        <f>+IF(L33="","",IF(VLOOKUP(MATCH(L33,tid,0),tao,'12(id)'!$HL$20,FALSE)="","",VLOOKUP(MATCH(L33,tid,0),tao,'12(id)'!$HL$20,FALSE)))</f>
        <v/>
      </c>
      <c r="AI33" s="5512">
        <f>+IF(L33="","",IF(2010-VLOOKUP(MATCH(L33,epa_id,0),epa,'A1(epa)'!$U$17,FALSE)=0,IF(VLOOKUP(MATCH(L33,epa_id,0),epa,'A1(epa)'!$U$17,FALSE)=0,"",VLOOKUP(MATCH(L33,epa_id,0),epa,'A1(epa)'!$U$17,FALSE))))</f>
        <v>2010</v>
      </c>
      <c r="AJ33" s="5647">
        <f>+IF(L33="","",IF(2010-VLOOKUP(MATCH(L33,epa_id,0),epa,'A1(epa)'!$U$17,FALSE)=0,IF(VLOOKUP(MATCH(L33,epa_id,0),epa,'A1(epa)'!$W$17,FALSE)=0,"",VLOOKUP(MATCH(L33,epa_id,0),epa,'A1(epa)'!$W$17,FALSE))))</f>
        <v>40</v>
      </c>
      <c r="AK33" s="5513">
        <f>+IF(L33="","",IF(2010-VLOOKUP(MATCH(L33,epa_id,0),epa,'A1(epa)'!$U$17,FALSE)=0,IF(VLOOKUP(MATCH(L33,epa_id,0),epa,'A1(epa)'!$X$17,FALSE)=0,"",VLOOKUP(MATCH(L33,epa_id,0),epa,'A1(epa)'!$X$17,FALSE))))</f>
        <v>5</v>
      </c>
      <c r="AL33" s="5647">
        <f>+IF(L33="","",IF(2010-VLOOKUP(MATCH(L33,epa_id,0),epa,'A1(epa)'!$U$17,FALSE)=0,IF(VLOOKUP(MATCH(L33,epa_id,0),epa,'A1(epa)'!$Y$17,FALSE)=0,"",VLOOKUP(MATCH(L33,epa_id,0),epa,'A1(epa)'!$Y$17,FALSE))))</f>
        <v>619</v>
      </c>
      <c r="AM33" s="5781">
        <f>+IF(L33="","",IF(2010-VLOOKUP(MATCH(L33,epa_id,0),epa,'A1(epa)'!$U$17,FALSE)=0,IF(VLOOKUP(MATCH(L33,epa_id,0),epa,'A1(epa)'!$AA$17,FALSE)=0,"",VLOOKUP(MATCH(L33,epa_id,0),epa,'A1(epa)'!$AA$17,FALSE))))</f>
        <v>1.2</v>
      </c>
      <c r="AN33" s="5782">
        <f>+IF(L33="","",IF(2010-VLOOKUP(MATCH(L33,epa_id,0),epa,'A1(epa)'!$U$17,FALSE)=0,IF(VLOOKUP(MATCH(L33,epa_id,0),epa,'A1(epa)'!$AB$17,FALSE)=0,"",VLOOKUP(MATCH(L33,epa_id,0),epa,'A1(epa)'!$AB$17,FALSE))))</f>
        <v>6.1</v>
      </c>
      <c r="AO33" s="5783">
        <f t="shared" si="14"/>
        <v>0.185</v>
      </c>
      <c r="AP33" s="5784">
        <f t="shared" si="5"/>
        <v>0.93286249999999993</v>
      </c>
      <c r="AQ33" s="5785">
        <f t="shared" si="6"/>
        <v>1507.0476575121161</v>
      </c>
      <c r="AR33" s="5647">
        <f>+IF(L33="","",IF(2010-VLOOKUP(MATCH(L33,epa_id,0),epa,'A1(epa)'!$U$17,FALSE)=0,IF(VLOOKUP(MATCH(L33,epa_id,0),epa,'A1(epa)'!$AC$17,FALSE)=0,"",VLOOKUP(MATCH(L33,epa_id,0),epa,'A1(epa)'!$AC$17,FALSE))))</f>
        <v>10085</v>
      </c>
      <c r="AS33" s="5504" t="str">
        <f>+IF(L33="","",IF(2010-VLOOKUP(MATCH(L33,epa_id,0),epa,'A1(epa)'!$U$17,FALSE)=0,IF(VLOOKUP(MATCH(L33,epa_id,0),epa,'A1(epa)'!$AP$17,FALSE)=0,"",VLOOKUP(MATCH(L33,epa_id,0),epa,'A1(epa)'!$AP$17,FALSE))))</f>
        <v>Other Oil</v>
      </c>
      <c r="AT33" s="5617" t="str">
        <f>+IF(L33="","",IF(2010-VLOOKUP(MATCH(L33,epa_id,0),epa,'A1(epa)'!$U$17,FALSE)=0,IF(VLOOKUP(MATCH(L33,epa_id,0),epa,'A1(epa)'!$AQ$17,FALSE)=0,"",VLOOKUP(MATCH(L33,epa_id,0),epa,'A1(epa)'!$AQ$17,FALSE))))</f>
        <v/>
      </c>
      <c r="AU33" s="5512">
        <f>+IF(L33="","",IF(2009-VLOOKUP(MATCH(L33,epa_id,0)+1,epa,'A1(epa)'!$U$17,FALSE)=0,IF(VLOOKUP(MATCH(L33,epa_id,0)+1,epa,'A1(epa)'!$U$17,FALSE)=0,"",VLOOKUP(MATCH(L33,epa_id,0)+1,epa,'A1(epa)'!$U$17,FALSE))))</f>
        <v>2009</v>
      </c>
      <c r="AV33" s="5502">
        <f>+IF(L33="","",IF(2009-VLOOKUP(MATCH(L33,epa_id,0)+1,epa,'A1(epa)'!$U$17,FALSE)=0,IF(VLOOKUP(MATCH(L33,epa_id,0)+1,epa,'A1(epa)'!$W$17,FALSE)=0,"",VLOOKUP(MATCH(L33,epa_id,0)+1,epa,'A1(epa)'!$W$17,FALSE))))</f>
        <v>6</v>
      </c>
      <c r="AW33" s="5514">
        <f>+IF(L33="","",IF(2009-VLOOKUP(MATCH(L33,epa_id,0)+1,epa,'A1(epa)'!$U$17,FALSE)=0,IF(VLOOKUP(MATCH(L33,epa_id,0)+1,epa,'A1(epa)'!$X$17,FALSE)=0,"",VLOOKUP(MATCH(L33,epa_id,0)+1,epa,'A1(epa)'!$X$17,FALSE))))</f>
        <v>5</v>
      </c>
      <c r="AX33" s="5647">
        <f>+IF(L33="","",IF(2009-VLOOKUP(MATCH(L33,epa_id,0)+1,epa,'A1(epa)'!$U$17,FALSE)=0,IF(VLOOKUP(MATCH(L33,epa_id,0)+1,epa,'A1(epa)'!$Y$17,FALSE)=0,"",VLOOKUP(MATCH(L33,epa_id,0)+1,epa,'A1(epa)'!$Y$17,FALSE))))</f>
        <v>102</v>
      </c>
      <c r="AY33" s="5674">
        <f>+IF(L33="","",IF(2009-VLOOKUP(MATCH(L33,epa_id,0)+1,epa,'A1(epa)'!$U$17,FALSE)=0,IF(VLOOKUP(MATCH(L33,epa_id,0)+1,epa,'A1(epa)'!$AA$17,FALSE)=0,"",VLOOKUP(MATCH(L33,epa_id,0)+1,epa,'A1(epa)'!$AA$17,FALSE))))</f>
        <v>1.2</v>
      </c>
      <c r="AZ33" s="5675">
        <f>+IF(L33="","",IF(2009-VLOOKUP(MATCH(L33,epa_id,0)+1,epa,'A1(epa)'!$U$17,FALSE)=0,IF(VLOOKUP(MATCH(L33,epa_id,0)+1,epa,'A1(epa)'!$AB$17,FALSE)=0,"",VLOOKUP(MATCH(L33,epa_id,0)+1,epa,'A1(epa)'!$AB$17,FALSE))))</f>
        <v>0.9</v>
      </c>
      <c r="BA33" s="5676">
        <f t="shared" si="15"/>
        <v>0.185</v>
      </c>
      <c r="BB33" s="5677">
        <f t="shared" si="7"/>
        <v>0.13551249999999998</v>
      </c>
      <c r="BC33" s="5516">
        <f t="shared" si="8"/>
        <v>1328.5539215686272</v>
      </c>
      <c r="BD33" s="5647">
        <f>+IF(L33="","",IF(2009-VLOOKUP(MATCH(L33,epa_id,0)+1,epa,'A1(epa)'!$U$17,FALSE)=0,IF(VLOOKUP(MATCH(L33,epa_id,0)+1,epa,'A1(epa)'!$AC$17,FALSE)=0,"",VLOOKUP(MATCH(L33,epa_id,0)+1,epa,'A1(epa)'!$AC$17,FALSE))))</f>
        <v>1465</v>
      </c>
      <c r="BE33" s="5514" t="str">
        <f>+IF(L33="","",IF(2009-VLOOKUP(MATCH(L33,epa_id,0)+1,epa,'A1(epa)'!$U$17,FALSE)=0,IF(VLOOKUP(MATCH(L33,epa_id,0)+1,epa,'A1(epa)'!$AP$17,FALSE)=0,"",VLOOKUP(MATCH(L33,epa_id,0)+1,epa,'A1(epa)'!$AP$17,FALSE))))</f>
        <v>Other Oil</v>
      </c>
      <c r="BF33" s="5515" t="str">
        <f>+IF(L33="","",IF(2009-VLOOKUP(MATCH(L33,epa_id,0)+1,epa,'A1(epa)'!$U$17,FALSE)=0,IF(VLOOKUP(MATCH(L33,epa_id,0)+1,epa,'A1(epa)'!$AQ$17,FALSE)=0,"",VLOOKUP(MATCH(L33,epa_id,0)+1,epa,'A1(epa)'!$AQ$17,FALSE))))</f>
        <v/>
      </c>
      <c r="BG33" s="5517">
        <f>+IF(L33="","",IF(2008-VLOOKUP(MATCH(L33,epa_id,0)+2,epa,'A1(epa)'!$U$17,FALSE)=0,IF(VLOOKUP(MATCH(L33,epa_id,0)+2,epa,'A1(epa)'!$U$17,FALSE)=0,"",VLOOKUP(MATCH(L33,epa_id,0)+2,epa,'A1(epa)'!$U$17,FALSE))))</f>
        <v>2008</v>
      </c>
      <c r="BH33" s="5514">
        <f>+IF(L33="","",IF(2008-VLOOKUP(MATCH(L33,epa_id,0)+2,epa,'A1(epa)'!$U$17,FALSE)=0,IF(VLOOKUP(MATCH(L33,epa_id,0)+2,epa,'A1(epa)'!$W$17,FALSE)=0,"",VLOOKUP(MATCH(L33,epa_id,0)+2,epa,'A1(epa)'!$W$17,FALSE))))</f>
        <v>9</v>
      </c>
      <c r="BI33" s="5514">
        <f>+IF(L33="","",IF(2008-VLOOKUP(MATCH(L33,epa_id,0)+2,epa,'A1(epa)'!$U$17,FALSE)=0,IF(VLOOKUP(MATCH(L33,epa_id,0)+2,epa,'A1(epa)'!$X$17,FALSE)=0,"",VLOOKUP(MATCH(L33,epa_id,0)+2,epa,'A1(epa)'!$X$17,FALSE))))</f>
        <v>5</v>
      </c>
      <c r="BJ33" s="5647">
        <f>+IF(L33="","",IF(2008-VLOOKUP(MATCH(L33,epa_id,0)+2,epa,'A1(epa)'!$U$17,FALSE)=0,IF(VLOOKUP(MATCH(L33,epa_id,0)+2,epa,'A1(epa)'!$Y$17,FALSE)=0,"",VLOOKUP(MATCH(L33,epa_id,0)+2,epa,'A1(epa)'!$Y$17,FALSE))))</f>
        <v>160</v>
      </c>
      <c r="BK33" s="5674">
        <f>+IF(L33="","",IF(2008-VLOOKUP(MATCH(L33,epa_id,0)+2,epa,'A1(epa)'!$U$17,FALSE)=0,IF(VLOOKUP(MATCH(L33,epa_id,0)+2,epa,'A1(epa)'!$AA$17,FALSE)=0,"",VLOOKUP(MATCH(L33,epa_id,0)+2,epa,'A1(epa)'!$AA$17,FALSE))))</f>
        <v>1.2</v>
      </c>
      <c r="BL33" s="5675">
        <f>+IF(L33="","",IF(2008-VLOOKUP(MATCH(L33,epa_id,0)+2,epa,'A1(epa)'!$U$17,FALSE)=0,IF(VLOOKUP(MATCH(L33,epa_id,0)+2,epa,'A1(epa)'!$AB$17,FALSE)=0,"",VLOOKUP(MATCH(L33,epa_id,0)+2,epa,'A1(epa)'!$AB$17,FALSE))))</f>
        <v>1.3</v>
      </c>
      <c r="BM33" s="5722">
        <f t="shared" si="16"/>
        <v>0.185</v>
      </c>
      <c r="BN33" s="5723">
        <f t="shared" si="9"/>
        <v>0.20581250000000001</v>
      </c>
      <c r="BO33" s="5724">
        <f t="shared" si="10"/>
        <v>1286.328125</v>
      </c>
      <c r="BP33" s="5633">
        <f>+IF(L33="","",IF(2008-VLOOKUP(MATCH(L33,epa_id,0)+2,epa,'A1(epa)'!$U$17,FALSE)=0,IF(VLOOKUP(MATCH(L33,epa_id,0)+2,epa,'A1(epa)'!$AC$17,FALSE)=0,"",VLOOKUP(MATCH(L33,epa_id,0)+2,epa,'A1(epa)'!$AC$17,FALSE))))</f>
        <v>2225</v>
      </c>
      <c r="BQ33" s="5604" t="str">
        <f>+IF(L33="","",IF(2008-VLOOKUP(MATCH(L33,epa_id,0)+2,epa,'A1(epa)'!$U$17,FALSE)=0,IF(VLOOKUP(MATCH(L33,epa_id,0)+2,epa,'A1(epa)'!$AP$17,FALSE)=0,"",VLOOKUP(MATCH(L33,epa_id,0)+2,epa,'A1(epa)'!$AP$17,FALSE))))</f>
        <v>Other Oil</v>
      </c>
      <c r="BR33" s="5617" t="str">
        <f>+IF(L33="","",IF(2008-VLOOKUP(MATCH(L33,epa_id,0)+2,epa,'A1(epa)'!$U$17,FALSE)=0,IF(VLOOKUP(MATCH(L33,epa_id,0)+2,epa,'A1(epa)'!$AQ$17,FALSE)=0,"",VLOOKUP(MATCH(L33,epa_id,0)+2,epa,'A1(epa)'!$AQ$17,FALSE))))</f>
        <v/>
      </c>
      <c r="BS33" s="5604" t="str">
        <f>+IF(L33="","",IF(2010-VLOOKUP(MATCH(L33,epa_id,0),epa,'A1(epa)'!$U$17,FALSE)=0,IF(VLOOKUP(MATCH(L33,epa_id,0),epa,'A1(epa)'!$AS$17,FALSE)=0,"",VLOOKUP(MATCH(L33,epa_id,0),epa,'A1(epa)'!$AS$17,FALSE))))</f>
        <v>Water Injection</v>
      </c>
      <c r="BT33" s="5504" t="str">
        <f>+IF(L33="","",IF(2010-VLOOKUP(MATCH(L33,epa_id,0),epa,'A1(epa)'!$U$17,FALSE)=0,IF(VLOOKUP(MATCH(L33,epa_id,0),epa,'A1(epa)'!$AT$17,FALSE)=0,"",VLOOKUP(MATCH(L33,epa_id,0),epa,'A1(epa)'!$AT$17,FALSE))))</f>
        <v/>
      </c>
      <c r="BU33" s="5504" t="str">
        <f>+IF(L33="","",IF(2010-VLOOKUP(MATCH(L33,epa_id,0),epa,'A1(epa)'!$U$17,FALSE)=0,IF(VLOOKUP(MATCH(L33,epa_id,0),epa,'A1(epa)'!$AU$17,FALSE)=0,"",VLOOKUP(MATCH(L33,epa_id,0),epa,'A1(epa)'!$AU$17,FALSE))))</f>
        <v/>
      </c>
      <c r="BV33" s="5504" t="str">
        <f>+IF(L33="","",IF(2010-VLOOKUP(MATCH(L33,epa_id,0),epa,'A1(epa)'!$U$17,FALSE)=0,IF(VLOOKUP(MATCH(L33,epa_id,0),epa,'A1(epa)'!$AR$17,FALSE)=0,"",VLOOKUP(MATCH(L33,epa_id,0),epa,'A1(epa)'!$AR$17,FALSE))))</f>
        <v/>
      </c>
      <c r="BW33" s="5590" t="str">
        <f>+IF(L33="","",IF(2010-VLOOKUP(MATCH(L33,epa_id,0),epa,'A1(epa)'!$U$17,FALSE)=0,IF(VLOOKUP(MATCH(L33,epa_id,0),epa,'A1(epa)'!$AV$17,FALSE)=0,"",VLOOKUP(MATCH(L33,epa_id,0),epa,'A1(epa)'!$AV$17,FALSE))))</f>
        <v/>
      </c>
      <c r="BX33" s="5478">
        <f>+IF(L33="","",IF(2010-VLOOKUP(MATCH(L33,epa_id,0),epa,'A1(epa)'!$U$17,FALSE)=0,IF(VLOOKUP(MATCH(L33,epa_id,0),epa,'A1(epa)'!$AW$17,FALSE)=0,"",VLOOKUP(MATCH(L33,epa_id,0),epa,'A1(epa)'!$AW$17,FALSE))))</f>
        <v>250</v>
      </c>
      <c r="BY33" s="5415"/>
      <c r="BZ33" s="5478">
        <f t="shared" si="11"/>
        <v>1373.9765680269145</v>
      </c>
      <c r="CA33" s="5415"/>
      <c r="CB33" s="9553"/>
      <c r="CC33" s="9538"/>
      <c r="CD33" s="9538"/>
      <c r="CE33" s="9557"/>
      <c r="CF33" s="9532"/>
      <c r="CG33" s="9532"/>
      <c r="CH33" s="9561"/>
      <c r="CI33" s="9541"/>
      <c r="CJ33" s="9538"/>
      <c r="CK33" s="9538"/>
      <c r="CL33" s="9535"/>
      <c r="CM33" s="9532"/>
      <c r="CN33" s="9532"/>
      <c r="CO33" s="9561"/>
      <c r="CP33" s="9541"/>
      <c r="CQ33" s="9538"/>
      <c r="CR33" s="9538"/>
      <c r="CS33" s="9535"/>
      <c r="CT33" s="9532"/>
      <c r="CU33" s="9532"/>
      <c r="CV33" s="9550"/>
      <c r="CW33" s="9604"/>
      <c r="CX33" s="9601"/>
      <c r="CY33" s="9598"/>
      <c r="CZ33" s="9538"/>
      <c r="DA33" s="9557">
        <f t="shared" si="12"/>
        <v>0</v>
      </c>
      <c r="DB33" s="9532"/>
      <c r="DC33" s="9532"/>
      <c r="DD33" s="9561"/>
      <c r="DE33" s="9594"/>
      <c r="DF33" s="9594"/>
      <c r="DG33" s="5356"/>
      <c r="DH33" s="5348"/>
      <c r="DI33" s="5348"/>
    </row>
    <row r="34" spans="1:113" s="479" customFormat="1" ht="25.5" customHeight="1">
      <c r="A34" s="5364" t="str">
        <f t="shared" si="13"/>
        <v>8300-04</v>
      </c>
      <c r="B34" s="9571"/>
      <c r="C34" s="5365" t="str">
        <f t="shared" si="2"/>
        <v>CC12</v>
      </c>
      <c r="D34" s="5359"/>
      <c r="E34" s="5351"/>
      <c r="F34" s="5359"/>
      <c r="G34" s="4445">
        <f t="shared" si="17"/>
        <v>16</v>
      </c>
      <c r="H34" s="5537">
        <v>16</v>
      </c>
      <c r="I34" s="9575"/>
      <c r="J34" s="9520" t="str">
        <f>+IF(L34="","",IF(VLOOKUP(MATCH(L34,tid,0),tao,'12(id)'!$I$20,FALSE)="","",VLOOKUP(MATCH(L34,tid,0),tao,'12(id)'!$I$20,FALSE)))</f>
        <v/>
      </c>
      <c r="K34" s="9518">
        <f>+IF(L34="","",IF(VLOOKUP(MATCH(L34,tid,0),tao,'12(id)'!$K$20,FALSE)="","",VLOOKUP(MATCH(L34,tid,0),tao,'12(id)'!$K$20,FALSE)))</f>
        <v>8300</v>
      </c>
      <c r="L34" s="5533" t="s">
        <v>262</v>
      </c>
      <c r="M34" s="9520" t="str">
        <f>+IF(L34="","",IF(VLOOKUP(MATCH(L34,tid,0),tao,'12(id)'!$L$20,FALSE)="","",VLOOKUP(MATCH(L34,tid,0),tao,'12(id)'!$L$20,FALSE)))</f>
        <v>Cos Cob</v>
      </c>
      <c r="N34" s="5523" t="str">
        <f>+IF(L34="","",IF(VLOOKUP(MATCH(L34,tid,0),tao,'12(id)'!$P$20,FALSE)="","",VLOOKUP(MATCH(L34,tid,0),tao,'12(id)'!$P$20,FALSE)))</f>
        <v>Sound Shore Drive Greenwich-12</v>
      </c>
      <c r="O34" s="5543" t="str">
        <f>+IF(L34="","",IF(VLOOKUP(MATCH(L34,tid,0),tao,'12(id)'!$Q$20,FALSE)="","",VLOOKUP(MATCH(L34,tid,0),tao,'12(id)'!$Q$20,FALSE)))</f>
        <v>CC12</v>
      </c>
      <c r="P34" s="5544">
        <f>+IF(L34="","",IF(VLOOKUP(MATCH(L34,tid,0),tao,'12(id)'!$CT$20,FALSE)="","",VLOOKUP(MATCH(L34,tid,0),tao,'12(id)'!$CT$20,FALSE)))</f>
        <v>20</v>
      </c>
      <c r="Q34" s="9530"/>
      <c r="R34" s="5519" t="str">
        <f>+IF(L34="","",IF(VLOOKUP(MATCH(L34,tid,0),tao,'12(id)'!$T$20,FALSE)="","",VLOOKUP(MATCH(L34,tid,0),tao,'12(id)'!$T$20,FALSE)))</f>
        <v>Combustion Turbine</v>
      </c>
      <c r="S34" s="5520" t="str">
        <f>+IF(L34="","",IF(VLOOKUP(MATCH(L34,tid,0),tao,'12(id)'!$CO$20,FALSE)="","",VLOOKUP(MATCH(L34,tid,0),tao,'12(id)'!$CO$20,FALSE)))</f>
        <v>Pratt &amp; Whitney</v>
      </c>
      <c r="T34" s="5519" t="str">
        <f>+IF(L34="","",IF(VLOOKUP(MATCH(L34,tid,0),tao,'12(id)'!$CP$20,FALSE)="","",VLOOKUP(MATCH(L34,tid,0),tao,'12(id)'!$CP$20,FALSE)))</f>
        <v>FT4-A9</v>
      </c>
      <c r="U34" s="5521">
        <f>+IF(L34="","",IF(VLOOKUP(MATCH(L34,tid,0),tao,'12(id)'!$DC$20,FALSE)="","",IF(VLOOKUP(MATCH(L34,tid,0),tao,'12(id)'!$DB$20,FALSE)="",VLOOKUP(MATCH(L34,tid,0),tao,'12(id)'!$DC$20,FALSE),VLOOKUP(MATCH(L34,tid,0),tao,'12(id)'!$DB$20,FALSE)&amp;" "&amp;VLOOKUP(MATCH(L34,tid,0),tao,'12(id)'!$DC$20,FALSE))))</f>
        <v>1969</v>
      </c>
      <c r="V34" s="5522">
        <f ca="1">+IF(L34="","",IF(VLOOKUP(MATCH(L34,tid,0),tao,'12(id)'!$DE$20,FALSE)="","",ROUND(VLOOKUP(MATCH(L34,tid,0),tao,'12(id)'!$DE$20,FALSE),0)))</f>
        <v>45</v>
      </c>
      <c r="W34" s="5523" t="str">
        <f>+IF(L34="","",IF(VLOOKUP(G34,tao,'12(id)'!$FR$20,FALSE)="","",VLOOKUP(G34,tao,'12(id)'!$FR$20,FALSE)&amp;IF(VLOOKUP(G34,tao,'12(id)'!$FS$20,FALSE)="","",", "&amp;VLOOKUP(G34,tao,'12(id)'!$FS$20,FALSE))))</f>
        <v>Water Injection</v>
      </c>
      <c r="X34" s="5523" t="str">
        <f>+IF(L34="","",IF(VLOOKUP(MATCH(L34,tid,0),tao,'12(id)'!$DI$20,FALSE)="","",VLOOKUP(MATCH(L34,tid,0),tao,'12(id)'!$DI$20,FALSE)))</f>
        <v>Ultra low sulfur kerosene  oil (ULSD)</v>
      </c>
      <c r="Y34" s="5523" t="str">
        <f>+IF(L34="","",IF(VLOOKUP(MATCH(L34,tid,0),tao,'12(id)'!$DQ$20,FALSE)="","",VLOOKUP(MATCH(L34,tid,0),tao,'12(id)'!$DQ$20,FALSE)))</f>
        <v/>
      </c>
      <c r="Z34" s="5524">
        <f>+IF(L34="","",IF(VLOOKUP(MATCH(L34,tid,0),tao,'12(id)'!$EH$20,FALSE)="","",VLOOKUP(MATCH(L34,tid,0),tao,'12(id)'!$EH$20,FALSE)))</f>
        <v>256</v>
      </c>
      <c r="AA34" s="5525">
        <f>+IF(L34="","",IF(VLOOKUP(MATCH(L34,tid,0),tao,'12(id)'!$EI$20,FALSE)="","",VLOOKUP(MATCH(L34,tid,0),tao,'12(id)'!$EI$20,FALSE)))</f>
        <v>0.19400000000000001</v>
      </c>
      <c r="AB34" s="5525" t="str">
        <f>+IF(L34="","",IF(VLOOKUP(MATCH(L34,tid,0),tao,'12(id)'!$EJ$20,FALSE)="","",VLOOKUP(MATCH(L34,tid,0),tao,'12(id)'!$EJ$20,FALSE)))</f>
        <v/>
      </c>
      <c r="AC34" s="5526">
        <f>+IF(L34="","",IF(VLOOKUP(MATCH(L34,tid,0),tao,'12(id)'!$EL$20,FALSE)="","",VLOOKUP(MATCH(L34,tid,0),tao,'12(id)'!$EL$20,FALSE)))</f>
        <v>0.22</v>
      </c>
      <c r="AD34" s="5527"/>
      <c r="AE34" s="5528">
        <f t="shared" si="3"/>
        <v>0.19400000000000001</v>
      </c>
      <c r="AF34" s="5527" t="str">
        <f t="shared" si="4"/>
        <v/>
      </c>
      <c r="AG34" s="5529" t="str">
        <f>+IF(L34="","",IF(VLOOKUP(MATCH(L34,tid,0),tao,'12(id)'!$GY$20,FALSE)="","",VLOOKUP(MATCH(L34,tid,0),tao,'12(id)'!$GY$20,FALSE)))</f>
        <v/>
      </c>
      <c r="AH34" s="5530" t="str">
        <f>+IF(L34="","",IF(VLOOKUP(MATCH(L34,tid,0),tao,'12(id)'!$HL$20,FALSE)="","",VLOOKUP(MATCH(L34,tid,0),tao,'12(id)'!$HL$20,FALSE)))</f>
        <v/>
      </c>
      <c r="AI34" s="5531">
        <f>+IF(L34="","",IF(2010-VLOOKUP(MATCH(L34,epa_id,0),epa,'A1(epa)'!$U$17,FALSE)=0,IF(VLOOKUP(MATCH(L34,epa_id,0),epa,'A1(epa)'!$U$17,FALSE)=0,"",VLOOKUP(MATCH(L34,epa_id,0),epa,'A1(epa)'!$U$17,FALSE))))</f>
        <v>2010</v>
      </c>
      <c r="AJ34" s="5648">
        <f>+IF(L34="","",IF(2010-VLOOKUP(MATCH(L34,epa_id,0),epa,'A1(epa)'!$U$17,FALSE)=0,IF(VLOOKUP(MATCH(L34,epa_id,0),epa,'A1(epa)'!$W$17,FALSE)=0,"",VLOOKUP(MATCH(L34,epa_id,0),epa,'A1(epa)'!$W$17,FALSE))))</f>
        <v>51</v>
      </c>
      <c r="AK34" s="5532">
        <f>+IF(L34="","",IF(2010-VLOOKUP(MATCH(L34,epa_id,0),epa,'A1(epa)'!$U$17,FALSE)=0,IF(VLOOKUP(MATCH(L34,epa_id,0),epa,'A1(epa)'!$X$17,FALSE)=0,"",VLOOKUP(MATCH(L34,epa_id,0),epa,'A1(epa)'!$X$17,FALSE))))</f>
        <v>5</v>
      </c>
      <c r="AL34" s="5648">
        <f>+IF(L34="","",IF(2010-VLOOKUP(MATCH(L34,epa_id,0),epa,'A1(epa)'!$U$17,FALSE)=0,IF(VLOOKUP(MATCH(L34,epa_id,0),epa,'A1(epa)'!$Y$17,FALSE)=0,"",VLOOKUP(MATCH(L34,epa_id,0),epa,'A1(epa)'!$Y$17,FALSE))))</f>
        <v>790</v>
      </c>
      <c r="AM34" s="5786">
        <f>+IF(L34="","",IF(2010-VLOOKUP(MATCH(L34,epa_id,0),epa,'A1(epa)'!$U$17,FALSE)=0,IF(VLOOKUP(MATCH(L34,epa_id,0),epa,'A1(epa)'!$AA$17,FALSE)=0,"",VLOOKUP(MATCH(L34,epa_id,0),epa,'A1(epa)'!$AA$17,FALSE))))</f>
        <v>1.2</v>
      </c>
      <c r="AN34" s="5787">
        <f>+IF(L34="","",IF(2010-VLOOKUP(MATCH(L34,epa_id,0),epa,'A1(epa)'!$U$17,FALSE)=0,IF(VLOOKUP(MATCH(L34,epa_id,0),epa,'A1(epa)'!$AB$17,FALSE)=0,"",VLOOKUP(MATCH(L34,epa_id,0),epa,'A1(epa)'!$AB$17,FALSE))))</f>
        <v>7.7</v>
      </c>
      <c r="AO34" s="5788">
        <f t="shared" si="14"/>
        <v>0.19400000000000001</v>
      </c>
      <c r="AP34" s="5789">
        <f t="shared" si="5"/>
        <v>1.246256</v>
      </c>
      <c r="AQ34" s="5790">
        <f t="shared" si="6"/>
        <v>1577.5392405063292</v>
      </c>
      <c r="AR34" s="5648">
        <f>+IF(L34="","",IF(2010-VLOOKUP(MATCH(L34,epa_id,0),epa,'A1(epa)'!$U$17,FALSE)=0,IF(VLOOKUP(MATCH(L34,epa_id,0),epa,'A1(epa)'!$AC$17,FALSE)=0,"",VLOOKUP(MATCH(L34,epa_id,0),epa,'A1(epa)'!$AC$17,FALSE))))</f>
        <v>12848</v>
      </c>
      <c r="AS34" s="5523" t="str">
        <f>+IF(L34="","",IF(2010-VLOOKUP(MATCH(L34,epa_id,0),epa,'A1(epa)'!$U$17,FALSE)=0,IF(VLOOKUP(MATCH(L34,epa_id,0),epa,'A1(epa)'!$AP$17,FALSE)=0,"",VLOOKUP(MATCH(L34,epa_id,0),epa,'A1(epa)'!$AP$17,FALSE))))</f>
        <v>Other Oil</v>
      </c>
      <c r="AT34" s="5618" t="str">
        <f>+IF(L34="","",IF(2010-VLOOKUP(MATCH(L34,epa_id,0),epa,'A1(epa)'!$U$17,FALSE)=0,IF(VLOOKUP(MATCH(L34,epa_id,0),epa,'A1(epa)'!$AQ$17,FALSE)=0,"",VLOOKUP(MATCH(L34,epa_id,0),epa,'A1(epa)'!$AQ$17,FALSE))))</f>
        <v/>
      </c>
      <c r="AU34" s="5531">
        <f>+IF(L34="","",IF(2009-VLOOKUP(MATCH(L34,epa_id,0)+1,epa,'A1(epa)'!$U$17,FALSE)=0,IF(VLOOKUP(MATCH(L34,epa_id,0)+1,epa,'A1(epa)'!$U$17,FALSE)=0,"",VLOOKUP(MATCH(L34,epa_id,0)+1,epa,'A1(epa)'!$U$17,FALSE))))</f>
        <v>2009</v>
      </c>
      <c r="AV34" s="5521">
        <f>+IF(L34="","",IF(2009-VLOOKUP(MATCH(L34,epa_id,0)+1,epa,'A1(epa)'!$U$17,FALSE)=0,IF(VLOOKUP(MATCH(L34,epa_id,0)+1,epa,'A1(epa)'!$W$17,FALSE)=0,"",VLOOKUP(MATCH(L34,epa_id,0)+1,epa,'A1(epa)'!$W$17,FALSE))))</f>
        <v>7</v>
      </c>
      <c r="AW34" s="5533">
        <f>+IF(L34="","",IF(2009-VLOOKUP(MATCH(L34,epa_id,0)+1,epa,'A1(epa)'!$U$17,FALSE)=0,IF(VLOOKUP(MATCH(L34,epa_id,0)+1,epa,'A1(epa)'!$X$17,FALSE)=0,"",VLOOKUP(MATCH(L34,epa_id,0)+1,epa,'A1(epa)'!$X$17,FALSE))))</f>
        <v>5</v>
      </c>
      <c r="AX34" s="5648">
        <f>+IF(L34="","",IF(2009-VLOOKUP(MATCH(L34,epa_id,0)+1,epa,'A1(epa)'!$U$17,FALSE)=0,IF(VLOOKUP(MATCH(L34,epa_id,0)+1,epa,'A1(epa)'!$Y$17,FALSE)=0,"",VLOOKUP(MATCH(L34,epa_id,0)+1,epa,'A1(epa)'!$Y$17,FALSE))))</f>
        <v>131</v>
      </c>
      <c r="AY34" s="5678">
        <f>+IF(L34="","",IF(2009-VLOOKUP(MATCH(L34,epa_id,0)+1,epa,'A1(epa)'!$U$17,FALSE)=0,IF(VLOOKUP(MATCH(L34,epa_id,0)+1,epa,'A1(epa)'!$AA$17,FALSE)=0,"",VLOOKUP(MATCH(L34,epa_id,0)+1,epa,'A1(epa)'!$AA$17,FALSE))))</f>
        <v>1.2</v>
      </c>
      <c r="AZ34" s="5679">
        <f>+IF(L34="","",IF(2009-VLOOKUP(MATCH(L34,epa_id,0)+1,epa,'A1(epa)'!$U$17,FALSE)=0,IF(VLOOKUP(MATCH(L34,epa_id,0)+1,epa,'A1(epa)'!$AB$17,FALSE)=0,"",VLOOKUP(MATCH(L34,epa_id,0)+1,epa,'A1(epa)'!$AB$17,FALSE))))</f>
        <v>1.1000000000000001</v>
      </c>
      <c r="BA34" s="5680">
        <f t="shared" si="15"/>
        <v>0.19400000000000001</v>
      </c>
      <c r="BB34" s="5681">
        <f t="shared" si="7"/>
        <v>0.17266000000000001</v>
      </c>
      <c r="BC34" s="5535">
        <f t="shared" si="8"/>
        <v>1318.0152671755725</v>
      </c>
      <c r="BD34" s="5648">
        <f>+IF(L34="","",IF(2009-VLOOKUP(MATCH(L34,epa_id,0)+1,epa,'A1(epa)'!$U$17,FALSE)=0,IF(VLOOKUP(MATCH(L34,epa_id,0)+1,epa,'A1(epa)'!$AC$17,FALSE)=0,"",VLOOKUP(MATCH(L34,epa_id,0)+1,epa,'A1(epa)'!$AC$17,FALSE))))</f>
        <v>1780</v>
      </c>
      <c r="BE34" s="5533" t="str">
        <f>+IF(L34="","",IF(2009-VLOOKUP(MATCH(L34,epa_id,0)+1,epa,'A1(epa)'!$U$17,FALSE)=0,IF(VLOOKUP(MATCH(L34,epa_id,0)+1,epa,'A1(epa)'!$AP$17,FALSE)=0,"",VLOOKUP(MATCH(L34,epa_id,0)+1,epa,'A1(epa)'!$AP$17,FALSE))))</f>
        <v>Other Oil</v>
      </c>
      <c r="BF34" s="5534" t="str">
        <f>+IF(L34="","",IF(2009-VLOOKUP(MATCH(L34,epa_id,0)+1,epa,'A1(epa)'!$U$17,FALSE)=0,IF(VLOOKUP(MATCH(L34,epa_id,0)+1,epa,'A1(epa)'!$AQ$17,FALSE)=0,"",VLOOKUP(MATCH(L34,epa_id,0)+1,epa,'A1(epa)'!$AQ$17,FALSE))))</f>
        <v/>
      </c>
      <c r="BG34" s="5536">
        <f>+IF(L34="","",IF(2008-VLOOKUP(MATCH(L34,epa_id,0)+2,epa,'A1(epa)'!$U$17,FALSE)=0,IF(VLOOKUP(MATCH(L34,epa_id,0)+2,epa,'A1(epa)'!$U$17,FALSE)=0,"",VLOOKUP(MATCH(L34,epa_id,0)+2,epa,'A1(epa)'!$U$17,FALSE))))</f>
        <v>2008</v>
      </c>
      <c r="BH34" s="5533">
        <f>+IF(L34="","",IF(2008-VLOOKUP(MATCH(L34,epa_id,0)+2,epa,'A1(epa)'!$U$17,FALSE)=0,IF(VLOOKUP(MATCH(L34,epa_id,0)+2,epa,'A1(epa)'!$W$17,FALSE)=0,"",VLOOKUP(MATCH(L34,epa_id,0)+2,epa,'A1(epa)'!$W$17,FALSE))))</f>
        <v>6</v>
      </c>
      <c r="BI34" s="5533">
        <f>+IF(L34="","",IF(2008-VLOOKUP(MATCH(L34,epa_id,0)+2,epa,'A1(epa)'!$U$17,FALSE)=0,IF(VLOOKUP(MATCH(L34,epa_id,0)+2,epa,'A1(epa)'!$X$17,FALSE)=0,"",VLOOKUP(MATCH(L34,epa_id,0)+2,epa,'A1(epa)'!$X$17,FALSE))))</f>
        <v>5</v>
      </c>
      <c r="BJ34" s="5648">
        <f>+IF(L34="","",IF(2008-VLOOKUP(MATCH(L34,epa_id,0)+2,epa,'A1(epa)'!$U$17,FALSE)=0,IF(VLOOKUP(MATCH(L34,epa_id,0)+2,epa,'A1(epa)'!$Y$17,FALSE)=0,"",VLOOKUP(MATCH(L34,epa_id,0)+2,epa,'A1(epa)'!$Y$17,FALSE))))</f>
        <v>115</v>
      </c>
      <c r="BK34" s="5678">
        <f>+IF(L34="","",IF(2008-VLOOKUP(MATCH(L34,epa_id,0)+2,epa,'A1(epa)'!$U$17,FALSE)=0,IF(VLOOKUP(MATCH(L34,epa_id,0)+2,epa,'A1(epa)'!$AA$17,FALSE)=0,"",VLOOKUP(MATCH(L34,epa_id,0)+2,epa,'A1(epa)'!$AA$17,FALSE))))</f>
        <v>1.2</v>
      </c>
      <c r="BL34" s="5679">
        <f>+IF(L34="","",IF(2008-VLOOKUP(MATCH(L34,epa_id,0)+2,epa,'A1(epa)'!$U$17,FALSE)=0,IF(VLOOKUP(MATCH(L34,epa_id,0)+2,epa,'A1(epa)'!$AB$17,FALSE)=0,"",VLOOKUP(MATCH(L34,epa_id,0)+2,epa,'A1(epa)'!$AB$17,FALSE))))</f>
        <v>1</v>
      </c>
      <c r="BM34" s="5725">
        <f t="shared" si="16"/>
        <v>0.19400000000000001</v>
      </c>
      <c r="BN34" s="5726">
        <f t="shared" si="9"/>
        <v>0.15471499999999999</v>
      </c>
      <c r="BO34" s="5727">
        <f t="shared" si="10"/>
        <v>1345.3478260869565</v>
      </c>
      <c r="BP34" s="5634">
        <f>+IF(L34="","",IF(2008-VLOOKUP(MATCH(L34,epa_id,0)+2,epa,'A1(epa)'!$U$17,FALSE)=0,IF(VLOOKUP(MATCH(L34,epa_id,0)+2,epa,'A1(epa)'!$AC$17,FALSE)=0,"",VLOOKUP(MATCH(L34,epa_id,0)+2,epa,'A1(epa)'!$AC$17,FALSE))))</f>
        <v>1595</v>
      </c>
      <c r="BQ34" s="5605" t="str">
        <f>+IF(L34="","",IF(2008-VLOOKUP(MATCH(L34,epa_id,0)+2,epa,'A1(epa)'!$U$17,FALSE)=0,IF(VLOOKUP(MATCH(L34,epa_id,0)+2,epa,'A1(epa)'!$AP$17,FALSE)=0,"",VLOOKUP(MATCH(L34,epa_id,0)+2,epa,'A1(epa)'!$AP$17,FALSE))))</f>
        <v>Other Oil</v>
      </c>
      <c r="BR34" s="5618" t="str">
        <f>+IF(L34="","",IF(2008-VLOOKUP(MATCH(L34,epa_id,0)+2,epa,'A1(epa)'!$U$17,FALSE)=0,IF(VLOOKUP(MATCH(L34,epa_id,0)+2,epa,'A1(epa)'!$AQ$17,FALSE)=0,"",VLOOKUP(MATCH(L34,epa_id,0)+2,epa,'A1(epa)'!$AQ$17,FALSE))))</f>
        <v/>
      </c>
      <c r="BS34" s="5605" t="str">
        <f>+IF(L34="","",IF(2010-VLOOKUP(MATCH(L34,epa_id,0),epa,'A1(epa)'!$U$17,FALSE)=0,IF(VLOOKUP(MATCH(L34,epa_id,0),epa,'A1(epa)'!$AS$17,FALSE)=0,"",VLOOKUP(MATCH(L34,epa_id,0),epa,'A1(epa)'!$AS$17,FALSE))))</f>
        <v>Water Injection</v>
      </c>
      <c r="BT34" s="5523" t="str">
        <f>+IF(L34="","",IF(2010-VLOOKUP(MATCH(L34,epa_id,0),epa,'A1(epa)'!$U$17,FALSE)=0,IF(VLOOKUP(MATCH(L34,epa_id,0),epa,'A1(epa)'!$AT$17,FALSE)=0,"",VLOOKUP(MATCH(L34,epa_id,0),epa,'A1(epa)'!$AT$17,FALSE))))</f>
        <v/>
      </c>
      <c r="BU34" s="5523" t="str">
        <f>+IF(L34="","",IF(2010-VLOOKUP(MATCH(L34,epa_id,0),epa,'A1(epa)'!$U$17,FALSE)=0,IF(VLOOKUP(MATCH(L34,epa_id,0),epa,'A1(epa)'!$AU$17,FALSE)=0,"",VLOOKUP(MATCH(L34,epa_id,0),epa,'A1(epa)'!$AU$17,FALSE))))</f>
        <v/>
      </c>
      <c r="BV34" s="5523" t="str">
        <f>+IF(L34="","",IF(2010-VLOOKUP(MATCH(L34,epa_id,0),epa,'A1(epa)'!$U$17,FALSE)=0,IF(VLOOKUP(MATCH(L34,epa_id,0),epa,'A1(epa)'!$AR$17,FALSE)=0,"",VLOOKUP(MATCH(L34,epa_id,0),epa,'A1(epa)'!$AR$17,FALSE))))</f>
        <v/>
      </c>
      <c r="BW34" s="5591" t="str">
        <f>+IF(L34="","",IF(2010-VLOOKUP(MATCH(L34,epa_id,0),epa,'A1(epa)'!$U$17,FALSE)=0,IF(VLOOKUP(MATCH(L34,epa_id,0),epa,'A1(epa)'!$AV$17,FALSE)=0,"",VLOOKUP(MATCH(L34,epa_id,0),epa,'A1(epa)'!$AV$17,FALSE))))</f>
        <v/>
      </c>
      <c r="BX34" s="5538">
        <f>+IF(L34="","",IF(2010-VLOOKUP(MATCH(L34,epa_id,0),epa,'A1(epa)'!$U$17,FALSE)=0,IF(VLOOKUP(MATCH(L34,epa_id,0),epa,'A1(epa)'!$AW$17,FALSE)=0,"",VLOOKUP(MATCH(L34,epa_id,0),epa,'A1(epa)'!$AW$17,FALSE))))</f>
        <v>250</v>
      </c>
      <c r="BY34" s="5418"/>
      <c r="BZ34" s="5538">
        <f t="shared" si="11"/>
        <v>1413.6341112562859</v>
      </c>
      <c r="CA34" s="5418"/>
      <c r="CB34" s="9584"/>
      <c r="CC34" s="9546"/>
      <c r="CD34" s="9546"/>
      <c r="CE34" s="9585"/>
      <c r="CF34" s="9544"/>
      <c r="CG34" s="9544"/>
      <c r="CH34" s="9586"/>
      <c r="CI34" s="9547"/>
      <c r="CJ34" s="9546"/>
      <c r="CK34" s="9546"/>
      <c r="CL34" s="9545"/>
      <c r="CM34" s="9544"/>
      <c r="CN34" s="9544"/>
      <c r="CO34" s="9586"/>
      <c r="CP34" s="9547"/>
      <c r="CQ34" s="9546"/>
      <c r="CR34" s="9546"/>
      <c r="CS34" s="9545"/>
      <c r="CT34" s="9544"/>
      <c r="CU34" s="9544"/>
      <c r="CV34" s="9559"/>
      <c r="CW34" s="9605"/>
      <c r="CX34" s="9602"/>
      <c r="CY34" s="9599"/>
      <c r="CZ34" s="9546"/>
      <c r="DA34" s="9585">
        <f t="shared" si="12"/>
        <v>0</v>
      </c>
      <c r="DB34" s="9544"/>
      <c r="DC34" s="9544"/>
      <c r="DD34" s="9586"/>
      <c r="DE34" s="9595"/>
      <c r="DF34" s="9595"/>
      <c r="DG34" s="5356"/>
      <c r="DH34" s="5348"/>
      <c r="DI34" s="5348"/>
    </row>
    <row r="35" spans="1:113" s="479" customFormat="1" ht="25.5" customHeight="1">
      <c r="A35" s="5364" t="str">
        <f t="shared" si="13"/>
        <v>8300-05</v>
      </c>
      <c r="B35" s="9571"/>
      <c r="C35" s="5365" t="str">
        <f t="shared" si="2"/>
        <v>CC13</v>
      </c>
      <c r="D35" s="5359"/>
      <c r="E35" s="5351"/>
      <c r="F35" s="5359"/>
      <c r="G35" s="4445">
        <f t="shared" si="17"/>
        <v>17</v>
      </c>
      <c r="H35" s="5498">
        <v>17</v>
      </c>
      <c r="I35" s="9573">
        <f>+IF(L35="","",IF(VLOOKUP(MATCH(L35,tid,0),tao,'12(id)'!$H$20,FALSE)="","",VLOOKUP(MATCH(L35,tid,0),tao,'12(id)'!$H$20,FALSE)))</f>
        <v>8</v>
      </c>
      <c r="J35" s="9520" t="str">
        <f>+IF(L35="","",IF(VLOOKUP(MATCH(L35,tid,0),tao,'12(id)'!$I$20,FALSE)="","",VLOOKUP(MATCH(L35,tid,0),tao,'12(id)'!$I$20,FALSE)))</f>
        <v/>
      </c>
      <c r="K35" s="9518">
        <f>+IF(L35="","",IF(VLOOKUP(MATCH(L35,tid,0),tao,'12(id)'!$K$20,FALSE)="","",VLOOKUP(MATCH(L35,tid,0),tao,'12(id)'!$K$20,FALSE)))</f>
        <v>8300</v>
      </c>
      <c r="L35" s="5494" t="s">
        <v>263</v>
      </c>
      <c r="M35" s="9576" t="str">
        <f>+IF(L35="","",IF(VLOOKUP(MATCH(L35,tid,0),tao,'12(id)'!$L$20,FALSE)="","",VLOOKUP(MATCH(L35,tid,0),tao,'12(id)'!$L$20,FALSE)))</f>
        <v>Cos Cob</v>
      </c>
      <c r="N35" s="5484" t="str">
        <f>+IF(L35="","",IF(VLOOKUP(MATCH(L35,tid,0),tao,'12(id)'!$P$20,FALSE)="","",VLOOKUP(MATCH(L35,tid,0),tao,'12(id)'!$P$20,FALSE)))</f>
        <v>Sound Shore Drive Greenwich-13</v>
      </c>
      <c r="O35" s="5539" t="str">
        <f>+IF(L35="","",IF(VLOOKUP(MATCH(L35,tid,0),tao,'12(id)'!$Q$20,FALSE)="","",VLOOKUP(MATCH(L35,tid,0),tao,'12(id)'!$Q$20,FALSE)))</f>
        <v>CC13</v>
      </c>
      <c r="P35" s="5540">
        <f>+IF(L35="","",IF(VLOOKUP(MATCH(L35,tid,0),tao,'12(id)'!$CT$20,FALSE)="","",VLOOKUP(MATCH(L35,tid,0),tao,'12(id)'!$CT$20,FALSE)))</f>
        <v>20</v>
      </c>
      <c r="Q35" s="9530"/>
      <c r="R35" s="5480" t="str">
        <f>+IF(L35="","",IF(VLOOKUP(MATCH(L35,tid,0),tao,'12(id)'!$T$20,FALSE)="","",VLOOKUP(MATCH(L35,tid,0),tao,'12(id)'!$T$20,FALSE)))</f>
        <v>Combustion Turbine</v>
      </c>
      <c r="S35" s="5481" t="str">
        <f>+IF(L35="","",IF(VLOOKUP(MATCH(L35,tid,0),tao,'12(id)'!$CO$20,FALSE)="","",VLOOKUP(MATCH(L35,tid,0),tao,'12(id)'!$CO$20,FALSE)))</f>
        <v>Pratt &amp; Whitney</v>
      </c>
      <c r="T35" s="5480" t="str">
        <f>+IF(L35="","",IF(VLOOKUP(MATCH(L35,tid,0),tao,'12(id)'!$CP$20,FALSE)="","",VLOOKUP(MATCH(L35,tid,0),tao,'12(id)'!$CP$20,FALSE)))</f>
        <v>FT4-A9</v>
      </c>
      <c r="U35" s="5482">
        <f>+IF(L35="","",IF(VLOOKUP(MATCH(L35,tid,0),tao,'12(id)'!$DC$20,FALSE)="","",IF(VLOOKUP(MATCH(L35,tid,0),tao,'12(id)'!$DB$20,FALSE)="",VLOOKUP(MATCH(L35,tid,0),tao,'12(id)'!$DC$20,FALSE),VLOOKUP(MATCH(L35,tid,0),tao,'12(id)'!$DB$20,FALSE)&amp;" "&amp;VLOOKUP(MATCH(L35,tid,0),tao,'12(id)'!$DC$20,FALSE))))</f>
        <v>1969</v>
      </c>
      <c r="V35" s="5483">
        <f ca="1">+IF(L35="","",IF(VLOOKUP(MATCH(L35,tid,0),tao,'12(id)'!$DE$20,FALSE)="","",ROUND(VLOOKUP(MATCH(L35,tid,0),tao,'12(id)'!$DE$20,FALSE),0)))</f>
        <v>45</v>
      </c>
      <c r="W35" s="5484" t="str">
        <f>+IF(L35="","",IF(VLOOKUP(G35,tao,'12(id)'!$FR$20,FALSE)="","",VLOOKUP(G35,tao,'12(id)'!$FR$20,FALSE)&amp;IF(VLOOKUP(G35,tao,'12(id)'!$FS$20,FALSE)="","",", "&amp;VLOOKUP(G35,tao,'12(id)'!$FS$20,FALSE))))</f>
        <v>Water Injection</v>
      </c>
      <c r="X35" s="5484" t="str">
        <f>+IF(L35="","",IF(VLOOKUP(MATCH(L35,tid,0),tao,'12(id)'!$DI$20,FALSE)="","",VLOOKUP(MATCH(L35,tid,0),tao,'12(id)'!$DI$20,FALSE)))</f>
        <v>Ultra low sulfur kerosene  oil (ULSD)</v>
      </c>
      <c r="Y35" s="5484" t="str">
        <f>+IF(L35="","",IF(VLOOKUP(MATCH(L35,tid,0),tao,'12(id)'!$DQ$20,FALSE)="","",VLOOKUP(MATCH(L35,tid,0),tao,'12(id)'!$DQ$20,FALSE)))</f>
        <v>Natural Gas</v>
      </c>
      <c r="Z35" s="5485">
        <f>+IF(L35="","",IF(VLOOKUP(MATCH(L35,tid,0),tao,'12(id)'!$EH$20,FALSE)="","",VLOOKUP(MATCH(L35,tid,0),tao,'12(id)'!$EH$20,FALSE)))</f>
        <v>256</v>
      </c>
      <c r="AA35" s="5486">
        <f>+IF(L35="","",IF(VLOOKUP(MATCH(L35,tid,0),tao,'12(id)'!$EI$20,FALSE)="","",VLOOKUP(MATCH(L35,tid,0),tao,'12(id)'!$EI$20,FALSE)))</f>
        <v>0.19400000000000001</v>
      </c>
      <c r="AB35" s="5486" t="str">
        <f>+IF(L35="","",IF(VLOOKUP(MATCH(L35,tid,0),tao,'12(id)'!$EJ$20,FALSE)="","",VLOOKUP(MATCH(L35,tid,0),tao,'12(id)'!$EJ$20,FALSE)))</f>
        <v/>
      </c>
      <c r="AC35" s="5487">
        <f>+IF(L35="","",IF(VLOOKUP(MATCH(L35,tid,0),tao,'12(id)'!$EL$20,FALSE)="","",VLOOKUP(MATCH(L35,tid,0),tao,'12(id)'!$EL$20,FALSE)))</f>
        <v>0.22</v>
      </c>
      <c r="AD35" s="5488"/>
      <c r="AE35" s="5489">
        <f t="shared" si="3"/>
        <v>0.19400000000000001</v>
      </c>
      <c r="AF35" s="5488" t="str">
        <f t="shared" si="4"/>
        <v/>
      </c>
      <c r="AG35" s="5490" t="str">
        <f>+IF(L35="","",IF(VLOOKUP(MATCH(L35,tid,0),tao,'12(id)'!$GY$20,FALSE)="","",VLOOKUP(MATCH(L35,tid,0),tao,'12(id)'!$GY$20,FALSE)))</f>
        <v/>
      </c>
      <c r="AH35" s="5491" t="str">
        <f>+IF(L35="","",IF(VLOOKUP(MATCH(L35,tid,0),tao,'12(id)'!$HL$20,FALSE)="","",VLOOKUP(MATCH(L35,tid,0),tao,'12(id)'!$HL$20,FALSE)))</f>
        <v/>
      </c>
      <c r="AI35" s="5492">
        <f>+IF(L35="","",IF(2010-VLOOKUP(MATCH(L35,epa_id,0),epa,'A1(epa)'!$U$17,FALSE)=0,IF(VLOOKUP(MATCH(L35,epa_id,0),epa,'A1(epa)'!$U$17,FALSE)=0,"",VLOOKUP(MATCH(L35,epa_id,0),epa,'A1(epa)'!$U$17,FALSE))))</f>
        <v>2010</v>
      </c>
      <c r="AJ35" s="5646">
        <f>+IF(L35="","",IF(2010-VLOOKUP(MATCH(L35,epa_id,0),epa,'A1(epa)'!$U$17,FALSE)=0,IF(VLOOKUP(MATCH(L35,epa_id,0),epa,'A1(epa)'!$W$17,FALSE)=0,"",VLOOKUP(MATCH(L35,epa_id,0),epa,'A1(epa)'!$W$17,FALSE))))</f>
        <v>35</v>
      </c>
      <c r="AK35" s="5493">
        <f>+IF(L35="","",IF(2010-VLOOKUP(MATCH(L35,epa_id,0),epa,'A1(epa)'!$U$17,FALSE)=0,IF(VLOOKUP(MATCH(L35,epa_id,0),epa,'A1(epa)'!$X$17,FALSE)=0,"",VLOOKUP(MATCH(L35,epa_id,0),epa,'A1(epa)'!$X$17,FALSE))))</f>
        <v>5</v>
      </c>
      <c r="AL35" s="5646">
        <f>+IF(L35="","",IF(2010-VLOOKUP(MATCH(L35,epa_id,0),epa,'A1(epa)'!$U$17,FALSE)=0,IF(VLOOKUP(MATCH(L35,epa_id,0),epa,'A1(epa)'!$Y$17,FALSE)=0,"",VLOOKUP(MATCH(L35,epa_id,0),epa,'A1(epa)'!$Y$17,FALSE))))</f>
        <v>476</v>
      </c>
      <c r="AM35" s="5776">
        <f>+IF(L35="","",IF(2010-VLOOKUP(MATCH(L35,epa_id,0),epa,'A1(epa)'!$U$17,FALSE)=0,IF(VLOOKUP(MATCH(L35,epa_id,0),epa,'A1(epa)'!$AA$17,FALSE)=0,"",VLOOKUP(MATCH(L35,epa_id,0),epa,'A1(epa)'!$AA$17,FALSE))))</f>
        <v>1.2</v>
      </c>
      <c r="AN35" s="5777">
        <f>+IF(L35="","",IF(2010-VLOOKUP(MATCH(L35,epa_id,0),epa,'A1(epa)'!$U$17,FALSE)=0,IF(VLOOKUP(MATCH(L35,epa_id,0),epa,'A1(epa)'!$AB$17,FALSE)=0,"",VLOOKUP(MATCH(L35,epa_id,0),epa,'A1(epa)'!$AB$17,FALSE))))</f>
        <v>6.5</v>
      </c>
      <c r="AO35" s="5778">
        <f t="shared" si="14"/>
        <v>0.19400000000000001</v>
      </c>
      <c r="AP35" s="5779">
        <f t="shared" si="5"/>
        <v>1.0507039999999999</v>
      </c>
      <c r="AQ35" s="5780">
        <f t="shared" si="6"/>
        <v>2207.3613445378146</v>
      </c>
      <c r="AR35" s="5646">
        <f>+IF(L35="","",IF(2010-VLOOKUP(MATCH(L35,epa_id,0),epa,'A1(epa)'!$U$17,FALSE)=0,IF(VLOOKUP(MATCH(L35,epa_id,0),epa,'A1(epa)'!$AC$17,FALSE)=0,"",VLOOKUP(MATCH(L35,epa_id,0),epa,'A1(epa)'!$AC$17,FALSE))))</f>
        <v>10832</v>
      </c>
      <c r="AS35" s="5484" t="str">
        <f>+IF(L35="","",IF(2010-VLOOKUP(MATCH(L35,epa_id,0),epa,'A1(epa)'!$U$17,FALSE)=0,IF(VLOOKUP(MATCH(L35,epa_id,0),epa,'A1(epa)'!$AP$17,FALSE)=0,"",VLOOKUP(MATCH(L35,epa_id,0),epa,'A1(epa)'!$AP$17,FALSE))))</f>
        <v>Other Oil</v>
      </c>
      <c r="AT35" s="5616" t="str">
        <f>+IF(L35="","",IF(2010-VLOOKUP(MATCH(L35,epa_id,0),epa,'A1(epa)'!$U$17,FALSE)=0,IF(VLOOKUP(MATCH(L35,epa_id,0),epa,'A1(epa)'!$AQ$17,FALSE)=0,"",VLOOKUP(MATCH(L35,epa_id,0),epa,'A1(epa)'!$AQ$17,FALSE))))</f>
        <v/>
      </c>
      <c r="AU35" s="5492">
        <f>+IF(L35="","",IF(2009-VLOOKUP(MATCH(L35,epa_id,0)+1,epa,'A1(epa)'!$U$17,FALSE)=0,IF(VLOOKUP(MATCH(L35,epa_id,0)+1,epa,'A1(epa)'!$U$17,FALSE)=0,"",VLOOKUP(MATCH(L35,epa_id,0)+1,epa,'A1(epa)'!$U$17,FALSE))))</f>
        <v>2009</v>
      </c>
      <c r="AV35" s="5482">
        <f>+IF(L35="","",IF(2009-VLOOKUP(MATCH(L35,epa_id,0)+1,epa,'A1(epa)'!$U$17,FALSE)=0,IF(VLOOKUP(MATCH(L35,epa_id,0)+1,epa,'A1(epa)'!$W$17,FALSE)=0,"",VLOOKUP(MATCH(L35,epa_id,0)+1,epa,'A1(epa)'!$W$17,FALSE))))</f>
        <v>8</v>
      </c>
      <c r="AW35" s="5494">
        <f>+IF(L35="","",IF(2009-VLOOKUP(MATCH(L35,epa_id,0)+1,epa,'A1(epa)'!$U$17,FALSE)=0,IF(VLOOKUP(MATCH(L35,epa_id,0)+1,epa,'A1(epa)'!$X$17,FALSE)=0,"",VLOOKUP(MATCH(L35,epa_id,0)+1,epa,'A1(epa)'!$X$17,FALSE))))</f>
        <v>5</v>
      </c>
      <c r="AX35" s="5646">
        <f>+IF(L35="","",IF(2009-VLOOKUP(MATCH(L35,epa_id,0)+1,epa,'A1(epa)'!$U$17,FALSE)=0,IF(VLOOKUP(MATCH(L35,epa_id,0)+1,epa,'A1(epa)'!$Y$17,FALSE)=0,"",VLOOKUP(MATCH(L35,epa_id,0)+1,epa,'A1(epa)'!$Y$17,FALSE))))</f>
        <v>155</v>
      </c>
      <c r="AY35" s="5670">
        <f>+IF(L35="","",IF(2009-VLOOKUP(MATCH(L35,epa_id,0)+1,epa,'A1(epa)'!$U$17,FALSE)=0,IF(VLOOKUP(MATCH(L35,epa_id,0)+1,epa,'A1(epa)'!$AA$17,FALSE)=0,"",VLOOKUP(MATCH(L35,epa_id,0)+1,epa,'A1(epa)'!$AA$17,FALSE))))</f>
        <v>1.2</v>
      </c>
      <c r="AZ35" s="5671">
        <f>+IF(L35="","",IF(2009-VLOOKUP(MATCH(L35,epa_id,0)+1,epa,'A1(epa)'!$U$17,FALSE)=0,IF(VLOOKUP(MATCH(L35,epa_id,0)+1,epa,'A1(epa)'!$AB$17,FALSE)=0,"",VLOOKUP(MATCH(L35,epa_id,0)+1,epa,'A1(epa)'!$AB$17,FALSE))))</f>
        <v>1.6</v>
      </c>
      <c r="BA35" s="5672">
        <f t="shared" si="15"/>
        <v>0.19400000000000001</v>
      </c>
      <c r="BB35" s="5673">
        <f t="shared" si="7"/>
        <v>0.25239400000000001</v>
      </c>
      <c r="BC35" s="5496">
        <f t="shared" si="8"/>
        <v>1628.3483870967741</v>
      </c>
      <c r="BD35" s="5646">
        <f>+IF(L35="","",IF(2009-VLOOKUP(MATCH(L35,epa_id,0)+1,epa,'A1(epa)'!$U$17,FALSE)=0,IF(VLOOKUP(MATCH(L35,epa_id,0)+1,epa,'A1(epa)'!$AC$17,FALSE)=0,"",VLOOKUP(MATCH(L35,epa_id,0)+1,epa,'A1(epa)'!$AC$17,FALSE))))</f>
        <v>2602</v>
      </c>
      <c r="BE35" s="5494" t="str">
        <f>+IF(L35="","",IF(2009-VLOOKUP(MATCH(L35,epa_id,0)+1,epa,'A1(epa)'!$U$17,FALSE)=0,IF(VLOOKUP(MATCH(L35,epa_id,0)+1,epa,'A1(epa)'!$AP$17,FALSE)=0,"",VLOOKUP(MATCH(L35,epa_id,0)+1,epa,'A1(epa)'!$AP$17,FALSE))))</f>
        <v>Other Oil</v>
      </c>
      <c r="BF35" s="5495" t="str">
        <f>+IF(L35="","",IF(2009-VLOOKUP(MATCH(L35,epa_id,0)+1,epa,'A1(epa)'!$U$17,FALSE)=0,IF(VLOOKUP(MATCH(L35,epa_id,0)+1,epa,'A1(epa)'!$AQ$17,FALSE)=0,"",VLOOKUP(MATCH(L35,epa_id,0)+1,epa,'A1(epa)'!$AQ$17,FALSE))))</f>
        <v/>
      </c>
      <c r="BG35" s="5497">
        <f>+IF(L35="","",IF(2008-VLOOKUP(MATCH(L35,epa_id,0)+2,epa,'A1(epa)'!$U$17,FALSE)=0,IF(VLOOKUP(MATCH(L35,epa_id,0)+2,epa,'A1(epa)'!$U$17,FALSE)=0,"",VLOOKUP(MATCH(L35,epa_id,0)+2,epa,'A1(epa)'!$U$17,FALSE))))</f>
        <v>2008</v>
      </c>
      <c r="BH35" s="5494">
        <f>+IF(L35="","",IF(2008-VLOOKUP(MATCH(L35,epa_id,0)+2,epa,'A1(epa)'!$U$17,FALSE)=0,IF(VLOOKUP(MATCH(L35,epa_id,0)+2,epa,'A1(epa)'!$W$17,FALSE)=0,"",VLOOKUP(MATCH(L35,epa_id,0)+2,epa,'A1(epa)'!$W$17,FALSE))))</f>
        <v>4</v>
      </c>
      <c r="BI35" s="5494">
        <f>+IF(L35="","",IF(2008-VLOOKUP(MATCH(L35,epa_id,0)+2,epa,'A1(epa)'!$U$17,FALSE)=0,IF(VLOOKUP(MATCH(L35,epa_id,0)+2,epa,'A1(epa)'!$X$17,FALSE)=0,"",VLOOKUP(MATCH(L35,epa_id,0)+2,epa,'A1(epa)'!$X$17,FALSE))))</f>
        <v>5</v>
      </c>
      <c r="BJ35" s="5646">
        <f>+IF(L35="","",IF(2008-VLOOKUP(MATCH(L35,epa_id,0)+2,epa,'A1(epa)'!$U$17,FALSE)=0,IF(VLOOKUP(MATCH(L35,epa_id,0)+2,epa,'A1(epa)'!$Y$17,FALSE)=0,"",VLOOKUP(MATCH(L35,epa_id,0)+2,epa,'A1(epa)'!$Y$17,FALSE))))</f>
        <v>93</v>
      </c>
      <c r="BK35" s="5670">
        <f>+IF(L35="","",IF(2008-VLOOKUP(MATCH(L35,epa_id,0)+2,epa,'A1(epa)'!$U$17,FALSE)=0,IF(VLOOKUP(MATCH(L35,epa_id,0)+2,epa,'A1(epa)'!$AA$17,FALSE)=0,"",VLOOKUP(MATCH(L35,epa_id,0)+2,epa,'A1(epa)'!$AA$17,FALSE))))</f>
        <v>1.2</v>
      </c>
      <c r="BL35" s="5671">
        <f>+IF(L35="","",IF(2008-VLOOKUP(MATCH(L35,epa_id,0)+2,epa,'A1(epa)'!$U$17,FALSE)=0,IF(VLOOKUP(MATCH(L35,epa_id,0)+2,epa,'A1(epa)'!$AB$17,FALSE)=0,"",VLOOKUP(MATCH(L35,epa_id,0)+2,epa,'A1(epa)'!$AB$17,FALSE))))</f>
        <v>0.8</v>
      </c>
      <c r="BM35" s="5719">
        <f t="shared" si="16"/>
        <v>0.19400000000000001</v>
      </c>
      <c r="BN35" s="5720">
        <f t="shared" si="9"/>
        <v>0.13269600000000001</v>
      </c>
      <c r="BO35" s="5721">
        <f t="shared" si="10"/>
        <v>1426.8387096774193</v>
      </c>
      <c r="BP35" s="5632">
        <f>+IF(L35="","",IF(2008-VLOOKUP(MATCH(L35,epa_id,0)+2,epa,'A1(epa)'!$U$17,FALSE)=0,IF(VLOOKUP(MATCH(L35,epa_id,0)+2,epa,'A1(epa)'!$AC$17,FALSE)=0,"",VLOOKUP(MATCH(L35,epa_id,0)+2,epa,'A1(epa)'!$AC$17,FALSE))))</f>
        <v>1368</v>
      </c>
      <c r="BQ35" s="5603" t="str">
        <f>+IF(L35="","",IF(2008-VLOOKUP(MATCH(L35,epa_id,0)+2,epa,'A1(epa)'!$U$17,FALSE)=0,IF(VLOOKUP(MATCH(L35,epa_id,0)+2,epa,'A1(epa)'!$AP$17,FALSE)=0,"",VLOOKUP(MATCH(L35,epa_id,0)+2,epa,'A1(epa)'!$AP$17,FALSE))))</f>
        <v>Other Oil</v>
      </c>
      <c r="BR35" s="5616" t="str">
        <f>+IF(L35="","",IF(2008-VLOOKUP(MATCH(L35,epa_id,0)+2,epa,'A1(epa)'!$U$17,FALSE)=0,IF(VLOOKUP(MATCH(L35,epa_id,0)+2,epa,'A1(epa)'!$AQ$17,FALSE)=0,"",VLOOKUP(MATCH(L35,epa_id,0)+2,epa,'A1(epa)'!$AQ$17,FALSE))))</f>
        <v/>
      </c>
      <c r="BS35" s="5603" t="str">
        <f>+IF(L35="","",IF(2010-VLOOKUP(MATCH(L35,epa_id,0),epa,'A1(epa)'!$U$17,FALSE)=0,IF(VLOOKUP(MATCH(L35,epa_id,0),epa,'A1(epa)'!$AS$17,FALSE)=0,"",VLOOKUP(MATCH(L35,epa_id,0),epa,'A1(epa)'!$AS$17,FALSE))))</f>
        <v>Water Injection</v>
      </c>
      <c r="BT35" s="5484" t="str">
        <f>+IF(L35="","",IF(2010-VLOOKUP(MATCH(L35,epa_id,0),epa,'A1(epa)'!$U$17,FALSE)=0,IF(VLOOKUP(MATCH(L35,epa_id,0),epa,'A1(epa)'!$AT$17,FALSE)=0,"",VLOOKUP(MATCH(L35,epa_id,0),epa,'A1(epa)'!$AT$17,FALSE))))</f>
        <v/>
      </c>
      <c r="BU35" s="5484" t="str">
        <f>+IF(L35="","",IF(2010-VLOOKUP(MATCH(L35,epa_id,0),epa,'A1(epa)'!$U$17,FALSE)=0,IF(VLOOKUP(MATCH(L35,epa_id,0),epa,'A1(epa)'!$AU$17,FALSE)=0,"",VLOOKUP(MATCH(L35,epa_id,0),epa,'A1(epa)'!$AU$17,FALSE))))</f>
        <v/>
      </c>
      <c r="BV35" s="5484" t="str">
        <f>+IF(L35="","",IF(2010-VLOOKUP(MATCH(L35,epa_id,0),epa,'A1(epa)'!$U$17,FALSE)=0,IF(VLOOKUP(MATCH(L35,epa_id,0),epa,'A1(epa)'!$AR$17,FALSE)=0,"",VLOOKUP(MATCH(L35,epa_id,0),epa,'A1(epa)'!$AR$17,FALSE))))</f>
        <v/>
      </c>
      <c r="BW35" s="5589" t="str">
        <f>+IF(L35="","",IF(2010-VLOOKUP(MATCH(L35,epa_id,0),epa,'A1(epa)'!$U$17,FALSE)=0,IF(VLOOKUP(MATCH(L35,epa_id,0),epa,'A1(epa)'!$AV$17,FALSE)=0,"",VLOOKUP(MATCH(L35,epa_id,0),epa,'A1(epa)'!$AV$17,FALSE))))</f>
        <v/>
      </c>
      <c r="BX35" s="5499">
        <f>+IF(L35="","",IF(2010-VLOOKUP(MATCH(L35,epa_id,0),epa,'A1(epa)'!$U$17,FALSE)=0,IF(VLOOKUP(MATCH(L35,epa_id,0),epa,'A1(epa)'!$AW$17,FALSE)=0,"",VLOOKUP(MATCH(L35,epa_id,0),epa,'A1(epa)'!$AW$17,FALSE))))</f>
        <v>308</v>
      </c>
      <c r="BY35" s="5417"/>
      <c r="BZ35" s="574">
        <f t="shared" si="11"/>
        <v>1754.1828137706696</v>
      </c>
      <c r="CA35" s="5417"/>
      <c r="CB35" s="9552">
        <f>+IF(AJ35="","",MAX(AJ35))</f>
        <v>35</v>
      </c>
      <c r="CC35" s="9555">
        <f>+IF(AL35="","",MAX(AL35))</f>
        <v>476</v>
      </c>
      <c r="CD35" s="9555">
        <f>+IF(AR35="","",MAX(AR35))</f>
        <v>10832</v>
      </c>
      <c r="CE35" s="9556">
        <f>+IF(AP35="","",MAX(AP35))</f>
        <v>1.0507039999999999</v>
      </c>
      <c r="CF35" s="9531">
        <f>+(IF($CD$35=AR35,AO35,0)+IF($CD$35=AR36,AO36,0))</f>
        <v>0.19400000000000001</v>
      </c>
      <c r="CG35" s="9569">
        <f>IF(OR(CD35="",CE35=""),"",2000/CD35*CE35)</f>
        <v>0.19399999999999998</v>
      </c>
      <c r="CH35" s="9560">
        <f>+IF(CG35="","",CG35/CB35)</f>
        <v>5.5428571428571419E-3</v>
      </c>
      <c r="CI35" s="9540">
        <f>+IF(AV35="","",MAX(AV35:AV36))</f>
        <v>13</v>
      </c>
      <c r="CJ35" s="9537">
        <f>+IF(AX35="","",MAX(AX35:AX36))</f>
        <v>209</v>
      </c>
      <c r="CK35" s="9537">
        <f>+IF(BD35="","",MAX(BD35:BD36))</f>
        <v>4118</v>
      </c>
      <c r="CL35" s="9534">
        <f>+IF(BB35="","",MAX(BB35:BB36))</f>
        <v>0.35208899999999999</v>
      </c>
      <c r="CM35" s="9531">
        <f>+(IF($CK$35=BD35,BA35,0)+IF($CK$35=BD36,BA36,0))</f>
        <v>0.17100000000000001</v>
      </c>
      <c r="CN35" s="9531">
        <f>IF(OR(CK35="",CL35=""),"",2000/CK35*CL35)</f>
        <v>0.17099999999999999</v>
      </c>
      <c r="CO35" s="9560">
        <f>+IF(CN35="","",CN35/CI35)</f>
        <v>1.3153846153846153E-2</v>
      </c>
      <c r="CP35" s="9540">
        <f>+IF(BH35="","",MAX(BH35))</f>
        <v>4</v>
      </c>
      <c r="CQ35" s="9537">
        <f>+IF(BJ35="","",MAX(BJ35))</f>
        <v>93</v>
      </c>
      <c r="CR35" s="9537">
        <f>+IF(BP35="","",MAX(BP35))</f>
        <v>1368</v>
      </c>
      <c r="CS35" s="9534">
        <f>+IF(BN35="","",MAX(BN35))</f>
        <v>0.13269600000000001</v>
      </c>
      <c r="CT35" s="7799">
        <f>+(IF($CR$20=BP35,BM35,0)+IF($CR$20=BP36,BM36,0))</f>
        <v>0</v>
      </c>
      <c r="CU35" s="9531">
        <f>IF(OR(CR35="",CS35=""),"",2000/CR35*CS35)</f>
        <v>0.19400000000000001</v>
      </c>
      <c r="CV35" s="9549">
        <f>+IF(CU35="","",CU35/CP35)</f>
        <v>4.8500000000000001E-2</v>
      </c>
      <c r="CW35" s="9603">
        <f>+IF(DA35="","",IF(DA35=CE35,AI35,IF(DA35=CL35,AU35,IF(DA35=CS35,BG35))))</f>
        <v>2010</v>
      </c>
      <c r="CX35" s="9600">
        <f>+IF(DA35="","",IF(DA35=CE35,CB35,IF(DA35=CL35,CI35,IF(DA35=CS35,CP35))))</f>
        <v>35</v>
      </c>
      <c r="CY35" s="9597">
        <f>+IF(DA35="","",IF(DA35=CE35,CC35,IF(DA35=CL35,CJ35,IF(DA35=CS35,CQ35))))</f>
        <v>476</v>
      </c>
      <c r="CZ35" s="9537">
        <f>+IF(DA35="","",IF(DA35=CE35,CD35,IF(DA35=CL35,CK35,IF(DA35=CS35,CR35))))</f>
        <v>10832</v>
      </c>
      <c r="DA35" s="9556">
        <f t="shared" si="12"/>
        <v>1.0507039999999999</v>
      </c>
      <c r="DB35" s="9531">
        <f>+IF(DA35="","",IF(DA35=CE35,CF35,IF(DA35=CL35,CM35,IF(DA35=CS35,CT35))))</f>
        <v>0.19400000000000001</v>
      </c>
      <c r="DC35" s="9531">
        <f>ROUND(2000*DA35/CZ35,3)</f>
        <v>0.19400000000000001</v>
      </c>
      <c r="DD35" s="9560">
        <f>+IF(CX35="","",DA35/CX35)</f>
        <v>3.0020114285714283E-2</v>
      </c>
      <c r="DE35" s="9593">
        <f>+IF(DD35="","",DD35*$DE$15)</f>
        <v>1.5010057142857141</v>
      </c>
      <c r="DF35" s="9593"/>
      <c r="DG35" s="5356"/>
      <c r="DH35" s="5348"/>
      <c r="DI35" s="5348"/>
    </row>
    <row r="36" spans="1:113" s="479" customFormat="1" ht="25.5" customHeight="1">
      <c r="A36" s="5364" t="str">
        <f t="shared" si="13"/>
        <v>8300-06</v>
      </c>
      <c r="B36" s="9571"/>
      <c r="C36" s="5365" t="str">
        <f t="shared" si="2"/>
        <v>CC14</v>
      </c>
      <c r="D36" s="5359"/>
      <c r="E36" s="5351"/>
      <c r="F36" s="5359"/>
      <c r="G36" s="4445">
        <f t="shared" si="17"/>
        <v>18</v>
      </c>
      <c r="H36" s="5537">
        <v>18</v>
      </c>
      <c r="I36" s="9575"/>
      <c r="J36" s="9520" t="str">
        <f>+IF(L36="","",IF(VLOOKUP(MATCH(L36,tid,0),tao,'12(id)'!$I$20,FALSE)="","",VLOOKUP(MATCH(L36,tid,0),tao,'12(id)'!$I$20,FALSE)))</f>
        <v/>
      </c>
      <c r="K36" s="9518">
        <f>+IF(L36="","",IF(VLOOKUP(MATCH(L36,tid,0),tao,'12(id)'!$K$20,FALSE)="","",VLOOKUP(MATCH(L36,tid,0),tao,'12(id)'!$K$20,FALSE)))</f>
        <v>8300</v>
      </c>
      <c r="L36" s="5533" t="s">
        <v>264</v>
      </c>
      <c r="M36" s="9527" t="str">
        <f>+IF(L36="","",IF(VLOOKUP(MATCH(L36,tid,0),tao,'12(id)'!$L$20,FALSE)="","",VLOOKUP(MATCH(L36,tid,0),tao,'12(id)'!$L$20,FALSE)))</f>
        <v>Cos Cob</v>
      </c>
      <c r="N36" s="5523" t="str">
        <f>+IF(L36="","",IF(VLOOKUP(MATCH(L36,tid,0),tao,'12(id)'!$P$20,FALSE)="","",VLOOKUP(MATCH(L36,tid,0),tao,'12(id)'!$P$20,FALSE)))</f>
        <v>Sound Shore Drive Greenwich-14</v>
      </c>
      <c r="O36" s="5543" t="str">
        <f>+IF(L36="","",IF(VLOOKUP(MATCH(L36,tid,0),tao,'12(id)'!$Q$20,FALSE)="","",VLOOKUP(MATCH(L36,tid,0),tao,'12(id)'!$Q$20,FALSE)))</f>
        <v>CC14</v>
      </c>
      <c r="P36" s="5544">
        <f>+IF(L36="","",IF(VLOOKUP(MATCH(L36,tid,0),tao,'12(id)'!$CT$20,FALSE)="","",VLOOKUP(MATCH(L36,tid,0),tao,'12(id)'!$CT$20,FALSE)))</f>
        <v>20</v>
      </c>
      <c r="Q36" s="9530"/>
      <c r="R36" s="5519" t="str">
        <f>+IF(L36="","",IF(VLOOKUP(MATCH(L36,tid,0),tao,'12(id)'!$T$20,FALSE)="","",VLOOKUP(MATCH(L36,tid,0),tao,'12(id)'!$T$20,FALSE)))</f>
        <v>Combustion Turbine</v>
      </c>
      <c r="S36" s="5520" t="str">
        <f>+IF(L36="","",IF(VLOOKUP(MATCH(L36,tid,0),tao,'12(id)'!$CO$20,FALSE)="","",VLOOKUP(MATCH(L36,tid,0),tao,'12(id)'!$CO$20,FALSE)))</f>
        <v>Pratt &amp; Whitney</v>
      </c>
      <c r="T36" s="5519" t="str">
        <f>+IF(L36="","",IF(VLOOKUP(MATCH(L36,tid,0),tao,'12(id)'!$CP$20,FALSE)="","",VLOOKUP(MATCH(L36,tid,0),tao,'12(id)'!$CP$20,FALSE)))</f>
        <v>FT4-A9</v>
      </c>
      <c r="U36" s="5521">
        <f>+IF(L36="","",IF(VLOOKUP(MATCH(L36,tid,0),tao,'12(id)'!$DC$20,FALSE)="","",IF(VLOOKUP(MATCH(L36,tid,0),tao,'12(id)'!$DB$20,FALSE)="",VLOOKUP(MATCH(L36,tid,0),tao,'12(id)'!$DC$20,FALSE),VLOOKUP(MATCH(L36,tid,0),tao,'12(id)'!$DB$20,FALSE)&amp;" "&amp;VLOOKUP(MATCH(L36,tid,0),tao,'12(id)'!$DC$20,FALSE))))</f>
        <v>1969</v>
      </c>
      <c r="V36" s="5522">
        <f ca="1">+IF(L36="","",IF(VLOOKUP(MATCH(L36,tid,0),tao,'12(id)'!$DE$20,FALSE)="","",ROUND(VLOOKUP(MATCH(L36,tid,0),tao,'12(id)'!$DE$20,FALSE),0)))</f>
        <v>45</v>
      </c>
      <c r="W36" s="5523" t="str">
        <f>+IF(L36="","",IF(VLOOKUP(G36,tao,'12(id)'!$FR$20,FALSE)="","",VLOOKUP(G36,tao,'12(id)'!$FR$20,FALSE)&amp;IF(VLOOKUP(G36,tao,'12(id)'!$FS$20,FALSE)="","",", "&amp;VLOOKUP(G36,tao,'12(id)'!$FS$20,FALSE))))</f>
        <v>Water Injection</v>
      </c>
      <c r="X36" s="5523" t="str">
        <f>+IF(L36="","",IF(VLOOKUP(MATCH(L36,tid,0),tao,'12(id)'!$DI$20,FALSE)="","",VLOOKUP(MATCH(L36,tid,0),tao,'12(id)'!$DI$20,FALSE)))</f>
        <v>Ultra low sulfur kerosene  oil (ULSD)</v>
      </c>
      <c r="Y36" s="5523" t="str">
        <f>+IF(L36="","",IF(VLOOKUP(MATCH(L36,tid,0),tao,'12(id)'!$DQ$20,FALSE)="","",VLOOKUP(MATCH(L36,tid,0),tao,'12(id)'!$DQ$20,FALSE)))</f>
        <v>Natural Gas</v>
      </c>
      <c r="Z36" s="5524">
        <f>+IF(L36="","",IF(VLOOKUP(MATCH(L36,tid,0),tao,'12(id)'!$EH$20,FALSE)="","",VLOOKUP(MATCH(L36,tid,0),tao,'12(id)'!$EH$20,FALSE)))</f>
        <v>256</v>
      </c>
      <c r="AA36" s="5525">
        <f>+IF(L36="","",IF(VLOOKUP(MATCH(L36,tid,0),tao,'12(id)'!$EI$20,FALSE)="","",VLOOKUP(MATCH(L36,tid,0),tao,'12(id)'!$EI$20,FALSE)))</f>
        <v>0.17100000000000001</v>
      </c>
      <c r="AB36" s="5525" t="str">
        <f>+IF(L36="","",IF(VLOOKUP(MATCH(L36,tid,0),tao,'12(id)'!$EJ$20,FALSE)="","",VLOOKUP(MATCH(L36,tid,0),tao,'12(id)'!$EJ$20,FALSE)))</f>
        <v/>
      </c>
      <c r="AC36" s="5526">
        <f>+IF(L36="","",IF(VLOOKUP(MATCH(L36,tid,0),tao,'12(id)'!$EL$20,FALSE)="","",VLOOKUP(MATCH(L36,tid,0),tao,'12(id)'!$EL$20,FALSE)))</f>
        <v>0.22</v>
      </c>
      <c r="AD36" s="5527"/>
      <c r="AE36" s="5528">
        <f t="shared" si="3"/>
        <v>0.17100000000000001</v>
      </c>
      <c r="AF36" s="5527" t="str">
        <f t="shared" si="4"/>
        <v/>
      </c>
      <c r="AG36" s="5529" t="str">
        <f>+IF(L36="","",IF(VLOOKUP(MATCH(L36,tid,0),tao,'12(id)'!$GY$20,FALSE)="","",VLOOKUP(MATCH(L36,tid,0),tao,'12(id)'!$GY$20,FALSE)))</f>
        <v/>
      </c>
      <c r="AH36" s="5530" t="str">
        <f>+IF(L36="","",IF(VLOOKUP(MATCH(L36,tid,0),tao,'12(id)'!$HL$20,FALSE)="","",VLOOKUP(MATCH(L36,tid,0),tao,'12(id)'!$HL$20,FALSE)))</f>
        <v/>
      </c>
      <c r="AI36" s="5531">
        <f>+IF(L36="","",IF(2010-VLOOKUP(MATCH(L36,epa_id,0),epa,'A1(epa)'!$U$17,FALSE)=0,IF(VLOOKUP(MATCH(L36,epa_id,0),epa,'A1(epa)'!$U$17,FALSE)=0,"",VLOOKUP(MATCH(L36,epa_id,0),epa,'A1(epa)'!$U$17,FALSE))))</f>
        <v>2010</v>
      </c>
      <c r="AJ36" s="5648">
        <f>+IF(L36="","",IF(2010-VLOOKUP(MATCH(L36,epa_id,0),epa,'A1(epa)'!$U$17,FALSE)=0,IF(VLOOKUP(MATCH(L36,epa_id,0),epa,'A1(epa)'!$W$17,FALSE)=0,"",VLOOKUP(MATCH(L36,epa_id,0),epa,'A1(epa)'!$W$17,FALSE))))</f>
        <v>42</v>
      </c>
      <c r="AK36" s="5532">
        <f>+IF(L36="","",IF(2010-VLOOKUP(MATCH(L36,epa_id,0),epa,'A1(epa)'!$U$17,FALSE)=0,IF(VLOOKUP(MATCH(L36,epa_id,0),epa,'A1(epa)'!$X$17,FALSE)=0,"",VLOOKUP(MATCH(L36,epa_id,0),epa,'A1(epa)'!$X$17,FALSE))))</f>
        <v>5</v>
      </c>
      <c r="AL36" s="5648">
        <f>+IF(L36="","",IF(2010-VLOOKUP(MATCH(L36,epa_id,0),epa,'A1(epa)'!$U$17,FALSE)=0,IF(VLOOKUP(MATCH(L36,epa_id,0),epa,'A1(epa)'!$Y$17,FALSE)=0,"",VLOOKUP(MATCH(L36,epa_id,0),epa,'A1(epa)'!$Y$17,FALSE))))</f>
        <v>604</v>
      </c>
      <c r="AM36" s="5786">
        <f>+IF(L36="","",IF(2010-VLOOKUP(MATCH(L36,epa_id,0),epa,'A1(epa)'!$U$17,FALSE)=0,IF(VLOOKUP(MATCH(L36,epa_id,0),epa,'A1(epa)'!$AA$17,FALSE)=0,"",VLOOKUP(MATCH(L36,epa_id,0),epa,'A1(epa)'!$AA$17,FALSE))))</f>
        <v>1.2</v>
      </c>
      <c r="AN36" s="5787">
        <f>+IF(L36="","",IF(2010-VLOOKUP(MATCH(L36,epa_id,0),epa,'A1(epa)'!$U$17,FALSE)=0,IF(VLOOKUP(MATCH(L36,epa_id,0),epa,'A1(epa)'!$AB$17,FALSE)=0,"",VLOOKUP(MATCH(L36,epa_id,0),epa,'A1(epa)'!$AB$17,FALSE))))</f>
        <v>7.8</v>
      </c>
      <c r="AO36" s="5788">
        <f t="shared" si="14"/>
        <v>0.17100000000000001</v>
      </c>
      <c r="AP36" s="5789">
        <f t="shared" si="5"/>
        <v>1.1086784999999999</v>
      </c>
      <c r="AQ36" s="5790">
        <f t="shared" si="6"/>
        <v>1835.5604304635763</v>
      </c>
      <c r="AR36" s="5648">
        <f>+IF(L36="","",IF(2010-VLOOKUP(MATCH(L36,epa_id,0),epa,'A1(epa)'!$U$17,FALSE)=0,IF(VLOOKUP(MATCH(L36,epa_id,0),epa,'A1(epa)'!$AC$17,FALSE)=0,"",VLOOKUP(MATCH(L36,epa_id,0),epa,'A1(epa)'!$AC$17,FALSE))))</f>
        <v>12967</v>
      </c>
      <c r="AS36" s="5523" t="str">
        <f>+IF(L36="","",IF(2010-VLOOKUP(MATCH(L36,epa_id,0),epa,'A1(epa)'!$U$17,FALSE)=0,IF(VLOOKUP(MATCH(L36,epa_id,0),epa,'A1(epa)'!$AP$17,FALSE)=0,"",VLOOKUP(MATCH(L36,epa_id,0),epa,'A1(epa)'!$AP$17,FALSE))))</f>
        <v>Other Oil</v>
      </c>
      <c r="AT36" s="5618" t="str">
        <f>+IF(L36="","",IF(2010-VLOOKUP(MATCH(L36,epa_id,0),epa,'A1(epa)'!$U$17,FALSE)=0,IF(VLOOKUP(MATCH(L36,epa_id,0),epa,'A1(epa)'!$AQ$17,FALSE)=0,"",VLOOKUP(MATCH(L36,epa_id,0),epa,'A1(epa)'!$AQ$17,FALSE))))</f>
        <v/>
      </c>
      <c r="AU36" s="5531">
        <f>+IF(L36="","",IF(2009-VLOOKUP(MATCH(L36,epa_id,0)+1,epa,'A1(epa)'!$U$17,FALSE)=0,IF(VLOOKUP(MATCH(L36,epa_id,0)+1,epa,'A1(epa)'!$U$17,FALSE)=0,"",VLOOKUP(MATCH(L36,epa_id,0)+1,epa,'A1(epa)'!$U$17,FALSE))))</f>
        <v>2009</v>
      </c>
      <c r="AV36" s="5521">
        <f>+IF(L36="","",IF(2009-VLOOKUP(MATCH(L36,epa_id,0)+1,epa,'A1(epa)'!$U$17,FALSE)=0,IF(VLOOKUP(MATCH(L36,epa_id,0)+1,epa,'A1(epa)'!$W$17,FALSE)=0,"",VLOOKUP(MATCH(L36,epa_id,0)+1,epa,'A1(epa)'!$W$17,FALSE))))</f>
        <v>13</v>
      </c>
      <c r="AW36" s="5533">
        <f>+IF(L36="","",IF(2009-VLOOKUP(MATCH(L36,epa_id,0)+1,epa,'A1(epa)'!$U$17,FALSE)=0,IF(VLOOKUP(MATCH(L36,epa_id,0)+1,epa,'A1(epa)'!$X$17,FALSE)=0,"",VLOOKUP(MATCH(L36,epa_id,0)+1,epa,'A1(epa)'!$X$17,FALSE))))</f>
        <v>5</v>
      </c>
      <c r="AX36" s="5648">
        <f>+IF(L36="","",IF(2009-VLOOKUP(MATCH(L36,epa_id,0)+1,epa,'A1(epa)'!$U$17,FALSE)=0,IF(VLOOKUP(MATCH(L36,epa_id,0)+1,epa,'A1(epa)'!$Y$17,FALSE)=0,"",VLOOKUP(MATCH(L36,epa_id,0)+1,epa,'A1(epa)'!$Y$17,FALSE))))</f>
        <v>209</v>
      </c>
      <c r="AY36" s="5678">
        <f>+IF(L36="","",IF(2009-VLOOKUP(MATCH(L36,epa_id,0)+1,epa,'A1(epa)'!$U$17,FALSE)=0,IF(VLOOKUP(MATCH(L36,epa_id,0)+1,epa,'A1(epa)'!$AA$17,FALSE)=0,"",VLOOKUP(MATCH(L36,epa_id,0)+1,epa,'A1(epa)'!$AA$17,FALSE))))</f>
        <v>1.2</v>
      </c>
      <c r="AZ36" s="5679">
        <f>+IF(L36="","",IF(2009-VLOOKUP(MATCH(L36,epa_id,0)+1,epa,'A1(epa)'!$U$17,FALSE)=0,IF(VLOOKUP(MATCH(L36,epa_id,0)+1,epa,'A1(epa)'!$AB$17,FALSE)=0,"",VLOOKUP(MATCH(L36,epa_id,0)+1,epa,'A1(epa)'!$AB$17,FALSE))))</f>
        <v>2.5</v>
      </c>
      <c r="BA36" s="5680">
        <f t="shared" si="15"/>
        <v>0.17100000000000001</v>
      </c>
      <c r="BB36" s="5681">
        <f t="shared" si="7"/>
        <v>0.35208899999999999</v>
      </c>
      <c r="BC36" s="5535">
        <f t="shared" si="8"/>
        <v>1684.6363636363637</v>
      </c>
      <c r="BD36" s="5648">
        <f>+IF(L36="","",IF(2009-VLOOKUP(MATCH(L36,epa_id,0)+1,epa,'A1(epa)'!$U$17,FALSE)=0,IF(VLOOKUP(MATCH(L36,epa_id,0)+1,epa,'A1(epa)'!$AC$17,FALSE)=0,"",VLOOKUP(MATCH(L36,epa_id,0)+1,epa,'A1(epa)'!$AC$17,FALSE))))</f>
        <v>4118</v>
      </c>
      <c r="BE36" s="5533" t="str">
        <f>+IF(L36="","",IF(2009-VLOOKUP(MATCH(L36,epa_id,0)+1,epa,'A1(epa)'!$U$17,FALSE)=0,IF(VLOOKUP(MATCH(L36,epa_id,0)+1,epa,'A1(epa)'!$AP$17,FALSE)=0,"",VLOOKUP(MATCH(L36,epa_id,0)+1,epa,'A1(epa)'!$AP$17,FALSE))))</f>
        <v>Other Oil</v>
      </c>
      <c r="BF36" s="5534" t="str">
        <f>+IF(L36="","",IF(2009-VLOOKUP(MATCH(L36,epa_id,0)+1,epa,'A1(epa)'!$U$17,FALSE)=0,IF(VLOOKUP(MATCH(L36,epa_id,0)+1,epa,'A1(epa)'!$AQ$17,FALSE)=0,"",VLOOKUP(MATCH(L36,epa_id,0)+1,epa,'A1(epa)'!$AQ$17,FALSE))))</f>
        <v/>
      </c>
      <c r="BG36" s="5536">
        <f>+IF(L36="","",IF(2008-VLOOKUP(MATCH(L36,epa_id,0)+2,epa,'A1(epa)'!$U$17,FALSE)=0,IF(VLOOKUP(MATCH(L36,epa_id,0)+2,epa,'A1(epa)'!$U$17,FALSE)=0,"",VLOOKUP(MATCH(L36,epa_id,0)+2,epa,'A1(epa)'!$U$17,FALSE))))</f>
        <v>2008</v>
      </c>
      <c r="BH36" s="5533">
        <f>+IF(L36="","",IF(2008-VLOOKUP(MATCH(L36,epa_id,0)+2,epa,'A1(epa)'!$U$17,FALSE)=0,IF(VLOOKUP(MATCH(L36,epa_id,0)+2,epa,'A1(epa)'!$W$17,FALSE)=0,"",VLOOKUP(MATCH(L36,epa_id,0)+2,epa,'A1(epa)'!$W$17,FALSE))))</f>
        <v>4</v>
      </c>
      <c r="BI36" s="5533">
        <f>+IF(L36="","",IF(2008-VLOOKUP(MATCH(L36,epa_id,0)+2,epa,'A1(epa)'!$U$17,FALSE)=0,IF(VLOOKUP(MATCH(L36,epa_id,0)+2,epa,'A1(epa)'!$X$17,FALSE)=0,"",VLOOKUP(MATCH(L36,epa_id,0)+2,epa,'A1(epa)'!$X$17,FALSE))))</f>
        <v>5</v>
      </c>
      <c r="BJ36" s="5648">
        <f>+IF(L36="","",IF(2008-VLOOKUP(MATCH(L36,epa_id,0)+2,epa,'A1(epa)'!$U$17,FALSE)=0,IF(VLOOKUP(MATCH(L36,epa_id,0)+2,epa,'A1(epa)'!$Y$17,FALSE)=0,"",VLOOKUP(MATCH(L36,epa_id,0)+2,epa,'A1(epa)'!$Y$17,FALSE))))</f>
        <v>91</v>
      </c>
      <c r="BK36" s="5678">
        <f>+IF(L36="","",IF(2008-VLOOKUP(MATCH(L36,epa_id,0)+2,epa,'A1(epa)'!$U$17,FALSE)=0,IF(VLOOKUP(MATCH(L36,epa_id,0)+2,epa,'A1(epa)'!$AA$17,FALSE)=0,"",VLOOKUP(MATCH(L36,epa_id,0)+2,epa,'A1(epa)'!$AA$17,FALSE))))</f>
        <v>1.2</v>
      </c>
      <c r="BL36" s="5679">
        <f>+IF(L36="","",IF(2008-VLOOKUP(MATCH(L36,epa_id,0)+2,epa,'A1(epa)'!$U$17,FALSE)=0,IF(VLOOKUP(MATCH(L36,epa_id,0)+2,epa,'A1(epa)'!$AB$17,FALSE)=0,"",VLOOKUP(MATCH(L36,epa_id,0)+2,epa,'A1(epa)'!$AB$17,FALSE))))</f>
        <v>0.8</v>
      </c>
      <c r="BM36" s="5725">
        <f t="shared" si="16"/>
        <v>0.17100000000000001</v>
      </c>
      <c r="BN36" s="5726">
        <f t="shared" si="9"/>
        <v>0.11405700000000001</v>
      </c>
      <c r="BO36" s="5727">
        <f t="shared" si="10"/>
        <v>1253.3736263736264</v>
      </c>
      <c r="BP36" s="5634">
        <f>+IF(L36="","",IF(2008-VLOOKUP(MATCH(L36,epa_id,0)+2,epa,'A1(epa)'!$U$17,FALSE)=0,IF(VLOOKUP(MATCH(L36,epa_id,0)+2,epa,'A1(epa)'!$AC$17,FALSE)=0,"",VLOOKUP(MATCH(L36,epa_id,0)+2,epa,'A1(epa)'!$AC$17,FALSE))))</f>
        <v>1334</v>
      </c>
      <c r="BQ36" s="5605" t="str">
        <f>+IF(L36="","",IF(2008-VLOOKUP(MATCH(L36,epa_id,0)+2,epa,'A1(epa)'!$U$17,FALSE)=0,IF(VLOOKUP(MATCH(L36,epa_id,0)+2,epa,'A1(epa)'!$AP$17,FALSE)=0,"",VLOOKUP(MATCH(L36,epa_id,0)+2,epa,'A1(epa)'!$AP$17,FALSE))))</f>
        <v>Other Oil</v>
      </c>
      <c r="BR36" s="5618" t="str">
        <f>+IF(L36="","",IF(2008-VLOOKUP(MATCH(L36,epa_id,0)+2,epa,'A1(epa)'!$U$17,FALSE)=0,IF(VLOOKUP(MATCH(L36,epa_id,0)+2,epa,'A1(epa)'!$AQ$17,FALSE)=0,"",VLOOKUP(MATCH(L36,epa_id,0)+2,epa,'A1(epa)'!$AQ$17,FALSE))))</f>
        <v/>
      </c>
      <c r="BS36" s="5605" t="str">
        <f>+IF(L36="","",IF(2010-VLOOKUP(MATCH(L36,epa_id,0),epa,'A1(epa)'!$U$17,FALSE)=0,IF(VLOOKUP(MATCH(L36,epa_id,0),epa,'A1(epa)'!$AS$17,FALSE)=0,"",VLOOKUP(MATCH(L36,epa_id,0),epa,'A1(epa)'!$AS$17,FALSE))))</f>
        <v>Water Injection</v>
      </c>
      <c r="BT36" s="5523" t="str">
        <f>+IF(L36="","",IF(2010-VLOOKUP(MATCH(L36,epa_id,0),epa,'A1(epa)'!$U$17,FALSE)=0,IF(VLOOKUP(MATCH(L36,epa_id,0),epa,'A1(epa)'!$AT$17,FALSE)=0,"",VLOOKUP(MATCH(L36,epa_id,0),epa,'A1(epa)'!$AT$17,FALSE))))</f>
        <v/>
      </c>
      <c r="BU36" s="5523" t="str">
        <f>+IF(L36="","",IF(2010-VLOOKUP(MATCH(L36,epa_id,0),epa,'A1(epa)'!$U$17,FALSE)=0,IF(VLOOKUP(MATCH(L36,epa_id,0),epa,'A1(epa)'!$AU$17,FALSE)=0,"",VLOOKUP(MATCH(L36,epa_id,0),epa,'A1(epa)'!$AU$17,FALSE))))</f>
        <v/>
      </c>
      <c r="BV36" s="5523" t="str">
        <f>+IF(L36="","",IF(2010-VLOOKUP(MATCH(L36,epa_id,0),epa,'A1(epa)'!$U$17,FALSE)=0,IF(VLOOKUP(MATCH(L36,epa_id,0),epa,'A1(epa)'!$AR$17,FALSE)=0,"",VLOOKUP(MATCH(L36,epa_id,0),epa,'A1(epa)'!$AR$17,FALSE))))</f>
        <v/>
      </c>
      <c r="BW36" s="5591" t="str">
        <f>+IF(L36="","",IF(2010-VLOOKUP(MATCH(L36,epa_id,0),epa,'A1(epa)'!$U$17,FALSE)=0,IF(VLOOKUP(MATCH(L36,epa_id,0),epa,'A1(epa)'!$AV$17,FALSE)=0,"",VLOOKUP(MATCH(L36,epa_id,0),epa,'A1(epa)'!$AV$17,FALSE))))</f>
        <v/>
      </c>
      <c r="BX36" s="5538">
        <f>+IF(L36="","",IF(2010-VLOOKUP(MATCH(L36,epa_id,0),epa,'A1(epa)'!$U$17,FALSE)=0,IF(VLOOKUP(MATCH(L36,epa_id,0),epa,'A1(epa)'!$AW$17,FALSE)=0,"",VLOOKUP(MATCH(L36,epa_id,0),epa,'A1(epa)'!$AW$17,FALSE))))</f>
        <v>308</v>
      </c>
      <c r="BY36" s="5415"/>
      <c r="BZ36" s="511">
        <f t="shared" si="11"/>
        <v>1591.1901401578555</v>
      </c>
      <c r="CA36" s="5415"/>
      <c r="CB36" s="9584"/>
      <c r="CC36" s="9546"/>
      <c r="CD36" s="9546"/>
      <c r="CE36" s="9585"/>
      <c r="CF36" s="9544"/>
      <c r="CG36" s="9544"/>
      <c r="CH36" s="9586"/>
      <c r="CI36" s="9547"/>
      <c r="CJ36" s="9546"/>
      <c r="CK36" s="9546"/>
      <c r="CL36" s="9545"/>
      <c r="CM36" s="9544"/>
      <c r="CN36" s="9544"/>
      <c r="CO36" s="9586"/>
      <c r="CP36" s="9547"/>
      <c r="CQ36" s="9546"/>
      <c r="CR36" s="9546"/>
      <c r="CS36" s="9545"/>
      <c r="CT36" s="7800"/>
      <c r="CU36" s="9544"/>
      <c r="CV36" s="9559"/>
      <c r="CW36" s="9605"/>
      <c r="CX36" s="9602"/>
      <c r="CY36" s="9599"/>
      <c r="CZ36" s="9546"/>
      <c r="DA36" s="9585">
        <f t="shared" si="12"/>
        <v>0</v>
      </c>
      <c r="DB36" s="9544"/>
      <c r="DC36" s="9544"/>
      <c r="DD36" s="9586"/>
      <c r="DE36" s="9595"/>
      <c r="DF36" s="9595"/>
      <c r="DG36" s="5356"/>
      <c r="DH36" s="5348"/>
      <c r="DI36" s="5348"/>
    </row>
    <row r="37" spans="1:113" s="479" customFormat="1" ht="25.5" customHeight="1">
      <c r="A37" s="5364" t="str">
        <f t="shared" si="13"/>
        <v>8300-07</v>
      </c>
      <c r="B37" s="9571"/>
      <c r="C37" s="5365" t="str">
        <f t="shared" si="2"/>
        <v>FD10</v>
      </c>
      <c r="D37" s="5359"/>
      <c r="E37" s="5351"/>
      <c r="F37" s="5359"/>
      <c r="G37" s="4445">
        <f t="shared" si="17"/>
        <v>19</v>
      </c>
      <c r="H37" s="4399">
        <v>19</v>
      </c>
      <c r="I37" s="542">
        <f>+IF(L37="","",IF(VLOOKUP(MATCH(L37,tid,0),tao,'12(id)'!$H$20,FALSE)="","",VLOOKUP(MATCH(L37,tid,0),tao,'12(id)'!$H$20,FALSE)))</f>
        <v>9</v>
      </c>
      <c r="J37" s="9520" t="str">
        <f>+IF(L37="","",IF(VLOOKUP(MATCH(L37,tid,0),tao,'12(id)'!$I$20,FALSE)="","",VLOOKUP(MATCH(L37,tid,0),tao,'12(id)'!$I$20,FALSE)))</f>
        <v/>
      </c>
      <c r="K37" s="9518">
        <f>+IF(L37="","",IF(VLOOKUP(MATCH(L37,tid,0),tao,'12(id)'!$K$20,FALSE)="","",VLOOKUP(MATCH(L37,tid,0),tao,'12(id)'!$K$20,FALSE)))</f>
        <v>8300</v>
      </c>
      <c r="L37" s="5154" t="s">
        <v>265</v>
      </c>
      <c r="M37" s="52" t="str">
        <f>+IF(L37="","",IF(VLOOKUP(MATCH(L37,tid,0),tao,'12(id)'!$L$20,FALSE)="","",VLOOKUP(MATCH(L37,tid,0),tao,'12(id)'!$L$20,FALSE)))</f>
        <v>Franklin Drive</v>
      </c>
      <c r="N37" s="52" t="str">
        <f>+IF(L37="","",IF(VLOOKUP(MATCH(L37,tid,0),tao,'12(id)'!$P$20,FALSE)="","",VLOOKUP(MATCH(L37,tid,0),tao,'12(id)'!$P$20,FALSE)))</f>
        <v>Franklin Drive Torrington-10</v>
      </c>
      <c r="O37" s="4385" t="str">
        <f>+IF(L37="","",IF(VLOOKUP(MATCH(L37,tid,0),tao,'12(id)'!$Q$20,FALSE)="","",VLOOKUP(MATCH(L37,tid,0),tao,'12(id)'!$Q$20,FALSE)))</f>
        <v>FD10</v>
      </c>
      <c r="P37" s="7833">
        <f>+IF(L37="","",IF(VLOOKUP(MATCH(L37,tid,0),tao,'12(id)'!$CT$20,FALSE)="","",VLOOKUP(MATCH(L37,tid,0),tao,'12(id)'!$CT$20,FALSE)))</f>
        <v>20</v>
      </c>
      <c r="Q37" s="7831">
        <f>+P37</f>
        <v>20</v>
      </c>
      <c r="R37" s="7899" t="str">
        <f>+IF(L37="","",IF(VLOOKUP(MATCH(L37,tid,0),tao,'12(id)'!$T$20,FALSE)="","",VLOOKUP(MATCH(L37,tid,0),tao,'12(id)'!$T$20,FALSE)))</f>
        <v>Combustion Turbine</v>
      </c>
      <c r="S37" s="417" t="str">
        <f>+IF(L37="","",IF(VLOOKUP(MATCH(L37,tid,0),tao,'12(id)'!$CO$20,FALSE)="","",VLOOKUP(MATCH(L37,tid,0),tao,'12(id)'!$CO$20,FALSE)))</f>
        <v>Pratt &amp; Whitney</v>
      </c>
      <c r="T37" s="7899" t="str">
        <f>+IF(L37="","",IF(VLOOKUP(MATCH(L37,tid,0),tao,'12(id)'!$CP$20,FALSE)="","",VLOOKUP(MATCH(L37,tid,0),tao,'12(id)'!$CP$20,FALSE)))</f>
        <v>FT4-A8</v>
      </c>
      <c r="U37" s="7832" t="str">
        <f>+IF(L37="","",IF(VLOOKUP(MATCH(L37,tid,0),tao,'12(id)'!$DC$20,FALSE)="","",IF(VLOOKUP(MATCH(L37,tid,0),tao,'12(id)'!$DB$20,FALSE)="",VLOOKUP(MATCH(L37,tid,0),tao,'12(id)'!$DC$20,FALSE),VLOOKUP(MATCH(L37,tid,0),tao,'12(id)'!$DB$20,FALSE)&amp;" "&amp;VLOOKUP(MATCH(L37,tid,0),tao,'12(id)'!$DC$20,FALSE))))</f>
        <v>Jan 1969</v>
      </c>
      <c r="V37" s="135">
        <f ca="1">+IF(L37="","",IF(VLOOKUP(MATCH(L37,tid,0),tao,'12(id)'!$DE$20,FALSE)="","",ROUND(VLOOKUP(MATCH(L37,tid,0),tao,'12(id)'!$DE$20,FALSE),0)))</f>
        <v>46</v>
      </c>
      <c r="W37" s="52" t="str">
        <f>+IF(L37="","",IF(VLOOKUP(G37,tao,'12(id)'!$FR$20,FALSE)="","",VLOOKUP(G37,tao,'12(id)'!$FR$20,FALSE)&amp;IF(VLOOKUP(G37,tao,'12(id)'!$FS$20,FALSE)="","",", "&amp;VLOOKUP(G37,tao,'12(id)'!$FS$20,FALSE))))</f>
        <v>None</v>
      </c>
      <c r="X37" s="52" t="str">
        <f>+IF(L37="","",IF(VLOOKUP(MATCH(L37,tid,0),tao,'12(id)'!$DI$20,FALSE)="","",VLOOKUP(MATCH(L37,tid,0),tao,'12(id)'!$DI$20,FALSE)))</f>
        <v>Ultra low sulfur kerosene  oil (ULSD)</v>
      </c>
      <c r="Y37" s="52" t="str">
        <f>+IF(L37="","",IF(VLOOKUP(MATCH(L37,tid,0),tao,'12(id)'!$DQ$20,FALSE)="","",VLOOKUP(MATCH(L37,tid,0),tao,'12(id)'!$DQ$20,FALSE)))</f>
        <v/>
      </c>
      <c r="Z37" s="4417">
        <f>+IF(L37="","",IF(VLOOKUP(MATCH(L37,tid,0),tao,'12(id)'!$EH$20,FALSE)="","",VLOOKUP(MATCH(L37,tid,0),tao,'12(id)'!$EH$20,FALSE)))</f>
        <v>256</v>
      </c>
      <c r="AA37" s="4418">
        <f>+IF(L37="","",IF(VLOOKUP(MATCH(L37,tid,0),tao,'12(id)'!$EI$20,FALSE)="","",VLOOKUP(MATCH(L37,tid,0),tao,'12(id)'!$EI$20,FALSE)))</f>
        <v>0.76</v>
      </c>
      <c r="AB37" s="4418" t="str">
        <f>+IF(L37="","",IF(VLOOKUP(MATCH(L37,tid,0),tao,'12(id)'!$EJ$20,FALSE)="","",VLOOKUP(MATCH(L37,tid,0),tao,'12(id)'!$EJ$20,FALSE)))</f>
        <v/>
      </c>
      <c r="AC37" s="4436">
        <f>+IF(L37="","",IF(VLOOKUP(MATCH(L37,tid,0),tao,'12(id)'!$EL$20,FALSE)="","",VLOOKUP(MATCH(L37,tid,0),tao,'12(id)'!$EL$20,FALSE)))</f>
        <v>0.8</v>
      </c>
      <c r="AD37" s="4438"/>
      <c r="AE37" s="4419">
        <f t="shared" si="3"/>
        <v>0.76</v>
      </c>
      <c r="AF37" s="4420" t="str">
        <f t="shared" si="4"/>
        <v/>
      </c>
      <c r="AG37" s="513">
        <f>+IF(L37="","",IF(VLOOKUP(MATCH(L37,tid,0),tao,'12(id)'!$GY$20,FALSE)="","",VLOOKUP(MATCH(L37,tid,0),tao,'12(id)'!$GY$20,FALSE)))</f>
        <v>38.799999999999997</v>
      </c>
      <c r="AH37" s="514">
        <f>+IF(L37="","",IF(VLOOKUP(MATCH(L37,tid,0),tao,'12(id)'!$HL$20,FALSE)="","",VLOOKUP(MATCH(L37,tid,0),tao,'12(id)'!$HL$20,FALSE)))</f>
        <v>4.2</v>
      </c>
      <c r="AI37" s="7854">
        <f>+IF(L37="","",IF(2010-VLOOKUP(MATCH(L37,epa_id,0),epa,'A1(epa)'!$U$17,FALSE)=0,IF(VLOOKUP(MATCH(L37,epa_id,0),epa,'A1(epa)'!$U$17,FALSE)=0,"",VLOOKUP(MATCH(L37,epa_id,0),epa,'A1(epa)'!$U$17,FALSE))))</f>
        <v>2010</v>
      </c>
      <c r="AJ37" s="608">
        <f>+IF(L37="","",IF(2010-VLOOKUP(MATCH(L37,epa_id,0),epa,'A1(epa)'!$U$17,FALSE)=0,IF(VLOOKUP(MATCH(L37,epa_id,0),epa,'A1(epa)'!$W$17,FALSE)=0,"",VLOOKUP(MATCH(L37,epa_id,0),epa,'A1(epa)'!$W$17,FALSE))))</f>
        <v>46</v>
      </c>
      <c r="AK37" s="515">
        <f>+IF(L37="","",IF(2010-VLOOKUP(MATCH(L37,epa_id,0),epa,'A1(epa)'!$U$17,FALSE)=0,IF(VLOOKUP(MATCH(L37,epa_id,0),epa,'A1(epa)'!$X$17,FALSE)=0,"",VLOOKUP(MATCH(L37,epa_id,0),epa,'A1(epa)'!$X$17,FALSE))))</f>
        <v>5</v>
      </c>
      <c r="AL37" s="608">
        <f>+IF(L37="","",IF(2010-VLOOKUP(MATCH(L37,epa_id,0),epa,'A1(epa)'!$U$17,FALSE)=0,IF(VLOOKUP(MATCH(L37,epa_id,0),epa,'A1(epa)'!$Y$17,FALSE)=0,"",VLOOKUP(MATCH(L37,epa_id,0),epa,'A1(epa)'!$Y$17,FALSE))))</f>
        <v>639</v>
      </c>
      <c r="AM37" s="5791">
        <f>+IF(L37="","",IF(2010-VLOOKUP(MATCH(L37,epa_id,0),epa,'A1(epa)'!$U$17,FALSE)=0,IF(VLOOKUP(MATCH(L37,epa_id,0),epa,'A1(epa)'!$AA$17,FALSE)=0,"",VLOOKUP(MATCH(L37,epa_id,0),epa,'A1(epa)'!$AA$17,FALSE))))</f>
        <v>1.2</v>
      </c>
      <c r="AN37" s="5792">
        <f>+IF(L37="","",IF(2010-VLOOKUP(MATCH(L37,epa_id,0),epa,'A1(epa)'!$U$17,FALSE)=0,IF(VLOOKUP(MATCH(L37,epa_id,0),epa,'A1(epa)'!$AB$17,FALSE)=0,"",VLOOKUP(MATCH(L37,epa_id,0),epa,'A1(epa)'!$AB$17,FALSE))))</f>
        <v>6.9</v>
      </c>
      <c r="AO37" s="5793">
        <f t="shared" si="14"/>
        <v>0.76</v>
      </c>
      <c r="AP37" s="5794">
        <f t="shared" si="5"/>
        <v>4.3757000000000001</v>
      </c>
      <c r="AQ37" s="5795">
        <f t="shared" si="6"/>
        <v>6847.7308294209706</v>
      </c>
      <c r="AR37" s="608">
        <f>+IF(L37="","",IF(2010-VLOOKUP(MATCH(L37,epa_id,0),epa,'A1(epa)'!$U$17,FALSE)=0,IF(VLOOKUP(MATCH(L37,epa_id,0),epa,'A1(epa)'!$AC$17,FALSE)=0,"",VLOOKUP(MATCH(L37,epa_id,0),epa,'A1(epa)'!$AC$17,FALSE))))</f>
        <v>11515</v>
      </c>
      <c r="AS37" s="52" t="str">
        <f>+IF(L37="","",IF(2010-VLOOKUP(MATCH(L37,epa_id,0),epa,'A1(epa)'!$U$17,FALSE)=0,IF(VLOOKUP(MATCH(L37,epa_id,0),epa,'A1(epa)'!$AP$17,FALSE)=0,"",VLOOKUP(MATCH(L37,epa_id,0),epa,'A1(epa)'!$AP$17,FALSE))))</f>
        <v>Other Oil</v>
      </c>
      <c r="AT37" s="5619" t="str">
        <f>+IF(L37="","",IF(2010-VLOOKUP(MATCH(L37,epa_id,0),epa,'A1(epa)'!$U$17,FALSE)=0,IF(VLOOKUP(MATCH(L37,epa_id,0),epa,'A1(epa)'!$AQ$17,FALSE)=0,"",VLOOKUP(MATCH(L37,epa_id,0),epa,'A1(epa)'!$AQ$17,FALSE))))</f>
        <v/>
      </c>
      <c r="AU37" s="7854">
        <f>+IF(L37="","",IF(2009-VLOOKUP(MATCH(L37,epa_id,0)+1,epa,'A1(epa)'!$U$17,FALSE)=0,IF(VLOOKUP(MATCH(L37,epa_id,0)+1,epa,'A1(epa)'!$U$17,FALSE)=0,"",VLOOKUP(MATCH(L37,epa_id,0)+1,epa,'A1(epa)'!$U$17,FALSE))))</f>
        <v>2009</v>
      </c>
      <c r="AV37" s="7832">
        <f>+IF(L37="","",IF(2009-VLOOKUP(MATCH(L37,epa_id,0)+1,epa,'A1(epa)'!$U$17,FALSE)=0,IF(VLOOKUP(MATCH(L37,epa_id,0)+1,epa,'A1(epa)'!$W$17,FALSE)=0,"",VLOOKUP(MATCH(L37,epa_id,0)+1,epa,'A1(epa)'!$W$17,FALSE))))</f>
        <v>5</v>
      </c>
      <c r="AW37" s="5154">
        <f>+IF(L37="","",IF(2009-VLOOKUP(MATCH(L37,epa_id,0)+1,epa,'A1(epa)'!$U$17,FALSE)=0,IF(VLOOKUP(MATCH(L37,epa_id,0)+1,epa,'A1(epa)'!$X$17,FALSE)=0,"",VLOOKUP(MATCH(L37,epa_id,0)+1,epa,'A1(epa)'!$X$17,FALSE))))</f>
        <v>5</v>
      </c>
      <c r="AX37" s="608">
        <f>+IF(L37="","",IF(2009-VLOOKUP(MATCH(L37,epa_id,0)+1,epa,'A1(epa)'!$U$17,FALSE)=0,IF(VLOOKUP(MATCH(L37,epa_id,0)+1,epa,'A1(epa)'!$Y$17,FALSE)=0,"",VLOOKUP(MATCH(L37,epa_id,0)+1,epa,'A1(epa)'!$Y$17,FALSE))))</f>
        <v>62</v>
      </c>
      <c r="AY37" s="607">
        <f>+IF(L37="","",IF(2009-VLOOKUP(MATCH(L37,epa_id,0)+1,epa,'A1(epa)'!$U$17,FALSE)=0,IF(VLOOKUP(MATCH(L37,epa_id,0)+1,epa,'A1(epa)'!$AA$17,FALSE)=0,"",VLOOKUP(MATCH(L37,epa_id,0)+1,epa,'A1(epa)'!$AA$17,FALSE))))</f>
        <v>1.2</v>
      </c>
      <c r="AZ37" s="1968">
        <f>+IF(L37="","",IF(2009-VLOOKUP(MATCH(L37,epa_id,0)+1,epa,'A1(epa)'!$U$17,FALSE)=0,IF(VLOOKUP(MATCH(L37,epa_id,0)+1,epa,'A1(epa)'!$AB$17,FALSE)=0,"",VLOOKUP(MATCH(L37,epa_id,0)+1,epa,'A1(epa)'!$AB$17,FALSE))))</f>
        <v>0.7</v>
      </c>
      <c r="BA37" s="5682">
        <f t="shared" si="15"/>
        <v>0.76</v>
      </c>
      <c r="BB37" s="5683">
        <f t="shared" si="7"/>
        <v>0.43510000000000004</v>
      </c>
      <c r="BC37" s="5392">
        <f t="shared" si="8"/>
        <v>7017.7419354838721</v>
      </c>
      <c r="BD37" s="608">
        <f>+IF(L37="","",IF(2009-VLOOKUP(MATCH(L37,epa_id,0)+1,epa,'A1(epa)'!$U$17,FALSE)=0,IF(VLOOKUP(MATCH(L37,epa_id,0)+1,epa,'A1(epa)'!$AC$17,FALSE)=0,"",VLOOKUP(MATCH(L37,epa_id,0)+1,epa,'A1(epa)'!$AC$17,FALSE))))</f>
        <v>1145</v>
      </c>
      <c r="BE37" s="5154" t="str">
        <f>+IF(L37="","",IF(2009-VLOOKUP(MATCH(L37,epa_id,0)+1,epa,'A1(epa)'!$U$17,FALSE)=0,IF(VLOOKUP(MATCH(L37,epa_id,0)+1,epa,'A1(epa)'!$AP$17,FALSE)=0,"",VLOOKUP(MATCH(L37,epa_id,0)+1,epa,'A1(epa)'!$AP$17,FALSE))))</f>
        <v>Other Oil</v>
      </c>
      <c r="BF37" s="516" t="str">
        <f>+IF(L37="","",IF(2009-VLOOKUP(MATCH(L37,epa_id,0)+1,epa,'A1(epa)'!$U$17,FALSE)=0,IF(VLOOKUP(MATCH(L37,epa_id,0)+1,epa,'A1(epa)'!$AQ$17,FALSE)=0,"",VLOOKUP(MATCH(L37,epa_id,0)+1,epa,'A1(epa)'!$AQ$17,FALSE))))</f>
        <v/>
      </c>
      <c r="BG37" s="127">
        <f>+IF(L37="","",IF(2008-VLOOKUP(MATCH(L37,epa_id,0)+2,epa,'A1(epa)'!$U$17,FALSE)=0,IF(VLOOKUP(MATCH(L37,epa_id,0)+2,epa,'A1(epa)'!$U$17,FALSE)=0,"",VLOOKUP(MATCH(L37,epa_id,0)+2,epa,'A1(epa)'!$U$17,FALSE))))</f>
        <v>2008</v>
      </c>
      <c r="BH37" s="5154">
        <f>+IF(L37="","",IF(2008-VLOOKUP(MATCH(L37,epa_id,0)+2,epa,'A1(epa)'!$U$17,FALSE)=0,IF(VLOOKUP(MATCH(L37,epa_id,0)+2,epa,'A1(epa)'!$W$17,FALSE)=0,"",VLOOKUP(MATCH(L37,epa_id,0)+2,epa,'A1(epa)'!$W$17,FALSE))))</f>
        <v>8</v>
      </c>
      <c r="BI37" s="5154">
        <f>+IF(L37="","",IF(2008-VLOOKUP(MATCH(L37,epa_id,0)+2,epa,'A1(epa)'!$U$17,FALSE)=0,IF(VLOOKUP(MATCH(L37,epa_id,0)+2,epa,'A1(epa)'!$X$17,FALSE)=0,"",VLOOKUP(MATCH(L37,epa_id,0)+2,epa,'A1(epa)'!$X$17,FALSE))))</f>
        <v>5</v>
      </c>
      <c r="BJ37" s="608">
        <f>+IF(L37="","",IF(2008-VLOOKUP(MATCH(L37,epa_id,0)+2,epa,'A1(epa)'!$U$17,FALSE)=0,IF(VLOOKUP(MATCH(L37,epa_id,0)+2,epa,'A1(epa)'!$Y$17,FALSE)=0,"",VLOOKUP(MATCH(L37,epa_id,0)+2,epa,'A1(epa)'!$Y$17,FALSE))))</f>
        <v>142</v>
      </c>
      <c r="BK37" s="607">
        <f>+IF(L37="","",IF(2008-VLOOKUP(MATCH(L37,epa_id,0)+2,epa,'A1(epa)'!$U$17,FALSE)=0,IF(VLOOKUP(MATCH(L37,epa_id,0)+2,epa,'A1(epa)'!$AA$17,FALSE)=0,"",VLOOKUP(MATCH(L37,epa_id,0)+2,epa,'A1(epa)'!$AA$17,FALSE))))</f>
        <v>1.2</v>
      </c>
      <c r="BL37" s="1968">
        <f>+IF(L37="","",IF(2008-VLOOKUP(MATCH(L37,epa_id,0)+2,epa,'A1(epa)'!$U$17,FALSE)=0,IF(VLOOKUP(MATCH(L37,epa_id,0)+2,epa,'A1(epa)'!$AB$17,FALSE)=0,"",VLOOKUP(MATCH(L37,epa_id,0)+2,epa,'A1(epa)'!$AB$17,FALSE))))</f>
        <v>1.2</v>
      </c>
      <c r="BM37" s="5728">
        <f t="shared" si="16"/>
        <v>0.76</v>
      </c>
      <c r="BN37" s="5729">
        <f t="shared" si="9"/>
        <v>0.78279999999999994</v>
      </c>
      <c r="BO37" s="5730">
        <f t="shared" si="10"/>
        <v>5512.6760563380276</v>
      </c>
      <c r="BP37" s="5635">
        <f>+IF(L37="","",IF(2008-VLOOKUP(MATCH(L37,epa_id,0)+2,epa,'A1(epa)'!$U$17,FALSE)=0,IF(VLOOKUP(MATCH(L37,epa_id,0)+2,epa,'A1(epa)'!$AC$17,FALSE)=0,"",VLOOKUP(MATCH(L37,epa_id,0)+2,epa,'A1(epa)'!$AC$17,FALSE))))</f>
        <v>2060</v>
      </c>
      <c r="BQ37" s="4708" t="str">
        <f>+IF(L37="","",IF(2008-VLOOKUP(MATCH(L37,epa_id,0)+2,epa,'A1(epa)'!$U$17,FALSE)=0,IF(VLOOKUP(MATCH(L37,epa_id,0)+2,epa,'A1(epa)'!$AP$17,FALSE)=0,"",VLOOKUP(MATCH(L37,epa_id,0)+2,epa,'A1(epa)'!$AP$17,FALSE))))</f>
        <v>Other Oil</v>
      </c>
      <c r="BR37" s="5619" t="str">
        <f>+IF(L37="","",IF(2008-VLOOKUP(MATCH(L37,epa_id,0)+2,epa,'A1(epa)'!$U$17,FALSE)=0,IF(VLOOKUP(MATCH(L37,epa_id,0)+2,epa,'A1(epa)'!$AQ$17,FALSE)=0,"",VLOOKUP(MATCH(L37,epa_id,0)+2,epa,'A1(epa)'!$AQ$17,FALSE))))</f>
        <v/>
      </c>
      <c r="BS37" s="5606" t="str">
        <f>+IF(L37="","",IF(2010-VLOOKUP(MATCH(L37,epa_id,0),epa,'A1(epa)'!$U$17,FALSE)=0,IF(VLOOKUP(MATCH(L37,epa_id,0),epa,'A1(epa)'!$AS$17,FALSE)=0,"",VLOOKUP(MATCH(L37,epa_id,0),epa,'A1(epa)'!$AS$17,FALSE))))</f>
        <v/>
      </c>
      <c r="BT37" s="52" t="str">
        <f>+IF(L37="","",IF(2010-VLOOKUP(MATCH(L37,epa_id,0),epa,'A1(epa)'!$U$17,FALSE)=0,IF(VLOOKUP(MATCH(L37,epa_id,0),epa,'A1(epa)'!$AT$17,FALSE)=0,"",VLOOKUP(MATCH(L37,epa_id,0),epa,'A1(epa)'!$AT$17,FALSE))))</f>
        <v/>
      </c>
      <c r="BU37" s="52" t="str">
        <f>+IF(L37="","",IF(2010-VLOOKUP(MATCH(L37,epa_id,0),epa,'A1(epa)'!$U$17,FALSE)=0,IF(VLOOKUP(MATCH(L37,epa_id,0),epa,'A1(epa)'!$AU$17,FALSE)=0,"",VLOOKUP(MATCH(L37,epa_id,0),epa,'A1(epa)'!$AU$17,FALSE))))</f>
        <v/>
      </c>
      <c r="BV37" s="52" t="str">
        <f>+IF(L37="","",IF(2010-VLOOKUP(MATCH(L37,epa_id,0),epa,'A1(epa)'!$U$17,FALSE)=0,IF(VLOOKUP(MATCH(L37,epa_id,0),epa,'A1(epa)'!$AR$17,FALSE)=0,"",VLOOKUP(MATCH(L37,epa_id,0),epa,'A1(epa)'!$AR$17,FALSE))))</f>
        <v/>
      </c>
      <c r="BW37" s="5592" t="str">
        <f>+IF(L37="","",IF(2010-VLOOKUP(MATCH(L37,epa_id,0),epa,'A1(epa)'!$U$17,FALSE)=0,IF(VLOOKUP(MATCH(L37,epa_id,0),epa,'A1(epa)'!$AV$17,FALSE)=0,"",VLOOKUP(MATCH(L37,epa_id,0),epa,'A1(epa)'!$AV$17,FALSE))))</f>
        <v/>
      </c>
      <c r="BX37" s="519">
        <f>+IF(L37="","",IF(2010-VLOOKUP(MATCH(L37,epa_id,0),epa,'A1(epa)'!$U$17,FALSE)=0,IF(VLOOKUP(MATCH(L37,epa_id,0),epa,'A1(epa)'!$AW$17,FALSE)=0,"",VLOOKUP(MATCH(L37,epa_id,0),epa,'A1(epa)'!$AW$17,FALSE))))</f>
        <v>250</v>
      </c>
      <c r="BY37" s="5415"/>
      <c r="BZ37" s="519">
        <f t="shared" si="11"/>
        <v>6459.3829404142898</v>
      </c>
      <c r="CA37" s="5415"/>
      <c r="CB37" s="4381">
        <f>+IF(AJ37="","",MAX(AJ37))</f>
        <v>46</v>
      </c>
      <c r="CC37" s="4379">
        <f>+IF(AL37="","",MAX(AL37))</f>
        <v>639</v>
      </c>
      <c r="CD37" s="4379">
        <f>+IF(AR37="","",MAX(AR37))</f>
        <v>11515</v>
      </c>
      <c r="CE37" s="4387">
        <f>+IF(AP37="","",MAX(AP37))</f>
        <v>4.3757000000000001</v>
      </c>
      <c r="CF37" s="4390">
        <f>+IF(CD37=AR37,AO37,0)</f>
        <v>0.76</v>
      </c>
      <c r="CG37" s="3260">
        <f t="shared" ref="CG37:CG42" si="18">IF(OR(CD37="",CE37=""),"",2000/CD37*CE37)</f>
        <v>0.76</v>
      </c>
      <c r="CH37" s="4382">
        <f t="shared" ref="CH37:CH42" si="19">+IF(CG37="","",CG37/CB37)</f>
        <v>1.6521739130434782E-2</v>
      </c>
      <c r="CI37" s="4383">
        <f>+IF(AV37="","",MAX(AV37))</f>
        <v>5</v>
      </c>
      <c r="CJ37" s="4379">
        <f>+IF(AX37="","",MAX(AX37))</f>
        <v>62</v>
      </c>
      <c r="CK37" s="4379">
        <f>+IF(BD37="","",MAX(BD37))</f>
        <v>1145</v>
      </c>
      <c r="CL37" s="4395">
        <f>+IF(BB37="","",MAX(BB37))</f>
        <v>0.43510000000000004</v>
      </c>
      <c r="CM37" s="4396">
        <f>+IF(CK37=BD37,BA37,0)</f>
        <v>0.76</v>
      </c>
      <c r="CN37" s="3260">
        <f t="shared" ref="CN37:CN42" si="20">IF(OR(CK37="",CL37=""),"",2000/CK37*CL37)</f>
        <v>0.76000000000000012</v>
      </c>
      <c r="CO37" s="4382">
        <f t="shared" ref="CO37:CO42" si="21">+IF(CN37="","",CN37/CI37)</f>
        <v>0.15200000000000002</v>
      </c>
      <c r="CP37" s="7827">
        <f>+IF(BH37="","",MAX(BH37))</f>
        <v>8</v>
      </c>
      <c r="CQ37" s="4379">
        <f>+IF(BJ37="","",MAX(BJ37))</f>
        <v>142</v>
      </c>
      <c r="CR37" s="515">
        <f>+IF(BP37="","",MAX(BP37))</f>
        <v>2060</v>
      </c>
      <c r="CS37" s="4386">
        <f>+IF(BN37="","",MAX(BN37))</f>
        <v>0.78279999999999994</v>
      </c>
      <c r="CT37" s="4396">
        <f>+IF(CR37=BP37,BM37,0)</f>
        <v>0.76</v>
      </c>
      <c r="CU37" s="517">
        <f t="shared" ref="CU37:CU42" si="22">IF(OR(CR37="",CS37=""),"",2000/CR37*CS37)</f>
        <v>0.7599999999999999</v>
      </c>
      <c r="CV37" s="523">
        <f t="shared" ref="CV37:CV42" si="23">+IF(CU37="","",CU37/CP37)</f>
        <v>9.4999999999999987E-2</v>
      </c>
      <c r="CW37" s="605">
        <f t="shared" ref="CW37:CW42" si="24">+IF(DA37="","",IF(DA37=CE37,AI37,IF(DA37=CL37,AU37,IF(DA37=CS37,BG37))))</f>
        <v>2010</v>
      </c>
      <c r="CX37" s="606">
        <f t="shared" ref="CX37:CX42" si="25">+IF(DA37="","",IF(DA37=CE37,CB37,IF(DA37=CL37,CI37,IF(DA37=CS37,CP37))))</f>
        <v>46</v>
      </c>
      <c r="CY37" s="5582">
        <f t="shared" ref="CY37:CY42" si="26">+IF(DA37="","",IF(DA37=CE37,CC37,IF(DA37=CL37,CJ37,IF(DA37=CS37,CQ37))))</f>
        <v>639</v>
      </c>
      <c r="CZ37" s="608">
        <f t="shared" ref="CZ37:CZ42" si="27">+IF(DA37="","",IF(DA37=CE37,CD37,IF(DA37=CL37,CK37,IF(DA37=CS37,CR37))))</f>
        <v>11515</v>
      </c>
      <c r="DA37" s="518">
        <f t="shared" si="12"/>
        <v>4.3757000000000001</v>
      </c>
      <c r="DB37" s="607">
        <f t="shared" ref="DB37:DB42" si="28">+IF(DA37="","",IF(DA37=CE37,CF37,IF(DA37=CL37,CM37,IF(DA37=CS37,CT37))))</f>
        <v>0.76</v>
      </c>
      <c r="DC37" s="607">
        <f>IF(OR(DA37="",CZ37=""),"",ROUND(2000*DA37/CZ37,3))</f>
        <v>0.76</v>
      </c>
      <c r="DD37" s="522">
        <f t="shared" ref="DD37:DD42" si="29">+IF(CX37="","",DA37/CX37)</f>
        <v>9.5123913043478267E-2</v>
      </c>
      <c r="DE37" s="595">
        <f t="shared" ref="DE37:DE42" si="30">+IF(DD37="","",DD37*$DE$15)</f>
        <v>4.756195652173913</v>
      </c>
      <c r="DF37" s="595"/>
      <c r="DG37" s="5356"/>
      <c r="DH37" s="5348"/>
      <c r="DI37" s="5348"/>
    </row>
    <row r="38" spans="1:113" s="479" customFormat="1" ht="25.5" customHeight="1">
      <c r="A38" s="5364" t="str">
        <f t="shared" si="13"/>
        <v>8300-08</v>
      </c>
      <c r="B38" s="9571"/>
      <c r="C38" s="5365" t="str">
        <f t="shared" si="2"/>
        <v>TT10</v>
      </c>
      <c r="D38" s="5359"/>
      <c r="E38" s="5351"/>
      <c r="F38" s="5359"/>
      <c r="G38" s="4445">
        <f t="shared" si="17"/>
        <v>20</v>
      </c>
      <c r="H38" s="4399">
        <v>20</v>
      </c>
      <c r="I38" s="52">
        <f>+IF(L38="","",IF(VLOOKUP(MATCH(L38,tid,0),tao,'12(id)'!$H$20,FALSE)="","",VLOOKUP(MATCH(L38,tid,0),tao,'12(id)'!$H$20,FALSE)))</f>
        <v>10</v>
      </c>
      <c r="J38" s="9520" t="str">
        <f>+IF(L38="","",IF(VLOOKUP(MATCH(L38,tid,0),tao,'12(id)'!$I$20,FALSE)="","",VLOOKUP(MATCH(L38,tid,0),tao,'12(id)'!$I$20,FALSE)))</f>
        <v/>
      </c>
      <c r="K38" s="9518">
        <f>+IF(L38="","",IF(VLOOKUP(MATCH(L38,tid,0),tao,'12(id)'!$K$20,FALSE)="","",VLOOKUP(MATCH(L38,tid,0),tao,'12(id)'!$K$20,FALSE)))</f>
        <v>8300</v>
      </c>
      <c r="L38" s="5154" t="s">
        <v>266</v>
      </c>
      <c r="M38" s="52" t="str">
        <f>+IF(L38="","",IF(VLOOKUP(MATCH(L38,tid,0),tao,'12(id)'!$L$20,FALSE)="","",VLOOKUP(MATCH(L38,tid,0),tao,'12(id)'!$L$20,FALSE)))</f>
        <v>Torrington Terminal</v>
      </c>
      <c r="N38" s="52" t="str">
        <f>+IF(L38="","",IF(VLOOKUP(MATCH(L38,tid,0),tao,'12(id)'!$P$20,FALSE)="","",VLOOKUP(MATCH(L38,tid,0),tao,'12(id)'!$P$20,FALSE)))</f>
        <v>South Main Street Torrington-10</v>
      </c>
      <c r="O38" s="4385" t="str">
        <f>+IF(L38="","",IF(VLOOKUP(MATCH(L38,tid,0),tao,'12(id)'!$Q$20,FALSE)="","",VLOOKUP(MATCH(L38,tid,0),tao,'12(id)'!$Q$20,FALSE)))</f>
        <v>TT10</v>
      </c>
      <c r="P38" s="7833">
        <f>+IF(L38="","",IF(VLOOKUP(MATCH(L38,tid,0),tao,'12(id)'!$CT$20,FALSE)="","",VLOOKUP(MATCH(L38,tid,0),tao,'12(id)'!$CT$20,FALSE)))</f>
        <v>20</v>
      </c>
      <c r="Q38" s="7831">
        <f>+P38</f>
        <v>20</v>
      </c>
      <c r="R38" s="635" t="str">
        <f>+IF(L38="","",IF(VLOOKUP(MATCH(L38,tid,0),tao,'12(id)'!$T$20,FALSE)="","",VLOOKUP(MATCH(L38,tid,0),tao,'12(id)'!$T$20,FALSE)))</f>
        <v>Combustion Turbine</v>
      </c>
      <c r="S38" s="636" t="str">
        <f>+IF(L38="","",IF(VLOOKUP(MATCH(L38,tid,0),tao,'12(id)'!$CO$20,FALSE)="","",VLOOKUP(MATCH(L38,tid,0),tao,'12(id)'!$CO$20,FALSE)))</f>
        <v>Pratt &amp; Whitney</v>
      </c>
      <c r="T38" s="635" t="str">
        <f>+IF(L38="","",IF(VLOOKUP(MATCH(L38,tid,0),tao,'12(id)'!$CP$20,FALSE)="","",VLOOKUP(MATCH(L38,tid,0),tao,'12(id)'!$CP$20,FALSE)))</f>
        <v>FT4-A8</v>
      </c>
      <c r="U38" s="637" t="str">
        <f>+IF(L38="","",IF(VLOOKUP(MATCH(L38,tid,0),tao,'12(id)'!$DC$20,FALSE)="","",IF(VLOOKUP(MATCH(L38,tid,0),tao,'12(id)'!$DB$20,FALSE)="",VLOOKUP(MATCH(L38,tid,0),tao,'12(id)'!$DC$20,FALSE),VLOOKUP(MATCH(L38,tid,0),tao,'12(id)'!$DB$20,FALSE)&amp;" "&amp;VLOOKUP(MATCH(L38,tid,0),tao,'12(id)'!$DC$20,FALSE))))</f>
        <v>Jan 1969</v>
      </c>
      <c r="V38" s="638">
        <f ca="1">+IF(L38="","",IF(VLOOKUP(MATCH(L38,tid,0),tao,'12(id)'!$DE$20,FALSE)="","",ROUND(VLOOKUP(MATCH(L38,tid,0),tao,'12(id)'!$DE$20,FALSE),0)))</f>
        <v>46</v>
      </c>
      <c r="W38" s="639" t="str">
        <f>+IF(L38="","",IF(VLOOKUP(G38,tao,'12(id)'!$FR$20,FALSE)="","",VLOOKUP(G38,tao,'12(id)'!$FR$20,FALSE)&amp;IF(VLOOKUP(G38,tao,'12(id)'!$FS$20,FALSE)="","",", "&amp;VLOOKUP(G38,tao,'12(id)'!$FS$20,FALSE))))</f>
        <v>None</v>
      </c>
      <c r="X38" s="639" t="str">
        <f>+IF(L38="","",IF(VLOOKUP(MATCH(L38,tid,0),tao,'12(id)'!$DI$20,FALSE)="","",VLOOKUP(MATCH(L38,tid,0),tao,'12(id)'!$DI$20,FALSE)))</f>
        <v>Ultra low sulfur kerosene  oil (ULSD)</v>
      </c>
      <c r="Y38" s="639" t="str">
        <f>+IF(L38="","",IF(VLOOKUP(MATCH(L38,tid,0),tao,'12(id)'!$DQ$20,FALSE)="","",VLOOKUP(MATCH(L38,tid,0),tao,'12(id)'!$DQ$20,FALSE)))</f>
        <v/>
      </c>
      <c r="Z38" s="4409">
        <f>+IF(L38="","",IF(VLOOKUP(MATCH(L38,tid,0),tao,'12(id)'!$EH$20,FALSE)="","",VLOOKUP(MATCH(L38,tid,0),tao,'12(id)'!$EH$20,FALSE)))</f>
        <v>256</v>
      </c>
      <c r="AA38" s="4410">
        <f>+IF(L38="","",IF(VLOOKUP(MATCH(L38,tid,0),tao,'12(id)'!$EI$20,FALSE)="","",VLOOKUP(MATCH(L38,tid,0),tao,'12(id)'!$EI$20,FALSE)))</f>
        <v>0.68</v>
      </c>
      <c r="AB38" s="4410" t="str">
        <f>+IF(L38="","",IF(VLOOKUP(MATCH(L38,tid,0),tao,'12(id)'!$EJ$20,FALSE)="","",VLOOKUP(MATCH(L38,tid,0),tao,'12(id)'!$EJ$20,FALSE)))</f>
        <v/>
      </c>
      <c r="AC38" s="4434">
        <f>+IF(L38="","",IF(VLOOKUP(MATCH(L38,tid,0),tao,'12(id)'!$EL$20,FALSE)="","",VLOOKUP(MATCH(L38,tid,0),tao,'12(id)'!$EL$20,FALSE)))</f>
        <v>0.8</v>
      </c>
      <c r="AD38" s="4437"/>
      <c r="AE38" s="4411">
        <f t="shared" si="3"/>
        <v>0.68</v>
      </c>
      <c r="AF38" s="4412" t="str">
        <f t="shared" si="4"/>
        <v/>
      </c>
      <c r="AG38" s="640">
        <f>+IF(L38="","",IF(VLOOKUP(MATCH(L38,tid,0),tao,'12(id)'!$GY$20,FALSE)="","",VLOOKUP(MATCH(L38,tid,0),tao,'12(id)'!$GY$20,FALSE)))</f>
        <v>29.5</v>
      </c>
      <c r="AH38" s="641">
        <f>+IF(L38="","",IF(VLOOKUP(MATCH(L38,tid,0),tao,'12(id)'!$HL$20,FALSE)="","",VLOOKUP(MATCH(L38,tid,0),tao,'12(id)'!$HL$20,FALSE)))</f>
        <v>3.2</v>
      </c>
      <c r="AI38" s="564">
        <f>+IF(L38="","",IF(2010-VLOOKUP(MATCH(L38,epa_id,0),epa,'A1(epa)'!$U$17,FALSE)=0,IF(VLOOKUP(MATCH(L38,epa_id,0),epa,'A1(epa)'!$U$17,FALSE)=0,"",VLOOKUP(MATCH(L38,epa_id,0),epa,'A1(epa)'!$U$17,FALSE))))</f>
        <v>2010</v>
      </c>
      <c r="AJ38" s="612">
        <f>+IF(L38="","",IF(2010-VLOOKUP(MATCH(L38,epa_id,0),epa,'A1(epa)'!$U$17,FALSE)=0,IF(VLOOKUP(MATCH(L38,epa_id,0),epa,'A1(epa)'!$W$17,FALSE)=0,"",VLOOKUP(MATCH(L38,epa_id,0),epa,'A1(epa)'!$W$17,FALSE))))</f>
        <v>36</v>
      </c>
      <c r="AK38" s="589">
        <f>+IF(L38="","",IF(2010-VLOOKUP(MATCH(L38,epa_id,0),epa,'A1(epa)'!$U$17,FALSE)=0,IF(VLOOKUP(MATCH(L38,epa_id,0),epa,'A1(epa)'!$X$17,FALSE)=0,"",VLOOKUP(MATCH(L38,epa_id,0),epa,'A1(epa)'!$X$17,FALSE))))</f>
        <v>5</v>
      </c>
      <c r="AL38" s="612">
        <f>+IF(L38="","",IF(2010-VLOOKUP(MATCH(L38,epa_id,0),epa,'A1(epa)'!$U$17,FALSE)=0,IF(VLOOKUP(MATCH(L38,epa_id,0),epa,'A1(epa)'!$Y$17,FALSE)=0,"",VLOOKUP(MATCH(L38,epa_id,0),epa,'A1(epa)'!$Y$17,FALSE))))</f>
        <v>468</v>
      </c>
      <c r="AM38" s="5796">
        <f>+IF(L38="","",IF(2010-VLOOKUP(MATCH(L38,epa_id,0),epa,'A1(epa)'!$U$17,FALSE)=0,IF(VLOOKUP(MATCH(L38,epa_id,0),epa,'A1(epa)'!$AA$17,FALSE)=0,"",VLOOKUP(MATCH(L38,epa_id,0),epa,'A1(epa)'!$AA$17,FALSE))))</f>
        <v>1.2</v>
      </c>
      <c r="AN38" s="5797">
        <f>+IF(L38="","",IF(2010-VLOOKUP(MATCH(L38,epa_id,0),epa,'A1(epa)'!$U$17,FALSE)=0,IF(VLOOKUP(MATCH(L38,epa_id,0),epa,'A1(epa)'!$AB$17,FALSE)=0,"",VLOOKUP(MATCH(L38,epa_id,0),epa,'A1(epa)'!$AB$17,FALSE))))</f>
        <v>5.4</v>
      </c>
      <c r="AO38" s="5798">
        <f t="shared" si="14"/>
        <v>0.68</v>
      </c>
      <c r="AP38" s="5799">
        <f t="shared" si="5"/>
        <v>3.0838000000000001</v>
      </c>
      <c r="AQ38" s="5800">
        <f t="shared" si="6"/>
        <v>6589.3162393162393</v>
      </c>
      <c r="AR38" s="612">
        <f>+IF(L38="","",IF(2010-VLOOKUP(MATCH(L38,epa_id,0),epa,'A1(epa)'!$U$17,FALSE)=0,IF(VLOOKUP(MATCH(L38,epa_id,0),epa,'A1(epa)'!$AC$17,FALSE)=0,"",VLOOKUP(MATCH(L38,epa_id,0),epa,'A1(epa)'!$AC$17,FALSE))))</f>
        <v>9070</v>
      </c>
      <c r="AS38" s="639" t="str">
        <f>+IF(L38="","",IF(2010-VLOOKUP(MATCH(L38,epa_id,0),epa,'A1(epa)'!$U$17,FALSE)=0,IF(VLOOKUP(MATCH(L38,epa_id,0),epa,'A1(epa)'!$AP$17,FALSE)=0,"",VLOOKUP(MATCH(L38,epa_id,0),epa,'A1(epa)'!$AP$17,FALSE))))</f>
        <v>Other Oil</v>
      </c>
      <c r="AT38" s="5621" t="str">
        <f>+IF(L38="","",IF(2010-VLOOKUP(MATCH(L38,epa_id,0),epa,'A1(epa)'!$U$17,FALSE)=0,IF(VLOOKUP(MATCH(L38,epa_id,0),epa,'A1(epa)'!$AQ$17,FALSE)=0,"",VLOOKUP(MATCH(L38,epa_id,0),epa,'A1(epa)'!$AQ$17,FALSE))))</f>
        <v/>
      </c>
      <c r="AU38" s="564">
        <f>+IF(L38="","",IF(2009-VLOOKUP(MATCH(L38,epa_id,0)+1,epa,'A1(epa)'!$U$17,FALSE)=0,IF(VLOOKUP(MATCH(L38,epa_id,0)+1,epa,'A1(epa)'!$U$17,FALSE)=0,"",VLOOKUP(MATCH(L38,epa_id,0)+1,epa,'A1(epa)'!$U$17,FALSE))))</f>
        <v>2009</v>
      </c>
      <c r="AV38" s="637">
        <f>+IF(L38="","",IF(2009-VLOOKUP(MATCH(L38,epa_id,0)+1,epa,'A1(epa)'!$U$17,FALSE)=0,IF(VLOOKUP(MATCH(L38,epa_id,0)+1,epa,'A1(epa)'!$W$17,FALSE)=0,"",VLOOKUP(MATCH(L38,epa_id,0)+1,epa,'A1(epa)'!$W$17,FALSE))))</f>
        <v>6</v>
      </c>
      <c r="AW38" s="642">
        <f>+IF(L38="","",IF(2009-VLOOKUP(MATCH(L38,epa_id,0)+1,epa,'A1(epa)'!$U$17,FALSE)=0,IF(VLOOKUP(MATCH(L38,epa_id,0)+1,epa,'A1(epa)'!$X$17,FALSE)=0,"",VLOOKUP(MATCH(L38,epa_id,0)+1,epa,'A1(epa)'!$X$17,FALSE))))</f>
        <v>5</v>
      </c>
      <c r="AX38" s="612">
        <f>+IF(L38="","",IF(2009-VLOOKUP(MATCH(L38,epa_id,0)+1,epa,'A1(epa)'!$U$17,FALSE)=0,IF(VLOOKUP(MATCH(L38,epa_id,0)+1,epa,'A1(epa)'!$Y$17,FALSE)=0,"",VLOOKUP(MATCH(L38,epa_id,0)+1,epa,'A1(epa)'!$Y$17,FALSE))))</f>
        <v>91</v>
      </c>
      <c r="AY38" s="611">
        <f>+IF(L38="","",IF(2009-VLOOKUP(MATCH(L38,epa_id,0)+1,epa,'A1(epa)'!$U$17,FALSE)=0,IF(VLOOKUP(MATCH(L38,epa_id,0)+1,epa,'A1(epa)'!$AA$17,FALSE)=0,"",VLOOKUP(MATCH(L38,epa_id,0)+1,epa,'A1(epa)'!$AA$17,FALSE))))</f>
        <v>1.2</v>
      </c>
      <c r="AZ38" s="5684">
        <f>+IF(L38="","",IF(2009-VLOOKUP(MATCH(L38,epa_id,0)+1,epa,'A1(epa)'!$U$17,FALSE)=0,IF(VLOOKUP(MATCH(L38,epa_id,0)+1,epa,'A1(epa)'!$AB$17,FALSE)=0,"",VLOOKUP(MATCH(L38,epa_id,0)+1,epa,'A1(epa)'!$AB$17,FALSE))))</f>
        <v>0.8</v>
      </c>
      <c r="BA38" s="5685">
        <f t="shared" si="15"/>
        <v>0.68</v>
      </c>
      <c r="BB38" s="5686">
        <f t="shared" si="7"/>
        <v>0.47872000000000003</v>
      </c>
      <c r="BC38" s="5390">
        <f t="shared" si="8"/>
        <v>5260.6593406593411</v>
      </c>
      <c r="BD38" s="612">
        <f>+IF(L38="","",IF(2009-VLOOKUP(MATCH(L38,epa_id,0)+1,epa,'A1(epa)'!$U$17,FALSE)=0,IF(VLOOKUP(MATCH(L38,epa_id,0)+1,epa,'A1(epa)'!$AC$17,FALSE)=0,"",VLOOKUP(MATCH(L38,epa_id,0)+1,epa,'A1(epa)'!$AC$17,FALSE))))</f>
        <v>1408</v>
      </c>
      <c r="BE38" s="642" t="str">
        <f>+IF(L38="","",IF(2009-VLOOKUP(MATCH(L38,epa_id,0)+1,epa,'A1(epa)'!$U$17,FALSE)=0,IF(VLOOKUP(MATCH(L38,epa_id,0)+1,epa,'A1(epa)'!$AP$17,FALSE)=0,"",VLOOKUP(MATCH(L38,epa_id,0)+1,epa,'A1(epa)'!$AP$17,FALSE))))</f>
        <v>Other Oil</v>
      </c>
      <c r="BF38" s="643" t="str">
        <f>+IF(L38="","",IF(2009-VLOOKUP(MATCH(L38,epa_id,0)+1,epa,'A1(epa)'!$U$17,FALSE)=0,IF(VLOOKUP(MATCH(L38,epa_id,0)+1,epa,'A1(epa)'!$AQ$17,FALSE)=0,"",VLOOKUP(MATCH(L38,epa_id,0)+1,epa,'A1(epa)'!$AQ$17,FALSE))))</f>
        <v/>
      </c>
      <c r="BG38" s="287">
        <f>+IF(L38="","",IF(2008-VLOOKUP(MATCH(L38,epa_id,0)+2,epa,'A1(epa)'!$U$17,FALSE)=0,IF(VLOOKUP(MATCH(L38,epa_id,0)+2,epa,'A1(epa)'!$U$17,FALSE)=0,"",VLOOKUP(MATCH(L38,epa_id,0)+2,epa,'A1(epa)'!$U$17,FALSE))))</f>
        <v>2008</v>
      </c>
      <c r="BH38" s="642">
        <f>+IF(L38="","",IF(2008-VLOOKUP(MATCH(L38,epa_id,0)+2,epa,'A1(epa)'!$U$17,FALSE)=0,IF(VLOOKUP(MATCH(L38,epa_id,0)+2,epa,'A1(epa)'!$W$17,FALSE)=0,"",VLOOKUP(MATCH(L38,epa_id,0)+2,epa,'A1(epa)'!$W$17,FALSE))))</f>
        <v>6</v>
      </c>
      <c r="BI38" s="642">
        <f>+IF(L38="","",IF(2008-VLOOKUP(MATCH(L38,epa_id,0)+2,epa,'A1(epa)'!$U$17,FALSE)=0,IF(VLOOKUP(MATCH(L38,epa_id,0)+2,epa,'A1(epa)'!$X$17,FALSE)=0,"",VLOOKUP(MATCH(L38,epa_id,0)+2,epa,'A1(epa)'!$X$17,FALSE))))</f>
        <v>5</v>
      </c>
      <c r="BJ38" s="612">
        <f>+IF(L38="","",IF(2008-VLOOKUP(MATCH(L38,epa_id,0)+2,epa,'A1(epa)'!$U$17,FALSE)=0,IF(VLOOKUP(MATCH(L38,epa_id,0)+2,epa,'A1(epa)'!$Y$17,FALSE)=0,"",VLOOKUP(MATCH(L38,epa_id,0)+2,epa,'A1(epa)'!$Y$17,FALSE))))</f>
        <v>111</v>
      </c>
      <c r="BK38" s="611">
        <f>+IF(L38="","",IF(2008-VLOOKUP(MATCH(L38,epa_id,0)+2,epa,'A1(epa)'!$U$17,FALSE)=0,IF(VLOOKUP(MATCH(L38,epa_id,0)+2,epa,'A1(epa)'!$AA$17,FALSE)=0,"",VLOOKUP(MATCH(L38,epa_id,0)+2,epa,'A1(epa)'!$AA$17,FALSE))))</f>
        <v>1.2</v>
      </c>
      <c r="BL38" s="5684">
        <f>+IF(L38="","",IF(2008-VLOOKUP(MATCH(L38,epa_id,0)+2,epa,'A1(epa)'!$U$17,FALSE)=0,IF(VLOOKUP(MATCH(L38,epa_id,0)+2,epa,'A1(epa)'!$AB$17,FALSE)=0,"",VLOOKUP(MATCH(L38,epa_id,0)+2,epa,'A1(epa)'!$AB$17,FALSE))))</f>
        <v>0.9</v>
      </c>
      <c r="BM38" s="5731">
        <f t="shared" si="16"/>
        <v>0.68</v>
      </c>
      <c r="BN38" s="5732">
        <f t="shared" si="9"/>
        <v>0.49300000000000005</v>
      </c>
      <c r="BO38" s="5733">
        <f t="shared" si="10"/>
        <v>4441.4414414414423</v>
      </c>
      <c r="BP38" s="5636">
        <f>+IF(L38="","",IF(2008-VLOOKUP(MATCH(L38,epa_id,0)+2,epa,'A1(epa)'!$U$17,FALSE)=0,IF(VLOOKUP(MATCH(L38,epa_id,0)+2,epa,'A1(epa)'!$AC$17,FALSE)=0,"",VLOOKUP(MATCH(L38,epa_id,0)+2,epa,'A1(epa)'!$AC$17,FALSE))))</f>
        <v>1450</v>
      </c>
      <c r="BQ38" s="5620" t="str">
        <f>+IF(L38="","",IF(2008-VLOOKUP(MATCH(L38,epa_id,0)+2,epa,'A1(epa)'!$U$17,FALSE)=0,IF(VLOOKUP(MATCH(L38,epa_id,0)+2,epa,'A1(epa)'!$AP$17,FALSE)=0,"",VLOOKUP(MATCH(L38,epa_id,0)+2,epa,'A1(epa)'!$AP$17,FALSE))))</f>
        <v>Other Oil</v>
      </c>
      <c r="BR38" s="5621" t="str">
        <f>+IF(L38="","",IF(2008-VLOOKUP(MATCH(L38,epa_id,0)+2,epa,'A1(epa)'!$U$17,FALSE)=0,IF(VLOOKUP(MATCH(L38,epa_id,0)+2,epa,'A1(epa)'!$AQ$17,FALSE)=0,"",VLOOKUP(MATCH(L38,epa_id,0)+2,epa,'A1(epa)'!$AQ$17,FALSE))))</f>
        <v/>
      </c>
      <c r="BS38" s="5607" t="str">
        <f>+IF(L38="","",IF(2010-VLOOKUP(MATCH(L38,epa_id,0),epa,'A1(epa)'!$U$17,FALSE)=0,IF(VLOOKUP(MATCH(L38,epa_id,0),epa,'A1(epa)'!$AS$17,FALSE)=0,"",VLOOKUP(MATCH(L38,epa_id,0),epa,'A1(epa)'!$AS$17,FALSE))))</f>
        <v/>
      </c>
      <c r="BT38" s="639" t="str">
        <f>+IF(L38="","",IF(2010-VLOOKUP(MATCH(L38,epa_id,0),epa,'A1(epa)'!$U$17,FALSE)=0,IF(VLOOKUP(MATCH(L38,epa_id,0),epa,'A1(epa)'!$AT$17,FALSE)=0,"",VLOOKUP(MATCH(L38,epa_id,0),epa,'A1(epa)'!$AT$17,FALSE))))</f>
        <v/>
      </c>
      <c r="BU38" s="639" t="str">
        <f>+IF(L38="","",IF(2010-VLOOKUP(MATCH(L38,epa_id,0),epa,'A1(epa)'!$U$17,FALSE)=0,IF(VLOOKUP(MATCH(L38,epa_id,0),epa,'A1(epa)'!$AU$17,FALSE)=0,"",VLOOKUP(MATCH(L38,epa_id,0),epa,'A1(epa)'!$AU$17,FALSE))))</f>
        <v/>
      </c>
      <c r="BV38" s="639" t="str">
        <f>+IF(L38="","",IF(2010-VLOOKUP(MATCH(L38,epa_id,0),epa,'A1(epa)'!$U$17,FALSE)=0,IF(VLOOKUP(MATCH(L38,epa_id,0),epa,'A1(epa)'!$AR$17,FALSE)=0,"",VLOOKUP(MATCH(L38,epa_id,0),epa,'A1(epa)'!$AR$17,FALSE))))</f>
        <v/>
      </c>
      <c r="BW38" s="5593" t="str">
        <f>+IF(L38="","",IF(2010-VLOOKUP(MATCH(L38,epa_id,0),epa,'A1(epa)'!$U$17,FALSE)=0,IF(VLOOKUP(MATCH(L38,epa_id,0),epa,'A1(epa)'!$AV$17,FALSE)=0,"",VLOOKUP(MATCH(L38,epa_id,0),epa,'A1(epa)'!$AV$17,FALSE))))</f>
        <v/>
      </c>
      <c r="BX38" s="574">
        <f>+IF(L38="","",IF(2010-VLOOKUP(MATCH(L38,epa_id,0),epa,'A1(epa)'!$U$17,FALSE)=0,IF(VLOOKUP(MATCH(L38,epa_id,0),epa,'A1(epa)'!$AW$17,FALSE)=0,"",VLOOKUP(MATCH(L38,epa_id,0),epa,'A1(epa)'!$AW$17,FALSE))))</f>
        <v>250</v>
      </c>
      <c r="BY38" s="5415"/>
      <c r="BZ38" s="574">
        <f t="shared" si="11"/>
        <v>5430.4723404723409</v>
      </c>
      <c r="CA38" s="5415"/>
      <c r="CB38" s="4381">
        <f>+IF(AJ38="","",MAX(AJ38))</f>
        <v>36</v>
      </c>
      <c r="CC38" s="4379">
        <f>+IF(AL38="","",MAX(AL38))</f>
        <v>468</v>
      </c>
      <c r="CD38" s="4379">
        <f>+IF(AR38="","",MAX(AR38))</f>
        <v>9070</v>
      </c>
      <c r="CE38" s="4387">
        <f>+IF(AP38="","",MAX(AP38))</f>
        <v>3.0838000000000001</v>
      </c>
      <c r="CF38" s="4390">
        <f>+IF(CD38=AR38,AO38,0)</f>
        <v>0.68</v>
      </c>
      <c r="CG38" s="3260">
        <f t="shared" si="18"/>
        <v>0.68</v>
      </c>
      <c r="CH38" s="4382">
        <f t="shared" si="19"/>
        <v>1.8888888888888889E-2</v>
      </c>
      <c r="CI38" s="4383">
        <f>+IF(AV38="","",MAX(AV38))</f>
        <v>6</v>
      </c>
      <c r="CJ38" s="4379">
        <f>+IF(AX38="","",MAX(AX38))</f>
        <v>91</v>
      </c>
      <c r="CK38" s="4379">
        <f>+IF(BD38="","",MAX(BD38))</f>
        <v>1408</v>
      </c>
      <c r="CL38" s="4386">
        <f>+IF(BB38="","",MAX(BB38))</f>
        <v>0.47872000000000003</v>
      </c>
      <c r="CM38" s="4396">
        <f>+IF(CK38=BD38,BA38,0)</f>
        <v>0.68</v>
      </c>
      <c r="CN38" s="3260">
        <f t="shared" si="20"/>
        <v>0.68</v>
      </c>
      <c r="CO38" s="4382">
        <f t="shared" si="21"/>
        <v>0.11333333333333334</v>
      </c>
      <c r="CP38" s="7839">
        <f>+IF(BH38="","",MAX(BH38))</f>
        <v>6</v>
      </c>
      <c r="CQ38" s="4379">
        <f>+IF(BJ38="","",MAX(BJ38))</f>
        <v>111</v>
      </c>
      <c r="CR38" s="7802">
        <f>+IF(BP38="","",MAX(BP38))</f>
        <v>1450</v>
      </c>
      <c r="CS38" s="541">
        <f>+IF(BN38="","",MAX(BN38))</f>
        <v>0.49300000000000005</v>
      </c>
      <c r="CT38" s="7797">
        <f>+IF(CR38=BP38,BM38,0)</f>
        <v>0.68</v>
      </c>
      <c r="CU38" s="7797">
        <f t="shared" si="22"/>
        <v>0.68000000000000016</v>
      </c>
      <c r="CV38" s="7820">
        <f t="shared" si="23"/>
        <v>0.11333333333333336</v>
      </c>
      <c r="CW38" s="7807">
        <f t="shared" si="24"/>
        <v>2010</v>
      </c>
      <c r="CX38" s="624">
        <f t="shared" si="25"/>
        <v>36</v>
      </c>
      <c r="CY38" s="7805">
        <f t="shared" si="26"/>
        <v>468</v>
      </c>
      <c r="CZ38" s="626">
        <f t="shared" si="27"/>
        <v>9070</v>
      </c>
      <c r="DA38" s="7810">
        <f t="shared" si="12"/>
        <v>3.0838000000000001</v>
      </c>
      <c r="DB38" s="625">
        <f t="shared" si="28"/>
        <v>0.68</v>
      </c>
      <c r="DC38" s="625">
        <f>IF(OR(DA38="",CZ38=""),"",ROUND(2000*DA38/CZ38,3))</f>
        <v>0.68</v>
      </c>
      <c r="DD38" s="7816">
        <f t="shared" si="29"/>
        <v>8.5661111111111118E-2</v>
      </c>
      <c r="DE38" s="7801">
        <f t="shared" si="30"/>
        <v>4.2830555555555563</v>
      </c>
      <c r="DF38" s="7801"/>
      <c r="DG38" s="5356"/>
      <c r="DH38" s="5348"/>
      <c r="DI38" s="5348"/>
    </row>
    <row r="39" spans="1:113" s="479" customFormat="1" ht="25.5" customHeight="1">
      <c r="A39" s="5364" t="str">
        <f t="shared" si="13"/>
        <v>8300-09</v>
      </c>
      <c r="B39" s="9571"/>
      <c r="C39" s="5365" t="str">
        <f t="shared" si="2"/>
        <v>MD10</v>
      </c>
      <c r="D39" s="5359"/>
      <c r="E39" s="5351"/>
      <c r="F39" s="5359"/>
      <c r="G39" s="4445">
        <f t="shared" si="17"/>
        <v>21</v>
      </c>
      <c r="H39" s="4399">
        <v>21</v>
      </c>
      <c r="I39" s="52">
        <f>+IF(L39="","",IF(VLOOKUP(MATCH(L39,tid,0),tao,'12(id)'!$H$20,FALSE)="","",VLOOKUP(MATCH(L39,tid,0),tao,'12(id)'!$H$20,FALSE)))</f>
        <v>11</v>
      </c>
      <c r="J39" s="9520" t="str">
        <f>+IF(L39="","",IF(VLOOKUP(MATCH(L39,tid,0),tao,'12(id)'!$I$20,FALSE)="","",VLOOKUP(MATCH(L39,tid,0),tao,'12(id)'!$I$20,FALSE)))</f>
        <v/>
      </c>
      <c r="K39" s="9518">
        <f>+IF(L39="","",IF(VLOOKUP(MATCH(L39,tid,0),tao,'12(id)'!$K$20,FALSE)="","",VLOOKUP(MATCH(L39,tid,0),tao,'12(id)'!$K$20,FALSE)))</f>
        <v>8300</v>
      </c>
      <c r="L39" s="5154" t="s">
        <v>267</v>
      </c>
      <c r="M39" s="7838" t="str">
        <f>+IF(L39="","",IF(VLOOKUP(MATCH(L39,tid,0),tao,'12(id)'!$L$20,FALSE)="","",VLOOKUP(MATCH(L39,tid,0),tao,'12(id)'!$L$20,FALSE)))</f>
        <v>Middletown</v>
      </c>
      <c r="N39" s="52" t="str">
        <f>+IF(L39="","",IF(VLOOKUP(MATCH(L39,tid,0),tao,'12(id)'!$P$20,FALSE)="","",VLOOKUP(MATCH(L39,tid,0),tao,'12(id)'!$P$20,FALSE)))</f>
        <v>Middletown-10</v>
      </c>
      <c r="O39" s="543" t="str">
        <f>+IF(L39="","",IF(VLOOKUP(MATCH(L39,tid,0),tao,'12(id)'!$Q$20,FALSE)="","",VLOOKUP(MATCH(L39,tid,0),tao,'12(id)'!$Q$20,FALSE)))</f>
        <v>MD10</v>
      </c>
      <c r="P39" s="7833">
        <f>+IF(L39="","",IF(VLOOKUP(MATCH(L39,tid,0),tao,'12(id)'!$CT$20,FALSE)="","",VLOOKUP(MATCH(L39,tid,0),tao,'12(id)'!$CT$20,FALSE)))</f>
        <v>20</v>
      </c>
      <c r="Q39" s="7824">
        <f>+Q48</f>
        <v>953</v>
      </c>
      <c r="R39" s="544" t="str">
        <f>+IF(L39="","",IF(VLOOKUP(MATCH(L39,tid,0),tao,'12(id)'!$T$20,FALSE)="","",VLOOKUP(MATCH(L39,tid,0),tao,'12(id)'!$T$20,FALSE)))</f>
        <v>Combustion Turbine</v>
      </c>
      <c r="S39" s="545" t="str">
        <f>+IF(L39="","",IF(VLOOKUP(MATCH(L39,tid,0),tao,'12(id)'!$CO$20,FALSE)="","",VLOOKUP(MATCH(L39,tid,0),tao,'12(id)'!$CO$20,FALSE)))</f>
        <v>Pratt &amp; Whitney</v>
      </c>
      <c r="T39" s="544" t="str">
        <f>+IF(L39="","",IF(VLOOKUP(MATCH(L39,tid,0),tao,'12(id)'!$CP$20,FALSE)="","",VLOOKUP(MATCH(L39,tid,0),tao,'12(id)'!$CP$20,FALSE)))</f>
        <v>FT4-A8</v>
      </c>
      <c r="U39" s="7824" t="str">
        <f>+IF(L39="","",IF(VLOOKUP(MATCH(L39,tid,0),tao,'12(id)'!$DC$20,FALSE)="","",IF(VLOOKUP(MATCH(L39,tid,0),tao,'12(id)'!$DB$20,FALSE)="",VLOOKUP(MATCH(L39,tid,0),tao,'12(id)'!$DC$20,FALSE),VLOOKUP(MATCH(L39,tid,0),tao,'12(id)'!$DB$20,FALSE)&amp;" "&amp;VLOOKUP(MATCH(L39,tid,0),tao,'12(id)'!$DC$20,FALSE))))</f>
        <v>Aug 1966</v>
      </c>
      <c r="V39" s="135">
        <f ca="1">+IF(L39="","",IF(VLOOKUP(MATCH(L39,tid,0),tao,'12(id)'!$DE$20,FALSE)="","",ROUND(VLOOKUP(MATCH(L39,tid,0),tao,'12(id)'!$DE$20,FALSE),0)))</f>
        <v>48</v>
      </c>
      <c r="W39" s="546" t="str">
        <f>+IF(L39="","",IF(VLOOKUP(G39,tao,'12(id)'!$FR$20,FALSE)="","",VLOOKUP(G39,tao,'12(id)'!$FR$20,FALSE)&amp;IF(VLOOKUP(G39,tao,'12(id)'!$FS$20,FALSE)="","",", "&amp;VLOOKUP(G39,tao,'12(id)'!$FS$20,FALSE))))</f>
        <v>None</v>
      </c>
      <c r="X39" s="546" t="str">
        <f>+IF(L39="","",IF(VLOOKUP(MATCH(L39,tid,0),tao,'12(id)'!$DI$20,FALSE)="","",VLOOKUP(MATCH(L39,tid,0),tao,'12(id)'!$DI$20,FALSE)))</f>
        <v>Ultra low sulfur kerosene  oil (ULSD)</v>
      </c>
      <c r="Y39" s="546" t="str">
        <f>+IF(L39="","",IF(VLOOKUP(MATCH(L39,tid,0),tao,'12(id)'!$DQ$20,FALSE)="","",VLOOKUP(MATCH(L39,tid,0),tao,'12(id)'!$DQ$20,FALSE)))</f>
        <v/>
      </c>
      <c r="Z39" s="4417">
        <f>+IF(L39="","",IF(VLOOKUP(MATCH(L39,tid,0),tao,'12(id)'!$EH$20,FALSE)="","",VLOOKUP(MATCH(L39,tid,0),tao,'12(id)'!$EH$20,FALSE)))</f>
        <v>256</v>
      </c>
      <c r="AA39" s="4418">
        <f>+IF(L39="","",IF(VLOOKUP(MATCH(L39,tid,0),tao,'12(id)'!$EI$20,FALSE)="","",VLOOKUP(MATCH(L39,tid,0),tao,'12(id)'!$EI$20,FALSE)))</f>
        <v>0.56999999999999995</v>
      </c>
      <c r="AB39" s="4418" t="str">
        <f>+IF(L39="","",IF(VLOOKUP(MATCH(L39,tid,0),tao,'12(id)'!$EJ$20,FALSE)="","",VLOOKUP(MATCH(L39,tid,0),tao,'12(id)'!$EJ$20,FALSE)))</f>
        <v/>
      </c>
      <c r="AC39" s="4436">
        <f>+IF(L39="","",IF(VLOOKUP(MATCH(L39,tid,0),tao,'12(id)'!$EL$20,FALSE)="","",VLOOKUP(MATCH(L39,tid,0),tao,'12(id)'!$EL$20,FALSE)))</f>
        <v>0.67</v>
      </c>
      <c r="AD39" s="4438"/>
      <c r="AE39" s="4419">
        <f t="shared" si="3"/>
        <v>0.56999999999999995</v>
      </c>
      <c r="AF39" s="4420" t="str">
        <f t="shared" si="4"/>
        <v/>
      </c>
      <c r="AG39" s="644">
        <f>+IF(L39="","",IF(VLOOKUP(MATCH(L39,tid,0),tao,'12(id)'!$GY$20,FALSE)="","",VLOOKUP(MATCH(L39,tid,0),tao,'12(id)'!$GY$20,FALSE)))</f>
        <v>99.9</v>
      </c>
      <c r="AH39" s="514">
        <f>+IF(L39="","",IF(VLOOKUP(MATCH(L39,tid,0),tao,'12(id)'!$HL$20,FALSE)="","",VLOOKUP(MATCH(L39,tid,0),tao,'12(id)'!$HL$20,FALSE)))</f>
        <v>6.2</v>
      </c>
      <c r="AI39" s="7854">
        <f>+IF(L39="","",IF(2010-VLOOKUP(MATCH(L39,epa_id,0),epa,'A1(epa)'!$U$17,FALSE)=0,IF(VLOOKUP(MATCH(L39,epa_id,0),epa,'A1(epa)'!$U$17,FALSE)=0,"",VLOOKUP(MATCH(L39,epa_id,0),epa,'A1(epa)'!$U$17,FALSE))))</f>
        <v>2010</v>
      </c>
      <c r="AJ39" s="608">
        <f>+IF(L39="","",IF(2010-VLOOKUP(MATCH(L39,epa_id,0),epa,'A1(epa)'!$U$17,FALSE)=0,IF(VLOOKUP(MATCH(L39,epa_id,0),epa,'A1(epa)'!$W$17,FALSE)=0,"",VLOOKUP(MATCH(L39,epa_id,0),epa,'A1(epa)'!$W$17,FALSE))))</f>
        <v>95</v>
      </c>
      <c r="AK39" s="515">
        <f>+IF(L39="","",IF(2010-VLOOKUP(MATCH(L39,epa_id,0),epa,'A1(epa)'!$U$17,FALSE)=0,IF(VLOOKUP(MATCH(L39,epa_id,0),epa,'A1(epa)'!$X$17,FALSE)=0,"",VLOOKUP(MATCH(L39,epa_id,0),epa,'A1(epa)'!$X$17,FALSE))))</f>
        <v>5</v>
      </c>
      <c r="AL39" s="608">
        <f>+IF(L39="","",IF(2010-VLOOKUP(MATCH(L39,epa_id,0),epa,'A1(epa)'!$U$17,FALSE)=0,IF(VLOOKUP(MATCH(L39,epa_id,0),epa,'A1(epa)'!$Y$17,FALSE)=0,"",VLOOKUP(MATCH(L39,epa_id,0),epa,'A1(epa)'!$Y$17,FALSE))))</f>
        <v>1275</v>
      </c>
      <c r="AM39" s="5791">
        <f>+IF(L39="","",IF(2010-VLOOKUP(MATCH(L39,epa_id,0),epa,'A1(epa)'!$U$17,FALSE)=0,IF(VLOOKUP(MATCH(L39,epa_id,0),epa,'A1(epa)'!$AA$17,FALSE)=0,"",VLOOKUP(MATCH(L39,epa_id,0),epa,'A1(epa)'!$AA$17,FALSE))))</f>
        <v>1.2</v>
      </c>
      <c r="AN39" s="5792">
        <f>+IF(L39="","",IF(2010-VLOOKUP(MATCH(L39,epa_id,0),epa,'A1(epa)'!$U$17,FALSE)=0,IF(VLOOKUP(MATCH(L39,epa_id,0),epa,'A1(epa)'!$AB$17,FALSE)=0,"",VLOOKUP(MATCH(L39,epa_id,0),epa,'A1(epa)'!$AB$17,FALSE))))</f>
        <v>14.3</v>
      </c>
      <c r="AO39" s="5793">
        <f t="shared" si="14"/>
        <v>0.56999999999999995</v>
      </c>
      <c r="AP39" s="5794">
        <f t="shared" si="5"/>
        <v>6.7687499999999989</v>
      </c>
      <c r="AQ39" s="5795">
        <f t="shared" si="6"/>
        <v>5308.823529411764</v>
      </c>
      <c r="AR39" s="608">
        <f>+IF(L39="","",IF(2010-VLOOKUP(MATCH(L39,epa_id,0),epa,'A1(epa)'!$U$17,FALSE)=0,IF(VLOOKUP(MATCH(L39,epa_id,0),epa,'A1(epa)'!$AC$17,FALSE)=0,"",VLOOKUP(MATCH(L39,epa_id,0),epa,'A1(epa)'!$AC$17,FALSE))))</f>
        <v>23750</v>
      </c>
      <c r="AS39" s="52" t="str">
        <f>+IF(L39="","",IF(2010-VLOOKUP(MATCH(L39,epa_id,0),epa,'A1(epa)'!$U$17,FALSE)=0,IF(VLOOKUP(MATCH(L39,epa_id,0),epa,'A1(epa)'!$AP$17,FALSE)=0,"",VLOOKUP(MATCH(L39,epa_id,0),epa,'A1(epa)'!$AP$17,FALSE))))</f>
        <v>Other Oil</v>
      </c>
      <c r="AT39" s="5619" t="str">
        <f>+IF(L39="","",IF(2010-VLOOKUP(MATCH(L39,epa_id,0),epa,'A1(epa)'!$U$17,FALSE)=0,IF(VLOOKUP(MATCH(L39,epa_id,0),epa,'A1(epa)'!$AQ$17,FALSE)=0,"",VLOOKUP(MATCH(L39,epa_id,0),epa,'A1(epa)'!$AQ$17,FALSE))))</f>
        <v/>
      </c>
      <c r="AU39" s="7854">
        <f>+IF(L39="","",IF(2009-VLOOKUP(MATCH(L39,epa_id,0)+1,epa,'A1(epa)'!$U$17,FALSE)=0,IF(VLOOKUP(MATCH(L39,epa_id,0)+1,epa,'A1(epa)'!$U$17,FALSE)=0,"",VLOOKUP(MATCH(L39,epa_id,0)+1,epa,'A1(epa)'!$U$17,FALSE))))</f>
        <v>2009</v>
      </c>
      <c r="AV39" s="7832">
        <f>+IF(L39="","",IF(2009-VLOOKUP(MATCH(L39,epa_id,0)+1,epa,'A1(epa)'!$U$17,FALSE)=0,IF(VLOOKUP(MATCH(L39,epa_id,0)+1,epa,'A1(epa)'!$W$17,FALSE)=0,"",VLOOKUP(MATCH(L39,epa_id,0)+1,epa,'A1(epa)'!$W$17,FALSE))))</f>
        <v>20</v>
      </c>
      <c r="AW39" s="5154">
        <f>+IF(L39="","",IF(2009-VLOOKUP(MATCH(L39,epa_id,0)+1,epa,'A1(epa)'!$U$17,FALSE)=0,IF(VLOOKUP(MATCH(L39,epa_id,0)+1,epa,'A1(epa)'!$X$17,FALSE)=0,"",VLOOKUP(MATCH(L39,epa_id,0)+1,epa,'A1(epa)'!$X$17,FALSE))))</f>
        <v>5</v>
      </c>
      <c r="AX39" s="608">
        <f>+IF(L39="","",IF(2009-VLOOKUP(MATCH(L39,epa_id,0)+1,epa,'A1(epa)'!$U$17,FALSE)=0,IF(VLOOKUP(MATCH(L39,epa_id,0)+1,epa,'A1(epa)'!$Y$17,FALSE)=0,"",VLOOKUP(MATCH(L39,epa_id,0)+1,epa,'A1(epa)'!$Y$17,FALSE))))</f>
        <v>243</v>
      </c>
      <c r="AY39" s="607">
        <f>+IF(L39="","",IF(2009-VLOOKUP(MATCH(L39,epa_id,0)+1,epa,'A1(epa)'!$U$17,FALSE)=0,IF(VLOOKUP(MATCH(L39,epa_id,0)+1,epa,'A1(epa)'!$AA$17,FALSE)=0,"",VLOOKUP(MATCH(L39,epa_id,0)+1,epa,'A1(epa)'!$AA$17,FALSE))))</f>
        <v>1.2</v>
      </c>
      <c r="AZ39" s="1968">
        <f>+IF(L39="","",IF(2009-VLOOKUP(MATCH(L39,epa_id,0)+1,epa,'A1(epa)'!$U$17,FALSE)=0,IF(VLOOKUP(MATCH(L39,epa_id,0)+1,epa,'A1(epa)'!$AB$17,FALSE)=0,"",VLOOKUP(MATCH(L39,epa_id,0)+1,epa,'A1(epa)'!$AB$17,FALSE))))</f>
        <v>3</v>
      </c>
      <c r="BA39" s="5682">
        <f t="shared" si="15"/>
        <v>0.56999999999999995</v>
      </c>
      <c r="BB39" s="5683">
        <f t="shared" si="7"/>
        <v>1.4287049999999999</v>
      </c>
      <c r="BC39" s="5392">
        <f t="shared" si="8"/>
        <v>5879.4444444444443</v>
      </c>
      <c r="BD39" s="608">
        <f>+IF(L39="","",IF(2009-VLOOKUP(MATCH(L39,epa_id,0)+1,epa,'A1(epa)'!$U$17,FALSE)=0,IF(VLOOKUP(MATCH(L39,epa_id,0)+1,epa,'A1(epa)'!$AC$17,FALSE)=0,"",VLOOKUP(MATCH(L39,epa_id,0)+1,epa,'A1(epa)'!$AC$17,FALSE))))</f>
        <v>5013</v>
      </c>
      <c r="BE39" s="5154" t="str">
        <f>+IF(L39="","",IF(2009-VLOOKUP(MATCH(L39,epa_id,0)+1,epa,'A1(epa)'!$U$17,FALSE)=0,IF(VLOOKUP(MATCH(L39,epa_id,0)+1,epa,'A1(epa)'!$AP$17,FALSE)=0,"",VLOOKUP(MATCH(L39,epa_id,0)+1,epa,'A1(epa)'!$AP$17,FALSE))))</f>
        <v>Other Oil</v>
      </c>
      <c r="BF39" s="516" t="str">
        <f>+IF(L39="","",IF(2009-VLOOKUP(MATCH(L39,epa_id,0)+1,epa,'A1(epa)'!$U$17,FALSE)=0,IF(VLOOKUP(MATCH(L39,epa_id,0)+1,epa,'A1(epa)'!$AQ$17,FALSE)=0,"",VLOOKUP(MATCH(L39,epa_id,0)+1,epa,'A1(epa)'!$AQ$17,FALSE))))</f>
        <v/>
      </c>
      <c r="BG39" s="127">
        <f>+IF(L39="","",IF(2008-VLOOKUP(MATCH(L39,epa_id,0)+2,epa,'A1(epa)'!$U$17,FALSE)=0,IF(VLOOKUP(MATCH(L39,epa_id,0)+2,epa,'A1(epa)'!$U$17,FALSE)=0,"",VLOOKUP(MATCH(L39,epa_id,0)+2,epa,'A1(epa)'!$U$17,FALSE))))</f>
        <v>2008</v>
      </c>
      <c r="BH39" s="5154">
        <f>+IF(L39="","",IF(2008-VLOOKUP(MATCH(L39,epa_id,0)+2,epa,'A1(epa)'!$U$17,FALSE)=0,IF(VLOOKUP(MATCH(L39,epa_id,0)+2,epa,'A1(epa)'!$W$17,FALSE)=0,"",VLOOKUP(MATCH(L39,epa_id,0)+2,epa,'A1(epa)'!$W$17,FALSE))))</f>
        <v>17</v>
      </c>
      <c r="BI39" s="5154">
        <f>+IF(L39="","",IF(2008-VLOOKUP(MATCH(L39,epa_id,0)+2,epa,'A1(epa)'!$U$17,FALSE)=0,IF(VLOOKUP(MATCH(L39,epa_id,0)+2,epa,'A1(epa)'!$X$17,FALSE)=0,"",VLOOKUP(MATCH(L39,epa_id,0)+2,epa,'A1(epa)'!$X$17,FALSE))))</f>
        <v>5</v>
      </c>
      <c r="BJ39" s="608">
        <f>+IF(L39="","",IF(2008-VLOOKUP(MATCH(L39,epa_id,0)+2,epa,'A1(epa)'!$U$17,FALSE)=0,IF(VLOOKUP(MATCH(L39,epa_id,0)+2,epa,'A1(epa)'!$Y$17,FALSE)=0,"",VLOOKUP(MATCH(L39,epa_id,0)+2,epa,'A1(epa)'!$Y$17,FALSE))))</f>
        <v>405</v>
      </c>
      <c r="BK39" s="607">
        <f>+IF(L39="","",IF(2008-VLOOKUP(MATCH(L39,epa_id,0)+2,epa,'A1(epa)'!$U$17,FALSE)=0,IF(VLOOKUP(MATCH(L39,epa_id,0)+2,epa,'A1(epa)'!$AA$17,FALSE)=0,"",VLOOKUP(MATCH(L39,epa_id,0)+2,epa,'A1(epa)'!$AA$17,FALSE))))</f>
        <v>1.2</v>
      </c>
      <c r="BL39" s="1968">
        <f>+IF(L39="","",IF(2008-VLOOKUP(MATCH(L39,epa_id,0)+2,epa,'A1(epa)'!$U$17,FALSE)=0,IF(VLOOKUP(MATCH(L39,epa_id,0)+2,epa,'A1(epa)'!$AB$17,FALSE)=0,"",VLOOKUP(MATCH(L39,epa_id,0)+2,epa,'A1(epa)'!$AB$17,FALSE))))</f>
        <v>2.6</v>
      </c>
      <c r="BM39" s="5728">
        <f t="shared" si="16"/>
        <v>0.56999999999999995</v>
      </c>
      <c r="BN39" s="5729">
        <f t="shared" si="9"/>
        <v>1.2112499999999999</v>
      </c>
      <c r="BO39" s="5730">
        <f t="shared" si="10"/>
        <v>2990.7407407407409</v>
      </c>
      <c r="BP39" s="5635">
        <f>+IF(L39="","",IF(2008-VLOOKUP(MATCH(L39,epa_id,0)+2,epa,'A1(epa)'!$U$17,FALSE)=0,IF(VLOOKUP(MATCH(L39,epa_id,0)+2,epa,'A1(epa)'!$AC$17,FALSE)=0,"",VLOOKUP(MATCH(L39,epa_id,0)+2,epa,'A1(epa)'!$AC$17,FALSE))))</f>
        <v>4250</v>
      </c>
      <c r="BQ39" s="4708" t="str">
        <f>+IF(L39="","",IF(2008-VLOOKUP(MATCH(L39,epa_id,0)+2,epa,'A1(epa)'!$U$17,FALSE)=0,IF(VLOOKUP(MATCH(L39,epa_id,0)+2,epa,'A1(epa)'!$AP$17,FALSE)=0,"",VLOOKUP(MATCH(L39,epa_id,0)+2,epa,'A1(epa)'!$AP$17,FALSE))))</f>
        <v>Other Oil</v>
      </c>
      <c r="BR39" s="5619" t="str">
        <f>+IF(L39="","",IF(2008-VLOOKUP(MATCH(L39,epa_id,0)+2,epa,'A1(epa)'!$U$17,FALSE)=0,IF(VLOOKUP(MATCH(L39,epa_id,0)+2,epa,'A1(epa)'!$AQ$17,FALSE)=0,"",VLOOKUP(MATCH(L39,epa_id,0)+2,epa,'A1(epa)'!$AQ$17,FALSE))))</f>
        <v/>
      </c>
      <c r="BS39" s="5608" t="str">
        <f>+IF(L39="","",IF(2010-VLOOKUP(MATCH(L39,epa_id,0),epa,'A1(epa)'!$U$17,FALSE)=0,IF(VLOOKUP(MATCH(L39,epa_id,0),epa,'A1(epa)'!$AS$17,FALSE)=0,"",VLOOKUP(MATCH(L39,epa_id,0),epa,'A1(epa)'!$AS$17,FALSE))))</f>
        <v/>
      </c>
      <c r="BT39" s="52" t="str">
        <f>+IF(L39="","",IF(2010-VLOOKUP(MATCH(L39,epa_id,0),epa,'A1(epa)'!$U$17,FALSE)=0,IF(VLOOKUP(MATCH(L39,epa_id,0),epa,'A1(epa)'!$AT$17,FALSE)=0,"",VLOOKUP(MATCH(L39,epa_id,0),epa,'A1(epa)'!$AT$17,FALSE))))</f>
        <v/>
      </c>
      <c r="BU39" s="52" t="str">
        <f>+IF(L39="","",IF(2010-VLOOKUP(MATCH(L39,epa_id,0),epa,'A1(epa)'!$U$17,FALSE)=0,IF(VLOOKUP(MATCH(L39,epa_id,0),epa,'A1(epa)'!$AU$17,FALSE)=0,"",VLOOKUP(MATCH(L39,epa_id,0),epa,'A1(epa)'!$AU$17,FALSE))))</f>
        <v/>
      </c>
      <c r="BV39" s="52" t="str">
        <f>+IF(L39="","",IF(2010-VLOOKUP(MATCH(L39,epa_id,0),epa,'A1(epa)'!$U$17,FALSE)=0,IF(VLOOKUP(MATCH(L39,epa_id,0),epa,'A1(epa)'!$AR$17,FALSE)=0,"",VLOOKUP(MATCH(L39,epa_id,0),epa,'A1(epa)'!$AR$17,FALSE))))</f>
        <v/>
      </c>
      <c r="BW39" s="5594" t="str">
        <f>+IF(L39="","",IF(2010-VLOOKUP(MATCH(L39,epa_id,0),epa,'A1(epa)'!$U$17,FALSE)=0,IF(VLOOKUP(MATCH(L39,epa_id,0),epa,'A1(epa)'!$AV$17,FALSE)=0,"",VLOOKUP(MATCH(L39,epa_id,0),epa,'A1(epa)'!$AV$17,FALSE))))</f>
        <v/>
      </c>
      <c r="BX39" s="519">
        <f>+IF(L39="","",IF(2010-VLOOKUP(MATCH(L39,epa_id,0),epa,'A1(epa)'!$U$17,FALSE)=0,IF(VLOOKUP(MATCH(L39,epa_id,0),epa,'A1(epa)'!$AW$17,FALSE)=0,"",VLOOKUP(MATCH(L39,epa_id,0),epa,'A1(epa)'!$AW$17,FALSE))))</f>
        <v>250</v>
      </c>
      <c r="BY39" s="5419"/>
      <c r="BZ39" s="519">
        <f t="shared" si="11"/>
        <v>4726.3362381989828</v>
      </c>
      <c r="CA39" s="5419"/>
      <c r="CB39" s="584">
        <f>+IF(AJ39="","",MAX(AJ39))</f>
        <v>95</v>
      </c>
      <c r="CC39" s="4379">
        <f>+IF(AL39="","",MAX(AL39))</f>
        <v>1275</v>
      </c>
      <c r="CD39" s="515">
        <f>+IF(AR39="","",MAX(AR39))</f>
        <v>23750</v>
      </c>
      <c r="CE39" s="4387">
        <f>+IF(AP39="","",MAX(AP39))</f>
        <v>6.7687499999999989</v>
      </c>
      <c r="CF39" s="4390">
        <f>+IF(CD39=AR39,AO39,0)</f>
        <v>0.56999999999999995</v>
      </c>
      <c r="CG39" s="517">
        <f t="shared" si="18"/>
        <v>0.56999999999999995</v>
      </c>
      <c r="CH39" s="522">
        <f t="shared" si="19"/>
        <v>5.9999999999999993E-3</v>
      </c>
      <c r="CI39" s="520">
        <f>+IF(AV39="","",MAX(AV39))</f>
        <v>20</v>
      </c>
      <c r="CJ39" s="4379">
        <f>+IF(AX39="","",MAX(AX39))</f>
        <v>243</v>
      </c>
      <c r="CK39" s="515">
        <f>+IF(BD39="","",MAX(BD39))</f>
        <v>5013</v>
      </c>
      <c r="CL39" s="4386">
        <f>+IF(BB39="","",MAX(BB39))</f>
        <v>1.4287049999999999</v>
      </c>
      <c r="CM39" s="4396">
        <f>+IF(CK39=BD39,BA39,0)</f>
        <v>0.56999999999999995</v>
      </c>
      <c r="CN39" s="517">
        <f t="shared" si="20"/>
        <v>0.56999999999999995</v>
      </c>
      <c r="CO39" s="522">
        <f t="shared" si="21"/>
        <v>2.8499999999999998E-2</v>
      </c>
      <c r="CP39" s="520">
        <f>+IF(BH39="","",MAX(BH39))</f>
        <v>17</v>
      </c>
      <c r="CQ39" s="4379">
        <f>+IF(BJ39="","",MAX(BJ39))</f>
        <v>405</v>
      </c>
      <c r="CR39" s="515">
        <f>+IF(BP39="","",MAX(BP39))</f>
        <v>4250</v>
      </c>
      <c r="CS39" s="4386">
        <f>+IF(BN39="","",MAX(BN39))</f>
        <v>1.2112499999999999</v>
      </c>
      <c r="CT39" s="4396">
        <f>+IF(CR39=BP39,BM39,0)</f>
        <v>0.56999999999999995</v>
      </c>
      <c r="CU39" s="517">
        <f t="shared" si="22"/>
        <v>0.56999999999999995</v>
      </c>
      <c r="CV39" s="523">
        <f t="shared" si="23"/>
        <v>3.3529411764705877E-2</v>
      </c>
      <c r="CW39" s="605">
        <f t="shared" si="24"/>
        <v>2010</v>
      </c>
      <c r="CX39" s="606">
        <f t="shared" si="25"/>
        <v>95</v>
      </c>
      <c r="CY39" s="5582">
        <f t="shared" si="26"/>
        <v>1275</v>
      </c>
      <c r="CZ39" s="608">
        <f t="shared" si="27"/>
        <v>23750</v>
      </c>
      <c r="DA39" s="518">
        <f t="shared" si="12"/>
        <v>6.7687499999999989</v>
      </c>
      <c r="DB39" s="607">
        <f t="shared" si="28"/>
        <v>0.56999999999999995</v>
      </c>
      <c r="DC39" s="607">
        <f>IF(OR(DA39="",CZ39=""),"",ROUND(2000*DA39/CZ39,3))</f>
        <v>0.56999999999999995</v>
      </c>
      <c r="DD39" s="522">
        <f t="shared" si="29"/>
        <v>7.1249999999999994E-2</v>
      </c>
      <c r="DE39" s="595">
        <f t="shared" si="30"/>
        <v>3.5624999999999996</v>
      </c>
      <c r="DF39" s="595"/>
      <c r="DG39" s="5356"/>
      <c r="DH39" s="5348"/>
      <c r="DI39" s="5348"/>
    </row>
    <row r="40" spans="1:113" s="479" customFormat="1" ht="25.5" customHeight="1">
      <c r="A40" s="5364" t="str">
        <f t="shared" si="13"/>
        <v>8300-10</v>
      </c>
      <c r="B40" s="9571"/>
      <c r="C40" s="5365" t="str">
        <f t="shared" si="2"/>
        <v>NH10</v>
      </c>
      <c r="D40" s="5359"/>
      <c r="E40" s="5351"/>
      <c r="F40" s="5359"/>
      <c r="G40" s="4445">
        <f t="shared" si="17"/>
        <v>22</v>
      </c>
      <c r="H40" s="4399">
        <v>22</v>
      </c>
      <c r="I40" s="52">
        <f>+IF(L40="","",IF(VLOOKUP(MATCH(L40,tid,0),tao,'12(id)'!$H$20,FALSE)="","",VLOOKUP(MATCH(L40,tid,0),tao,'12(id)'!$H$20,FALSE)))</f>
        <v>12</v>
      </c>
      <c r="J40" s="9520" t="str">
        <f>+IF(L40="","",IF(VLOOKUP(MATCH(L40,tid,0),tao,'12(id)'!$I$20,FALSE)="","",VLOOKUP(MATCH(L40,tid,0),tao,'12(id)'!$I$20,FALSE)))</f>
        <v/>
      </c>
      <c r="K40" s="9518">
        <f>+IF(L40="","",IF(VLOOKUP(MATCH(L40,tid,0),tao,'12(id)'!$K$20,FALSE)="","",VLOOKUP(MATCH(L40,tid,0),tao,'12(id)'!$K$20,FALSE)))</f>
        <v>8300</v>
      </c>
      <c r="L40" s="5154" t="s">
        <v>268</v>
      </c>
      <c r="M40" s="52" t="str">
        <f>+IF(L40="","",IF(VLOOKUP(MATCH(L40,tid,0),tao,'12(id)'!$L$20,FALSE)="","",VLOOKUP(MATCH(L40,tid,0),tao,'12(id)'!$L$20,FALSE)))</f>
        <v>Norwalk Harbor Station</v>
      </c>
      <c r="N40" s="52" t="str">
        <f>+IF(L40="","",IF(VLOOKUP(MATCH(L40,tid,0),tao,'12(id)'!$P$20,FALSE)="","",VLOOKUP(MATCH(L40,tid,0),tao,'12(id)'!$P$20,FALSE)))</f>
        <v>Norwalk-10</v>
      </c>
      <c r="O40" s="4385" t="str">
        <f>+IF(L40="","",IF(VLOOKUP(MATCH(L40,tid,0),tao,'12(id)'!$Q$20,FALSE)="","",VLOOKUP(MATCH(L40,tid,0),tao,'12(id)'!$Q$20,FALSE)))</f>
        <v>NH10</v>
      </c>
      <c r="P40" s="7833">
        <f>+IF(L40="","",IF(VLOOKUP(MATCH(L40,tid,0),tao,'12(id)'!$CT$20,FALSE)="","",VLOOKUP(MATCH(L40,tid,0),tao,'12(id)'!$CT$20,FALSE)))</f>
        <v>17</v>
      </c>
      <c r="Q40" s="7831">
        <v>353</v>
      </c>
      <c r="R40" s="7899" t="str">
        <f>+IF(L40="","",IF(VLOOKUP(MATCH(L40,tid,0),tao,'12(id)'!$T$20,FALSE)="","",VLOOKUP(MATCH(L40,tid,0),tao,'12(id)'!$T$20,FALSE)))</f>
        <v>Combustion Turbine</v>
      </c>
      <c r="S40" s="417" t="str">
        <f>+IF(L40="","",IF(VLOOKUP(MATCH(L40,tid,0),tao,'12(id)'!$CO$20,FALSE)="","",VLOOKUP(MATCH(L40,tid,0),tao,'12(id)'!$CO$20,FALSE)))</f>
        <v>Westinghouse</v>
      </c>
      <c r="T40" s="7899" t="str">
        <f>+IF(L40="","",IF(VLOOKUP(MATCH(L40,tid,0),tao,'12(id)'!$CP$20,FALSE)="","",VLOOKUP(MATCH(L40,tid,0),tao,'12(id)'!$CP$20,FALSE)))</f>
        <v>W191</v>
      </c>
      <c r="U40" s="7832" t="str">
        <f>+IF(L40="","",IF(VLOOKUP(MATCH(L40,tid,0),tao,'12(id)'!$DC$20,FALSE)="","",IF(VLOOKUP(MATCH(L40,tid,0),tao,'12(id)'!$DB$20,FALSE)="",VLOOKUP(MATCH(L40,tid,0),tao,'12(id)'!$DC$20,FALSE),VLOOKUP(MATCH(L40,tid,0),tao,'12(id)'!$DB$20,FALSE)&amp;" "&amp;VLOOKUP(MATCH(L40,tid,0),tao,'12(id)'!$DC$20,FALSE))))</f>
        <v>Oct 1966</v>
      </c>
      <c r="V40" s="135">
        <f ca="1">+IF(L40="","",IF(VLOOKUP(MATCH(L40,tid,0),tao,'12(id)'!$DE$20,FALSE)="","",ROUND(VLOOKUP(MATCH(L40,tid,0),tao,'12(id)'!$DE$20,FALSE),0)))</f>
        <v>48</v>
      </c>
      <c r="W40" s="52" t="str">
        <f>+IF(L40="","",IF(VLOOKUP(G40,tao,'12(id)'!$FR$20,FALSE)="","",VLOOKUP(G40,tao,'12(id)'!$FR$20,FALSE)&amp;IF(VLOOKUP(G40,tao,'12(id)'!$FS$20,FALSE)="","",", "&amp;VLOOKUP(G40,tao,'12(id)'!$FS$20,FALSE))))</f>
        <v>None</v>
      </c>
      <c r="X40" s="52" t="str">
        <f>+IF(L40="","",IF(VLOOKUP(MATCH(L40,tid,0),tao,'12(id)'!$DI$20,FALSE)="","",VLOOKUP(MATCH(L40,tid,0),tao,'12(id)'!$DI$20,FALSE)))</f>
        <v>No.2 Oil</v>
      </c>
      <c r="Y40" s="52" t="str">
        <f>+IF(L40="","",IF(VLOOKUP(MATCH(L40,tid,0),tao,'12(id)'!$DQ$20,FALSE)="","",VLOOKUP(MATCH(L40,tid,0),tao,'12(id)'!$DQ$20,FALSE)))</f>
        <v/>
      </c>
      <c r="Z40" s="4417">
        <f>+IF(L40="","",IF(VLOOKUP(MATCH(L40,tid,0),tao,'12(id)'!$EH$20,FALSE)="","",VLOOKUP(MATCH(L40,tid,0),tao,'12(id)'!$EH$20,FALSE)))</f>
        <v>256</v>
      </c>
      <c r="AA40" s="4418">
        <f>+IF(L40="","",IF(VLOOKUP(MATCH(L40,tid,0),tao,'12(id)'!$EI$20,FALSE)="","",VLOOKUP(MATCH(L40,tid,0),tao,'12(id)'!$EI$20,FALSE)))</f>
        <v>0.51400000000000001</v>
      </c>
      <c r="AB40" s="4418" t="str">
        <f>+IF(L40="","",IF(VLOOKUP(MATCH(L40,tid,0),tao,'12(id)'!$EJ$20,FALSE)="","",VLOOKUP(MATCH(L40,tid,0),tao,'12(id)'!$EJ$20,FALSE)))</f>
        <v/>
      </c>
      <c r="AC40" s="4436">
        <f>+IF(L40="","",IF(VLOOKUP(MATCH(L40,tid,0),tao,'12(id)'!$EL$20,FALSE)="","",VLOOKUP(MATCH(L40,tid,0),tao,'12(id)'!$EL$20,FALSE)))</f>
        <v>0.52</v>
      </c>
      <c r="AD40" s="4438"/>
      <c r="AE40" s="4419">
        <f t="shared" si="3"/>
        <v>0.51400000000000001</v>
      </c>
      <c r="AF40" s="4420" t="str">
        <f t="shared" si="4"/>
        <v/>
      </c>
      <c r="AG40" s="644">
        <f>+IF(L40="","",IF(VLOOKUP(MATCH(L40,tid,0),tao,'12(id)'!$GY$20,FALSE)="","",VLOOKUP(MATCH(L40,tid,0),tao,'12(id)'!$GY$20,FALSE)))</f>
        <v>14.5</v>
      </c>
      <c r="AH40" s="514">
        <f>+IF(L40="","",IF(VLOOKUP(MATCH(L40,tid,0),tao,'12(id)'!$HL$20,FALSE)="","",VLOOKUP(MATCH(L40,tid,0),tao,'12(id)'!$HL$20,FALSE)))</f>
        <v>1</v>
      </c>
      <c r="AI40" s="7854">
        <f>+IF(L40="","",IF(2010-VLOOKUP(MATCH(L40,epa_id,0),epa,'A1(epa)'!$U$17,FALSE)=0,IF(VLOOKUP(MATCH(L40,epa_id,0),epa,'A1(epa)'!$U$17,FALSE)=0,"",VLOOKUP(MATCH(L40,epa_id,0),epa,'A1(epa)'!$U$17,FALSE))))</f>
        <v>2010</v>
      </c>
      <c r="AJ40" s="5749">
        <f>+IF(L40="","",IF(2010-VLOOKUP(MATCH(L40,epa_id,0),epa,'A1(epa)'!$U$17,FALSE)=0,IF(VLOOKUP(MATCH(L40,epa_id,0),epa,'A1(epa)'!$W$17,FALSE)=0,"",VLOOKUP(MATCH(L40,epa_id,0),epa,'A1(epa)'!$W$17,FALSE))))</f>
        <v>21</v>
      </c>
      <c r="AK40" s="515">
        <f>+IF(L40="","",IF(2010-VLOOKUP(MATCH(L40,epa_id,0),epa,'A1(epa)'!$U$17,FALSE)=0,IF(VLOOKUP(MATCH(L40,epa_id,0),epa,'A1(epa)'!$X$17,FALSE)=0,"",VLOOKUP(MATCH(L40,epa_id,0),epa,'A1(epa)'!$X$17,FALSE))))</f>
        <v>5</v>
      </c>
      <c r="AL40" s="608">
        <f>+IF(L40="","",IF(2010-VLOOKUP(MATCH(L40,epa_id,0),epa,'A1(epa)'!$U$17,FALSE)=0,IF(VLOOKUP(MATCH(L40,epa_id,0),epa,'A1(epa)'!$Y$17,FALSE)=0,"",VLOOKUP(MATCH(L40,epa_id,0),epa,'A1(epa)'!$Y$17,FALSE))))</f>
        <v>204</v>
      </c>
      <c r="AM40" s="5791">
        <f>+IF(L40="","",IF(2010-VLOOKUP(MATCH(L40,epa_id,0),epa,'A1(epa)'!$U$17,FALSE)=0,IF(VLOOKUP(MATCH(L40,epa_id,0),epa,'A1(epa)'!$AA$17,FALSE)=0,"",VLOOKUP(MATCH(L40,epa_id,0),epa,'A1(epa)'!$AA$17,FALSE))))</f>
        <v>1.17</v>
      </c>
      <c r="AN40" s="5792" t="str">
        <f>+IF(L40="","",IF(2010-VLOOKUP(MATCH(L40,epa_id,0),epa,'A1(epa)'!$U$17,FALSE)=0,IF(VLOOKUP(MATCH(L40,epa_id,0),epa,'A1(epa)'!$AB$17,FALSE)=0,"",VLOOKUP(MATCH(L40,epa_id,0),epa,'A1(epa)'!$AB$17,FALSE))))</f>
        <v/>
      </c>
      <c r="AO40" s="5793">
        <f t="shared" si="14"/>
        <v>0.51400000000000001</v>
      </c>
      <c r="AP40" s="5794">
        <f t="shared" si="5"/>
        <v>1.2460030434782612</v>
      </c>
      <c r="AQ40" s="5795">
        <f t="shared" si="6"/>
        <v>6107.8580562659863</v>
      </c>
      <c r="AR40" s="5641">
        <f>+'A3(trc)'!AO17</f>
        <v>4848.2608695652179</v>
      </c>
      <c r="AS40" s="52" t="str">
        <f>+IF(L40="","",IF(2010-VLOOKUP(MATCH(L40,epa_id,0),epa,'A1(epa)'!$U$17,FALSE)=0,IF(VLOOKUP(MATCH(L40,epa_id,0),epa,'A1(epa)'!$AP$17,FALSE)=0,"",VLOOKUP(MATCH(L40,epa_id,0),epa,'A1(epa)'!$AP$17,FALSE))))</f>
        <v>Other Oil</v>
      </c>
      <c r="AT40" s="5619" t="str">
        <f>+IF(L40="","",IF(2010-VLOOKUP(MATCH(L40,epa_id,0),epa,'A1(epa)'!$U$17,FALSE)=0,IF(VLOOKUP(MATCH(L40,epa_id,0),epa,'A1(epa)'!$AQ$17,FALSE)=0,"",VLOOKUP(MATCH(L40,epa_id,0),epa,'A1(epa)'!$AQ$17,FALSE))))</f>
        <v/>
      </c>
      <c r="AU40" s="7854">
        <f>+IF(L40="","",IF(2009-VLOOKUP(MATCH(L40,epa_id,0)+1,epa,'A1(epa)'!$U$17,FALSE)=0,IF(VLOOKUP(MATCH(L40,epa_id,0)+1,epa,'A1(epa)'!$U$17,FALSE)=0,"",VLOOKUP(MATCH(L40,epa_id,0)+1,epa,'A1(epa)'!$U$17,FALSE))))</f>
        <v>2009</v>
      </c>
      <c r="AV40" s="7832">
        <f>+IF(L40="","",IF(2009-VLOOKUP(MATCH(L40,epa_id,0)+1,epa,'A1(epa)'!$U$17,FALSE)=0,IF(VLOOKUP(MATCH(L40,epa_id,0)+1,epa,'A1(epa)'!$W$17,FALSE)=0,"",VLOOKUP(MATCH(L40,epa_id,0)+1,epa,'A1(epa)'!$W$17,FALSE))))</f>
        <v>6</v>
      </c>
      <c r="AW40" s="5154">
        <f>+IF(L40="","",IF(2009-VLOOKUP(MATCH(L40,epa_id,0)+1,epa,'A1(epa)'!$U$17,FALSE)=0,IF(VLOOKUP(MATCH(L40,epa_id,0)+1,epa,'A1(epa)'!$X$17,FALSE)=0,"",VLOOKUP(MATCH(L40,epa_id,0)+1,epa,'A1(epa)'!$X$17,FALSE))))</f>
        <v>5</v>
      </c>
      <c r="AX40" s="608">
        <f>+IF(L40="","",IF(2009-VLOOKUP(MATCH(L40,epa_id,0)+1,epa,'A1(epa)'!$U$17,FALSE)=0,IF(VLOOKUP(MATCH(L40,epa_id,0)+1,epa,'A1(epa)'!$Y$17,FALSE)=0,"",VLOOKUP(MATCH(L40,epa_id,0)+1,epa,'A1(epa)'!$Y$17,FALSE))))</f>
        <v>55</v>
      </c>
      <c r="AY40" s="607">
        <f>+IF(L40="","",IF(2009-VLOOKUP(MATCH(L40,epa_id,0)+1,epa,'A1(epa)'!$U$17,FALSE)=0,IF(VLOOKUP(MATCH(L40,epa_id,0)+1,epa,'A1(epa)'!$AA$17,FALSE)=0,"",VLOOKUP(MATCH(L40,epa_id,0)+1,epa,'A1(epa)'!$AA$17,FALSE))))</f>
        <v>1.17</v>
      </c>
      <c r="AZ40" s="1968" t="str">
        <f>+IF(L40="","",IF(2009-VLOOKUP(MATCH(L40,epa_id,0)+1,epa,'A1(epa)'!$U$17,FALSE)=0,IF(VLOOKUP(MATCH(L40,epa_id,0)+1,epa,'A1(epa)'!$AB$17,FALSE)=0,"",VLOOKUP(MATCH(L40,epa_id,0)+1,epa,'A1(epa)'!$AB$17,FALSE))))</f>
        <v/>
      </c>
      <c r="BA40" s="5682">
        <f t="shared" si="15"/>
        <v>0.51400000000000001</v>
      </c>
      <c r="BB40" s="5683">
        <f t="shared" si="7"/>
        <v>0.43123728813559326</v>
      </c>
      <c r="BC40" s="5392">
        <f t="shared" si="8"/>
        <v>7840.6779661016953</v>
      </c>
      <c r="BD40" s="5641">
        <f>+'A3(trc)'!AN17</f>
        <v>1677.9661016949153</v>
      </c>
      <c r="BE40" s="5154" t="str">
        <f>+IF(L40="","",IF(2009-VLOOKUP(MATCH(L40,epa_id,0)+1,epa,'A1(epa)'!$U$17,FALSE)=0,IF(VLOOKUP(MATCH(L40,epa_id,0)+1,epa,'A1(epa)'!$AP$17,FALSE)=0,"",VLOOKUP(MATCH(L40,epa_id,0)+1,epa,'A1(epa)'!$AP$17,FALSE))))</f>
        <v>Other Oil</v>
      </c>
      <c r="BF40" s="516" t="str">
        <f>+IF(L40="","",IF(2009-VLOOKUP(MATCH(L40,epa_id,0)+1,epa,'A1(epa)'!$U$17,FALSE)=0,IF(VLOOKUP(MATCH(L40,epa_id,0)+1,epa,'A1(epa)'!$AQ$17,FALSE)=0,"",VLOOKUP(MATCH(L40,epa_id,0)+1,epa,'A1(epa)'!$AQ$17,FALSE))))</f>
        <v/>
      </c>
      <c r="BG40" s="127">
        <f>+IF(L40="","",IF(2008-VLOOKUP(MATCH(L40,epa_id,0)+2,epa,'A1(epa)'!$U$17,FALSE)=0,IF(VLOOKUP(MATCH(L40,epa_id,0)+2,epa,'A1(epa)'!$U$17,FALSE)=0,"",VLOOKUP(MATCH(L40,epa_id,0)+2,epa,'A1(epa)'!$U$17,FALSE))))</f>
        <v>2008</v>
      </c>
      <c r="BH40" s="5154">
        <f>+IF(L40="","",IF(2008-VLOOKUP(MATCH(L40,epa_id,0)+2,epa,'A1(epa)'!$U$17,FALSE)=0,IF(VLOOKUP(MATCH(L40,epa_id,0)+2,epa,'A1(epa)'!$W$17,FALSE)=0,"",VLOOKUP(MATCH(L40,epa_id,0)+2,epa,'A1(epa)'!$W$17,FALSE))))</f>
        <v>8</v>
      </c>
      <c r="BI40" s="5154">
        <f>+IF(L40="","",IF(2008-VLOOKUP(MATCH(L40,epa_id,0)+2,epa,'A1(epa)'!$U$17,FALSE)=0,IF(VLOOKUP(MATCH(L40,epa_id,0)+2,epa,'A1(epa)'!$X$17,FALSE)=0,"",VLOOKUP(MATCH(L40,epa_id,0)+2,epa,'A1(epa)'!$X$17,FALSE))))</f>
        <v>5</v>
      </c>
      <c r="BJ40" s="608">
        <f>+IF(L40="","",IF(2008-VLOOKUP(MATCH(L40,epa_id,0)+2,epa,'A1(epa)'!$U$17,FALSE)=0,IF(VLOOKUP(MATCH(L40,epa_id,0)+2,epa,'A1(epa)'!$Y$17,FALSE)=0,"",VLOOKUP(MATCH(L40,epa_id,0)+2,epa,'A1(epa)'!$Y$17,FALSE))))</f>
        <v>67</v>
      </c>
      <c r="BK40" s="607">
        <f>+IF(L40="","",IF(2008-VLOOKUP(MATCH(L40,epa_id,0)+2,epa,'A1(epa)'!$U$17,FALSE)=0,IF(VLOOKUP(MATCH(L40,epa_id,0)+2,epa,'A1(epa)'!$AA$17,FALSE)=0,"",VLOOKUP(MATCH(L40,epa_id,0)+2,epa,'A1(epa)'!$AA$17,FALSE))))</f>
        <v>1.18</v>
      </c>
      <c r="BL40" s="1968">
        <f>+IF(L40="","",IF(2008-VLOOKUP(MATCH(L40,epa_id,0)+2,epa,'A1(epa)'!$U$17,FALSE)=0,IF(VLOOKUP(MATCH(L40,epa_id,0)+2,epa,'A1(epa)'!$AB$17,FALSE)=0,"",VLOOKUP(MATCH(L40,epa_id,0)+2,epa,'A1(epa)'!$AB$17,FALSE))))</f>
        <v>0.3</v>
      </c>
      <c r="BM40" s="5728">
        <f t="shared" si="16"/>
        <v>0.51400000000000001</v>
      </c>
      <c r="BN40" s="5729">
        <f t="shared" si="9"/>
        <v>0.52482543846720708</v>
      </c>
      <c r="BO40" s="5730">
        <f t="shared" si="10"/>
        <v>7833.2154995105539</v>
      </c>
      <c r="BP40" s="5641">
        <f>+'A3(trc)'!AM17</f>
        <v>2042.1223286661755</v>
      </c>
      <c r="BQ40" s="4708" t="str">
        <f>+IF(L40="","",IF(2008-VLOOKUP(MATCH(L40,epa_id,0)+2,epa,'A1(epa)'!$U$17,FALSE)=0,IF(VLOOKUP(MATCH(L40,epa_id,0)+2,epa,'A1(epa)'!$AP$17,FALSE)=0,"",VLOOKUP(MATCH(L40,epa_id,0)+2,epa,'A1(epa)'!$AP$17,FALSE))))</f>
        <v>Other Oil</v>
      </c>
      <c r="BR40" s="5619" t="str">
        <f>+IF(L40="","",IF(2008-VLOOKUP(MATCH(L40,epa_id,0)+2,epa,'A1(epa)'!$U$17,FALSE)=0,IF(VLOOKUP(MATCH(L40,epa_id,0)+2,epa,'A1(epa)'!$AQ$17,FALSE)=0,"",VLOOKUP(MATCH(L40,epa_id,0)+2,epa,'A1(epa)'!$AQ$17,FALSE))))</f>
        <v/>
      </c>
      <c r="BS40" s="5608" t="str">
        <f>+IF(L40="","",IF(2010-VLOOKUP(MATCH(L40,epa_id,0),epa,'A1(epa)'!$U$17,FALSE)=0,IF(VLOOKUP(MATCH(L40,epa_id,0),epa,'A1(epa)'!$AS$17,FALSE)=0,"",VLOOKUP(MATCH(L40,epa_id,0),epa,'A1(epa)'!$AS$17,FALSE))))</f>
        <v/>
      </c>
      <c r="BT40" s="52" t="str">
        <f>+IF(L40="","",IF(2010-VLOOKUP(MATCH(L40,epa_id,0),epa,'A1(epa)'!$U$17,FALSE)=0,IF(VLOOKUP(MATCH(L40,epa_id,0),epa,'A1(epa)'!$AT$17,FALSE)=0,"",VLOOKUP(MATCH(L40,epa_id,0),epa,'A1(epa)'!$AT$17,FALSE))))</f>
        <v/>
      </c>
      <c r="BU40" s="52" t="str">
        <f>+IF(L40="","",IF(2010-VLOOKUP(MATCH(L40,epa_id,0),epa,'A1(epa)'!$U$17,FALSE)=0,IF(VLOOKUP(MATCH(L40,epa_id,0),epa,'A1(epa)'!$AU$17,FALSE)=0,"",VLOOKUP(MATCH(L40,epa_id,0),epa,'A1(epa)'!$AU$17,FALSE))))</f>
        <v/>
      </c>
      <c r="BV40" s="52" t="str">
        <f>+IF(L40="","",IF(2010-VLOOKUP(MATCH(L40,epa_id,0),epa,'A1(epa)'!$U$17,FALSE)=0,IF(VLOOKUP(MATCH(L40,epa_id,0),epa,'A1(epa)'!$AR$17,FALSE)=0,"",VLOOKUP(MATCH(L40,epa_id,0),epa,'A1(epa)'!$AR$17,FALSE))))</f>
        <v/>
      </c>
      <c r="BW40" s="5594" t="str">
        <f>+IF(L40="","",IF(2010-VLOOKUP(MATCH(L40,epa_id,0),epa,'A1(epa)'!$U$17,FALSE)=0,IF(VLOOKUP(MATCH(L40,epa_id,0),epa,'A1(epa)'!$AV$17,FALSE)=0,"",VLOOKUP(MATCH(L40,epa_id,0),epa,'A1(epa)'!$AV$17,FALSE))))</f>
        <v/>
      </c>
      <c r="BX40" s="519">
        <f>+IF(L40="","",IF(2010-VLOOKUP(MATCH(L40,epa_id,0),epa,'A1(epa)'!$U$17,FALSE)=0,IF(VLOOKUP(MATCH(L40,epa_id,0),epa,'A1(epa)'!$AW$17,FALSE)=0,"",VLOOKUP(MATCH(L40,epa_id,0),epa,'A1(epa)'!$AW$17,FALSE))))</f>
        <v>232</v>
      </c>
      <c r="BY40" s="5419"/>
      <c r="BZ40" s="519">
        <f t="shared" si="11"/>
        <v>7260.5838406260782</v>
      </c>
      <c r="CA40" s="5419"/>
      <c r="CB40" s="584">
        <f>+IF(AJ40="","",MAX(AJ40))</f>
        <v>21</v>
      </c>
      <c r="CC40" s="4379">
        <f>+IF(AL40="","",MAX(AL40))</f>
        <v>204</v>
      </c>
      <c r="CD40" s="515">
        <f>+IF(AR40="","",MAX(AR40))</f>
        <v>4848.2608695652179</v>
      </c>
      <c r="CE40" s="4387">
        <f>+IF(AP40="","",MAX(AP40))</f>
        <v>1.2460030434782612</v>
      </c>
      <c r="CF40" s="4390">
        <f>+IF(CD40=AR40,AO40,0)</f>
        <v>0.51400000000000001</v>
      </c>
      <c r="CG40" s="517">
        <f t="shared" si="18"/>
        <v>0.51400000000000012</v>
      </c>
      <c r="CH40" s="522">
        <f t="shared" si="19"/>
        <v>2.4476190476190481E-2</v>
      </c>
      <c r="CI40" s="520">
        <f>+IF(AV40="","",MAX(AV40))</f>
        <v>6</v>
      </c>
      <c r="CJ40" s="4379">
        <f>+IF(AX40="","",MAX(AX40))</f>
        <v>55</v>
      </c>
      <c r="CK40" s="515">
        <f>+IF(BD40="","",MAX(BD40))</f>
        <v>1677.9661016949153</v>
      </c>
      <c r="CL40" s="4386">
        <f>+IF(BB40="","",MAX(BB40))</f>
        <v>0.43123728813559326</v>
      </c>
      <c r="CM40" s="4396">
        <f>+IF(CK40=BD40,BA40,0)</f>
        <v>0.51400000000000001</v>
      </c>
      <c r="CN40" s="517">
        <f t="shared" si="20"/>
        <v>0.51400000000000001</v>
      </c>
      <c r="CO40" s="522">
        <f t="shared" si="21"/>
        <v>8.5666666666666669E-2</v>
      </c>
      <c r="CP40" s="520">
        <f>+IF(BH40="","",MAX(BH40))</f>
        <v>8</v>
      </c>
      <c r="CQ40" s="4379">
        <f>+IF(BJ40="","",MAX(BJ40))</f>
        <v>67</v>
      </c>
      <c r="CR40" s="515">
        <f>+IF(BP40="","",MAX(BP40))</f>
        <v>2042.1223286661755</v>
      </c>
      <c r="CS40" s="4386">
        <f>+IF(BN40="","",MAX(BN40))</f>
        <v>0.52482543846720708</v>
      </c>
      <c r="CT40" s="4396">
        <f>+IF(CR40=BP40,BM40,0)</f>
        <v>0.51400000000000001</v>
      </c>
      <c r="CU40" s="517">
        <f t="shared" si="22"/>
        <v>0.51400000000000001</v>
      </c>
      <c r="CV40" s="523">
        <f t="shared" si="23"/>
        <v>6.4250000000000002E-2</v>
      </c>
      <c r="CW40" s="605">
        <f t="shared" si="24"/>
        <v>2010</v>
      </c>
      <c r="CX40" s="606">
        <f t="shared" si="25"/>
        <v>21</v>
      </c>
      <c r="CY40" s="5582">
        <f t="shared" si="26"/>
        <v>204</v>
      </c>
      <c r="CZ40" s="608">
        <f t="shared" si="27"/>
        <v>4848.2608695652179</v>
      </c>
      <c r="DA40" s="518">
        <f t="shared" si="12"/>
        <v>1.2460030434782612</v>
      </c>
      <c r="DB40" s="607">
        <f t="shared" si="28"/>
        <v>0.51400000000000001</v>
      </c>
      <c r="DC40" s="607">
        <f>IF(OR(DA40="",CZ40=""),"",ROUND(2000*DA40/CZ40,3))</f>
        <v>0.51400000000000001</v>
      </c>
      <c r="DD40" s="522">
        <f t="shared" si="29"/>
        <v>5.9333478260869578E-2</v>
      </c>
      <c r="DE40" s="595">
        <f t="shared" si="30"/>
        <v>2.9666739130434787</v>
      </c>
      <c r="DF40" s="595" t="s">
        <v>1946</v>
      </c>
      <c r="DG40" s="5356"/>
      <c r="DH40" s="5348"/>
      <c r="DI40" s="5348"/>
    </row>
    <row r="41" spans="1:113" s="479" customFormat="1" ht="25.5" customHeight="1">
      <c r="A41" s="5368" t="str">
        <f t="shared" si="13"/>
        <v>8300-11</v>
      </c>
      <c r="B41" s="9571"/>
      <c r="C41" s="5369" t="str">
        <f t="shared" si="2"/>
        <v>DV10</v>
      </c>
      <c r="D41" s="5359"/>
      <c r="E41" s="5351"/>
      <c r="F41" s="5359"/>
      <c r="G41" s="4445">
        <f t="shared" si="17"/>
        <v>23</v>
      </c>
      <c r="H41" s="4399">
        <v>23</v>
      </c>
      <c r="I41" s="52">
        <f>+IF(L41="","",IF(VLOOKUP(MATCH(L41,tid,0),tao,'12(id)'!$H$20,FALSE)="","",VLOOKUP(MATCH(L41,tid,0),tao,'12(id)'!$H$20,FALSE)))</f>
        <v>13</v>
      </c>
      <c r="J41" s="9520" t="str">
        <f>+IF(L41="","",IF(VLOOKUP(MATCH(L41,tid,0),tao,'12(id)'!$I$20,FALSE)="","",VLOOKUP(MATCH(L41,tid,0),tao,'12(id)'!$I$20,FALSE)))</f>
        <v/>
      </c>
      <c r="K41" s="9518">
        <f>+IF(L41="","",IF(VLOOKUP(MATCH(L41,tid,0),tao,'12(id)'!$K$20,FALSE)="","",VLOOKUP(MATCH(L41,tid,0),tao,'12(id)'!$K$20,FALSE)))</f>
        <v>8300</v>
      </c>
      <c r="L41" s="7855" t="s">
        <v>269</v>
      </c>
      <c r="M41" s="9520" t="str">
        <f>+IF(L41="","",IF(VLOOKUP(MATCH(L41,tid,0),tao,'12(id)'!$L$20,FALSE)="","",VLOOKUP(MATCH(L41,tid,0),tao,'12(id)'!$L$20,FALSE)))</f>
        <v>Devon</v>
      </c>
      <c r="N41" s="7838" t="str">
        <f>+IF(L41="","",IF(VLOOKUP(MATCH(L41,tid,0),tao,'12(id)'!$P$20,FALSE)="","",VLOOKUP(MATCH(L41,tid,0),tao,'12(id)'!$P$20,FALSE)))</f>
        <v>Devon-10</v>
      </c>
      <c r="O41" s="4385" t="str">
        <f>+IF(L41="","",IF(VLOOKUP(MATCH(L41,tid,0),tao,'12(id)'!$Q$20,FALSE)="","",VLOOKUP(MATCH(L41,tid,0),tao,'12(id)'!$Q$20,FALSE)))</f>
        <v>DV10</v>
      </c>
      <c r="P41" s="7833">
        <f>+IF(L41="","",IF(VLOOKUP(MATCH(L41,tid,0),tao,'12(id)'!$CT$20,FALSE)="","",VLOOKUP(MATCH(L41,tid,0),tao,'12(id)'!$CT$20,FALSE)))</f>
        <v>20</v>
      </c>
      <c r="Q41" s="9528">
        <v>180</v>
      </c>
      <c r="R41" s="7899" t="str">
        <f>+IF(L41="","",IF(VLOOKUP(MATCH(L41,tid,0),tao,'12(id)'!$T$20,FALSE)="","",VLOOKUP(MATCH(L41,tid,0),tao,'12(id)'!$T$20,FALSE)))</f>
        <v>Combustion Turbine</v>
      </c>
      <c r="S41" s="417" t="str">
        <f>+IF(L41="","",IF(VLOOKUP(MATCH(L41,tid,0),tao,'12(id)'!$CO$20,FALSE)="","",VLOOKUP(MATCH(L41,tid,0),tao,'12(id)'!$CO$20,FALSE)))</f>
        <v>Pratt &amp; Whitney</v>
      </c>
      <c r="T41" s="7899" t="str">
        <f>+IF(L41="","",IF(VLOOKUP(MATCH(L41,tid,0),tao,'12(id)'!$CP$20,FALSE)="","",VLOOKUP(MATCH(L41,tid,0),tao,'12(id)'!$CP$20,FALSE)))</f>
        <v>FT4-A8</v>
      </c>
      <c r="U41" s="7832" t="str">
        <f>+IF(L41="","",IF(VLOOKUP(MATCH(L41,tid,0),tao,'12(id)'!$DC$20,FALSE)="","",IF(VLOOKUP(MATCH(L41,tid,0),tao,'12(id)'!$DB$20,FALSE)="",VLOOKUP(MATCH(L41,tid,0),tao,'12(id)'!$DC$20,FALSE),VLOOKUP(MATCH(L41,tid,0),tao,'12(id)'!$DB$20,FALSE)&amp;" "&amp;VLOOKUP(MATCH(L41,tid,0),tao,'12(id)'!$DC$20,FALSE))))</f>
        <v>Mar 1988</v>
      </c>
      <c r="V41" s="135">
        <f ca="1">+IF(L41="","",IF(VLOOKUP(MATCH(L41,tid,0),tao,'12(id)'!$DE$20,FALSE)="","",ROUND(VLOOKUP(MATCH(L41,tid,0),tao,'12(id)'!$DE$20,FALSE),0)))</f>
        <v>26</v>
      </c>
      <c r="W41" s="52" t="str">
        <f>+IF(L41="","",IF(VLOOKUP(G41,tao,'12(id)'!$FR$20,FALSE)="","",VLOOKUP(G41,tao,'12(id)'!$FR$20,FALSE)&amp;IF(VLOOKUP(G41,tao,'12(id)'!$FS$20,FALSE)="","",", "&amp;VLOOKUP(G41,tao,'12(id)'!$FS$20,FALSE))))</f>
        <v>None</v>
      </c>
      <c r="X41" s="52" t="str">
        <f>+IF(L41="","",IF(VLOOKUP(MATCH(L41,tid,0),tao,'12(id)'!$DI$20,FALSE)="","",VLOOKUP(MATCH(L41,tid,0),tao,'12(id)'!$DI$20,FALSE)))</f>
        <v>Ultra low sulfur kerosene  oil (ULSD)</v>
      </c>
      <c r="Y41" s="52" t="str">
        <f>+IF(L41="","",IF(VLOOKUP(MATCH(L41,tid,0),tao,'12(id)'!$DQ$20,FALSE)="","",VLOOKUP(MATCH(L41,tid,0),tao,'12(id)'!$DQ$20,FALSE)))</f>
        <v/>
      </c>
      <c r="Z41" s="4417">
        <f>+IF(L41="","",IF(VLOOKUP(MATCH(L41,tid,0),tao,'12(id)'!$EH$20,FALSE)="","",VLOOKUP(MATCH(L41,tid,0),tao,'12(id)'!$EH$20,FALSE)))</f>
        <v>256</v>
      </c>
      <c r="AA41" s="4418">
        <f>+IF(L41="","",IF(VLOOKUP(MATCH(L41,tid,0),tao,'12(id)'!$EI$20,FALSE)="","",VLOOKUP(MATCH(L41,tid,0),tao,'12(id)'!$EI$20,FALSE)))</f>
        <v>0.67</v>
      </c>
      <c r="AB41" s="4418" t="str">
        <f>+IF(L41="","",IF(VLOOKUP(MATCH(L41,tid,0),tao,'12(id)'!$EJ$20,FALSE)="","",VLOOKUP(MATCH(L41,tid,0),tao,'12(id)'!$EJ$20,FALSE)))</f>
        <v/>
      </c>
      <c r="AC41" s="4436">
        <f>+IF(L41="","",IF(VLOOKUP(MATCH(L41,tid,0),tao,'12(id)'!$EL$20,FALSE)="","",VLOOKUP(MATCH(L41,tid,0),tao,'12(id)'!$EL$20,FALSE)))</f>
        <v>0.74</v>
      </c>
      <c r="AD41" s="4438"/>
      <c r="AE41" s="4419">
        <f t="shared" si="3"/>
        <v>0.67</v>
      </c>
      <c r="AF41" s="4420" t="str">
        <f t="shared" si="4"/>
        <v/>
      </c>
      <c r="AG41" s="644">
        <f>+IF(L41="","",IF(VLOOKUP(MATCH(L41,tid,0),tao,'12(id)'!$GY$20,FALSE)="","",VLOOKUP(MATCH(L41,tid,0),tao,'12(id)'!$GY$20,FALSE)))</f>
        <v>20.55</v>
      </c>
      <c r="AH41" s="514">
        <f>+IF(L41="","",IF(VLOOKUP(MATCH(L41,tid,0),tao,'12(id)'!$HL$20,FALSE)="","",VLOOKUP(MATCH(L41,tid,0),tao,'12(id)'!$HL$20,FALSE)))</f>
        <v>1.8</v>
      </c>
      <c r="AI41" s="7854">
        <f>+IF(L41="","",IF(2010-VLOOKUP(MATCH(L41,epa_id,0),epa,'A1(epa)'!$U$17,FALSE)=0,IF(VLOOKUP(MATCH(L41,epa_id,0),epa,'A1(epa)'!$U$17,FALSE)=0,"",VLOOKUP(MATCH(L41,epa_id,0),epa,'A1(epa)'!$U$17,FALSE))))</f>
        <v>2010</v>
      </c>
      <c r="AJ41" s="608">
        <f>+IF(L41="","",IF(2010-VLOOKUP(MATCH(L41,epa_id,0),epa,'A1(epa)'!$U$17,FALSE)=0,IF(VLOOKUP(MATCH(L41,epa_id,0),epa,'A1(epa)'!$W$17,FALSE)=0,"",VLOOKUP(MATCH(L41,epa_id,0),epa,'A1(epa)'!$W$17,FALSE))))</f>
        <v>24</v>
      </c>
      <c r="AK41" s="515">
        <f>+IF(L41="","",IF(2010-VLOOKUP(MATCH(L41,epa_id,0),epa,'A1(epa)'!$U$17,FALSE)=0,IF(VLOOKUP(MATCH(L41,epa_id,0),epa,'A1(epa)'!$X$17,FALSE)=0,"",VLOOKUP(MATCH(L41,epa_id,0),epa,'A1(epa)'!$X$17,FALSE))))</f>
        <v>5</v>
      </c>
      <c r="AL41" s="608">
        <f>+IF(L41="","",IF(2010-VLOOKUP(MATCH(L41,epa_id,0),epa,'A1(epa)'!$U$17,FALSE)=0,IF(VLOOKUP(MATCH(L41,epa_id,0),epa,'A1(epa)'!$Y$17,FALSE)=0,"",VLOOKUP(MATCH(L41,epa_id,0),epa,'A1(epa)'!$Y$17,FALSE))))</f>
        <v>454</v>
      </c>
      <c r="AM41" s="5791">
        <f>+IF(L41="","",IF(2010-VLOOKUP(MATCH(L41,epa_id,0),epa,'A1(epa)'!$U$17,FALSE)=0,IF(VLOOKUP(MATCH(L41,epa_id,0),epa,'A1(epa)'!$AA$17,FALSE)=0,"",VLOOKUP(MATCH(L41,epa_id,0),epa,'A1(epa)'!$AA$17,FALSE))))</f>
        <v>1.2</v>
      </c>
      <c r="AN41" s="5792">
        <f>+IF(L41="","",IF(2010-VLOOKUP(MATCH(L41,epa_id,0),epa,'A1(epa)'!$U$17,FALSE)=0,IF(VLOOKUP(MATCH(L41,epa_id,0),epa,'A1(epa)'!$AB$17,FALSE)=0,"",VLOOKUP(MATCH(L41,epa_id,0),epa,'A1(epa)'!$AB$17,FALSE))))</f>
        <v>3.3</v>
      </c>
      <c r="AO41" s="5793">
        <f t="shared" si="14"/>
        <v>0.67</v>
      </c>
      <c r="AP41" s="5794">
        <f t="shared" si="5"/>
        <v>1.8676250000000001</v>
      </c>
      <c r="AQ41" s="5795">
        <f t="shared" si="6"/>
        <v>4113.7114537444932</v>
      </c>
      <c r="AR41" s="608">
        <f>+IF(L41="","",IF(2010-VLOOKUP(MATCH(L41,epa_id,0),epa,'A1(epa)'!$U$17,FALSE)=0,IF(VLOOKUP(MATCH(L41,epa_id,0),epa,'A1(epa)'!$AC$17,FALSE)=0,"",VLOOKUP(MATCH(L41,epa_id,0),epa,'A1(epa)'!$AC$17,FALSE))))</f>
        <v>5575</v>
      </c>
      <c r="AS41" s="52" t="str">
        <f>+IF(L41="","",IF(2010-VLOOKUP(MATCH(L41,epa_id,0),epa,'A1(epa)'!$U$17,FALSE)=0,IF(VLOOKUP(MATCH(L41,epa_id,0),epa,'A1(epa)'!$AP$17,FALSE)=0,"",VLOOKUP(MATCH(L41,epa_id,0),epa,'A1(epa)'!$AP$17,FALSE))))</f>
        <v>Other Oil</v>
      </c>
      <c r="AT41" s="5619" t="str">
        <f>+IF(L41="","",IF(2010-VLOOKUP(MATCH(L41,epa_id,0),epa,'A1(epa)'!$U$17,FALSE)=0,IF(VLOOKUP(MATCH(L41,epa_id,0),epa,'A1(epa)'!$AQ$17,FALSE)=0,"",VLOOKUP(MATCH(L41,epa_id,0),epa,'A1(epa)'!$AQ$17,FALSE))))</f>
        <v/>
      </c>
      <c r="AU41" s="7854">
        <f>+IF(L41="","",IF(2009-VLOOKUP(MATCH(L41,epa_id,0)+1,epa,'A1(epa)'!$U$17,FALSE)=0,IF(VLOOKUP(MATCH(L41,epa_id,0)+1,epa,'A1(epa)'!$U$17,FALSE)=0,"",VLOOKUP(MATCH(L41,epa_id,0)+1,epa,'A1(epa)'!$U$17,FALSE))))</f>
        <v>2009</v>
      </c>
      <c r="AV41" s="7832">
        <f>+IF(L41="","",IF(2009-VLOOKUP(MATCH(L41,epa_id,0)+1,epa,'A1(epa)'!$U$17,FALSE)=0,IF(VLOOKUP(MATCH(L41,epa_id,0)+1,epa,'A1(epa)'!$W$17,FALSE)=0,"",VLOOKUP(MATCH(L41,epa_id,0)+1,epa,'A1(epa)'!$W$17,FALSE))))</f>
        <v>4</v>
      </c>
      <c r="AW41" s="5154">
        <f>+IF(L41="","",IF(2009-VLOOKUP(MATCH(L41,epa_id,0)+1,epa,'A1(epa)'!$U$17,FALSE)=0,IF(VLOOKUP(MATCH(L41,epa_id,0)+1,epa,'A1(epa)'!$X$17,FALSE)=0,"",VLOOKUP(MATCH(L41,epa_id,0)+1,epa,'A1(epa)'!$X$17,FALSE))))</f>
        <v>5</v>
      </c>
      <c r="AX41" s="608">
        <f>+IF(L41="","",IF(2009-VLOOKUP(MATCH(L41,epa_id,0)+1,epa,'A1(epa)'!$U$17,FALSE)=0,IF(VLOOKUP(MATCH(L41,epa_id,0)+1,epa,'A1(epa)'!$Y$17,FALSE)=0,"",VLOOKUP(MATCH(L41,epa_id,0)+1,epa,'A1(epa)'!$Y$17,FALSE))))</f>
        <v>65</v>
      </c>
      <c r="AY41" s="607">
        <f>+IF(L41="","",IF(2009-VLOOKUP(MATCH(L41,epa_id,0)+1,epa,'A1(epa)'!$U$17,FALSE)=0,IF(VLOOKUP(MATCH(L41,epa_id,0)+1,epa,'A1(epa)'!$AA$17,FALSE)=0,"",VLOOKUP(MATCH(L41,epa_id,0)+1,epa,'A1(epa)'!$AA$17,FALSE))))</f>
        <v>1.2</v>
      </c>
      <c r="AZ41" s="1968">
        <f>+IF(L41="","",IF(2009-VLOOKUP(MATCH(L41,epa_id,0)+1,epa,'A1(epa)'!$U$17,FALSE)=0,IF(VLOOKUP(MATCH(L41,epa_id,0)+1,epa,'A1(epa)'!$AB$17,FALSE)=0,"",VLOOKUP(MATCH(L41,epa_id,0)+1,epa,'A1(epa)'!$AB$17,FALSE))))</f>
        <v>0.5</v>
      </c>
      <c r="BA41" s="5682">
        <f t="shared" si="15"/>
        <v>0.67</v>
      </c>
      <c r="BB41" s="5683">
        <f t="shared" si="7"/>
        <v>0.29111500000000001</v>
      </c>
      <c r="BC41" s="5392">
        <f t="shared" si="8"/>
        <v>4478.6923076923076</v>
      </c>
      <c r="BD41" s="608">
        <f>+IF(L41="","",IF(2009-VLOOKUP(MATCH(L41,epa_id,0)+1,epa,'A1(epa)'!$U$17,FALSE)=0,IF(VLOOKUP(MATCH(L41,epa_id,0)+1,epa,'A1(epa)'!$AC$17,FALSE)=0,"",VLOOKUP(MATCH(L41,epa_id,0)+1,epa,'A1(epa)'!$AC$17,FALSE))))</f>
        <v>869</v>
      </c>
      <c r="BE41" s="5154" t="str">
        <f>+IF(L41="","",IF(2009-VLOOKUP(MATCH(L41,epa_id,0)+1,epa,'A1(epa)'!$U$17,FALSE)=0,IF(VLOOKUP(MATCH(L41,epa_id,0)+1,epa,'A1(epa)'!$AP$17,FALSE)=0,"",VLOOKUP(MATCH(L41,epa_id,0)+1,epa,'A1(epa)'!$AP$17,FALSE))))</f>
        <v>Other Oil</v>
      </c>
      <c r="BF41" s="516" t="str">
        <f>+IF(L41="","",IF(2009-VLOOKUP(MATCH(L41,epa_id,0)+1,epa,'A1(epa)'!$U$17,FALSE)=0,IF(VLOOKUP(MATCH(L41,epa_id,0)+1,epa,'A1(epa)'!$AQ$17,FALSE)=0,"",VLOOKUP(MATCH(L41,epa_id,0)+1,epa,'A1(epa)'!$AQ$17,FALSE))))</f>
        <v/>
      </c>
      <c r="BG41" s="127">
        <f>+IF(L41="","",IF(2008-VLOOKUP(MATCH(L41,epa_id,0)+2,epa,'A1(epa)'!$U$17,FALSE)=0,IF(VLOOKUP(MATCH(L41,epa_id,0)+2,epa,'A1(epa)'!$U$17,FALSE)=0,"",VLOOKUP(MATCH(L41,epa_id,0)+2,epa,'A1(epa)'!$U$17,FALSE))))</f>
        <v>2008</v>
      </c>
      <c r="BH41" s="5154">
        <f>+IF(L41="","",IF(2008-VLOOKUP(MATCH(L41,epa_id,0)+2,epa,'A1(epa)'!$U$17,FALSE)=0,IF(VLOOKUP(MATCH(L41,epa_id,0)+2,epa,'A1(epa)'!$W$17,FALSE)=0,"",VLOOKUP(MATCH(L41,epa_id,0)+2,epa,'A1(epa)'!$W$17,FALSE))))</f>
        <v>6</v>
      </c>
      <c r="BI41" s="5154">
        <f>+IF(L41="","",IF(2008-VLOOKUP(MATCH(L41,epa_id,0)+2,epa,'A1(epa)'!$U$17,FALSE)=0,IF(VLOOKUP(MATCH(L41,epa_id,0)+2,epa,'A1(epa)'!$X$17,FALSE)=0,"",VLOOKUP(MATCH(L41,epa_id,0)+2,epa,'A1(epa)'!$X$17,FALSE))))</f>
        <v>5</v>
      </c>
      <c r="BJ41" s="608">
        <f>+IF(L41="","",IF(2008-VLOOKUP(MATCH(L41,epa_id,0)+2,epa,'A1(epa)'!$U$17,FALSE)=0,IF(VLOOKUP(MATCH(L41,epa_id,0)+2,epa,'A1(epa)'!$Y$17,FALSE)=0,"",VLOOKUP(MATCH(L41,epa_id,0)+2,epa,'A1(epa)'!$Y$17,FALSE))))</f>
        <v>112</v>
      </c>
      <c r="BK41" s="607">
        <f>+IF(L41="","",IF(2008-VLOOKUP(MATCH(L41,epa_id,0)+2,epa,'A1(epa)'!$U$17,FALSE)=0,IF(VLOOKUP(MATCH(L41,epa_id,0)+2,epa,'A1(epa)'!$AA$17,FALSE)=0,"",VLOOKUP(MATCH(L41,epa_id,0)+2,epa,'A1(epa)'!$AA$17,FALSE))))</f>
        <v>1.2</v>
      </c>
      <c r="BL41" s="1968">
        <f>+IF(L41="","",IF(2008-VLOOKUP(MATCH(L41,epa_id,0)+2,epa,'A1(epa)'!$U$17,FALSE)=0,IF(VLOOKUP(MATCH(L41,epa_id,0)+2,epa,'A1(epa)'!$AB$17,FALSE)=0,"",VLOOKUP(MATCH(L41,epa_id,0)+2,epa,'A1(epa)'!$AB$17,FALSE))))</f>
        <v>0.8</v>
      </c>
      <c r="BM41" s="5728">
        <f t="shared" si="16"/>
        <v>0.67</v>
      </c>
      <c r="BN41" s="5729">
        <f t="shared" si="9"/>
        <v>0.45291999999999999</v>
      </c>
      <c r="BO41" s="5730">
        <f t="shared" si="10"/>
        <v>4043.9285714285716</v>
      </c>
      <c r="BP41" s="5635">
        <f>+IF(L41="","",IF(2008-VLOOKUP(MATCH(L41,epa_id,0)+2,epa,'A1(epa)'!$U$17,FALSE)=0,IF(VLOOKUP(MATCH(L41,epa_id,0)+2,epa,'A1(epa)'!$AC$17,FALSE)=0,"",VLOOKUP(MATCH(L41,epa_id,0)+2,epa,'A1(epa)'!$AC$17,FALSE))))</f>
        <v>1352</v>
      </c>
      <c r="BQ41" s="4708" t="str">
        <f>+IF(L41="","",IF(2008-VLOOKUP(MATCH(L41,epa_id,0)+2,epa,'A1(epa)'!$U$17,FALSE)=0,IF(VLOOKUP(MATCH(L41,epa_id,0)+2,epa,'A1(epa)'!$AP$17,FALSE)=0,"",VLOOKUP(MATCH(L41,epa_id,0)+2,epa,'A1(epa)'!$AP$17,FALSE))))</f>
        <v>Other Oil</v>
      </c>
      <c r="BR41" s="5619" t="str">
        <f>+IF(L41="","",IF(2008-VLOOKUP(MATCH(L41,epa_id,0)+2,epa,'A1(epa)'!$U$17,FALSE)=0,IF(VLOOKUP(MATCH(L41,epa_id,0)+2,epa,'A1(epa)'!$AQ$17,FALSE)=0,"",VLOOKUP(MATCH(L41,epa_id,0)+2,epa,'A1(epa)'!$AQ$17,FALSE))))</f>
        <v/>
      </c>
      <c r="BS41" s="5608" t="str">
        <f>+IF(L41="","",IF(2010-VLOOKUP(MATCH(L41,epa_id,0),epa,'A1(epa)'!$U$17,FALSE)=0,IF(VLOOKUP(MATCH(L41,epa_id,0),epa,'A1(epa)'!$AS$17,FALSE)=0,"",VLOOKUP(MATCH(L41,epa_id,0),epa,'A1(epa)'!$AS$17,FALSE))))</f>
        <v/>
      </c>
      <c r="BT41" s="52" t="str">
        <f>+IF(L41="","",IF(2010-VLOOKUP(MATCH(L41,epa_id,0),epa,'A1(epa)'!$U$17,FALSE)=0,IF(VLOOKUP(MATCH(L41,epa_id,0),epa,'A1(epa)'!$AT$17,FALSE)=0,"",VLOOKUP(MATCH(L41,epa_id,0),epa,'A1(epa)'!$AT$17,FALSE))))</f>
        <v/>
      </c>
      <c r="BU41" s="52" t="str">
        <f>+IF(L41="","",IF(2010-VLOOKUP(MATCH(L41,epa_id,0),epa,'A1(epa)'!$U$17,FALSE)=0,IF(VLOOKUP(MATCH(L41,epa_id,0),epa,'A1(epa)'!$AU$17,FALSE)=0,"",VLOOKUP(MATCH(L41,epa_id,0),epa,'A1(epa)'!$AU$17,FALSE))))</f>
        <v/>
      </c>
      <c r="BV41" s="52" t="str">
        <f>+IF(L41="","",IF(2010-VLOOKUP(MATCH(L41,epa_id,0),epa,'A1(epa)'!$U$17,FALSE)=0,IF(VLOOKUP(MATCH(L41,epa_id,0),epa,'A1(epa)'!$AR$17,FALSE)=0,"",VLOOKUP(MATCH(L41,epa_id,0),epa,'A1(epa)'!$AR$17,FALSE))))</f>
        <v/>
      </c>
      <c r="BW41" s="5594" t="str">
        <f>+IF(L41="","",IF(2010-VLOOKUP(MATCH(L41,epa_id,0),epa,'A1(epa)'!$U$17,FALSE)=0,IF(VLOOKUP(MATCH(L41,epa_id,0),epa,'A1(epa)'!$AV$17,FALSE)=0,"",VLOOKUP(MATCH(L41,epa_id,0),epa,'A1(epa)'!$AV$17,FALSE))))</f>
        <v/>
      </c>
      <c r="BX41" s="519">
        <f>+IF(L41="","",IF(2010-VLOOKUP(MATCH(L41,epa_id,0),epa,'A1(epa)'!$U$17,FALSE)=0,IF(VLOOKUP(MATCH(L41,epa_id,0),epa,'A1(epa)'!$AW$17,FALSE)=0,"",VLOOKUP(MATCH(L41,epa_id,0),epa,'A1(epa)'!$AW$17,FALSE))))</f>
        <v>230</v>
      </c>
      <c r="BY41" s="5419"/>
      <c r="BZ41" s="519">
        <f t="shared" si="11"/>
        <v>4212.1107776217905</v>
      </c>
      <c r="CA41" s="5419"/>
      <c r="CB41" s="584">
        <f>+IF(AJ41="","",MAX(AJ41))</f>
        <v>24</v>
      </c>
      <c r="CC41" s="4379">
        <f>+IF(AL41="","",MAX(AL41))</f>
        <v>454</v>
      </c>
      <c r="CD41" s="515">
        <f>+IF(AR41="","",MAX(AR41))</f>
        <v>5575</v>
      </c>
      <c r="CE41" s="4387">
        <f>+IF(AP41="","",MAX(AP41))</f>
        <v>1.8676250000000001</v>
      </c>
      <c r="CF41" s="4390">
        <f>+IF(CD41=AR41,AO41,0)</f>
        <v>0.67</v>
      </c>
      <c r="CG41" s="517">
        <f t="shared" si="18"/>
        <v>0.67</v>
      </c>
      <c r="CH41" s="522">
        <f t="shared" si="19"/>
        <v>2.7916666666666669E-2</v>
      </c>
      <c r="CI41" s="520">
        <f>+IF(AV41="","",MAX(AV41))</f>
        <v>4</v>
      </c>
      <c r="CJ41" s="4379">
        <f>+IF(AX41="","",MAX(AX41))</f>
        <v>65</v>
      </c>
      <c r="CK41" s="515">
        <f>+IF(BD41="","",MAX(BD41))</f>
        <v>869</v>
      </c>
      <c r="CL41" s="4386">
        <f>+IF(BB41="","",MAX(BB41))</f>
        <v>0.29111500000000001</v>
      </c>
      <c r="CM41" s="4396">
        <f>+IF(CK41=BD41,BA41,0)</f>
        <v>0.67</v>
      </c>
      <c r="CN41" s="517">
        <f t="shared" si="20"/>
        <v>0.67</v>
      </c>
      <c r="CO41" s="522">
        <f t="shared" si="21"/>
        <v>0.16750000000000001</v>
      </c>
      <c r="CP41" s="520">
        <f>+IF(BH41="","",MAX(BH41))</f>
        <v>6</v>
      </c>
      <c r="CQ41" s="4379">
        <f>+IF(BJ41="","",MAX(BJ41))</f>
        <v>112</v>
      </c>
      <c r="CR41" s="515">
        <f>+IF(BP41="","",MAX(BP41))</f>
        <v>1352</v>
      </c>
      <c r="CS41" s="4386">
        <f>+IF(BN41="","",MAX(BN41))</f>
        <v>0.45291999999999999</v>
      </c>
      <c r="CT41" s="4396">
        <f>+IF(CR41=BP41,BM41,0)</f>
        <v>0.67</v>
      </c>
      <c r="CU41" s="517">
        <f t="shared" si="22"/>
        <v>0.67</v>
      </c>
      <c r="CV41" s="523">
        <f t="shared" si="23"/>
        <v>0.11166666666666668</v>
      </c>
      <c r="CW41" s="605">
        <f t="shared" si="24"/>
        <v>2010</v>
      </c>
      <c r="CX41" s="606">
        <f t="shared" si="25"/>
        <v>24</v>
      </c>
      <c r="CY41" s="5582">
        <f t="shared" si="26"/>
        <v>454</v>
      </c>
      <c r="CZ41" s="608">
        <f t="shared" si="27"/>
        <v>5575</v>
      </c>
      <c r="DA41" s="518">
        <f t="shared" si="12"/>
        <v>1.8676250000000001</v>
      </c>
      <c r="DB41" s="607">
        <f t="shared" si="28"/>
        <v>0.67</v>
      </c>
      <c r="DC41" s="607">
        <f>IF(OR(DA41="",CZ41=""),"",ROUND(2000*DA41/CZ41,3))</f>
        <v>0.67</v>
      </c>
      <c r="DD41" s="522">
        <f t="shared" si="29"/>
        <v>7.7817708333333332E-2</v>
      </c>
      <c r="DE41" s="595">
        <f t="shared" si="30"/>
        <v>3.8908854166666664</v>
      </c>
      <c r="DF41" s="595"/>
      <c r="DG41" s="5356"/>
      <c r="DH41" s="5348"/>
      <c r="DI41" s="5348"/>
    </row>
    <row r="42" spans="1:113" s="479" customFormat="1" ht="25.5" customHeight="1" thickBot="1">
      <c r="A42" s="5364" t="str">
        <f t="shared" si="13"/>
        <v>8300-12</v>
      </c>
      <c r="B42" s="9571"/>
      <c r="C42" s="5365" t="str">
        <f t="shared" si="2"/>
        <v>DV11</v>
      </c>
      <c r="D42" s="5359"/>
      <c r="E42" s="5351"/>
      <c r="F42" s="5359"/>
      <c r="G42" s="4445">
        <f t="shared" si="17"/>
        <v>24</v>
      </c>
      <c r="H42" s="5545">
        <v>24</v>
      </c>
      <c r="I42" s="9520">
        <f>+IF(L42="","",IF(VLOOKUP(MATCH(L42,tid,0),tao,'12(id)'!$H$20,FALSE)="","",VLOOKUP(MATCH(L42,tid,0),tao,'12(id)'!$H$20,FALSE)))</f>
        <v>14</v>
      </c>
      <c r="J42" s="9520" t="str">
        <f>+IF(L42="","",IF(VLOOKUP(MATCH(L42,tid,0),tao,'12(id)'!$I$20,FALSE)="","",VLOOKUP(MATCH(L42,tid,0),tao,'12(id)'!$I$20,FALSE)))</f>
        <v/>
      </c>
      <c r="K42" s="9518">
        <f>+IF(L42="","",IF(VLOOKUP(MATCH(L42,tid,0),tao,'12(id)'!$K$20,FALSE)="","",VLOOKUP(MATCH(L42,tid,0),tao,'12(id)'!$K$20,FALSE)))</f>
        <v>8300</v>
      </c>
      <c r="L42" s="5494" t="s">
        <v>270</v>
      </c>
      <c r="M42" s="9520" t="str">
        <f>+IF(L42="","",IF(VLOOKUP(MATCH(L42,tid,0),tao,'12(id)'!$L$20,FALSE)="","",VLOOKUP(MATCH(L42,tid,0),tao,'12(id)'!$L$20,FALSE)))</f>
        <v>Devon</v>
      </c>
      <c r="N42" s="5484" t="str">
        <f>+IF(L42="","",IF(VLOOKUP(MATCH(L42,tid,0),tao,'12(id)'!$P$20,FALSE)="","",VLOOKUP(MATCH(L42,tid,0),tao,'12(id)'!$P$20,FALSE)))</f>
        <v>Devon-11</v>
      </c>
      <c r="O42" s="5539" t="str">
        <f>+IF(L42="","",IF(VLOOKUP(MATCH(L42,tid,0),tao,'12(id)'!$Q$20,FALSE)="","",VLOOKUP(MATCH(L42,tid,0),tao,'12(id)'!$Q$20,FALSE)))</f>
        <v>DV11</v>
      </c>
      <c r="P42" s="5540">
        <f>+IF(L42="","",IF(VLOOKUP(MATCH(L42,tid,0),tao,'12(id)'!$CT$20,FALSE)="","",VLOOKUP(MATCH(L42,tid,0),tao,'12(id)'!$CT$20,FALSE)))</f>
        <v>40</v>
      </c>
      <c r="Q42" s="9530"/>
      <c r="R42" s="5480" t="str">
        <f>+IF(L42="","",IF(VLOOKUP(MATCH(L42,tid,0),tao,'12(id)'!$T$20,FALSE)="","",VLOOKUP(MATCH(L42,tid,0),tao,'12(id)'!$T$20,FALSE)))</f>
        <v>Combustion Turbine</v>
      </c>
      <c r="S42" s="5481" t="str">
        <f>+IF(L42="","",IF(VLOOKUP(MATCH(L42,tid,0),tao,'12(id)'!$CO$20,FALSE)="","",VLOOKUP(MATCH(L42,tid,0),tao,'12(id)'!$CO$20,FALSE)))</f>
        <v>General Electric</v>
      </c>
      <c r="T42" s="5480" t="str">
        <f>+IF(L42="","",IF(VLOOKUP(MATCH(L42,tid,0),tao,'12(id)'!$CP$20,FALSE)="","",VLOOKUP(MATCH(L42,tid,0),tao,'12(id)'!$CP$20,FALSE)))</f>
        <v>LM6000PA</v>
      </c>
      <c r="U42" s="5482" t="str">
        <f>+IF(L42="","",IF(VLOOKUP(MATCH(L42,tid,0),tao,'12(id)'!$DC$20,FALSE)="","",IF(VLOOKUP(MATCH(L42,tid,0),tao,'12(id)'!$DB$20,FALSE)="",VLOOKUP(MATCH(L42,tid,0),tao,'12(id)'!$DC$20,FALSE),VLOOKUP(MATCH(L42,tid,0),tao,'12(id)'!$DB$20,FALSE)&amp;" "&amp;VLOOKUP(MATCH(L42,tid,0),tao,'12(id)'!$DC$20,FALSE))))</f>
        <v>Jun 1996</v>
      </c>
      <c r="V42" s="5483">
        <f ca="1">+IF(L42="","",IF(VLOOKUP(MATCH(L42,tid,0),tao,'12(id)'!$DE$20,FALSE)="","",ROUND(VLOOKUP(MATCH(L42,tid,0),tao,'12(id)'!$DE$20,FALSE),0)))</f>
        <v>18</v>
      </c>
      <c r="W42" s="5484" t="str">
        <f>+IF(L42="","",IF(VLOOKUP(G42,tao,'12(id)'!$FR$20,FALSE)="","",VLOOKUP(G42,tao,'12(id)'!$FR$20,FALSE)&amp;IF(VLOOKUP(G42,tao,'12(id)'!$FS$20,FALSE)="","",", "&amp;VLOOKUP(G42,tao,'12(id)'!$FS$20,FALSE))))</f>
        <v>HPWI</v>
      </c>
      <c r="X42" s="5484" t="s">
        <v>48</v>
      </c>
      <c r="Y42" s="5484" t="s">
        <v>90</v>
      </c>
      <c r="Z42" s="5485">
        <f>+IF(L42="","",IF(VLOOKUP(MATCH(L42,tid,0),tao,'12(id)'!$EH$20,FALSE)="","",VLOOKUP(MATCH(L42,tid,0),tao,'12(id)'!$EH$20,FALSE)))</f>
        <v>394</v>
      </c>
      <c r="AA42" s="5552">
        <f>+IF(L42="","",IF(VLOOKUP(MATCH(L42,tid,0),tao,'12(id)'!$EI$20,FALSE)="","",VLOOKUP(MATCH(L42,tid,0),tao,'12(id)'!$EI$20,FALSE)))</f>
        <v>0.17100000000000001</v>
      </c>
      <c r="AB42" s="5552" t="str">
        <f>+IF(L42="","",IF(VLOOKUP(MATCH(L42,tid,0),tao,'12(id)'!$EJ$20,FALSE)="","",VLOOKUP(MATCH(L42,tid,0),tao,'12(id)'!$EJ$20,FALSE)))</f>
        <v/>
      </c>
      <c r="AC42" s="5553">
        <f>+IF(L42="","",IF(VLOOKUP(MATCH(L42,tid,0),tao,'12(id)'!$EL$20,FALSE)="","",VLOOKUP(MATCH(L42,tid,0),tao,'12(id)'!$EL$20,FALSE)))</f>
        <v>0.17100000000000001</v>
      </c>
      <c r="AD42" s="5488"/>
      <c r="AE42" s="5555">
        <f t="shared" si="3"/>
        <v>0.17100000000000001</v>
      </c>
      <c r="AF42" s="5554" t="str">
        <f t="shared" si="4"/>
        <v/>
      </c>
      <c r="AG42" s="5556">
        <f>+IF(L42="","",IF(VLOOKUP(MATCH(L42,tid,0),tao,'12(id)'!$GY$20,FALSE)="","",VLOOKUP(MATCH(L42,tid,0),tao,'12(id)'!$GY$20,FALSE)))</f>
        <v>80.7</v>
      </c>
      <c r="AH42" s="5557">
        <f>+IF(L42="","",IF(VLOOKUP(MATCH(L42,tid,0),tao,'12(id)'!$HL$20,FALSE)="","",VLOOKUP(MATCH(L42,tid,0),tao,'12(id)'!$HL$20,FALSE)))</f>
        <v>10.64</v>
      </c>
      <c r="AI42" s="5492">
        <f>+IF(L42="","",IF(2010-VLOOKUP(MATCH(L42,epa_id,0),epa,'A1(epa)'!$U$17,FALSE)=0,IF(VLOOKUP(MATCH(L42,epa_id,0),epa,'A1(epa)'!$U$17,FALSE)=0,"",VLOOKUP(MATCH(L42,epa_id,0),epa,'A1(epa)'!$U$17,FALSE))))</f>
        <v>2010</v>
      </c>
      <c r="AJ42" s="5646">
        <f>+IF(L42="","",IF(2010-VLOOKUP(MATCH(L42,epa_id,0),epa,'A1(epa)'!$U$17,FALSE)=0,IF(VLOOKUP(MATCH(L42,epa_id,0),epa,'A1(epa)'!$W$17,FALSE)=0,"",VLOOKUP(MATCH(L42,epa_id,0),epa,'A1(epa)'!$W$17,FALSE))))</f>
        <v>82</v>
      </c>
      <c r="AK42" s="5493">
        <f>+IF(L42="","",IF(2010-VLOOKUP(MATCH(L42,epa_id,0),epa,'A1(epa)'!$U$17,FALSE)=0,IF(VLOOKUP(MATCH(L42,epa_id,0),epa,'A1(epa)'!$X$17,FALSE)=0,"",VLOOKUP(MATCH(L42,epa_id,0),epa,'A1(epa)'!$X$17,FALSE))))</f>
        <v>5</v>
      </c>
      <c r="AL42" s="5646">
        <f>+IF(L42="","",IF(2010-VLOOKUP(MATCH(L42,epa_id,0),epa,'A1(epa)'!$U$17,FALSE)=0,IF(VLOOKUP(MATCH(L42,epa_id,0),epa,'A1(epa)'!$Y$17,FALSE)=0,"",VLOOKUP(MATCH(L42,epa_id,0),epa,'A1(epa)'!$Y$17,FALSE))))</f>
        <v>2522</v>
      </c>
      <c r="AM42" s="5776">
        <f>+IF(L42="","",IF(2010-VLOOKUP(MATCH(L42,epa_id,0),epa,'A1(epa)'!$U$17,FALSE)=0,IF(VLOOKUP(MATCH(L42,epa_id,0),epa,'A1(epa)'!$AA$17,FALSE)=0,"",VLOOKUP(MATCH(L42,epa_id,0),epa,'A1(epa)'!$AA$17,FALSE))))</f>
        <v>0.14000000000000001</v>
      </c>
      <c r="AN42" s="5777">
        <f>+IF(L42="","",IF(2010-VLOOKUP(MATCH(L42,epa_id,0),epa,'A1(epa)'!$U$17,FALSE)=0,IF(VLOOKUP(MATCH(L42,epa_id,0),epa,'A1(epa)'!$AB$17,FALSE)=0,"",VLOOKUP(MATCH(L42,epa_id,0),epa,'A1(epa)'!$AB$17,FALSE))))</f>
        <v>1.9</v>
      </c>
      <c r="AO42" s="5778">
        <f t="shared" si="14"/>
        <v>0.14000000000000001</v>
      </c>
      <c r="AP42" s="5779">
        <f t="shared" si="5"/>
        <v>1.9</v>
      </c>
      <c r="AQ42" s="5780">
        <f t="shared" si="6"/>
        <v>753.37034099920697</v>
      </c>
      <c r="AR42" s="5646">
        <f>+IF(L42="","",IF(2010-VLOOKUP(MATCH(L42,epa_id,0),epa,'A1(epa)'!$U$17,FALSE)=0,IF(VLOOKUP(MATCH(L42,epa_id,0),epa,'A1(epa)'!$AC$17,FALSE)=0,"",VLOOKUP(MATCH(L42,epa_id,0),epa,'A1(epa)'!$AC$17,FALSE))))</f>
        <v>26237</v>
      </c>
      <c r="AS42" s="5484" t="str">
        <f>+IF(L42="","",IF(2010-VLOOKUP(MATCH(L42,epa_id,0),epa,'A1(epa)'!$U$17,FALSE)=0,IF(VLOOKUP(MATCH(L42,epa_id,0),epa,'A1(epa)'!$AP$17,FALSE)=0,"",VLOOKUP(MATCH(L42,epa_id,0),epa,'A1(epa)'!$AP$17,FALSE))))</f>
        <v>Pipeline Natural Gas</v>
      </c>
      <c r="AT42" s="5616" t="str">
        <f>+IF(L42="","",IF(2010-VLOOKUP(MATCH(L42,epa_id,0),epa,'A1(epa)'!$U$17,FALSE)=0,IF(VLOOKUP(MATCH(L42,epa_id,0),epa,'A1(epa)'!$AQ$17,FALSE)=0,"",VLOOKUP(MATCH(L42,epa_id,0),epa,'A1(epa)'!$AQ$17,FALSE))))</f>
        <v>Other Oil</v>
      </c>
      <c r="AU42" s="5492">
        <f>+IF(L42="","",IF(2009-VLOOKUP(MATCH(L42,epa_id,0)+1,epa,'A1(epa)'!$U$17,FALSE)=0,IF(VLOOKUP(MATCH(L42,epa_id,0)+1,epa,'A1(epa)'!$U$17,FALSE)=0,"",VLOOKUP(MATCH(L42,epa_id,0)+1,epa,'A1(epa)'!$U$17,FALSE))))</f>
        <v>2009</v>
      </c>
      <c r="AV42" s="5482">
        <f>+IF(L42="","",IF(2009-VLOOKUP(MATCH(L42,epa_id,0)+1,epa,'A1(epa)'!$U$17,FALSE)=0,IF(VLOOKUP(MATCH(L42,epa_id,0)+1,epa,'A1(epa)'!$W$17,FALSE)=0,"",VLOOKUP(MATCH(L42,epa_id,0)+1,epa,'A1(epa)'!$W$17,FALSE))))</f>
        <v>18</v>
      </c>
      <c r="AW42" s="5494">
        <f>+IF(L42="","",IF(2009-VLOOKUP(MATCH(L42,epa_id,0)+1,epa,'A1(epa)'!$U$17,FALSE)=0,IF(VLOOKUP(MATCH(L42,epa_id,0)+1,epa,'A1(epa)'!$X$17,FALSE)=0,"",VLOOKUP(MATCH(L42,epa_id,0)+1,epa,'A1(epa)'!$X$17,FALSE))))</f>
        <v>5</v>
      </c>
      <c r="AX42" s="5646">
        <f>+IF(L42="","",IF(2009-VLOOKUP(MATCH(L42,epa_id,0)+1,epa,'A1(epa)'!$U$17,FALSE)=0,IF(VLOOKUP(MATCH(L42,epa_id,0)+1,epa,'A1(epa)'!$Y$17,FALSE)=0,"",VLOOKUP(MATCH(L42,epa_id,0)+1,epa,'A1(epa)'!$Y$17,FALSE))))</f>
        <v>496</v>
      </c>
      <c r="AY42" s="5670">
        <f>+IF(L42="","",IF(2009-VLOOKUP(MATCH(L42,epa_id,0)+1,epa,'A1(epa)'!$U$17,FALSE)=0,IF(VLOOKUP(MATCH(L42,epa_id,0)+1,epa,'A1(epa)'!$AA$17,FALSE)=0,"",VLOOKUP(MATCH(L42,epa_id,0)+1,epa,'A1(epa)'!$AA$17,FALSE))))</f>
        <v>0.15</v>
      </c>
      <c r="AZ42" s="5671">
        <f>+IF(L42="","",IF(2009-VLOOKUP(MATCH(L42,epa_id,0)+1,epa,'A1(epa)'!$U$17,FALSE)=0,IF(VLOOKUP(MATCH(L42,epa_id,0)+1,epa,'A1(epa)'!$AB$17,FALSE)=0,"",VLOOKUP(MATCH(L42,epa_id,0)+1,epa,'A1(epa)'!$AB$17,FALSE))))</f>
        <v>0.4</v>
      </c>
      <c r="BA42" s="5672">
        <f t="shared" si="15"/>
        <v>0.15</v>
      </c>
      <c r="BB42" s="5673">
        <f t="shared" si="7"/>
        <v>0.4</v>
      </c>
      <c r="BC42" s="5496">
        <f t="shared" si="8"/>
        <v>806.45161290322585</v>
      </c>
      <c r="BD42" s="5646">
        <f>+IF(L42="","",IF(2009-VLOOKUP(MATCH(L42,epa_id,0)+1,epa,'A1(epa)'!$U$17,FALSE)=0,IF(VLOOKUP(MATCH(L42,epa_id,0)+1,epa,'A1(epa)'!$AC$17,FALSE)=0,"",VLOOKUP(MATCH(L42,epa_id,0)+1,epa,'A1(epa)'!$AC$17,FALSE))))</f>
        <v>5266</v>
      </c>
      <c r="BE42" s="5494" t="str">
        <f>+IF(L42="","",IF(2009-VLOOKUP(MATCH(L42,epa_id,0)+1,epa,'A1(epa)'!$U$17,FALSE)=0,IF(VLOOKUP(MATCH(L42,epa_id,0)+1,epa,'A1(epa)'!$AP$17,FALSE)=0,"",VLOOKUP(MATCH(L42,epa_id,0)+1,epa,'A1(epa)'!$AP$17,FALSE))))</f>
        <v>Pipeline Natural Gas</v>
      </c>
      <c r="BF42" s="5495" t="str">
        <f>+IF(L42="","",IF(2009-VLOOKUP(MATCH(L42,epa_id,0)+1,epa,'A1(epa)'!$U$17,FALSE)=0,IF(VLOOKUP(MATCH(L42,epa_id,0)+1,epa,'A1(epa)'!$AQ$17,FALSE)=0,"",VLOOKUP(MATCH(L42,epa_id,0)+1,epa,'A1(epa)'!$AQ$17,FALSE))))</f>
        <v>Other Oil</v>
      </c>
      <c r="BG42" s="5497">
        <f>+IF(L42="","",IF(2008-VLOOKUP(MATCH(L42,epa_id,0)+2,epa,'A1(epa)'!$U$17,FALSE)=0,IF(VLOOKUP(MATCH(L42,epa_id,0)+2,epa,'A1(epa)'!$U$17,FALSE)=0,"",VLOOKUP(MATCH(L42,epa_id,0)+2,epa,'A1(epa)'!$U$17,FALSE))))</f>
        <v>2008</v>
      </c>
      <c r="BH42" s="5494">
        <f>+IF(L42="","",IF(2008-VLOOKUP(MATCH(L42,epa_id,0)+2,epa,'A1(epa)'!$U$17,FALSE)=0,IF(VLOOKUP(MATCH(L42,epa_id,0)+2,epa,'A1(epa)'!$W$17,FALSE)=0,"",VLOOKUP(MATCH(L42,epa_id,0)+2,epa,'A1(epa)'!$W$17,FALSE))))</f>
        <v>16</v>
      </c>
      <c r="BI42" s="5494">
        <f>+IF(L42="","",IF(2008-VLOOKUP(MATCH(L42,epa_id,0)+2,epa,'A1(epa)'!$U$17,FALSE)=0,IF(VLOOKUP(MATCH(L42,epa_id,0)+2,epa,'A1(epa)'!$X$17,FALSE)=0,"",VLOOKUP(MATCH(L42,epa_id,0)+2,epa,'A1(epa)'!$X$17,FALSE))))</f>
        <v>5</v>
      </c>
      <c r="BJ42" s="5646">
        <f>+IF(L42="","",IF(2008-VLOOKUP(MATCH(L42,epa_id,0)+2,epa,'A1(epa)'!$U$17,FALSE)=0,IF(VLOOKUP(MATCH(L42,epa_id,0)+2,epa,'A1(epa)'!$Y$17,FALSE)=0,"",VLOOKUP(MATCH(L42,epa_id,0)+2,epa,'A1(epa)'!$Y$17,FALSE))))</f>
        <v>502</v>
      </c>
      <c r="BK42" s="5670">
        <f>+IF(L42="","",IF(2008-VLOOKUP(MATCH(L42,epa_id,0)+2,epa,'A1(epa)'!$U$17,FALSE)=0,IF(VLOOKUP(MATCH(L42,epa_id,0)+2,epa,'A1(epa)'!$AA$17,FALSE)=0,"",VLOOKUP(MATCH(L42,epa_id,0)+2,epa,'A1(epa)'!$AA$17,FALSE))))</f>
        <v>0.16</v>
      </c>
      <c r="BL42" s="5671">
        <f>+IF(L42="","",IF(2008-VLOOKUP(MATCH(L42,epa_id,0)+2,epa,'A1(epa)'!$U$17,FALSE)=0,IF(VLOOKUP(MATCH(L42,epa_id,0)+2,epa,'A1(epa)'!$AB$17,FALSE)=0,"",VLOOKUP(MATCH(L42,epa_id,0)+2,epa,'A1(epa)'!$AB$17,FALSE))))</f>
        <v>0.4</v>
      </c>
      <c r="BM42" s="5719">
        <f t="shared" si="16"/>
        <v>0.16</v>
      </c>
      <c r="BN42" s="5720">
        <f t="shared" si="9"/>
        <v>0.4</v>
      </c>
      <c r="BO42" s="5721">
        <f t="shared" si="10"/>
        <v>796.81274900398409</v>
      </c>
      <c r="BP42" s="5632">
        <f>+IF(L42="","",IF(2008-VLOOKUP(MATCH(L42,epa_id,0)+2,epa,'A1(epa)'!$U$17,FALSE)=0,IF(VLOOKUP(MATCH(L42,epa_id,0)+2,epa,'A1(epa)'!$AC$17,FALSE)=0,"",VLOOKUP(MATCH(L42,epa_id,0)+2,epa,'A1(epa)'!$AC$17,FALSE))))</f>
        <v>5219</v>
      </c>
      <c r="BQ42" s="5603" t="str">
        <f>+IF(L42="","",IF(2008-VLOOKUP(MATCH(L42,epa_id,0)+2,epa,'A1(epa)'!$U$17,FALSE)=0,IF(VLOOKUP(MATCH(L42,epa_id,0)+2,epa,'A1(epa)'!$AP$17,FALSE)=0,"",VLOOKUP(MATCH(L42,epa_id,0)+2,epa,'A1(epa)'!$AP$17,FALSE))))</f>
        <v>Pipeline Natural Gas</v>
      </c>
      <c r="BR42" s="5616" t="str">
        <f>+IF(L42="","",IF(2008-VLOOKUP(MATCH(L42,epa_id,0)+2,epa,'A1(epa)'!$U$17,FALSE)=0,IF(VLOOKUP(MATCH(L42,epa_id,0)+2,epa,'A1(epa)'!$AQ$17,FALSE)=0,"",VLOOKUP(MATCH(L42,epa_id,0)+2,epa,'A1(epa)'!$AQ$17,FALSE))))</f>
        <v>Other Oil</v>
      </c>
      <c r="BS42" s="5603" t="str">
        <f>+IF(L42="","",IF(2010-VLOOKUP(MATCH(L42,epa_id,0),epa,'A1(epa)'!$U$17,FALSE)=0,IF(VLOOKUP(MATCH(L42,epa_id,0),epa,'A1(epa)'!$AS$17,FALSE)=0,"",VLOOKUP(MATCH(L42,epa_id,0),epa,'A1(epa)'!$AS$17,FALSE))))</f>
        <v>Water Injection</v>
      </c>
      <c r="BT42" s="5484" t="str">
        <f>+IF(L42="","",IF(2010-VLOOKUP(MATCH(L42,epa_id,0),epa,'A1(epa)'!$U$17,FALSE)=0,IF(VLOOKUP(MATCH(L42,epa_id,0),epa,'A1(epa)'!$AT$17,FALSE)=0,"",VLOOKUP(MATCH(L42,epa_id,0),epa,'A1(epa)'!$AT$17,FALSE))))</f>
        <v/>
      </c>
      <c r="BU42" s="5484" t="str">
        <f>+IF(L42="","",IF(2010-VLOOKUP(MATCH(L42,epa_id,0),epa,'A1(epa)'!$U$17,FALSE)=0,IF(VLOOKUP(MATCH(L42,epa_id,0),epa,'A1(epa)'!$AU$17,FALSE)=0,"",VLOOKUP(MATCH(L42,epa_id,0),epa,'A1(epa)'!$AU$17,FALSE))))</f>
        <v/>
      </c>
      <c r="BV42" s="5484" t="str">
        <f>+IF(L42="","",IF(2010-VLOOKUP(MATCH(L42,epa_id,0),epa,'A1(epa)'!$U$17,FALSE)=0,IF(VLOOKUP(MATCH(L42,epa_id,0),epa,'A1(epa)'!$AR$17,FALSE)=0,"",VLOOKUP(MATCH(L42,epa_id,0),epa,'A1(epa)'!$AR$17,FALSE))))</f>
        <v/>
      </c>
      <c r="BW42" s="5589" t="str">
        <f>+IF(L42="","",IF(2010-VLOOKUP(MATCH(L42,epa_id,0),epa,'A1(epa)'!$U$17,FALSE)=0,IF(VLOOKUP(MATCH(L42,epa_id,0),epa,'A1(epa)'!$AV$17,FALSE)=0,"",VLOOKUP(MATCH(L42,epa_id,0),epa,'A1(epa)'!$AV$17,FALSE))))</f>
        <v/>
      </c>
      <c r="BX42" s="5499">
        <f>+IF(L42="","",IF(2010-VLOOKUP(MATCH(L42,epa_id,0),epa,'A1(epa)'!$U$17,FALSE)=0,IF(VLOOKUP(MATCH(L42,epa_id,0),epa,'A1(epa)'!$AW$17,FALSE)=0,"",VLOOKUP(MATCH(L42,epa_id,0),epa,'A1(epa)'!$AW$17,FALSE))))</f>
        <v>415</v>
      </c>
      <c r="BY42" s="5417"/>
      <c r="BZ42" s="5580">
        <f t="shared" si="11"/>
        <v>785.54490096880556</v>
      </c>
      <c r="CA42" s="5417"/>
      <c r="CB42" s="9552">
        <f>+IF(AJ42="","",MAX(AJ42:AJ45))</f>
        <v>96</v>
      </c>
      <c r="CC42" s="9555">
        <f>+IF(AL42="","",MAX(AL42:AL45))</f>
        <v>2945</v>
      </c>
      <c r="CD42" s="9555">
        <f>+IF(AR42="","",MAX(AR42:AR45))</f>
        <v>30042</v>
      </c>
      <c r="CE42" s="9556">
        <f>+IF(AP42="","",MAX(AP42:AP45))</f>
        <v>2.2999999999999998</v>
      </c>
      <c r="CF42" s="9531">
        <f>+(IF($CD$42=AR42,AO42,0)+IF($CD$42=AR43,AO43,0)+IF($CD$42=AR44,AO44,0)+IF($CD$42=AR45,AO45,0))</f>
        <v>0.15</v>
      </c>
      <c r="CG42" s="9569">
        <f t="shared" si="18"/>
        <v>0.15311896677984155</v>
      </c>
      <c r="CH42" s="9560">
        <f t="shared" si="19"/>
        <v>1.5949892372900162E-3</v>
      </c>
      <c r="CI42" s="9540">
        <f>+IF(AV42="","",MAX(AV42:AV45))</f>
        <v>19</v>
      </c>
      <c r="CJ42" s="9537">
        <f>+IF(AX42="","",MAX(AX42:AX45))</f>
        <v>562</v>
      </c>
      <c r="CK42" s="9537">
        <f>+IF(BD42="","",MAX(BD42:BD45))</f>
        <v>5896</v>
      </c>
      <c r="CL42" s="9534">
        <f>+IF(BB42="","",MAX(BB42:BB45))</f>
        <v>0.5</v>
      </c>
      <c r="CM42" s="9531">
        <f>+(IF($CK$42=BD42,BA42,0)+IF($CK$42=BD43,BA43,0)+IF($CK$42=BD44,BA44,0)+IF($CK$42=BD45,BA45,0))</f>
        <v>0.15</v>
      </c>
      <c r="CN42" s="9531">
        <f t="shared" si="20"/>
        <v>0.16960651289009498</v>
      </c>
      <c r="CO42" s="9560">
        <f t="shared" si="21"/>
        <v>8.9266585731628944E-3</v>
      </c>
      <c r="CP42" s="9540">
        <f>+IF(BH42="","",MAX(BH42:BH45))</f>
        <v>20</v>
      </c>
      <c r="CQ42" s="9537">
        <f>+IF(BJ42="","",MAX(BJ42:BJ45))</f>
        <v>564</v>
      </c>
      <c r="CR42" s="9537">
        <f>+IF(BP42="","",MAX(BP42:BP45))</f>
        <v>5831</v>
      </c>
      <c r="CS42" s="9534">
        <f>+IF(BN42="","",MAX(BN42:BN45))</f>
        <v>0.5</v>
      </c>
      <c r="CT42" s="9531">
        <f>+(IF($CR$42=BP42,BM42,0)+IF($CR$42=BP43,BM43,0)+IF($CR$42=BP44,BM44,0)+IF($CR$42=BP45,BM45,0))</f>
        <v>0.16</v>
      </c>
      <c r="CU42" s="9531">
        <f t="shared" si="22"/>
        <v>0.17149717029669009</v>
      </c>
      <c r="CV42" s="9549">
        <f t="shared" si="23"/>
        <v>8.5748585148345043E-3</v>
      </c>
      <c r="CW42" s="9603">
        <f t="shared" si="24"/>
        <v>2010</v>
      </c>
      <c r="CX42" s="9600">
        <f t="shared" si="25"/>
        <v>96</v>
      </c>
      <c r="CY42" s="9597">
        <f t="shared" si="26"/>
        <v>2945</v>
      </c>
      <c r="CZ42" s="9537">
        <f t="shared" si="27"/>
        <v>30042</v>
      </c>
      <c r="DA42" s="9556">
        <f t="shared" si="12"/>
        <v>2.2999999999999998</v>
      </c>
      <c r="DB42" s="9531">
        <f t="shared" si="28"/>
        <v>0.15</v>
      </c>
      <c r="DC42" s="9531">
        <f>ROUND(2000*DA42/CZ42,3)</f>
        <v>0.153</v>
      </c>
      <c r="DD42" s="9560">
        <f t="shared" si="29"/>
        <v>2.3958333333333331E-2</v>
      </c>
      <c r="DE42" s="9593">
        <f t="shared" si="30"/>
        <v>1.1979166666666665</v>
      </c>
      <c r="DF42" s="9593"/>
      <c r="DG42" s="5356"/>
      <c r="DH42" s="5348"/>
      <c r="DI42" s="5348"/>
    </row>
    <row r="43" spans="1:113" s="479" customFormat="1" ht="25.5" customHeight="1" thickBot="1">
      <c r="A43" s="5364" t="str">
        <f t="shared" si="13"/>
        <v>8300-13</v>
      </c>
      <c r="B43" s="9571"/>
      <c r="C43" s="5365" t="str">
        <f t="shared" si="2"/>
        <v>DV12</v>
      </c>
      <c r="D43" s="5359"/>
      <c r="E43" s="5351"/>
      <c r="F43" s="5359"/>
      <c r="G43" s="4445">
        <f t="shared" si="17"/>
        <v>25</v>
      </c>
      <c r="H43" s="5546">
        <v>25</v>
      </c>
      <c r="I43" s="9520"/>
      <c r="J43" s="9520" t="str">
        <f>+IF(L43="","",IF(VLOOKUP(MATCH(L43,tid,0),tao,'12(id)'!$I$20,FALSE)="","",VLOOKUP(MATCH(L43,tid,0),tao,'12(id)'!$I$20,FALSE)))</f>
        <v/>
      </c>
      <c r="K43" s="9518">
        <f>+IF(L43="","",IF(VLOOKUP(MATCH(L43,tid,0),tao,'12(id)'!$K$20,FALSE)="","",VLOOKUP(MATCH(L43,tid,0),tao,'12(id)'!$K$20,FALSE)))</f>
        <v>8300</v>
      </c>
      <c r="L43" s="5514" t="s">
        <v>271</v>
      </c>
      <c r="M43" s="9520" t="str">
        <f>+IF(L43="","",IF(VLOOKUP(MATCH(L43,tid,0),tao,'12(id)'!$L$20,FALSE)="","",VLOOKUP(MATCH(L43,tid,0),tao,'12(id)'!$L$20,FALSE)))</f>
        <v>Devon</v>
      </c>
      <c r="N43" s="5504" t="str">
        <f>+IF(L43="","",IF(VLOOKUP(MATCH(L43,tid,0),tao,'12(id)'!$P$20,FALSE)="","",VLOOKUP(MATCH(L43,tid,0),tao,'12(id)'!$P$20,FALSE)))</f>
        <v>Devon-12</v>
      </c>
      <c r="O43" s="5541" t="str">
        <f>+IF(L43="","",IF(VLOOKUP(MATCH(L43,tid,0),tao,'12(id)'!$Q$20,FALSE)="","",VLOOKUP(MATCH(L43,tid,0),tao,'12(id)'!$Q$20,FALSE)))</f>
        <v>DV12</v>
      </c>
      <c r="P43" s="5542">
        <f>+IF(L43="","",IF(VLOOKUP(MATCH(L43,tid,0),tao,'12(id)'!$CT$20,FALSE)="","",VLOOKUP(MATCH(L43,tid,0),tao,'12(id)'!$CT$20,FALSE)))</f>
        <v>40</v>
      </c>
      <c r="Q43" s="9530"/>
      <c r="R43" s="5500" t="str">
        <f>+IF(L43="","",IF(VLOOKUP(MATCH(L43,tid,0),tao,'12(id)'!$T$20,FALSE)="","",VLOOKUP(MATCH(L43,tid,0),tao,'12(id)'!$T$20,FALSE)))</f>
        <v>Combustion Turbine</v>
      </c>
      <c r="S43" s="5501" t="str">
        <f>+IF(L43="","",IF(VLOOKUP(MATCH(L43,tid,0),tao,'12(id)'!$CO$20,FALSE)="","",VLOOKUP(MATCH(L43,tid,0),tao,'12(id)'!$CO$20,FALSE)))</f>
        <v>General Electric</v>
      </c>
      <c r="T43" s="5500" t="str">
        <f>+IF(L43="","",IF(VLOOKUP(MATCH(L43,tid,0),tao,'12(id)'!$CP$20,FALSE)="","",VLOOKUP(MATCH(L43,tid,0),tao,'12(id)'!$CP$20,FALSE)))</f>
        <v>LM6000PA</v>
      </c>
      <c r="U43" s="5502" t="str">
        <f>+IF(L43="","",IF(VLOOKUP(MATCH(L43,tid,0),tao,'12(id)'!$DC$20,FALSE)="","",IF(VLOOKUP(MATCH(L43,tid,0),tao,'12(id)'!$DB$20,FALSE)="",VLOOKUP(MATCH(L43,tid,0),tao,'12(id)'!$DC$20,FALSE),VLOOKUP(MATCH(L43,tid,0),tao,'12(id)'!$DB$20,FALSE)&amp;" "&amp;VLOOKUP(MATCH(L43,tid,0),tao,'12(id)'!$DC$20,FALSE))))</f>
        <v>Jun 1996</v>
      </c>
      <c r="V43" s="5503">
        <f ca="1">+IF(L43="","",IF(VLOOKUP(MATCH(L43,tid,0),tao,'12(id)'!$DE$20,FALSE)="","",ROUND(VLOOKUP(MATCH(L43,tid,0),tao,'12(id)'!$DE$20,FALSE),0)))</f>
        <v>18</v>
      </c>
      <c r="W43" s="5504" t="str">
        <f>+IF(L43="","",IF(VLOOKUP(G43,tao,'12(id)'!$FR$20,FALSE)="","",VLOOKUP(G43,tao,'12(id)'!$FR$20,FALSE)&amp;IF(VLOOKUP(G43,tao,'12(id)'!$FS$20,FALSE)="","",", "&amp;VLOOKUP(G43,tao,'12(id)'!$FS$20,FALSE))))</f>
        <v>HPWI</v>
      </c>
      <c r="X43" s="5504" t="s">
        <v>48</v>
      </c>
      <c r="Y43" s="5504" t="s">
        <v>90</v>
      </c>
      <c r="Z43" s="5505">
        <f>+IF(L43="","",IF(VLOOKUP(MATCH(L43,tid,0),tao,'12(id)'!$EH$20,FALSE)="","",VLOOKUP(MATCH(L43,tid,0),tao,'12(id)'!$EH$20,FALSE)))</f>
        <v>394</v>
      </c>
      <c r="AA43" s="5558">
        <f>+IF(L43="","",IF(VLOOKUP(MATCH(L43,tid,0),tao,'12(id)'!$EI$20,FALSE)="","",VLOOKUP(MATCH(L43,tid,0),tao,'12(id)'!$EI$20,FALSE)))</f>
        <v>0.17100000000000001</v>
      </c>
      <c r="AB43" s="5558" t="str">
        <f>+IF(L43="","",IF(VLOOKUP(MATCH(L43,tid,0),tao,'12(id)'!$EJ$20,FALSE)="","",VLOOKUP(MATCH(L43,tid,0),tao,'12(id)'!$EJ$20,FALSE)))</f>
        <v/>
      </c>
      <c r="AC43" s="5559">
        <f>+IF(L43="","",IF(VLOOKUP(MATCH(L43,tid,0),tao,'12(id)'!$EL$20,FALSE)="","",VLOOKUP(MATCH(L43,tid,0),tao,'12(id)'!$EL$20,FALSE)))</f>
        <v>0.17100000000000001</v>
      </c>
      <c r="AD43" s="5508"/>
      <c r="AE43" s="5561">
        <f t="shared" si="3"/>
        <v>0.17100000000000001</v>
      </c>
      <c r="AF43" s="5560" t="str">
        <f t="shared" si="4"/>
        <v/>
      </c>
      <c r="AG43" s="5562">
        <f>+IF(L43="","",IF(VLOOKUP(MATCH(L43,tid,0),tao,'12(id)'!$GY$20,FALSE)="","",VLOOKUP(MATCH(L43,tid,0),tao,'12(id)'!$GY$20,FALSE)))</f>
        <v>65.3</v>
      </c>
      <c r="AH43" s="5563" t="str">
        <f>+IF(L43="","",IF(VLOOKUP(MATCH(L43,tid,0),tao,'12(id)'!$HL$20,FALSE)="","",VLOOKUP(MATCH(L43,tid,0),tao,'12(id)'!$HL$20,FALSE)))</f>
        <v/>
      </c>
      <c r="AI43" s="5512">
        <f>+IF(L43="","",IF(2010-VLOOKUP(MATCH(L43,epa_id,0),epa,'A1(epa)'!$U$17,FALSE)=0,IF(VLOOKUP(MATCH(L43,epa_id,0),epa,'A1(epa)'!$U$17,FALSE)=0,"",VLOOKUP(MATCH(L43,epa_id,0),epa,'A1(epa)'!$U$17,FALSE))))</f>
        <v>2010</v>
      </c>
      <c r="AJ43" s="5647">
        <f>+IF(L43="","",IF(2010-VLOOKUP(MATCH(L43,epa_id,0),epa,'A1(epa)'!$U$17,FALSE)=0,IF(VLOOKUP(MATCH(L43,epa_id,0),epa,'A1(epa)'!$W$17,FALSE)=0,"",VLOOKUP(MATCH(L43,epa_id,0),epa,'A1(epa)'!$W$17,FALSE))))</f>
        <v>57</v>
      </c>
      <c r="AK43" s="5513">
        <f>+IF(L43="","",IF(2010-VLOOKUP(MATCH(L43,epa_id,0),epa,'A1(epa)'!$U$17,FALSE)=0,IF(VLOOKUP(MATCH(L43,epa_id,0),epa,'A1(epa)'!$X$17,FALSE)=0,"",VLOOKUP(MATCH(L43,epa_id,0),epa,'A1(epa)'!$X$17,FALSE))))</f>
        <v>5</v>
      </c>
      <c r="AL43" s="5647">
        <f>+IF(L43="","",IF(2010-VLOOKUP(MATCH(L43,epa_id,0),epa,'A1(epa)'!$U$17,FALSE)=0,IF(VLOOKUP(MATCH(L43,epa_id,0),epa,'A1(epa)'!$Y$17,FALSE)=0,"",VLOOKUP(MATCH(L43,epa_id,0),epa,'A1(epa)'!$Y$17,FALSE))))</f>
        <v>1771</v>
      </c>
      <c r="AM43" s="5781">
        <f>+IF(L43="","",IF(2010-VLOOKUP(MATCH(L43,epa_id,0),epa,'A1(epa)'!$U$17,FALSE)=0,IF(VLOOKUP(MATCH(L43,epa_id,0),epa,'A1(epa)'!$AA$17,FALSE)=0,"",VLOOKUP(MATCH(L43,epa_id,0),epa,'A1(epa)'!$AA$17,FALSE))))</f>
        <v>0.13</v>
      </c>
      <c r="AN43" s="5782">
        <f>+IF(L43="","",IF(2010-VLOOKUP(MATCH(L43,epa_id,0),epa,'A1(epa)'!$U$17,FALSE)=0,IF(VLOOKUP(MATCH(L43,epa_id,0),epa,'A1(epa)'!$AB$17,FALSE)=0,"",VLOOKUP(MATCH(L43,epa_id,0),epa,'A1(epa)'!$AB$17,FALSE))))</f>
        <v>1.2</v>
      </c>
      <c r="AO43" s="5783">
        <f t="shared" si="14"/>
        <v>0.13</v>
      </c>
      <c r="AP43" s="5784">
        <f t="shared" si="5"/>
        <v>1.2</v>
      </c>
      <c r="AQ43" s="5785">
        <f t="shared" si="6"/>
        <v>677.58328627893843</v>
      </c>
      <c r="AR43" s="5647">
        <f>+IF(L43="","",IF(2010-VLOOKUP(MATCH(L43,epa_id,0),epa,'A1(epa)'!$U$17,FALSE)=0,IF(VLOOKUP(MATCH(L43,epa_id,0),epa,'A1(epa)'!$AC$17,FALSE)=0,"",VLOOKUP(MATCH(L43,epa_id,0),epa,'A1(epa)'!$AC$17,FALSE))))</f>
        <v>18265</v>
      </c>
      <c r="AS43" s="5504" t="str">
        <f>+IF(L43="","",IF(2010-VLOOKUP(MATCH(L43,epa_id,0),epa,'A1(epa)'!$U$17,FALSE)=0,IF(VLOOKUP(MATCH(L43,epa_id,0),epa,'A1(epa)'!$AP$17,FALSE)=0,"",VLOOKUP(MATCH(L43,epa_id,0),epa,'A1(epa)'!$AP$17,FALSE))))</f>
        <v>Pipeline Natural Gas</v>
      </c>
      <c r="AT43" s="5617" t="str">
        <f>+IF(L43="","",IF(2010-VLOOKUP(MATCH(L43,epa_id,0),epa,'A1(epa)'!$U$17,FALSE)=0,IF(VLOOKUP(MATCH(L43,epa_id,0),epa,'A1(epa)'!$AQ$17,FALSE)=0,"",VLOOKUP(MATCH(L43,epa_id,0),epa,'A1(epa)'!$AQ$17,FALSE))))</f>
        <v>Other Oil</v>
      </c>
      <c r="AU43" s="5512">
        <f>+IF(L43="","",IF(2009-VLOOKUP(MATCH(L43,epa_id,0)+1,epa,'A1(epa)'!$U$17,FALSE)=0,IF(VLOOKUP(MATCH(L43,epa_id,0)+1,epa,'A1(epa)'!$U$17,FALSE)=0,"",VLOOKUP(MATCH(L43,epa_id,0)+1,epa,'A1(epa)'!$U$17,FALSE))))</f>
        <v>2009</v>
      </c>
      <c r="AV43" s="5502">
        <f>+IF(L43="","",IF(2009-VLOOKUP(MATCH(L43,epa_id,0)+1,epa,'A1(epa)'!$U$17,FALSE)=0,IF(VLOOKUP(MATCH(L43,epa_id,0)+1,epa,'A1(epa)'!$W$17,FALSE)=0,"",VLOOKUP(MATCH(L43,epa_id,0)+1,epa,'A1(epa)'!$W$17,FALSE))))</f>
        <v>13</v>
      </c>
      <c r="AW43" s="5514">
        <f>+IF(L43="","",IF(2009-VLOOKUP(MATCH(L43,epa_id,0)+1,epa,'A1(epa)'!$U$17,FALSE)=0,IF(VLOOKUP(MATCH(L43,epa_id,0)+1,epa,'A1(epa)'!$X$17,FALSE)=0,"",VLOOKUP(MATCH(L43,epa_id,0)+1,epa,'A1(epa)'!$X$17,FALSE))))</f>
        <v>5</v>
      </c>
      <c r="AX43" s="5647">
        <f>+IF(L43="","",IF(2009-VLOOKUP(MATCH(L43,epa_id,0)+1,epa,'A1(epa)'!$U$17,FALSE)=0,IF(VLOOKUP(MATCH(L43,epa_id,0)+1,epa,'A1(epa)'!$Y$17,FALSE)=0,"",VLOOKUP(MATCH(L43,epa_id,0)+1,epa,'A1(epa)'!$Y$17,FALSE))))</f>
        <v>359</v>
      </c>
      <c r="AY43" s="5674">
        <f>+IF(L43="","",IF(2009-VLOOKUP(MATCH(L43,epa_id,0)+1,epa,'A1(epa)'!$U$17,FALSE)=0,IF(VLOOKUP(MATCH(L43,epa_id,0)+1,epa,'A1(epa)'!$AA$17,FALSE)=0,"",VLOOKUP(MATCH(L43,epa_id,0)+1,epa,'A1(epa)'!$AA$17,FALSE))))</f>
        <v>0.12</v>
      </c>
      <c r="AZ43" s="5675">
        <f>+IF(L43="","",IF(2009-VLOOKUP(MATCH(L43,epa_id,0)+1,epa,'A1(epa)'!$U$17,FALSE)=0,IF(VLOOKUP(MATCH(L43,epa_id,0)+1,epa,'A1(epa)'!$AB$17,FALSE)=0,"",VLOOKUP(MATCH(L43,epa_id,0)+1,epa,'A1(epa)'!$AB$17,FALSE))))</f>
        <v>0.3</v>
      </c>
      <c r="BA43" s="5676">
        <f t="shared" si="15"/>
        <v>0.12</v>
      </c>
      <c r="BB43" s="5677">
        <f t="shared" si="7"/>
        <v>0.3</v>
      </c>
      <c r="BC43" s="5516">
        <f t="shared" si="8"/>
        <v>835.65459610027858</v>
      </c>
      <c r="BD43" s="5647">
        <f>+IF(L43="","",IF(2009-VLOOKUP(MATCH(L43,epa_id,0)+1,epa,'A1(epa)'!$U$17,FALSE)=0,IF(VLOOKUP(MATCH(L43,epa_id,0)+1,epa,'A1(epa)'!$AC$17,FALSE)=0,"",VLOOKUP(MATCH(L43,epa_id,0)+1,epa,'A1(epa)'!$AC$17,FALSE))))</f>
        <v>4096</v>
      </c>
      <c r="BE43" s="5514" t="str">
        <f>+IF(L43="","",IF(2009-VLOOKUP(MATCH(L43,epa_id,0)+1,epa,'A1(epa)'!$U$17,FALSE)=0,IF(VLOOKUP(MATCH(L43,epa_id,0)+1,epa,'A1(epa)'!$AP$17,FALSE)=0,"",VLOOKUP(MATCH(L43,epa_id,0)+1,epa,'A1(epa)'!$AP$17,FALSE))))</f>
        <v>Pipeline Natural Gas</v>
      </c>
      <c r="BF43" s="5515" t="str">
        <f>+IF(L43="","",IF(2009-VLOOKUP(MATCH(L43,epa_id,0)+1,epa,'A1(epa)'!$U$17,FALSE)=0,IF(VLOOKUP(MATCH(L43,epa_id,0)+1,epa,'A1(epa)'!$AQ$17,FALSE)=0,"",VLOOKUP(MATCH(L43,epa_id,0)+1,epa,'A1(epa)'!$AQ$17,FALSE))))</f>
        <v>Other Oil</v>
      </c>
      <c r="BG43" s="5517">
        <f>+IF(L43="","",IF(2008-VLOOKUP(MATCH(L43,epa_id,0)+2,epa,'A1(epa)'!$U$17,FALSE)=0,IF(VLOOKUP(MATCH(L43,epa_id,0)+2,epa,'A1(epa)'!$U$17,FALSE)=0,"",VLOOKUP(MATCH(L43,epa_id,0)+2,epa,'A1(epa)'!$U$17,FALSE))))</f>
        <v>2008</v>
      </c>
      <c r="BH43" s="5514">
        <f>+IF(L43="","",IF(2008-VLOOKUP(MATCH(L43,epa_id,0)+2,epa,'A1(epa)'!$U$17,FALSE)=0,IF(VLOOKUP(MATCH(L43,epa_id,0)+2,epa,'A1(epa)'!$W$17,FALSE)=0,"",VLOOKUP(MATCH(L43,epa_id,0)+2,epa,'A1(epa)'!$W$17,FALSE))))</f>
        <v>16</v>
      </c>
      <c r="BI43" s="5514">
        <f>+IF(L43="","",IF(2008-VLOOKUP(MATCH(L43,epa_id,0)+2,epa,'A1(epa)'!$U$17,FALSE)=0,IF(VLOOKUP(MATCH(L43,epa_id,0)+2,epa,'A1(epa)'!$X$17,FALSE)=0,"",VLOOKUP(MATCH(L43,epa_id,0)+2,epa,'A1(epa)'!$X$17,FALSE))))</f>
        <v>5</v>
      </c>
      <c r="BJ43" s="5647">
        <f>+IF(L43="","",IF(2008-VLOOKUP(MATCH(L43,epa_id,0)+2,epa,'A1(epa)'!$U$17,FALSE)=0,IF(VLOOKUP(MATCH(L43,epa_id,0)+2,epa,'A1(epa)'!$Y$17,FALSE)=0,"",VLOOKUP(MATCH(L43,epa_id,0)+2,epa,'A1(epa)'!$Y$17,FALSE))))</f>
        <v>470</v>
      </c>
      <c r="BK43" s="5674">
        <f>+IF(L43="","",IF(2008-VLOOKUP(MATCH(L43,epa_id,0)+2,epa,'A1(epa)'!$U$17,FALSE)=0,IF(VLOOKUP(MATCH(L43,epa_id,0)+2,epa,'A1(epa)'!$AA$17,FALSE)=0,"",VLOOKUP(MATCH(L43,epa_id,0)+2,epa,'A1(epa)'!$AA$17,FALSE))))</f>
        <v>0.13</v>
      </c>
      <c r="BL43" s="5675">
        <f>+IF(L43="","",IF(2008-VLOOKUP(MATCH(L43,epa_id,0)+2,epa,'A1(epa)'!$U$17,FALSE)=0,IF(VLOOKUP(MATCH(L43,epa_id,0)+2,epa,'A1(epa)'!$AB$17,FALSE)=0,"",VLOOKUP(MATCH(L43,epa_id,0)+2,epa,'A1(epa)'!$AB$17,FALSE))))</f>
        <v>0.4</v>
      </c>
      <c r="BM43" s="5722">
        <f t="shared" si="16"/>
        <v>0.13</v>
      </c>
      <c r="BN43" s="5723">
        <f t="shared" si="9"/>
        <v>0.4</v>
      </c>
      <c r="BO43" s="5724">
        <f t="shared" si="10"/>
        <v>851.063829787234</v>
      </c>
      <c r="BP43" s="5633">
        <f>+IF(L43="","",IF(2008-VLOOKUP(MATCH(L43,epa_id,0)+2,epa,'A1(epa)'!$U$17,FALSE)=0,IF(VLOOKUP(MATCH(L43,epa_id,0)+2,epa,'A1(epa)'!$AC$17,FALSE)=0,"",VLOOKUP(MATCH(L43,epa_id,0)+2,epa,'A1(epa)'!$AC$17,FALSE))))</f>
        <v>5499</v>
      </c>
      <c r="BQ43" s="5604" t="str">
        <f>+IF(L43="","",IF(2008-VLOOKUP(MATCH(L43,epa_id,0)+2,epa,'A1(epa)'!$U$17,FALSE)=0,IF(VLOOKUP(MATCH(L43,epa_id,0)+2,epa,'A1(epa)'!$AP$17,FALSE)=0,"",VLOOKUP(MATCH(L43,epa_id,0)+2,epa,'A1(epa)'!$AP$17,FALSE))))</f>
        <v>Pipeline Natural Gas</v>
      </c>
      <c r="BR43" s="5617" t="str">
        <f>+IF(L43="","",IF(2008-VLOOKUP(MATCH(L43,epa_id,0)+2,epa,'A1(epa)'!$U$17,FALSE)=0,IF(VLOOKUP(MATCH(L43,epa_id,0)+2,epa,'A1(epa)'!$AQ$17,FALSE)=0,"",VLOOKUP(MATCH(L43,epa_id,0)+2,epa,'A1(epa)'!$AQ$17,FALSE))))</f>
        <v>Other Oil</v>
      </c>
      <c r="BS43" s="5604" t="str">
        <f>+IF(L43="","",IF(2010-VLOOKUP(MATCH(L43,epa_id,0),epa,'A1(epa)'!$U$17,FALSE)=0,IF(VLOOKUP(MATCH(L43,epa_id,0),epa,'A1(epa)'!$AS$17,FALSE)=0,"",VLOOKUP(MATCH(L43,epa_id,0),epa,'A1(epa)'!$AS$17,FALSE))))</f>
        <v>Water Injection</v>
      </c>
      <c r="BT43" s="5504" t="str">
        <f>+IF(L43="","",IF(2010-VLOOKUP(MATCH(L43,epa_id,0),epa,'A1(epa)'!$U$17,FALSE)=0,IF(VLOOKUP(MATCH(L43,epa_id,0),epa,'A1(epa)'!$AT$17,FALSE)=0,"",VLOOKUP(MATCH(L43,epa_id,0),epa,'A1(epa)'!$AT$17,FALSE))))</f>
        <v/>
      </c>
      <c r="BU43" s="5504" t="str">
        <f>+IF(L43="","",IF(2010-VLOOKUP(MATCH(L43,epa_id,0),epa,'A1(epa)'!$U$17,FALSE)=0,IF(VLOOKUP(MATCH(L43,epa_id,0),epa,'A1(epa)'!$AU$17,FALSE)=0,"",VLOOKUP(MATCH(L43,epa_id,0),epa,'A1(epa)'!$AU$17,FALSE))))</f>
        <v/>
      </c>
      <c r="BV43" s="5504" t="str">
        <f>+IF(L43="","",IF(2010-VLOOKUP(MATCH(L43,epa_id,0),epa,'A1(epa)'!$U$17,FALSE)=0,IF(VLOOKUP(MATCH(L43,epa_id,0),epa,'A1(epa)'!$AR$17,FALSE)=0,"",VLOOKUP(MATCH(L43,epa_id,0),epa,'A1(epa)'!$AR$17,FALSE))))</f>
        <v/>
      </c>
      <c r="BW43" s="5590" t="str">
        <f>+IF(L43="","",IF(2010-VLOOKUP(MATCH(L43,epa_id,0),epa,'A1(epa)'!$U$17,FALSE)=0,IF(VLOOKUP(MATCH(L43,epa_id,0),epa,'A1(epa)'!$AV$17,FALSE)=0,"",VLOOKUP(MATCH(L43,epa_id,0),epa,'A1(epa)'!$AV$17,FALSE))))</f>
        <v/>
      </c>
      <c r="BX43" s="5478">
        <f>+IF(L43="","",IF(2010-VLOOKUP(MATCH(L43,epa_id,0),epa,'A1(epa)'!$U$17,FALSE)=0,IF(VLOOKUP(MATCH(L43,epa_id,0),epa,'A1(epa)'!$AW$17,FALSE)=0,"",VLOOKUP(MATCH(L43,epa_id,0),epa,'A1(epa)'!$AW$17,FALSE))))</f>
        <v>415</v>
      </c>
      <c r="BY43" s="5415"/>
      <c r="BZ43" s="5478">
        <f t="shared" si="11"/>
        <v>788.10057072215022</v>
      </c>
      <c r="CA43" s="5415"/>
      <c r="CB43" s="9553"/>
      <c r="CC43" s="9538"/>
      <c r="CD43" s="9538"/>
      <c r="CE43" s="9557"/>
      <c r="CF43" s="9532"/>
      <c r="CG43" s="9532"/>
      <c r="CH43" s="9561"/>
      <c r="CI43" s="9541"/>
      <c r="CJ43" s="9538"/>
      <c r="CK43" s="9538"/>
      <c r="CL43" s="9535"/>
      <c r="CM43" s="9532"/>
      <c r="CN43" s="9532"/>
      <c r="CO43" s="9561"/>
      <c r="CP43" s="9541"/>
      <c r="CQ43" s="9538"/>
      <c r="CR43" s="9538"/>
      <c r="CS43" s="9535"/>
      <c r="CT43" s="9532"/>
      <c r="CU43" s="9532"/>
      <c r="CV43" s="9550"/>
      <c r="CW43" s="9604"/>
      <c r="CX43" s="9601"/>
      <c r="CY43" s="9598"/>
      <c r="CZ43" s="9538"/>
      <c r="DA43" s="9557">
        <f t="shared" si="12"/>
        <v>0</v>
      </c>
      <c r="DB43" s="9532"/>
      <c r="DC43" s="9532"/>
      <c r="DD43" s="9561"/>
      <c r="DE43" s="9594"/>
      <c r="DF43" s="9594"/>
      <c r="DG43" s="5356"/>
      <c r="DH43" s="5348"/>
      <c r="DI43" s="5348"/>
    </row>
    <row r="44" spans="1:113" s="479" customFormat="1" ht="25.5" customHeight="1" thickBot="1">
      <c r="A44" s="5364" t="str">
        <f t="shared" si="13"/>
        <v>8300-14</v>
      </c>
      <c r="B44" s="9571"/>
      <c r="C44" s="5365" t="str">
        <f t="shared" si="2"/>
        <v>DV13</v>
      </c>
      <c r="D44" s="5359"/>
      <c r="E44" s="5351"/>
      <c r="F44" s="5359"/>
      <c r="G44" s="4445">
        <f t="shared" si="17"/>
        <v>26</v>
      </c>
      <c r="H44" s="5546">
        <v>26</v>
      </c>
      <c r="I44" s="9520"/>
      <c r="J44" s="9520" t="str">
        <f>+IF(L44="","",IF(VLOOKUP(MATCH(L44,tid,0),tao,'12(id)'!$I$20,FALSE)="","",VLOOKUP(MATCH(L44,tid,0),tao,'12(id)'!$I$20,FALSE)))</f>
        <v/>
      </c>
      <c r="K44" s="9518">
        <f>+IF(L44="","",IF(VLOOKUP(MATCH(L44,tid,0),tao,'12(id)'!$K$20,FALSE)="","",VLOOKUP(MATCH(L44,tid,0),tao,'12(id)'!$K$20,FALSE)))</f>
        <v>8300</v>
      </c>
      <c r="L44" s="5514" t="s">
        <v>272</v>
      </c>
      <c r="M44" s="9520" t="str">
        <f>+IF(L44="","",IF(VLOOKUP(MATCH(L44,tid,0),tao,'12(id)'!$L$20,FALSE)="","",VLOOKUP(MATCH(L44,tid,0),tao,'12(id)'!$L$20,FALSE)))</f>
        <v>Devon</v>
      </c>
      <c r="N44" s="5504" t="str">
        <f>+IF(L44="","",IF(VLOOKUP(MATCH(L44,tid,0),tao,'12(id)'!$P$20,FALSE)="","",VLOOKUP(MATCH(L44,tid,0),tao,'12(id)'!$P$20,FALSE)))</f>
        <v>Devon-13</v>
      </c>
      <c r="O44" s="5541" t="str">
        <f>+IF(L44="","",IF(VLOOKUP(MATCH(L44,tid,0),tao,'12(id)'!$Q$20,FALSE)="","",VLOOKUP(MATCH(L44,tid,0),tao,'12(id)'!$Q$20,FALSE)))</f>
        <v>DV13</v>
      </c>
      <c r="P44" s="5542">
        <f>+IF(L44="","",IF(VLOOKUP(MATCH(L44,tid,0),tao,'12(id)'!$CT$20,FALSE)="","",VLOOKUP(MATCH(L44,tid,0),tao,'12(id)'!$CT$20,FALSE)))</f>
        <v>40</v>
      </c>
      <c r="Q44" s="9530"/>
      <c r="R44" s="5500" t="str">
        <f>+IF(L44="","",IF(VLOOKUP(MATCH(L44,tid,0),tao,'12(id)'!$T$20,FALSE)="","",VLOOKUP(MATCH(L44,tid,0),tao,'12(id)'!$T$20,FALSE)))</f>
        <v>Combustion Turbine</v>
      </c>
      <c r="S44" s="5501" t="str">
        <f>+IF(L44="","",IF(VLOOKUP(MATCH(L44,tid,0),tao,'12(id)'!$CO$20,FALSE)="","",VLOOKUP(MATCH(L44,tid,0),tao,'12(id)'!$CO$20,FALSE)))</f>
        <v>General Electric</v>
      </c>
      <c r="T44" s="5500" t="str">
        <f>+IF(L44="","",IF(VLOOKUP(MATCH(L44,tid,0),tao,'12(id)'!$CP$20,FALSE)="","",VLOOKUP(MATCH(L44,tid,0),tao,'12(id)'!$CP$20,FALSE)))</f>
        <v>LM6000PA</v>
      </c>
      <c r="U44" s="5502" t="str">
        <f>+IF(L44="","",IF(VLOOKUP(MATCH(L44,tid,0),tao,'12(id)'!$DC$20,FALSE)="","",IF(VLOOKUP(MATCH(L44,tid,0),tao,'12(id)'!$DB$20,FALSE)="",VLOOKUP(MATCH(L44,tid,0),tao,'12(id)'!$DC$20,FALSE),VLOOKUP(MATCH(L44,tid,0),tao,'12(id)'!$DB$20,FALSE)&amp;" "&amp;VLOOKUP(MATCH(L44,tid,0),tao,'12(id)'!$DC$20,FALSE))))</f>
        <v>Jun 1996</v>
      </c>
      <c r="V44" s="5503">
        <f ca="1">+IF(L44="","",IF(VLOOKUP(MATCH(L44,tid,0),tao,'12(id)'!$DE$20,FALSE)="","",ROUND(VLOOKUP(MATCH(L44,tid,0),tao,'12(id)'!$DE$20,FALSE),0)))</f>
        <v>18</v>
      </c>
      <c r="W44" s="5504" t="str">
        <f>+IF(L44="","",IF(VLOOKUP(G44,tao,'12(id)'!$FR$20,FALSE)="","",VLOOKUP(G44,tao,'12(id)'!$FR$20,FALSE)&amp;IF(VLOOKUP(G44,tao,'12(id)'!$FS$20,FALSE)="","",", "&amp;VLOOKUP(G44,tao,'12(id)'!$FS$20,FALSE))))</f>
        <v>HPWI</v>
      </c>
      <c r="X44" s="5504" t="s">
        <v>48</v>
      </c>
      <c r="Y44" s="5504" t="s">
        <v>90</v>
      </c>
      <c r="Z44" s="5505">
        <f>+IF(L44="","",IF(VLOOKUP(MATCH(L44,tid,0),tao,'12(id)'!$EH$20,FALSE)="","",VLOOKUP(MATCH(L44,tid,0),tao,'12(id)'!$EH$20,FALSE)))</f>
        <v>394</v>
      </c>
      <c r="AA44" s="5558">
        <f>+IF(L44="","",IF(VLOOKUP(MATCH(L44,tid,0),tao,'12(id)'!$EI$20,FALSE)="","",VLOOKUP(MATCH(L44,tid,0),tao,'12(id)'!$EI$20,FALSE)))</f>
        <v>0.17100000000000001</v>
      </c>
      <c r="AB44" s="5558" t="str">
        <f>+IF(L44="","",IF(VLOOKUP(MATCH(L44,tid,0),tao,'12(id)'!$EJ$20,FALSE)="","",VLOOKUP(MATCH(L44,tid,0),tao,'12(id)'!$EJ$20,FALSE)))</f>
        <v/>
      </c>
      <c r="AC44" s="5559">
        <f>+IF(L44="","",IF(VLOOKUP(MATCH(L44,tid,0),tao,'12(id)'!$EL$20,FALSE)="","",VLOOKUP(MATCH(L44,tid,0),tao,'12(id)'!$EL$20,FALSE)))</f>
        <v>0.17100000000000001</v>
      </c>
      <c r="AD44" s="5508"/>
      <c r="AE44" s="5561">
        <f t="shared" si="3"/>
        <v>0.17100000000000001</v>
      </c>
      <c r="AF44" s="5560" t="str">
        <f t="shared" si="4"/>
        <v/>
      </c>
      <c r="AG44" s="5562">
        <f>+IF(L44="","",IF(VLOOKUP(MATCH(L44,tid,0),tao,'12(id)'!$GY$20,FALSE)="","",VLOOKUP(MATCH(L44,tid,0),tao,'12(id)'!$GY$20,FALSE)))</f>
        <v>94.5</v>
      </c>
      <c r="AH44" s="5563" t="str">
        <f>+IF(L44="","",IF(VLOOKUP(MATCH(L44,tid,0),tao,'12(id)'!$HL$20,FALSE)="","",VLOOKUP(MATCH(L44,tid,0),tao,'12(id)'!$HL$20,FALSE)))</f>
        <v/>
      </c>
      <c r="AI44" s="5512">
        <f>+IF(L44="","",IF(2010-VLOOKUP(MATCH(L44,epa_id,0),epa,'A1(epa)'!$U$17,FALSE)=0,IF(VLOOKUP(MATCH(L44,epa_id,0),epa,'A1(epa)'!$U$17,FALSE)=0,"",VLOOKUP(MATCH(L44,epa_id,0),epa,'A1(epa)'!$U$17,FALSE))))</f>
        <v>2010</v>
      </c>
      <c r="AJ44" s="5647">
        <f>+IF(L44="","",IF(2010-VLOOKUP(MATCH(L44,epa_id,0),epa,'A1(epa)'!$U$17,FALSE)=0,IF(VLOOKUP(MATCH(L44,epa_id,0),epa,'A1(epa)'!$W$17,FALSE)=0,"",VLOOKUP(MATCH(L44,epa_id,0),epa,'A1(epa)'!$W$17,FALSE))))</f>
        <v>85</v>
      </c>
      <c r="AK44" s="5513">
        <f>+IF(L44="","",IF(2010-VLOOKUP(MATCH(L44,epa_id,0),epa,'A1(epa)'!$U$17,FALSE)=0,IF(VLOOKUP(MATCH(L44,epa_id,0),epa,'A1(epa)'!$X$17,FALSE)=0,"",VLOOKUP(MATCH(L44,epa_id,0),epa,'A1(epa)'!$X$17,FALSE))))</f>
        <v>5</v>
      </c>
      <c r="AL44" s="5647">
        <f>+IF(L44="","",IF(2010-VLOOKUP(MATCH(L44,epa_id,0),epa,'A1(epa)'!$U$17,FALSE)=0,IF(VLOOKUP(MATCH(L44,epa_id,0),epa,'A1(epa)'!$Y$17,FALSE)=0,"",VLOOKUP(MATCH(L44,epa_id,0),epa,'A1(epa)'!$Y$17,FALSE))))</f>
        <v>2654</v>
      </c>
      <c r="AM44" s="5781">
        <f>+IF(L44="","",IF(2010-VLOOKUP(MATCH(L44,epa_id,0),epa,'A1(epa)'!$U$17,FALSE)=0,IF(VLOOKUP(MATCH(L44,epa_id,0),epa,'A1(epa)'!$AA$17,FALSE)=0,"",VLOOKUP(MATCH(L44,epa_id,0),epa,'A1(epa)'!$AA$17,FALSE))))</f>
        <v>0.15</v>
      </c>
      <c r="AN44" s="5782">
        <f>+IF(L44="","",IF(2010-VLOOKUP(MATCH(L44,epa_id,0),epa,'A1(epa)'!$U$17,FALSE)=0,IF(VLOOKUP(MATCH(L44,epa_id,0),epa,'A1(epa)'!$AB$17,FALSE)=0,"",VLOOKUP(MATCH(L44,epa_id,0),epa,'A1(epa)'!$AB$17,FALSE))))</f>
        <v>2.2000000000000002</v>
      </c>
      <c r="AO44" s="5783">
        <f t="shared" si="14"/>
        <v>0.15</v>
      </c>
      <c r="AP44" s="5784">
        <f t="shared" si="5"/>
        <v>2.2000000000000002</v>
      </c>
      <c r="AQ44" s="5785">
        <f t="shared" si="6"/>
        <v>828.93745290128106</v>
      </c>
      <c r="AR44" s="5647">
        <f>+IF(L44="","",IF(2010-VLOOKUP(MATCH(L44,epa_id,0),epa,'A1(epa)'!$U$17,FALSE)=0,IF(VLOOKUP(MATCH(L44,epa_id,0),epa,'A1(epa)'!$AC$17,FALSE)=0,"",VLOOKUP(MATCH(L44,epa_id,0),epa,'A1(epa)'!$AC$17,FALSE))))</f>
        <v>27875</v>
      </c>
      <c r="AS44" s="5504" t="str">
        <f>+IF(L44="","",IF(2010-VLOOKUP(MATCH(L44,epa_id,0),epa,'A1(epa)'!$U$17,FALSE)=0,IF(VLOOKUP(MATCH(L44,epa_id,0),epa,'A1(epa)'!$AP$17,FALSE)=0,"",VLOOKUP(MATCH(L44,epa_id,0),epa,'A1(epa)'!$AP$17,FALSE))))</f>
        <v>Pipeline Natural Gas</v>
      </c>
      <c r="AT44" s="5617" t="str">
        <f>+IF(L44="","",IF(2010-VLOOKUP(MATCH(L44,epa_id,0),epa,'A1(epa)'!$U$17,FALSE)=0,IF(VLOOKUP(MATCH(L44,epa_id,0),epa,'A1(epa)'!$AQ$17,FALSE)=0,"",VLOOKUP(MATCH(L44,epa_id,0),epa,'A1(epa)'!$AQ$17,FALSE))))</f>
        <v>Other Oil</v>
      </c>
      <c r="AU44" s="5512">
        <f>+IF(L44="","",IF(2009-VLOOKUP(MATCH(L44,epa_id,0)+1,epa,'A1(epa)'!$U$17,FALSE)=0,IF(VLOOKUP(MATCH(L44,epa_id,0)+1,epa,'A1(epa)'!$U$17,FALSE)=0,"",VLOOKUP(MATCH(L44,epa_id,0)+1,epa,'A1(epa)'!$U$17,FALSE))))</f>
        <v>2009</v>
      </c>
      <c r="AV44" s="5502">
        <f>+IF(L44="","",IF(2009-VLOOKUP(MATCH(L44,epa_id,0)+1,epa,'A1(epa)'!$U$17,FALSE)=0,IF(VLOOKUP(MATCH(L44,epa_id,0)+1,epa,'A1(epa)'!$W$17,FALSE)=0,"",VLOOKUP(MATCH(L44,epa_id,0)+1,epa,'A1(epa)'!$W$17,FALSE))))</f>
        <v>19</v>
      </c>
      <c r="AW44" s="5514">
        <f>+IF(L44="","",IF(2009-VLOOKUP(MATCH(L44,epa_id,0)+1,epa,'A1(epa)'!$U$17,FALSE)=0,IF(VLOOKUP(MATCH(L44,epa_id,0)+1,epa,'A1(epa)'!$X$17,FALSE)=0,"",VLOOKUP(MATCH(L44,epa_id,0)+1,epa,'A1(epa)'!$X$17,FALSE))))</f>
        <v>5</v>
      </c>
      <c r="AX44" s="5647">
        <f>+IF(L44="","",IF(2009-VLOOKUP(MATCH(L44,epa_id,0)+1,epa,'A1(epa)'!$U$17,FALSE)=0,IF(VLOOKUP(MATCH(L44,epa_id,0)+1,epa,'A1(epa)'!$Y$17,FALSE)=0,"",VLOOKUP(MATCH(L44,epa_id,0)+1,epa,'A1(epa)'!$Y$17,FALSE))))</f>
        <v>562</v>
      </c>
      <c r="AY44" s="5674">
        <f>+IF(L44="","",IF(2009-VLOOKUP(MATCH(L44,epa_id,0)+1,epa,'A1(epa)'!$U$17,FALSE)=0,IF(VLOOKUP(MATCH(L44,epa_id,0)+1,epa,'A1(epa)'!$AA$17,FALSE)=0,"",VLOOKUP(MATCH(L44,epa_id,0)+1,epa,'A1(epa)'!$AA$17,FALSE))))</f>
        <v>0.15</v>
      </c>
      <c r="AZ44" s="5675">
        <f>+IF(L44="","",IF(2009-VLOOKUP(MATCH(L44,epa_id,0)+1,epa,'A1(epa)'!$U$17,FALSE)=0,IF(VLOOKUP(MATCH(L44,epa_id,0)+1,epa,'A1(epa)'!$AB$17,FALSE)=0,"",VLOOKUP(MATCH(L44,epa_id,0)+1,epa,'A1(epa)'!$AB$17,FALSE))))</f>
        <v>0.5</v>
      </c>
      <c r="BA44" s="5676">
        <f t="shared" si="15"/>
        <v>0.15</v>
      </c>
      <c r="BB44" s="5677">
        <f t="shared" si="7"/>
        <v>0.5</v>
      </c>
      <c r="BC44" s="5516">
        <f t="shared" si="8"/>
        <v>889.6797153024911</v>
      </c>
      <c r="BD44" s="5647">
        <f>+IF(L44="","",IF(2009-VLOOKUP(MATCH(L44,epa_id,0)+1,epa,'A1(epa)'!$U$17,FALSE)=0,IF(VLOOKUP(MATCH(L44,epa_id,0)+1,epa,'A1(epa)'!$AC$17,FALSE)=0,"",VLOOKUP(MATCH(L44,epa_id,0)+1,epa,'A1(epa)'!$AC$17,FALSE))))</f>
        <v>5896</v>
      </c>
      <c r="BE44" s="5514" t="str">
        <f>+IF(L44="","",IF(2009-VLOOKUP(MATCH(L44,epa_id,0)+1,epa,'A1(epa)'!$U$17,FALSE)=0,IF(VLOOKUP(MATCH(L44,epa_id,0)+1,epa,'A1(epa)'!$AP$17,FALSE)=0,"",VLOOKUP(MATCH(L44,epa_id,0)+1,epa,'A1(epa)'!$AP$17,FALSE))))</f>
        <v>Pipeline Natural Gas</v>
      </c>
      <c r="BF44" s="5515" t="str">
        <f>+IF(L44="","",IF(2009-VLOOKUP(MATCH(L44,epa_id,0)+1,epa,'A1(epa)'!$U$17,FALSE)=0,IF(VLOOKUP(MATCH(L44,epa_id,0)+1,epa,'A1(epa)'!$AQ$17,FALSE)=0,"",VLOOKUP(MATCH(L44,epa_id,0)+1,epa,'A1(epa)'!$AQ$17,FALSE))))</f>
        <v>Other Oil</v>
      </c>
      <c r="BG44" s="5517">
        <f>+IF(L44="","",IF(2008-VLOOKUP(MATCH(L44,epa_id,0)+2,epa,'A1(epa)'!$U$17,FALSE)=0,IF(VLOOKUP(MATCH(L44,epa_id,0)+2,epa,'A1(epa)'!$U$17,FALSE)=0,"",VLOOKUP(MATCH(L44,epa_id,0)+2,epa,'A1(epa)'!$U$17,FALSE))))</f>
        <v>2008</v>
      </c>
      <c r="BH44" s="5514">
        <f>+IF(L44="","",IF(2008-VLOOKUP(MATCH(L44,epa_id,0)+2,epa,'A1(epa)'!$U$17,FALSE)=0,IF(VLOOKUP(MATCH(L44,epa_id,0)+2,epa,'A1(epa)'!$W$17,FALSE)=0,"",VLOOKUP(MATCH(L44,epa_id,0)+2,epa,'A1(epa)'!$W$17,FALSE))))</f>
        <v>17</v>
      </c>
      <c r="BI44" s="5514">
        <f>+IF(L44="","",IF(2008-VLOOKUP(MATCH(L44,epa_id,0)+2,epa,'A1(epa)'!$U$17,FALSE)=0,IF(VLOOKUP(MATCH(L44,epa_id,0)+2,epa,'A1(epa)'!$X$17,FALSE)=0,"",VLOOKUP(MATCH(L44,epa_id,0)+2,epa,'A1(epa)'!$X$17,FALSE))))</f>
        <v>5</v>
      </c>
      <c r="BJ44" s="5647">
        <f>+IF(L44="","",IF(2008-VLOOKUP(MATCH(L44,epa_id,0)+2,epa,'A1(epa)'!$U$17,FALSE)=0,IF(VLOOKUP(MATCH(L44,epa_id,0)+2,epa,'A1(epa)'!$Y$17,FALSE)=0,"",VLOOKUP(MATCH(L44,epa_id,0)+2,epa,'A1(epa)'!$Y$17,FALSE))))</f>
        <v>496</v>
      </c>
      <c r="BK44" s="5674">
        <f>+IF(L44="","",IF(2008-VLOOKUP(MATCH(L44,epa_id,0)+2,epa,'A1(epa)'!$U$17,FALSE)=0,IF(VLOOKUP(MATCH(L44,epa_id,0)+2,epa,'A1(epa)'!$AA$17,FALSE)=0,"",VLOOKUP(MATCH(L44,epa_id,0)+2,epa,'A1(epa)'!$AA$17,FALSE))))</f>
        <v>0.16</v>
      </c>
      <c r="BL44" s="5675">
        <f>+IF(L44="","",IF(2008-VLOOKUP(MATCH(L44,epa_id,0)+2,epa,'A1(epa)'!$U$17,FALSE)=0,IF(VLOOKUP(MATCH(L44,epa_id,0)+2,epa,'A1(epa)'!$AB$17,FALSE)=0,"",VLOOKUP(MATCH(L44,epa_id,0)+2,epa,'A1(epa)'!$AB$17,FALSE))))</f>
        <v>0.4</v>
      </c>
      <c r="BM44" s="5722">
        <f t="shared" si="16"/>
        <v>0.16</v>
      </c>
      <c r="BN44" s="5723">
        <f t="shared" si="9"/>
        <v>0.4</v>
      </c>
      <c r="BO44" s="5724">
        <f t="shared" si="10"/>
        <v>806.45161290322585</v>
      </c>
      <c r="BP44" s="5633">
        <f>+IF(L44="","",IF(2008-VLOOKUP(MATCH(L44,epa_id,0)+2,epa,'A1(epa)'!$U$17,FALSE)=0,IF(VLOOKUP(MATCH(L44,epa_id,0)+2,epa,'A1(epa)'!$AC$17,FALSE)=0,"",VLOOKUP(MATCH(L44,epa_id,0)+2,epa,'A1(epa)'!$AC$17,FALSE))))</f>
        <v>5267</v>
      </c>
      <c r="BQ44" s="5604" t="str">
        <f>+IF(L44="","",IF(2008-VLOOKUP(MATCH(L44,epa_id,0)+2,epa,'A1(epa)'!$U$17,FALSE)=0,IF(VLOOKUP(MATCH(L44,epa_id,0)+2,epa,'A1(epa)'!$AP$17,FALSE)=0,"",VLOOKUP(MATCH(L44,epa_id,0)+2,epa,'A1(epa)'!$AP$17,FALSE))))</f>
        <v>Pipeline Natural Gas</v>
      </c>
      <c r="BR44" s="5617" t="str">
        <f>+IF(L44="","",IF(2008-VLOOKUP(MATCH(L44,epa_id,0)+2,epa,'A1(epa)'!$U$17,FALSE)=0,IF(VLOOKUP(MATCH(L44,epa_id,0)+2,epa,'A1(epa)'!$AQ$17,FALSE)=0,"",VLOOKUP(MATCH(L44,epa_id,0)+2,epa,'A1(epa)'!$AQ$17,FALSE))))</f>
        <v>Other Oil</v>
      </c>
      <c r="BS44" s="5604" t="str">
        <f>+IF(L44="","",IF(2010-VLOOKUP(MATCH(L44,epa_id,0),epa,'A1(epa)'!$U$17,FALSE)=0,IF(VLOOKUP(MATCH(L44,epa_id,0),epa,'A1(epa)'!$AS$17,FALSE)=0,"",VLOOKUP(MATCH(L44,epa_id,0),epa,'A1(epa)'!$AS$17,FALSE))))</f>
        <v>Water Injection</v>
      </c>
      <c r="BT44" s="5504" t="str">
        <f>+IF(L44="","",IF(2010-VLOOKUP(MATCH(L44,epa_id,0),epa,'A1(epa)'!$U$17,FALSE)=0,IF(VLOOKUP(MATCH(L44,epa_id,0),epa,'A1(epa)'!$AT$17,FALSE)=0,"",VLOOKUP(MATCH(L44,epa_id,0),epa,'A1(epa)'!$AT$17,FALSE))))</f>
        <v/>
      </c>
      <c r="BU44" s="5504" t="str">
        <f>+IF(L44="","",IF(2010-VLOOKUP(MATCH(L44,epa_id,0),epa,'A1(epa)'!$U$17,FALSE)=0,IF(VLOOKUP(MATCH(L44,epa_id,0),epa,'A1(epa)'!$AU$17,FALSE)=0,"",VLOOKUP(MATCH(L44,epa_id,0),epa,'A1(epa)'!$AU$17,FALSE))))</f>
        <v/>
      </c>
      <c r="BV44" s="5504" t="str">
        <f>+IF(L44="","",IF(2010-VLOOKUP(MATCH(L44,epa_id,0),epa,'A1(epa)'!$U$17,FALSE)=0,IF(VLOOKUP(MATCH(L44,epa_id,0),epa,'A1(epa)'!$AR$17,FALSE)=0,"",VLOOKUP(MATCH(L44,epa_id,0),epa,'A1(epa)'!$AR$17,FALSE))))</f>
        <v/>
      </c>
      <c r="BW44" s="5590" t="str">
        <f>+IF(L44="","",IF(2010-VLOOKUP(MATCH(L44,epa_id,0),epa,'A1(epa)'!$U$17,FALSE)=0,IF(VLOOKUP(MATCH(L44,epa_id,0),epa,'A1(epa)'!$AV$17,FALSE)=0,"",VLOOKUP(MATCH(L44,epa_id,0),epa,'A1(epa)'!$AV$17,FALSE))))</f>
        <v/>
      </c>
      <c r="BX44" s="5478">
        <f>+IF(L44="","",IF(2010-VLOOKUP(MATCH(L44,epa_id,0),epa,'A1(epa)'!$U$17,FALSE)=0,IF(VLOOKUP(MATCH(L44,epa_id,0),epa,'A1(epa)'!$AW$17,FALSE)=0,"",VLOOKUP(MATCH(L44,epa_id,0),epa,'A1(epa)'!$AW$17,FALSE))))</f>
        <v>415</v>
      </c>
      <c r="BY44" s="5415"/>
      <c r="BZ44" s="5478">
        <f t="shared" si="11"/>
        <v>841.68959370233267</v>
      </c>
      <c r="CA44" s="5415"/>
      <c r="CB44" s="9553"/>
      <c r="CC44" s="9538"/>
      <c r="CD44" s="9538"/>
      <c r="CE44" s="9557"/>
      <c r="CF44" s="9532"/>
      <c r="CG44" s="9532"/>
      <c r="CH44" s="9561"/>
      <c r="CI44" s="9541"/>
      <c r="CJ44" s="9538"/>
      <c r="CK44" s="9538"/>
      <c r="CL44" s="9535"/>
      <c r="CM44" s="9532"/>
      <c r="CN44" s="9532"/>
      <c r="CO44" s="9561"/>
      <c r="CP44" s="9541"/>
      <c r="CQ44" s="9538"/>
      <c r="CR44" s="9538"/>
      <c r="CS44" s="9535"/>
      <c r="CT44" s="9532"/>
      <c r="CU44" s="9532"/>
      <c r="CV44" s="9550"/>
      <c r="CW44" s="9604"/>
      <c r="CX44" s="9601"/>
      <c r="CY44" s="9598"/>
      <c r="CZ44" s="9538"/>
      <c r="DA44" s="9557">
        <f t="shared" si="12"/>
        <v>0</v>
      </c>
      <c r="DB44" s="9532"/>
      <c r="DC44" s="9532"/>
      <c r="DD44" s="9561"/>
      <c r="DE44" s="9594"/>
      <c r="DF44" s="9594"/>
      <c r="DG44" s="5356"/>
      <c r="DH44" s="5348"/>
      <c r="DI44" s="5348"/>
    </row>
    <row r="45" spans="1:113" s="479" customFormat="1" ht="25.5" customHeight="1" thickBot="1">
      <c r="A45" s="5366" t="str">
        <f t="shared" si="13"/>
        <v>8300-15</v>
      </c>
      <c r="B45" s="9572"/>
      <c r="C45" s="5367" t="str">
        <f t="shared" si="2"/>
        <v>DV14</v>
      </c>
      <c r="D45" s="5359"/>
      <c r="E45" s="5351"/>
      <c r="F45" s="5359"/>
      <c r="G45" s="4445">
        <f t="shared" si="17"/>
        <v>27</v>
      </c>
      <c r="H45" s="5547">
        <v>27</v>
      </c>
      <c r="I45" s="9521"/>
      <c r="J45" s="9521" t="str">
        <f>+IF(L45="","",IF(VLOOKUP(MATCH(L45,tid,0),tao,'12(id)'!$I$20,FALSE)="","",VLOOKUP(MATCH(L45,tid,0),tao,'12(id)'!$I$20,FALSE)))</f>
        <v/>
      </c>
      <c r="K45" s="9519">
        <f>+IF(L45="","",IF(VLOOKUP(MATCH(L45,tid,0),tao,'12(id)'!$K$20,FALSE)="","",VLOOKUP(MATCH(L45,tid,0),tao,'12(id)'!$K$20,FALSE)))</f>
        <v>8300</v>
      </c>
      <c r="L45" s="5548" t="s">
        <v>273</v>
      </c>
      <c r="M45" s="9521" t="str">
        <f>+IF(L45="","",IF(VLOOKUP(MATCH(L45,tid,0),tao,'12(id)'!$L$20,FALSE)="","",VLOOKUP(MATCH(L45,tid,0),tao,'12(id)'!$L$20,FALSE)))</f>
        <v>Devon</v>
      </c>
      <c r="N45" s="5549" t="str">
        <f>+IF(L45="","",IF(VLOOKUP(MATCH(L45,tid,0),tao,'12(id)'!$P$20,FALSE)="","",VLOOKUP(MATCH(L45,tid,0),tao,'12(id)'!$P$20,FALSE)))</f>
        <v>Devon-14</v>
      </c>
      <c r="O45" s="5550" t="str">
        <f>+IF(L45="","",IF(VLOOKUP(MATCH(L45,tid,0),tao,'12(id)'!$Q$20,FALSE)="","",VLOOKUP(MATCH(L45,tid,0),tao,'12(id)'!$Q$20,FALSE)))</f>
        <v>DV14</v>
      </c>
      <c r="P45" s="5551">
        <f>+IF(L45="","",IF(VLOOKUP(MATCH(L45,tid,0),tao,'12(id)'!$CT$20,FALSE)="","",VLOOKUP(MATCH(L45,tid,0),tao,'12(id)'!$CT$20,FALSE)))</f>
        <v>40</v>
      </c>
      <c r="Q45" s="9568"/>
      <c r="R45" s="5564" t="str">
        <f>+IF(L45="","",IF(VLOOKUP(MATCH(L45,tid,0),tao,'12(id)'!$T$20,FALSE)="","",VLOOKUP(MATCH(L45,tid,0),tao,'12(id)'!$T$20,FALSE)))</f>
        <v>Combustion Turbine</v>
      </c>
      <c r="S45" s="5565" t="str">
        <f>+IF(L45="","",IF(VLOOKUP(MATCH(L45,tid,0),tao,'12(id)'!$CO$20,FALSE)="","",VLOOKUP(MATCH(L45,tid,0),tao,'12(id)'!$CO$20,FALSE)))</f>
        <v>General Electric</v>
      </c>
      <c r="T45" s="5564" t="str">
        <f>+IF(L45="","",IF(VLOOKUP(MATCH(L45,tid,0),tao,'12(id)'!$CP$20,FALSE)="","",VLOOKUP(MATCH(L45,tid,0),tao,'12(id)'!$CP$20,FALSE)))</f>
        <v>LM6000PA</v>
      </c>
      <c r="U45" s="5566" t="str">
        <f>+IF(L45="","",IF(VLOOKUP(MATCH(L45,tid,0),tao,'12(id)'!$DC$20,FALSE)="","",IF(VLOOKUP(MATCH(L45,tid,0),tao,'12(id)'!$DB$20,FALSE)="",VLOOKUP(MATCH(L45,tid,0),tao,'12(id)'!$DC$20,FALSE),VLOOKUP(MATCH(L45,tid,0),tao,'12(id)'!$DB$20,FALSE)&amp;" "&amp;VLOOKUP(MATCH(L45,tid,0),tao,'12(id)'!$DC$20,FALSE))))</f>
        <v>Jun 1996</v>
      </c>
      <c r="V45" s="5567">
        <f ca="1">+IF(L45="","",IF(VLOOKUP(MATCH(L45,tid,0),tao,'12(id)'!$DE$20,FALSE)="","",ROUND(VLOOKUP(MATCH(L45,tid,0),tao,'12(id)'!$DE$20,FALSE),0)))</f>
        <v>18</v>
      </c>
      <c r="W45" s="5549" t="str">
        <f>+IF(L45="","",IF(VLOOKUP(G45,tao,'12(id)'!$FR$20,FALSE)="","",VLOOKUP(G45,tao,'12(id)'!$FR$20,FALSE)&amp;IF(VLOOKUP(G45,tao,'12(id)'!$FS$20,FALSE)="","",", "&amp;VLOOKUP(G45,tao,'12(id)'!$FS$20,FALSE))))</f>
        <v>HPWI</v>
      </c>
      <c r="X45" s="5549" t="s">
        <v>48</v>
      </c>
      <c r="Y45" s="5549" t="s">
        <v>90</v>
      </c>
      <c r="Z45" s="5568">
        <f>+IF(L45="","",IF(VLOOKUP(MATCH(L45,tid,0),tao,'12(id)'!$EH$20,FALSE)="","",VLOOKUP(MATCH(L45,tid,0),tao,'12(id)'!$EH$20,FALSE)))</f>
        <v>394</v>
      </c>
      <c r="AA45" s="5569">
        <f>+IF(L45="","",IF(VLOOKUP(MATCH(L45,tid,0),tao,'12(id)'!$EI$20,FALSE)="","",VLOOKUP(MATCH(L45,tid,0),tao,'12(id)'!$EI$20,FALSE)))</f>
        <v>0.17100000000000001</v>
      </c>
      <c r="AB45" s="5569" t="str">
        <f>+IF(L45="","",IF(VLOOKUP(MATCH(L45,tid,0),tao,'12(id)'!$EJ$20,FALSE)="","",VLOOKUP(MATCH(L45,tid,0),tao,'12(id)'!$EJ$20,FALSE)))</f>
        <v/>
      </c>
      <c r="AC45" s="5570">
        <f>+IF(L45="","",IF(VLOOKUP(MATCH(L45,tid,0),tao,'12(id)'!$EL$20,FALSE)="","",VLOOKUP(MATCH(L45,tid,0),tao,'12(id)'!$EL$20,FALSE)))</f>
        <v>0.17100000000000001</v>
      </c>
      <c r="AD45" s="5826"/>
      <c r="AE45" s="5572">
        <f t="shared" si="3"/>
        <v>0.17100000000000001</v>
      </c>
      <c r="AF45" s="5571" t="str">
        <f t="shared" si="4"/>
        <v/>
      </c>
      <c r="AG45" s="5573">
        <f>+IF(L45="","",IF(VLOOKUP(MATCH(L45,tid,0),tao,'12(id)'!$GY$20,FALSE)="","",VLOOKUP(MATCH(L45,tid,0),tao,'12(id)'!$GY$20,FALSE)))</f>
        <v>101.4</v>
      </c>
      <c r="AH45" s="5574" t="str">
        <f>+IF(L45="","",IF(VLOOKUP(MATCH(L45,tid,0),tao,'12(id)'!$HL$20,FALSE)="","",VLOOKUP(MATCH(L45,tid,0),tao,'12(id)'!$HL$20,FALSE)))</f>
        <v/>
      </c>
      <c r="AI45" s="5575">
        <f>+IF(L45="","",IF(2010-VLOOKUP(MATCH(L45,epa_id,0),epa,'A1(epa)'!$U$17,FALSE)=0,IF(VLOOKUP(MATCH(L45,epa_id,0),epa,'A1(epa)'!$U$17,FALSE)=0,"",VLOOKUP(MATCH(L45,epa_id,0),epa,'A1(epa)'!$U$17,FALSE))))</f>
        <v>2010</v>
      </c>
      <c r="AJ45" s="5649">
        <f>+IF(L45="","",IF(2010-VLOOKUP(MATCH(L45,epa_id,0),epa,'A1(epa)'!$U$17,FALSE)=0,IF(VLOOKUP(MATCH(L45,epa_id,0),epa,'A1(epa)'!$W$17,FALSE)=0,"",VLOOKUP(MATCH(L45,epa_id,0),epa,'A1(epa)'!$W$17,FALSE))))</f>
        <v>96</v>
      </c>
      <c r="AK45" s="5576">
        <f>+IF(L45="","",IF(2010-VLOOKUP(MATCH(L45,epa_id,0),epa,'A1(epa)'!$U$17,FALSE)=0,IF(VLOOKUP(MATCH(L45,epa_id,0),epa,'A1(epa)'!$X$17,FALSE)=0,"",VLOOKUP(MATCH(L45,epa_id,0),epa,'A1(epa)'!$X$17,FALSE))))</f>
        <v>5</v>
      </c>
      <c r="AL45" s="5649">
        <f>+IF(L45="","",IF(2010-VLOOKUP(MATCH(L45,epa_id,0),epa,'A1(epa)'!$U$17,FALSE)=0,IF(VLOOKUP(MATCH(L45,epa_id,0),epa,'A1(epa)'!$Y$17,FALSE)=0,"",VLOOKUP(MATCH(L45,epa_id,0),epa,'A1(epa)'!$Y$17,FALSE))))</f>
        <v>2945</v>
      </c>
      <c r="AM45" s="5801">
        <f>+IF(L45="","",IF(2010-VLOOKUP(MATCH(L45,epa_id,0),epa,'A1(epa)'!$U$17,FALSE)=0,IF(VLOOKUP(MATCH(L45,epa_id,0),epa,'A1(epa)'!$AA$17,FALSE)=0,"",VLOOKUP(MATCH(L45,epa_id,0),epa,'A1(epa)'!$AA$17,FALSE))))</f>
        <v>0.15</v>
      </c>
      <c r="AN45" s="5802">
        <f>+IF(L45="","",IF(2010-VLOOKUP(MATCH(L45,epa_id,0),epa,'A1(epa)'!$U$17,FALSE)=0,IF(VLOOKUP(MATCH(L45,epa_id,0),epa,'A1(epa)'!$AB$17,FALSE)=0,"",VLOOKUP(MATCH(L45,epa_id,0),epa,'A1(epa)'!$AB$17,FALSE))))</f>
        <v>2.2999999999999998</v>
      </c>
      <c r="AO45" s="5803">
        <f t="shared" si="14"/>
        <v>0.15</v>
      </c>
      <c r="AP45" s="5804">
        <f t="shared" si="5"/>
        <v>2.2999999999999998</v>
      </c>
      <c r="AQ45" s="5805">
        <f t="shared" si="6"/>
        <v>780.98471986417655</v>
      </c>
      <c r="AR45" s="5649">
        <f>+IF(L45="","",IF(2010-VLOOKUP(MATCH(L45,epa_id,0),epa,'A1(epa)'!$U$17,FALSE)=0,IF(VLOOKUP(MATCH(L45,epa_id,0),epa,'A1(epa)'!$AC$17,FALSE)=0,"",VLOOKUP(MATCH(L45,epa_id,0),epa,'A1(epa)'!$AC$17,FALSE))))</f>
        <v>30042</v>
      </c>
      <c r="AS45" s="5549" t="str">
        <f>+IF(L45="","",IF(2010-VLOOKUP(MATCH(L45,epa_id,0),epa,'A1(epa)'!$U$17,FALSE)=0,IF(VLOOKUP(MATCH(L45,epa_id,0),epa,'A1(epa)'!$AP$17,FALSE)=0,"",VLOOKUP(MATCH(L45,epa_id,0),epa,'A1(epa)'!$AP$17,FALSE))))</f>
        <v>Pipeline Natural Gas</v>
      </c>
      <c r="AT45" s="5622" t="str">
        <f>+IF(L45="","",IF(2010-VLOOKUP(MATCH(L45,epa_id,0),epa,'A1(epa)'!$U$17,FALSE)=0,IF(VLOOKUP(MATCH(L45,epa_id,0),epa,'A1(epa)'!$AQ$17,FALSE)=0,"",VLOOKUP(MATCH(L45,epa_id,0),epa,'A1(epa)'!$AQ$17,FALSE))))</f>
        <v>Other Oil</v>
      </c>
      <c r="AU45" s="5575">
        <f>+IF(L45="","",IF(2009-VLOOKUP(MATCH(L45,epa_id,0)+1,epa,'A1(epa)'!$U$17,FALSE)=0,IF(VLOOKUP(MATCH(L45,epa_id,0)+1,epa,'A1(epa)'!$U$17,FALSE)=0,"",VLOOKUP(MATCH(L45,epa_id,0)+1,epa,'A1(epa)'!$U$17,FALSE))))</f>
        <v>2009</v>
      </c>
      <c r="AV45" s="5566">
        <f>+IF(L45="","",IF(2009-VLOOKUP(MATCH(L45,epa_id,0)+1,epa,'A1(epa)'!$U$17,FALSE)=0,IF(VLOOKUP(MATCH(L45,epa_id,0)+1,epa,'A1(epa)'!$W$17,FALSE)=0,"",VLOOKUP(MATCH(L45,epa_id,0)+1,epa,'A1(epa)'!$W$17,FALSE))))</f>
        <v>16</v>
      </c>
      <c r="AW45" s="5548">
        <f>+IF(L45="","",IF(2009-VLOOKUP(MATCH(L45,epa_id,0)+1,epa,'A1(epa)'!$U$17,FALSE)=0,IF(VLOOKUP(MATCH(L45,epa_id,0)+1,epa,'A1(epa)'!$X$17,FALSE)=0,"",VLOOKUP(MATCH(L45,epa_id,0)+1,epa,'A1(epa)'!$X$17,FALSE))))</f>
        <v>5</v>
      </c>
      <c r="AX45" s="5649">
        <f>+IF(L45="","",IF(2009-VLOOKUP(MATCH(L45,epa_id,0)+1,epa,'A1(epa)'!$U$17,FALSE)=0,IF(VLOOKUP(MATCH(L45,epa_id,0)+1,epa,'A1(epa)'!$Y$17,FALSE)=0,"",VLOOKUP(MATCH(L45,epa_id,0)+1,epa,'A1(epa)'!$Y$17,FALSE))))</f>
        <v>443</v>
      </c>
      <c r="AY45" s="5687">
        <f>+IF(L45="","",IF(2009-VLOOKUP(MATCH(L45,epa_id,0)+1,epa,'A1(epa)'!$U$17,FALSE)=0,IF(VLOOKUP(MATCH(L45,epa_id,0)+1,epa,'A1(epa)'!$AA$17,FALSE)=0,"",VLOOKUP(MATCH(L45,epa_id,0)+1,epa,'A1(epa)'!$AA$17,FALSE))))</f>
        <v>0.15</v>
      </c>
      <c r="AZ45" s="5688">
        <f>+IF(L45="","",IF(2009-VLOOKUP(MATCH(L45,epa_id,0)+1,epa,'A1(epa)'!$U$17,FALSE)=0,IF(VLOOKUP(MATCH(L45,epa_id,0)+1,epa,'A1(epa)'!$AB$17,FALSE)=0,"",VLOOKUP(MATCH(L45,epa_id,0)+1,epa,'A1(epa)'!$AB$17,FALSE))))</f>
        <v>0.4</v>
      </c>
      <c r="BA45" s="5689">
        <f t="shared" si="15"/>
        <v>0.15</v>
      </c>
      <c r="BB45" s="5690">
        <f t="shared" si="7"/>
        <v>0.4</v>
      </c>
      <c r="BC45" s="5578">
        <f t="shared" si="8"/>
        <v>902.93453724604967</v>
      </c>
      <c r="BD45" s="5649">
        <f>+IF(L45="","",IF(2009-VLOOKUP(MATCH(L45,epa_id,0)+1,epa,'A1(epa)'!$U$17,FALSE)=0,IF(VLOOKUP(MATCH(L45,epa_id,0)+1,epa,'A1(epa)'!$AC$17,FALSE)=0,"",VLOOKUP(MATCH(L45,epa_id,0)+1,epa,'A1(epa)'!$AC$17,FALSE))))</f>
        <v>4653</v>
      </c>
      <c r="BE45" s="5548" t="str">
        <f>+IF(L45="","",IF(2009-VLOOKUP(MATCH(L45,epa_id,0)+1,epa,'A1(epa)'!$U$17,FALSE)=0,IF(VLOOKUP(MATCH(L45,epa_id,0)+1,epa,'A1(epa)'!$AP$17,FALSE)=0,"",VLOOKUP(MATCH(L45,epa_id,0)+1,epa,'A1(epa)'!$AP$17,FALSE))))</f>
        <v>Pipeline Natural Gas</v>
      </c>
      <c r="BF45" s="5577" t="str">
        <f>+IF(L45="","",IF(2009-VLOOKUP(MATCH(L45,epa_id,0)+1,epa,'A1(epa)'!$U$17,FALSE)=0,IF(VLOOKUP(MATCH(L45,epa_id,0)+1,epa,'A1(epa)'!$AQ$17,FALSE)=0,"",VLOOKUP(MATCH(L45,epa_id,0)+1,epa,'A1(epa)'!$AQ$17,FALSE))))</f>
        <v>Other Oil</v>
      </c>
      <c r="BG45" s="5579">
        <f>+IF(L45="","",IF(2008-VLOOKUP(MATCH(L45,epa_id,0)+2,epa,'A1(epa)'!$U$17,FALSE)=0,IF(VLOOKUP(MATCH(L45,epa_id,0)+2,epa,'A1(epa)'!$U$17,FALSE)=0,"",VLOOKUP(MATCH(L45,epa_id,0)+2,epa,'A1(epa)'!$U$17,FALSE))))</f>
        <v>2008</v>
      </c>
      <c r="BH45" s="5548">
        <f>+IF(L45="","",IF(2008-VLOOKUP(MATCH(L45,epa_id,0)+2,epa,'A1(epa)'!$U$17,FALSE)=0,IF(VLOOKUP(MATCH(L45,epa_id,0)+2,epa,'A1(epa)'!$W$17,FALSE)=0,"",VLOOKUP(MATCH(L45,epa_id,0)+2,epa,'A1(epa)'!$W$17,FALSE))))</f>
        <v>20</v>
      </c>
      <c r="BI45" s="5548">
        <f>+IF(L45="","",IF(2008-VLOOKUP(MATCH(L45,epa_id,0)+2,epa,'A1(epa)'!$U$17,FALSE)=0,IF(VLOOKUP(MATCH(L45,epa_id,0)+2,epa,'A1(epa)'!$X$17,FALSE)=0,"",VLOOKUP(MATCH(L45,epa_id,0)+2,epa,'A1(epa)'!$X$17,FALSE))))</f>
        <v>5</v>
      </c>
      <c r="BJ45" s="5649">
        <f>+IF(L45="","",IF(2008-VLOOKUP(MATCH(L45,epa_id,0)+2,epa,'A1(epa)'!$U$17,FALSE)=0,IF(VLOOKUP(MATCH(L45,epa_id,0)+2,epa,'A1(epa)'!$Y$17,FALSE)=0,"",VLOOKUP(MATCH(L45,epa_id,0)+2,epa,'A1(epa)'!$Y$17,FALSE))))</f>
        <v>564</v>
      </c>
      <c r="BK45" s="5687">
        <f>+IF(L45="","",IF(2008-VLOOKUP(MATCH(L45,epa_id,0)+2,epa,'A1(epa)'!$U$17,FALSE)=0,IF(VLOOKUP(MATCH(L45,epa_id,0)+2,epa,'A1(epa)'!$AA$17,FALSE)=0,"",VLOOKUP(MATCH(L45,epa_id,0)+2,epa,'A1(epa)'!$AA$17,FALSE))))</f>
        <v>0.16</v>
      </c>
      <c r="BL45" s="5688">
        <f>+IF(L45="","",IF(2008-VLOOKUP(MATCH(L45,epa_id,0)+2,epa,'A1(epa)'!$U$17,FALSE)=0,IF(VLOOKUP(MATCH(L45,epa_id,0)+2,epa,'A1(epa)'!$AB$17,FALSE)=0,"",VLOOKUP(MATCH(L45,epa_id,0)+2,epa,'A1(epa)'!$AB$17,FALSE))))</f>
        <v>0.5</v>
      </c>
      <c r="BM45" s="5734">
        <f t="shared" si="16"/>
        <v>0.16</v>
      </c>
      <c r="BN45" s="5735">
        <f t="shared" si="9"/>
        <v>0.5</v>
      </c>
      <c r="BO45" s="5736">
        <f t="shared" si="10"/>
        <v>886.52482269503548</v>
      </c>
      <c r="BP45" s="5637">
        <f>+IF(L45="","",IF(2008-VLOOKUP(MATCH(L45,epa_id,0)+2,epa,'A1(epa)'!$U$17,FALSE)=0,IF(VLOOKUP(MATCH(L45,epa_id,0)+2,epa,'A1(epa)'!$AC$17,FALSE)=0,"",VLOOKUP(MATCH(L45,epa_id,0)+2,epa,'A1(epa)'!$AC$17,FALSE))))</f>
        <v>5831</v>
      </c>
      <c r="BQ45" s="5609" t="str">
        <f>+IF(L45="","",IF(2008-VLOOKUP(MATCH(L45,epa_id,0)+2,epa,'A1(epa)'!$U$17,FALSE)=0,IF(VLOOKUP(MATCH(L45,epa_id,0)+2,epa,'A1(epa)'!$AP$17,FALSE)=0,"",VLOOKUP(MATCH(L45,epa_id,0)+2,epa,'A1(epa)'!$AP$17,FALSE))))</f>
        <v>Pipeline Natural Gas</v>
      </c>
      <c r="BR45" s="5622" t="str">
        <f>+IF(L45="","",IF(2008-VLOOKUP(MATCH(L45,epa_id,0)+2,epa,'A1(epa)'!$U$17,FALSE)=0,IF(VLOOKUP(MATCH(L45,epa_id,0)+2,epa,'A1(epa)'!$AQ$17,FALSE)=0,"",VLOOKUP(MATCH(L45,epa_id,0)+2,epa,'A1(epa)'!$AQ$17,FALSE))))</f>
        <v>Other Oil</v>
      </c>
      <c r="BS45" s="5609" t="str">
        <f>+IF(L45="","",IF(2010-VLOOKUP(MATCH(L45,epa_id,0),epa,'A1(epa)'!$U$17,FALSE)=0,IF(VLOOKUP(MATCH(L45,epa_id,0),epa,'A1(epa)'!$AS$17,FALSE)=0,"",VLOOKUP(MATCH(L45,epa_id,0),epa,'A1(epa)'!$AS$17,FALSE))))</f>
        <v>Water Injection</v>
      </c>
      <c r="BT45" s="5549" t="str">
        <f>+IF(L45="","",IF(2010-VLOOKUP(MATCH(L45,epa_id,0),epa,'A1(epa)'!$U$17,FALSE)=0,IF(VLOOKUP(MATCH(L45,epa_id,0),epa,'A1(epa)'!$AT$17,FALSE)=0,"",VLOOKUP(MATCH(L45,epa_id,0),epa,'A1(epa)'!$AT$17,FALSE))))</f>
        <v/>
      </c>
      <c r="BU45" s="5549" t="str">
        <f>+IF(L45="","",IF(2010-VLOOKUP(MATCH(L45,epa_id,0),epa,'A1(epa)'!$U$17,FALSE)=0,IF(VLOOKUP(MATCH(L45,epa_id,0),epa,'A1(epa)'!$AU$17,FALSE)=0,"",VLOOKUP(MATCH(L45,epa_id,0),epa,'A1(epa)'!$AU$17,FALSE))))</f>
        <v/>
      </c>
      <c r="BV45" s="5549" t="str">
        <f>+IF(L45="","",IF(2010-VLOOKUP(MATCH(L45,epa_id,0),epa,'A1(epa)'!$U$17,FALSE)=0,IF(VLOOKUP(MATCH(L45,epa_id,0),epa,'A1(epa)'!$AR$17,FALSE)=0,"",VLOOKUP(MATCH(L45,epa_id,0),epa,'A1(epa)'!$AR$17,FALSE))))</f>
        <v/>
      </c>
      <c r="BW45" s="5595" t="str">
        <f>+IF(L45="","",IF(2010-VLOOKUP(MATCH(L45,epa_id,0),epa,'A1(epa)'!$U$17,FALSE)=0,IF(VLOOKUP(MATCH(L45,epa_id,0),epa,'A1(epa)'!$AV$17,FALSE)=0,"",VLOOKUP(MATCH(L45,epa_id,0),epa,'A1(epa)'!$AV$17,FALSE))))</f>
        <v/>
      </c>
      <c r="BX45" s="5479">
        <f>+IF(L45="","",IF(2010-VLOOKUP(MATCH(L45,epa_id,0),epa,'A1(epa)'!$U$17,FALSE)=0,IF(VLOOKUP(MATCH(L45,epa_id,0),epa,'A1(epa)'!$AW$17,FALSE)=0,"",VLOOKUP(MATCH(L45,epa_id,0),epa,'A1(epa)'!$AW$17,FALSE))))</f>
        <v>415</v>
      </c>
      <c r="BY45" s="5415"/>
      <c r="BZ45" s="5479">
        <f t="shared" si="11"/>
        <v>856.81469326842068</v>
      </c>
      <c r="CA45" s="5415"/>
      <c r="CB45" s="9554"/>
      <c r="CC45" s="9539"/>
      <c r="CD45" s="9539"/>
      <c r="CE45" s="9558"/>
      <c r="CF45" s="9533"/>
      <c r="CG45" s="9533"/>
      <c r="CH45" s="9562"/>
      <c r="CI45" s="9542"/>
      <c r="CJ45" s="9539"/>
      <c r="CK45" s="9539"/>
      <c r="CL45" s="9536"/>
      <c r="CM45" s="9533"/>
      <c r="CN45" s="9533"/>
      <c r="CO45" s="9562"/>
      <c r="CP45" s="9542"/>
      <c r="CQ45" s="9539"/>
      <c r="CR45" s="9539"/>
      <c r="CS45" s="9536"/>
      <c r="CT45" s="9533"/>
      <c r="CU45" s="9533"/>
      <c r="CV45" s="9551"/>
      <c r="CW45" s="9608"/>
      <c r="CX45" s="9607"/>
      <c r="CY45" s="9606"/>
      <c r="CZ45" s="9539"/>
      <c r="DA45" s="9558">
        <f t="shared" si="12"/>
        <v>0</v>
      </c>
      <c r="DB45" s="9533"/>
      <c r="DC45" s="9533"/>
      <c r="DD45" s="9562"/>
      <c r="DE45" s="9596"/>
      <c r="DF45" s="9596"/>
      <c r="DG45" s="5356"/>
      <c r="DH45" s="5348"/>
      <c r="DI45" s="5348"/>
    </row>
    <row r="46" spans="1:113" s="479" customFormat="1" ht="25.5" customHeight="1">
      <c r="A46" s="5362" t="str">
        <f t="shared" si="13"/>
        <v>8300-16</v>
      </c>
      <c r="B46" s="9570" t="str">
        <f>+IF(A46="","",VLOOKUP(MATCH(A46,tid,0),tao,'12(id)'!$J$20,FALSE))</f>
        <v>NRG</v>
      </c>
      <c r="C46" s="5363" t="str">
        <f>+O46</f>
        <v>MV10</v>
      </c>
      <c r="D46" s="5359"/>
      <c r="E46" s="5351"/>
      <c r="F46" s="5359"/>
      <c r="G46" s="4445">
        <f t="shared" si="17"/>
        <v>28</v>
      </c>
      <c r="H46" s="433">
        <v>28</v>
      </c>
      <c r="I46" s="9526">
        <f>+IF(L46="","",IF(VLOOKUP(MATCH(L46,tid,0),tao,'12(id)'!$H$20,FALSE)="","",VLOOKUP(MATCH(L46,tid,0),tao,'12(id)'!$H$20,FALSE)))</f>
        <v>15</v>
      </c>
      <c r="J46" s="9523" t="str">
        <f>+IF(L46="","",IF(VLOOKUP(MATCH(L46,tid,0),tao,'12(id)'!$I$20,FALSE)="","",VLOOKUP(MATCH(L46,tid,0),tao,'12(id)'!$I$20,FALSE)))</f>
        <v>NRG Energy, Inc</v>
      </c>
      <c r="K46" s="9517">
        <f>+IF(L46="","",IF(VLOOKUP(MATCH(L46,tid,0),tao,'12(id)'!$K$20,FALSE)="","",VLOOKUP(MATCH(L46,tid,0),tao,'12(id)'!$K$20,FALSE)))</f>
        <v>8300</v>
      </c>
      <c r="L46" s="4384" t="s">
        <v>274</v>
      </c>
      <c r="M46" s="9526" t="str">
        <f>+IF(L46="","",IF(VLOOKUP(MATCH(L46,tid,0),tao,'12(id)'!$L$20,FALSE)="","",VLOOKUP(MATCH(L46,tid,0),tao,'12(id)'!$L$20,FALSE)))</f>
        <v>Montville</v>
      </c>
      <c r="N46" s="51" t="str">
        <f>+IF(L46="","",IF(VLOOKUP(MATCH(L46,tid,0),tao,'12(id)'!$P$20,FALSE)="","",VLOOKUP(MATCH(L46,tid,0),tao,'12(id)'!$P$20,FALSE)))</f>
        <v>Montville-10</v>
      </c>
      <c r="O46" s="501" t="str">
        <f>+IF(L46="","",IF(VLOOKUP(MATCH(L46,tid,0),tao,'12(id)'!$Q$20,FALSE)="","",VLOOKUP(MATCH(L46,tid,0),tao,'12(id)'!$Q$20,FALSE)))</f>
        <v>MV10</v>
      </c>
      <c r="P46" s="7835">
        <f>+IF(L46="","",IF(VLOOKUP(MATCH(L46,tid,0),tao,'12(id)'!$CT$20,FALSE)="","",VLOOKUP(MATCH(L46,tid,0),tao,'12(id)'!$CT$20,FALSE)))</f>
        <v>2.75</v>
      </c>
      <c r="Q46" s="9588">
        <f>+SUM(P51:P52)+SUM(P46:P47)</f>
        <v>488.5</v>
      </c>
      <c r="R46" s="7898" t="str">
        <f>+IF(L46="","",IF(VLOOKUP(MATCH(L46,tid,0),tao,'12(id)'!$T$20,FALSE)="","",VLOOKUP(MATCH(L46,tid,0),tao,'12(id)'!$T$20,FALSE)))</f>
        <v>Diesel Engine</v>
      </c>
      <c r="S46" s="415" t="str">
        <f>+IF(L46="","",IF(VLOOKUP(MATCH(L46,tid,0),tao,'12(id)'!$CO$20,FALSE)="","",VLOOKUP(MATCH(L46,tid,0),tao,'12(id)'!$CO$20,FALSE)))</f>
        <v>General Motors</v>
      </c>
      <c r="T46" s="7898" t="str">
        <f>+IF(L46="","",IF(VLOOKUP(MATCH(L46,tid,0),tao,'12(id)'!$CP$20,FALSE)="","",VLOOKUP(MATCH(L46,tid,0),tao,'12(id)'!$CP$20,FALSE)))</f>
        <v>EMD 20-645-E4</v>
      </c>
      <c r="U46" s="72" t="str">
        <f>+IF(L46="","",IF(VLOOKUP(MATCH(L46,tid,0),tao,'12(id)'!$DC$20,FALSE)="","",IF(VLOOKUP(MATCH(L46,tid,0),tao,'12(id)'!$DB$20,FALSE)="",VLOOKUP(MATCH(L46,tid,0),tao,'12(id)'!$DC$20,FALSE),VLOOKUP(MATCH(L46,tid,0),tao,'12(id)'!$DB$20,FALSE)&amp;" "&amp;VLOOKUP(MATCH(L46,tid,0),tao,'12(id)'!$DC$20,FALSE))))</f>
        <v>Jan 1966</v>
      </c>
      <c r="V46" s="134">
        <f ca="1">+IF(L46="","",IF(VLOOKUP(MATCH(L46,tid,0),tao,'12(id)'!$DE$20,FALSE)="","",ROUND(VLOOKUP(MATCH(L46,tid,0),tao,'12(id)'!$DE$20,FALSE),0)))</f>
        <v>48</v>
      </c>
      <c r="W46" s="51" t="str">
        <f>+IF(L46="","",IF(VLOOKUP(G46,tao,'12(id)'!$FR$20,FALSE)="","",VLOOKUP(G46,tao,'12(id)'!$FR$20,FALSE)&amp;IF(VLOOKUP(G46,tao,'12(id)'!$FS$20,FALSE)="","",", "&amp;VLOOKUP(G46,tao,'12(id)'!$FS$20,FALSE))))</f>
        <v>None</v>
      </c>
      <c r="X46" s="51" t="str">
        <f>+IF(L46="","",IF(VLOOKUP(MATCH(L46,tid,0),tao,'12(id)'!$DI$20,FALSE)="","",VLOOKUP(MATCH(L46,tid,0),tao,'12(id)'!$DI$20,FALSE)))</f>
        <v>0.05% sulfur distillate oil</v>
      </c>
      <c r="Y46" s="51" t="str">
        <f>+IF(L46="","",IF(VLOOKUP(MATCH(L46,tid,0),tao,'12(id)'!$DQ$20,FALSE)="","",VLOOKUP(MATCH(L46,tid,0),tao,'12(id)'!$DQ$20,FALSE)))</f>
        <v/>
      </c>
      <c r="Z46" s="4421">
        <f>+IF(L46="","",IF(VLOOKUP(MATCH(L46,tid,0),tao,'12(id)'!$EH$20,FALSE)="","",VLOOKUP(MATCH(L46,tid,0),tao,'12(id)'!$EH$20,FALSE)))</f>
        <v>29</v>
      </c>
      <c r="AA46" s="4422">
        <f>+IF(L46="","",IF(VLOOKUP(MATCH(L46,tid,0),tao,'12(id)'!$EI$20,FALSE)="","",VLOOKUP(MATCH(L46,tid,0),tao,'12(id)'!$EI$20,FALSE)))</f>
        <v>3.09</v>
      </c>
      <c r="AB46" s="4422"/>
      <c r="AC46" s="4439">
        <f>+IF(L46="","",IF(VLOOKUP(MATCH(L46,tid,0),tao,'12(id)'!$EL$20,FALSE)="","",VLOOKUP(MATCH(L46,tid,0),tao,'12(id)'!$EL$20,FALSE)))</f>
        <v>3.11</v>
      </c>
      <c r="AD46" s="4424"/>
      <c r="AE46" s="4423">
        <f>+IF(AA46="","",AA46)</f>
        <v>3.09</v>
      </c>
      <c r="AF46" s="4424" t="str">
        <f>+IF(AB46="","",AB46)</f>
        <v/>
      </c>
      <c r="AG46" s="503">
        <f>+IF(L46="","",IF(VLOOKUP(MATCH(L46,tid,0),tao,'12(id)'!$GY$20,FALSE)="","",VLOOKUP(MATCH(L46,tid,0),tao,'12(id)'!$GY$20,FALSE)))</f>
        <v>235.95</v>
      </c>
      <c r="AH46" s="504">
        <f>+IF(L46="","",IF(VLOOKUP(MATCH(L46,tid,0),tao,'12(id)'!$HL$20,FALSE)="","",VLOOKUP(MATCH(L46,tid,0),tao,'12(id)'!$HL$20,FALSE)))</f>
        <v>12</v>
      </c>
      <c r="AI46" s="7858">
        <v>2010</v>
      </c>
      <c r="AJ46" s="604"/>
      <c r="AK46" s="539"/>
      <c r="AL46" s="604"/>
      <c r="AM46" s="5806"/>
      <c r="AN46" s="5807"/>
      <c r="AO46" s="5808">
        <f>+AA46</f>
        <v>3.09</v>
      </c>
      <c r="AP46" s="5809" t="str">
        <f t="shared" si="5"/>
        <v/>
      </c>
      <c r="AQ46" s="5810" t="str">
        <f>+IF(AND(AP46="",AL46=""),"",AP46*10^6/AL46)</f>
        <v/>
      </c>
      <c r="AR46" s="604"/>
      <c r="AS46" s="51"/>
      <c r="AT46" s="5623"/>
      <c r="AU46" s="7858">
        <v>2009</v>
      </c>
      <c r="AV46" s="72"/>
      <c r="AW46" s="4384"/>
      <c r="AX46" s="604"/>
      <c r="AY46" s="603"/>
      <c r="AZ46" s="5691"/>
      <c r="BA46" s="5692">
        <f>+$AA46</f>
        <v>3.09</v>
      </c>
      <c r="BB46" s="5693" t="str">
        <f>+IF(AY46="","",IF(AY46&lt;1,AZ46,BA46*BD46/2000))</f>
        <v/>
      </c>
      <c r="BC46" s="5393" t="str">
        <f>+IF(AND(BB46="",AX46=""),"",BB46*10^6/AX46)</f>
        <v/>
      </c>
      <c r="BD46" s="604"/>
      <c r="BE46" s="4384"/>
      <c r="BF46" s="509"/>
      <c r="BG46" s="125">
        <v>2008</v>
      </c>
      <c r="BH46" s="4384"/>
      <c r="BI46" s="4384"/>
      <c r="BJ46" s="604"/>
      <c r="BK46" s="603"/>
      <c r="BL46" s="5691"/>
      <c r="BM46" s="5737">
        <f>$AA46</f>
        <v>3.09</v>
      </c>
      <c r="BN46" s="5738" t="str">
        <f t="shared" si="9"/>
        <v/>
      </c>
      <c r="BO46" s="5739" t="str">
        <f t="shared" si="10"/>
        <v/>
      </c>
      <c r="BP46" s="5638"/>
      <c r="BQ46" s="5610"/>
      <c r="BR46" s="5623"/>
      <c r="BS46" s="5610"/>
      <c r="BT46" s="51"/>
      <c r="BU46" s="51"/>
      <c r="BV46" s="51"/>
      <c r="BW46" s="5112"/>
      <c r="BX46" s="540"/>
      <c r="BY46" s="5415"/>
      <c r="BZ46" s="540" t="str">
        <f>IF(OR(L46="",ISERROR(AQ46+BC46+BO46=0)),"",AVERAGE(AQ46,BC46,BO46))</f>
        <v/>
      </c>
      <c r="CA46" s="5415"/>
      <c r="CB46" s="586">
        <f>+'A3(trc)'!AI41</f>
        <v>316.2</v>
      </c>
      <c r="CC46" s="539"/>
      <c r="CD46" s="539" t="str">
        <f>+IF(AR46="","",AR46)</f>
        <v/>
      </c>
      <c r="CE46" s="5397">
        <f>+'A3(trc)'!AI42</f>
        <v>14.167340999999999</v>
      </c>
      <c r="CF46" s="4391"/>
      <c r="CG46" s="507">
        <f>+IF(AO46="","",AO46)</f>
        <v>3.09</v>
      </c>
      <c r="CH46" s="550">
        <f>+IF(CB46="","",CE46/CB46)</f>
        <v>4.4804999999999998E-2</v>
      </c>
      <c r="CI46" s="548">
        <f>+'A3(trc)'!AH41</f>
        <v>111.5</v>
      </c>
      <c r="CJ46" s="539"/>
      <c r="CK46" s="539" t="str">
        <f>+IF(BD46="","",BD46)</f>
        <v/>
      </c>
      <c r="CL46" s="5399">
        <f>+'A3(trc)'!AH42</f>
        <v>4.9957574999999999</v>
      </c>
      <c r="CM46" s="507"/>
      <c r="CN46" s="507">
        <f>+IF(BA46="","",BA46)</f>
        <v>3.09</v>
      </c>
      <c r="CO46" s="550">
        <f>+IF(CI46="","",CL46/CI46)</f>
        <v>4.4804999999999998E-2</v>
      </c>
      <c r="CP46" s="548" t="str">
        <f>+IF(BH46="","",BH46)</f>
        <v/>
      </c>
      <c r="CQ46" s="539"/>
      <c r="CR46" s="539" t="str">
        <f>+IF(BP46="","",BP46)</f>
        <v/>
      </c>
      <c r="CS46" s="508" t="str">
        <f>+IF(BN46="","",BN46)</f>
        <v/>
      </c>
      <c r="CT46" s="507"/>
      <c r="CU46" s="507">
        <f>+IF(BM46="","",BM46)</f>
        <v>3.09</v>
      </c>
      <c r="CV46" s="551" t="str">
        <f>+IF(CP46="","",CS46/CP46)</f>
        <v/>
      </c>
      <c r="CW46" s="601"/>
      <c r="CX46" s="598">
        <f>+MAX(CB46,CI46,CP46)</f>
        <v>316.2</v>
      </c>
      <c r="CY46" s="5581"/>
      <c r="CZ46" s="539"/>
      <c r="DA46" s="508">
        <f>+MAX(CE46,CL46,CS46)</f>
        <v>14.167340999999999</v>
      </c>
      <c r="DB46" s="507"/>
      <c r="DC46" s="507"/>
      <c r="DD46" s="550">
        <f>+IF(CX46="","",DA46/CX46)</f>
        <v>4.4804999999999998E-2</v>
      </c>
      <c r="DE46" s="593">
        <f t="shared" ref="DE46:DE57" si="31">+IF(DD46="","",DD46*$DE$15)</f>
        <v>2.2402500000000001</v>
      </c>
      <c r="DF46" s="9591" t="s">
        <v>1947</v>
      </c>
      <c r="DG46" s="5356"/>
      <c r="DH46" s="5348"/>
      <c r="DI46" s="5348"/>
    </row>
    <row r="47" spans="1:113" s="479" customFormat="1" ht="25.5" customHeight="1" thickBot="1">
      <c r="A47" s="5366" t="str">
        <f t="shared" si="13"/>
        <v>8300-17</v>
      </c>
      <c r="B47" s="9572" t="str">
        <f>+IF(A47="","",VLOOKUP(MATCH(A47,tid,0),tao,'12(id)'!$J$20,FALSE))</f>
        <v>NRG</v>
      </c>
      <c r="C47" s="5367" t="str">
        <f>+O47</f>
        <v>MV11</v>
      </c>
      <c r="D47" s="5359"/>
      <c r="E47" s="5351"/>
      <c r="F47" s="5359"/>
      <c r="G47" s="4445">
        <f t="shared" si="17"/>
        <v>29</v>
      </c>
      <c r="H47" s="4400">
        <v>29</v>
      </c>
      <c r="I47" s="9521"/>
      <c r="J47" s="9524" t="str">
        <f>+IF(L47="","",IF(VLOOKUP(MATCH(L47,tid,0),tao,'12(id)'!$I$20,FALSE)="","",VLOOKUP(MATCH(L47,tid,0),tao,'12(id)'!$I$20,FALSE)))</f>
        <v/>
      </c>
      <c r="K47" s="9519">
        <f>+IF(L47="","",IF(VLOOKUP(MATCH(L47,tid,0),tao,'12(id)'!$K$20,FALSE)="","",VLOOKUP(MATCH(L47,tid,0),tao,'12(id)'!$K$20,FALSE)))</f>
        <v>8300</v>
      </c>
      <c r="L47" s="445" t="s">
        <v>275</v>
      </c>
      <c r="M47" s="9521" t="str">
        <f>+IF(L47="","",IF(VLOOKUP(MATCH(L47,tid,0),tao,'12(id)'!$L$20,FALSE)="","",VLOOKUP(MATCH(L47,tid,0),tao,'12(id)'!$L$20,FALSE)))</f>
        <v>Montville</v>
      </c>
      <c r="N47" s="53" t="str">
        <f>+IF(L47="","",IF(VLOOKUP(MATCH(L47,tid,0),tao,'12(id)'!$P$20,FALSE)="","",VLOOKUP(MATCH(L47,tid,0),tao,'12(id)'!$P$20,FALSE)))</f>
        <v>Montville-11</v>
      </c>
      <c r="O47" s="524" t="str">
        <f>+IF(L47="","",IF(VLOOKUP(MATCH(L47,tid,0),tao,'12(id)'!$Q$20,FALSE)="","",VLOOKUP(MATCH(L47,tid,0),tao,'12(id)'!$Q$20,FALSE)))</f>
        <v>MV11</v>
      </c>
      <c r="P47" s="7834">
        <f>+IF(L47="","",IF(VLOOKUP(MATCH(L47,tid,0),tao,'12(id)'!$CT$20,FALSE)="","",VLOOKUP(MATCH(L47,tid,0),tao,'12(id)'!$CT$20,FALSE)))</f>
        <v>2.75</v>
      </c>
      <c r="Q47" s="9589"/>
      <c r="R47" s="7900" t="str">
        <f>+IF(L47="","",IF(VLOOKUP(MATCH(L47,tid,0),tao,'12(id)'!$T$20,FALSE)="","",VLOOKUP(MATCH(L47,tid,0),tao,'12(id)'!$T$20,FALSE)))</f>
        <v>Diesel Engine</v>
      </c>
      <c r="S47" s="418" t="str">
        <f>+IF(L47="","",IF(VLOOKUP(MATCH(L47,tid,0),tao,'12(id)'!$CO$20,FALSE)="","",VLOOKUP(MATCH(L47,tid,0),tao,'12(id)'!$CO$20,FALSE)))</f>
        <v>General Motors</v>
      </c>
      <c r="T47" s="7900" t="str">
        <f>+IF(L47="","",IF(VLOOKUP(MATCH(L47,tid,0),tao,'12(id)'!$CP$20,FALSE)="","",VLOOKUP(MATCH(L47,tid,0),tao,'12(id)'!$CP$20,FALSE)))</f>
        <v>EMD 20-645-E4</v>
      </c>
      <c r="U47" s="7836" t="str">
        <f>+IF(L47="","",IF(VLOOKUP(MATCH(L47,tid,0),tao,'12(id)'!$DC$20,FALSE)="","",IF(VLOOKUP(MATCH(L47,tid,0),tao,'12(id)'!$DB$20,FALSE)="",VLOOKUP(MATCH(L47,tid,0),tao,'12(id)'!$DC$20,FALSE),VLOOKUP(MATCH(L47,tid,0),tao,'12(id)'!$DB$20,FALSE)&amp;" "&amp;VLOOKUP(MATCH(L47,tid,0),tao,'12(id)'!$DC$20,FALSE))))</f>
        <v>Jan 1966</v>
      </c>
      <c r="V47" s="136">
        <f ca="1">+IF(L47="","",IF(VLOOKUP(MATCH(L47,tid,0),tao,'12(id)'!$DE$20,FALSE)="","",ROUND(VLOOKUP(MATCH(L47,tid,0),tao,'12(id)'!$DE$20,FALSE),0)))</f>
        <v>48</v>
      </c>
      <c r="W47" s="53" t="str">
        <f>+IF(L47="","",IF(VLOOKUP(G47,tao,'12(id)'!$FR$20,FALSE)="","",VLOOKUP(G47,tao,'12(id)'!$FR$20,FALSE)&amp;IF(VLOOKUP(G47,tao,'12(id)'!$FS$20,FALSE)="","",", "&amp;VLOOKUP(G47,tao,'12(id)'!$FS$20,FALSE))))</f>
        <v>None</v>
      </c>
      <c r="X47" s="53" t="str">
        <f>+IF(L47="","",IF(VLOOKUP(MATCH(L47,tid,0),tao,'12(id)'!$DI$20,FALSE)="","",VLOOKUP(MATCH(L47,tid,0),tao,'12(id)'!$DI$20,FALSE)))</f>
        <v>0.05% sulfur distillate oil</v>
      </c>
      <c r="Y47" s="53" t="str">
        <f>+IF(L47="","",IF(VLOOKUP(MATCH(L47,tid,0),tao,'12(id)'!$DQ$20,FALSE)="","",VLOOKUP(MATCH(L47,tid,0),tao,'12(id)'!$DQ$20,FALSE)))</f>
        <v/>
      </c>
      <c r="Z47" s="4425">
        <f>+IF(L47="","",IF(VLOOKUP(MATCH(L47,tid,0),tao,'12(id)'!$EH$20,FALSE)="","",VLOOKUP(MATCH(L47,tid,0),tao,'12(id)'!$EH$20,FALSE)))</f>
        <v>29</v>
      </c>
      <c r="AA47" s="4426">
        <f>+IF(L47="","",IF(VLOOKUP(MATCH(L47,tid,0),tao,'12(id)'!$EI$20,FALSE)="","",VLOOKUP(MATCH(L47,tid,0),tao,'12(id)'!$EI$20,FALSE)))</f>
        <v>1.93</v>
      </c>
      <c r="AB47" s="4426"/>
      <c r="AC47" s="4440">
        <f>+IF(L47="","",IF(VLOOKUP(MATCH(L47,tid,0),tao,'12(id)'!$EL$20,FALSE)="","",VLOOKUP(MATCH(L47,tid,0),tao,'12(id)'!$EL$20,FALSE)))</f>
        <v>2.96</v>
      </c>
      <c r="AD47" s="4441"/>
      <c r="AE47" s="4427">
        <f>+IF(AA47="","",AA47)</f>
        <v>1.93</v>
      </c>
      <c r="AF47" s="4428" t="str">
        <f>+IF(AB47="","",AB47)</f>
        <v/>
      </c>
      <c r="AG47" s="525">
        <f>+IF(L47="","",IF(VLOOKUP(MATCH(L47,tid,0),tao,'12(id)'!$GY$20,FALSE)="","",VLOOKUP(MATCH(L47,tid,0),tao,'12(id)'!$GY$20,FALSE)))</f>
        <v>148.5</v>
      </c>
      <c r="AH47" s="526" t="str">
        <f>+IF(L47="","",IF(VLOOKUP(MATCH(L47,tid,0),tao,'12(id)'!$HL$20,FALSE)="","",VLOOKUP(MATCH(L47,tid,0),tao,'12(id)'!$HL$20,FALSE)))</f>
        <v/>
      </c>
      <c r="AI47" s="7897">
        <v>2010</v>
      </c>
      <c r="AJ47" s="619"/>
      <c r="AK47" s="527"/>
      <c r="AL47" s="619"/>
      <c r="AM47" s="5811"/>
      <c r="AN47" s="5812"/>
      <c r="AO47" s="5813">
        <f>+AA47</f>
        <v>1.93</v>
      </c>
      <c r="AP47" s="5814" t="str">
        <f t="shared" si="5"/>
        <v/>
      </c>
      <c r="AQ47" s="5815" t="str">
        <f>+IF(AND(AP47="",AL47=""),"",AP47*10^6/AL47)</f>
        <v/>
      </c>
      <c r="AR47" s="619"/>
      <c r="AS47" s="53"/>
      <c r="AT47" s="5625"/>
      <c r="AU47" s="7897">
        <v>2009</v>
      </c>
      <c r="AV47" s="7836"/>
      <c r="AW47" s="445"/>
      <c r="AX47" s="619"/>
      <c r="AY47" s="618"/>
      <c r="AZ47" s="5694"/>
      <c r="BA47" s="5695">
        <f>+$AA47</f>
        <v>1.93</v>
      </c>
      <c r="BB47" s="5696" t="str">
        <f>+IF(AY47="","",IF(AY47&lt;1,AZ47,BA47*BD47/2000))</f>
        <v/>
      </c>
      <c r="BC47" s="5394" t="str">
        <f>+IF(AND(BB47="",AX47=""),"",BB47*10^6/AX47)</f>
        <v/>
      </c>
      <c r="BD47" s="619"/>
      <c r="BE47" s="445"/>
      <c r="BF47" s="528"/>
      <c r="BG47" s="128">
        <v>2008</v>
      </c>
      <c r="BH47" s="445"/>
      <c r="BI47" s="445"/>
      <c r="BJ47" s="619"/>
      <c r="BK47" s="618"/>
      <c r="BL47" s="5694"/>
      <c r="BM47" s="5740">
        <f>$AA47</f>
        <v>1.93</v>
      </c>
      <c r="BN47" s="5741" t="str">
        <f t="shared" si="9"/>
        <v/>
      </c>
      <c r="BO47" s="5742" t="str">
        <f t="shared" si="10"/>
        <v/>
      </c>
      <c r="BP47" s="5639"/>
      <c r="BQ47" s="5624"/>
      <c r="BR47" s="5625"/>
      <c r="BS47" s="5611"/>
      <c r="BT47" s="53"/>
      <c r="BU47" s="53"/>
      <c r="BV47" s="53"/>
      <c r="BW47" s="5596"/>
      <c r="BX47" s="531"/>
      <c r="BY47" s="5415"/>
      <c r="BZ47" s="531" t="str">
        <f>IF(OR(L47="",ISERROR(AQ47+BC47+BO47=0)),"",AVERAGE(AQ47,BC47,BO47))</f>
        <v/>
      </c>
      <c r="CA47" s="5415"/>
      <c r="CB47" s="587">
        <f>+'A3(trc)'!AI59</f>
        <v>113.5</v>
      </c>
      <c r="CC47" s="4380"/>
      <c r="CD47" s="527" t="str">
        <f>+IF(AR47="","",AR47)</f>
        <v/>
      </c>
      <c r="CE47" s="5398">
        <f>+'A3(trc)'!AI60</f>
        <v>3.1762975</v>
      </c>
      <c r="CF47" s="4394"/>
      <c r="CG47" s="529">
        <f>+IF(AO47="","",AO47)</f>
        <v>1.93</v>
      </c>
      <c r="CH47" s="554">
        <f>+IF(CB47="","",CE47/CB47)</f>
        <v>2.7984999999999999E-2</v>
      </c>
      <c r="CI47" s="552">
        <f>+'A3(trc)'!AH59</f>
        <v>43.800000000000011</v>
      </c>
      <c r="CJ47" s="4380"/>
      <c r="CK47" s="527" t="str">
        <f>+IF(BD47="","",BD47)</f>
        <v/>
      </c>
      <c r="CL47" s="5400">
        <f>+'A3(trc)'!AH60</f>
        <v>1.2257430000000005</v>
      </c>
      <c r="CM47" s="4397"/>
      <c r="CN47" s="529">
        <f>+IF(BA47="","",BA47)</f>
        <v>1.93</v>
      </c>
      <c r="CO47" s="554">
        <f>+IF(CI47="","",CL47/CI47)</f>
        <v>2.7985000000000003E-2</v>
      </c>
      <c r="CP47" s="552" t="str">
        <f>+IF(BH47="","",BH47)</f>
        <v/>
      </c>
      <c r="CQ47" s="4380"/>
      <c r="CR47" s="527" t="str">
        <f>+IF(BP47="","",BP47)</f>
        <v/>
      </c>
      <c r="CS47" s="4388" t="str">
        <f>+IF(BN47="","",BN47)</f>
        <v/>
      </c>
      <c r="CT47" s="4397"/>
      <c r="CU47" s="529">
        <f>+IF(BM47="","",BM47)</f>
        <v>1.93</v>
      </c>
      <c r="CV47" s="555" t="str">
        <f>+IF(CP47="","",CS47/CP47)</f>
        <v/>
      </c>
      <c r="CW47" s="7815"/>
      <c r="CX47" s="7814">
        <f>+MAX(CB47,CI47,CP47)</f>
        <v>113.5</v>
      </c>
      <c r="CY47" s="7813"/>
      <c r="CZ47" s="7812"/>
      <c r="DA47" s="7811">
        <f>+MAX(CE47,CL47,CS47)</f>
        <v>3.1762975</v>
      </c>
      <c r="DB47" s="7798"/>
      <c r="DC47" s="7798"/>
      <c r="DD47" s="554">
        <f>+IF(CX47="","",DA47/CX47)</f>
        <v>2.7984999999999999E-2</v>
      </c>
      <c r="DE47" s="594">
        <f t="shared" si="31"/>
        <v>1.3992499999999999</v>
      </c>
      <c r="DF47" s="9592"/>
      <c r="DG47" s="5356"/>
      <c r="DH47" s="5348"/>
      <c r="DI47" s="5348"/>
    </row>
    <row r="48" spans="1:113" s="479" customFormat="1" ht="25.5" customHeight="1">
      <c r="A48" s="5362" t="str">
        <f t="shared" si="13"/>
        <v>8306-01</v>
      </c>
      <c r="B48" s="9570" t="str">
        <f>+IF(A48="","",VLOOKUP(MATCH(A48,tid,0),tao,'12(id)'!$J$20,FALSE))</f>
        <v>NRG</v>
      </c>
      <c r="C48" s="5363" t="str">
        <f t="shared" ref="C48:C57" si="32">+O48</f>
        <v>MD2</v>
      </c>
      <c r="D48" s="5359"/>
      <c r="E48" s="5351"/>
      <c r="F48" s="5359"/>
      <c r="G48" s="4445">
        <f t="shared" si="17"/>
        <v>30</v>
      </c>
      <c r="H48" s="433">
        <v>1</v>
      </c>
      <c r="I48" s="51">
        <f>+IF(L48="","",IF(VLOOKUP(MATCH(L48,tid,0),tao,'12(id)'!$H$20,FALSE)="","",VLOOKUP(MATCH(L48,tid,0),tao,'12(id)'!$H$20,FALSE)))</f>
        <v>16</v>
      </c>
      <c r="J48" s="9523" t="str">
        <f>+IF(L48="","",IF(VLOOKUP(MATCH(L48,tid,0),tao,'12(id)'!$I$20,FALSE)="","",VLOOKUP(MATCH(L48,tid,0),tao,'12(id)'!$I$20,FALSE)))</f>
        <v>NRG Energy, Inc</v>
      </c>
      <c r="K48" s="9517">
        <f>+IF(L48="","",IF(VLOOKUP(MATCH(L48,tid,0),tao,'12(id)'!$K$20,FALSE)="","",VLOOKUP(MATCH(L48,tid,0),tao,'12(id)'!$K$20,FALSE)))</f>
        <v>8306</v>
      </c>
      <c r="L48" s="4384" t="s">
        <v>293</v>
      </c>
      <c r="M48" s="9526" t="str">
        <f>+IF(L48="","",IF(VLOOKUP(MATCH(L48,tid,0),tao,'12(id)'!$L$20,FALSE)="","",VLOOKUP(MATCH(L48,tid,0),tao,'12(id)'!$L$20,FALSE)))</f>
        <v>Middletown</v>
      </c>
      <c r="N48" s="51" t="str">
        <f>+IF(L48="","",IF(VLOOKUP(MATCH(L48,tid,0),tao,'12(id)'!$P$20,FALSE)="","",VLOOKUP(MATCH(L48,tid,0),tao,'12(id)'!$P$20,FALSE)))</f>
        <v>Middletown-2</v>
      </c>
      <c r="O48" s="556" t="str">
        <f>+IF(L48="","",IF(VLOOKUP(MATCH(L48,tid,0),tao,'12(id)'!$Q$20,FALSE)="","",VLOOKUP(MATCH(L48,tid,0),tao,'12(id)'!$Q$20,FALSE)))</f>
        <v>MD2</v>
      </c>
      <c r="P48" s="7835">
        <f>+IF(L48="","",IF(VLOOKUP(MATCH(L48,tid,0),tao,'12(id)'!$CT$20,FALSE)="","",VLOOKUP(MATCH(L48,tid,0),tao,'12(id)'!$CT$20,FALSE)))</f>
        <v>120</v>
      </c>
      <c r="Q48" s="9582">
        <v>953</v>
      </c>
      <c r="R48" s="557" t="str">
        <f>+IF(L48="","",IF(VLOOKUP(MATCH(L48,tid,0),tao,'12(id)'!$T$20,FALSE)="","",VLOOKUP(MATCH(L48,tid,0),tao,'12(id)'!$T$20,FALSE)))</f>
        <v>Utility Boiler</v>
      </c>
      <c r="S48" s="558" t="str">
        <f>+IF(L48="","",IF(VLOOKUP(MATCH(L48,tid,0),tao,'12(id)'!$CO$20,FALSE)="","",VLOOKUP(MATCH(L48,tid,0),tao,'12(id)'!$CO$20,FALSE)))</f>
        <v>Riley</v>
      </c>
      <c r="T48" s="557" t="str">
        <f>+IF(L48="","",IF(VLOOKUP(MATCH(L48,tid,0),tao,'12(id)'!$CP$20,FALSE)="","",VLOOKUP(MATCH(L48,tid,0),tao,'12(id)'!$CP$20,FALSE)))</f>
        <v>Front fired</v>
      </c>
      <c r="U48" s="7823" t="str">
        <f>+IF(L48="","",IF(VLOOKUP(MATCH(L48,tid,0),tao,'12(id)'!$DC$20,FALSE)="","",IF(VLOOKUP(MATCH(L48,tid,0),tao,'12(id)'!$DB$20,FALSE)="",VLOOKUP(MATCH(L48,tid,0),tao,'12(id)'!$DC$20,FALSE),VLOOKUP(MATCH(L48,tid,0),tao,'12(id)'!$DB$20,FALSE)&amp;" "&amp;VLOOKUP(MATCH(L48,tid,0),tao,'12(id)'!$DC$20,FALSE))))</f>
        <v/>
      </c>
      <c r="V48" s="134" t="str">
        <f>+IF(L48="","",IF(VLOOKUP(MATCH(L48,tid,0),tao,'12(id)'!$DE$20,FALSE)="","",ROUND(VLOOKUP(MATCH(L48,tid,0),tao,'12(id)'!$DE$20,FALSE),0)))</f>
        <v/>
      </c>
      <c r="W48" s="559" t="str">
        <f>+IF(L48="","",IF(VLOOKUP(G48,tao,'12(id)'!$FR$20,FALSE)="","",VLOOKUP(G48,tao,'12(id)'!$FR$20,FALSE)&amp;IF(VLOOKUP(G48,tao,'12(id)'!$FS$20,FALSE)="","",", "&amp;VLOOKUP(G48,tao,'12(id)'!$FS$20,FALSE))))</f>
        <v>None</v>
      </c>
      <c r="X48" s="559" t="str">
        <f>+IF(L48="","",IF(VLOOKUP(MATCH(L48,tid,0),tao,'12(id)'!$DI$20,FALSE)="","",VLOOKUP(MATCH(L48,tid,0),tao,'12(id)'!$DI$20,FALSE)))</f>
        <v>No. 6 oil</v>
      </c>
      <c r="Y48" s="559" t="str">
        <f>+IF(L48="","",IF(VLOOKUP(MATCH(L48,tid,0),tao,'12(id)'!$DQ$20,FALSE)="","",VLOOKUP(MATCH(L48,tid,0),tao,'12(id)'!$DQ$20,FALSE)))</f>
        <v>No. 2 oil</v>
      </c>
      <c r="Z48" s="4421">
        <f>+IF(L48="","",IF(VLOOKUP(MATCH(L48,tid,0),tao,'12(id)'!$EH$20,FALSE)="","",VLOOKUP(MATCH(L48,tid,0),tao,'12(id)'!$EH$20,FALSE)))</f>
        <v>1295</v>
      </c>
      <c r="AA48" s="4422" t="str">
        <f>+IF(L48="","",IF(VLOOKUP(MATCH(L48,tid,0),tao,'12(id)'!$EI$20,FALSE)="","",VLOOKUP(MATCH(L48,tid,0),tao,'12(id)'!$EI$20,FALSE)))</f>
        <v/>
      </c>
      <c r="AB48" s="4422" t="str">
        <f>+IF(L48="","",IF(VLOOKUP(MATCH(L48,tid,0),tao,'12(id)'!$EJ$20,FALSE)="","",VLOOKUP(MATCH(L48,tid,0),tao,'12(id)'!$EJ$20,FALSE)))</f>
        <v/>
      </c>
      <c r="AC48" s="4439">
        <f>+IF(L48="","",IF(VLOOKUP(MATCH(L48,tid,0),tao,'12(id)'!$EL$20,FALSE)="","",VLOOKUP(MATCH(L48,tid,0),tao,'12(id)'!$EL$20,FALSE)))</f>
        <v>0.18</v>
      </c>
      <c r="AD48" s="4424" t="s">
        <v>1180</v>
      </c>
      <c r="AE48" s="4423">
        <f>+AC48</f>
        <v>0.18</v>
      </c>
      <c r="AF48" s="4424"/>
      <c r="AG48" s="560">
        <f>+IF(L48="","",IF(VLOOKUP(MATCH(L48,tid,0),tao,'12(id)'!$GY$20,FALSE)="","",VLOOKUP(MATCH(L48,tid,0),tao,'12(id)'!$GY$20,FALSE)))</f>
        <v>1331.1</v>
      </c>
      <c r="AH48" s="561">
        <f>+IF(L48="","",IF(VLOOKUP(MATCH(L48,tid,0),tao,'12(id)'!$HL$20,FALSE)="","",VLOOKUP(MATCH(L48,tid,0),tao,'12(id)'!$HL$20,FALSE)))</f>
        <v>91.6</v>
      </c>
      <c r="AI48" s="7858">
        <f>+IF(L48="","",IF(2010-VLOOKUP(MATCH(L48,epa_id,0),epa,'A1(epa)'!$U$17,FALSE)=0,IF(VLOOKUP(MATCH(L48,epa_id,0),epa,'A1(epa)'!$U$17,FALSE)=0,"",VLOOKUP(MATCH(L48,epa_id,0),epa,'A1(epa)'!$U$17,FALSE))))</f>
        <v>2010</v>
      </c>
      <c r="AJ48" s="604">
        <f>+IF(L48="","",IF(2010-VLOOKUP(MATCH(L48,epa_id,0),epa,'A1(epa)'!$U$17,FALSE)=0,IF(VLOOKUP(MATCH(L48,epa_id,0),epa,'A1(epa)'!$W$17,FALSE)=0,"",VLOOKUP(MATCH(L48,epa_id,0),epa,'A1(epa)'!$W$17,FALSE))))</f>
        <v>1670</v>
      </c>
      <c r="AK48" s="539">
        <f>+IF(L48="","",IF(2010-VLOOKUP(MATCH(L48,epa_id,0),epa,'A1(epa)'!$U$17,FALSE)=0,IF(VLOOKUP(MATCH(L48,epa_id,0),epa,'A1(epa)'!$X$17,FALSE)=0,"",VLOOKUP(MATCH(L48,epa_id,0),epa,'A1(epa)'!$X$17,FALSE))))</f>
        <v>5</v>
      </c>
      <c r="AL48" s="604">
        <f>+IF(L48="","",IF(2010-VLOOKUP(MATCH(L48,epa_id,0),epa,'A1(epa)'!$U$17,FALSE)=0,IF(VLOOKUP(MATCH(L48,epa_id,0),epa,'A1(epa)'!$Y$17,FALSE)=0,"",VLOOKUP(MATCH(L48,epa_id,0),epa,'A1(epa)'!$Y$17,FALSE))))</f>
        <v>111835</v>
      </c>
      <c r="AM48" s="5806">
        <f>+IF(L48="","",IF(2010-VLOOKUP(MATCH(L48,epa_id,0),epa,'A1(epa)'!$U$17,FALSE)=0,IF(VLOOKUP(MATCH(L48,epa_id,0),epa,'A1(epa)'!$AA$17,FALSE)=0,"",VLOOKUP(MATCH(L48,epa_id,0),epa,'A1(epa)'!$AA$17,FALSE))))</f>
        <v>0.12</v>
      </c>
      <c r="AN48" s="5807">
        <f>+IF(L48="","",IF(2010-VLOOKUP(MATCH(L48,epa_id,0),epa,'A1(epa)'!$U$17,FALSE)=0,IF(VLOOKUP(MATCH(L48,epa_id,0),epa,'A1(epa)'!$AB$17,FALSE)=0,"",VLOOKUP(MATCH(L48,epa_id,0),epa,'A1(epa)'!$AB$17,FALSE))))</f>
        <v>94.2</v>
      </c>
      <c r="AO48" s="5808">
        <f t="shared" ref="AO48:AO57" si="33">+IF(AM48&lt;1,AM48,AA48)</f>
        <v>0.12</v>
      </c>
      <c r="AP48" s="5809">
        <f t="shared" si="5"/>
        <v>94.2</v>
      </c>
      <c r="AQ48" s="5810">
        <f t="shared" ref="AQ48:AQ57" si="34">+IF(AND(AP48="",AL48=""),"",AP48*10^6/AL48)</f>
        <v>842.31233513658515</v>
      </c>
      <c r="AR48" s="604">
        <f>+IF(L48="","",IF(2010-VLOOKUP(MATCH(L48,epa_id,0),epa,'A1(epa)'!$U$17,FALSE)=0,IF(VLOOKUP(MATCH(L48,epa_id,0),epa,'A1(epa)'!$AC$17,FALSE)=0,"",VLOOKUP(MATCH(L48,epa_id,0),epa,'A1(epa)'!$AC$17,FALSE))))</f>
        <v>1434563</v>
      </c>
      <c r="AS48" s="51" t="str">
        <f>+IF(L48="","",IF(2010-VLOOKUP(MATCH(L48,epa_id,0),epa,'A1(epa)'!$U$17,FALSE)=0,IF(VLOOKUP(MATCH(L48,epa_id,0),epa,'A1(epa)'!$AP$17,FALSE)=0,"",VLOOKUP(MATCH(L48,epa_id,0),epa,'A1(epa)'!$AP$17,FALSE))))</f>
        <v>Residual Oil</v>
      </c>
      <c r="AT48" s="5623" t="str">
        <f>+IF(L48="","",IF(2010-VLOOKUP(MATCH(L48,epa_id,0),epa,'A1(epa)'!$U$17,FALSE)=0,IF(VLOOKUP(MATCH(L48,epa_id,0),epa,'A1(epa)'!$AQ$17,FALSE)=0,"",VLOOKUP(MATCH(L48,epa_id,0),epa,'A1(epa)'!$AQ$17,FALSE))))</f>
        <v>Pipeline Natural Gas</v>
      </c>
      <c r="AU48" s="7858">
        <f>+IF(L48="","",IF(2009-VLOOKUP(MATCH(L48,epa_id,0)+1,epa,'A1(epa)'!$U$17,FALSE)=0,IF(VLOOKUP(MATCH(L48,epa_id,0)+1,epa,'A1(epa)'!$U$17,FALSE)=0,"",VLOOKUP(MATCH(L48,epa_id,0)+1,epa,'A1(epa)'!$U$17,FALSE))))</f>
        <v>2009</v>
      </c>
      <c r="AV48" s="72">
        <f>+IF(L48="","",IF(2009-VLOOKUP(MATCH(L48,epa_id,0)+1,epa,'A1(epa)'!$U$17,FALSE)=0,IF(VLOOKUP(MATCH(L48,epa_id,0)+1,epa,'A1(epa)'!$W$17,FALSE)=0,"",VLOOKUP(MATCH(L48,epa_id,0)+1,epa,'A1(epa)'!$W$17,FALSE))))</f>
        <v>647</v>
      </c>
      <c r="AW48" s="4384">
        <f>+IF(L48="","",IF(2009-VLOOKUP(MATCH(L48,epa_id,0)+1,epa,'A1(epa)'!$U$17,FALSE)=0,IF(VLOOKUP(MATCH(L48,epa_id,0)+1,epa,'A1(epa)'!$X$17,FALSE)=0,"",VLOOKUP(MATCH(L48,epa_id,0)+1,epa,'A1(epa)'!$X$17,FALSE))))</f>
        <v>5</v>
      </c>
      <c r="AX48" s="604">
        <f>+IF(L48="","",IF(2009-VLOOKUP(MATCH(L48,epa_id,0)+1,epa,'A1(epa)'!$U$17,FALSE)=0,IF(VLOOKUP(MATCH(L48,epa_id,0)+1,epa,'A1(epa)'!$Y$17,FALSE)=0,"",VLOOKUP(MATCH(L48,epa_id,0)+1,epa,'A1(epa)'!$Y$17,FALSE))))</f>
        <v>40226</v>
      </c>
      <c r="AY48" s="603">
        <f>+IF(L48="","",IF(2009-VLOOKUP(MATCH(L48,epa_id,0)+1,epa,'A1(epa)'!$U$17,FALSE)=0,IF(VLOOKUP(MATCH(L48,epa_id,0)+1,epa,'A1(epa)'!$AA$17,FALSE)=0,"",VLOOKUP(MATCH(L48,epa_id,0)+1,epa,'A1(epa)'!$AA$17,FALSE))))</f>
        <v>0.12</v>
      </c>
      <c r="AZ48" s="5691">
        <f>+IF(L48="","",IF(2009-VLOOKUP(MATCH(L48,epa_id,0)+1,epa,'A1(epa)'!$U$17,FALSE)=0,IF(VLOOKUP(MATCH(L48,epa_id,0)+1,epa,'A1(epa)'!$AB$17,FALSE)=0,"",VLOOKUP(MATCH(L48,epa_id,0)+1,epa,'A1(epa)'!$AB$17,FALSE))))</f>
        <v>38.5</v>
      </c>
      <c r="BA48" s="5692">
        <f t="shared" ref="BA48:BA57" si="35">+IF(AY48&lt;1,AY48,$AA48)</f>
        <v>0.12</v>
      </c>
      <c r="BB48" s="5693">
        <f t="shared" ref="BB48:BB57" si="36">+IF(AY48="","",IF(AY48&lt;1,AZ48,BA48*BD48/2000))</f>
        <v>38.5</v>
      </c>
      <c r="BC48" s="5393">
        <f t="shared" ref="BC48:BC57" si="37">+IF(AND(BB48="",AX48=""),"",BB48*10^6/AX48)</f>
        <v>957.09242778302587</v>
      </c>
      <c r="BD48" s="604">
        <f>+IF(L48="","",IF(2009-VLOOKUP(MATCH(L48,epa_id,0)+1,epa,'A1(epa)'!$U$17,FALSE)=0,IF(VLOOKUP(MATCH(L48,epa_id,0)+1,epa,'A1(epa)'!$AC$17,FALSE)=0,"",VLOOKUP(MATCH(L48,epa_id,0)+1,epa,'A1(epa)'!$AC$17,FALSE))))</f>
        <v>528197</v>
      </c>
      <c r="BE48" s="4384" t="str">
        <f>+IF(L48="","",IF(2009-VLOOKUP(MATCH(L48,epa_id,0)+1,epa,'A1(epa)'!$U$17,FALSE)=0,IF(VLOOKUP(MATCH(L48,epa_id,0)+1,epa,'A1(epa)'!$AP$17,FALSE)=0,"",VLOOKUP(MATCH(L48,epa_id,0)+1,epa,'A1(epa)'!$AP$17,FALSE))))</f>
        <v>Residual Oil</v>
      </c>
      <c r="BF48" s="509" t="str">
        <f>+IF(L48="","",IF(2009-VLOOKUP(MATCH(L48,epa_id,0)+1,epa,'A1(epa)'!$U$17,FALSE)=0,IF(VLOOKUP(MATCH(L48,epa_id,0)+1,epa,'A1(epa)'!$AQ$17,FALSE)=0,"",VLOOKUP(MATCH(L48,epa_id,0)+1,epa,'A1(epa)'!$AQ$17,FALSE))))</f>
        <v>Pipeline Natural Gas</v>
      </c>
      <c r="BG48" s="125">
        <f>+IF(L48="","",IF(2008-VLOOKUP(MATCH(L48,epa_id,0)+2,epa,'A1(epa)'!$U$17,FALSE)=0,IF(VLOOKUP(MATCH(L48,epa_id,0)+2,epa,'A1(epa)'!$U$17,FALSE)=0,"",VLOOKUP(MATCH(L48,epa_id,0)+2,epa,'A1(epa)'!$U$17,FALSE))))</f>
        <v>2008</v>
      </c>
      <c r="BH48" s="4384">
        <f>+IF(L48="","",IF(2008-VLOOKUP(MATCH(L48,epa_id,0)+2,epa,'A1(epa)'!$U$17,FALSE)=0,IF(VLOOKUP(MATCH(L48,epa_id,0)+2,epa,'A1(epa)'!$W$17,FALSE)=0,"",VLOOKUP(MATCH(L48,epa_id,0)+2,epa,'A1(epa)'!$W$17,FALSE))))</f>
        <v>501</v>
      </c>
      <c r="BI48" s="4384">
        <f>+IF(L48="","",IF(2008-VLOOKUP(MATCH(L48,epa_id,0)+2,epa,'A1(epa)'!$U$17,FALSE)=0,IF(VLOOKUP(MATCH(L48,epa_id,0)+2,epa,'A1(epa)'!$X$17,FALSE)=0,"",VLOOKUP(MATCH(L48,epa_id,0)+2,epa,'A1(epa)'!$X$17,FALSE))))</f>
        <v>5</v>
      </c>
      <c r="BJ48" s="604">
        <f>+IF(L48="","",IF(2008-VLOOKUP(MATCH(L48,epa_id,0)+2,epa,'A1(epa)'!$U$17,FALSE)=0,IF(VLOOKUP(MATCH(L48,epa_id,0)+2,epa,'A1(epa)'!$Y$17,FALSE)=0,"",VLOOKUP(MATCH(L48,epa_id,0)+2,epa,'A1(epa)'!$Y$17,FALSE))))</f>
        <v>32545</v>
      </c>
      <c r="BK48" s="603">
        <f>+IF(L48="","",IF(2008-VLOOKUP(MATCH(L48,epa_id,0)+2,epa,'A1(epa)'!$U$17,FALSE)=0,IF(VLOOKUP(MATCH(L48,epa_id,0)+2,epa,'A1(epa)'!$AA$17,FALSE)=0,"",VLOOKUP(MATCH(L48,epa_id,0)+2,epa,'A1(epa)'!$AA$17,FALSE))))</f>
        <v>0.12</v>
      </c>
      <c r="BL48" s="5691">
        <f>+IF(L48="","",IF(2008-VLOOKUP(MATCH(L48,epa_id,0)+2,epa,'A1(epa)'!$U$17,FALSE)=0,IF(VLOOKUP(MATCH(L48,epa_id,0)+2,epa,'A1(epa)'!$AB$17,FALSE)=0,"",VLOOKUP(MATCH(L48,epa_id,0)+2,epa,'A1(epa)'!$AB$17,FALSE))))</f>
        <v>33.5</v>
      </c>
      <c r="BM48" s="5737">
        <f t="shared" si="16"/>
        <v>0.12</v>
      </c>
      <c r="BN48" s="5738">
        <f t="shared" si="9"/>
        <v>33.5</v>
      </c>
      <c r="BO48" s="5739">
        <f t="shared" si="10"/>
        <v>1029.3439852511906</v>
      </c>
      <c r="BP48" s="5638">
        <f>+IF(L48="","",IF(2008-VLOOKUP(MATCH(L48,epa_id,0)+2,epa,'A1(epa)'!$U$17,FALSE)=0,IF(VLOOKUP(MATCH(L48,epa_id,0)+2,epa,'A1(epa)'!$AC$17,FALSE)=0,"",VLOOKUP(MATCH(L48,epa_id,0)+2,epa,'A1(epa)'!$AC$17,FALSE))))</f>
        <v>467707</v>
      </c>
      <c r="BQ48" s="5610" t="str">
        <f>+IF(L48="","",IF(2008-VLOOKUP(MATCH(L48,epa_id,0)+2,epa,'A1(epa)'!$U$17,FALSE)=0,IF(VLOOKUP(MATCH(L48,epa_id,0)+2,epa,'A1(epa)'!$AP$17,FALSE)=0,"",VLOOKUP(MATCH(L48,epa_id,0)+2,epa,'A1(epa)'!$AP$17,FALSE))))</f>
        <v>Residual Oil</v>
      </c>
      <c r="BR48" s="5623" t="str">
        <f>+IF(L48="","",IF(2008-VLOOKUP(MATCH(L48,epa_id,0)+2,epa,'A1(epa)'!$U$17,FALSE)=0,IF(VLOOKUP(MATCH(L48,epa_id,0)+2,epa,'A1(epa)'!$AQ$17,FALSE)=0,"",VLOOKUP(MATCH(L48,epa_id,0)+2,epa,'A1(epa)'!$AQ$17,FALSE))))</f>
        <v>Pipeline Natural Gas</v>
      </c>
      <c r="BS48" s="5610" t="str">
        <f>+IF(L48="","",IF(2010-VLOOKUP(MATCH(L48,epa_id,0),epa,'A1(epa)'!$U$17,FALSE)=0,IF(VLOOKUP(MATCH(L48,epa_id,0),epa,'A1(epa)'!$AS$17,FALSE)=0,"",VLOOKUP(MATCH(L48,epa_id,0),epa,'A1(epa)'!$AS$17,FALSE))))</f>
        <v>Overfire Air</v>
      </c>
      <c r="BT48" s="51" t="str">
        <f>+IF(L48="","",IF(2010-VLOOKUP(MATCH(L48,epa_id,0),epa,'A1(epa)'!$U$17,FALSE)=0,IF(VLOOKUP(MATCH(L48,epa_id,0),epa,'A1(epa)'!$AT$17,FALSE)=0,"",VLOOKUP(MATCH(L48,epa_id,0),epa,'A1(epa)'!$AT$17,FALSE))))</f>
        <v/>
      </c>
      <c r="BU48" s="51" t="str">
        <f>+IF(L48="","",IF(2010-VLOOKUP(MATCH(L48,epa_id,0),epa,'A1(epa)'!$U$17,FALSE)=0,IF(VLOOKUP(MATCH(L48,epa_id,0),epa,'A1(epa)'!$AU$17,FALSE)=0,"",VLOOKUP(MATCH(L48,epa_id,0),epa,'A1(epa)'!$AU$17,FALSE))))</f>
        <v/>
      </c>
      <c r="BV48" s="51" t="str">
        <f>+IF(L48="","",IF(2010-VLOOKUP(MATCH(L48,epa_id,0),epa,'A1(epa)'!$U$17,FALSE)=0,IF(VLOOKUP(MATCH(L48,epa_id,0),epa,'A1(epa)'!$AR$17,FALSE)=0,"",VLOOKUP(MATCH(L48,epa_id,0),epa,'A1(epa)'!$AR$17,FALSE))))</f>
        <v/>
      </c>
      <c r="BW48" s="5112" t="str">
        <f>+IF(L48="","",IF(2010-VLOOKUP(MATCH(L48,epa_id,0),epa,'A1(epa)'!$U$17,FALSE)=0,IF(VLOOKUP(MATCH(L48,epa_id,0),epa,'A1(epa)'!$AV$17,FALSE)=0,"",VLOOKUP(MATCH(L48,epa_id,0),epa,'A1(epa)'!$AV$17,FALSE))))</f>
        <v>Electrostatic Precipitator</v>
      </c>
      <c r="BX48" s="540">
        <f>+IF(L48="","",IF(2010-VLOOKUP(MATCH(L48,epa_id,0),epa,'A1(epa)'!$U$17,FALSE)=0,IF(VLOOKUP(MATCH(L48,epa_id,0),epa,'A1(epa)'!$AW$17,FALSE)=0,"",VLOOKUP(MATCH(L48,epa_id,0),epa,'A1(epa)'!$AW$17,FALSE))))</f>
        <v>1295</v>
      </c>
      <c r="BY48" s="5415"/>
      <c r="BZ48" s="540">
        <f t="shared" ref="BZ48:BZ57" si="38">IF(OR(L48="",ISERROR(AQ48+BC48+BO48=0)),"",AVERAGE(AQ48,BC48,BO48))</f>
        <v>942.91624939026724</v>
      </c>
      <c r="CA48" s="5415"/>
      <c r="CB48" s="586">
        <f t="shared" ref="CB48:CB57" si="39">+IF(AJ48="","",MAX(AJ48))</f>
        <v>1670</v>
      </c>
      <c r="CC48" s="539">
        <f t="shared" ref="CC48:CC57" si="40">+IF(AL48="","",MAX(AL48))</f>
        <v>111835</v>
      </c>
      <c r="CD48" s="539">
        <f t="shared" ref="CD48:CD57" si="41">+IF(AR48="","",MAX(AR48))</f>
        <v>1434563</v>
      </c>
      <c r="CE48" s="508">
        <f t="shared" ref="CE48:CE57" si="42">+IF(AP48="","",MAX(AP48))</f>
        <v>94.2</v>
      </c>
      <c r="CF48" s="4391">
        <f t="shared" ref="CF48:CF57" si="43">+IF(CD48=AR48,AO48,0)</f>
        <v>0.12</v>
      </c>
      <c r="CG48" s="507">
        <f t="shared" ref="CG48:CG57" si="44">IF(OR(CD48="",CE48=""),"",2000/CD48*CE48)</f>
        <v>0.13132919223484785</v>
      </c>
      <c r="CH48" s="550">
        <f t="shared" ref="CH48:CH57" si="45">+IF(CG48="","",CG48/CB48)</f>
        <v>7.8640234871166372E-5</v>
      </c>
      <c r="CI48" s="548">
        <f t="shared" ref="CI48:CI57" si="46">+IF(AV48="","",MAX(AV48))</f>
        <v>647</v>
      </c>
      <c r="CJ48" s="539">
        <f t="shared" ref="CJ48:CJ57" si="47">+IF(AX48="","",MAX(AX48))</f>
        <v>40226</v>
      </c>
      <c r="CK48" s="539">
        <f t="shared" ref="CK48:CK57" si="48">+IF(BD48="","",MAX(BD48))</f>
        <v>528197</v>
      </c>
      <c r="CL48" s="549">
        <f t="shared" ref="CL48:CL57" si="49">+IF(BB48="","",MAX(BB48))</f>
        <v>38.5</v>
      </c>
      <c r="CM48" s="507">
        <f t="shared" ref="CM48:CM57" si="50">+IF(CK48=BD48,BA48,0)</f>
        <v>0.12</v>
      </c>
      <c r="CN48" s="507">
        <f t="shared" ref="CN48:CN57" si="51">IF(OR(CK48="",CL48=""),"",2000/CK48*CL48)</f>
        <v>0.14577894232644259</v>
      </c>
      <c r="CO48" s="550">
        <f t="shared" ref="CO48:CO57" si="52">+IF(CN48="","",CN48/CI48)</f>
        <v>2.2531521225107047E-4</v>
      </c>
      <c r="CP48" s="548">
        <f t="shared" ref="CP48:CP57" si="53">+IF(BH48="","",MAX(BH48))</f>
        <v>501</v>
      </c>
      <c r="CQ48" s="539">
        <f t="shared" ref="CQ48:CQ57" si="54">+IF(BJ48="","",MAX(BJ48))</f>
        <v>32545</v>
      </c>
      <c r="CR48" s="539">
        <f t="shared" ref="CR48:CR57" si="55">+IF(BP48="","",MAX(BP48))</f>
        <v>467707</v>
      </c>
      <c r="CS48" s="549">
        <f t="shared" ref="CS48:CS57" si="56">+IF(BN48="","",MAX(BN48))</f>
        <v>33.5</v>
      </c>
      <c r="CT48" s="507">
        <f t="shared" ref="CT48:CT57" si="57">+IF(CR48=BP48,BM48,0)</f>
        <v>0.12</v>
      </c>
      <c r="CU48" s="507">
        <f t="shared" ref="CU48:CU57" si="58">IF(OR(CR48="",CS48=""),"",2000/CR48*CS48)</f>
        <v>0.14325207875871004</v>
      </c>
      <c r="CV48" s="551">
        <f t="shared" ref="CV48:CV57" si="59">+IF(CU48="","",CU48/CP48)</f>
        <v>2.8593229293155697E-4</v>
      </c>
      <c r="CW48" s="601">
        <f t="shared" ref="CW48:CW57" si="60">+IF(DA48="","",IF(DA48=CE48,AI48,IF(DA48=CL48,AU48,IF(DA48=CS48,BG48))))</f>
        <v>2010</v>
      </c>
      <c r="CX48" s="602">
        <f t="shared" ref="CX48:CX57" si="61">+IF(DA48="","",IF(DA48=CE48,CB48,IF(DA48=CL48,CI48,IF(DA48=CS48,CP48))))</f>
        <v>1670</v>
      </c>
      <c r="CY48" s="5581">
        <f t="shared" ref="CY48:CY57" si="62">+IF(DA48="","",IF(DA48=CE48,CC48,IF(DA48=CL48,CJ48,IF(DA48=CS48,CQ48))))</f>
        <v>111835</v>
      </c>
      <c r="CZ48" s="604">
        <f t="shared" ref="CZ48:CZ57" si="63">+IF(DA48="","",IF(DA48=CE48,CD48,IF(DA48=CL48,CK48,IF(DA48=CS48,CR48))))</f>
        <v>1434563</v>
      </c>
      <c r="DA48" s="508">
        <f t="shared" ref="DA48:DA57" si="64">+IF(ISERROR(CE48+CL48+CS48=0),"",MAX(CE48,CL48,CS48))</f>
        <v>94.2</v>
      </c>
      <c r="DB48" s="603">
        <f t="shared" ref="DB48:DB57" si="65">+IF(DA48="","",IF(DA48=CE48,CF48,IF(DA48=CL48,CM48,IF(DA48=CS48,CT48))))</f>
        <v>0.12</v>
      </c>
      <c r="DC48" s="603">
        <f t="shared" ref="DC48:DC57" si="66">IF(OR(DA48="",CZ48=""),"",ROUND(2000*DA48/CZ48,3))</f>
        <v>0.13100000000000001</v>
      </c>
      <c r="DD48" s="550">
        <f t="shared" ref="DD48:DD57" si="67">+IF(CX48="","",DA48/CX48)</f>
        <v>5.6407185628742515E-2</v>
      </c>
      <c r="DE48" s="593">
        <f t="shared" si="31"/>
        <v>2.8203592814371259</v>
      </c>
      <c r="DF48" s="593"/>
      <c r="DG48" s="5356"/>
      <c r="DH48" s="5348"/>
      <c r="DI48" s="5348"/>
    </row>
    <row r="49" spans="1:113" s="479" customFormat="1" ht="25.5" customHeight="1">
      <c r="A49" s="5364" t="str">
        <f t="shared" si="13"/>
        <v>8306-02</v>
      </c>
      <c r="B49" s="9571" t="str">
        <f>+IF(A49="","",VLOOKUP(MATCH(A49,tid,0),tao,'12(id)'!$J$20,FALSE))</f>
        <v>NRG</v>
      </c>
      <c r="C49" s="5365" t="str">
        <f t="shared" si="32"/>
        <v>MD3 </v>
      </c>
      <c r="D49" s="5359"/>
      <c r="E49" s="5351"/>
      <c r="F49" s="5359"/>
      <c r="G49" s="4445">
        <f t="shared" si="17"/>
        <v>31</v>
      </c>
      <c r="H49" s="4399">
        <v>2</v>
      </c>
      <c r="I49" s="52">
        <f>+IF(L49="","",IF(VLOOKUP(MATCH(L49,tid,0),tao,'12(id)'!$H$20,FALSE)="","",VLOOKUP(MATCH(L49,tid,0),tao,'12(id)'!$H$20,FALSE)))</f>
        <v>17</v>
      </c>
      <c r="J49" s="9525"/>
      <c r="K49" s="9518">
        <f>+IF(L49="","",IF(VLOOKUP(MATCH(L49,tid,0),tao,'12(id)'!$K$20,FALSE)="","",VLOOKUP(MATCH(L49,tid,0),tao,'12(id)'!$K$20,FALSE)))</f>
        <v>8306</v>
      </c>
      <c r="L49" s="5154" t="s">
        <v>294</v>
      </c>
      <c r="M49" s="9520" t="str">
        <f>+IF(L49="","",IF(VLOOKUP(MATCH(L49,tid,0),tao,'12(id)'!$L$20,FALSE)="","",VLOOKUP(MATCH(L49,tid,0),tao,'12(id)'!$L$20,FALSE)))</f>
        <v>Middletown</v>
      </c>
      <c r="N49" s="52" t="str">
        <f>+IF(L49="","",IF(VLOOKUP(MATCH(L49,tid,0),tao,'12(id)'!$P$20,FALSE)="","",VLOOKUP(MATCH(L49,tid,0),tao,'12(id)'!$P$20,FALSE)))</f>
        <v>Middletown-3</v>
      </c>
      <c r="O49" s="543" t="str">
        <f>+IF(L49="","",IF(VLOOKUP(MATCH(L49,tid,0),tao,'12(id)'!$Q$20,FALSE)="","",VLOOKUP(MATCH(L49,tid,0),tao,'12(id)'!$Q$20,FALSE)))</f>
        <v>MD3 </v>
      </c>
      <c r="P49" s="7833">
        <f>+IF(L49="","",IF(VLOOKUP(MATCH(L49,tid,0),tao,'12(id)'!$CT$20,FALSE)="","",VLOOKUP(MATCH(L49,tid,0),tao,'12(id)'!$CT$20,FALSE)))</f>
        <v>236</v>
      </c>
      <c r="Q49" s="9583"/>
      <c r="R49" s="544" t="str">
        <f>+IF(L49="","",IF(VLOOKUP(MATCH(L49,tid,0),tao,'12(id)'!$T$20,FALSE)="","",VLOOKUP(MATCH(L49,tid,0),tao,'12(id)'!$T$20,FALSE)))</f>
        <v>Utility Boiler</v>
      </c>
      <c r="S49" s="545" t="str">
        <f>+IF(L49="","",IF(VLOOKUP(MATCH(L49,tid,0),tao,'12(id)'!$CO$20,FALSE)="","",VLOOKUP(MATCH(L49,tid,0),tao,'12(id)'!$CO$20,FALSE)))</f>
        <v>Babcock and Wilcox</v>
      </c>
      <c r="T49" s="544" t="str">
        <f>+IF(L49="","",IF(VLOOKUP(MATCH(L49,tid,0),tao,'12(id)'!$CP$20,FALSE)="","",VLOOKUP(MATCH(L49,tid,0),tao,'12(id)'!$CP$20,FALSE)))</f>
        <v>Cyclone boiler</v>
      </c>
      <c r="U49" s="7824" t="str">
        <f>+IF(L49="","",IF(VLOOKUP(MATCH(L49,tid,0),tao,'12(id)'!$DC$20,FALSE)="","",IF(VLOOKUP(MATCH(L49,tid,0),tao,'12(id)'!$DB$20,FALSE)="",VLOOKUP(MATCH(L49,tid,0),tao,'12(id)'!$DC$20,FALSE),VLOOKUP(MATCH(L49,tid,0),tao,'12(id)'!$DB$20,FALSE)&amp;" "&amp;VLOOKUP(MATCH(L49,tid,0),tao,'12(id)'!$DC$20,FALSE))))</f>
        <v/>
      </c>
      <c r="V49" s="135" t="str">
        <f>+IF(L49="","",IF(VLOOKUP(MATCH(L49,tid,0),tao,'12(id)'!$DE$20,FALSE)="","",ROUND(VLOOKUP(MATCH(L49,tid,0),tao,'12(id)'!$DE$20,FALSE),0)))</f>
        <v/>
      </c>
      <c r="W49" s="546" t="str">
        <f>+IF(L49="","",IF(VLOOKUP(G49,tao,'12(id)'!$FR$20,FALSE)="","",VLOOKUP(G49,tao,'12(id)'!$FR$20,FALSE)&amp;IF(VLOOKUP(G49,tao,'12(id)'!$FS$20,FALSE)="","",", "&amp;VLOOKUP(G49,tao,'12(id)'!$FS$20,FALSE))))</f>
        <v>None</v>
      </c>
      <c r="X49" s="546" t="str">
        <f>+IF(L49="","",IF(VLOOKUP(MATCH(L49,tid,0),tao,'12(id)'!$DI$20,FALSE)="","",VLOOKUP(MATCH(L49,tid,0),tao,'12(id)'!$DI$20,FALSE)))</f>
        <v>No. 6 oil</v>
      </c>
      <c r="Y49" s="546" t="str">
        <f>+IF(L49="","",IF(VLOOKUP(MATCH(L49,tid,0),tao,'12(id)'!$DQ$20,FALSE)="","",VLOOKUP(MATCH(L49,tid,0),tao,'12(id)'!$DQ$20,FALSE)))</f>
        <v>No. 2 oil</v>
      </c>
      <c r="Z49" s="4417">
        <f>+IF(L49="","",IF(VLOOKUP(MATCH(L49,tid,0),tao,'12(id)'!$EH$20,FALSE)="","",VLOOKUP(MATCH(L49,tid,0),tao,'12(id)'!$EH$20,FALSE)))</f>
        <v>2370</v>
      </c>
      <c r="AA49" s="4418" t="str">
        <f>+IF(L49="","",IF(VLOOKUP(MATCH(L49,tid,0),tao,'12(id)'!$EI$20,FALSE)="","",VLOOKUP(MATCH(L49,tid,0),tao,'12(id)'!$EI$20,FALSE)))</f>
        <v/>
      </c>
      <c r="AB49" s="4418" t="str">
        <f>+IF(L49="","",IF(VLOOKUP(MATCH(L49,tid,0),tao,'12(id)'!$EJ$20,FALSE)="","",VLOOKUP(MATCH(L49,tid,0),tao,'12(id)'!$EJ$20,FALSE)))</f>
        <v/>
      </c>
      <c r="AC49" s="4436">
        <f>+IF(L49="","",IF(VLOOKUP(MATCH(L49,tid,0),tao,'12(id)'!$EL$20,FALSE)="","",VLOOKUP(MATCH(L49,tid,0),tao,'12(id)'!$EL$20,FALSE)))</f>
        <v>0.27</v>
      </c>
      <c r="AD49" s="4438" t="s">
        <v>1180</v>
      </c>
      <c r="AE49" s="4419">
        <f t="shared" ref="AE49:AE54" si="68">+AC49</f>
        <v>0.27</v>
      </c>
      <c r="AF49" s="4420"/>
      <c r="AG49" s="562">
        <f>+IF(L49="","",IF(VLOOKUP(MATCH(L49,tid,0),tao,'12(id)'!$GY$20,FALSE)="","",VLOOKUP(MATCH(L49,tid,0),tao,'12(id)'!$GY$20,FALSE)))</f>
        <v>731.05</v>
      </c>
      <c r="AH49" s="563">
        <f>+IF(L49="","",IF(VLOOKUP(MATCH(L49,tid,0),tao,'12(id)'!$HL$20,FALSE)="","",VLOOKUP(MATCH(L49,tid,0),tao,'12(id)'!$HL$20,FALSE)))</f>
        <v>166.49</v>
      </c>
      <c r="AI49" s="7854">
        <f>+IF(L49="","",IF(2010-VLOOKUP(MATCH(L49,epa_id,0),epa,'A1(epa)'!$U$17,FALSE)=0,IF(VLOOKUP(MATCH(L49,epa_id,0),epa,'A1(epa)'!$U$17,FALSE)=0,"",VLOOKUP(MATCH(L49,epa_id,0),epa,'A1(epa)'!$U$17,FALSE))))</f>
        <v>2010</v>
      </c>
      <c r="AJ49" s="608">
        <f>+IF(L49="","",IF(2010-VLOOKUP(MATCH(L49,epa_id,0),epa,'A1(epa)'!$U$17,FALSE)=0,IF(VLOOKUP(MATCH(L49,epa_id,0),epa,'A1(epa)'!$W$17,FALSE)=0,"",VLOOKUP(MATCH(L49,epa_id,0),epa,'A1(epa)'!$W$17,FALSE))))</f>
        <v>1084</v>
      </c>
      <c r="AK49" s="515">
        <f>+IF(L49="","",IF(2010-VLOOKUP(MATCH(L49,epa_id,0),epa,'A1(epa)'!$U$17,FALSE)=0,IF(VLOOKUP(MATCH(L49,epa_id,0),epa,'A1(epa)'!$X$17,FALSE)=0,"",VLOOKUP(MATCH(L49,epa_id,0),epa,'A1(epa)'!$X$17,FALSE))))</f>
        <v>5</v>
      </c>
      <c r="AL49" s="608">
        <f>+IF(L49="","",IF(2010-VLOOKUP(MATCH(L49,epa_id,0),epa,'A1(epa)'!$U$17,FALSE)=0,IF(VLOOKUP(MATCH(L49,epa_id,0),epa,'A1(epa)'!$Y$17,FALSE)=0,"",VLOOKUP(MATCH(L49,epa_id,0),epa,'A1(epa)'!$Y$17,FALSE))))</f>
        <v>141127</v>
      </c>
      <c r="AM49" s="5791">
        <f>+IF(L49="","",IF(2010-VLOOKUP(MATCH(L49,epa_id,0),epa,'A1(epa)'!$U$17,FALSE)=0,IF(VLOOKUP(MATCH(L49,epa_id,0),epa,'A1(epa)'!$AA$17,FALSE)=0,"",VLOOKUP(MATCH(L49,epa_id,0),epa,'A1(epa)'!$AA$17,FALSE))))</f>
        <v>0.18</v>
      </c>
      <c r="AN49" s="5792">
        <f>+IF(L49="","",IF(2010-VLOOKUP(MATCH(L49,epa_id,0),epa,'A1(epa)'!$U$17,FALSE)=0,IF(VLOOKUP(MATCH(L49,epa_id,0),epa,'A1(epa)'!$AB$17,FALSE)=0,"",VLOOKUP(MATCH(L49,epa_id,0),epa,'A1(epa)'!$AB$17,FALSE))))</f>
        <v>189.3</v>
      </c>
      <c r="AO49" s="5793">
        <f t="shared" si="33"/>
        <v>0.18</v>
      </c>
      <c r="AP49" s="5794">
        <f t="shared" si="5"/>
        <v>189.3</v>
      </c>
      <c r="AQ49" s="5795">
        <f t="shared" si="34"/>
        <v>1341.3450296541414</v>
      </c>
      <c r="AR49" s="608">
        <f>+IF(L49="","",IF(2010-VLOOKUP(MATCH(L49,epa_id,0),epa,'A1(epa)'!$U$17,FALSE)=0,IF(VLOOKUP(MATCH(L49,epa_id,0),epa,'A1(epa)'!$AC$17,FALSE)=0,"",VLOOKUP(MATCH(L49,epa_id,0),epa,'A1(epa)'!$AC$17,FALSE))))</f>
        <v>1790536</v>
      </c>
      <c r="AS49" s="52" t="str">
        <f>+IF(L49="","",IF(2010-VLOOKUP(MATCH(L49,epa_id,0),epa,'A1(epa)'!$U$17,FALSE)=0,IF(VLOOKUP(MATCH(L49,epa_id,0),epa,'A1(epa)'!$AP$17,FALSE)=0,"",VLOOKUP(MATCH(L49,epa_id,0),epa,'A1(epa)'!$AP$17,FALSE))))</f>
        <v>Residual Oil</v>
      </c>
      <c r="AT49" s="5619" t="str">
        <f>+IF(L49="","",IF(2010-VLOOKUP(MATCH(L49,epa_id,0),epa,'A1(epa)'!$U$17,FALSE)=0,IF(VLOOKUP(MATCH(L49,epa_id,0),epa,'A1(epa)'!$AQ$17,FALSE)=0,"",VLOOKUP(MATCH(L49,epa_id,0),epa,'A1(epa)'!$AQ$17,FALSE))))</f>
        <v>Pipeline Natural Gas</v>
      </c>
      <c r="AU49" s="7854">
        <f>+IF(L49="","",IF(2009-VLOOKUP(MATCH(L49,epa_id,0)+1,epa,'A1(epa)'!$U$17,FALSE)=0,IF(VLOOKUP(MATCH(L49,epa_id,0)+1,epa,'A1(epa)'!$U$17,FALSE)=0,"",VLOOKUP(MATCH(L49,epa_id,0)+1,epa,'A1(epa)'!$U$17,FALSE))))</f>
        <v>2009</v>
      </c>
      <c r="AV49" s="7832">
        <f>+IF(L49="","",IF(2009-VLOOKUP(MATCH(L49,epa_id,0)+1,epa,'A1(epa)'!$U$17,FALSE)=0,IF(VLOOKUP(MATCH(L49,epa_id,0)+1,epa,'A1(epa)'!$W$17,FALSE)=0,"",VLOOKUP(MATCH(L49,epa_id,0)+1,epa,'A1(epa)'!$W$17,FALSE))))</f>
        <v>293</v>
      </c>
      <c r="AW49" s="5154">
        <f>+IF(L49="","",IF(2009-VLOOKUP(MATCH(L49,epa_id,0)+1,epa,'A1(epa)'!$U$17,FALSE)=0,IF(VLOOKUP(MATCH(L49,epa_id,0)+1,epa,'A1(epa)'!$X$17,FALSE)=0,"",VLOOKUP(MATCH(L49,epa_id,0)+1,epa,'A1(epa)'!$X$17,FALSE))))</f>
        <v>5</v>
      </c>
      <c r="AX49" s="608">
        <f>+IF(L49="","",IF(2009-VLOOKUP(MATCH(L49,epa_id,0)+1,epa,'A1(epa)'!$U$17,FALSE)=0,IF(VLOOKUP(MATCH(L49,epa_id,0)+1,epa,'A1(epa)'!$Y$17,FALSE)=0,"",VLOOKUP(MATCH(L49,epa_id,0)+1,epa,'A1(epa)'!$Y$17,FALSE))))</f>
        <v>41047</v>
      </c>
      <c r="AY49" s="607">
        <f>+IF(L49="","",IF(2009-VLOOKUP(MATCH(L49,epa_id,0)+1,epa,'A1(epa)'!$U$17,FALSE)=0,IF(VLOOKUP(MATCH(L49,epa_id,0)+1,epa,'A1(epa)'!$AA$17,FALSE)=0,"",VLOOKUP(MATCH(L49,epa_id,0)+1,epa,'A1(epa)'!$AA$17,FALSE))))</f>
        <v>0.23</v>
      </c>
      <c r="AZ49" s="1968">
        <f>+IF(L49="","",IF(2009-VLOOKUP(MATCH(L49,epa_id,0)+1,epa,'A1(epa)'!$U$17,FALSE)=0,IF(VLOOKUP(MATCH(L49,epa_id,0)+1,epa,'A1(epa)'!$AB$17,FALSE)=0,"",VLOOKUP(MATCH(L49,epa_id,0)+1,epa,'A1(epa)'!$AB$17,FALSE))))</f>
        <v>54.4</v>
      </c>
      <c r="BA49" s="5682">
        <f t="shared" si="35"/>
        <v>0.23</v>
      </c>
      <c r="BB49" s="5683">
        <f t="shared" si="36"/>
        <v>54.4</v>
      </c>
      <c r="BC49" s="5392">
        <f t="shared" si="37"/>
        <v>1325.3100104757959</v>
      </c>
      <c r="BD49" s="608">
        <f>+IF(L49="","",IF(2009-VLOOKUP(MATCH(L49,epa_id,0)+1,epa,'A1(epa)'!$U$17,FALSE)=0,IF(VLOOKUP(MATCH(L49,epa_id,0)+1,epa,'A1(epa)'!$AC$17,FALSE)=0,"",VLOOKUP(MATCH(L49,epa_id,0)+1,epa,'A1(epa)'!$AC$17,FALSE))))</f>
        <v>445004</v>
      </c>
      <c r="BE49" s="5154" t="str">
        <f>+IF(L49="","",IF(2009-VLOOKUP(MATCH(L49,epa_id,0)+1,epa,'A1(epa)'!$U$17,FALSE)=0,IF(VLOOKUP(MATCH(L49,epa_id,0)+1,epa,'A1(epa)'!$AP$17,FALSE)=0,"",VLOOKUP(MATCH(L49,epa_id,0)+1,epa,'A1(epa)'!$AP$17,FALSE))))</f>
        <v>Residual Oil</v>
      </c>
      <c r="BF49" s="516" t="str">
        <f>+IF(L49="","",IF(2009-VLOOKUP(MATCH(L49,epa_id,0)+1,epa,'A1(epa)'!$U$17,FALSE)=0,IF(VLOOKUP(MATCH(L49,epa_id,0)+1,epa,'A1(epa)'!$AQ$17,FALSE)=0,"",VLOOKUP(MATCH(L49,epa_id,0)+1,epa,'A1(epa)'!$AQ$17,FALSE))))</f>
        <v>Pipeline Natural Gas</v>
      </c>
      <c r="BG49" s="127">
        <f>+IF(L49="","",IF(2008-VLOOKUP(MATCH(L49,epa_id,0)+2,epa,'A1(epa)'!$U$17,FALSE)=0,IF(VLOOKUP(MATCH(L49,epa_id,0)+2,epa,'A1(epa)'!$U$17,FALSE)=0,"",VLOOKUP(MATCH(L49,epa_id,0)+2,epa,'A1(epa)'!$U$17,FALSE))))</f>
        <v>2008</v>
      </c>
      <c r="BH49" s="5154">
        <f>+IF(L49="","",IF(2008-VLOOKUP(MATCH(L49,epa_id,0)+2,epa,'A1(epa)'!$U$17,FALSE)=0,IF(VLOOKUP(MATCH(L49,epa_id,0)+2,epa,'A1(epa)'!$W$17,FALSE)=0,"",VLOOKUP(MATCH(L49,epa_id,0)+2,epa,'A1(epa)'!$W$17,FALSE))))</f>
        <v>315</v>
      </c>
      <c r="BI49" s="5154">
        <f>+IF(L49="","",IF(2008-VLOOKUP(MATCH(L49,epa_id,0)+2,epa,'A1(epa)'!$U$17,FALSE)=0,IF(VLOOKUP(MATCH(L49,epa_id,0)+2,epa,'A1(epa)'!$X$17,FALSE)=0,"",VLOOKUP(MATCH(L49,epa_id,0)+2,epa,'A1(epa)'!$X$17,FALSE))))</f>
        <v>5</v>
      </c>
      <c r="BJ49" s="608">
        <f>+IF(L49="","",IF(2008-VLOOKUP(MATCH(L49,epa_id,0)+2,epa,'A1(epa)'!$U$17,FALSE)=0,IF(VLOOKUP(MATCH(L49,epa_id,0)+2,epa,'A1(epa)'!$Y$17,FALSE)=0,"",VLOOKUP(MATCH(L49,epa_id,0)+2,epa,'A1(epa)'!$Y$17,FALSE))))</f>
        <v>32767</v>
      </c>
      <c r="BK49" s="607">
        <f>+IF(L49="","",IF(2008-VLOOKUP(MATCH(L49,epa_id,0)+2,epa,'A1(epa)'!$U$17,FALSE)=0,IF(VLOOKUP(MATCH(L49,epa_id,0)+2,epa,'A1(epa)'!$AA$17,FALSE)=0,"",VLOOKUP(MATCH(L49,epa_id,0)+2,epa,'A1(epa)'!$AA$17,FALSE))))</f>
        <v>0.28000000000000003</v>
      </c>
      <c r="BL49" s="1968">
        <f>+IF(L49="","",IF(2008-VLOOKUP(MATCH(L49,epa_id,0)+2,epa,'A1(epa)'!$U$17,FALSE)=0,IF(VLOOKUP(MATCH(L49,epa_id,0)+2,epa,'A1(epa)'!$AB$17,FALSE)=0,"",VLOOKUP(MATCH(L49,epa_id,0)+2,epa,'A1(epa)'!$AB$17,FALSE))))</f>
        <v>83.7</v>
      </c>
      <c r="BM49" s="5728">
        <f t="shared" si="16"/>
        <v>0.28000000000000003</v>
      </c>
      <c r="BN49" s="5729">
        <f t="shared" si="9"/>
        <v>83.7</v>
      </c>
      <c r="BO49" s="5730">
        <f t="shared" si="10"/>
        <v>2554.3992431409652</v>
      </c>
      <c r="BP49" s="5635">
        <f>+IF(L49="","",IF(2008-VLOOKUP(MATCH(L49,epa_id,0)+2,epa,'A1(epa)'!$U$17,FALSE)=0,IF(VLOOKUP(MATCH(L49,epa_id,0)+2,epa,'A1(epa)'!$AC$17,FALSE)=0,"",VLOOKUP(MATCH(L49,epa_id,0)+2,epa,'A1(epa)'!$AC$17,FALSE))))</f>
        <v>495983</v>
      </c>
      <c r="BQ49" s="4708" t="str">
        <f>+IF(L49="","",IF(2008-VLOOKUP(MATCH(L49,epa_id,0)+2,epa,'A1(epa)'!$U$17,FALSE)=0,IF(VLOOKUP(MATCH(L49,epa_id,0)+2,epa,'A1(epa)'!$AP$17,FALSE)=0,"",VLOOKUP(MATCH(L49,epa_id,0)+2,epa,'A1(epa)'!$AP$17,FALSE))))</f>
        <v>Residual Oil</v>
      </c>
      <c r="BR49" s="5619" t="str">
        <f>+IF(L49="","",IF(2008-VLOOKUP(MATCH(L49,epa_id,0)+2,epa,'A1(epa)'!$U$17,FALSE)=0,IF(VLOOKUP(MATCH(L49,epa_id,0)+2,epa,'A1(epa)'!$AQ$17,FALSE)=0,"",VLOOKUP(MATCH(L49,epa_id,0)+2,epa,'A1(epa)'!$AQ$17,FALSE))))</f>
        <v>Pipeline Natural Gas</v>
      </c>
      <c r="BS49" s="5606" t="str">
        <f>+IF(L49="","",IF(2010-VLOOKUP(MATCH(L49,epa_id,0),epa,'A1(epa)'!$U$17,FALSE)=0,IF(VLOOKUP(MATCH(L49,epa_id,0),epa,'A1(epa)'!$AS$17,FALSE)=0,"",VLOOKUP(MATCH(L49,epa_id,0),epa,'A1(epa)'!$AS$17,FALSE))))</f>
        <v>Water Injection</v>
      </c>
      <c r="BT49" s="52" t="str">
        <f>+IF(L49="","",IF(2010-VLOOKUP(MATCH(L49,epa_id,0),epa,'A1(epa)'!$U$17,FALSE)=0,IF(VLOOKUP(MATCH(L49,epa_id,0),epa,'A1(epa)'!$AT$17,FALSE)=0,"",VLOOKUP(MATCH(L49,epa_id,0),epa,'A1(epa)'!$AT$17,FALSE))))</f>
        <v>Selective Non-catalytic Reduction</v>
      </c>
      <c r="BU49" s="52" t="str">
        <f>+IF(L49="","",IF(2010-VLOOKUP(MATCH(L49,epa_id,0),epa,'A1(epa)'!$U$17,FALSE)=0,IF(VLOOKUP(MATCH(L49,epa_id,0),epa,'A1(epa)'!$AU$17,FALSE)=0,"",VLOOKUP(MATCH(L49,epa_id,0),epa,'A1(epa)'!$AU$17,FALSE))))</f>
        <v/>
      </c>
      <c r="BV49" s="52" t="str">
        <f>+IF(L49="","",IF(2010-VLOOKUP(MATCH(L49,epa_id,0),epa,'A1(epa)'!$U$17,FALSE)=0,IF(VLOOKUP(MATCH(L49,epa_id,0),epa,'A1(epa)'!$AR$17,FALSE)=0,"",VLOOKUP(MATCH(L49,epa_id,0),epa,'A1(epa)'!$AR$17,FALSE))))</f>
        <v/>
      </c>
      <c r="BW49" s="5592" t="str">
        <f>+IF(L49="","",IF(2010-VLOOKUP(MATCH(L49,epa_id,0),epa,'A1(epa)'!$U$17,FALSE)=0,IF(VLOOKUP(MATCH(L49,epa_id,0),epa,'A1(epa)'!$AV$17,FALSE)=0,"",VLOOKUP(MATCH(L49,epa_id,0),epa,'A1(epa)'!$AV$17,FALSE))))</f>
        <v>Electrostatic Precipitator</v>
      </c>
      <c r="BX49" s="519">
        <f>+IF(L49="","",IF(2010-VLOOKUP(MATCH(L49,epa_id,0),epa,'A1(epa)'!$U$17,FALSE)=0,IF(VLOOKUP(MATCH(L49,epa_id,0),epa,'A1(epa)'!$AW$17,FALSE)=0,"",VLOOKUP(MATCH(L49,epa_id,0),epa,'A1(epa)'!$AW$17,FALSE))))</f>
        <v>2370</v>
      </c>
      <c r="BY49" s="5415"/>
      <c r="BZ49" s="519">
        <f t="shared" si="38"/>
        <v>1740.3514277569675</v>
      </c>
      <c r="CA49" s="5415"/>
      <c r="CB49" s="584">
        <f t="shared" si="39"/>
        <v>1084</v>
      </c>
      <c r="CC49" s="4379">
        <f t="shared" si="40"/>
        <v>141127</v>
      </c>
      <c r="CD49" s="515">
        <f t="shared" si="41"/>
        <v>1790536</v>
      </c>
      <c r="CE49" s="4387">
        <f t="shared" si="42"/>
        <v>189.3</v>
      </c>
      <c r="CF49" s="4390">
        <f t="shared" si="43"/>
        <v>0.18</v>
      </c>
      <c r="CG49" s="517">
        <f t="shared" si="44"/>
        <v>0.21144506449465411</v>
      </c>
      <c r="CH49" s="522">
        <f t="shared" si="45"/>
        <v>1.9506002259654439E-4</v>
      </c>
      <c r="CI49" s="520">
        <f t="shared" si="46"/>
        <v>293</v>
      </c>
      <c r="CJ49" s="4379">
        <f t="shared" si="47"/>
        <v>41047</v>
      </c>
      <c r="CK49" s="515">
        <f t="shared" si="48"/>
        <v>445004</v>
      </c>
      <c r="CL49" s="521">
        <f t="shared" si="49"/>
        <v>54.4</v>
      </c>
      <c r="CM49" s="4396">
        <f t="shared" si="50"/>
        <v>0.23</v>
      </c>
      <c r="CN49" s="517">
        <f t="shared" si="51"/>
        <v>0.24449218433991604</v>
      </c>
      <c r="CO49" s="522">
        <f t="shared" si="52"/>
        <v>8.3444431515329706E-4</v>
      </c>
      <c r="CP49" s="520">
        <f t="shared" si="53"/>
        <v>315</v>
      </c>
      <c r="CQ49" s="4379">
        <f t="shared" si="54"/>
        <v>32767</v>
      </c>
      <c r="CR49" s="515">
        <f t="shared" si="55"/>
        <v>495983</v>
      </c>
      <c r="CS49" s="521">
        <f t="shared" si="56"/>
        <v>83.7</v>
      </c>
      <c r="CT49" s="4396">
        <f t="shared" si="57"/>
        <v>0.28000000000000003</v>
      </c>
      <c r="CU49" s="517">
        <f t="shared" si="58"/>
        <v>0.33751156793680431</v>
      </c>
      <c r="CV49" s="523">
        <f t="shared" si="59"/>
        <v>1.071465295037474E-3</v>
      </c>
      <c r="CW49" s="605">
        <f t="shared" si="60"/>
        <v>2010</v>
      </c>
      <c r="CX49" s="606">
        <f t="shared" si="61"/>
        <v>1084</v>
      </c>
      <c r="CY49" s="5582">
        <f t="shared" si="62"/>
        <v>141127</v>
      </c>
      <c r="CZ49" s="608">
        <f t="shared" si="63"/>
        <v>1790536</v>
      </c>
      <c r="DA49" s="518">
        <f t="shared" si="64"/>
        <v>189.3</v>
      </c>
      <c r="DB49" s="607">
        <f t="shared" si="65"/>
        <v>0.18</v>
      </c>
      <c r="DC49" s="607">
        <f t="shared" si="66"/>
        <v>0.21099999999999999</v>
      </c>
      <c r="DD49" s="522">
        <f t="shared" si="67"/>
        <v>0.17463099630996312</v>
      </c>
      <c r="DE49" s="595">
        <f t="shared" si="31"/>
        <v>8.7315498154981555</v>
      </c>
      <c r="DF49" s="595"/>
      <c r="DG49" s="5356"/>
      <c r="DH49" s="5348"/>
      <c r="DI49" s="5348"/>
    </row>
    <row r="50" spans="1:113" s="479" customFormat="1" ht="25.5" customHeight="1">
      <c r="A50" s="5364" t="str">
        <f t="shared" si="13"/>
        <v>8306-03</v>
      </c>
      <c r="B50" s="9616" t="str">
        <f>+IF(A50="","",VLOOKUP(MATCH(A50,tid,0),tao,'12(id)'!$J$20,FALSE))</f>
        <v>NRG</v>
      </c>
      <c r="C50" s="5365" t="str">
        <f t="shared" si="32"/>
        <v>MD4 </v>
      </c>
      <c r="D50" s="5359"/>
      <c r="E50" s="5351"/>
      <c r="F50" s="5359"/>
      <c r="G50" s="4445">
        <f t="shared" si="17"/>
        <v>32</v>
      </c>
      <c r="H50" s="4399">
        <v>3</v>
      </c>
      <c r="I50" s="52">
        <f>+IF(L50="","",IF(VLOOKUP(MATCH(L50,tid,0),tao,'12(id)'!$H$20,FALSE)="","",VLOOKUP(MATCH(L50,tid,0),tao,'12(id)'!$H$20,FALSE)))</f>
        <v>18</v>
      </c>
      <c r="J50" s="9525"/>
      <c r="K50" s="9518">
        <f>+IF(L50="","",IF(VLOOKUP(MATCH(L50,tid,0),tao,'12(id)'!$K$20,FALSE)="","",VLOOKUP(MATCH(L50,tid,0),tao,'12(id)'!$K$20,FALSE)))</f>
        <v>8306</v>
      </c>
      <c r="L50" s="5154" t="s">
        <v>295</v>
      </c>
      <c r="M50" s="9527" t="str">
        <f>+IF(L50="","",IF(VLOOKUP(MATCH(L50,tid,0),tao,'12(id)'!$L$20,FALSE)="","",VLOOKUP(MATCH(L50,tid,0),tao,'12(id)'!$L$20,FALSE)))</f>
        <v>Middletown</v>
      </c>
      <c r="N50" s="52" t="str">
        <f>+IF(L50="","",IF(VLOOKUP(MATCH(L50,tid,0),tao,'12(id)'!$P$20,FALSE)="","",VLOOKUP(MATCH(L50,tid,0),tao,'12(id)'!$P$20,FALSE)))</f>
        <v>Middletown-4</v>
      </c>
      <c r="O50" s="543" t="str">
        <f>+IF(L50="","",IF(VLOOKUP(MATCH(L50,tid,0),tao,'12(id)'!$Q$20,FALSE)="","",VLOOKUP(MATCH(L50,tid,0),tao,'12(id)'!$Q$20,FALSE)))</f>
        <v>MD4 </v>
      </c>
      <c r="P50" s="7833">
        <f>+IF(L50="","",IF(VLOOKUP(MATCH(L50,tid,0),tao,'12(id)'!$CT$20,FALSE)="","",VLOOKUP(MATCH(L50,tid,0),tao,'12(id)'!$CT$20,FALSE)))</f>
        <v>400</v>
      </c>
      <c r="Q50" s="9583"/>
      <c r="R50" s="544" t="str">
        <f>+IF(L50="","",IF(VLOOKUP(MATCH(L50,tid,0),tao,'12(id)'!$T$20,FALSE)="","",VLOOKUP(MATCH(L50,tid,0),tao,'12(id)'!$T$20,FALSE)))</f>
        <v>Utility Boiler</v>
      </c>
      <c r="S50" s="545" t="str">
        <f>+IF(L50="","",IF(VLOOKUP(MATCH(L50,tid,0),tao,'12(id)'!$CO$20,FALSE)="","",VLOOKUP(MATCH(L50,tid,0),tao,'12(id)'!$CO$20,FALSE)))</f>
        <v>Combustion Engineering</v>
      </c>
      <c r="T50" s="544" t="str">
        <f>+IF(L50="","",IF(VLOOKUP(MATCH(L50,tid,0),tao,'12(id)'!$CP$20,FALSE)="","",VLOOKUP(MATCH(L50,tid,0),tao,'12(id)'!$CP$20,FALSE)))</f>
        <v>Tangential fired</v>
      </c>
      <c r="U50" s="7824" t="str">
        <f>+IF(L50="","",IF(VLOOKUP(MATCH(L50,tid,0),tao,'12(id)'!$DC$20,FALSE)="","",IF(VLOOKUP(MATCH(L50,tid,0),tao,'12(id)'!$DB$20,FALSE)="",VLOOKUP(MATCH(L50,tid,0),tao,'12(id)'!$DC$20,FALSE),VLOOKUP(MATCH(L50,tid,0),tao,'12(id)'!$DB$20,FALSE)&amp;" "&amp;VLOOKUP(MATCH(L50,tid,0),tao,'12(id)'!$DC$20,FALSE))))</f>
        <v/>
      </c>
      <c r="V50" s="135" t="str">
        <f>+IF(L50="","",IF(VLOOKUP(MATCH(L50,tid,0),tao,'12(id)'!$DE$20,FALSE)="","",ROUND(VLOOKUP(MATCH(L50,tid,0),tao,'12(id)'!$DE$20,FALSE),0)))</f>
        <v/>
      </c>
      <c r="W50" s="546" t="str">
        <f>+IF(L50="","",IF(VLOOKUP(G50,tao,'12(id)'!$FR$20,FALSE)="","",VLOOKUP(G50,tao,'12(id)'!$FR$20,FALSE)&amp;IF(VLOOKUP(G50,tao,'12(id)'!$FS$20,FALSE)="","",", "&amp;VLOOKUP(G50,tao,'12(id)'!$FS$20,FALSE))))</f>
        <v>None</v>
      </c>
      <c r="X50" s="546" t="str">
        <f>+IF(L50="","",IF(VLOOKUP(MATCH(L50,tid,0),tao,'12(id)'!$DI$20,FALSE)="","",VLOOKUP(MATCH(L50,tid,0),tao,'12(id)'!$DI$20,FALSE)))</f>
        <v>No. 6 oil</v>
      </c>
      <c r="Y50" s="546" t="str">
        <f>+IF(L50="","",IF(VLOOKUP(MATCH(L50,tid,0),tao,'12(id)'!$DQ$20,FALSE)="","",VLOOKUP(MATCH(L50,tid,0),tao,'12(id)'!$DQ$20,FALSE)))</f>
        <v>No. 2 oil</v>
      </c>
      <c r="Z50" s="4417">
        <f>+IF(L50="","",IF(VLOOKUP(MATCH(L50,tid,0),tao,'12(id)'!$EH$20,FALSE)="","",VLOOKUP(MATCH(L50,tid,0),tao,'12(id)'!$EH$20,FALSE)))</f>
        <v>4684</v>
      </c>
      <c r="AA50" s="4418" t="str">
        <f>+IF(L50="","",IF(VLOOKUP(MATCH(L50,tid,0),tao,'12(id)'!$EI$20,FALSE)="","",VLOOKUP(MATCH(L50,tid,0),tao,'12(id)'!$EI$20,FALSE)))</f>
        <v/>
      </c>
      <c r="AB50" s="4418" t="str">
        <f>+IF(L50="","",IF(VLOOKUP(MATCH(L50,tid,0),tao,'12(id)'!$EJ$20,FALSE)="","",VLOOKUP(MATCH(L50,tid,0),tao,'12(id)'!$EJ$20,FALSE)))</f>
        <v/>
      </c>
      <c r="AC50" s="4436">
        <f>+IF(L50="","",IF(VLOOKUP(MATCH(L50,tid,0),tao,'12(id)'!$EL$20,FALSE)="","",VLOOKUP(MATCH(L50,tid,0),tao,'12(id)'!$EL$20,FALSE)))</f>
        <v>0.28000000000000003</v>
      </c>
      <c r="AD50" s="4438" t="s">
        <v>1180</v>
      </c>
      <c r="AE50" s="4419">
        <f t="shared" si="68"/>
        <v>0.28000000000000003</v>
      </c>
      <c r="AF50" s="4420"/>
      <c r="AG50" s="562">
        <f>+IF(L50="","",IF(VLOOKUP(MATCH(L50,tid,0),tao,'12(id)'!$GY$20,FALSE)="","",VLOOKUP(MATCH(L50,tid,0),tao,'12(id)'!$GY$20,FALSE)))</f>
        <v>243.6</v>
      </c>
      <c r="AH50" s="563">
        <f>+IF(L50="","",IF(VLOOKUP(MATCH(L50,tid,0),tao,'12(id)'!$HL$20,FALSE)="","",VLOOKUP(MATCH(L50,tid,0),tao,'12(id)'!$HL$20,FALSE)))</f>
        <v>78.09</v>
      </c>
      <c r="AI50" s="7854">
        <f>+IF(L50="","",IF(2010-VLOOKUP(MATCH(L50,epa_id,0),epa,'A1(epa)'!$U$17,FALSE)=0,IF(VLOOKUP(MATCH(L50,epa_id,0),epa,'A1(epa)'!$U$17,FALSE)=0,"",VLOOKUP(MATCH(L50,epa_id,0),epa,'A1(epa)'!$U$17,FALSE))))</f>
        <v>2010</v>
      </c>
      <c r="AJ50" s="608">
        <f>+IF(L50="","",IF(2010-VLOOKUP(MATCH(L50,epa_id,0),epa,'A1(epa)'!$U$17,FALSE)=0,IF(VLOOKUP(MATCH(L50,epa_id,0),epa,'A1(epa)'!$W$17,FALSE)=0,"",VLOOKUP(MATCH(L50,epa_id,0),epa,'A1(epa)'!$W$17,FALSE))))</f>
        <v>461</v>
      </c>
      <c r="AK50" s="515">
        <f>+IF(L50="","",IF(2010-VLOOKUP(MATCH(L50,epa_id,0),epa,'A1(epa)'!$U$17,FALSE)=0,IF(VLOOKUP(MATCH(L50,epa_id,0),epa,'A1(epa)'!$X$17,FALSE)=0,"",VLOOKUP(MATCH(L50,epa_id,0),epa,'A1(epa)'!$X$17,FALSE))))</f>
        <v>5</v>
      </c>
      <c r="AL50" s="608">
        <f>+IF(L50="","",IF(2010-VLOOKUP(MATCH(L50,epa_id,0),epa,'A1(epa)'!$U$17,FALSE)=0,IF(VLOOKUP(MATCH(L50,epa_id,0),epa,'A1(epa)'!$Y$17,FALSE)=0,"",VLOOKUP(MATCH(L50,epa_id,0),epa,'A1(epa)'!$Y$17,FALSE))))</f>
        <v>55670</v>
      </c>
      <c r="AM50" s="5791">
        <f>+IF(L50="","",IF(2010-VLOOKUP(MATCH(L50,epa_id,0),epa,'A1(epa)'!$U$17,FALSE)=0,IF(VLOOKUP(MATCH(L50,epa_id,0),epa,'A1(epa)'!$AA$17,FALSE)=0,"",VLOOKUP(MATCH(L50,epa_id,0),epa,'A1(epa)'!$AA$17,FALSE))))</f>
        <v>0.16</v>
      </c>
      <c r="AN50" s="5792">
        <f>+IF(L50="","",IF(2010-VLOOKUP(MATCH(L50,epa_id,0),epa,'A1(epa)'!$U$17,FALSE)=0,IF(VLOOKUP(MATCH(L50,epa_id,0),epa,'A1(epa)'!$AB$17,FALSE)=0,"",VLOOKUP(MATCH(L50,epa_id,0),epa,'A1(epa)'!$AB$17,FALSE))))</f>
        <v>80.5</v>
      </c>
      <c r="AO50" s="5793">
        <f t="shared" si="33"/>
        <v>0.16</v>
      </c>
      <c r="AP50" s="5794">
        <f t="shared" si="5"/>
        <v>80.5</v>
      </c>
      <c r="AQ50" s="5795">
        <f t="shared" si="34"/>
        <v>1446.0211963355487</v>
      </c>
      <c r="AR50" s="608">
        <f>+IF(L50="","",IF(2010-VLOOKUP(MATCH(L50,epa_id,0),epa,'A1(epa)'!$U$17,FALSE)=0,IF(VLOOKUP(MATCH(L50,epa_id,0),epa,'A1(epa)'!$AC$17,FALSE)=0,"",VLOOKUP(MATCH(L50,epa_id,0),epa,'A1(epa)'!$AC$17,FALSE))))</f>
        <v>880454</v>
      </c>
      <c r="AS50" s="52" t="str">
        <f>+IF(L50="","",IF(2010-VLOOKUP(MATCH(L50,epa_id,0),epa,'A1(epa)'!$U$17,FALSE)=0,IF(VLOOKUP(MATCH(L50,epa_id,0),epa,'A1(epa)'!$AP$17,FALSE)=0,"",VLOOKUP(MATCH(L50,epa_id,0),epa,'A1(epa)'!$AP$17,FALSE))))</f>
        <v>Residual Oil</v>
      </c>
      <c r="AT50" s="5619" t="str">
        <f>+IF(L50="","",IF(2010-VLOOKUP(MATCH(L50,epa_id,0),epa,'A1(epa)'!$U$17,FALSE)=0,IF(VLOOKUP(MATCH(L50,epa_id,0),epa,'A1(epa)'!$AQ$17,FALSE)=0,"",VLOOKUP(MATCH(L50,epa_id,0),epa,'A1(epa)'!$AQ$17,FALSE))))</f>
        <v/>
      </c>
      <c r="AU50" s="7854">
        <f>+IF(L50="","",IF(2009-VLOOKUP(MATCH(L50,epa_id,0)+1,epa,'A1(epa)'!$U$17,FALSE)=0,IF(VLOOKUP(MATCH(L50,epa_id,0)+1,epa,'A1(epa)'!$U$17,FALSE)=0,"",VLOOKUP(MATCH(L50,epa_id,0)+1,epa,'A1(epa)'!$U$17,FALSE))))</f>
        <v>2009</v>
      </c>
      <c r="AV50" s="7832">
        <f>+IF(L50="","",IF(2009-VLOOKUP(MATCH(L50,epa_id,0)+1,epa,'A1(epa)'!$U$17,FALSE)=0,IF(VLOOKUP(MATCH(L50,epa_id,0)+1,epa,'A1(epa)'!$W$17,FALSE)=0,"",VLOOKUP(MATCH(L50,epa_id,0)+1,epa,'A1(epa)'!$W$17,FALSE))))</f>
        <v>74</v>
      </c>
      <c r="AW50" s="5154">
        <f>+IF(L50="","",IF(2009-VLOOKUP(MATCH(L50,epa_id,0)+1,epa,'A1(epa)'!$U$17,FALSE)=0,IF(VLOOKUP(MATCH(L50,epa_id,0)+1,epa,'A1(epa)'!$X$17,FALSE)=0,"",VLOOKUP(MATCH(L50,epa_id,0)+1,epa,'A1(epa)'!$X$17,FALSE))))</f>
        <v>5</v>
      </c>
      <c r="AX50" s="608">
        <f>+IF(L50="","",IF(2009-VLOOKUP(MATCH(L50,epa_id,0)+1,epa,'A1(epa)'!$U$17,FALSE)=0,IF(VLOOKUP(MATCH(L50,epa_id,0)+1,epa,'A1(epa)'!$Y$17,FALSE)=0,"",VLOOKUP(MATCH(L50,epa_id,0)+1,epa,'A1(epa)'!$Y$17,FALSE))))</f>
        <v>10926</v>
      </c>
      <c r="AY50" s="607">
        <f>+IF(L50="","",IF(2009-VLOOKUP(MATCH(L50,epa_id,0)+1,epa,'A1(epa)'!$U$17,FALSE)=0,IF(VLOOKUP(MATCH(L50,epa_id,0)+1,epa,'A1(epa)'!$AA$17,FALSE)=0,"",VLOOKUP(MATCH(L50,epa_id,0)+1,epa,'A1(epa)'!$AA$17,FALSE))))</f>
        <v>0.16</v>
      </c>
      <c r="AZ50" s="1968">
        <f>+IF(L50="","",IF(2009-VLOOKUP(MATCH(L50,epa_id,0)+1,epa,'A1(epa)'!$U$17,FALSE)=0,IF(VLOOKUP(MATCH(L50,epa_id,0)+1,epa,'A1(epa)'!$AB$17,FALSE)=0,"",VLOOKUP(MATCH(L50,epa_id,0)+1,epa,'A1(epa)'!$AB$17,FALSE))))</f>
        <v>16.8</v>
      </c>
      <c r="BA50" s="5682">
        <f t="shared" si="35"/>
        <v>0.16</v>
      </c>
      <c r="BB50" s="5683">
        <f t="shared" si="36"/>
        <v>16.8</v>
      </c>
      <c r="BC50" s="5392">
        <f t="shared" si="37"/>
        <v>1537.6166941241077</v>
      </c>
      <c r="BD50" s="608">
        <f>+IF(L50="","",IF(2009-VLOOKUP(MATCH(L50,epa_id,0)+1,epa,'A1(epa)'!$U$17,FALSE)=0,IF(VLOOKUP(MATCH(L50,epa_id,0)+1,epa,'A1(epa)'!$AC$17,FALSE)=0,"",VLOOKUP(MATCH(L50,epa_id,0)+1,epa,'A1(epa)'!$AC$17,FALSE))))</f>
        <v>173766</v>
      </c>
      <c r="BE50" s="5154" t="str">
        <f>+IF(L50="","",IF(2009-VLOOKUP(MATCH(L50,epa_id,0)+1,epa,'A1(epa)'!$U$17,FALSE)=0,IF(VLOOKUP(MATCH(L50,epa_id,0)+1,epa,'A1(epa)'!$AP$17,FALSE)=0,"",VLOOKUP(MATCH(L50,epa_id,0)+1,epa,'A1(epa)'!$AP$17,FALSE))))</f>
        <v>Residual Oil</v>
      </c>
      <c r="BF50" s="516" t="str">
        <f>+IF(L50="","",IF(2009-VLOOKUP(MATCH(L50,epa_id,0)+1,epa,'A1(epa)'!$U$17,FALSE)=0,IF(VLOOKUP(MATCH(L50,epa_id,0)+1,epa,'A1(epa)'!$AQ$17,FALSE)=0,"",VLOOKUP(MATCH(L50,epa_id,0)+1,epa,'A1(epa)'!$AQ$17,FALSE))))</f>
        <v/>
      </c>
      <c r="BG50" s="127">
        <f>+IF(L50="","",IF(2008-VLOOKUP(MATCH(L50,epa_id,0)+2,epa,'A1(epa)'!$U$17,FALSE)=0,IF(VLOOKUP(MATCH(L50,epa_id,0)+2,epa,'A1(epa)'!$U$17,FALSE)=0,"",VLOOKUP(MATCH(L50,epa_id,0)+2,epa,'A1(epa)'!$U$17,FALSE))))</f>
        <v>2008</v>
      </c>
      <c r="BH50" s="5154">
        <f>+IF(L50="","",IF(2008-VLOOKUP(MATCH(L50,epa_id,0)+2,epa,'A1(epa)'!$U$17,FALSE)=0,IF(VLOOKUP(MATCH(L50,epa_id,0)+2,epa,'A1(epa)'!$W$17,FALSE)=0,"",VLOOKUP(MATCH(L50,epa_id,0)+2,epa,'A1(epa)'!$W$17,FALSE))))</f>
        <v>131</v>
      </c>
      <c r="BI50" s="5154">
        <f>+IF(L50="","",IF(2008-VLOOKUP(MATCH(L50,epa_id,0)+2,epa,'A1(epa)'!$U$17,FALSE)=0,IF(VLOOKUP(MATCH(L50,epa_id,0)+2,epa,'A1(epa)'!$X$17,FALSE)=0,"",VLOOKUP(MATCH(L50,epa_id,0)+2,epa,'A1(epa)'!$X$17,FALSE))))</f>
        <v>5</v>
      </c>
      <c r="BJ50" s="608">
        <f>+IF(L50="","",IF(2008-VLOOKUP(MATCH(L50,epa_id,0)+2,epa,'A1(epa)'!$U$17,FALSE)=0,IF(VLOOKUP(MATCH(L50,epa_id,0)+2,epa,'A1(epa)'!$Y$17,FALSE)=0,"",VLOOKUP(MATCH(L50,epa_id,0)+2,epa,'A1(epa)'!$Y$17,FALSE))))</f>
        <v>15578</v>
      </c>
      <c r="BK50" s="607">
        <f>+IF(L50="","",IF(2008-VLOOKUP(MATCH(L50,epa_id,0)+2,epa,'A1(epa)'!$U$17,FALSE)=0,IF(VLOOKUP(MATCH(L50,epa_id,0)+2,epa,'A1(epa)'!$AA$17,FALSE)=0,"",VLOOKUP(MATCH(L50,epa_id,0)+2,epa,'A1(epa)'!$AA$17,FALSE))))</f>
        <v>0.16</v>
      </c>
      <c r="BL50" s="1968">
        <f>+IF(L50="","",IF(2008-VLOOKUP(MATCH(L50,epa_id,0)+2,epa,'A1(epa)'!$U$17,FALSE)=0,IF(VLOOKUP(MATCH(L50,epa_id,0)+2,epa,'A1(epa)'!$AB$17,FALSE)=0,"",VLOOKUP(MATCH(L50,epa_id,0)+2,epa,'A1(epa)'!$AB$17,FALSE))))</f>
        <v>21</v>
      </c>
      <c r="BM50" s="5728">
        <f t="shared" si="16"/>
        <v>0.16</v>
      </c>
      <c r="BN50" s="5729">
        <f t="shared" si="9"/>
        <v>21</v>
      </c>
      <c r="BO50" s="5730">
        <f t="shared" si="10"/>
        <v>1348.0549492874566</v>
      </c>
      <c r="BP50" s="5635">
        <f>+IF(L50="","",IF(2008-VLOOKUP(MATCH(L50,epa_id,0)+2,epa,'A1(epa)'!$U$17,FALSE)=0,IF(VLOOKUP(MATCH(L50,epa_id,0)+2,epa,'A1(epa)'!$AC$17,FALSE)=0,"",VLOOKUP(MATCH(L50,epa_id,0)+2,epa,'A1(epa)'!$AC$17,FALSE))))</f>
        <v>224548</v>
      </c>
      <c r="BQ50" s="4708" t="str">
        <f>+IF(L50="","",IF(2008-VLOOKUP(MATCH(L50,epa_id,0)+2,epa,'A1(epa)'!$U$17,FALSE)=0,IF(VLOOKUP(MATCH(L50,epa_id,0)+2,epa,'A1(epa)'!$AP$17,FALSE)=0,"",VLOOKUP(MATCH(L50,epa_id,0)+2,epa,'A1(epa)'!$AP$17,FALSE))))</f>
        <v>Residual Oil</v>
      </c>
      <c r="BR50" s="5619" t="str">
        <f>+IF(L50="","",IF(2008-VLOOKUP(MATCH(L50,epa_id,0)+2,epa,'A1(epa)'!$U$17,FALSE)=0,IF(VLOOKUP(MATCH(L50,epa_id,0)+2,epa,'A1(epa)'!$AQ$17,FALSE)=0,"",VLOOKUP(MATCH(L50,epa_id,0)+2,epa,'A1(epa)'!$AQ$17,FALSE))))</f>
        <v/>
      </c>
      <c r="BS50" s="5606" t="str">
        <f>+IF(L50="","",IF(2010-VLOOKUP(MATCH(L50,epa_id,0),epa,'A1(epa)'!$U$17,FALSE)=0,IF(VLOOKUP(MATCH(L50,epa_id,0),epa,'A1(epa)'!$AS$17,FALSE)=0,"",VLOOKUP(MATCH(L50,epa_id,0),epa,'A1(epa)'!$AS$17,FALSE))))</f>
        <v/>
      </c>
      <c r="BT50" s="52" t="str">
        <f>+IF(L50="","",IF(2010-VLOOKUP(MATCH(L50,epa_id,0),epa,'A1(epa)'!$U$17,FALSE)=0,IF(VLOOKUP(MATCH(L50,epa_id,0),epa,'A1(epa)'!$AT$17,FALSE)=0,"",VLOOKUP(MATCH(L50,epa_id,0),epa,'A1(epa)'!$AT$17,FALSE))))</f>
        <v/>
      </c>
      <c r="BU50" s="52" t="str">
        <f>+IF(L50="","",IF(2010-VLOOKUP(MATCH(L50,epa_id,0),epa,'A1(epa)'!$U$17,FALSE)=0,IF(VLOOKUP(MATCH(L50,epa_id,0),epa,'A1(epa)'!$AU$17,FALSE)=0,"",VLOOKUP(MATCH(L50,epa_id,0),epa,'A1(epa)'!$AU$17,FALSE))))</f>
        <v/>
      </c>
      <c r="BV50" s="52" t="str">
        <f>+IF(L50="","",IF(2010-VLOOKUP(MATCH(L50,epa_id,0),epa,'A1(epa)'!$U$17,FALSE)=0,IF(VLOOKUP(MATCH(L50,epa_id,0),epa,'A1(epa)'!$AR$17,FALSE)=0,"",VLOOKUP(MATCH(L50,epa_id,0),epa,'A1(epa)'!$AR$17,FALSE))))</f>
        <v/>
      </c>
      <c r="BW50" s="5592" t="str">
        <f>+IF(L50="","",IF(2010-VLOOKUP(MATCH(L50,epa_id,0),epa,'A1(epa)'!$U$17,FALSE)=0,IF(VLOOKUP(MATCH(L50,epa_id,0),epa,'A1(epa)'!$AV$17,FALSE)=0,"",VLOOKUP(MATCH(L50,epa_id,0),epa,'A1(epa)'!$AV$17,FALSE))))</f>
        <v/>
      </c>
      <c r="BX50" s="519">
        <f>+IF(L50="","",IF(2010-VLOOKUP(MATCH(L50,epa_id,0),epa,'A1(epa)'!$U$17,FALSE)=0,IF(VLOOKUP(MATCH(L50,epa_id,0),epa,'A1(epa)'!$AW$17,FALSE)=0,"",VLOOKUP(MATCH(L50,epa_id,0),epa,'A1(epa)'!$AW$17,FALSE))))</f>
        <v>4684</v>
      </c>
      <c r="BY50" s="5415"/>
      <c r="BZ50" s="519">
        <f t="shared" si="38"/>
        <v>1443.8976132490377</v>
      </c>
      <c r="CA50" s="5415"/>
      <c r="CB50" s="584">
        <f t="shared" si="39"/>
        <v>461</v>
      </c>
      <c r="CC50" s="4379">
        <f t="shared" si="40"/>
        <v>55670</v>
      </c>
      <c r="CD50" s="515">
        <f t="shared" si="41"/>
        <v>880454</v>
      </c>
      <c r="CE50" s="4387">
        <f t="shared" si="42"/>
        <v>80.5</v>
      </c>
      <c r="CF50" s="4390">
        <f t="shared" si="43"/>
        <v>0.16</v>
      </c>
      <c r="CG50" s="517">
        <f t="shared" si="44"/>
        <v>0.18286020621179527</v>
      </c>
      <c r="CH50" s="522">
        <f t="shared" si="45"/>
        <v>3.9665988332276633E-4</v>
      </c>
      <c r="CI50" s="520">
        <f t="shared" si="46"/>
        <v>74</v>
      </c>
      <c r="CJ50" s="4379">
        <f t="shared" si="47"/>
        <v>10926</v>
      </c>
      <c r="CK50" s="515">
        <f t="shared" si="48"/>
        <v>173766</v>
      </c>
      <c r="CL50" s="521">
        <f t="shared" si="49"/>
        <v>16.8</v>
      </c>
      <c r="CM50" s="4396">
        <f t="shared" si="50"/>
        <v>0.16</v>
      </c>
      <c r="CN50" s="517">
        <f t="shared" si="51"/>
        <v>0.19336348882980561</v>
      </c>
      <c r="CO50" s="522">
        <f t="shared" si="52"/>
        <v>2.6130201193216977E-3</v>
      </c>
      <c r="CP50" s="520">
        <f t="shared" si="53"/>
        <v>131</v>
      </c>
      <c r="CQ50" s="4379">
        <f t="shared" si="54"/>
        <v>15578</v>
      </c>
      <c r="CR50" s="515">
        <f t="shared" si="55"/>
        <v>224548</v>
      </c>
      <c r="CS50" s="521">
        <f t="shared" si="56"/>
        <v>21</v>
      </c>
      <c r="CT50" s="4396">
        <f t="shared" si="57"/>
        <v>0.16</v>
      </c>
      <c r="CU50" s="517">
        <f t="shared" si="58"/>
        <v>0.18704241409409122</v>
      </c>
      <c r="CV50" s="523">
        <f t="shared" si="59"/>
        <v>1.4278046877411544E-3</v>
      </c>
      <c r="CW50" s="605">
        <f t="shared" si="60"/>
        <v>2010</v>
      </c>
      <c r="CX50" s="606">
        <f t="shared" si="61"/>
        <v>461</v>
      </c>
      <c r="CY50" s="5582">
        <f t="shared" si="62"/>
        <v>55670</v>
      </c>
      <c r="CZ50" s="608">
        <f t="shared" si="63"/>
        <v>880454</v>
      </c>
      <c r="DA50" s="518">
        <f t="shared" si="64"/>
        <v>80.5</v>
      </c>
      <c r="DB50" s="607">
        <f t="shared" si="65"/>
        <v>0.16</v>
      </c>
      <c r="DC50" s="607">
        <f t="shared" si="66"/>
        <v>0.183</v>
      </c>
      <c r="DD50" s="522">
        <f t="shared" si="67"/>
        <v>0.17462039045553146</v>
      </c>
      <c r="DE50" s="595">
        <f t="shared" si="31"/>
        <v>8.7310195227765739</v>
      </c>
      <c r="DF50" s="595"/>
      <c r="DG50" s="5356"/>
      <c r="DH50" s="5348"/>
      <c r="DI50" s="5348"/>
    </row>
    <row r="51" spans="1:113" s="479" customFormat="1" ht="25.5" customHeight="1">
      <c r="A51" s="5364" t="str">
        <f t="shared" si="13"/>
        <v>8306-04</v>
      </c>
      <c r="B51" s="9617" t="str">
        <f>+IF(A51="","",VLOOKUP(MATCH(A51,tid,0),tao,'12(id)'!$J$20,FALSE))</f>
        <v>NRG</v>
      </c>
      <c r="C51" s="5365" t="str">
        <f t="shared" si="32"/>
        <v>MV5 </v>
      </c>
      <c r="D51" s="5359"/>
      <c r="E51" s="5351"/>
      <c r="F51" s="5359"/>
      <c r="G51" s="4445">
        <f t="shared" si="17"/>
        <v>33</v>
      </c>
      <c r="H51" s="4399">
        <v>4</v>
      </c>
      <c r="I51" s="52">
        <f>+IF(L51="","",IF(VLOOKUP(MATCH(L51,tid,0),tao,'12(id)'!$H$20,FALSE)="","",VLOOKUP(MATCH(L51,tid,0),tao,'12(id)'!$H$20,FALSE)))</f>
        <v>19</v>
      </c>
      <c r="J51" s="9525"/>
      <c r="K51" s="9518">
        <f>+IF(L51="","",IF(VLOOKUP(MATCH(L51,tid,0),tao,'12(id)'!$K$20,FALSE)="","",VLOOKUP(MATCH(L51,tid,0),tao,'12(id)'!$K$20,FALSE)))</f>
        <v>8306</v>
      </c>
      <c r="L51" s="5154" t="s">
        <v>296</v>
      </c>
      <c r="M51" s="9522" t="str">
        <f>+IF(L51="","",IF(VLOOKUP(MATCH(L51,tid,0),tao,'12(id)'!$L$20,FALSE)="","",VLOOKUP(MATCH(L51,tid,0),tao,'12(id)'!$L$20,FALSE)))</f>
        <v>Montville</v>
      </c>
      <c r="N51" s="52" t="str">
        <f>+IF(L51="","",IF(VLOOKUP(MATCH(L51,tid,0),tao,'12(id)'!$P$20,FALSE)="","",VLOOKUP(MATCH(L51,tid,0),tao,'12(id)'!$P$20,FALSE)))</f>
        <v>Montville-5</v>
      </c>
      <c r="O51" s="4385" t="str">
        <f>+IF(L51="","",IF(VLOOKUP(MATCH(L51,tid,0),tao,'12(id)'!$Q$20,FALSE)="","",VLOOKUP(MATCH(L51,tid,0),tao,'12(id)'!$Q$20,FALSE)))</f>
        <v>MV5 </v>
      </c>
      <c r="P51" s="7833">
        <f>+IF(L51="","",IF(VLOOKUP(MATCH(L51,tid,0),tao,'12(id)'!$CT$20,FALSE)="","",VLOOKUP(MATCH(L51,tid,0),tao,'12(id)'!$CT$20,FALSE)))</f>
        <v>81</v>
      </c>
      <c r="Q51" s="9528">
        <f>+SUM(P51:P52)+SUM(P46:P47)</f>
        <v>488.5</v>
      </c>
      <c r="R51" s="7899" t="str">
        <f>+IF(L51="","",IF(VLOOKUP(MATCH(L51,tid,0),tao,'12(id)'!$T$20,FALSE)="","",VLOOKUP(MATCH(L51,tid,0),tao,'12(id)'!$T$20,FALSE)))</f>
        <v>Utility Boiler</v>
      </c>
      <c r="S51" s="417" t="str">
        <f>+IF(L51="","",IF(VLOOKUP(MATCH(L51,tid,0),tao,'12(id)'!$CO$20,FALSE)="","",VLOOKUP(MATCH(L51,tid,0),tao,'12(id)'!$CO$20,FALSE)))</f>
        <v>Combustion Engineering</v>
      </c>
      <c r="T51" s="7899" t="str">
        <f>+IF(L51="","",IF(VLOOKUP(MATCH(L51,tid,0),tao,'12(id)'!$CP$20,FALSE)="","",VLOOKUP(MATCH(L51,tid,0),tao,'12(id)'!$CP$20,FALSE)))</f>
        <v>Tangential fired</v>
      </c>
      <c r="U51" s="7832" t="str">
        <f>+IF(L51="","",IF(VLOOKUP(MATCH(L51,tid,0),tao,'12(id)'!$DC$20,FALSE)="","",IF(VLOOKUP(MATCH(L51,tid,0),tao,'12(id)'!$DB$20,FALSE)="",VLOOKUP(MATCH(L51,tid,0),tao,'12(id)'!$DC$20,FALSE),VLOOKUP(MATCH(L51,tid,0),tao,'12(id)'!$DB$20,FALSE)&amp;" "&amp;VLOOKUP(MATCH(L51,tid,0),tao,'12(id)'!$DC$20,FALSE))))</f>
        <v/>
      </c>
      <c r="V51" s="135" t="str">
        <f>+IF(L51="","",IF(VLOOKUP(MATCH(L51,tid,0),tao,'12(id)'!$DE$20,FALSE)="","",ROUND(VLOOKUP(MATCH(L51,tid,0),tao,'12(id)'!$DE$20,FALSE),0)))</f>
        <v/>
      </c>
      <c r="W51" s="52" t="str">
        <f>+IF(L51="","",IF(VLOOKUP(G51,tao,'12(id)'!$FR$20,FALSE)="","",VLOOKUP(G51,tao,'12(id)'!$FR$20,FALSE)&amp;IF(VLOOKUP(G51,tao,'12(id)'!$FS$20,FALSE)="","",", "&amp;VLOOKUP(G51,tao,'12(id)'!$FS$20,FALSE))))</f>
        <v>None</v>
      </c>
      <c r="X51" s="52" t="str">
        <f>+IF(L51="","",IF(VLOOKUP(MATCH(L51,tid,0),tao,'12(id)'!$DI$20,FALSE)="","",VLOOKUP(MATCH(L51,tid,0),tao,'12(id)'!$DI$20,FALSE)))</f>
        <v>No. 6 oil</v>
      </c>
      <c r="Y51" s="52" t="str">
        <f>+IF(L51="","",IF(VLOOKUP(MATCH(L51,tid,0),tao,'12(id)'!$DQ$20,FALSE)="","",VLOOKUP(MATCH(L51,tid,0),tao,'12(id)'!$DQ$20,FALSE)))</f>
        <v>Nat. Gas</v>
      </c>
      <c r="Z51" s="4417">
        <f>+IF(L51="","",IF(VLOOKUP(MATCH(L51,tid,0),tao,'12(id)'!$EH$20,FALSE)="","",VLOOKUP(MATCH(L51,tid,0),tao,'12(id)'!$EH$20,FALSE)))</f>
        <v>995</v>
      </c>
      <c r="AA51" s="4418" t="str">
        <f>+IF(L51="","",IF(VLOOKUP(MATCH(L51,tid,0),tao,'12(id)'!$EI$20,FALSE)="","",VLOOKUP(MATCH(L51,tid,0),tao,'12(id)'!$EI$20,FALSE)))</f>
        <v/>
      </c>
      <c r="AB51" s="4418" t="str">
        <f>+IF(L51="","",IF(VLOOKUP(MATCH(L51,tid,0),tao,'12(id)'!$EJ$20,FALSE)="","",VLOOKUP(MATCH(L51,tid,0),tao,'12(id)'!$EJ$20,FALSE)))</f>
        <v/>
      </c>
      <c r="AC51" s="4436">
        <f>+IF(L51="","",IF(VLOOKUP(MATCH(L51,tid,0),tao,'12(id)'!$EL$20,FALSE)="","",VLOOKUP(MATCH(L51,tid,0),tao,'12(id)'!$EL$20,FALSE)))</f>
        <v>0.23</v>
      </c>
      <c r="AD51" s="4438" t="s">
        <v>1180</v>
      </c>
      <c r="AE51" s="4419">
        <f t="shared" si="68"/>
        <v>0.23</v>
      </c>
      <c r="AF51" s="4420"/>
      <c r="AG51" s="562">
        <f>+IF(L51="","",IF(VLOOKUP(MATCH(L51,tid,0),tao,'12(id)'!$GY$20,FALSE)="","",VLOOKUP(MATCH(L51,tid,0),tao,'12(id)'!$GY$20,FALSE)))</f>
        <v>573.9</v>
      </c>
      <c r="AH51" s="563">
        <f>+IF(L51="","",IF(VLOOKUP(MATCH(L51,tid,0),tao,'12(id)'!$HL$20,FALSE)="","",VLOOKUP(MATCH(L51,tid,0),tao,'12(id)'!$HL$20,FALSE)))</f>
        <v>40.56</v>
      </c>
      <c r="AI51" s="7854">
        <f>+IF(L51="","",IF(2010-VLOOKUP(MATCH(L51,epa_id,0),epa,'A1(epa)'!$U$17,FALSE)=0,IF(VLOOKUP(MATCH(L51,epa_id,0),epa,'A1(epa)'!$U$17,FALSE)=0,"",VLOOKUP(MATCH(L51,epa_id,0),epa,'A1(epa)'!$U$17,FALSE))))</f>
        <v>2010</v>
      </c>
      <c r="AJ51" s="608">
        <f>+IF(L51="","",IF(2010-VLOOKUP(MATCH(L51,epa_id,0),epa,'A1(epa)'!$U$17,FALSE)=0,IF(VLOOKUP(MATCH(L51,epa_id,0),epa,'A1(epa)'!$W$17,FALSE)=0,"",VLOOKUP(MATCH(L51,epa_id,0),epa,'A1(epa)'!$W$17,FALSE))))</f>
        <v>932</v>
      </c>
      <c r="AK51" s="515">
        <f>+IF(L51="","",IF(2010-VLOOKUP(MATCH(L51,epa_id,0),epa,'A1(epa)'!$U$17,FALSE)=0,IF(VLOOKUP(MATCH(L51,epa_id,0),epa,'A1(epa)'!$X$17,FALSE)=0,"",VLOOKUP(MATCH(L51,epa_id,0),epa,'A1(epa)'!$X$17,FALSE))))</f>
        <v>5</v>
      </c>
      <c r="AL51" s="608">
        <f>+IF(L51="","",IF(2010-VLOOKUP(MATCH(L51,epa_id,0),epa,'A1(epa)'!$U$17,FALSE)=0,IF(VLOOKUP(MATCH(L51,epa_id,0),epa,'A1(epa)'!$Y$17,FALSE)=0,"",VLOOKUP(MATCH(L51,epa_id,0),epa,'A1(epa)'!$Y$17,FALSE))))</f>
        <v>45896</v>
      </c>
      <c r="AM51" s="5791">
        <f>+IF(L51="","",IF(2010-VLOOKUP(MATCH(L51,epa_id,0),epa,'A1(epa)'!$U$17,FALSE)=0,IF(VLOOKUP(MATCH(L51,epa_id,0),epa,'A1(epa)'!$AA$17,FALSE)=0,"",VLOOKUP(MATCH(L51,epa_id,0),epa,'A1(epa)'!$AA$17,FALSE))))</f>
        <v>0.09</v>
      </c>
      <c r="AN51" s="5792">
        <f>+IF(L51="","",IF(2010-VLOOKUP(MATCH(L51,epa_id,0),epa,'A1(epa)'!$U$17,FALSE)=0,IF(VLOOKUP(MATCH(L51,epa_id,0),epa,'A1(epa)'!$AB$17,FALSE)=0,"",VLOOKUP(MATCH(L51,epa_id,0),epa,'A1(epa)'!$AB$17,FALSE))))</f>
        <v>27.4</v>
      </c>
      <c r="AO51" s="5793">
        <f t="shared" si="33"/>
        <v>0.09</v>
      </c>
      <c r="AP51" s="5794">
        <f t="shared" si="5"/>
        <v>27.4</v>
      </c>
      <c r="AQ51" s="5795">
        <f t="shared" si="34"/>
        <v>597.00191737842079</v>
      </c>
      <c r="AR51" s="608">
        <f>+IF(L51="","",IF(2010-VLOOKUP(MATCH(L51,epa_id,0),epa,'A1(epa)'!$U$17,FALSE)=0,IF(VLOOKUP(MATCH(L51,epa_id,0),epa,'A1(epa)'!$AC$17,FALSE)=0,"",VLOOKUP(MATCH(L51,epa_id,0),epa,'A1(epa)'!$AC$17,FALSE))))</f>
        <v>567960</v>
      </c>
      <c r="AS51" s="52" t="str">
        <f>+IF(L51="","",IF(2010-VLOOKUP(MATCH(L51,epa_id,0),epa,'A1(epa)'!$U$17,FALSE)=0,IF(VLOOKUP(MATCH(L51,epa_id,0),epa,'A1(epa)'!$AP$17,FALSE)=0,"",VLOOKUP(MATCH(L51,epa_id,0),epa,'A1(epa)'!$AP$17,FALSE))))</f>
        <v>Residual Oil</v>
      </c>
      <c r="AT51" s="5619" t="str">
        <f>+IF(L51="","",IF(2010-VLOOKUP(MATCH(L51,epa_id,0),epa,'A1(epa)'!$U$17,FALSE)=0,IF(VLOOKUP(MATCH(L51,epa_id,0),epa,'A1(epa)'!$AQ$17,FALSE)=0,"",VLOOKUP(MATCH(L51,epa_id,0),epa,'A1(epa)'!$AQ$17,FALSE))))</f>
        <v>Pipeline Natural Gas</v>
      </c>
      <c r="AU51" s="7854">
        <f>+IF(L51="","",IF(2009-VLOOKUP(MATCH(L51,epa_id,0)+1,epa,'A1(epa)'!$U$17,FALSE)=0,IF(VLOOKUP(MATCH(L51,epa_id,0)+1,epa,'A1(epa)'!$U$17,FALSE)=0,"",VLOOKUP(MATCH(L51,epa_id,0)+1,epa,'A1(epa)'!$U$17,FALSE))))</f>
        <v>2009</v>
      </c>
      <c r="AV51" s="7832">
        <f>+IF(L51="","",IF(2009-VLOOKUP(MATCH(L51,epa_id,0)+1,epa,'A1(epa)'!$U$17,FALSE)=0,IF(VLOOKUP(MATCH(L51,epa_id,0)+1,epa,'A1(epa)'!$W$17,FALSE)=0,"",VLOOKUP(MATCH(L51,epa_id,0)+1,epa,'A1(epa)'!$W$17,FALSE))))</f>
        <v>112</v>
      </c>
      <c r="AW51" s="5154">
        <f>+IF(L51="","",IF(2009-VLOOKUP(MATCH(L51,epa_id,0)+1,epa,'A1(epa)'!$U$17,FALSE)=0,IF(VLOOKUP(MATCH(L51,epa_id,0)+1,epa,'A1(epa)'!$X$17,FALSE)=0,"",VLOOKUP(MATCH(L51,epa_id,0)+1,epa,'A1(epa)'!$X$17,FALSE))))</f>
        <v>5</v>
      </c>
      <c r="AX51" s="608">
        <f>+IF(L51="","",IF(2009-VLOOKUP(MATCH(L51,epa_id,0)+1,epa,'A1(epa)'!$U$17,FALSE)=0,IF(VLOOKUP(MATCH(L51,epa_id,0)+1,epa,'A1(epa)'!$Y$17,FALSE)=0,"",VLOOKUP(MATCH(L51,epa_id,0)+1,epa,'A1(epa)'!$Y$17,FALSE))))</f>
        <v>6227</v>
      </c>
      <c r="AY51" s="607">
        <f>+IF(L51="","",IF(2009-VLOOKUP(MATCH(L51,epa_id,0)+1,epa,'A1(epa)'!$U$17,FALSE)=0,IF(VLOOKUP(MATCH(L51,epa_id,0)+1,epa,'A1(epa)'!$AA$17,FALSE)=0,"",VLOOKUP(MATCH(L51,epa_id,0)+1,epa,'A1(epa)'!$AA$17,FALSE))))</f>
        <v>0.1</v>
      </c>
      <c r="AZ51" s="1968">
        <f>+IF(L51="","",IF(2009-VLOOKUP(MATCH(L51,epa_id,0)+1,epa,'A1(epa)'!$U$17,FALSE)=0,IF(VLOOKUP(MATCH(L51,epa_id,0)+1,epa,'A1(epa)'!$AB$17,FALSE)=0,"",VLOOKUP(MATCH(L51,epa_id,0)+1,epa,'A1(epa)'!$AB$17,FALSE))))</f>
        <v>4.5999999999999996</v>
      </c>
      <c r="BA51" s="5682">
        <f t="shared" si="35"/>
        <v>0.1</v>
      </c>
      <c r="BB51" s="5683">
        <f t="shared" si="36"/>
        <v>4.5999999999999996</v>
      </c>
      <c r="BC51" s="5392">
        <f t="shared" si="37"/>
        <v>738.71848402119804</v>
      </c>
      <c r="BD51" s="608">
        <f>+IF(L51="","",IF(2009-VLOOKUP(MATCH(L51,epa_id,0)+1,epa,'A1(epa)'!$U$17,FALSE)=0,IF(VLOOKUP(MATCH(L51,epa_id,0)+1,epa,'A1(epa)'!$AC$17,FALSE)=0,"",VLOOKUP(MATCH(L51,epa_id,0)+1,epa,'A1(epa)'!$AC$17,FALSE))))</f>
        <v>75780</v>
      </c>
      <c r="BE51" s="5154" t="str">
        <f>+IF(L51="","",IF(2009-VLOOKUP(MATCH(L51,epa_id,0)+1,epa,'A1(epa)'!$U$17,FALSE)=0,IF(VLOOKUP(MATCH(L51,epa_id,0)+1,epa,'A1(epa)'!$AP$17,FALSE)=0,"",VLOOKUP(MATCH(L51,epa_id,0)+1,epa,'A1(epa)'!$AP$17,FALSE))))</f>
        <v>Residual Oil</v>
      </c>
      <c r="BF51" s="516" t="str">
        <f>+IF(L51="","",IF(2009-VLOOKUP(MATCH(L51,epa_id,0)+1,epa,'A1(epa)'!$U$17,FALSE)=0,IF(VLOOKUP(MATCH(L51,epa_id,0)+1,epa,'A1(epa)'!$AQ$17,FALSE)=0,"",VLOOKUP(MATCH(L51,epa_id,0)+1,epa,'A1(epa)'!$AQ$17,FALSE))))</f>
        <v>Pipeline Natural Gas</v>
      </c>
      <c r="BG51" s="127">
        <f>+IF(L51="","",IF(2008-VLOOKUP(MATCH(L51,epa_id,0)+2,epa,'A1(epa)'!$U$17,FALSE)=0,IF(VLOOKUP(MATCH(L51,epa_id,0)+2,epa,'A1(epa)'!$U$17,FALSE)=0,"",VLOOKUP(MATCH(L51,epa_id,0)+2,epa,'A1(epa)'!$U$17,FALSE))))</f>
        <v>2008</v>
      </c>
      <c r="BH51" s="5154">
        <f>+IF(L51="","",IF(2008-VLOOKUP(MATCH(L51,epa_id,0)+2,epa,'A1(epa)'!$U$17,FALSE)=0,IF(VLOOKUP(MATCH(L51,epa_id,0)+2,epa,'A1(epa)'!$W$17,FALSE)=0,"",VLOOKUP(MATCH(L51,epa_id,0)+2,epa,'A1(epa)'!$W$17,FALSE))))</f>
        <v>245</v>
      </c>
      <c r="BI51" s="5154">
        <f>+IF(L51="","",IF(2008-VLOOKUP(MATCH(L51,epa_id,0)+2,epa,'A1(epa)'!$U$17,FALSE)=0,IF(VLOOKUP(MATCH(L51,epa_id,0)+2,epa,'A1(epa)'!$X$17,FALSE)=0,"",VLOOKUP(MATCH(L51,epa_id,0)+2,epa,'A1(epa)'!$X$17,FALSE))))</f>
        <v>5</v>
      </c>
      <c r="BJ51" s="608">
        <f>+IF(L51="","",IF(2008-VLOOKUP(MATCH(L51,epa_id,0)+2,epa,'A1(epa)'!$U$17,FALSE)=0,IF(VLOOKUP(MATCH(L51,epa_id,0)+2,epa,'A1(epa)'!$Y$17,FALSE)=0,"",VLOOKUP(MATCH(L51,epa_id,0)+2,epa,'A1(epa)'!$Y$17,FALSE))))</f>
        <v>12536</v>
      </c>
      <c r="BK51" s="607">
        <f>+IF(L51="","",IF(2008-VLOOKUP(MATCH(L51,epa_id,0)+2,epa,'A1(epa)'!$U$17,FALSE)=0,IF(VLOOKUP(MATCH(L51,epa_id,0)+2,epa,'A1(epa)'!$AA$17,FALSE)=0,"",VLOOKUP(MATCH(L51,epa_id,0)+2,epa,'A1(epa)'!$AA$17,FALSE))))</f>
        <v>0.09</v>
      </c>
      <c r="BL51" s="1968">
        <f>+IF(L51="","",IF(2008-VLOOKUP(MATCH(L51,epa_id,0)+2,epa,'A1(epa)'!$U$17,FALSE)=0,IF(VLOOKUP(MATCH(L51,epa_id,0)+2,epa,'A1(epa)'!$AB$17,FALSE)=0,"",VLOOKUP(MATCH(L51,epa_id,0)+2,epa,'A1(epa)'!$AB$17,FALSE))))</f>
        <v>8</v>
      </c>
      <c r="BM51" s="5728">
        <f t="shared" si="16"/>
        <v>0.09</v>
      </c>
      <c r="BN51" s="5729">
        <f t="shared" si="9"/>
        <v>8</v>
      </c>
      <c r="BO51" s="5730">
        <f t="shared" si="10"/>
        <v>638.16209317166556</v>
      </c>
      <c r="BP51" s="5635">
        <f>+IF(L51="","",IF(2008-VLOOKUP(MATCH(L51,epa_id,0)+2,epa,'A1(epa)'!$U$17,FALSE)=0,IF(VLOOKUP(MATCH(L51,epa_id,0)+2,epa,'A1(epa)'!$AC$17,FALSE)=0,"",VLOOKUP(MATCH(L51,epa_id,0)+2,epa,'A1(epa)'!$AC$17,FALSE))))</f>
        <v>148000</v>
      </c>
      <c r="BQ51" s="4708" t="str">
        <f>+IF(L51="","",IF(2008-VLOOKUP(MATCH(L51,epa_id,0)+2,epa,'A1(epa)'!$U$17,FALSE)=0,IF(VLOOKUP(MATCH(L51,epa_id,0)+2,epa,'A1(epa)'!$AP$17,FALSE)=0,"",VLOOKUP(MATCH(L51,epa_id,0)+2,epa,'A1(epa)'!$AP$17,FALSE))))</f>
        <v>Residual Oil</v>
      </c>
      <c r="BR51" s="5619" t="str">
        <f>+IF(L51="","",IF(2008-VLOOKUP(MATCH(L51,epa_id,0)+2,epa,'A1(epa)'!$U$17,FALSE)=0,IF(VLOOKUP(MATCH(L51,epa_id,0)+2,epa,'A1(epa)'!$AQ$17,FALSE)=0,"",VLOOKUP(MATCH(L51,epa_id,0)+2,epa,'A1(epa)'!$AQ$17,FALSE))))</f>
        <v>Pipeline Natural Gas</v>
      </c>
      <c r="BS51" s="5606" t="str">
        <f>+IF(L51="","",IF(2010-VLOOKUP(MATCH(L51,epa_id,0),epa,'A1(epa)'!$U$17,FALSE)=0,IF(VLOOKUP(MATCH(L51,epa_id,0),epa,'A1(epa)'!$AS$17,FALSE)=0,"",VLOOKUP(MATCH(L51,epa_id,0),epa,'A1(epa)'!$AS$17,FALSE))))</f>
        <v/>
      </c>
      <c r="BT51" s="52" t="str">
        <f>+IF(L51="","",IF(2010-VLOOKUP(MATCH(L51,epa_id,0),epa,'A1(epa)'!$U$17,FALSE)=0,IF(VLOOKUP(MATCH(L51,epa_id,0),epa,'A1(epa)'!$AT$17,FALSE)=0,"",VLOOKUP(MATCH(L51,epa_id,0),epa,'A1(epa)'!$AT$17,FALSE))))</f>
        <v/>
      </c>
      <c r="BU51" s="52" t="str">
        <f>+IF(L51="","",IF(2010-VLOOKUP(MATCH(L51,epa_id,0),epa,'A1(epa)'!$U$17,FALSE)=0,IF(VLOOKUP(MATCH(L51,epa_id,0),epa,'A1(epa)'!$AU$17,FALSE)=0,"",VLOOKUP(MATCH(L51,epa_id,0),epa,'A1(epa)'!$AU$17,FALSE))))</f>
        <v/>
      </c>
      <c r="BV51" s="52" t="str">
        <f>+IF(L51="","",IF(2010-VLOOKUP(MATCH(L51,epa_id,0),epa,'A1(epa)'!$U$17,FALSE)=0,IF(VLOOKUP(MATCH(L51,epa_id,0),epa,'A1(epa)'!$AR$17,FALSE)=0,"",VLOOKUP(MATCH(L51,epa_id,0),epa,'A1(epa)'!$AR$17,FALSE))))</f>
        <v/>
      </c>
      <c r="BW51" s="5592" t="str">
        <f>+IF(L51="","",IF(2010-VLOOKUP(MATCH(L51,epa_id,0),epa,'A1(epa)'!$U$17,FALSE)=0,IF(VLOOKUP(MATCH(L51,epa_id,0),epa,'A1(epa)'!$AV$17,FALSE)=0,"",VLOOKUP(MATCH(L51,epa_id,0),epa,'A1(epa)'!$AV$17,FALSE))))</f>
        <v>Electrostatic Precipitator</v>
      </c>
      <c r="BX51" s="519">
        <f>+IF(L51="","",IF(2010-VLOOKUP(MATCH(L51,epa_id,0),epa,'A1(epa)'!$U$17,FALSE)=0,IF(VLOOKUP(MATCH(L51,epa_id,0),epa,'A1(epa)'!$AW$17,FALSE)=0,"",VLOOKUP(MATCH(L51,epa_id,0),epa,'A1(epa)'!$AW$17,FALSE))))</f>
        <v>995</v>
      </c>
      <c r="BY51" s="5415"/>
      <c r="BZ51" s="519">
        <f t="shared" si="38"/>
        <v>657.9608315237615</v>
      </c>
      <c r="CA51" s="5415"/>
      <c r="CB51" s="584">
        <f t="shared" si="39"/>
        <v>932</v>
      </c>
      <c r="CC51" s="4379">
        <f t="shared" si="40"/>
        <v>45896</v>
      </c>
      <c r="CD51" s="515">
        <f t="shared" si="41"/>
        <v>567960</v>
      </c>
      <c r="CE51" s="4387">
        <f t="shared" si="42"/>
        <v>27.4</v>
      </c>
      <c r="CF51" s="4390">
        <f t="shared" si="43"/>
        <v>0.09</v>
      </c>
      <c r="CG51" s="517">
        <f t="shared" si="44"/>
        <v>9.6485668004789069E-2</v>
      </c>
      <c r="CH51" s="522">
        <f t="shared" si="45"/>
        <v>1.035253948549239E-4</v>
      </c>
      <c r="CI51" s="520">
        <f t="shared" si="46"/>
        <v>112</v>
      </c>
      <c r="CJ51" s="4379">
        <f t="shared" si="47"/>
        <v>6227</v>
      </c>
      <c r="CK51" s="515">
        <f t="shared" si="48"/>
        <v>75780</v>
      </c>
      <c r="CL51" s="521">
        <f t="shared" si="49"/>
        <v>4.5999999999999996</v>
      </c>
      <c r="CM51" s="4396">
        <f t="shared" si="50"/>
        <v>0.1</v>
      </c>
      <c r="CN51" s="517">
        <f t="shared" si="51"/>
        <v>0.12140406439693849</v>
      </c>
      <c r="CO51" s="522">
        <f t="shared" si="52"/>
        <v>1.0839648606869507E-3</v>
      </c>
      <c r="CP51" s="520">
        <f t="shared" si="53"/>
        <v>245</v>
      </c>
      <c r="CQ51" s="4379">
        <f t="shared" si="54"/>
        <v>12536</v>
      </c>
      <c r="CR51" s="515">
        <f t="shared" si="55"/>
        <v>148000</v>
      </c>
      <c r="CS51" s="521">
        <f t="shared" si="56"/>
        <v>8</v>
      </c>
      <c r="CT51" s="4396">
        <f t="shared" si="57"/>
        <v>0.09</v>
      </c>
      <c r="CU51" s="517">
        <f t="shared" si="58"/>
        <v>0.10810810810810811</v>
      </c>
      <c r="CV51" s="523">
        <f t="shared" si="59"/>
        <v>4.4125758411472699E-4</v>
      </c>
      <c r="CW51" s="605">
        <f t="shared" si="60"/>
        <v>2010</v>
      </c>
      <c r="CX51" s="606">
        <f t="shared" si="61"/>
        <v>932</v>
      </c>
      <c r="CY51" s="5582">
        <f t="shared" si="62"/>
        <v>45896</v>
      </c>
      <c r="CZ51" s="608">
        <f t="shared" si="63"/>
        <v>567960</v>
      </c>
      <c r="DA51" s="518">
        <f t="shared" si="64"/>
        <v>27.4</v>
      </c>
      <c r="DB51" s="607">
        <f t="shared" si="65"/>
        <v>0.09</v>
      </c>
      <c r="DC51" s="607">
        <f t="shared" si="66"/>
        <v>9.6000000000000002E-2</v>
      </c>
      <c r="DD51" s="522">
        <f t="shared" si="67"/>
        <v>2.9399141630901286E-2</v>
      </c>
      <c r="DE51" s="595">
        <f t="shared" si="31"/>
        <v>1.4699570815450642</v>
      </c>
      <c r="DF51" s="595"/>
      <c r="DG51" s="5356"/>
      <c r="DH51" s="5348"/>
      <c r="DI51" s="5348"/>
    </row>
    <row r="52" spans="1:113" s="479" customFormat="1" ht="25.5" customHeight="1">
      <c r="A52" s="5364" t="str">
        <f t="shared" si="13"/>
        <v>8306-05</v>
      </c>
      <c r="B52" s="9616" t="str">
        <f>+IF(A52="","",VLOOKUP(MATCH(A52,tid,0),tao,'12(id)'!$J$20,FALSE))</f>
        <v>NRG</v>
      </c>
      <c r="C52" s="5365" t="str">
        <f t="shared" si="32"/>
        <v>MV6 </v>
      </c>
      <c r="D52" s="5359"/>
      <c r="E52" s="5351"/>
      <c r="F52" s="5359"/>
      <c r="G52" s="4445">
        <f t="shared" si="17"/>
        <v>34</v>
      </c>
      <c r="H52" s="4399">
        <v>5</v>
      </c>
      <c r="I52" s="52">
        <f>+IF(L52="","",IF(VLOOKUP(MATCH(L52,tid,0),tao,'12(id)'!$H$20,FALSE)="","",VLOOKUP(MATCH(L52,tid,0),tao,'12(id)'!$H$20,FALSE)))</f>
        <v>20</v>
      </c>
      <c r="J52" s="9525"/>
      <c r="K52" s="9518">
        <f>+IF(L52="","",IF(VLOOKUP(MATCH(L52,tid,0),tao,'12(id)'!$K$20,FALSE)="","",VLOOKUP(MATCH(L52,tid,0),tao,'12(id)'!$K$20,FALSE)))</f>
        <v>8306</v>
      </c>
      <c r="L52" s="5154" t="s">
        <v>297</v>
      </c>
      <c r="M52" s="9527" t="str">
        <f>+IF(L52="","",IF(VLOOKUP(MATCH(L52,tid,0),tao,'12(id)'!$L$20,FALSE)="","",VLOOKUP(MATCH(L52,tid,0),tao,'12(id)'!$L$20,FALSE)))</f>
        <v>Montville</v>
      </c>
      <c r="N52" s="52" t="str">
        <f>+IF(L52="","",IF(VLOOKUP(MATCH(L52,tid,0),tao,'12(id)'!$P$20,FALSE)="","",VLOOKUP(MATCH(L52,tid,0),tao,'12(id)'!$P$20,FALSE)))</f>
        <v>Montville-6</v>
      </c>
      <c r="O52" s="4385" t="str">
        <f>+IF(L52="","",IF(VLOOKUP(MATCH(L52,tid,0),tao,'12(id)'!$Q$20,FALSE)="","",VLOOKUP(MATCH(L52,tid,0),tao,'12(id)'!$Q$20,FALSE)))</f>
        <v>MV6 </v>
      </c>
      <c r="P52" s="7833">
        <f>+IF(L52="","",IF(VLOOKUP(MATCH(L52,tid,0),tao,'12(id)'!$CT$20,FALSE)="","",VLOOKUP(MATCH(L52,tid,0),tao,'12(id)'!$CT$20,FALSE)))</f>
        <v>402</v>
      </c>
      <c r="Q52" s="9530"/>
      <c r="R52" s="7899" t="str">
        <f>+IF(L52="","",IF(VLOOKUP(MATCH(L52,tid,0),tao,'12(id)'!$T$20,FALSE)="","",VLOOKUP(MATCH(L52,tid,0),tao,'12(id)'!$T$20,FALSE)))</f>
        <v>Utility Boiler</v>
      </c>
      <c r="S52" s="417" t="str">
        <f>+IF(L52="","",IF(VLOOKUP(MATCH(L52,tid,0),tao,'12(id)'!$CO$20,FALSE)="","",VLOOKUP(MATCH(L52,tid,0),tao,'12(id)'!$CO$20,FALSE)))</f>
        <v>Combustion Engineering</v>
      </c>
      <c r="T52" s="7899" t="str">
        <f>+IF(L52="","",IF(VLOOKUP(MATCH(L52,tid,0),tao,'12(id)'!$CP$20,FALSE)="","",VLOOKUP(MATCH(L52,tid,0),tao,'12(id)'!$CP$20,FALSE)))</f>
        <v>Tangential fired</v>
      </c>
      <c r="U52" s="7832" t="str">
        <f>+IF(L52="","",IF(VLOOKUP(MATCH(L52,tid,0),tao,'12(id)'!$DC$20,FALSE)="","",IF(VLOOKUP(MATCH(L52,tid,0),tao,'12(id)'!$DB$20,FALSE)="",VLOOKUP(MATCH(L52,tid,0),tao,'12(id)'!$DC$20,FALSE),VLOOKUP(MATCH(L52,tid,0),tao,'12(id)'!$DB$20,FALSE)&amp;" "&amp;VLOOKUP(MATCH(L52,tid,0),tao,'12(id)'!$DC$20,FALSE))))</f>
        <v/>
      </c>
      <c r="V52" s="135" t="str">
        <f>+IF(L52="","",IF(VLOOKUP(MATCH(L52,tid,0),tao,'12(id)'!$DE$20,FALSE)="","",ROUND(VLOOKUP(MATCH(L52,tid,0),tao,'12(id)'!$DE$20,FALSE),0)))</f>
        <v/>
      </c>
      <c r="W52" s="52" t="str">
        <f>+IF(L52="","",IF(VLOOKUP(G52,tao,'12(id)'!$FR$20,FALSE)="","",VLOOKUP(G52,tao,'12(id)'!$FR$20,FALSE)&amp;IF(VLOOKUP(G52,tao,'12(id)'!$FS$20,FALSE)="","",", "&amp;VLOOKUP(G52,tao,'12(id)'!$FS$20,FALSE))))</f>
        <v>None</v>
      </c>
      <c r="X52" s="52" t="str">
        <f>+IF(L52="","",IF(VLOOKUP(MATCH(L52,tid,0),tao,'12(id)'!$DI$20,FALSE)="","",VLOOKUP(MATCH(L52,tid,0),tao,'12(id)'!$DI$20,FALSE)))</f>
        <v>No. 6 oil</v>
      </c>
      <c r="Y52" s="52" t="str">
        <f>+IF(L52="","",IF(VLOOKUP(MATCH(L52,tid,0),tao,'12(id)'!$DQ$20,FALSE)="","",VLOOKUP(MATCH(L52,tid,0),tao,'12(id)'!$DQ$20,FALSE)))</f>
        <v>No. 2 oil</v>
      </c>
      <c r="Z52" s="4417">
        <f>+IF(L52="","",IF(VLOOKUP(MATCH(L52,tid,0),tao,'12(id)'!$EH$20,FALSE)="","",VLOOKUP(MATCH(L52,tid,0),tao,'12(id)'!$EH$20,FALSE)))</f>
        <v>4658</v>
      </c>
      <c r="AA52" s="4418" t="str">
        <f>+IF(L52="","",IF(VLOOKUP(MATCH(L52,tid,0),tao,'12(id)'!$EI$20,FALSE)="","",VLOOKUP(MATCH(L52,tid,0),tao,'12(id)'!$EI$20,FALSE)))</f>
        <v/>
      </c>
      <c r="AB52" s="4418" t="str">
        <f>+IF(L52="","",IF(VLOOKUP(MATCH(L52,tid,0),tao,'12(id)'!$EJ$20,FALSE)="","",VLOOKUP(MATCH(L52,tid,0),tao,'12(id)'!$EJ$20,FALSE)))</f>
        <v/>
      </c>
      <c r="AC52" s="4436">
        <f>+IF(L52="","",IF(VLOOKUP(MATCH(L52,tid,0),tao,'12(id)'!$EL$20,FALSE)="","",VLOOKUP(MATCH(L52,tid,0),tao,'12(id)'!$EL$20,FALSE)))</f>
        <v>0.27</v>
      </c>
      <c r="AD52" s="4438" t="s">
        <v>1180</v>
      </c>
      <c r="AE52" s="4419">
        <f t="shared" si="68"/>
        <v>0.27</v>
      </c>
      <c r="AF52" s="4420"/>
      <c r="AG52" s="562">
        <f>+IF(L52="","",IF(VLOOKUP(MATCH(L52,tid,0),tao,'12(id)'!$GY$20,FALSE)="","",VLOOKUP(MATCH(L52,tid,0),tao,'12(id)'!$GY$20,FALSE)))</f>
        <v>231.15</v>
      </c>
      <c r="AH52" s="563">
        <f>+IF(L52="","",IF(VLOOKUP(MATCH(L52,tid,0),tao,'12(id)'!$HL$20,FALSE)="","",VLOOKUP(MATCH(L52,tid,0),tao,'12(id)'!$HL$20,FALSE)))</f>
        <v>60.48</v>
      </c>
      <c r="AI52" s="7854">
        <f>+IF(L52="","",IF(2010-VLOOKUP(MATCH(L52,epa_id,0),epa,'A1(epa)'!$U$17,FALSE)=0,IF(VLOOKUP(MATCH(L52,epa_id,0),epa,'A1(epa)'!$U$17,FALSE)=0,"",VLOOKUP(MATCH(L52,epa_id,0),epa,'A1(epa)'!$U$17,FALSE))))</f>
        <v>2010</v>
      </c>
      <c r="AJ52" s="608">
        <f>+IF(L52="","",IF(2010-VLOOKUP(MATCH(L52,epa_id,0),epa,'A1(epa)'!$U$17,FALSE)=0,IF(VLOOKUP(MATCH(L52,epa_id,0),epa,'A1(epa)'!$W$17,FALSE)=0,"",VLOOKUP(MATCH(L52,epa_id,0),epa,'A1(epa)'!$W$17,FALSE))))</f>
        <v>376</v>
      </c>
      <c r="AK52" s="515">
        <f>+IF(L52="","",IF(2010-VLOOKUP(MATCH(L52,epa_id,0),epa,'A1(epa)'!$U$17,FALSE)=0,IF(VLOOKUP(MATCH(L52,epa_id,0),epa,'A1(epa)'!$X$17,FALSE)=0,"",VLOOKUP(MATCH(L52,epa_id,0),epa,'A1(epa)'!$X$17,FALSE))))</f>
        <v>5</v>
      </c>
      <c r="AL52" s="608">
        <f>+IF(L52="","",IF(2010-VLOOKUP(MATCH(L52,epa_id,0),epa,'A1(epa)'!$U$17,FALSE)=0,IF(VLOOKUP(MATCH(L52,epa_id,0),epa,'A1(epa)'!$Y$17,FALSE)=0,"",VLOOKUP(MATCH(L52,epa_id,0),epa,'A1(epa)'!$Y$17,FALSE))))</f>
        <v>41495</v>
      </c>
      <c r="AM52" s="5791">
        <f>+IF(L52="","",IF(2010-VLOOKUP(MATCH(L52,epa_id,0),epa,'A1(epa)'!$U$17,FALSE)=0,IF(VLOOKUP(MATCH(L52,epa_id,0),epa,'A1(epa)'!$AA$17,FALSE)=0,"",VLOOKUP(MATCH(L52,epa_id,0),epa,'A1(epa)'!$AA$17,FALSE))))</f>
        <v>0.14000000000000001</v>
      </c>
      <c r="AN52" s="5792">
        <f>+IF(L52="","",IF(2010-VLOOKUP(MATCH(L52,epa_id,0),epa,'A1(epa)'!$U$17,FALSE)=0,IF(VLOOKUP(MATCH(L52,epa_id,0),epa,'A1(epa)'!$AB$17,FALSE)=0,"",VLOOKUP(MATCH(L52,epa_id,0),epa,'A1(epa)'!$AB$17,FALSE))))</f>
        <v>44.3</v>
      </c>
      <c r="AO52" s="5793">
        <f t="shared" si="33"/>
        <v>0.14000000000000001</v>
      </c>
      <c r="AP52" s="5794">
        <f t="shared" si="5"/>
        <v>44.3</v>
      </c>
      <c r="AQ52" s="5795">
        <f t="shared" si="34"/>
        <v>1067.5985058440776</v>
      </c>
      <c r="AR52" s="608">
        <f>+IF(L52="","",IF(2010-VLOOKUP(MATCH(L52,epa_id,0),epa,'A1(epa)'!$U$17,FALSE)=0,IF(VLOOKUP(MATCH(L52,epa_id,0),epa,'A1(epa)'!$AC$17,FALSE)=0,"",VLOOKUP(MATCH(L52,epa_id,0),epa,'A1(epa)'!$AC$17,FALSE))))</f>
        <v>608716</v>
      </c>
      <c r="AS52" s="52" t="str">
        <f>+IF(L52="","",IF(2010-VLOOKUP(MATCH(L52,epa_id,0),epa,'A1(epa)'!$U$17,FALSE)=0,IF(VLOOKUP(MATCH(L52,epa_id,0),epa,'A1(epa)'!$AP$17,FALSE)=0,"",VLOOKUP(MATCH(L52,epa_id,0),epa,'A1(epa)'!$AP$17,FALSE))))</f>
        <v>Residual Oil</v>
      </c>
      <c r="AT52" s="5619" t="str">
        <f>+IF(L52="","",IF(2010-VLOOKUP(MATCH(L52,epa_id,0),epa,'A1(epa)'!$U$17,FALSE)=0,IF(VLOOKUP(MATCH(L52,epa_id,0),epa,'A1(epa)'!$AQ$17,FALSE)=0,"",VLOOKUP(MATCH(L52,epa_id,0),epa,'A1(epa)'!$AQ$17,FALSE))))</f>
        <v/>
      </c>
      <c r="AU52" s="7854">
        <f>+IF(L52="","",IF(2009-VLOOKUP(MATCH(L52,epa_id,0)+1,epa,'A1(epa)'!$U$17,FALSE)=0,IF(VLOOKUP(MATCH(L52,epa_id,0)+1,epa,'A1(epa)'!$U$17,FALSE)=0,"",VLOOKUP(MATCH(L52,epa_id,0)+1,epa,'A1(epa)'!$U$17,FALSE))))</f>
        <v>2009</v>
      </c>
      <c r="AV52" s="7832">
        <f>+IF(L52="","",IF(2009-VLOOKUP(MATCH(L52,epa_id,0)+1,epa,'A1(epa)'!$U$17,FALSE)=0,IF(VLOOKUP(MATCH(L52,epa_id,0)+1,epa,'A1(epa)'!$W$17,FALSE)=0,"",VLOOKUP(MATCH(L52,epa_id,0)+1,epa,'A1(epa)'!$W$17,FALSE))))</f>
        <v>146</v>
      </c>
      <c r="AW52" s="5154">
        <f>+IF(L52="","",IF(2009-VLOOKUP(MATCH(L52,epa_id,0)+1,epa,'A1(epa)'!$U$17,FALSE)=0,IF(VLOOKUP(MATCH(L52,epa_id,0)+1,epa,'A1(epa)'!$X$17,FALSE)=0,"",VLOOKUP(MATCH(L52,epa_id,0)+1,epa,'A1(epa)'!$X$17,FALSE))))</f>
        <v>5</v>
      </c>
      <c r="AX52" s="608">
        <f>+IF(L52="","",IF(2009-VLOOKUP(MATCH(L52,epa_id,0)+1,epa,'A1(epa)'!$U$17,FALSE)=0,IF(VLOOKUP(MATCH(L52,epa_id,0)+1,epa,'A1(epa)'!$Y$17,FALSE)=0,"",VLOOKUP(MATCH(L52,epa_id,0)+1,epa,'A1(epa)'!$Y$17,FALSE))))</f>
        <v>16484</v>
      </c>
      <c r="AY52" s="607">
        <f>+IF(L52="","",IF(2009-VLOOKUP(MATCH(L52,epa_id,0)+1,epa,'A1(epa)'!$U$17,FALSE)=0,IF(VLOOKUP(MATCH(L52,epa_id,0)+1,epa,'A1(epa)'!$AA$17,FALSE)=0,"",VLOOKUP(MATCH(L52,epa_id,0)+1,epa,'A1(epa)'!$AA$17,FALSE))))</f>
        <v>0.16</v>
      </c>
      <c r="AZ52" s="1968">
        <f>+IF(L52="","",IF(2009-VLOOKUP(MATCH(L52,epa_id,0)+1,epa,'A1(epa)'!$U$17,FALSE)=0,IF(VLOOKUP(MATCH(L52,epa_id,0)+1,epa,'A1(epa)'!$AB$17,FALSE)=0,"",VLOOKUP(MATCH(L52,epa_id,0)+1,epa,'A1(epa)'!$AB$17,FALSE))))</f>
        <v>25.4</v>
      </c>
      <c r="BA52" s="5682">
        <f t="shared" si="35"/>
        <v>0.16</v>
      </c>
      <c r="BB52" s="5683">
        <f t="shared" si="36"/>
        <v>25.4</v>
      </c>
      <c r="BC52" s="5392">
        <f t="shared" si="37"/>
        <v>1540.8881339480708</v>
      </c>
      <c r="BD52" s="608">
        <f>+IF(L52="","",IF(2009-VLOOKUP(MATCH(L52,epa_id,0)+1,epa,'A1(epa)'!$U$17,FALSE)=0,IF(VLOOKUP(MATCH(L52,epa_id,0)+1,epa,'A1(epa)'!$AC$17,FALSE)=0,"",VLOOKUP(MATCH(L52,epa_id,0)+1,epa,'A1(epa)'!$AC$17,FALSE))))</f>
        <v>253965</v>
      </c>
      <c r="BE52" s="5154" t="str">
        <f>+IF(L52="","",IF(2009-VLOOKUP(MATCH(L52,epa_id,0)+1,epa,'A1(epa)'!$U$17,FALSE)=0,IF(VLOOKUP(MATCH(L52,epa_id,0)+1,epa,'A1(epa)'!$AP$17,FALSE)=0,"",VLOOKUP(MATCH(L52,epa_id,0)+1,epa,'A1(epa)'!$AP$17,FALSE))))</f>
        <v>Residual Oil</v>
      </c>
      <c r="BF52" s="516" t="str">
        <f>+IF(L52="","",IF(2009-VLOOKUP(MATCH(L52,epa_id,0)+1,epa,'A1(epa)'!$U$17,FALSE)=0,IF(VLOOKUP(MATCH(L52,epa_id,0)+1,epa,'A1(epa)'!$AQ$17,FALSE)=0,"",VLOOKUP(MATCH(L52,epa_id,0)+1,epa,'A1(epa)'!$AQ$17,FALSE))))</f>
        <v/>
      </c>
      <c r="BG52" s="127">
        <f>+IF(L52="","",IF(2008-VLOOKUP(MATCH(L52,epa_id,0)+2,epa,'A1(epa)'!$U$17,FALSE)=0,IF(VLOOKUP(MATCH(L52,epa_id,0)+2,epa,'A1(epa)'!$U$17,FALSE)=0,"",VLOOKUP(MATCH(L52,epa_id,0)+2,epa,'A1(epa)'!$U$17,FALSE))))</f>
        <v>2008</v>
      </c>
      <c r="BH52" s="5154">
        <f>+IF(L52="","",IF(2008-VLOOKUP(MATCH(L52,epa_id,0)+2,epa,'A1(epa)'!$U$17,FALSE)=0,IF(VLOOKUP(MATCH(L52,epa_id,0)+2,epa,'A1(epa)'!$W$17,FALSE)=0,"",VLOOKUP(MATCH(L52,epa_id,0)+2,epa,'A1(epa)'!$W$17,FALSE))))</f>
        <v>79</v>
      </c>
      <c r="BI52" s="5154">
        <f>+IF(L52="","",IF(2008-VLOOKUP(MATCH(L52,epa_id,0)+2,epa,'A1(epa)'!$U$17,FALSE)=0,IF(VLOOKUP(MATCH(L52,epa_id,0)+2,epa,'A1(epa)'!$X$17,FALSE)=0,"",VLOOKUP(MATCH(L52,epa_id,0)+2,epa,'A1(epa)'!$X$17,FALSE))))</f>
        <v>5</v>
      </c>
      <c r="BJ52" s="608">
        <f>+IF(L52="","",IF(2008-VLOOKUP(MATCH(L52,epa_id,0)+2,epa,'A1(epa)'!$U$17,FALSE)=0,IF(VLOOKUP(MATCH(L52,epa_id,0)+2,epa,'A1(epa)'!$Y$17,FALSE)=0,"",VLOOKUP(MATCH(L52,epa_id,0)+2,epa,'A1(epa)'!$Y$17,FALSE))))</f>
        <v>14294</v>
      </c>
      <c r="BK52" s="607">
        <f>+IF(L52="","",IF(2008-VLOOKUP(MATCH(L52,epa_id,0)+2,epa,'A1(epa)'!$U$17,FALSE)=0,IF(VLOOKUP(MATCH(L52,epa_id,0)+2,epa,'A1(epa)'!$AA$17,FALSE)=0,"",VLOOKUP(MATCH(L52,epa_id,0)+2,epa,'A1(epa)'!$AA$17,FALSE))))</f>
        <v>0.16</v>
      </c>
      <c r="BL52" s="1968">
        <f>+IF(L52="","",IF(2008-VLOOKUP(MATCH(L52,epa_id,0)+2,epa,'A1(epa)'!$U$17,FALSE)=0,IF(VLOOKUP(MATCH(L52,epa_id,0)+2,epa,'A1(epa)'!$AB$17,FALSE)=0,"",VLOOKUP(MATCH(L52,epa_id,0)+2,epa,'A1(epa)'!$AB$17,FALSE))))</f>
        <v>17.3</v>
      </c>
      <c r="BM52" s="5728">
        <f t="shared" si="16"/>
        <v>0.16</v>
      </c>
      <c r="BN52" s="5729">
        <f t="shared" si="9"/>
        <v>17.3</v>
      </c>
      <c r="BO52" s="5730">
        <f t="shared" si="10"/>
        <v>1210.2980271442564</v>
      </c>
      <c r="BP52" s="5635">
        <f>+IF(L52="","",IF(2008-VLOOKUP(MATCH(L52,epa_id,0)+2,epa,'A1(epa)'!$U$17,FALSE)=0,IF(VLOOKUP(MATCH(L52,epa_id,0)+2,epa,'A1(epa)'!$AC$17,FALSE)=0,"",VLOOKUP(MATCH(L52,epa_id,0)+2,epa,'A1(epa)'!$AC$17,FALSE))))</f>
        <v>178548</v>
      </c>
      <c r="BQ52" s="4708" t="str">
        <f>+IF(L52="","",IF(2008-VLOOKUP(MATCH(L52,epa_id,0)+2,epa,'A1(epa)'!$U$17,FALSE)=0,IF(VLOOKUP(MATCH(L52,epa_id,0)+2,epa,'A1(epa)'!$AP$17,FALSE)=0,"",VLOOKUP(MATCH(L52,epa_id,0)+2,epa,'A1(epa)'!$AP$17,FALSE))))</f>
        <v>Residual Oil</v>
      </c>
      <c r="BR52" s="5619" t="str">
        <f>+IF(L52="","",IF(2008-VLOOKUP(MATCH(L52,epa_id,0)+2,epa,'A1(epa)'!$U$17,FALSE)=0,IF(VLOOKUP(MATCH(L52,epa_id,0)+2,epa,'A1(epa)'!$AQ$17,FALSE)=0,"",VLOOKUP(MATCH(L52,epa_id,0)+2,epa,'A1(epa)'!$AQ$17,FALSE))))</f>
        <v/>
      </c>
      <c r="BS52" s="5606" t="str">
        <f>+IF(L52="","",IF(2010-VLOOKUP(MATCH(L52,epa_id,0),epa,'A1(epa)'!$U$17,FALSE)=0,IF(VLOOKUP(MATCH(L52,epa_id,0),epa,'A1(epa)'!$AS$17,FALSE)=0,"",VLOOKUP(MATCH(L52,epa_id,0),epa,'A1(epa)'!$AS$17,FALSE))))</f>
        <v/>
      </c>
      <c r="BT52" s="52" t="str">
        <f>+IF(L52="","",IF(2010-VLOOKUP(MATCH(L52,epa_id,0),epa,'A1(epa)'!$U$17,FALSE)=0,IF(VLOOKUP(MATCH(L52,epa_id,0),epa,'A1(epa)'!$AT$17,FALSE)=0,"",VLOOKUP(MATCH(L52,epa_id,0),epa,'A1(epa)'!$AT$17,FALSE))))</f>
        <v/>
      </c>
      <c r="BU52" s="52" t="str">
        <f>+IF(L52="","",IF(2010-VLOOKUP(MATCH(L52,epa_id,0),epa,'A1(epa)'!$U$17,FALSE)=0,IF(VLOOKUP(MATCH(L52,epa_id,0),epa,'A1(epa)'!$AU$17,FALSE)=0,"",VLOOKUP(MATCH(L52,epa_id,0),epa,'A1(epa)'!$AU$17,FALSE))))</f>
        <v/>
      </c>
      <c r="BV52" s="52" t="str">
        <f>+IF(L52="","",IF(2010-VLOOKUP(MATCH(L52,epa_id,0),epa,'A1(epa)'!$U$17,FALSE)=0,IF(VLOOKUP(MATCH(L52,epa_id,0),epa,'A1(epa)'!$AR$17,FALSE)=0,"",VLOOKUP(MATCH(L52,epa_id,0),epa,'A1(epa)'!$AR$17,FALSE))))</f>
        <v/>
      </c>
      <c r="BW52" s="5592" t="str">
        <f>+IF(L52="","",IF(2010-VLOOKUP(MATCH(L52,epa_id,0),epa,'A1(epa)'!$U$17,FALSE)=0,IF(VLOOKUP(MATCH(L52,epa_id,0),epa,'A1(epa)'!$AV$17,FALSE)=0,"",VLOOKUP(MATCH(L52,epa_id,0),epa,'A1(epa)'!$AV$17,FALSE))))</f>
        <v/>
      </c>
      <c r="BX52" s="519">
        <f>+IF(L52="","",IF(2010-VLOOKUP(MATCH(L52,epa_id,0),epa,'A1(epa)'!$U$17,FALSE)=0,IF(VLOOKUP(MATCH(L52,epa_id,0),epa,'A1(epa)'!$AW$17,FALSE)=0,"",VLOOKUP(MATCH(L52,epa_id,0),epa,'A1(epa)'!$AW$17,FALSE))))</f>
        <v>4658</v>
      </c>
      <c r="BY52" s="5415"/>
      <c r="BZ52" s="519">
        <f t="shared" si="38"/>
        <v>1272.9282223121352</v>
      </c>
      <c r="CA52" s="5415"/>
      <c r="CB52" s="584">
        <f t="shared" si="39"/>
        <v>376</v>
      </c>
      <c r="CC52" s="4379">
        <f t="shared" si="40"/>
        <v>41495</v>
      </c>
      <c r="CD52" s="515">
        <f t="shared" si="41"/>
        <v>608716</v>
      </c>
      <c r="CE52" s="4387">
        <f t="shared" si="42"/>
        <v>44.3</v>
      </c>
      <c r="CF52" s="4390">
        <f t="shared" si="43"/>
        <v>0.14000000000000001</v>
      </c>
      <c r="CG52" s="517">
        <f t="shared" si="44"/>
        <v>0.14555227725244613</v>
      </c>
      <c r="CH52" s="522">
        <f t="shared" si="45"/>
        <v>3.8710712035225033E-4</v>
      </c>
      <c r="CI52" s="520">
        <f t="shared" si="46"/>
        <v>146</v>
      </c>
      <c r="CJ52" s="4379">
        <f t="shared" si="47"/>
        <v>16484</v>
      </c>
      <c r="CK52" s="515">
        <f t="shared" si="48"/>
        <v>253965</v>
      </c>
      <c r="CL52" s="521">
        <f t="shared" si="49"/>
        <v>25.4</v>
      </c>
      <c r="CM52" s="4396">
        <f t="shared" si="50"/>
        <v>0.16</v>
      </c>
      <c r="CN52" s="517">
        <f t="shared" si="51"/>
        <v>0.20002756285314904</v>
      </c>
      <c r="CO52" s="522">
        <f t="shared" si="52"/>
        <v>1.3700518003640345E-3</v>
      </c>
      <c r="CP52" s="520">
        <f t="shared" si="53"/>
        <v>79</v>
      </c>
      <c r="CQ52" s="4379">
        <f t="shared" si="54"/>
        <v>14294</v>
      </c>
      <c r="CR52" s="515">
        <f t="shared" si="55"/>
        <v>178548</v>
      </c>
      <c r="CS52" s="521">
        <f t="shared" si="56"/>
        <v>17.3</v>
      </c>
      <c r="CT52" s="4396">
        <f t="shared" si="57"/>
        <v>0.16</v>
      </c>
      <c r="CU52" s="517">
        <f t="shared" si="58"/>
        <v>0.19378542464771381</v>
      </c>
      <c r="CV52" s="523">
        <f t="shared" si="59"/>
        <v>2.4529800588318205E-3</v>
      </c>
      <c r="CW52" s="605">
        <f t="shared" si="60"/>
        <v>2010</v>
      </c>
      <c r="CX52" s="606">
        <f t="shared" si="61"/>
        <v>376</v>
      </c>
      <c r="CY52" s="5582">
        <f t="shared" si="62"/>
        <v>41495</v>
      </c>
      <c r="CZ52" s="608">
        <f t="shared" si="63"/>
        <v>608716</v>
      </c>
      <c r="DA52" s="518">
        <f t="shared" si="64"/>
        <v>44.3</v>
      </c>
      <c r="DB52" s="607">
        <f t="shared" si="65"/>
        <v>0.14000000000000001</v>
      </c>
      <c r="DC52" s="607">
        <f t="shared" si="66"/>
        <v>0.14599999999999999</v>
      </c>
      <c r="DD52" s="522">
        <f t="shared" si="67"/>
        <v>0.11781914893617021</v>
      </c>
      <c r="DE52" s="595">
        <f t="shared" si="31"/>
        <v>5.8909574468085104</v>
      </c>
      <c r="DF52" s="595"/>
      <c r="DG52" s="5356"/>
      <c r="DH52" s="5348"/>
      <c r="DI52" s="5348"/>
    </row>
    <row r="53" spans="1:113" s="479" customFormat="1" ht="25.5" customHeight="1">
      <c r="A53" s="5364" t="str">
        <f t="shared" si="13"/>
        <v>8306-06</v>
      </c>
      <c r="B53" s="9617" t="str">
        <f>+IF(A53="","",VLOOKUP(MATCH(A53,tid,0),tao,'12(id)'!$J$20,FALSE))</f>
        <v>NRG</v>
      </c>
      <c r="C53" s="5365" t="str">
        <f t="shared" si="32"/>
        <v>NH1 </v>
      </c>
      <c r="D53" s="5359"/>
      <c r="E53" s="5351"/>
      <c r="F53" s="5359"/>
      <c r="G53" s="4445">
        <f t="shared" si="17"/>
        <v>35</v>
      </c>
      <c r="H53" s="4399">
        <v>6</v>
      </c>
      <c r="I53" s="52">
        <f>+IF(L53="","",IF(VLOOKUP(MATCH(L53,tid,0),tao,'12(id)'!$H$20,FALSE)="","",VLOOKUP(MATCH(L53,tid,0),tao,'12(id)'!$H$20,FALSE)))</f>
        <v>21</v>
      </c>
      <c r="J53" s="9525"/>
      <c r="K53" s="9518">
        <f>+IF(L53="","",IF(VLOOKUP(MATCH(L53,tid,0),tao,'12(id)'!$K$20,FALSE)="","",VLOOKUP(MATCH(L53,tid,0),tao,'12(id)'!$K$20,FALSE)))</f>
        <v>8306</v>
      </c>
      <c r="L53" s="5154" t="s">
        <v>298</v>
      </c>
      <c r="M53" s="9522" t="str">
        <f>+IF(L53="","",IF(VLOOKUP(MATCH(L53,tid,0),tao,'12(id)'!$L$20,FALSE)="","",VLOOKUP(MATCH(L53,tid,0),tao,'12(id)'!$L$20,FALSE)))</f>
        <v>Norwalk Harbor Station</v>
      </c>
      <c r="N53" s="52" t="str">
        <f>+IF(L53="","",IF(VLOOKUP(MATCH(L53,tid,0),tao,'12(id)'!$P$20,FALSE)="","",VLOOKUP(MATCH(L53,tid,0),tao,'12(id)'!$P$20,FALSE)))</f>
        <v>Norwalk Harbor-1</v>
      </c>
      <c r="O53" s="4385" t="str">
        <f>+IF(L53="","",IF(VLOOKUP(MATCH(L53,tid,0),tao,'12(id)'!$Q$20,FALSE)="","",VLOOKUP(MATCH(L53,tid,0),tao,'12(id)'!$Q$20,FALSE)))</f>
        <v>NH1 </v>
      </c>
      <c r="P53" s="7833">
        <f>+IF(L53="","",IF(VLOOKUP(MATCH(L53,tid,0),tao,'12(id)'!$CT$20,FALSE)="","",VLOOKUP(MATCH(L53,tid,0),tao,'12(id)'!$CT$20,FALSE)))</f>
        <v>164</v>
      </c>
      <c r="Q53" s="9528">
        <f>+P53+P54</f>
        <v>336</v>
      </c>
      <c r="R53" s="7899" t="str">
        <f>+IF(L53="","",IF(VLOOKUP(MATCH(L53,tid,0),tao,'12(id)'!$T$20,FALSE)="","",VLOOKUP(MATCH(L53,tid,0),tao,'12(id)'!$T$20,FALSE)))</f>
        <v>Utility Boiler</v>
      </c>
      <c r="S53" s="417" t="str">
        <f>+IF(L53="","",IF(VLOOKUP(MATCH(L53,tid,0),tao,'12(id)'!$CO$20,FALSE)="","",VLOOKUP(MATCH(L53,tid,0),tao,'12(id)'!$CO$20,FALSE)))</f>
        <v>Combustion Engineering</v>
      </c>
      <c r="T53" s="7899" t="str">
        <f>+IF(L53="","",IF(VLOOKUP(MATCH(L53,tid,0),tao,'12(id)'!$CP$20,FALSE)="","",VLOOKUP(MATCH(L53,tid,0),tao,'12(id)'!$CP$20,FALSE)))</f>
        <v>Tangential fired</v>
      </c>
      <c r="U53" s="7832" t="str">
        <f>+IF(L53="","",IF(VLOOKUP(MATCH(L53,tid,0),tao,'12(id)'!$DC$20,FALSE)="","",IF(VLOOKUP(MATCH(L53,tid,0),tao,'12(id)'!$DB$20,FALSE)="",VLOOKUP(MATCH(L53,tid,0),tao,'12(id)'!$DC$20,FALSE),VLOOKUP(MATCH(L53,tid,0),tao,'12(id)'!$DB$20,FALSE)&amp;" "&amp;VLOOKUP(MATCH(L53,tid,0),tao,'12(id)'!$DC$20,FALSE))))</f>
        <v/>
      </c>
      <c r="V53" s="135" t="str">
        <f>+IF(L53="","",IF(VLOOKUP(MATCH(L53,tid,0),tao,'12(id)'!$DE$20,FALSE)="","",ROUND(VLOOKUP(MATCH(L53,tid,0),tao,'12(id)'!$DE$20,FALSE),0)))</f>
        <v/>
      </c>
      <c r="W53" s="52" t="str">
        <f>+IF(L53="","",IF(VLOOKUP(G53,tao,'12(id)'!$FR$20,FALSE)="","",VLOOKUP(G53,tao,'12(id)'!$FR$20,FALSE)&amp;IF(VLOOKUP(G53,tao,'12(id)'!$FS$20,FALSE)="","",", "&amp;VLOOKUP(G53,tao,'12(id)'!$FS$20,FALSE))))</f>
        <v>None</v>
      </c>
      <c r="X53" s="52" t="str">
        <f>+IF(L53="","",IF(VLOOKUP(MATCH(L53,tid,0),tao,'12(id)'!$DI$20,FALSE)="","",VLOOKUP(MATCH(L53,tid,0),tao,'12(id)'!$DI$20,FALSE)))</f>
        <v>No. 6 oil</v>
      </c>
      <c r="Y53" s="52" t="str">
        <f>+IF(L53="","",IF(VLOOKUP(MATCH(L53,tid,0),tao,'12(id)'!$DQ$20,FALSE)="","",VLOOKUP(MATCH(L53,tid,0),tao,'12(id)'!$DQ$20,FALSE)))</f>
        <v>No. 2 oil</v>
      </c>
      <c r="Z53" s="4417">
        <f>+IF(L53="","",IF(VLOOKUP(MATCH(L53,tid,0),tao,'12(id)'!$EH$20,FALSE)="","",VLOOKUP(MATCH(L53,tid,0),tao,'12(id)'!$EH$20,FALSE)))</f>
        <v>1776</v>
      </c>
      <c r="AA53" s="4418" t="str">
        <f>+IF(L53="","",IF(VLOOKUP(MATCH(L53,tid,0),tao,'12(id)'!$EI$20,FALSE)="","",VLOOKUP(MATCH(L53,tid,0),tao,'12(id)'!$EI$20,FALSE)))</f>
        <v/>
      </c>
      <c r="AB53" s="4418" t="str">
        <f>+IF(L53="","",IF(VLOOKUP(MATCH(L53,tid,0),tao,'12(id)'!$EJ$20,FALSE)="","",VLOOKUP(MATCH(L53,tid,0),tao,'12(id)'!$EJ$20,FALSE)))</f>
        <v/>
      </c>
      <c r="AC53" s="4436">
        <f>+IF(L53="","",IF(VLOOKUP(MATCH(L53,tid,0),tao,'12(id)'!$EL$20,FALSE)="","",VLOOKUP(MATCH(L53,tid,0),tao,'12(id)'!$EL$20,FALSE)))</f>
        <v>0.21</v>
      </c>
      <c r="AD53" s="4438" t="s">
        <v>1180</v>
      </c>
      <c r="AE53" s="4419">
        <f t="shared" si="68"/>
        <v>0.21</v>
      </c>
      <c r="AF53" s="4420"/>
      <c r="AG53" s="562">
        <f>+IF(L53="","",IF(VLOOKUP(MATCH(L53,tid,0),tao,'12(id)'!$GY$20,FALSE)="","",VLOOKUP(MATCH(L53,tid,0),tao,'12(id)'!$GY$20,FALSE)))</f>
        <v>418.45</v>
      </c>
      <c r="AH53" s="563">
        <f>+IF(L53="","",IF(VLOOKUP(MATCH(L53,tid,0),tao,'12(id)'!$HL$20,FALSE)="","",VLOOKUP(MATCH(L53,tid,0),tao,'12(id)'!$HL$20,FALSE)))</f>
        <v>31.48</v>
      </c>
      <c r="AI53" s="7854">
        <f>+IF(L53="","",IF(2010-VLOOKUP(MATCH(L53,epa_id,0),epa,'A1(epa)'!$U$17,FALSE)=0,IF(VLOOKUP(MATCH(L53,epa_id,0),epa,'A1(epa)'!$U$17,FALSE)=0,"",VLOOKUP(MATCH(L53,epa_id,0),epa,'A1(epa)'!$U$17,FALSE))))</f>
        <v>2010</v>
      </c>
      <c r="AJ53" s="608">
        <f>+IF(L53="","",IF(2010-VLOOKUP(MATCH(L53,epa_id,0),epa,'A1(epa)'!$U$17,FALSE)=0,IF(VLOOKUP(MATCH(L53,epa_id,0),epa,'A1(epa)'!$W$17,FALSE)=0,"",VLOOKUP(MATCH(L53,epa_id,0),epa,'A1(epa)'!$W$17,FALSE))))</f>
        <v>707</v>
      </c>
      <c r="AK53" s="515">
        <f>+IF(L53="","",IF(2010-VLOOKUP(MATCH(L53,epa_id,0),epa,'A1(epa)'!$U$17,FALSE)=0,IF(VLOOKUP(MATCH(L53,epa_id,0),epa,'A1(epa)'!$X$17,FALSE)=0,"",VLOOKUP(MATCH(L53,epa_id,0),epa,'A1(epa)'!$X$17,FALSE))))</f>
        <v>5</v>
      </c>
      <c r="AL53" s="608">
        <f>+IF(L53="","",IF(2010-VLOOKUP(MATCH(L53,epa_id,0),epa,'A1(epa)'!$U$17,FALSE)=0,IF(VLOOKUP(MATCH(L53,epa_id,0),epa,'A1(epa)'!$Y$17,FALSE)=0,"",VLOOKUP(MATCH(L53,epa_id,0),epa,'A1(epa)'!$Y$17,FALSE))))</f>
        <v>32380</v>
      </c>
      <c r="AM53" s="5791">
        <f>+IF(L53="","",IF(2010-VLOOKUP(MATCH(L53,epa_id,0),epa,'A1(epa)'!$U$17,FALSE)=0,IF(VLOOKUP(MATCH(L53,epa_id,0),epa,'A1(epa)'!$AA$17,FALSE)=0,"",VLOOKUP(MATCH(L53,epa_id,0),epa,'A1(epa)'!$AA$17,FALSE))))</f>
        <v>0.13</v>
      </c>
      <c r="AN53" s="5792">
        <f>+IF(L53="","",IF(2010-VLOOKUP(MATCH(L53,epa_id,0),epa,'A1(epa)'!$U$17,FALSE)=0,IF(VLOOKUP(MATCH(L53,epa_id,0),epa,'A1(epa)'!$AB$17,FALSE)=0,"",VLOOKUP(MATCH(L53,epa_id,0),epa,'A1(epa)'!$AB$17,FALSE))))</f>
        <v>30.6</v>
      </c>
      <c r="AO53" s="5793">
        <f t="shared" si="33"/>
        <v>0.13</v>
      </c>
      <c r="AP53" s="5794">
        <f t="shared" si="5"/>
        <v>30.6</v>
      </c>
      <c r="AQ53" s="5795">
        <f t="shared" si="34"/>
        <v>945.02779493514515</v>
      </c>
      <c r="AR53" s="608">
        <f>+IF(L53="","",IF(2010-VLOOKUP(MATCH(L53,epa_id,0),epa,'A1(epa)'!$U$17,FALSE)=0,IF(VLOOKUP(MATCH(L53,epa_id,0),epa,'A1(epa)'!$AC$17,FALSE)=0,"",VLOOKUP(MATCH(L53,epa_id,0),epa,'A1(epa)'!$AC$17,FALSE))))</f>
        <v>374772</v>
      </c>
      <c r="AS53" s="52" t="str">
        <f>+IF(L53="","",IF(2010-VLOOKUP(MATCH(L53,epa_id,0),epa,'A1(epa)'!$U$17,FALSE)=0,IF(VLOOKUP(MATCH(L53,epa_id,0),epa,'A1(epa)'!$AP$17,FALSE)=0,"",VLOOKUP(MATCH(L53,epa_id,0),epa,'A1(epa)'!$AP$17,FALSE))))</f>
        <v>Residual Oil</v>
      </c>
      <c r="AT53" s="5619" t="str">
        <f>+IF(L53="","",IF(2010-VLOOKUP(MATCH(L53,epa_id,0),epa,'A1(epa)'!$U$17,FALSE)=0,IF(VLOOKUP(MATCH(L53,epa_id,0),epa,'A1(epa)'!$AQ$17,FALSE)=0,"",VLOOKUP(MATCH(L53,epa_id,0),epa,'A1(epa)'!$AQ$17,FALSE))))</f>
        <v/>
      </c>
      <c r="AU53" s="7854">
        <f>+IF(L53="","",IF(2009-VLOOKUP(MATCH(L53,epa_id,0)+1,epa,'A1(epa)'!$U$17,FALSE)=0,IF(VLOOKUP(MATCH(L53,epa_id,0)+1,epa,'A1(epa)'!$U$17,FALSE)=0,"",VLOOKUP(MATCH(L53,epa_id,0)+1,epa,'A1(epa)'!$U$17,FALSE))))</f>
        <v>2009</v>
      </c>
      <c r="AV53" s="7832">
        <f>+IF(L53="","",IF(2009-VLOOKUP(MATCH(L53,epa_id,0)+1,epa,'A1(epa)'!$U$17,FALSE)=0,IF(VLOOKUP(MATCH(L53,epa_id,0)+1,epa,'A1(epa)'!$W$17,FALSE)=0,"",VLOOKUP(MATCH(L53,epa_id,0)+1,epa,'A1(epa)'!$W$17,FALSE))))</f>
        <v>219</v>
      </c>
      <c r="AW53" s="5154">
        <f>+IF(L53="","",IF(2009-VLOOKUP(MATCH(L53,epa_id,0)+1,epa,'A1(epa)'!$U$17,FALSE)=0,IF(VLOOKUP(MATCH(L53,epa_id,0)+1,epa,'A1(epa)'!$X$17,FALSE)=0,"",VLOOKUP(MATCH(L53,epa_id,0)+1,epa,'A1(epa)'!$X$17,FALSE))))</f>
        <v>5</v>
      </c>
      <c r="AX53" s="608">
        <f>+IF(L53="","",IF(2009-VLOOKUP(MATCH(L53,epa_id,0)+1,epa,'A1(epa)'!$U$17,FALSE)=0,IF(VLOOKUP(MATCH(L53,epa_id,0)+1,epa,'A1(epa)'!$Y$17,FALSE)=0,"",VLOOKUP(MATCH(L53,epa_id,0)+1,epa,'A1(epa)'!$Y$17,FALSE))))</f>
        <v>8286</v>
      </c>
      <c r="AY53" s="607">
        <f>+IF(L53="","",IF(2009-VLOOKUP(MATCH(L53,epa_id,0)+1,epa,'A1(epa)'!$U$17,FALSE)=0,IF(VLOOKUP(MATCH(L53,epa_id,0)+1,epa,'A1(epa)'!$AA$17,FALSE)=0,"",VLOOKUP(MATCH(L53,epa_id,0)+1,epa,'A1(epa)'!$AA$17,FALSE))))</f>
        <v>0.1</v>
      </c>
      <c r="AZ53" s="1968">
        <f>+IF(L53="","",IF(2009-VLOOKUP(MATCH(L53,epa_id,0)+1,epa,'A1(epa)'!$U$17,FALSE)=0,IF(VLOOKUP(MATCH(L53,epa_id,0)+1,epa,'A1(epa)'!$AB$17,FALSE)=0,"",VLOOKUP(MATCH(L53,epa_id,0)+1,epa,'A1(epa)'!$AB$17,FALSE))))</f>
        <v>7.6</v>
      </c>
      <c r="BA53" s="5682">
        <f t="shared" si="35"/>
        <v>0.1</v>
      </c>
      <c r="BB53" s="5683">
        <f t="shared" si="36"/>
        <v>7.6</v>
      </c>
      <c r="BC53" s="5392">
        <f t="shared" si="37"/>
        <v>917.20975138788322</v>
      </c>
      <c r="BD53" s="608">
        <f>+IF(L53="","",IF(2009-VLOOKUP(MATCH(L53,epa_id,0)+1,epa,'A1(epa)'!$U$17,FALSE)=0,IF(VLOOKUP(MATCH(L53,epa_id,0)+1,epa,'A1(epa)'!$AC$17,FALSE)=0,"",VLOOKUP(MATCH(L53,epa_id,0)+1,epa,'A1(epa)'!$AC$17,FALSE))))</f>
        <v>101788</v>
      </c>
      <c r="BE53" s="5154" t="str">
        <f>+IF(L53="","",IF(2009-VLOOKUP(MATCH(L53,epa_id,0)+1,epa,'A1(epa)'!$U$17,FALSE)=0,IF(VLOOKUP(MATCH(L53,epa_id,0)+1,epa,'A1(epa)'!$AP$17,FALSE)=0,"",VLOOKUP(MATCH(L53,epa_id,0)+1,epa,'A1(epa)'!$AP$17,FALSE))))</f>
        <v>Residual Oil</v>
      </c>
      <c r="BF53" s="516" t="str">
        <f>+IF(L53="","",IF(2009-VLOOKUP(MATCH(L53,epa_id,0)+1,epa,'A1(epa)'!$U$17,FALSE)=0,IF(VLOOKUP(MATCH(L53,epa_id,0)+1,epa,'A1(epa)'!$AQ$17,FALSE)=0,"",VLOOKUP(MATCH(L53,epa_id,0)+1,epa,'A1(epa)'!$AQ$17,FALSE))))</f>
        <v/>
      </c>
      <c r="BG53" s="127">
        <f>+IF(L53="","",IF(2008-VLOOKUP(MATCH(L53,epa_id,0)+2,epa,'A1(epa)'!$U$17,FALSE)=0,IF(VLOOKUP(MATCH(L53,epa_id,0)+2,epa,'A1(epa)'!$U$17,FALSE)=0,"",VLOOKUP(MATCH(L53,epa_id,0)+2,epa,'A1(epa)'!$U$17,FALSE))))</f>
        <v>2008</v>
      </c>
      <c r="BH53" s="5154">
        <f>+IF(L53="","",IF(2008-VLOOKUP(MATCH(L53,epa_id,0)+2,epa,'A1(epa)'!$U$17,FALSE)=0,IF(VLOOKUP(MATCH(L53,epa_id,0)+2,epa,'A1(epa)'!$W$17,FALSE)=0,"",VLOOKUP(MATCH(L53,epa_id,0)+2,epa,'A1(epa)'!$W$17,FALSE))))</f>
        <v>829</v>
      </c>
      <c r="BI53" s="5154">
        <f>+IF(L53="","",IF(2008-VLOOKUP(MATCH(L53,epa_id,0)+2,epa,'A1(epa)'!$U$17,FALSE)=0,IF(VLOOKUP(MATCH(L53,epa_id,0)+2,epa,'A1(epa)'!$X$17,FALSE)=0,"",VLOOKUP(MATCH(L53,epa_id,0)+2,epa,'A1(epa)'!$X$17,FALSE))))</f>
        <v>5</v>
      </c>
      <c r="BJ53" s="608">
        <f>+IF(L53="","",IF(2008-VLOOKUP(MATCH(L53,epa_id,0)+2,epa,'A1(epa)'!$U$17,FALSE)=0,IF(VLOOKUP(MATCH(L53,epa_id,0)+2,epa,'A1(epa)'!$Y$17,FALSE)=0,"",VLOOKUP(MATCH(L53,epa_id,0)+2,epa,'A1(epa)'!$Y$17,FALSE))))</f>
        <v>48368</v>
      </c>
      <c r="BK53" s="607">
        <f>+IF(L53="","",IF(2008-VLOOKUP(MATCH(L53,epa_id,0)+2,epa,'A1(epa)'!$U$17,FALSE)=0,IF(VLOOKUP(MATCH(L53,epa_id,0)+2,epa,'A1(epa)'!$AA$17,FALSE)=0,"",VLOOKUP(MATCH(L53,epa_id,0)+2,epa,'A1(epa)'!$AA$17,FALSE))))</f>
        <v>0.14000000000000001</v>
      </c>
      <c r="BL53" s="1968">
        <f>+IF(L53="","",IF(2008-VLOOKUP(MATCH(L53,epa_id,0)+2,epa,'A1(epa)'!$U$17,FALSE)=0,IF(VLOOKUP(MATCH(L53,epa_id,0)+2,epa,'A1(epa)'!$AB$17,FALSE)=0,"",VLOOKUP(MATCH(L53,epa_id,0)+2,epa,'A1(epa)'!$AB$17,FALSE))))</f>
        <v>49.5</v>
      </c>
      <c r="BM53" s="5728">
        <f t="shared" si="16"/>
        <v>0.14000000000000001</v>
      </c>
      <c r="BN53" s="5729">
        <f t="shared" si="9"/>
        <v>49.5</v>
      </c>
      <c r="BO53" s="5730">
        <f t="shared" si="10"/>
        <v>1023.4039034072114</v>
      </c>
      <c r="BP53" s="5635">
        <f>+IF(L53="","",IF(2008-VLOOKUP(MATCH(L53,epa_id,0)+2,epa,'A1(epa)'!$U$17,FALSE)=0,IF(VLOOKUP(MATCH(L53,epa_id,0)+2,epa,'A1(epa)'!$AC$17,FALSE)=0,"",VLOOKUP(MATCH(L53,epa_id,0)+2,epa,'A1(epa)'!$AC$17,FALSE))))</f>
        <v>624903</v>
      </c>
      <c r="BQ53" s="4708" t="str">
        <f>+IF(L53="","",IF(2008-VLOOKUP(MATCH(L53,epa_id,0)+2,epa,'A1(epa)'!$U$17,FALSE)=0,IF(VLOOKUP(MATCH(L53,epa_id,0)+2,epa,'A1(epa)'!$AP$17,FALSE)=0,"",VLOOKUP(MATCH(L53,epa_id,0)+2,epa,'A1(epa)'!$AP$17,FALSE))))</f>
        <v>Residual Oil</v>
      </c>
      <c r="BR53" s="5619" t="str">
        <f>+IF(L53="","",IF(2008-VLOOKUP(MATCH(L53,epa_id,0)+2,epa,'A1(epa)'!$U$17,FALSE)=0,IF(VLOOKUP(MATCH(L53,epa_id,0)+2,epa,'A1(epa)'!$AQ$17,FALSE)=0,"",VLOOKUP(MATCH(L53,epa_id,0)+2,epa,'A1(epa)'!$AQ$17,FALSE))))</f>
        <v/>
      </c>
      <c r="BS53" s="5606" t="str">
        <f>+IF(L53="","",IF(2010-VLOOKUP(MATCH(L53,epa_id,0),epa,'A1(epa)'!$U$17,FALSE)=0,IF(VLOOKUP(MATCH(L53,epa_id,0),epa,'A1(epa)'!$AS$17,FALSE)=0,"",VLOOKUP(MATCH(L53,epa_id,0),epa,'A1(epa)'!$AS$17,FALSE))))</f>
        <v>Selective Non-catalytic Reduction</v>
      </c>
      <c r="BT53" s="52" t="str">
        <f>+IF(L53="","",IF(2010-VLOOKUP(MATCH(L53,epa_id,0),epa,'A1(epa)'!$U$17,FALSE)=0,IF(VLOOKUP(MATCH(L53,epa_id,0),epa,'A1(epa)'!$AT$17,FALSE)=0,"",VLOOKUP(MATCH(L53,epa_id,0),epa,'A1(epa)'!$AT$17,FALSE))))</f>
        <v/>
      </c>
      <c r="BU53" s="52" t="str">
        <f>+IF(L53="","",IF(2010-VLOOKUP(MATCH(L53,epa_id,0),epa,'A1(epa)'!$U$17,FALSE)=0,IF(VLOOKUP(MATCH(L53,epa_id,0),epa,'A1(epa)'!$AU$17,FALSE)=0,"",VLOOKUP(MATCH(L53,epa_id,0),epa,'A1(epa)'!$AU$17,FALSE))))</f>
        <v/>
      </c>
      <c r="BV53" s="52" t="str">
        <f>+IF(L53="","",IF(2010-VLOOKUP(MATCH(L53,epa_id,0),epa,'A1(epa)'!$U$17,FALSE)=0,IF(VLOOKUP(MATCH(L53,epa_id,0),epa,'A1(epa)'!$AR$17,FALSE)=0,"",VLOOKUP(MATCH(L53,epa_id,0),epa,'A1(epa)'!$AR$17,FALSE))))</f>
        <v/>
      </c>
      <c r="BW53" s="5592" t="str">
        <f>+IF(L53="","",IF(2010-VLOOKUP(MATCH(L53,epa_id,0),epa,'A1(epa)'!$U$17,FALSE)=0,IF(VLOOKUP(MATCH(L53,epa_id,0),epa,'A1(epa)'!$AV$17,FALSE)=0,"",VLOOKUP(MATCH(L53,epa_id,0),epa,'A1(epa)'!$AV$17,FALSE))))</f>
        <v>Electrostatic Precipitator</v>
      </c>
      <c r="BX53" s="519">
        <f>+IF(L53="","",IF(2010-VLOOKUP(MATCH(L53,epa_id,0),epa,'A1(epa)'!$U$17,FALSE)=0,IF(VLOOKUP(MATCH(L53,epa_id,0),epa,'A1(epa)'!$AW$17,FALSE)=0,"",VLOOKUP(MATCH(L53,epa_id,0),epa,'A1(epa)'!$AW$17,FALSE))))</f>
        <v>1776</v>
      </c>
      <c r="BY53" s="5415"/>
      <c r="BZ53" s="519">
        <f t="shared" si="38"/>
        <v>961.8804832434131</v>
      </c>
      <c r="CA53" s="5415"/>
      <c r="CB53" s="584">
        <f t="shared" si="39"/>
        <v>707</v>
      </c>
      <c r="CC53" s="4379">
        <f t="shared" si="40"/>
        <v>32380</v>
      </c>
      <c r="CD53" s="515">
        <f t="shared" si="41"/>
        <v>374772</v>
      </c>
      <c r="CE53" s="4387">
        <f t="shared" si="42"/>
        <v>30.6</v>
      </c>
      <c r="CF53" s="4390">
        <f t="shared" si="43"/>
        <v>0.13</v>
      </c>
      <c r="CG53" s="517">
        <f t="shared" si="44"/>
        <v>0.16329928596586726</v>
      </c>
      <c r="CH53" s="522">
        <f t="shared" si="45"/>
        <v>2.3097494478906261E-4</v>
      </c>
      <c r="CI53" s="520">
        <f t="shared" si="46"/>
        <v>219</v>
      </c>
      <c r="CJ53" s="4379">
        <f t="shared" si="47"/>
        <v>8286</v>
      </c>
      <c r="CK53" s="515">
        <f t="shared" si="48"/>
        <v>101788</v>
      </c>
      <c r="CL53" s="521">
        <f t="shared" si="49"/>
        <v>7.6</v>
      </c>
      <c r="CM53" s="4396">
        <f t="shared" si="50"/>
        <v>0.1</v>
      </c>
      <c r="CN53" s="517">
        <f t="shared" si="51"/>
        <v>0.14932997995834479</v>
      </c>
      <c r="CO53" s="522">
        <f t="shared" si="52"/>
        <v>6.8187205460431416E-4</v>
      </c>
      <c r="CP53" s="520">
        <f t="shared" si="53"/>
        <v>829</v>
      </c>
      <c r="CQ53" s="4379">
        <f t="shared" si="54"/>
        <v>48368</v>
      </c>
      <c r="CR53" s="515">
        <f t="shared" si="55"/>
        <v>624903</v>
      </c>
      <c r="CS53" s="521">
        <f t="shared" si="56"/>
        <v>49.5</v>
      </c>
      <c r="CT53" s="4396">
        <f t="shared" si="57"/>
        <v>0.14000000000000001</v>
      </c>
      <c r="CU53" s="517">
        <f t="shared" si="58"/>
        <v>0.15842458749597937</v>
      </c>
      <c r="CV53" s="523">
        <f t="shared" si="59"/>
        <v>1.9110324185280986E-4</v>
      </c>
      <c r="CW53" s="605">
        <f t="shared" si="60"/>
        <v>2008</v>
      </c>
      <c r="CX53" s="606">
        <f t="shared" si="61"/>
        <v>829</v>
      </c>
      <c r="CY53" s="5582">
        <f t="shared" si="62"/>
        <v>48368</v>
      </c>
      <c r="CZ53" s="608">
        <f t="shared" si="63"/>
        <v>624903</v>
      </c>
      <c r="DA53" s="518">
        <f t="shared" si="64"/>
        <v>49.5</v>
      </c>
      <c r="DB53" s="607">
        <f t="shared" si="65"/>
        <v>0.14000000000000001</v>
      </c>
      <c r="DC53" s="607">
        <f t="shared" si="66"/>
        <v>0.158</v>
      </c>
      <c r="DD53" s="522">
        <f t="shared" si="67"/>
        <v>5.9710494571773222E-2</v>
      </c>
      <c r="DE53" s="595">
        <f t="shared" si="31"/>
        <v>2.9855247285886612</v>
      </c>
      <c r="DF53" s="595"/>
      <c r="DG53" s="5356"/>
      <c r="DH53" s="5348"/>
      <c r="DI53" s="5348"/>
    </row>
    <row r="54" spans="1:113" s="479" customFormat="1" ht="25.5" customHeight="1" thickBot="1">
      <c r="A54" s="5370" t="str">
        <f t="shared" si="13"/>
        <v>8306-07</v>
      </c>
      <c r="B54" s="9571" t="str">
        <f>+IF(A54="","",VLOOKUP(MATCH(A54,tid,0),tao,'12(id)'!$J$20,FALSE))</f>
        <v>NRG</v>
      </c>
      <c r="C54" s="5371" t="str">
        <f t="shared" si="32"/>
        <v>NH2 </v>
      </c>
      <c r="D54" s="5359"/>
      <c r="E54" s="5351"/>
      <c r="F54" s="5359"/>
      <c r="G54" s="4445">
        <f t="shared" si="17"/>
        <v>36</v>
      </c>
      <c r="H54" s="4398">
        <v>7</v>
      </c>
      <c r="I54" s="7837">
        <f>+IF(L54="","",IF(VLOOKUP(MATCH(L54,tid,0),tao,'12(id)'!$H$20,FALSE)="","",VLOOKUP(MATCH(L54,tid,0),tao,'12(id)'!$H$20,FALSE)))</f>
        <v>22</v>
      </c>
      <c r="J54" s="9525"/>
      <c r="K54" s="9518">
        <f>+IF(L54="","",IF(VLOOKUP(MATCH(L54,tid,0),tao,'12(id)'!$K$20,FALSE)="","",VLOOKUP(MATCH(L54,tid,0),tao,'12(id)'!$K$20,FALSE)))</f>
        <v>8306</v>
      </c>
      <c r="L54" s="565" t="s">
        <v>299</v>
      </c>
      <c r="M54" s="9520" t="str">
        <f>+IF(L54="","",IF(VLOOKUP(MATCH(L54,tid,0),tao,'12(id)'!$L$20,FALSE)="","",VLOOKUP(MATCH(L54,tid,0),tao,'12(id)'!$L$20,FALSE)))</f>
        <v>Norwalk Harbor Station</v>
      </c>
      <c r="N54" s="7837" t="str">
        <f>+IF(L54="","",IF(VLOOKUP(MATCH(L54,tid,0),tao,'12(id)'!$P$20,FALSE)="","",VLOOKUP(MATCH(L54,tid,0),tao,'12(id)'!$P$20,FALSE)))</f>
        <v>Norwalk Harbor-2</v>
      </c>
      <c r="O54" s="566" t="str">
        <f>+IF(L54="","",IF(VLOOKUP(MATCH(L54,tid,0),tao,'12(id)'!$Q$20,FALSE)="","",VLOOKUP(MATCH(L54,tid,0),tao,'12(id)'!$Q$20,FALSE)))</f>
        <v>NH2 </v>
      </c>
      <c r="P54" s="567">
        <f>+IF(L54="","",IF(VLOOKUP(MATCH(L54,tid,0),tao,'12(id)'!$CT$20,FALSE)="","",VLOOKUP(MATCH(L54,tid,0),tao,'12(id)'!$CT$20,FALSE)))</f>
        <v>172</v>
      </c>
      <c r="Q54" s="9529"/>
      <c r="R54" s="568" t="str">
        <f>+IF(L54="","",IF(VLOOKUP(MATCH(L54,tid,0),tao,'12(id)'!$T$20,FALSE)="","",VLOOKUP(MATCH(L54,tid,0),tao,'12(id)'!$T$20,FALSE)))</f>
        <v>Utility Boiler</v>
      </c>
      <c r="S54" s="569" t="str">
        <f>+IF(L54="","",IF(VLOOKUP(MATCH(L54,tid,0),tao,'12(id)'!$CO$20,FALSE)="","",VLOOKUP(MATCH(L54,tid,0),tao,'12(id)'!$CO$20,FALSE)))</f>
        <v>Combustion Engineering</v>
      </c>
      <c r="T54" s="568" t="str">
        <f>+IF(L54="","",IF(VLOOKUP(MATCH(L54,tid,0),tao,'12(id)'!$CP$20,FALSE)="","",VLOOKUP(MATCH(L54,tid,0),tao,'12(id)'!$CP$20,FALSE)))</f>
        <v>Tangential fired</v>
      </c>
      <c r="U54" s="7843" t="str">
        <f>+IF(L54="","",IF(VLOOKUP(MATCH(L54,tid,0),tao,'12(id)'!$DC$20,FALSE)="","",IF(VLOOKUP(MATCH(L54,tid,0),tao,'12(id)'!$DB$20,FALSE)="",VLOOKUP(MATCH(L54,tid,0),tao,'12(id)'!$DC$20,FALSE),VLOOKUP(MATCH(L54,tid,0),tao,'12(id)'!$DB$20,FALSE)&amp;" "&amp;VLOOKUP(MATCH(L54,tid,0),tao,'12(id)'!$DC$20,FALSE))))</f>
        <v/>
      </c>
      <c r="V54" s="286" t="str">
        <f>+IF(L54="","",IF(VLOOKUP(MATCH(L54,tid,0),tao,'12(id)'!$DE$20,FALSE)="","",ROUND(VLOOKUP(MATCH(L54,tid,0),tao,'12(id)'!$DE$20,FALSE),0)))</f>
        <v/>
      </c>
      <c r="W54" s="7837" t="str">
        <f>+IF(L54="","",IF(VLOOKUP(G54,tao,'12(id)'!$FR$20,FALSE)="","",VLOOKUP(G54,tao,'12(id)'!$FR$20,FALSE)&amp;IF(VLOOKUP(G54,tao,'12(id)'!$FS$20,FALSE)="","",", "&amp;VLOOKUP(G54,tao,'12(id)'!$FS$20,FALSE))))</f>
        <v>None</v>
      </c>
      <c r="X54" s="7837" t="str">
        <f>+IF(L54="","",IF(VLOOKUP(MATCH(L54,tid,0),tao,'12(id)'!$DI$20,FALSE)="","",VLOOKUP(MATCH(L54,tid,0),tao,'12(id)'!$DI$20,FALSE)))</f>
        <v>No. 6 oil</v>
      </c>
      <c r="Y54" s="7837" t="str">
        <f>+IF(L54="","",IF(VLOOKUP(MATCH(L54,tid,0),tao,'12(id)'!$DQ$20,FALSE)="","",VLOOKUP(MATCH(L54,tid,0),tao,'12(id)'!$DQ$20,FALSE)))</f>
        <v>No. 2 oil</v>
      </c>
      <c r="Z54" s="4429">
        <f>+IF(L54="","",IF(VLOOKUP(MATCH(L54,tid,0),tao,'12(id)'!$EH$20,FALSE)="","",VLOOKUP(MATCH(L54,tid,0),tao,'12(id)'!$EH$20,FALSE)))</f>
        <v>1776</v>
      </c>
      <c r="AA54" s="4430" t="str">
        <f>+IF(L54="","",IF(VLOOKUP(MATCH(L54,tid,0),tao,'12(id)'!$EI$20,FALSE)="","",VLOOKUP(MATCH(L54,tid,0),tao,'12(id)'!$EI$20,FALSE)))</f>
        <v/>
      </c>
      <c r="AB54" s="4430" t="str">
        <f>+IF(L54="","",IF(VLOOKUP(MATCH(L54,tid,0),tao,'12(id)'!$EJ$20,FALSE)="","",VLOOKUP(MATCH(L54,tid,0),tao,'12(id)'!$EJ$20,FALSE)))</f>
        <v/>
      </c>
      <c r="AC54" s="4434">
        <f>+IF(L54="","",IF(VLOOKUP(MATCH(L54,tid,0),tao,'12(id)'!$EL$20,FALSE)="","",VLOOKUP(MATCH(L54,tid,0),tao,'12(id)'!$EL$20,FALSE)))</f>
        <v>0.21</v>
      </c>
      <c r="AD54" s="4437" t="s">
        <v>1180</v>
      </c>
      <c r="AE54" s="4411">
        <f t="shared" si="68"/>
        <v>0.21</v>
      </c>
      <c r="AF54" s="4431"/>
      <c r="AG54" s="570">
        <f>+IF(L54="","",IF(VLOOKUP(MATCH(L54,tid,0),tao,'12(id)'!$GY$20,FALSE)="","",VLOOKUP(MATCH(L54,tid,0),tao,'12(id)'!$GY$20,FALSE)))</f>
        <v>565.35</v>
      </c>
      <c r="AH54" s="571">
        <f>+IF(L54="","",IF(VLOOKUP(MATCH(L54,tid,0),tao,'12(id)'!$HL$20,FALSE)="","",VLOOKUP(MATCH(L54,tid,0),tao,'12(id)'!$HL$20,FALSE)))</f>
        <v>38.86</v>
      </c>
      <c r="AI54" s="564">
        <f>+IF(L54="","",IF(2010-VLOOKUP(MATCH(L54,epa_id,0),epa,'A1(epa)'!$U$17,FALSE)=0,IF(VLOOKUP(MATCH(L54,epa_id,0),epa,'A1(epa)'!$U$17,FALSE)=0,"",VLOOKUP(MATCH(L54,epa_id,0),epa,'A1(epa)'!$U$17,FALSE))))</f>
        <v>2010</v>
      </c>
      <c r="AJ54" s="5650">
        <f>+IF(L54="","",IF(2010-VLOOKUP(MATCH(L54,epa_id,0),epa,'A1(epa)'!$U$17,FALSE)=0,IF(VLOOKUP(MATCH(L54,epa_id,0),epa,'A1(epa)'!$W$17,FALSE)=0,"",VLOOKUP(MATCH(L54,epa_id,0),epa,'A1(epa)'!$W$17,FALSE))))</f>
        <v>711</v>
      </c>
      <c r="AK54" s="572">
        <f>+IF(L54="","",IF(2010-VLOOKUP(MATCH(L54,epa_id,0),epa,'A1(epa)'!$U$17,FALSE)=0,IF(VLOOKUP(MATCH(L54,epa_id,0),epa,'A1(epa)'!$X$17,FALSE)=0,"",VLOOKUP(MATCH(L54,epa_id,0),epa,'A1(epa)'!$X$17,FALSE))))</f>
        <v>5</v>
      </c>
      <c r="AL54" s="5650">
        <f>+IF(L54="","",IF(2010-VLOOKUP(MATCH(L54,epa_id,0),epa,'A1(epa)'!$U$17,FALSE)=0,IF(VLOOKUP(MATCH(L54,epa_id,0),epa,'A1(epa)'!$Y$17,FALSE)=0,"",VLOOKUP(MATCH(L54,epa_id,0),epa,'A1(epa)'!$Y$17,FALSE))))</f>
        <v>35972</v>
      </c>
      <c r="AM54" s="5816">
        <f>+IF(L54="","",IF(2010-VLOOKUP(MATCH(L54,epa_id,0),epa,'A1(epa)'!$U$17,FALSE)=0,IF(VLOOKUP(MATCH(L54,epa_id,0),epa,'A1(epa)'!$AA$17,FALSE)=0,"",VLOOKUP(MATCH(L54,epa_id,0),epa,'A1(epa)'!$AA$17,FALSE))))</f>
        <v>0.13</v>
      </c>
      <c r="AN54" s="5817">
        <f>+IF(L54="","",IF(2010-VLOOKUP(MATCH(L54,epa_id,0),epa,'A1(epa)'!$U$17,FALSE)=0,IF(VLOOKUP(MATCH(L54,epa_id,0),epa,'A1(epa)'!$AB$17,FALSE)=0,"",VLOOKUP(MATCH(L54,epa_id,0),epa,'A1(epa)'!$AB$17,FALSE))))</f>
        <v>34.299999999999997</v>
      </c>
      <c r="AO54" s="5818">
        <f t="shared" si="33"/>
        <v>0.13</v>
      </c>
      <c r="AP54" s="5819">
        <f t="shared" si="5"/>
        <v>34.299999999999997</v>
      </c>
      <c r="AQ54" s="5820">
        <f t="shared" si="34"/>
        <v>953.51940398087402</v>
      </c>
      <c r="AR54" s="5650">
        <f>+IF(L54="","",IF(2010-VLOOKUP(MATCH(L54,epa_id,0),epa,'A1(epa)'!$U$17,FALSE)=0,IF(VLOOKUP(MATCH(L54,epa_id,0),epa,'A1(epa)'!$AC$17,FALSE)=0,"",VLOOKUP(MATCH(L54,epa_id,0),epa,'A1(epa)'!$AC$17,FALSE))))</f>
        <v>420206</v>
      </c>
      <c r="AS54" s="7837" t="str">
        <f>+IF(L54="","",IF(2010-VLOOKUP(MATCH(L54,epa_id,0),epa,'A1(epa)'!$U$17,FALSE)=0,IF(VLOOKUP(MATCH(L54,epa_id,0),epa,'A1(epa)'!$AP$17,FALSE)=0,"",VLOOKUP(MATCH(L54,epa_id,0),epa,'A1(epa)'!$AP$17,FALSE))))</f>
        <v>Residual Oil</v>
      </c>
      <c r="AT54" s="5626" t="str">
        <f>+IF(L54="","",IF(2010-VLOOKUP(MATCH(L54,epa_id,0),epa,'A1(epa)'!$U$17,FALSE)=0,IF(VLOOKUP(MATCH(L54,epa_id,0),epa,'A1(epa)'!$AQ$17,FALSE)=0,"",VLOOKUP(MATCH(L54,epa_id,0),epa,'A1(epa)'!$AQ$17,FALSE))))</f>
        <v/>
      </c>
      <c r="AU54" s="564">
        <f>+IF(L54="","",IF(2009-VLOOKUP(MATCH(L54,epa_id,0)+1,epa,'A1(epa)'!$U$17,FALSE)=0,IF(VLOOKUP(MATCH(L54,epa_id,0)+1,epa,'A1(epa)'!$U$17,FALSE)=0,"",VLOOKUP(MATCH(L54,epa_id,0)+1,epa,'A1(epa)'!$U$17,FALSE))))</f>
        <v>2009</v>
      </c>
      <c r="AV54" s="7843">
        <f>+IF(L54="","",IF(2009-VLOOKUP(MATCH(L54,epa_id,0)+1,epa,'A1(epa)'!$U$17,FALSE)=0,IF(VLOOKUP(MATCH(L54,epa_id,0)+1,epa,'A1(epa)'!$W$17,FALSE)=0,"",VLOOKUP(MATCH(L54,epa_id,0)+1,epa,'A1(epa)'!$W$17,FALSE))))</f>
        <v>184</v>
      </c>
      <c r="AW54" s="565">
        <f>+IF(L54="","",IF(2009-VLOOKUP(MATCH(L54,epa_id,0)+1,epa,'A1(epa)'!$U$17,FALSE)=0,IF(VLOOKUP(MATCH(L54,epa_id,0)+1,epa,'A1(epa)'!$X$17,FALSE)=0,"",VLOOKUP(MATCH(L54,epa_id,0)+1,epa,'A1(epa)'!$X$17,FALSE))))</f>
        <v>5</v>
      </c>
      <c r="AX54" s="5650">
        <f>+IF(L54="","",IF(2009-VLOOKUP(MATCH(L54,epa_id,0)+1,epa,'A1(epa)'!$U$17,FALSE)=0,IF(VLOOKUP(MATCH(L54,epa_id,0)+1,epa,'A1(epa)'!$Y$17,FALSE)=0,"",VLOOKUP(MATCH(L54,epa_id,0)+1,epa,'A1(epa)'!$Y$17,FALSE))))</f>
        <v>10175</v>
      </c>
      <c r="AY54" s="5697">
        <f>+IF(L54="","",IF(2009-VLOOKUP(MATCH(L54,epa_id,0)+1,epa,'A1(epa)'!$U$17,FALSE)=0,IF(VLOOKUP(MATCH(L54,epa_id,0)+1,epa,'A1(epa)'!$AA$17,FALSE)=0,"",VLOOKUP(MATCH(L54,epa_id,0)+1,epa,'A1(epa)'!$AA$17,FALSE))))</f>
        <v>0.13</v>
      </c>
      <c r="AZ54" s="5698">
        <f>+IF(L54="","",IF(2009-VLOOKUP(MATCH(L54,epa_id,0)+1,epa,'A1(epa)'!$U$17,FALSE)=0,IF(VLOOKUP(MATCH(L54,epa_id,0)+1,epa,'A1(epa)'!$AB$17,FALSE)=0,"",VLOOKUP(MATCH(L54,epa_id,0)+1,epa,'A1(epa)'!$AB$17,FALSE))))</f>
        <v>9.1</v>
      </c>
      <c r="BA54" s="5699">
        <f t="shared" si="35"/>
        <v>0.13</v>
      </c>
      <c r="BB54" s="5700">
        <f t="shared" si="36"/>
        <v>9.1</v>
      </c>
      <c r="BC54" s="5395">
        <f t="shared" si="37"/>
        <v>894.34889434889431</v>
      </c>
      <c r="BD54" s="5650">
        <f>+IF(L54="","",IF(2009-VLOOKUP(MATCH(L54,epa_id,0)+1,epa,'A1(epa)'!$U$17,FALSE)=0,IF(VLOOKUP(MATCH(L54,epa_id,0)+1,epa,'A1(epa)'!$AC$17,FALSE)=0,"",VLOOKUP(MATCH(L54,epa_id,0)+1,epa,'A1(epa)'!$AC$17,FALSE))))</f>
        <v>123688</v>
      </c>
      <c r="BE54" s="565" t="str">
        <f>+IF(L54="","",IF(2009-VLOOKUP(MATCH(L54,epa_id,0)+1,epa,'A1(epa)'!$U$17,FALSE)=0,IF(VLOOKUP(MATCH(L54,epa_id,0)+1,epa,'A1(epa)'!$AP$17,FALSE)=0,"",VLOOKUP(MATCH(L54,epa_id,0)+1,epa,'A1(epa)'!$AP$17,FALSE))))</f>
        <v>Residual Oil</v>
      </c>
      <c r="BF54" s="573" t="str">
        <f>+IF(L54="","",IF(2009-VLOOKUP(MATCH(L54,epa_id,0)+1,epa,'A1(epa)'!$U$17,FALSE)=0,IF(VLOOKUP(MATCH(L54,epa_id,0)+1,epa,'A1(epa)'!$AQ$17,FALSE)=0,"",VLOOKUP(MATCH(L54,epa_id,0)+1,epa,'A1(epa)'!$AQ$17,FALSE))))</f>
        <v/>
      </c>
      <c r="BG54" s="287">
        <f>+IF(L54="","",IF(2008-VLOOKUP(MATCH(L54,epa_id,0)+2,epa,'A1(epa)'!$U$17,FALSE)=0,IF(VLOOKUP(MATCH(L54,epa_id,0)+2,epa,'A1(epa)'!$U$17,FALSE)=0,"",VLOOKUP(MATCH(L54,epa_id,0)+2,epa,'A1(epa)'!$U$17,FALSE))))</f>
        <v>2008</v>
      </c>
      <c r="BH54" s="565">
        <f>+IF(L54="","",IF(2008-VLOOKUP(MATCH(L54,epa_id,0)+2,epa,'A1(epa)'!$U$17,FALSE)=0,IF(VLOOKUP(MATCH(L54,epa_id,0)+2,epa,'A1(epa)'!$W$17,FALSE)=0,"",VLOOKUP(MATCH(L54,epa_id,0)+2,epa,'A1(epa)'!$W$17,FALSE))))</f>
        <v>1523</v>
      </c>
      <c r="BI54" s="565">
        <f>+IF(L54="","",IF(2008-VLOOKUP(MATCH(L54,epa_id,0)+2,epa,'A1(epa)'!$U$17,FALSE)=0,IF(VLOOKUP(MATCH(L54,epa_id,0)+2,epa,'A1(epa)'!$X$17,FALSE)=0,"",VLOOKUP(MATCH(L54,epa_id,0)+2,epa,'A1(epa)'!$X$17,FALSE))))</f>
        <v>5</v>
      </c>
      <c r="BJ54" s="5650">
        <f>+IF(L54="","",IF(2008-VLOOKUP(MATCH(L54,epa_id,0)+2,epa,'A1(epa)'!$U$17,FALSE)=0,IF(VLOOKUP(MATCH(L54,epa_id,0)+2,epa,'A1(epa)'!$Y$17,FALSE)=0,"",VLOOKUP(MATCH(L54,epa_id,0)+2,epa,'A1(epa)'!$Y$17,FALSE))))</f>
        <v>75250</v>
      </c>
      <c r="BK54" s="5697">
        <f>+IF(L54="","",IF(2008-VLOOKUP(MATCH(L54,epa_id,0)+2,epa,'A1(epa)'!$U$17,FALSE)=0,IF(VLOOKUP(MATCH(L54,epa_id,0)+2,epa,'A1(epa)'!$AA$17,FALSE)=0,"",VLOOKUP(MATCH(L54,epa_id,0)+2,epa,'A1(epa)'!$AA$17,FALSE))))</f>
        <v>0.13</v>
      </c>
      <c r="BL54" s="5698">
        <f>+IF(L54="","",IF(2008-VLOOKUP(MATCH(L54,epa_id,0)+2,epa,'A1(epa)'!$U$17,FALSE)=0,IF(VLOOKUP(MATCH(L54,epa_id,0)+2,epa,'A1(epa)'!$AB$17,FALSE)=0,"",VLOOKUP(MATCH(L54,epa_id,0)+2,epa,'A1(epa)'!$AB$17,FALSE))))</f>
        <v>76.7</v>
      </c>
      <c r="BM54" s="5743">
        <f t="shared" si="16"/>
        <v>0.13</v>
      </c>
      <c r="BN54" s="5744">
        <f t="shared" si="9"/>
        <v>76.7</v>
      </c>
      <c r="BO54" s="5745">
        <f t="shared" si="10"/>
        <v>1019.2691029900333</v>
      </c>
      <c r="BP54" s="5636">
        <f>+IF(L54="","",IF(2008-VLOOKUP(MATCH(L54,epa_id,0)+2,epa,'A1(epa)'!$U$17,FALSE)=0,IF(VLOOKUP(MATCH(L54,epa_id,0)+2,epa,'A1(epa)'!$AC$17,FALSE)=0,"",VLOOKUP(MATCH(L54,epa_id,0)+2,epa,'A1(epa)'!$AC$17,FALSE))))</f>
        <v>1027131</v>
      </c>
      <c r="BQ54" s="5620" t="str">
        <f>+IF(L54="","",IF(2008-VLOOKUP(MATCH(L54,epa_id,0)+2,epa,'A1(epa)'!$U$17,FALSE)=0,IF(VLOOKUP(MATCH(L54,epa_id,0)+2,epa,'A1(epa)'!$AP$17,FALSE)=0,"",VLOOKUP(MATCH(L54,epa_id,0)+2,epa,'A1(epa)'!$AP$17,FALSE))))</f>
        <v>Residual Oil</v>
      </c>
      <c r="BR54" s="5626" t="str">
        <f>+IF(L54="","",IF(2008-VLOOKUP(MATCH(L54,epa_id,0)+2,epa,'A1(epa)'!$U$17,FALSE)=0,IF(VLOOKUP(MATCH(L54,epa_id,0)+2,epa,'A1(epa)'!$AQ$17,FALSE)=0,"",VLOOKUP(MATCH(L54,epa_id,0)+2,epa,'A1(epa)'!$AQ$17,FALSE))))</f>
        <v/>
      </c>
      <c r="BS54" s="5612" t="str">
        <f>+IF(L54="","",IF(2010-VLOOKUP(MATCH(L54,epa_id,0),epa,'A1(epa)'!$U$17,FALSE)=0,IF(VLOOKUP(MATCH(L54,epa_id,0),epa,'A1(epa)'!$AS$17,FALSE)=0,"",VLOOKUP(MATCH(L54,epa_id,0),epa,'A1(epa)'!$AS$17,FALSE))))</f>
        <v>Selective Non-catalytic Reduction</v>
      </c>
      <c r="BT54" s="7837" t="str">
        <f>+IF(L54="","",IF(2010-VLOOKUP(MATCH(L54,epa_id,0),epa,'A1(epa)'!$U$17,FALSE)=0,IF(VLOOKUP(MATCH(L54,epa_id,0),epa,'A1(epa)'!$AT$17,FALSE)=0,"",VLOOKUP(MATCH(L54,epa_id,0),epa,'A1(epa)'!$AT$17,FALSE))))</f>
        <v/>
      </c>
      <c r="BU54" s="7837" t="str">
        <f>+IF(L54="","",IF(2010-VLOOKUP(MATCH(L54,epa_id,0),epa,'A1(epa)'!$U$17,FALSE)=0,IF(VLOOKUP(MATCH(L54,epa_id,0),epa,'A1(epa)'!$AU$17,FALSE)=0,"",VLOOKUP(MATCH(L54,epa_id,0),epa,'A1(epa)'!$AU$17,FALSE))))</f>
        <v/>
      </c>
      <c r="BV54" s="7837" t="str">
        <f>+IF(L54="","",IF(2010-VLOOKUP(MATCH(L54,epa_id,0),epa,'A1(epa)'!$U$17,FALSE)=0,IF(VLOOKUP(MATCH(L54,epa_id,0),epa,'A1(epa)'!$AR$17,FALSE)=0,"",VLOOKUP(MATCH(L54,epa_id,0),epa,'A1(epa)'!$AR$17,FALSE))))</f>
        <v/>
      </c>
      <c r="BW54" s="5597" t="str">
        <f>+IF(L54="","",IF(2010-VLOOKUP(MATCH(L54,epa_id,0),epa,'A1(epa)'!$U$17,FALSE)=0,IF(VLOOKUP(MATCH(L54,epa_id,0),epa,'A1(epa)'!$AV$17,FALSE)=0,"",VLOOKUP(MATCH(L54,epa_id,0),epa,'A1(epa)'!$AV$17,FALSE))))</f>
        <v>Electrostatic Precipitator</v>
      </c>
      <c r="BX54" s="574">
        <f>+IF(L54="","",IF(2010-VLOOKUP(MATCH(L54,epa_id,0),epa,'A1(epa)'!$U$17,FALSE)=0,IF(VLOOKUP(MATCH(L54,epa_id,0),epa,'A1(epa)'!$AW$17,FALSE)=0,"",VLOOKUP(MATCH(L54,epa_id,0),epa,'A1(epa)'!$AW$17,FALSE))))</f>
        <v>1776</v>
      </c>
      <c r="BY54" s="5415"/>
      <c r="BZ54" s="574">
        <f t="shared" si="38"/>
        <v>955.71246710660046</v>
      </c>
      <c r="CA54" s="5415"/>
      <c r="CB54" s="585">
        <f t="shared" si="39"/>
        <v>711</v>
      </c>
      <c r="CC54" s="7819">
        <f t="shared" si="40"/>
        <v>35972</v>
      </c>
      <c r="CD54" s="589">
        <f t="shared" si="41"/>
        <v>420206</v>
      </c>
      <c r="CE54" s="7809">
        <f t="shared" si="42"/>
        <v>34.299999999999997</v>
      </c>
      <c r="CF54" s="4392">
        <f t="shared" si="43"/>
        <v>0.13</v>
      </c>
      <c r="CG54" s="588">
        <f t="shared" si="44"/>
        <v>0.16325326149555217</v>
      </c>
      <c r="CH54" s="533">
        <f t="shared" si="45"/>
        <v>2.296107756618174E-4</v>
      </c>
      <c r="CI54" s="532">
        <f t="shared" si="46"/>
        <v>184</v>
      </c>
      <c r="CJ54" s="7819">
        <f t="shared" si="47"/>
        <v>10175</v>
      </c>
      <c r="CK54" s="589">
        <f t="shared" si="48"/>
        <v>123688</v>
      </c>
      <c r="CL54" s="575">
        <f t="shared" si="49"/>
        <v>9.1</v>
      </c>
      <c r="CM54" s="7799">
        <f t="shared" si="50"/>
        <v>0.13</v>
      </c>
      <c r="CN54" s="588">
        <f t="shared" si="51"/>
        <v>0.14714442791540003</v>
      </c>
      <c r="CO54" s="533">
        <f t="shared" si="52"/>
        <v>7.996979778010871E-4</v>
      </c>
      <c r="CP54" s="532">
        <f t="shared" si="53"/>
        <v>1523</v>
      </c>
      <c r="CQ54" s="7819">
        <f t="shared" si="54"/>
        <v>75250</v>
      </c>
      <c r="CR54" s="589">
        <f t="shared" si="55"/>
        <v>1027131</v>
      </c>
      <c r="CS54" s="575">
        <f t="shared" si="56"/>
        <v>76.7</v>
      </c>
      <c r="CT54" s="7799">
        <f t="shared" si="57"/>
        <v>0.13</v>
      </c>
      <c r="CU54" s="588">
        <f t="shared" si="58"/>
        <v>0.14934803837095756</v>
      </c>
      <c r="CV54" s="534">
        <f t="shared" si="59"/>
        <v>9.8061745483228867E-5</v>
      </c>
      <c r="CW54" s="609">
        <f t="shared" si="60"/>
        <v>2008</v>
      </c>
      <c r="CX54" s="610">
        <f t="shared" si="61"/>
        <v>1523</v>
      </c>
      <c r="CY54" s="7804">
        <f t="shared" si="62"/>
        <v>75250</v>
      </c>
      <c r="CZ54" s="612">
        <f t="shared" si="63"/>
        <v>1027131</v>
      </c>
      <c r="DA54" s="599">
        <f t="shared" si="64"/>
        <v>76.7</v>
      </c>
      <c r="DB54" s="611">
        <f t="shared" si="65"/>
        <v>0.13</v>
      </c>
      <c r="DC54" s="611">
        <f t="shared" si="66"/>
        <v>0.14899999999999999</v>
      </c>
      <c r="DD54" s="600">
        <f t="shared" si="67"/>
        <v>5.0361129349967171E-2</v>
      </c>
      <c r="DE54" s="596">
        <f t="shared" si="31"/>
        <v>2.5180564674983588</v>
      </c>
      <c r="DF54" s="596"/>
      <c r="DG54" s="5356"/>
      <c r="DH54" s="5348"/>
      <c r="DI54" s="5348"/>
    </row>
    <row r="55" spans="1:113" s="479" customFormat="1" ht="25.5" customHeight="1">
      <c r="A55" s="5362" t="str">
        <f t="shared" si="13"/>
        <v>8305-01</v>
      </c>
      <c r="B55" s="5372" t="str">
        <f>+IF(A55="","",VLOOKUP(MATCH(A55,tid,0),tao,'12(id)'!$J$20,FALSE))</f>
        <v>PSEG</v>
      </c>
      <c r="C55" s="5363" t="str">
        <f>+O55</f>
        <v>NHB1</v>
      </c>
      <c r="D55" s="5359"/>
      <c r="E55" s="5351"/>
      <c r="F55" s="5359"/>
      <c r="G55" s="4445">
        <v>37</v>
      </c>
      <c r="H55" s="433">
        <v>10</v>
      </c>
      <c r="I55" s="51">
        <f>+IF(L55="","",IF(VLOOKUP(MATCH(L55,tid,0),tao,'12(id)'!$H$20,FALSE)="","",VLOOKUP(MATCH(L55,tid,0),tao,'12(id)'!$H$20,FALSE)))</f>
        <v>23</v>
      </c>
      <c r="J55" s="9517" t="str">
        <f>+IF(L55="","",IF(VLOOKUP(MATCH(L55,tid,0),tao,'12(id)'!$I$20,FALSE)="","",VLOOKUP(MATCH(L55,tid,0),tao,'12(id)'!$I$20,FALSE)))</f>
        <v>PSEG Power LLC, PSEG Fossil LLC, PSEG Power Connecticut</v>
      </c>
      <c r="K55" s="9517">
        <f>+IF(L55="","",IF(VLOOKUP(MATCH(L55,tid,0),tao,'12(id)'!$K$20,FALSE)="","",VLOOKUP(MATCH(L55,tid,0),tao,'12(id)'!$K$20,FALSE)))</f>
        <v>8305</v>
      </c>
      <c r="L55" s="4384" t="s">
        <v>290</v>
      </c>
      <c r="M55" s="51" t="str">
        <f>+IF(L55="","",IF(VLOOKUP(MATCH(L55,tid,0),tao,'12(id)'!$L$20,FALSE)="","",VLOOKUP(MATCH(L55,tid,0),tao,'12(id)'!$L$20,FALSE)))</f>
        <v>New Haven Harbor</v>
      </c>
      <c r="N55" s="51" t="str">
        <f>+IF(L55="","",IF(VLOOKUP(MATCH(L55,tid,0),tao,'12(id)'!$P$20,FALSE)="","",VLOOKUP(MATCH(L55,tid,0),tao,'12(id)'!$P$20,FALSE)))</f>
        <v>New Haven Harbor Station (NHHS) - Auxiliary Boiler</v>
      </c>
      <c r="O55" s="501" t="str">
        <f>+IF(L55="","",IF(VLOOKUP(MATCH(L55,tid,0),tao,'12(id)'!$Q$20,FALSE)="","",VLOOKUP(MATCH(L55,tid,0),tao,'12(id)'!$Q$20,FALSE)))</f>
        <v>NHB1</v>
      </c>
      <c r="P55" s="576" t="str">
        <f>+IF(L55="","",IF(VLOOKUP(MATCH(L55,tid,0),tao,'12(id)'!$CT$20,FALSE)="","",VLOOKUP(MATCH(L55,tid,0),tao,'12(id)'!$CT$20,FALSE)))</f>
        <v>Unit is a steam boiler, only</v>
      </c>
      <c r="Q55" s="72" t="s">
        <v>839</v>
      </c>
      <c r="R55" s="7898" t="str">
        <f>+IF(L55="","",IF(VLOOKUP(MATCH(L55,tid,0),tao,'12(id)'!$T$20,FALSE)="","",VLOOKUP(MATCH(L55,tid,0),tao,'12(id)'!$T$20,FALSE)))</f>
        <v>Utility Boiler</v>
      </c>
      <c r="S55" s="415" t="str">
        <f>+IF(L55="","",IF(VLOOKUP(MATCH(L55,tid,0),tao,'12(id)'!$CO$20,FALSE)="","",VLOOKUP(MATCH(L55,tid,0),tao,'12(id)'!$CO$20,FALSE)))</f>
        <v>Not Known</v>
      </c>
      <c r="T55" s="7898" t="str">
        <f>+IF(L55="","",IF(VLOOKUP(MATCH(L55,tid,0),tao,'12(id)'!$CP$20,FALSE)="","",VLOOKUP(MATCH(L55,tid,0),tao,'12(id)'!$CP$20,FALSE)))</f>
        <v/>
      </c>
      <c r="U55" s="72">
        <f>+IF(L55="","",IF(VLOOKUP(MATCH(L55,tid,0),tao,'12(id)'!$DC$20,FALSE)="","",IF(VLOOKUP(MATCH(L55,tid,0),tao,'12(id)'!$DB$20,FALSE)="",VLOOKUP(MATCH(L55,tid,0),tao,'12(id)'!$DC$20,FALSE),VLOOKUP(MATCH(L55,tid,0),tao,'12(id)'!$DB$20,FALSE)&amp;" "&amp;VLOOKUP(MATCH(L55,tid,0),tao,'12(id)'!$DC$20,FALSE))))</f>
        <v>1975</v>
      </c>
      <c r="V55" s="134">
        <f ca="1">+IF(L55="","",IF(VLOOKUP(MATCH(L55,tid,0),tao,'12(id)'!$DE$20,FALSE)="","",ROUND(VLOOKUP(MATCH(L55,tid,0),tao,'12(id)'!$DE$20,FALSE),0)))</f>
        <v>40</v>
      </c>
      <c r="W55" s="51" t="str">
        <f>+IF(L55="","",IF(VLOOKUP(G55,tao,'12(id)'!$FR$20,FALSE)="","",VLOOKUP(G55,tao,'12(id)'!$FR$20,FALSE)&amp;IF(VLOOKUP(G55,tao,'12(id)'!$FS$20,FALSE)="","",", "&amp;VLOOKUP(G55,tao,'12(id)'!$FS$20,FALSE))))</f>
        <v>None</v>
      </c>
      <c r="X55" s="51" t="str">
        <f>+IF(L55="","",IF(VLOOKUP(MATCH(L55,tid,0),tao,'12(id)'!$DI$20,FALSE)="","",VLOOKUP(MATCH(L55,tid,0),tao,'12(id)'!$DI$20,FALSE)))</f>
        <v>No. 6 oil</v>
      </c>
      <c r="Y55" s="51" t="str">
        <f>+IF(L55="","",IF(VLOOKUP(MATCH(L55,tid,0),tao,'12(id)'!$DQ$20,FALSE)="","",VLOOKUP(MATCH(L55,tid,0),tao,'12(id)'!$DQ$20,FALSE)))</f>
        <v/>
      </c>
      <c r="Z55" s="4421">
        <f>+IF(L55="","",IF(VLOOKUP(MATCH(L55,tid,0),tao,'12(id)'!$EH$20,FALSE)="","",VLOOKUP(MATCH(L55,tid,0),tao,'12(id)'!$EH$20,FALSE)))</f>
        <v>143.4</v>
      </c>
      <c r="AA55" s="4422" t="str">
        <f>+IF(L55="","",IF(VLOOKUP(MATCH(L55,tid,0),tao,'12(id)'!$EI$20,FALSE)="","","&lt; "&amp;VLOOKUP(MATCH(L55,tid,0),tao,'12(id)'!$EI$20,FALSE)))</f>
        <v>&lt; 0.4</v>
      </c>
      <c r="AB55" s="4422" t="str">
        <f>+IF(L55="","",IF(VLOOKUP(MATCH(L55,tid,0),tao,'12(id)'!$EJ$20,FALSE)="","",VLOOKUP(MATCH(L55,tid,0),tao,'12(id)'!$EJ$20,FALSE)))</f>
        <v/>
      </c>
      <c r="AC55" s="4439">
        <f>+IF(L55="","",IF(VLOOKUP(MATCH(L55,tid,0),tao,'12(id)'!$EL$20,FALSE)="","",VLOOKUP(MATCH(L55,tid,0),tao,'12(id)'!$EL$20,FALSE)))</f>
        <v>0.4</v>
      </c>
      <c r="AD55" s="4424"/>
      <c r="AE55" s="4423"/>
      <c r="AF55" s="4424"/>
      <c r="AG55" s="560" t="str">
        <f>+IF(L55="","",IF(VLOOKUP(MATCH(L55,tid,0),tao,'12(id)'!$GY$20,FALSE)="","",VLOOKUP(MATCH(L55,tid,0),tao,'12(id)'!$GY$20,FALSE)))</f>
        <v/>
      </c>
      <c r="AH55" s="561" t="str">
        <f>+IF(L55="","",IF(VLOOKUP(MATCH(L55,tid,0),tao,'12(id)'!$HL$20,FALSE)="","",VLOOKUP(MATCH(L55,tid,0),tao,'12(id)'!$HL$20,FALSE)))</f>
        <v/>
      </c>
      <c r="AI55" s="7858">
        <f>+IF(L55="","",IF(2010-VLOOKUP(MATCH(L55,epa_id,0),epa,'A1(epa)'!$U$17,FALSE)=0,IF(VLOOKUP(MATCH(L55,epa_id,0),epa,'A1(epa)'!$U$17,FALSE)=0,"",VLOOKUP(MATCH(L55,epa_id,0),epa,'A1(epa)'!$U$17,FALSE))))</f>
        <v>2010</v>
      </c>
      <c r="AJ55" s="604">
        <f>+IF(L55="","",IF(2010-VLOOKUP(MATCH(L55,epa_id,0),epa,'A1(epa)'!$U$17,FALSE)=0,IF(VLOOKUP(MATCH(L55,epa_id,0),epa,'A1(epa)'!$W$17,FALSE)=0,"",VLOOKUP(MATCH(L55,epa_id,0),epa,'A1(epa)'!$W$17,FALSE))))</f>
        <v>849</v>
      </c>
      <c r="AK55" s="539">
        <f>+IF(L55="","",IF(2010-VLOOKUP(MATCH(L55,epa_id,0),epa,'A1(epa)'!$U$17,FALSE)=0,IF(VLOOKUP(MATCH(L55,epa_id,0),epa,'A1(epa)'!$X$17,FALSE)=0,"",VLOOKUP(MATCH(L55,epa_id,0),epa,'A1(epa)'!$X$17,FALSE))))</f>
        <v>5</v>
      </c>
      <c r="AL55" s="604">
        <f>+IF(L55="","",IF(2010-VLOOKUP(MATCH(L55,epa_id,0),epa,'A1(epa)'!$U$17,FALSE)=0,IF(VLOOKUP(MATCH(L55,epa_id,0),epa,'A1(epa)'!$Y$17,FALSE)=0,"",VLOOKUP(MATCH(L55,epa_id,0),epa,'A1(epa)'!$Y$17,FALSE))))</f>
        <v>136402</v>
      </c>
      <c r="AM55" s="5806">
        <f>+IF(L55="","",IF(2010-VLOOKUP(MATCH(L55,epa_id,0),epa,'A1(epa)'!$U$17,FALSE)=0,IF(VLOOKUP(MATCH(L55,epa_id,0),epa,'A1(epa)'!$AA$17,FALSE)=0,"",VLOOKUP(MATCH(L55,epa_id,0),epa,'A1(epa)'!$AA$17,FALSE))))</f>
        <v>0.13</v>
      </c>
      <c r="AN55" s="5807">
        <f>+IF(L55="","",IF(2010-VLOOKUP(MATCH(L55,epa_id,0),epa,'A1(epa)'!$U$17,FALSE)=0,IF(VLOOKUP(MATCH(L55,epa_id,0),epa,'A1(epa)'!$AB$17,FALSE)=0,"",VLOOKUP(MATCH(L55,epa_id,0),epa,'A1(epa)'!$AB$17,FALSE))))</f>
        <v>102</v>
      </c>
      <c r="AO55" s="5808">
        <f t="shared" si="33"/>
        <v>0.13</v>
      </c>
      <c r="AP55" s="5809">
        <f>+IF(AM55="","",IF(AM55&lt;1,AN55,AO55*AR55/2000))</f>
        <v>102</v>
      </c>
      <c r="AQ55" s="5810">
        <f>+IF(AND(AP55="",AL55=""),"",AP55*10^6/AL55)</f>
        <v>747.78962185305204</v>
      </c>
      <c r="AR55" s="604">
        <f>+IF(L55="","",IF(2010-VLOOKUP(MATCH(L55,epa_id,0),epa,'A1(epa)'!$U$17,FALSE)=0,IF(VLOOKUP(MATCH(L55,epa_id,0),epa,'A1(epa)'!$AC$17,FALSE)=0,"",VLOOKUP(MATCH(L55,epa_id,0),epa,'A1(epa)'!$AC$17,FALSE))))</f>
        <v>1485780</v>
      </c>
      <c r="AS55" s="51" t="str">
        <f>+IF(L55="","",IF(2010-VLOOKUP(MATCH(L55,epa_id,0),epa,'A1(epa)'!$U$17,FALSE)=0,IF(VLOOKUP(MATCH(L55,epa_id,0),epa,'A1(epa)'!$AP$17,FALSE)=0,"",VLOOKUP(MATCH(L55,epa_id,0),epa,'A1(epa)'!$AP$17,FALSE))))</f>
        <v>Residual Oil</v>
      </c>
      <c r="AT55" s="5623" t="str">
        <f>+IF(L55="","",IF(2010-VLOOKUP(MATCH(L55,epa_id,0),epa,'A1(epa)'!$U$17,FALSE)=0,IF(VLOOKUP(MATCH(L55,epa_id,0),epa,'A1(epa)'!$AQ$17,FALSE)=0,"",VLOOKUP(MATCH(L55,epa_id,0),epa,'A1(epa)'!$AQ$17,FALSE))))</f>
        <v>Diesel Oil, Pipeline Natural Gas</v>
      </c>
      <c r="AU55" s="7858">
        <f>+IF(L55="","",IF(2009-VLOOKUP(MATCH(L55,epa_id,0)+1,epa,'A1(epa)'!$U$17,FALSE)=0,IF(VLOOKUP(MATCH(L55,epa_id,0)+1,epa,'A1(epa)'!$U$17,FALSE)=0,"",VLOOKUP(MATCH(L55,epa_id,0)+1,epa,'A1(epa)'!$U$17,FALSE))))</f>
        <v>2009</v>
      </c>
      <c r="AV55" s="72">
        <f>+IF(L55="","",IF(2009-VLOOKUP(MATCH(L55,epa_id,0)+1,epa,'A1(epa)'!$U$17,FALSE)=0,IF(VLOOKUP(MATCH(L55,epa_id,0)+1,epa,'A1(epa)'!$W$17,FALSE)=0,"",VLOOKUP(MATCH(L55,epa_id,0)+1,epa,'A1(epa)'!$W$17,FALSE))))</f>
        <v>205</v>
      </c>
      <c r="AW55" s="4384">
        <f>+IF(L55="","",IF(2009-VLOOKUP(MATCH(L55,epa_id,0)+1,epa,'A1(epa)'!$U$17,FALSE)=0,IF(VLOOKUP(MATCH(L55,epa_id,0)+1,epa,'A1(epa)'!$X$17,FALSE)=0,"",VLOOKUP(MATCH(L55,epa_id,0)+1,epa,'A1(epa)'!$X$17,FALSE))))</f>
        <v>5</v>
      </c>
      <c r="AX55" s="604">
        <f>+IF(L55="","",IF(2009-VLOOKUP(MATCH(L55,epa_id,0)+1,epa,'A1(epa)'!$U$17,FALSE)=0,IF(VLOOKUP(MATCH(L55,epa_id,0)+1,epa,'A1(epa)'!$Y$17,FALSE)=0,"",VLOOKUP(MATCH(L55,epa_id,0)+1,epa,'A1(epa)'!$Y$17,FALSE))))</f>
        <v>26780</v>
      </c>
      <c r="AY55" s="603">
        <v>0.14000000000000001</v>
      </c>
      <c r="AZ55" s="5691">
        <f>+IF(L55="","",IF(2009-VLOOKUP(MATCH(L55,epa_id,0)+1,epa,'A1(epa)'!$U$17,FALSE)=0,IF(VLOOKUP(MATCH(L55,epa_id,0)+1,epa,'A1(epa)'!$AB$17,FALSE)=0,"",VLOOKUP(MATCH(L55,epa_id,0)+1,epa,'A1(epa)'!$AB$17,FALSE))))</f>
        <v>23.9</v>
      </c>
      <c r="BA55" s="5692">
        <f>+IF(AY55&lt;1,AY55,$AA55)</f>
        <v>0.14000000000000001</v>
      </c>
      <c r="BB55" s="5693">
        <f>+IF(AY55="","",IF(AY55&lt;1,AZ55,BA55*BD55/2000))</f>
        <v>23.9</v>
      </c>
      <c r="BC55" s="5393">
        <f>+IF(AND(BB55="",AX55=""),"",BB55*10^6/AX55)</f>
        <v>892.45705750560114</v>
      </c>
      <c r="BD55" s="604">
        <f>+IF(L55="","",IF(2009-VLOOKUP(MATCH(L55,epa_id,0)+1,epa,'A1(epa)'!$U$17,FALSE)=0,IF(VLOOKUP(MATCH(L55,epa_id,0)+1,epa,'A1(epa)'!$AC$17,FALSE)=0,"",VLOOKUP(MATCH(L55,epa_id,0)+1,epa,'A1(epa)'!$AC$17,FALSE))))</f>
        <v>306139</v>
      </c>
      <c r="BE55" s="4384" t="str">
        <f>+IF(L55="","",IF(2009-VLOOKUP(MATCH(L55,epa_id,0)+1,epa,'A1(epa)'!$U$17,FALSE)=0,IF(VLOOKUP(MATCH(L55,epa_id,0)+1,epa,'A1(epa)'!$AP$17,FALSE)=0,"",VLOOKUP(MATCH(L55,epa_id,0)+1,epa,'A1(epa)'!$AP$17,FALSE))))</f>
        <v>Residual Oil</v>
      </c>
      <c r="BF55" s="509" t="str">
        <f>+IF(L55="","",IF(2009-VLOOKUP(MATCH(L55,epa_id,0)+1,epa,'A1(epa)'!$U$17,FALSE)=0,IF(VLOOKUP(MATCH(L55,epa_id,0)+1,epa,'A1(epa)'!$AQ$17,FALSE)=0,"",VLOOKUP(MATCH(L55,epa_id,0)+1,epa,'A1(epa)'!$AQ$17,FALSE))))</f>
        <v>Diesel Oil, Pipeline Natural Gas</v>
      </c>
      <c r="BG55" s="125">
        <f>+IF(L55="","",IF(2008-VLOOKUP(MATCH(L55,epa_id,0)+2,epa,'A1(epa)'!$U$17,FALSE)=0,IF(VLOOKUP(MATCH(L55,epa_id,0)+2,epa,'A1(epa)'!$U$17,FALSE)=0,"",VLOOKUP(MATCH(L55,epa_id,0)+2,epa,'A1(epa)'!$U$17,FALSE))))</f>
        <v>2008</v>
      </c>
      <c r="BH55" s="4384">
        <f>+IF(L55="","",IF(2008-VLOOKUP(MATCH(L55,epa_id,0)+2,epa,'A1(epa)'!$U$17,FALSE)=0,IF(VLOOKUP(MATCH(L55,epa_id,0)+2,epa,'A1(epa)'!$W$17,FALSE)=0,"",VLOOKUP(MATCH(L55,epa_id,0)+2,epa,'A1(epa)'!$W$17,FALSE))))</f>
        <v>227</v>
      </c>
      <c r="BI55" s="4384">
        <f>+IF(L55="","",IF(2008-VLOOKUP(MATCH(L55,epa_id,0)+2,epa,'A1(epa)'!$U$17,FALSE)=0,IF(VLOOKUP(MATCH(L55,epa_id,0)+2,epa,'A1(epa)'!$X$17,FALSE)=0,"",VLOOKUP(MATCH(L55,epa_id,0)+2,epa,'A1(epa)'!$X$17,FALSE))))</f>
        <v>5</v>
      </c>
      <c r="BJ55" s="604">
        <f>+IF(L55="","",IF(2008-VLOOKUP(MATCH(L55,epa_id,0)+2,epa,'A1(epa)'!$U$17,FALSE)=0,IF(VLOOKUP(MATCH(L55,epa_id,0)+2,epa,'A1(epa)'!$Y$17,FALSE)=0,"",VLOOKUP(MATCH(L55,epa_id,0)+2,epa,'A1(epa)'!$Y$17,FALSE))))</f>
        <v>35856</v>
      </c>
      <c r="BK55" s="603">
        <f>+IF(L55="","",IF(2008-VLOOKUP(MATCH(L55,epa_id,0)+2,epa,'A1(epa)'!$U$17,FALSE)=0,IF(VLOOKUP(MATCH(L55,epa_id,0)+2,epa,'A1(epa)'!$AA$17,FALSE)=0,"",VLOOKUP(MATCH(L55,epa_id,0)+2,epa,'A1(epa)'!$AA$17,FALSE))))</f>
        <v>0.15</v>
      </c>
      <c r="BL55" s="5691">
        <f>+IF(L55="","",IF(2008-VLOOKUP(MATCH(L55,epa_id,0)+2,epa,'A1(epa)'!$U$17,FALSE)=0,IF(VLOOKUP(MATCH(L55,epa_id,0)+2,epa,'A1(epa)'!$AB$17,FALSE)=0,"",VLOOKUP(MATCH(L55,epa_id,0)+2,epa,'A1(epa)'!$AB$17,FALSE))))</f>
        <v>32.200000000000003</v>
      </c>
      <c r="BM55" s="5737">
        <f>+IF(BK55&lt;1,BK55,$AA55)</f>
        <v>0.15</v>
      </c>
      <c r="BN55" s="5738">
        <f>+IF(BK55="","",IF(BK55&lt;1,BL55,BM55*BP55/2000))</f>
        <v>32.200000000000003</v>
      </c>
      <c r="BO55" s="5739">
        <f>+IF(AND(BN55="",BJ55=""),"",BN55*10^6/BJ55)</f>
        <v>898.03659080767522</v>
      </c>
      <c r="BP55" s="5638">
        <f>+IF(L55="","",IF(2008-VLOOKUP(MATCH(L55,epa_id,0)+2,epa,'A1(epa)'!$U$17,FALSE)=0,IF(VLOOKUP(MATCH(L55,epa_id,0)+2,epa,'A1(epa)'!$AC$17,FALSE)=0,"",VLOOKUP(MATCH(L55,epa_id,0)+2,epa,'A1(epa)'!$AC$17,FALSE))))</f>
        <v>390698</v>
      </c>
      <c r="BQ55" s="5610" t="str">
        <f>+IF(L55="","",IF(2008-VLOOKUP(MATCH(L55,epa_id,0)+2,epa,'A1(epa)'!$U$17,FALSE)=0,IF(VLOOKUP(MATCH(L55,epa_id,0)+2,epa,'A1(epa)'!$AP$17,FALSE)=0,"",VLOOKUP(MATCH(L55,epa_id,0)+2,epa,'A1(epa)'!$AP$17,FALSE))))</f>
        <v>Residual Oil</v>
      </c>
      <c r="BR55" s="5623" t="str">
        <f>+IF(L55="","",IF(2008-VLOOKUP(MATCH(L55,epa_id,0)+2,epa,'A1(epa)'!$U$17,FALSE)=0,IF(VLOOKUP(MATCH(L55,epa_id,0)+2,epa,'A1(epa)'!$AQ$17,FALSE)=0,"",VLOOKUP(MATCH(L55,epa_id,0)+2,epa,'A1(epa)'!$AQ$17,FALSE))))</f>
        <v>Diesel Oil, Pipeline Natural Gas</v>
      </c>
      <c r="BS55" s="5610" t="str">
        <f>+IF(L55="","",IF(2010-VLOOKUP(MATCH(L55,epa_id,0),epa,'A1(epa)'!$U$17,FALSE)=0,IF(VLOOKUP(MATCH(L55,epa_id,0),epa,'A1(epa)'!$AS$17,FALSE)=0,"",VLOOKUP(MATCH(L55,epa_id,0),epa,'A1(epa)'!$AS$17,FALSE))))</f>
        <v/>
      </c>
      <c r="BT55" s="51" t="str">
        <f>+IF(L55="","",IF(2010-VLOOKUP(MATCH(L55,epa_id,0),epa,'A1(epa)'!$U$17,FALSE)=0,IF(VLOOKUP(MATCH(L55,epa_id,0),epa,'A1(epa)'!$AT$17,FALSE)=0,"",VLOOKUP(MATCH(L55,epa_id,0),epa,'A1(epa)'!$AT$17,FALSE))))</f>
        <v/>
      </c>
      <c r="BU55" s="51" t="str">
        <f>+IF(L55="","",IF(2010-VLOOKUP(MATCH(L55,epa_id,0),epa,'A1(epa)'!$U$17,FALSE)=0,IF(VLOOKUP(MATCH(L55,epa_id,0),epa,'A1(epa)'!$AU$17,FALSE)=0,"",VLOOKUP(MATCH(L55,epa_id,0),epa,'A1(epa)'!$AU$17,FALSE))))</f>
        <v/>
      </c>
      <c r="BV55" s="51" t="str">
        <f>+IF(L55="","",IF(2010-VLOOKUP(MATCH(L55,epa_id,0),epa,'A1(epa)'!$U$17,FALSE)=0,IF(VLOOKUP(MATCH(L55,epa_id,0),epa,'A1(epa)'!$AR$17,FALSE)=0,"",VLOOKUP(MATCH(L55,epa_id,0),epa,'A1(epa)'!$AR$17,FALSE))))</f>
        <v/>
      </c>
      <c r="BW55" s="5112" t="str">
        <f>+IF(L55="","",IF(2010-VLOOKUP(MATCH(L55,epa_id,0),epa,'A1(epa)'!$U$17,FALSE)=0,IF(VLOOKUP(MATCH(L55,epa_id,0),epa,'A1(epa)'!$AV$17,FALSE)=0,"",VLOOKUP(MATCH(L55,epa_id,0),epa,'A1(epa)'!$AV$17,FALSE))))</f>
        <v>Electrostatic Precipitator</v>
      </c>
      <c r="BX55" s="540">
        <f>+IF(L55="","",IF(2010-VLOOKUP(MATCH(L55,epa_id,0),epa,'A1(epa)'!$U$17,FALSE)=0,IF(VLOOKUP(MATCH(L55,epa_id,0),epa,'A1(epa)'!$AW$17,FALSE)=0,"",VLOOKUP(MATCH(L55,epa_id,0),epa,'A1(epa)'!$AW$17,FALSE))))</f>
        <v>4286</v>
      </c>
      <c r="BY55" s="5415"/>
      <c r="BZ55" s="540">
        <f t="shared" si="38"/>
        <v>846.09442338877614</v>
      </c>
      <c r="CA55" s="5415"/>
      <c r="CB55" s="586">
        <f t="shared" si="39"/>
        <v>849</v>
      </c>
      <c r="CC55" s="539">
        <f t="shared" si="40"/>
        <v>136402</v>
      </c>
      <c r="CD55" s="539">
        <f t="shared" si="41"/>
        <v>1485780</v>
      </c>
      <c r="CE55" s="508">
        <f t="shared" si="42"/>
        <v>102</v>
      </c>
      <c r="CF55" s="4391">
        <f t="shared" si="43"/>
        <v>0.13</v>
      </c>
      <c r="CG55" s="507">
        <f t="shared" si="44"/>
        <v>0.13730161935145177</v>
      </c>
      <c r="CH55" s="550">
        <f t="shared" si="45"/>
        <v>1.6172157756354742E-4</v>
      </c>
      <c r="CI55" s="548">
        <f t="shared" si="46"/>
        <v>205</v>
      </c>
      <c r="CJ55" s="539">
        <f t="shared" si="47"/>
        <v>26780</v>
      </c>
      <c r="CK55" s="539">
        <f t="shared" si="48"/>
        <v>306139</v>
      </c>
      <c r="CL55" s="549">
        <f t="shared" si="49"/>
        <v>23.9</v>
      </c>
      <c r="CM55" s="507">
        <f t="shared" si="50"/>
        <v>0.14000000000000001</v>
      </c>
      <c r="CN55" s="507">
        <f t="shared" si="51"/>
        <v>0.15613822479331282</v>
      </c>
      <c r="CO55" s="550">
        <f t="shared" si="52"/>
        <v>7.6164987704055041E-4</v>
      </c>
      <c r="CP55" s="548">
        <f t="shared" si="53"/>
        <v>227</v>
      </c>
      <c r="CQ55" s="539">
        <f t="shared" si="54"/>
        <v>35856</v>
      </c>
      <c r="CR55" s="539">
        <f t="shared" si="55"/>
        <v>390698</v>
      </c>
      <c r="CS55" s="549">
        <f t="shared" si="56"/>
        <v>32.200000000000003</v>
      </c>
      <c r="CT55" s="507">
        <f t="shared" si="57"/>
        <v>0.15</v>
      </c>
      <c r="CU55" s="507">
        <f t="shared" si="58"/>
        <v>0.1648331959723367</v>
      </c>
      <c r="CV55" s="551">
        <f t="shared" si="59"/>
        <v>7.2613742719091054E-4</v>
      </c>
      <c r="CW55" s="601">
        <f t="shared" si="60"/>
        <v>2010</v>
      </c>
      <c r="CX55" s="602">
        <f t="shared" si="61"/>
        <v>849</v>
      </c>
      <c r="CY55" s="5581">
        <f t="shared" si="62"/>
        <v>136402</v>
      </c>
      <c r="CZ55" s="604">
        <f t="shared" si="63"/>
        <v>1485780</v>
      </c>
      <c r="DA55" s="508">
        <f t="shared" si="64"/>
        <v>102</v>
      </c>
      <c r="DB55" s="603">
        <f t="shared" si="65"/>
        <v>0.13</v>
      </c>
      <c r="DC55" s="603">
        <f t="shared" si="66"/>
        <v>0.13700000000000001</v>
      </c>
      <c r="DD55" s="550">
        <f t="shared" si="67"/>
        <v>0.12014134275618374</v>
      </c>
      <c r="DE55" s="593">
        <f t="shared" si="31"/>
        <v>6.0070671378091873</v>
      </c>
      <c r="DF55" s="593"/>
      <c r="DG55" s="5356"/>
      <c r="DH55" s="5348"/>
      <c r="DI55" s="5348"/>
    </row>
    <row r="56" spans="1:113" s="479" customFormat="1" ht="25.5" customHeight="1">
      <c r="A56" s="5368" t="str">
        <f t="shared" si="13"/>
        <v>8305-02</v>
      </c>
      <c r="B56" s="9571" t="str">
        <f>+IF(A56="","",VLOOKUP(MATCH(A56,tid,0),tao,'12(id)'!$J$20,FALSE))</f>
        <v>PSEG</v>
      </c>
      <c r="C56" s="5369" t="str">
        <f t="shared" si="32"/>
        <v>BHB2</v>
      </c>
      <c r="D56" s="5359"/>
      <c r="E56" s="5351"/>
      <c r="F56" s="5359"/>
      <c r="G56" s="4445">
        <v>38</v>
      </c>
      <c r="H56" s="7860">
        <v>8</v>
      </c>
      <c r="I56" s="7838">
        <f>+IF(L56="","",IF(VLOOKUP(MATCH(L56,tid,0),tao,'12(id)'!$H$20,FALSE)="","",VLOOKUP(MATCH(L56,tid,0),tao,'12(id)'!$H$20,FALSE)))</f>
        <v>24</v>
      </c>
      <c r="J56" s="9518"/>
      <c r="K56" s="9518"/>
      <c r="L56" s="7855" t="s">
        <v>291</v>
      </c>
      <c r="M56" s="9520" t="str">
        <f>+IF(L56="","",IF(VLOOKUP(MATCH(L56,tid,0),tao,'12(id)'!$L$20,FALSE)="","",VLOOKUP(MATCH(L56,tid,0),tao,'12(id)'!$L$20,FALSE)))</f>
        <v>Bridgeport Harbor Station</v>
      </c>
      <c r="N56" s="7838" t="str">
        <f>+IF(L56="","",IF(VLOOKUP(MATCH(L56,tid,0),tao,'12(id)'!$P$20,FALSE)="","",VLOOKUP(MATCH(L56,tid,0),tao,'12(id)'!$P$20,FALSE)))</f>
        <v>Bridgeport Harbor Station (BHS) Unit No. 2</v>
      </c>
      <c r="O56" s="577" t="str">
        <f>+IF(L56="","",IF(VLOOKUP(MATCH(L56,tid,0),tao,'12(id)'!$Q$20,FALSE)="","",VLOOKUP(MATCH(L56,tid,0),tao,'12(id)'!$Q$20,FALSE)))</f>
        <v>BHB2</v>
      </c>
      <c r="P56" s="7896">
        <f>+IF(L56="","",IF(VLOOKUP(MATCH(L56,tid,0),tao,'12(id)'!$CT$20,FALSE)="","",VLOOKUP(MATCH(L56,tid,0),tao,'12(id)'!$CT$20,FALSE)))</f>
        <v>170</v>
      </c>
      <c r="Q56" s="7831">
        <f>+P56</f>
        <v>170</v>
      </c>
      <c r="R56" s="85" t="str">
        <f>+IF(L56="","",IF(VLOOKUP(MATCH(L56,tid,0),tao,'12(id)'!$T$20,FALSE)="","",VLOOKUP(MATCH(L56,tid,0),tao,'12(id)'!$T$20,FALSE)))</f>
        <v>Utility Boiler</v>
      </c>
      <c r="S56" s="578" t="str">
        <f>+IF(L56="","",IF(VLOOKUP(MATCH(L56,tid,0),tao,'12(id)'!$CO$20,FALSE)="","",VLOOKUP(MATCH(L56,tid,0),tao,'12(id)'!$CO$20,FALSE)))</f>
        <v>Babcock and Wilcox</v>
      </c>
      <c r="T56" s="85" t="str">
        <f>+IF(L56="","",IF(VLOOKUP(MATCH(L56,tid,0),tao,'12(id)'!$CP$20,FALSE)="","",VLOOKUP(MATCH(L56,tid,0),tao,'12(id)'!$CP$20,FALSE)))</f>
        <v/>
      </c>
      <c r="U56" s="77" t="str">
        <f>+IF(L56="","",IF(VLOOKUP(MATCH(L56,tid,0),tao,'12(id)'!$DC$20,FALSE)="","",IF(VLOOKUP(MATCH(L56,tid,0),tao,'12(id)'!$DB$20,FALSE)="",VLOOKUP(MATCH(L56,tid,0),tao,'12(id)'!$DC$20,FALSE),VLOOKUP(MATCH(L56,tid,0),tao,'12(id)'!$DB$20,FALSE)&amp;" "&amp;VLOOKUP(MATCH(L56,tid,0),tao,'12(id)'!$DC$20,FALSE))))</f>
        <v>Aug 1961</v>
      </c>
      <c r="V56" s="289">
        <f ca="1">+IF(L56="","",IF(VLOOKUP(MATCH(L56,tid,0),tao,'12(id)'!$DE$20,FALSE)="","",ROUND(VLOOKUP(MATCH(L56,tid,0),tao,'12(id)'!$DE$20,FALSE),0)))</f>
        <v>54</v>
      </c>
      <c r="W56" s="7838" t="str">
        <f>+IF(L56="","",IF(VLOOKUP(G56,tao,'12(id)'!$FR$20,FALSE)="","",VLOOKUP(G56,tao,'12(id)'!$FR$20,FALSE)&amp;IF(VLOOKUP(G56,tao,'12(id)'!$FS$20,FALSE)="","",", "&amp;VLOOKUP(G56,tao,'12(id)'!$FS$20,FALSE))))</f>
        <v>None</v>
      </c>
      <c r="X56" s="7838" t="str">
        <f>+IF(L56="","",IF(VLOOKUP(MATCH(L56,tid,0),tao,'12(id)'!$DI$20,FALSE)="","",VLOOKUP(MATCH(L56,tid,0),tao,'12(id)'!$DI$20,FALSE)))</f>
        <v>No. 6 oil</v>
      </c>
      <c r="Y56" s="7838" t="str">
        <f>+IF(L56="","",IF(VLOOKUP(MATCH(L56,tid,0),tao,'12(id)'!$DQ$20,FALSE)="","",VLOOKUP(MATCH(L56,tid,0),tao,'12(id)'!$DQ$20,FALSE)))</f>
        <v>No. 2 oil</v>
      </c>
      <c r="Z56" s="4413">
        <f>+IF(L56="","",IF(VLOOKUP(MATCH(L56,tid,0),tao,'12(id)'!$EH$20,FALSE)="","",VLOOKUP(MATCH(L56,tid,0),tao,'12(id)'!$EH$20,FALSE)))</f>
        <v>1785</v>
      </c>
      <c r="AA56" s="4414" t="str">
        <f>+IF(L56="","",IF(VLOOKUP(MATCH(L56,tid,0),tao,'12(id)'!$EI$20,FALSE)="","",VLOOKUP(MATCH(L56,tid,0),tao,'12(id)'!$EI$20,FALSE)))</f>
        <v/>
      </c>
      <c r="AB56" s="4414" t="str">
        <f>+IF(L56="","",IF(VLOOKUP(MATCH(L56,tid,0),tao,'12(id)'!$EJ$20,FALSE)="","",VLOOKUP(MATCH(L56,tid,0),tao,'12(id)'!$EJ$20,FALSE)))</f>
        <v/>
      </c>
      <c r="AC56" s="4435" t="str">
        <f>+IF(L56="","",IF(VLOOKUP(MATCH(L56,tid,0),tao,'12(id)'!$EL$20,FALSE)="","",VLOOKUP(MATCH(L56,tid,0),tao,'12(id)'!$EL$20,FALSE)))</f>
        <v/>
      </c>
      <c r="AD56" s="4416"/>
      <c r="AE56" s="4415"/>
      <c r="AF56" s="4416"/>
      <c r="AG56" s="579" t="str">
        <f>+IF(L56="","",IF(VLOOKUP(MATCH(L56,tid,0),tao,'12(id)'!$GY$20,FALSE)="","",VLOOKUP(MATCH(L56,tid,0),tao,'12(id)'!$GY$20,FALSE)))</f>
        <v/>
      </c>
      <c r="AH56" s="580" t="str">
        <f>+IF(L56="","",IF(VLOOKUP(MATCH(L56,tid,0),tao,'12(id)'!$HL$20,FALSE)="","",VLOOKUP(MATCH(L56,tid,0),tao,'12(id)'!$HL$20,FALSE)))</f>
        <v/>
      </c>
      <c r="AI56" s="505">
        <f>+IF(L56="","",IF(2010-VLOOKUP(MATCH(L56,epa_id,0),epa,'A1(epa)'!$U$17,FALSE)=0,IF(VLOOKUP(MATCH(L56,epa_id,0),epa,'A1(epa)'!$U$17,FALSE)=0,"",VLOOKUP(MATCH(L56,epa_id,0),epa,'A1(epa)'!$U$17,FALSE))))</f>
        <v>2010</v>
      </c>
      <c r="AJ56" s="615">
        <f>+IF(L56="","",IF(2010-VLOOKUP(MATCH(L56,epa_id,0),epa,'A1(epa)'!$U$17,FALSE)=0,IF(VLOOKUP(MATCH(L56,epa_id,0),epa,'A1(epa)'!$W$17,FALSE)=0,"",VLOOKUP(MATCH(L56,epa_id,0),epa,'A1(epa)'!$W$17,FALSE))))</f>
        <v>122</v>
      </c>
      <c r="AK56" s="7803">
        <f>+IF(L56="","",IF(2010-VLOOKUP(MATCH(L56,epa_id,0),epa,'A1(epa)'!$U$17,FALSE)=0,IF(VLOOKUP(MATCH(L56,epa_id,0),epa,'A1(epa)'!$X$17,FALSE)=0,"",VLOOKUP(MATCH(L56,epa_id,0),epa,'A1(epa)'!$X$17,FALSE))))</f>
        <v>5</v>
      </c>
      <c r="AL56" s="615">
        <f>+IF(L56="","",IF(2010-VLOOKUP(MATCH(L56,epa_id,0),epa,'A1(epa)'!$U$17,FALSE)=0,IF(VLOOKUP(MATCH(L56,epa_id,0),epa,'A1(epa)'!$Y$17,FALSE)=0,"",VLOOKUP(MATCH(L56,epa_id,0),epa,'A1(epa)'!$Y$17,FALSE))))</f>
        <v>6954</v>
      </c>
      <c r="AM56" s="5821">
        <f>+IF(L56="","",IF(2010-VLOOKUP(MATCH(L56,epa_id,0),epa,'A1(epa)'!$U$17,FALSE)=0,IF(VLOOKUP(MATCH(L56,epa_id,0),epa,'A1(epa)'!$AA$17,FALSE)=0,"",VLOOKUP(MATCH(L56,epa_id,0),epa,'A1(epa)'!$AA$17,FALSE))))</f>
        <v>0.24</v>
      </c>
      <c r="AN56" s="5822">
        <f>+IF(L56="","",IF(2010-VLOOKUP(MATCH(L56,epa_id,0),epa,'A1(epa)'!$U$17,FALSE)=0,IF(VLOOKUP(MATCH(L56,epa_id,0),epa,'A1(epa)'!$AB$17,FALSE)=0,"",VLOOKUP(MATCH(L56,epa_id,0),epa,'A1(epa)'!$AB$17,FALSE))))</f>
        <v>11.8</v>
      </c>
      <c r="AO56" s="5823">
        <f t="shared" si="33"/>
        <v>0.24</v>
      </c>
      <c r="AP56" s="5824">
        <f t="shared" si="5"/>
        <v>11.8</v>
      </c>
      <c r="AQ56" s="5825">
        <f t="shared" si="34"/>
        <v>1696.8651136036813</v>
      </c>
      <c r="AR56" s="615">
        <f>+IF(L56="","",IF(2010-VLOOKUP(MATCH(L56,epa_id,0),epa,'A1(epa)'!$U$17,FALSE)=0,IF(VLOOKUP(MATCH(L56,epa_id,0),epa,'A1(epa)'!$AC$17,FALSE)=0,"",VLOOKUP(MATCH(L56,epa_id,0),epa,'A1(epa)'!$AC$17,FALSE))))</f>
        <v>85201</v>
      </c>
      <c r="AS56" s="7838" t="str">
        <f>+IF(L56="","",IF(2010-VLOOKUP(MATCH(L56,epa_id,0),epa,'A1(epa)'!$U$17,FALSE)=0,IF(VLOOKUP(MATCH(L56,epa_id,0),epa,'A1(epa)'!$AP$17,FALSE)=0,"",VLOOKUP(MATCH(L56,epa_id,0),epa,'A1(epa)'!$AP$17,FALSE))))</f>
        <v>Residual Oil</v>
      </c>
      <c r="AT56" s="7847" t="str">
        <f>+IF(L56="","",IF(2010-VLOOKUP(MATCH(L56,epa_id,0),epa,'A1(epa)'!$U$17,FALSE)=0,IF(VLOOKUP(MATCH(L56,epa_id,0),epa,'A1(epa)'!$AQ$17,FALSE)=0,"",VLOOKUP(MATCH(L56,epa_id,0),epa,'A1(epa)'!$AQ$17,FALSE))))</f>
        <v>Diesel Oil</v>
      </c>
      <c r="AU56" s="505">
        <f>+IF(L56="","",IF(2009-VLOOKUP(MATCH(L56,epa_id,0)+1,epa,'A1(epa)'!$U$17,FALSE)=0,IF(VLOOKUP(MATCH(L56,epa_id,0)+1,epa,'A1(epa)'!$U$17,FALSE)=0,"",VLOOKUP(MATCH(L56,epa_id,0)+1,epa,'A1(epa)'!$U$17,FALSE))))</f>
        <v>2009</v>
      </c>
      <c r="AV56" s="77">
        <f>+IF(L56="","",IF(2009-VLOOKUP(MATCH(L56,epa_id,0)+1,epa,'A1(epa)'!$U$17,FALSE)=0,IF(VLOOKUP(MATCH(L56,epa_id,0)+1,epa,'A1(epa)'!$W$17,FALSE)=0,"",VLOOKUP(MATCH(L56,epa_id,0)+1,epa,'A1(epa)'!$W$17,FALSE))))</f>
        <v>64</v>
      </c>
      <c r="AW56" s="7855">
        <f>+IF(L56="","",IF(2009-VLOOKUP(MATCH(L56,epa_id,0)+1,epa,'A1(epa)'!$U$17,FALSE)=0,IF(VLOOKUP(MATCH(L56,epa_id,0)+1,epa,'A1(epa)'!$X$17,FALSE)=0,"",VLOOKUP(MATCH(L56,epa_id,0)+1,epa,'A1(epa)'!$X$17,FALSE))))</f>
        <v>5</v>
      </c>
      <c r="AX56" s="615">
        <f>+IF(L56="","",IF(2009-VLOOKUP(MATCH(L56,epa_id,0)+1,epa,'A1(epa)'!$U$17,FALSE)=0,IF(VLOOKUP(MATCH(L56,epa_id,0)+1,epa,'A1(epa)'!$Y$17,FALSE)=0,"",VLOOKUP(MATCH(L56,epa_id,0)+1,epa,'A1(epa)'!$Y$17,FALSE))))</f>
        <v>3168</v>
      </c>
      <c r="AY56" s="614">
        <f>+IF(L56="","",IF(2009-VLOOKUP(MATCH(L56,epa_id,0)+1,epa,'A1(epa)'!$U$17,FALSE)=0,IF(VLOOKUP(MATCH(L56,epa_id,0)+1,epa,'A1(epa)'!$AA$17,FALSE)=0,"",VLOOKUP(MATCH(L56,epa_id,0)+1,epa,'A1(epa)'!$AA$17,FALSE))))</f>
        <v>0.2</v>
      </c>
      <c r="AZ56" s="5701">
        <f>+IF(L56="","",IF(2009-VLOOKUP(MATCH(L56,epa_id,0)+1,epa,'A1(epa)'!$U$17,FALSE)=0,IF(VLOOKUP(MATCH(L56,epa_id,0)+1,epa,'A1(epa)'!$AB$17,FALSE)=0,"",VLOOKUP(MATCH(L56,epa_id,0)+1,epa,'A1(epa)'!$AB$17,FALSE))))</f>
        <v>5.4</v>
      </c>
      <c r="BA56" s="5702">
        <f t="shared" si="35"/>
        <v>0.2</v>
      </c>
      <c r="BB56" s="5703">
        <f t="shared" si="36"/>
        <v>5.4</v>
      </c>
      <c r="BC56" s="5391">
        <f t="shared" si="37"/>
        <v>1704.5454545454545</v>
      </c>
      <c r="BD56" s="615">
        <f>+IF(L56="","",IF(2009-VLOOKUP(MATCH(L56,epa_id,0)+1,epa,'A1(epa)'!$U$17,FALSE)=0,IF(VLOOKUP(MATCH(L56,epa_id,0)+1,epa,'A1(epa)'!$AC$17,FALSE)=0,"",VLOOKUP(MATCH(L56,epa_id,0)+1,epa,'A1(epa)'!$AC$17,FALSE))))</f>
        <v>39994</v>
      </c>
      <c r="BE56" s="7855" t="str">
        <f>+IF(L56="","",IF(2009-VLOOKUP(MATCH(L56,epa_id,0)+1,epa,'A1(epa)'!$U$17,FALSE)=0,IF(VLOOKUP(MATCH(L56,epa_id,0)+1,epa,'A1(epa)'!$AP$17,FALSE)=0,"",VLOOKUP(MATCH(L56,epa_id,0)+1,epa,'A1(epa)'!$AP$17,FALSE))))</f>
        <v>Residual Oil</v>
      </c>
      <c r="BF56" s="506" t="str">
        <f>+IF(L56="","",IF(2009-VLOOKUP(MATCH(L56,epa_id,0)+1,epa,'A1(epa)'!$U$17,FALSE)=0,IF(VLOOKUP(MATCH(L56,epa_id,0)+1,epa,'A1(epa)'!$AQ$17,FALSE)=0,"",VLOOKUP(MATCH(L56,epa_id,0)+1,epa,'A1(epa)'!$AQ$17,FALSE))))</f>
        <v>Diesel Oil</v>
      </c>
      <c r="BG56" s="158">
        <f>+IF(L56="","",IF(2008-VLOOKUP(MATCH(L56,epa_id,0)+2,epa,'A1(epa)'!$U$17,FALSE)=0,IF(VLOOKUP(MATCH(L56,epa_id,0)+2,epa,'A1(epa)'!$U$17,FALSE)=0,"",VLOOKUP(MATCH(L56,epa_id,0)+2,epa,'A1(epa)'!$U$17,FALSE))))</f>
        <v>2008</v>
      </c>
      <c r="BH56" s="7855">
        <f>+IF(L56="","",IF(2008-VLOOKUP(MATCH(L56,epa_id,0)+2,epa,'A1(epa)'!$U$17,FALSE)=0,IF(VLOOKUP(MATCH(L56,epa_id,0)+2,epa,'A1(epa)'!$W$17,FALSE)=0,"",VLOOKUP(MATCH(L56,epa_id,0)+2,epa,'A1(epa)'!$W$17,FALSE))))</f>
        <v>152</v>
      </c>
      <c r="BI56" s="7855">
        <f>+IF(L56="","",IF(2008-VLOOKUP(MATCH(L56,epa_id,0)+2,epa,'A1(epa)'!$U$17,FALSE)=0,IF(VLOOKUP(MATCH(L56,epa_id,0)+2,epa,'A1(epa)'!$X$17,FALSE)=0,"",VLOOKUP(MATCH(L56,epa_id,0)+2,epa,'A1(epa)'!$X$17,FALSE))))</f>
        <v>5</v>
      </c>
      <c r="BJ56" s="615">
        <f>+IF(L56="","",IF(2008-VLOOKUP(MATCH(L56,epa_id,0)+2,epa,'A1(epa)'!$U$17,FALSE)=0,IF(VLOOKUP(MATCH(L56,epa_id,0)+2,epa,'A1(epa)'!$Y$17,FALSE)=0,"",VLOOKUP(MATCH(L56,epa_id,0)+2,epa,'A1(epa)'!$Y$17,FALSE))))</f>
        <v>6521</v>
      </c>
      <c r="BK56" s="614">
        <f>+IF(L56="","",IF(2008-VLOOKUP(MATCH(L56,epa_id,0)+2,epa,'A1(epa)'!$U$17,FALSE)=0,IF(VLOOKUP(MATCH(L56,epa_id,0)+2,epa,'A1(epa)'!$AA$17,FALSE)=0,"",VLOOKUP(MATCH(L56,epa_id,0)+2,epa,'A1(epa)'!$AA$17,FALSE))))</f>
        <v>0.18</v>
      </c>
      <c r="BL56" s="5701">
        <f>+IF(L56="","",IF(2008-VLOOKUP(MATCH(L56,epa_id,0)+2,epa,'A1(epa)'!$U$17,FALSE)=0,IF(VLOOKUP(MATCH(L56,epa_id,0)+2,epa,'A1(epa)'!$AB$17,FALSE)=0,"",VLOOKUP(MATCH(L56,epa_id,0)+2,epa,'A1(epa)'!$AB$17,FALSE))))</f>
        <v>11.3</v>
      </c>
      <c r="BM56" s="5746">
        <f t="shared" si="16"/>
        <v>0.18</v>
      </c>
      <c r="BN56" s="5747">
        <f t="shared" si="9"/>
        <v>11.3</v>
      </c>
      <c r="BO56" s="5748">
        <f t="shared" si="10"/>
        <v>1732.8630578132188</v>
      </c>
      <c r="BP56" s="5640">
        <f>+IF(L56="","",IF(2008-VLOOKUP(MATCH(L56,epa_id,0)+2,epa,'A1(epa)'!$U$17,FALSE)=0,IF(VLOOKUP(MATCH(L56,epa_id,0)+2,epa,'A1(epa)'!$AC$17,FALSE)=0,"",VLOOKUP(MATCH(L56,epa_id,0)+2,epa,'A1(epa)'!$AC$17,FALSE))))</f>
        <v>78403</v>
      </c>
      <c r="BQ56" s="5198" t="str">
        <f>+IF(L56="","",IF(2008-VLOOKUP(MATCH(L56,epa_id,0)+2,epa,'A1(epa)'!$U$17,FALSE)=0,IF(VLOOKUP(MATCH(L56,epa_id,0)+2,epa,'A1(epa)'!$AP$17,FALSE)=0,"",VLOOKUP(MATCH(L56,epa_id,0)+2,epa,'A1(epa)'!$AP$17,FALSE))))</f>
        <v>Residual Oil</v>
      </c>
      <c r="BR56" s="7847" t="str">
        <f>+IF(L56="","",IF(2008-VLOOKUP(MATCH(L56,epa_id,0)+2,epa,'A1(epa)'!$U$17,FALSE)=0,IF(VLOOKUP(MATCH(L56,epa_id,0)+2,epa,'A1(epa)'!$AQ$17,FALSE)=0,"",VLOOKUP(MATCH(L56,epa_id,0)+2,epa,'A1(epa)'!$AQ$17,FALSE))))</f>
        <v>Diesel Oil</v>
      </c>
      <c r="BS56" s="5198" t="str">
        <f>+IF(L56="","",IF(2010-VLOOKUP(MATCH(L56,epa_id,0),epa,'A1(epa)'!$U$17,FALSE)=0,IF(VLOOKUP(MATCH(L56,epa_id,0),epa,'A1(epa)'!$AS$17,FALSE)=0,"",VLOOKUP(MATCH(L56,epa_id,0),epa,'A1(epa)'!$AS$17,FALSE))))</f>
        <v/>
      </c>
      <c r="BT56" s="7838" t="str">
        <f>+IF(L56="","",IF(2010-VLOOKUP(MATCH(L56,epa_id,0),epa,'A1(epa)'!$U$17,FALSE)=0,IF(VLOOKUP(MATCH(L56,epa_id,0),epa,'A1(epa)'!$AT$17,FALSE)=0,"",VLOOKUP(MATCH(L56,epa_id,0),epa,'A1(epa)'!$AT$17,FALSE))))</f>
        <v/>
      </c>
      <c r="BU56" s="7838" t="str">
        <f>+IF(L56="","",IF(2010-VLOOKUP(MATCH(L56,epa_id,0),epa,'A1(epa)'!$U$17,FALSE)=0,IF(VLOOKUP(MATCH(L56,epa_id,0),epa,'A1(epa)'!$AU$17,FALSE)=0,"",VLOOKUP(MATCH(L56,epa_id,0),epa,'A1(epa)'!$AU$17,FALSE))))</f>
        <v/>
      </c>
      <c r="BV56" s="7838" t="str">
        <f>+IF(L56="","",IF(2010-VLOOKUP(MATCH(L56,epa_id,0),epa,'A1(epa)'!$U$17,FALSE)=0,IF(VLOOKUP(MATCH(L56,epa_id,0),epa,'A1(epa)'!$AR$17,FALSE)=0,"",VLOOKUP(MATCH(L56,epa_id,0),epa,'A1(epa)'!$AR$17,FALSE))))</f>
        <v/>
      </c>
      <c r="BW56" s="5598" t="str">
        <f>+IF(L56="","",IF(2010-VLOOKUP(MATCH(L56,epa_id,0),epa,'A1(epa)'!$U$17,FALSE)=0,IF(VLOOKUP(MATCH(L56,epa_id,0),epa,'A1(epa)'!$AV$17,FALSE)=0,"",VLOOKUP(MATCH(L56,epa_id,0),epa,'A1(epa)'!$AV$17,FALSE))))</f>
        <v>Electrostatic Precipitator</v>
      </c>
      <c r="BX56" s="511">
        <f>+IF(L56="","",IF(2010-VLOOKUP(MATCH(L56,epa_id,0),epa,'A1(epa)'!$U$17,FALSE)=0,IF(VLOOKUP(MATCH(L56,epa_id,0),epa,'A1(epa)'!$AW$17,FALSE)=0,"",VLOOKUP(MATCH(L56,epa_id,0),epa,'A1(epa)'!$AW$17,FALSE))))</f>
        <v>1785</v>
      </c>
      <c r="BY56" s="5415"/>
      <c r="BZ56" s="511">
        <f t="shared" si="38"/>
        <v>1711.4245419874514</v>
      </c>
      <c r="CA56" s="5415"/>
      <c r="CB56" s="7826">
        <f t="shared" si="39"/>
        <v>122</v>
      </c>
      <c r="CC56" s="7803">
        <f t="shared" si="40"/>
        <v>6954</v>
      </c>
      <c r="CD56" s="7803">
        <f t="shared" si="41"/>
        <v>85201</v>
      </c>
      <c r="CE56" s="7818">
        <f t="shared" si="42"/>
        <v>11.8</v>
      </c>
      <c r="CF56" s="4393">
        <f t="shared" si="43"/>
        <v>0.24</v>
      </c>
      <c r="CG56" s="7800">
        <f t="shared" si="44"/>
        <v>0.27699205408387229</v>
      </c>
      <c r="CH56" s="7817">
        <f t="shared" si="45"/>
        <v>2.2704266728186253E-3</v>
      </c>
      <c r="CI56" s="7827">
        <f t="shared" si="46"/>
        <v>64</v>
      </c>
      <c r="CJ56" s="7803">
        <f t="shared" si="47"/>
        <v>3168</v>
      </c>
      <c r="CK56" s="7803">
        <f t="shared" si="48"/>
        <v>39994</v>
      </c>
      <c r="CL56" s="512">
        <f t="shared" si="49"/>
        <v>5.4</v>
      </c>
      <c r="CM56" s="7800">
        <f t="shared" si="50"/>
        <v>0.2</v>
      </c>
      <c r="CN56" s="7800">
        <f t="shared" si="51"/>
        <v>0.2700405060759114</v>
      </c>
      <c r="CO56" s="7817">
        <f t="shared" si="52"/>
        <v>4.2193829074361157E-3</v>
      </c>
      <c r="CP56" s="7827">
        <f t="shared" si="53"/>
        <v>152</v>
      </c>
      <c r="CQ56" s="7803">
        <f t="shared" si="54"/>
        <v>6521</v>
      </c>
      <c r="CR56" s="7803">
        <f t="shared" si="55"/>
        <v>78403</v>
      </c>
      <c r="CS56" s="512">
        <f t="shared" si="56"/>
        <v>11.3</v>
      </c>
      <c r="CT56" s="7800">
        <f t="shared" si="57"/>
        <v>0.18</v>
      </c>
      <c r="CU56" s="7800">
        <f t="shared" si="58"/>
        <v>0.28825427598433734</v>
      </c>
      <c r="CV56" s="7821">
        <f t="shared" si="59"/>
        <v>1.896409710423272E-3</v>
      </c>
      <c r="CW56" s="7808">
        <f t="shared" si="60"/>
        <v>2010</v>
      </c>
      <c r="CX56" s="613">
        <f t="shared" si="61"/>
        <v>122</v>
      </c>
      <c r="CY56" s="7806">
        <f t="shared" si="62"/>
        <v>6954</v>
      </c>
      <c r="CZ56" s="615">
        <f t="shared" si="63"/>
        <v>85201</v>
      </c>
      <c r="DA56" s="7818">
        <f t="shared" si="64"/>
        <v>11.8</v>
      </c>
      <c r="DB56" s="614">
        <f t="shared" si="65"/>
        <v>0.24</v>
      </c>
      <c r="DC56" s="614">
        <f t="shared" si="66"/>
        <v>0.27700000000000002</v>
      </c>
      <c r="DD56" s="7817">
        <f t="shared" si="67"/>
        <v>9.6721311475409841E-2</v>
      </c>
      <c r="DE56" s="597">
        <f t="shared" si="31"/>
        <v>4.8360655737704921</v>
      </c>
      <c r="DF56" s="597"/>
      <c r="DG56" s="5356"/>
      <c r="DH56" s="5348"/>
      <c r="DI56" s="5348"/>
    </row>
    <row r="57" spans="1:113" s="479" customFormat="1" ht="25.5" customHeight="1" thickBot="1">
      <c r="A57" s="5366" t="str">
        <f t="shared" si="13"/>
        <v>8305-03</v>
      </c>
      <c r="B57" s="9572" t="str">
        <f>+IF(A57="","",VLOOKUP(MATCH(A57,tid,0),tao,'12(id)'!$J$20,FALSE))</f>
        <v>PSEG</v>
      </c>
      <c r="C57" s="5367" t="str">
        <f t="shared" si="32"/>
        <v>BHB3</v>
      </c>
      <c r="D57" s="5359"/>
      <c r="E57" s="5351"/>
      <c r="F57" s="5359"/>
      <c r="G57" s="4446">
        <f t="shared" si="17"/>
        <v>39</v>
      </c>
      <c r="H57" s="4400">
        <v>9</v>
      </c>
      <c r="I57" s="7830">
        <f>+IF(L57="","",IF(VLOOKUP(MATCH(L57,tid,0),tao,'12(id)'!$H$20,FALSE)="","",VLOOKUP(MATCH(L57,tid,0),tao,'12(id)'!$H$20,FALSE)))</f>
        <v>25</v>
      </c>
      <c r="J57" s="9519"/>
      <c r="K57" s="9519"/>
      <c r="L57" s="445" t="s">
        <v>292</v>
      </c>
      <c r="M57" s="9521" t="str">
        <f>+IF(L57="","",IF(VLOOKUP(MATCH(L57,tid,0),tao,'12(id)'!$L$20,FALSE)="","",VLOOKUP(MATCH(L57,tid,0),tao,'12(id)'!$L$20,FALSE)))</f>
        <v>Bridgeport Harbor Station</v>
      </c>
      <c r="N57" s="53" t="str">
        <f>+IF(L57="","",IF(VLOOKUP(MATCH(L57,tid,0),tao,'12(id)'!$P$20,FALSE)="","",VLOOKUP(MATCH(L57,tid,0),tao,'12(id)'!$P$20,FALSE)))</f>
        <v>Bridgeport Harbor Station (BHS) Unit No. 3</v>
      </c>
      <c r="O57" s="524" t="str">
        <f>+IF(L57="","",IF(VLOOKUP(MATCH(L57,tid,0),tao,'12(id)'!$Q$20,FALSE)="","",VLOOKUP(MATCH(L57,tid,0),tao,'12(id)'!$Q$20,FALSE)))</f>
        <v>BHB3</v>
      </c>
      <c r="P57" s="5411">
        <f>+IF(L57="","",IF(VLOOKUP(MATCH(L57,tid,0),tao,'12(id)'!$CT$20,FALSE)="","",VLOOKUP(MATCH(L57,tid,0),tao,'12(id)'!$CT$20,FALSE)))</f>
        <v>410</v>
      </c>
      <c r="Q57" s="5412">
        <f>+P57</f>
        <v>410</v>
      </c>
      <c r="R57" s="4757" t="str">
        <f>+IF(L57="","",IF(VLOOKUP(MATCH(L57,tid,0),tao,'12(id)'!$T$20,FALSE)="","",VLOOKUP(MATCH(L57,tid,0),tao,'12(id)'!$T$20,FALSE)))</f>
        <v>Utility Boiler</v>
      </c>
      <c r="S57" s="418" t="str">
        <f>+IF(L57="","",IF(VLOOKUP(MATCH(L57,tid,0),tao,'12(id)'!$CO$20,FALSE)="","",VLOOKUP(MATCH(L57,tid,0),tao,'12(id)'!$CO$20,FALSE)))</f>
        <v>Combustion Engineering</v>
      </c>
      <c r="T57" s="7900" t="str">
        <f>+IF(L57="","",IF(VLOOKUP(MATCH(L57,tid,0),tao,'12(id)'!$CP$20,FALSE)="","",VLOOKUP(MATCH(L57,tid,0),tao,'12(id)'!$CP$20,FALSE)))</f>
        <v/>
      </c>
      <c r="U57" s="7836" t="str">
        <f>+IF(L57="","",IF(VLOOKUP(MATCH(L57,tid,0),tao,'12(id)'!$DC$20,FALSE)="","",IF(VLOOKUP(MATCH(L57,tid,0),tao,'12(id)'!$DB$20,FALSE)="",VLOOKUP(MATCH(L57,tid,0),tao,'12(id)'!$DC$20,FALSE),VLOOKUP(MATCH(L57,tid,0),tao,'12(id)'!$DB$20,FALSE)&amp;" "&amp;VLOOKUP(MATCH(L57,tid,0),tao,'12(id)'!$DC$20,FALSE))))</f>
        <v>Aug 1968</v>
      </c>
      <c r="V57" s="136">
        <f ca="1">+IF(L57="","",IF(VLOOKUP(MATCH(L57,tid,0),tao,'12(id)'!$DE$20,FALSE)="","",ROUND(VLOOKUP(MATCH(L57,tid,0),tao,'12(id)'!$DE$20,FALSE),0)))</f>
        <v>46</v>
      </c>
      <c r="W57" s="53" t="str">
        <f>+IF(L57="","",IF(VLOOKUP(G57,tao,'12(id)'!$FR$20,FALSE)="","",VLOOKUP(G57,tao,'12(id)'!$FR$20,FALSE)&amp;IF(VLOOKUP(G57,tao,'12(id)'!$FS$20,FALSE)="","",", "&amp;VLOOKUP(G57,tao,'12(id)'!$FS$20,FALSE))))</f>
        <v>None</v>
      </c>
      <c r="X57" s="53" t="str">
        <f>+IF(L57="","",IF(VLOOKUP(MATCH(L57,tid,0),tao,'12(id)'!$DI$20,FALSE)="","",VLOOKUP(MATCH(L57,tid,0),tao,'12(id)'!$DI$20,FALSE)))</f>
        <v>Coal</v>
      </c>
      <c r="Y57" s="53" t="str">
        <f>+IF(L57="","",IF(VLOOKUP(MATCH(L57,tid,0),tao,'12(id)'!$DQ$20,FALSE)="","",VLOOKUP(MATCH(L57,tid,0),tao,'12(id)'!$DQ$20,FALSE)))</f>
        <v>No. 6 oil</v>
      </c>
      <c r="Z57" s="4425">
        <f>+IF(L57="","",IF(VLOOKUP(MATCH(L57,tid,0),tao,'12(id)'!$EH$20,FALSE)="","",VLOOKUP(MATCH(L57,tid,0),tao,'12(id)'!$EH$20,FALSE)))</f>
        <v>4100</v>
      </c>
      <c r="AA57" s="4426" t="str">
        <f>+IF(L57="","",IF(VLOOKUP(MATCH(L57,tid,0),tao,'12(id)'!$EI$20,FALSE)="","",VLOOKUP(MATCH(L57,tid,0),tao,'12(id)'!$EI$20,FALSE)))</f>
        <v/>
      </c>
      <c r="AB57" s="4426" t="str">
        <f>+IF(L57="","",IF(VLOOKUP(MATCH(L57,tid,0),tao,'12(id)'!$EJ$20,FALSE)="","",VLOOKUP(MATCH(L57,tid,0),tao,'12(id)'!$EJ$20,FALSE)))</f>
        <v/>
      </c>
      <c r="AC57" s="4440" t="str">
        <f>+IF(L57="","",IF(VLOOKUP(MATCH(L57,tid,0),tao,'12(id)'!$EL$20,FALSE)="","",VLOOKUP(MATCH(L57,tid,0),tao,'12(id)'!$EL$20,FALSE)))</f>
        <v/>
      </c>
      <c r="AD57" s="4441"/>
      <c r="AE57" s="4427"/>
      <c r="AF57" s="4428"/>
      <c r="AG57" s="581" t="str">
        <f>+IF(L57="","",IF(VLOOKUP(MATCH(L57,tid,0),tao,'12(id)'!$GY$20,FALSE)="","",VLOOKUP(MATCH(L57,tid,0),tao,'12(id)'!$GY$20,FALSE)))</f>
        <v/>
      </c>
      <c r="AH57" s="582" t="str">
        <f>+IF(L57="","",IF(VLOOKUP(MATCH(L57,tid,0),tao,'12(id)'!$HL$20,FALSE)="","",VLOOKUP(MATCH(L57,tid,0),tao,'12(id)'!$HL$20,FALSE)))</f>
        <v/>
      </c>
      <c r="AI57" s="7897">
        <f>+IF(L57="","",IF(2010-VLOOKUP(MATCH(L57,epa_id,0),epa,'A1(epa)'!$U$17,FALSE)=0,IF(VLOOKUP(MATCH(L57,epa_id,0),epa,'A1(epa)'!$U$17,FALSE)=0,"",VLOOKUP(MATCH(L57,epa_id,0),epa,'A1(epa)'!$U$17,FALSE))))</f>
        <v>2010</v>
      </c>
      <c r="AJ57" s="619">
        <f>+IF(L57="","",IF(2010-VLOOKUP(MATCH(L57,epa_id,0),epa,'A1(epa)'!$U$17,FALSE)=0,IF(VLOOKUP(MATCH(L57,epa_id,0),epa,'A1(epa)'!$W$17,FALSE)=0,"",VLOOKUP(MATCH(L57,epa_id,0),epa,'A1(epa)'!$W$17,FALSE))))</f>
        <v>2522</v>
      </c>
      <c r="AK57" s="527">
        <f>+IF(L57="","",IF(2010-VLOOKUP(MATCH(L57,epa_id,0),epa,'A1(epa)'!$U$17,FALSE)=0,IF(VLOOKUP(MATCH(L57,epa_id,0),epa,'A1(epa)'!$X$17,FALSE)=0,"",VLOOKUP(MATCH(L57,epa_id,0),epa,'A1(epa)'!$X$17,FALSE))))</f>
        <v>5</v>
      </c>
      <c r="AL57" s="619">
        <f>+IF(L57="","",IF(2010-VLOOKUP(MATCH(L57,epa_id,0),epa,'A1(epa)'!$U$17,FALSE)=0,IF(VLOOKUP(MATCH(L57,epa_id,0),epa,'A1(epa)'!$Y$17,FALSE)=0,"",VLOOKUP(MATCH(L57,epa_id,0),epa,'A1(epa)'!$Y$17,FALSE))))</f>
        <v>678834</v>
      </c>
      <c r="AM57" s="5811">
        <f>+IF(L57="","",IF(2010-VLOOKUP(MATCH(L57,epa_id,0),epa,'A1(epa)'!$U$17,FALSE)=0,IF(VLOOKUP(MATCH(L57,epa_id,0),epa,'A1(epa)'!$AA$17,FALSE)=0,"",VLOOKUP(MATCH(L57,epa_id,0),epa,'A1(epa)'!$AA$17,FALSE))))</f>
        <v>0.14000000000000001</v>
      </c>
      <c r="AN57" s="5812">
        <f>+IF(L57="","",IF(2010-VLOOKUP(MATCH(L57,epa_id,0),epa,'A1(epa)'!$U$17,FALSE)=0,IF(VLOOKUP(MATCH(L57,epa_id,0),epa,'A1(epa)'!$AB$17,FALSE)=0,"",VLOOKUP(MATCH(L57,epa_id,0),epa,'A1(epa)'!$AB$17,FALSE))))</f>
        <v>500.5</v>
      </c>
      <c r="AO57" s="5813">
        <f t="shared" si="33"/>
        <v>0.14000000000000001</v>
      </c>
      <c r="AP57" s="5814">
        <f t="shared" si="5"/>
        <v>500.5</v>
      </c>
      <c r="AQ57" s="5815">
        <f t="shared" si="34"/>
        <v>737.29365352943432</v>
      </c>
      <c r="AR57" s="619">
        <f>+IF(L57="","",IF(2010-VLOOKUP(MATCH(L57,epa_id,0),epa,'A1(epa)'!$U$17,FALSE)=0,IF(VLOOKUP(MATCH(L57,epa_id,0),epa,'A1(epa)'!$AC$17,FALSE)=0,"",VLOOKUP(MATCH(L57,epa_id,0),epa,'A1(epa)'!$AC$17,FALSE))))</f>
        <v>6920835</v>
      </c>
      <c r="AS57" s="53" t="str">
        <f>+IF(L57="","",IF(2010-VLOOKUP(MATCH(L57,epa_id,0),epa,'A1(epa)'!$U$17,FALSE)=0,IF(VLOOKUP(MATCH(L57,epa_id,0),epa,'A1(epa)'!$AP$17,FALSE)=0,"",VLOOKUP(MATCH(L57,epa_id,0),epa,'A1(epa)'!$AP$17,FALSE))))</f>
        <v>Coal</v>
      </c>
      <c r="AT57" s="5625" t="str">
        <f>+IF(L57="","",IF(2010-VLOOKUP(MATCH(L57,epa_id,0),epa,'A1(epa)'!$U$17,FALSE)=0,IF(VLOOKUP(MATCH(L57,epa_id,0),epa,'A1(epa)'!$AQ$17,FALSE)=0,"",VLOOKUP(MATCH(L57,epa_id,0),epa,'A1(epa)'!$AQ$17,FALSE))))</f>
        <v>Diesel Oil, Residual Oil</v>
      </c>
      <c r="AU57" s="7897">
        <f>+IF(L57="","",IF(2009-VLOOKUP(MATCH(L57,epa_id,0)+1,epa,'A1(epa)'!$U$17,FALSE)=0,IF(VLOOKUP(MATCH(L57,epa_id,0)+1,epa,'A1(epa)'!$U$17,FALSE)=0,"",VLOOKUP(MATCH(L57,epa_id,0)+1,epa,'A1(epa)'!$U$17,FALSE))))</f>
        <v>2009</v>
      </c>
      <c r="AV57" s="7836">
        <f>+IF(L57="","",IF(2009-VLOOKUP(MATCH(L57,epa_id,0)+1,epa,'A1(epa)'!$U$17,FALSE)=0,IF(VLOOKUP(MATCH(L57,epa_id,0)+1,epa,'A1(epa)'!$W$17,FALSE)=0,"",VLOOKUP(MATCH(L57,epa_id,0)+1,epa,'A1(epa)'!$W$17,FALSE))))</f>
        <v>556</v>
      </c>
      <c r="AW57" s="445">
        <f>+IF(L57="","",IF(2009-VLOOKUP(MATCH(L57,epa_id,0)+1,epa,'A1(epa)'!$U$17,FALSE)=0,IF(VLOOKUP(MATCH(L57,epa_id,0)+1,epa,'A1(epa)'!$X$17,FALSE)=0,"",VLOOKUP(MATCH(L57,epa_id,0)+1,epa,'A1(epa)'!$X$17,FALSE))))</f>
        <v>5</v>
      </c>
      <c r="AX57" s="619">
        <f>+IF(L57="","",IF(2009-VLOOKUP(MATCH(L57,epa_id,0)+1,epa,'A1(epa)'!$U$17,FALSE)=0,IF(VLOOKUP(MATCH(L57,epa_id,0)+1,epa,'A1(epa)'!$Y$17,FALSE)=0,"",VLOOKUP(MATCH(L57,epa_id,0)+1,epa,'A1(epa)'!$Y$17,FALSE))))</f>
        <v>129134</v>
      </c>
      <c r="AY57" s="618">
        <f>+IF(L57="","",IF(2009-VLOOKUP(MATCH(L57,epa_id,0)+1,epa,'A1(epa)'!$U$17,FALSE)=0,IF(VLOOKUP(MATCH(L57,epa_id,0)+1,epa,'A1(epa)'!$AA$17,FALSE)=0,"",VLOOKUP(MATCH(L57,epa_id,0)+1,epa,'A1(epa)'!$AA$17,FALSE))))</f>
        <v>0.15</v>
      </c>
      <c r="AZ57" s="5694">
        <f>+IF(L57="","",IF(2009-VLOOKUP(MATCH(L57,epa_id,0)+1,epa,'A1(epa)'!$U$17,FALSE)=0,IF(VLOOKUP(MATCH(L57,epa_id,0)+1,epa,'A1(epa)'!$AB$17,FALSE)=0,"",VLOOKUP(MATCH(L57,epa_id,0)+1,epa,'A1(epa)'!$AB$17,FALSE))))</f>
        <v>109.5</v>
      </c>
      <c r="BA57" s="5695">
        <f t="shared" si="35"/>
        <v>0.15</v>
      </c>
      <c r="BB57" s="5696">
        <f t="shared" si="36"/>
        <v>109.5</v>
      </c>
      <c r="BC57" s="5394">
        <f t="shared" si="37"/>
        <v>847.95638638933201</v>
      </c>
      <c r="BD57" s="619">
        <f>+IF(L57="","",IF(2009-VLOOKUP(MATCH(L57,epa_id,0)+1,epa,'A1(epa)'!$U$17,FALSE)=0,IF(VLOOKUP(MATCH(L57,epa_id,0)+1,epa,'A1(epa)'!$AC$17,FALSE)=0,"",VLOOKUP(MATCH(L57,epa_id,0)+1,epa,'A1(epa)'!$AC$17,FALSE))))</f>
        <v>1410547</v>
      </c>
      <c r="BE57" s="445" t="str">
        <f>+IF(L57="","",IF(2009-VLOOKUP(MATCH(L57,epa_id,0)+1,epa,'A1(epa)'!$U$17,FALSE)=0,IF(VLOOKUP(MATCH(L57,epa_id,0)+1,epa,'A1(epa)'!$AP$17,FALSE)=0,"",VLOOKUP(MATCH(L57,epa_id,0)+1,epa,'A1(epa)'!$AP$17,FALSE))))</f>
        <v>Coal</v>
      </c>
      <c r="BF57" s="528" t="str">
        <f>+IF(L57="","",IF(2009-VLOOKUP(MATCH(L57,epa_id,0)+1,epa,'A1(epa)'!$U$17,FALSE)=0,IF(VLOOKUP(MATCH(L57,epa_id,0)+1,epa,'A1(epa)'!$AQ$17,FALSE)=0,"",VLOOKUP(MATCH(L57,epa_id,0)+1,epa,'A1(epa)'!$AQ$17,FALSE))))</f>
        <v>Diesel Oil, Residual Oil</v>
      </c>
      <c r="BG57" s="128">
        <f>+IF(L57="","",IF(2008-VLOOKUP(MATCH(L57,epa_id,0)+2,epa,'A1(epa)'!$U$17,FALSE)=0,IF(VLOOKUP(MATCH(L57,epa_id,0)+2,epa,'A1(epa)'!$U$17,FALSE)=0,"",VLOOKUP(MATCH(L57,epa_id,0)+2,epa,'A1(epa)'!$U$17,FALSE))))</f>
        <v>2008</v>
      </c>
      <c r="BH57" s="445">
        <f>+IF(L57="","",IF(2008-VLOOKUP(MATCH(L57,epa_id,0)+2,epa,'A1(epa)'!$U$17,FALSE)=0,IF(VLOOKUP(MATCH(L57,epa_id,0)+2,epa,'A1(epa)'!$W$17,FALSE)=0,"",VLOOKUP(MATCH(L57,epa_id,0)+2,epa,'A1(epa)'!$W$17,FALSE))))</f>
        <v>3474</v>
      </c>
      <c r="BI57" s="445">
        <f>+IF(L57="","",IF(2008-VLOOKUP(MATCH(L57,epa_id,0)+2,epa,'A1(epa)'!$U$17,FALSE)=0,IF(VLOOKUP(MATCH(L57,epa_id,0)+2,epa,'A1(epa)'!$X$17,FALSE)=0,"",VLOOKUP(MATCH(L57,epa_id,0)+2,epa,'A1(epa)'!$X$17,FALSE))))</f>
        <v>5</v>
      </c>
      <c r="BJ57" s="619">
        <f>+IF(L57="","",IF(2008-VLOOKUP(MATCH(L57,epa_id,0)+2,epa,'A1(epa)'!$U$17,FALSE)=0,IF(VLOOKUP(MATCH(L57,epa_id,0)+2,epa,'A1(epa)'!$Y$17,FALSE)=0,"",VLOOKUP(MATCH(L57,epa_id,0)+2,epa,'A1(epa)'!$Y$17,FALSE))))</f>
        <v>1293218</v>
      </c>
      <c r="BK57" s="618">
        <f>+IF(L57="","",IF(2008-VLOOKUP(MATCH(L57,epa_id,0)+2,epa,'A1(epa)'!$U$17,FALSE)=0,IF(VLOOKUP(MATCH(L57,epa_id,0)+2,epa,'A1(epa)'!$AA$17,FALSE)=0,"",VLOOKUP(MATCH(L57,epa_id,0)+2,epa,'A1(epa)'!$AA$17,FALSE))))</f>
        <v>0.14000000000000001</v>
      </c>
      <c r="BL57" s="5694">
        <f>+IF(L57="","",IF(2008-VLOOKUP(MATCH(L57,epa_id,0)+2,epa,'A1(epa)'!$U$17,FALSE)=0,IF(VLOOKUP(MATCH(L57,epa_id,0)+2,epa,'A1(epa)'!$AB$17,FALSE)=0,"",VLOOKUP(MATCH(L57,epa_id,0)+2,epa,'A1(epa)'!$AB$17,FALSE))))</f>
        <v>916.7</v>
      </c>
      <c r="BM57" s="5740">
        <f t="shared" si="16"/>
        <v>0.14000000000000001</v>
      </c>
      <c r="BN57" s="5741">
        <f t="shared" si="9"/>
        <v>916.7</v>
      </c>
      <c r="BO57" s="5742">
        <f t="shared" si="10"/>
        <v>708.85187184217978</v>
      </c>
      <c r="BP57" s="5639">
        <f>+IF(L57="","",IF(2008-VLOOKUP(MATCH(L57,epa_id,0)+2,epa,'A1(epa)'!$U$17,FALSE)=0,IF(VLOOKUP(MATCH(L57,epa_id,0)+2,epa,'A1(epa)'!$AC$17,FALSE)=0,"",VLOOKUP(MATCH(L57,epa_id,0)+2,epa,'A1(epa)'!$AC$17,FALSE))))</f>
        <v>13163750</v>
      </c>
      <c r="BQ57" s="5624" t="str">
        <f>+IF(L57="","",IF(2008-VLOOKUP(MATCH(L57,epa_id,0)+2,epa,'A1(epa)'!$U$17,FALSE)=0,IF(VLOOKUP(MATCH(L57,epa_id,0)+2,epa,'A1(epa)'!$AP$17,FALSE)=0,"",VLOOKUP(MATCH(L57,epa_id,0)+2,epa,'A1(epa)'!$AP$17,FALSE))))</f>
        <v>Coal</v>
      </c>
      <c r="BR57" s="5625" t="str">
        <f>+IF(L57="","",IF(2008-VLOOKUP(MATCH(L57,epa_id,0)+2,epa,'A1(epa)'!$U$17,FALSE)=0,IF(VLOOKUP(MATCH(L57,epa_id,0)+2,epa,'A1(epa)'!$AQ$17,FALSE)=0,"",VLOOKUP(MATCH(L57,epa_id,0)+2,epa,'A1(epa)'!$AQ$17,FALSE))))</f>
        <v>Diesel Oil, Residual Oil</v>
      </c>
      <c r="BS57" s="5611" t="str">
        <f>+IF(L57="","",IF(2010-VLOOKUP(MATCH(L57,epa_id,0),epa,'A1(epa)'!$U$17,FALSE)=0,IF(VLOOKUP(MATCH(L57,epa_id,0),epa,'A1(epa)'!$AS$17,FALSE)=0,"",VLOOKUP(MATCH(L57,epa_id,0),epa,'A1(epa)'!$AS$17,FALSE))))</f>
        <v>Low NOx Burner Technology w/ Separated OFA</v>
      </c>
      <c r="BT57" s="53" t="str">
        <f>+IF(L57="","",IF(2010-VLOOKUP(MATCH(L57,epa_id,0),epa,'A1(epa)'!$U$17,FALSE)=0,IF(VLOOKUP(MATCH(L57,epa_id,0),epa,'A1(epa)'!$AT$17,FALSE)=0,"",VLOOKUP(MATCH(L57,epa_id,0),epa,'A1(epa)'!$AT$17,FALSE))))</f>
        <v/>
      </c>
      <c r="BU57" s="53" t="str">
        <f>+IF(L57="","",IF(2010-VLOOKUP(MATCH(L57,epa_id,0),epa,'A1(epa)'!$U$17,FALSE)=0,IF(VLOOKUP(MATCH(L57,epa_id,0),epa,'A1(epa)'!$AU$17,FALSE)=0,"",VLOOKUP(MATCH(L57,epa_id,0),epa,'A1(epa)'!$AU$17,FALSE))))</f>
        <v/>
      </c>
      <c r="BV57" s="53" t="str">
        <f>+IF(L57="","",IF(2010-VLOOKUP(MATCH(L57,epa_id,0),epa,'A1(epa)'!$U$17,FALSE)=0,IF(VLOOKUP(MATCH(L57,epa_id,0),epa,'A1(epa)'!$AR$17,FALSE)=0,"",VLOOKUP(MATCH(L57,epa_id,0),epa,'A1(epa)'!$AR$17,FALSE))))</f>
        <v/>
      </c>
      <c r="BW57" s="5596" t="str">
        <f>+IF(L57="","",IF(2010-VLOOKUP(MATCH(L57,epa_id,0),epa,'A1(epa)'!$U$17,FALSE)=0,IF(VLOOKUP(MATCH(L57,epa_id,0),epa,'A1(epa)'!$AV$17,FALSE)=0,"",VLOOKUP(MATCH(L57,epa_id,0),epa,'A1(epa)'!$AV$17,FALSE))))</f>
        <v>Electrostatic Precipitator</v>
      </c>
      <c r="BX57" s="531">
        <f>+IF(L57="","",IF(2010-VLOOKUP(MATCH(L57,epa_id,0),epa,'A1(epa)'!$U$17,FALSE)=0,IF(VLOOKUP(MATCH(L57,epa_id,0),epa,'A1(epa)'!$AW$17,FALSE)=0,"",VLOOKUP(MATCH(L57,epa_id,0),epa,'A1(epa)'!$AW$17,FALSE))))</f>
        <v>4100</v>
      </c>
      <c r="BY57" s="5415"/>
      <c r="BZ57" s="531">
        <f t="shared" si="38"/>
        <v>764.70063725364878</v>
      </c>
      <c r="CA57" s="5415"/>
      <c r="CB57" s="587">
        <f t="shared" si="39"/>
        <v>2522</v>
      </c>
      <c r="CC57" s="4380">
        <f t="shared" si="40"/>
        <v>678834</v>
      </c>
      <c r="CD57" s="527">
        <f t="shared" si="41"/>
        <v>6920835</v>
      </c>
      <c r="CE57" s="4388">
        <f t="shared" si="42"/>
        <v>500.5</v>
      </c>
      <c r="CF57" s="4394">
        <f t="shared" si="43"/>
        <v>0.14000000000000001</v>
      </c>
      <c r="CG57" s="529">
        <f t="shared" si="44"/>
        <v>0.14463572675840414</v>
      </c>
      <c r="CH57" s="554">
        <f t="shared" si="45"/>
        <v>5.7349614099287924E-5</v>
      </c>
      <c r="CI57" s="552">
        <f t="shared" si="46"/>
        <v>556</v>
      </c>
      <c r="CJ57" s="4380">
        <f t="shared" si="47"/>
        <v>129134</v>
      </c>
      <c r="CK57" s="527">
        <f t="shared" si="48"/>
        <v>1410547</v>
      </c>
      <c r="CL57" s="553">
        <f t="shared" si="49"/>
        <v>109.5</v>
      </c>
      <c r="CM57" s="4397">
        <f t="shared" si="50"/>
        <v>0.15</v>
      </c>
      <c r="CN57" s="529">
        <f t="shared" si="51"/>
        <v>0.15525891728528013</v>
      </c>
      <c r="CO57" s="554">
        <f t="shared" si="52"/>
        <v>2.7924265698791391E-4</v>
      </c>
      <c r="CP57" s="552">
        <f t="shared" si="53"/>
        <v>3474</v>
      </c>
      <c r="CQ57" s="4380">
        <f t="shared" si="54"/>
        <v>1293218</v>
      </c>
      <c r="CR57" s="527">
        <f t="shared" si="55"/>
        <v>13163750</v>
      </c>
      <c r="CS57" s="553">
        <f t="shared" si="56"/>
        <v>916.7</v>
      </c>
      <c r="CT57" s="4397">
        <f t="shared" si="57"/>
        <v>0.14000000000000001</v>
      </c>
      <c r="CU57" s="529">
        <f t="shared" si="58"/>
        <v>0.13927642199221346</v>
      </c>
      <c r="CV57" s="555">
        <f t="shared" si="59"/>
        <v>4.0091082899313031E-5</v>
      </c>
      <c r="CW57" s="616">
        <f t="shared" si="60"/>
        <v>2008</v>
      </c>
      <c r="CX57" s="617">
        <f t="shared" si="61"/>
        <v>3474</v>
      </c>
      <c r="CY57" s="5583">
        <f t="shared" si="62"/>
        <v>1293218</v>
      </c>
      <c r="CZ57" s="619">
        <f t="shared" si="63"/>
        <v>13163750</v>
      </c>
      <c r="DA57" s="530">
        <f t="shared" si="64"/>
        <v>916.7</v>
      </c>
      <c r="DB57" s="618">
        <f t="shared" si="65"/>
        <v>0.14000000000000001</v>
      </c>
      <c r="DC57" s="618">
        <f t="shared" si="66"/>
        <v>0.13900000000000001</v>
      </c>
      <c r="DD57" s="554">
        <f t="shared" si="67"/>
        <v>0.26387449625791598</v>
      </c>
      <c r="DE57" s="594">
        <f t="shared" si="31"/>
        <v>13.193724812895798</v>
      </c>
      <c r="DF57" s="594"/>
      <c r="DG57" s="5356"/>
      <c r="DH57" s="5348"/>
      <c r="DI57" s="5348"/>
    </row>
    <row r="58" spans="1:113">
      <c r="A58" s="5133"/>
      <c r="B58" s="5133"/>
      <c r="C58" s="5133"/>
      <c r="D58" s="5133"/>
      <c r="E58" s="5132"/>
      <c r="F58" s="5133"/>
      <c r="G58" s="5133"/>
      <c r="H58" s="5133"/>
      <c r="I58" s="5133"/>
      <c r="J58" s="5133"/>
      <c r="K58" s="5133"/>
      <c r="L58" s="5133"/>
      <c r="M58" s="5133"/>
      <c r="N58" s="5133"/>
      <c r="O58" s="5133"/>
      <c r="P58" s="5133"/>
      <c r="Q58" s="5133"/>
      <c r="R58" s="5133"/>
      <c r="S58" s="5133"/>
      <c r="T58" s="5133"/>
      <c r="U58" s="5133"/>
      <c r="V58" s="5133"/>
      <c r="W58" s="5133"/>
      <c r="X58" s="5133"/>
      <c r="Y58" s="5133"/>
      <c r="Z58" s="5133"/>
      <c r="AA58" s="5133"/>
      <c r="AB58" s="5133"/>
      <c r="AC58" s="5133"/>
      <c r="AD58" s="5133"/>
      <c r="AE58" s="5133"/>
      <c r="AF58" s="5133"/>
      <c r="AG58" s="5133"/>
      <c r="AH58" s="5133"/>
      <c r="AI58" s="5133"/>
      <c r="AJ58" s="5133"/>
      <c r="AK58" s="5133"/>
      <c r="AL58" s="5133"/>
      <c r="AM58" s="5133"/>
      <c r="AN58" s="5133"/>
      <c r="AO58" s="5133"/>
      <c r="AP58" s="5133"/>
      <c r="AQ58" s="5133"/>
      <c r="AR58" s="5413" t="s">
        <v>2107</v>
      </c>
      <c r="AS58" s="5133"/>
      <c r="AT58" s="5133"/>
      <c r="AU58" s="5133"/>
      <c r="AV58" s="5133"/>
      <c r="AW58" s="5133"/>
      <c r="AX58" s="5133"/>
      <c r="AY58" s="5133"/>
      <c r="AZ58" s="5133"/>
      <c r="BA58" s="5133"/>
      <c r="BB58" s="5133"/>
      <c r="BC58" s="5133"/>
      <c r="BD58" s="5413" t="s">
        <v>2107</v>
      </c>
      <c r="BE58" s="5133"/>
      <c r="BF58" s="5133"/>
      <c r="BG58" s="5133"/>
      <c r="BH58" s="5133"/>
      <c r="BI58" s="5133"/>
      <c r="BJ58" s="5133"/>
      <c r="BK58" s="5133"/>
      <c r="BL58" s="5133"/>
      <c r="BM58" s="5133"/>
      <c r="BN58" s="5133"/>
      <c r="BO58" s="5133"/>
      <c r="BP58" s="5413" t="s">
        <v>2107</v>
      </c>
      <c r="BQ58" s="5133"/>
      <c r="BR58" s="5133"/>
      <c r="BS58" s="5133"/>
      <c r="BT58" s="5133"/>
      <c r="BU58" s="5133"/>
      <c r="BV58" s="5133"/>
      <c r="BW58" s="5133"/>
      <c r="BX58" s="5133"/>
      <c r="BY58" s="7405"/>
      <c r="BZ58" s="5133"/>
      <c r="CA58" s="7405"/>
      <c r="CB58" s="5133"/>
      <c r="CC58" s="5133"/>
      <c r="CD58" s="5133"/>
      <c r="CE58" s="5414" t="s">
        <v>2109</v>
      </c>
      <c r="CF58" s="5133"/>
      <c r="CG58" s="5133"/>
      <c r="CH58" s="5133"/>
      <c r="CI58" s="5133"/>
      <c r="CJ58" s="5133"/>
      <c r="CK58" s="5133"/>
      <c r="CL58" s="5414" t="s">
        <v>2109</v>
      </c>
      <c r="CM58" s="5133"/>
      <c r="CN58" s="5133"/>
      <c r="CO58" s="5133"/>
      <c r="CP58" s="5133"/>
      <c r="CQ58" s="5133"/>
      <c r="CR58" s="5133"/>
      <c r="CS58" s="5133"/>
      <c r="CT58" s="5133"/>
      <c r="CU58" s="5133"/>
      <c r="CV58" s="5133"/>
      <c r="CW58" s="5133"/>
      <c r="CX58" s="5133"/>
      <c r="CY58" s="5133"/>
      <c r="CZ58" s="5133"/>
      <c r="DA58" s="5133"/>
      <c r="DB58" s="5133"/>
      <c r="DC58" s="5133"/>
      <c r="DD58" s="5133"/>
      <c r="DE58" s="5133"/>
      <c r="DF58" s="5133"/>
      <c r="DG58" s="5133"/>
    </row>
    <row r="59" spans="1:113">
      <c r="A59" s="5133"/>
      <c r="B59" s="5133"/>
      <c r="C59" s="5133"/>
      <c r="D59" s="5133"/>
      <c r="E59" s="5132"/>
      <c r="F59" s="5133"/>
      <c r="G59" s="5133"/>
      <c r="H59" s="5133"/>
      <c r="I59" s="5133"/>
      <c r="J59" s="5133"/>
      <c r="K59" s="5133"/>
      <c r="L59" s="5133"/>
      <c r="M59" s="5133"/>
      <c r="N59" s="5133"/>
      <c r="O59" s="5133"/>
      <c r="P59" s="5133"/>
      <c r="Q59" s="5133"/>
      <c r="R59" s="5133"/>
      <c r="S59" s="5133"/>
      <c r="T59" s="5133"/>
      <c r="U59" s="5133"/>
      <c r="V59" s="5133"/>
      <c r="W59" s="5133"/>
      <c r="X59" s="5133"/>
      <c r="Y59" s="5133"/>
      <c r="Z59" s="5133"/>
      <c r="AA59" s="5133"/>
      <c r="AB59" s="5133"/>
      <c r="AC59" s="5133"/>
      <c r="AD59" s="5133"/>
      <c r="AE59" s="5133"/>
      <c r="AF59" s="5133"/>
      <c r="AG59" s="5133"/>
      <c r="AH59" s="5133"/>
      <c r="AI59" s="5133"/>
      <c r="AJ59" s="5133"/>
      <c r="AK59" s="5133"/>
      <c r="AL59" s="5133"/>
      <c r="AM59" s="5133"/>
      <c r="AN59" s="5133"/>
      <c r="AO59" s="5133"/>
      <c r="AP59" s="5133"/>
      <c r="AQ59" s="5133"/>
      <c r="AR59" s="5133"/>
      <c r="AS59" s="5133"/>
      <c r="AT59" s="5133"/>
      <c r="AU59" s="5133"/>
      <c r="AV59" s="5133"/>
      <c r="AW59" s="5133"/>
      <c r="AX59" s="5133"/>
      <c r="AY59" s="5133"/>
      <c r="AZ59" s="5133"/>
      <c r="BA59" s="5133"/>
      <c r="BB59" s="5133"/>
      <c r="BC59" s="5133"/>
      <c r="BD59" s="5133"/>
      <c r="BE59" s="5133"/>
      <c r="BF59" s="5133"/>
      <c r="BG59" s="5133"/>
      <c r="BH59" s="5133"/>
      <c r="BI59" s="5133"/>
      <c r="BJ59" s="5133"/>
      <c r="BK59" s="5133"/>
      <c r="BL59" s="5133"/>
      <c r="BM59" s="5133"/>
      <c r="BN59" s="5133"/>
      <c r="BO59" s="5133"/>
      <c r="BP59" s="5133"/>
      <c r="BQ59" s="5133"/>
      <c r="BR59" s="5133"/>
      <c r="BS59" s="5133"/>
      <c r="BT59" s="5133"/>
      <c r="BU59" s="5133"/>
      <c r="BV59" s="5133"/>
      <c r="BW59" s="5133"/>
      <c r="BX59" s="5133"/>
      <c r="BY59" s="5133"/>
      <c r="BZ59" s="5133"/>
      <c r="CA59" s="5133"/>
      <c r="CB59" s="5133"/>
      <c r="CC59" s="5133"/>
      <c r="CD59" s="5133"/>
      <c r="CE59" s="5133"/>
      <c r="CF59" s="5133"/>
      <c r="CG59" s="5133"/>
      <c r="CH59" s="5133"/>
      <c r="CI59" s="5133"/>
      <c r="CJ59" s="5133"/>
      <c r="CK59" s="5133"/>
      <c r="CL59" s="5133"/>
      <c r="CM59" s="5133"/>
      <c r="CN59" s="5133"/>
      <c r="CO59" s="5133"/>
      <c r="CP59" s="5133"/>
      <c r="CQ59" s="5133"/>
      <c r="CR59" s="5133"/>
      <c r="CS59" s="5133"/>
      <c r="CT59" s="5133"/>
      <c r="CU59" s="5133"/>
      <c r="CV59" s="5133"/>
      <c r="CW59" s="5133"/>
      <c r="CX59" s="5133"/>
      <c r="CY59" s="5133"/>
      <c r="CZ59" s="5133"/>
      <c r="DA59" s="5133"/>
      <c r="DB59" s="5133"/>
      <c r="DC59" s="5133"/>
      <c r="DD59" s="5133"/>
      <c r="DE59" s="5133"/>
      <c r="DF59" s="5133"/>
      <c r="DG59" s="5133"/>
    </row>
    <row r="60" spans="1:113" ht="15.75">
      <c r="A60" s="5133"/>
      <c r="B60" s="5133"/>
      <c r="C60" s="5133"/>
      <c r="D60" s="5133"/>
      <c r="E60" s="5132"/>
      <c r="F60" s="5133"/>
      <c r="G60" s="5133"/>
      <c r="H60" s="5133"/>
      <c r="I60" s="5133"/>
      <c r="J60" s="5133"/>
      <c r="K60" s="5133"/>
      <c r="L60" s="5133"/>
      <c r="M60" s="5133"/>
      <c r="N60" s="5133"/>
      <c r="O60" s="5133"/>
      <c r="P60" s="5133"/>
      <c r="Q60" s="5133"/>
      <c r="R60" s="5133"/>
      <c r="S60" s="5133"/>
      <c r="T60" s="5133"/>
      <c r="U60" s="5133"/>
      <c r="V60" s="5133"/>
      <c r="W60" s="5133"/>
      <c r="X60" s="5133"/>
      <c r="Y60" s="5133"/>
      <c r="Z60" s="5133"/>
      <c r="AA60" s="5133"/>
      <c r="AB60" s="5133"/>
      <c r="AC60" s="5133"/>
      <c r="AD60" s="5133"/>
      <c r="AE60" s="5133"/>
      <c r="AF60" s="5133"/>
      <c r="AG60" s="5133"/>
      <c r="AH60" s="5133"/>
      <c r="AI60" s="9501">
        <v>2010</v>
      </c>
      <c r="AJ60" s="9502"/>
      <c r="AK60" s="9502"/>
      <c r="AL60" s="9502"/>
      <c r="AM60" s="9502"/>
      <c r="AN60" s="9502"/>
      <c r="AO60" s="9502"/>
      <c r="AP60" s="9502"/>
      <c r="AQ60" s="9502"/>
      <c r="AR60" s="9502"/>
      <c r="AS60" s="9502"/>
      <c r="AT60" s="9503"/>
      <c r="AU60" s="9501">
        <v>2009</v>
      </c>
      <c r="AV60" s="9502"/>
      <c r="AW60" s="9502"/>
      <c r="AX60" s="9502"/>
      <c r="AY60" s="9502"/>
      <c r="AZ60" s="9502"/>
      <c r="BA60" s="9502"/>
      <c r="BB60" s="9502"/>
      <c r="BC60" s="9502"/>
      <c r="BD60" s="9502"/>
      <c r="BE60" s="9502"/>
      <c r="BF60" s="9503"/>
      <c r="BG60" s="9501">
        <v>2008</v>
      </c>
      <c r="BH60" s="9502"/>
      <c r="BI60" s="9502"/>
      <c r="BJ60" s="9502"/>
      <c r="BK60" s="9502"/>
      <c r="BL60" s="9502"/>
      <c r="BM60" s="9502"/>
      <c r="BN60" s="9502"/>
      <c r="BO60" s="9502"/>
      <c r="BP60" s="9503"/>
      <c r="BQ60" s="5133"/>
      <c r="BR60" s="5133"/>
      <c r="BS60" s="5133"/>
      <c r="BT60" s="5133"/>
      <c r="BU60" s="5133"/>
      <c r="BV60" s="5133"/>
      <c r="BW60" s="5133"/>
      <c r="BX60" s="5133"/>
      <c r="BY60" s="5133"/>
      <c r="BZ60" s="5133"/>
      <c r="CA60" s="5133"/>
      <c r="CB60" s="5133"/>
      <c r="CC60" s="5133"/>
      <c r="CD60" s="5133"/>
      <c r="CE60" s="5133"/>
      <c r="CF60" s="5133"/>
      <c r="CG60" s="5133"/>
      <c r="CH60" s="5133"/>
      <c r="CI60" s="5133"/>
      <c r="CJ60" s="5133"/>
      <c r="CK60" s="5133"/>
      <c r="CL60" s="5133"/>
      <c r="CM60" s="5133"/>
      <c r="CN60" s="5133"/>
      <c r="CO60" s="5133"/>
      <c r="CP60" s="5133"/>
      <c r="CQ60" s="5133"/>
      <c r="CR60" s="5133"/>
      <c r="CS60" s="5133"/>
      <c r="CT60" s="5133"/>
      <c r="CU60" s="5133"/>
      <c r="CV60" s="5133"/>
      <c r="CW60" s="5133"/>
      <c r="CX60" s="5133"/>
      <c r="CY60" s="5133"/>
      <c r="CZ60" s="5133"/>
      <c r="DA60" s="5133"/>
      <c r="DB60" s="5133"/>
      <c r="DC60" s="5133"/>
      <c r="DD60" s="5133"/>
      <c r="DE60" s="5133"/>
      <c r="DF60" s="5133"/>
      <c r="DG60" s="5133"/>
    </row>
    <row r="61" spans="1:113">
      <c r="A61" s="5133"/>
      <c r="B61" s="5133"/>
      <c r="C61" s="5133"/>
      <c r="D61" s="5133"/>
      <c r="E61" s="5132"/>
      <c r="F61" s="5133"/>
      <c r="G61" s="5133"/>
      <c r="H61" s="5133"/>
      <c r="I61" s="5133"/>
      <c r="J61" s="5133"/>
      <c r="K61" s="5133"/>
      <c r="L61" s="5133"/>
      <c r="M61" s="5133"/>
      <c r="N61" s="5133"/>
      <c r="O61" s="5133"/>
      <c r="P61" s="5133"/>
      <c r="Q61" s="5133"/>
      <c r="R61" s="5133"/>
      <c r="S61" s="5133"/>
      <c r="T61" s="5133"/>
      <c r="U61" s="5133"/>
      <c r="V61" s="5133"/>
      <c r="W61" s="5133"/>
      <c r="X61" s="5133"/>
      <c r="Y61" s="5133"/>
      <c r="Z61" s="5133"/>
      <c r="AA61" s="5133"/>
      <c r="AB61" s="5133"/>
      <c r="AC61" s="5133"/>
      <c r="AD61" s="5133"/>
      <c r="AE61" s="5133"/>
      <c r="AF61" s="5133"/>
      <c r="AG61" s="9514" t="s">
        <v>2108</v>
      </c>
      <c r="AH61" s="9515"/>
      <c r="AI61" s="5827">
        <v>2010</v>
      </c>
      <c r="AJ61" s="131"/>
      <c r="AK61" s="131"/>
      <c r="AL61" s="5382">
        <f>SUM(AL19:AL57)</f>
        <v>1314749</v>
      </c>
      <c r="AM61" s="131"/>
      <c r="AN61" s="131"/>
      <c r="AO61" s="131"/>
      <c r="AP61" s="131">
        <f>SUM(AP19:AP57)</f>
        <v>1167.1792770434781</v>
      </c>
      <c r="AQ61" s="131"/>
      <c r="AR61" s="132">
        <f>SUM(AR19:AR57)</f>
        <v>14911044.260869566</v>
      </c>
      <c r="AS61" s="131"/>
      <c r="AT61" s="131"/>
      <c r="AU61" s="5827">
        <v>2009</v>
      </c>
      <c r="AV61" s="131"/>
      <c r="AW61" s="131"/>
      <c r="AX61" s="5383">
        <f>SUM(AX19:AX57)</f>
        <v>302208</v>
      </c>
      <c r="AY61" s="131"/>
      <c r="AZ61" s="131"/>
      <c r="BA61" s="131"/>
      <c r="BB61" s="131">
        <f>SUM(BB19:BB57)</f>
        <v>309.05703578813564</v>
      </c>
      <c r="BC61" s="131"/>
      <c r="BD61" s="5383">
        <f>SUM(BD19:BD57)</f>
        <v>3565095.9661016949</v>
      </c>
      <c r="BE61" s="131"/>
      <c r="BF61" s="131"/>
      <c r="BG61" s="130">
        <v>2008</v>
      </c>
      <c r="BH61" s="131"/>
      <c r="BI61" s="131"/>
      <c r="BJ61" s="5383">
        <f>SUM(BJ19:BJ57)</f>
        <v>1586253</v>
      </c>
      <c r="BK61" s="131"/>
      <c r="BL61" s="131"/>
      <c r="BM61" s="131"/>
      <c r="BN61" s="131">
        <f>SUM(BN19:BN57)</f>
        <v>1270.8805299384671</v>
      </c>
      <c r="BO61" s="131"/>
      <c r="BP61" s="5383">
        <f>SUM(BP19:BP57)</f>
        <v>16991305.122328665</v>
      </c>
      <c r="BQ61" s="5133"/>
      <c r="BR61" s="5133"/>
      <c r="BS61" s="5133"/>
      <c r="BT61" s="5133"/>
      <c r="BU61" s="5133"/>
      <c r="BV61" s="5133"/>
      <c r="BW61" s="5133"/>
      <c r="BX61" s="5133"/>
      <c r="BY61" s="5133"/>
      <c r="BZ61" s="5133"/>
      <c r="CA61" s="5133"/>
      <c r="CB61" s="5133"/>
      <c r="CC61" s="5133"/>
      <c r="CD61" s="5133"/>
      <c r="CE61" s="5133"/>
      <c r="CF61" s="5133"/>
      <c r="CG61" s="5133"/>
      <c r="CH61" s="5133"/>
      <c r="CI61" s="5133"/>
      <c r="CJ61" s="5133"/>
      <c r="CK61" s="5133"/>
      <c r="CL61" s="5133"/>
      <c r="CM61" s="5133"/>
      <c r="CN61" s="5133"/>
      <c r="CO61" s="5133"/>
      <c r="CP61" s="5133"/>
      <c r="CQ61" s="5133"/>
      <c r="CR61" s="5133"/>
      <c r="CS61" s="5133"/>
      <c r="CT61" s="5133"/>
      <c r="CU61" s="5133"/>
      <c r="CV61" s="5133"/>
      <c r="CW61" s="5133"/>
      <c r="CX61" s="5133"/>
      <c r="CY61" s="5133"/>
      <c r="CZ61" s="5133"/>
      <c r="DA61" s="5133"/>
      <c r="DB61" s="5133"/>
      <c r="DC61" s="5133"/>
      <c r="DD61" s="5133"/>
      <c r="DE61" s="5133"/>
      <c r="DF61" s="5133"/>
      <c r="DG61" s="5133"/>
    </row>
    <row r="62" spans="1:113">
      <c r="A62" s="5133"/>
      <c r="B62" s="5131"/>
      <c r="C62" s="5131"/>
      <c r="D62" s="5131"/>
      <c r="E62" s="5134"/>
      <c r="F62" s="5131"/>
      <c r="G62" s="5131"/>
      <c r="H62" s="5133"/>
      <c r="I62" s="5133"/>
      <c r="J62" s="5133"/>
      <c r="K62" s="5133"/>
      <c r="L62" s="5133"/>
      <c r="M62" s="5133"/>
      <c r="N62" s="5133"/>
      <c r="O62" s="5353"/>
      <c r="P62" s="5133"/>
      <c r="Q62" s="5133"/>
      <c r="R62" s="5133"/>
      <c r="S62" s="5133"/>
      <c r="T62" s="5133"/>
      <c r="U62" s="5133"/>
      <c r="V62" s="5133"/>
      <c r="W62" s="5133"/>
      <c r="X62" s="5133"/>
      <c r="Y62" s="5133"/>
      <c r="Z62" s="5133"/>
      <c r="AA62" s="5133"/>
      <c r="AB62" s="5133"/>
      <c r="AC62" s="5133"/>
      <c r="AD62" s="5133"/>
      <c r="AE62" s="5133"/>
      <c r="AF62" s="5133"/>
      <c r="AG62" s="5133"/>
      <c r="AH62" s="5133"/>
      <c r="AI62" s="5133"/>
      <c r="AJ62" s="5133"/>
      <c r="AK62" s="5133"/>
      <c r="AL62" s="5133"/>
      <c r="AM62" s="5133"/>
      <c r="AN62" s="5133"/>
      <c r="AO62" s="5133"/>
      <c r="AP62" s="5133"/>
      <c r="AQ62" s="5133"/>
      <c r="AR62" s="5133"/>
      <c r="AS62" s="5133"/>
      <c r="AT62" s="5133"/>
      <c r="AU62" s="5133"/>
      <c r="AV62" s="5133"/>
      <c r="AW62" s="5133"/>
      <c r="AX62" s="5133"/>
      <c r="AY62" s="5133"/>
      <c r="AZ62" s="5133"/>
      <c r="BA62" s="5133"/>
      <c r="BB62" s="5133"/>
      <c r="BC62" s="5133"/>
      <c r="BD62" s="5133"/>
      <c r="BE62" s="5133"/>
      <c r="BF62" s="5133" t="str">
        <f>+IF(L62="","",IF(2009-VLOOKUP(MATCH(L62,epa_id,0)+1,epa,'A1(epa)'!$U$17,FALSE)=0,IF(VLOOKUP(MATCH(L62,epa_id,0)+1,epa,'A1(epa)'!$AQ$17,FALSE)=0,"",VLOOKUP(MATCH(L62,epa_id,0)+1,epa,'A1(epa)'!$AQ$17,FALSE))))</f>
        <v/>
      </c>
      <c r="BG62" s="5133"/>
      <c r="BH62" s="5133"/>
      <c r="BI62" s="5133"/>
      <c r="BJ62" s="5133"/>
      <c r="BK62" s="5133"/>
      <c r="BL62" s="5133"/>
      <c r="BM62" s="5133"/>
      <c r="BN62" s="5133"/>
      <c r="BO62" s="5133"/>
      <c r="BP62" s="5133"/>
      <c r="BQ62" s="5133"/>
      <c r="BR62" s="5133"/>
      <c r="BS62" s="5133"/>
      <c r="BT62" s="5133"/>
      <c r="BU62" s="5133"/>
      <c r="BV62" s="5133"/>
      <c r="BW62" s="5133"/>
      <c r="BX62" s="5133"/>
      <c r="BY62" s="7405"/>
      <c r="BZ62" s="5133"/>
      <c r="CA62" s="7405"/>
      <c r="CB62" s="5133"/>
      <c r="CC62" s="5133"/>
      <c r="CD62" s="5133"/>
      <c r="CE62" s="5133"/>
      <c r="CF62" s="5133"/>
      <c r="CG62" s="5133"/>
      <c r="CH62" s="5133"/>
      <c r="CI62" s="5133"/>
      <c r="CJ62" s="5133"/>
      <c r="CK62" s="5133"/>
      <c r="CL62" s="5133"/>
      <c r="CM62" s="5133"/>
      <c r="CN62" s="5133"/>
      <c r="CO62" s="5133"/>
      <c r="CP62" s="5133"/>
      <c r="CQ62" s="5133"/>
      <c r="CR62" s="5133"/>
      <c r="CS62" s="5133"/>
      <c r="CT62" s="5133"/>
      <c r="CU62" s="5133"/>
      <c r="CV62" s="5133"/>
      <c r="CW62" s="5133"/>
      <c r="CX62" s="5133"/>
      <c r="CY62" s="5133"/>
      <c r="CZ62" s="5133"/>
      <c r="DA62" s="5133"/>
      <c r="DB62" s="5133"/>
      <c r="DC62" s="5133"/>
      <c r="DD62" s="5133"/>
      <c r="DE62" s="5133"/>
      <c r="DF62" s="5133"/>
      <c r="DG62" s="5133"/>
    </row>
    <row r="63" spans="1:113" s="5132" customFormat="1" ht="219.95" customHeight="1">
      <c r="L63" s="5352"/>
      <c r="O63" s="5152"/>
      <c r="AG63" s="5352"/>
      <c r="AH63" s="5352"/>
      <c r="CA63" s="5135"/>
      <c r="CW63" s="5352"/>
      <c r="CZ63" s="5352"/>
      <c r="DA63" s="5352"/>
      <c r="DB63" s="5352"/>
      <c r="DC63" s="5352"/>
    </row>
    <row r="64" spans="1:113" s="5132" customFormat="1" ht="219.95" customHeight="1">
      <c r="O64" s="5152"/>
      <c r="AG64" s="5352"/>
      <c r="AH64" s="5352"/>
      <c r="CA64" s="5135"/>
    </row>
    <row r="65" spans="5:34" hidden="1">
      <c r="E65" s="5132"/>
      <c r="O65" s="7904"/>
      <c r="AG65" s="47"/>
      <c r="AH65" s="47"/>
    </row>
    <row r="66" spans="5:34" hidden="1">
      <c r="E66" s="5132"/>
      <c r="O66" s="7904"/>
    </row>
    <row r="67" spans="5:34" hidden="1">
      <c r="O67" s="7904"/>
    </row>
    <row r="68" spans="5:34" hidden="1">
      <c r="O68" s="7904"/>
    </row>
    <row r="69" spans="5:34" hidden="1">
      <c r="O69" s="7904"/>
    </row>
    <row r="70" spans="5:34"/>
    <row r="71" spans="5:34"/>
    <row r="72" spans="5:34"/>
    <row r="73" spans="5:34"/>
    <row r="74" spans="5:34"/>
    <row r="75" spans="5:34"/>
    <row r="76" spans="5:34"/>
  </sheetData>
  <sheetProtection password="C665" sheet="1" objects="1" scenarios="1"/>
  <mergeCells count="220">
    <mergeCell ref="A13:C15"/>
    <mergeCell ref="B48:B50"/>
    <mergeCell ref="B51:B52"/>
    <mergeCell ref="B53:B54"/>
    <mergeCell ref="B56:B57"/>
    <mergeCell ref="BZ15:BZ16"/>
    <mergeCell ref="CK20:CK27"/>
    <mergeCell ref="B46:B47"/>
    <mergeCell ref="K20:K27"/>
    <mergeCell ref="J31:J45"/>
    <mergeCell ref="K31:K45"/>
    <mergeCell ref="P26:P27"/>
    <mergeCell ref="I46:I47"/>
    <mergeCell ref="I20:I27"/>
    <mergeCell ref="B31:B45"/>
    <mergeCell ref="M20:M27"/>
    <mergeCell ref="P20:P21"/>
    <mergeCell ref="M41:M45"/>
    <mergeCell ref="P22:P23"/>
    <mergeCell ref="P24:P25"/>
    <mergeCell ref="A18:C18"/>
    <mergeCell ref="CC35:CC36"/>
    <mergeCell ref="CD35:CD36"/>
    <mergeCell ref="CE35:CE36"/>
    <mergeCell ref="DF15:DF17"/>
    <mergeCell ref="DE42:DE45"/>
    <mergeCell ref="DC42:DC45"/>
    <mergeCell ref="DB42:DB45"/>
    <mergeCell ref="DA42:DA45"/>
    <mergeCell ref="CO42:CO45"/>
    <mergeCell ref="CO35:CO36"/>
    <mergeCell ref="CO32:CO34"/>
    <mergeCell ref="CO20:CO27"/>
    <mergeCell ref="DC35:DC36"/>
    <mergeCell ref="DB35:DB36"/>
    <mergeCell ref="DA35:DA36"/>
    <mergeCell ref="CZ35:CZ36"/>
    <mergeCell ref="CY35:CY36"/>
    <mergeCell ref="CX35:CX36"/>
    <mergeCell ref="CW35:CW36"/>
    <mergeCell ref="DE32:DE34"/>
    <mergeCell ref="DD32:DD34"/>
    <mergeCell ref="DC32:DC34"/>
    <mergeCell ref="DB32:DB34"/>
    <mergeCell ref="DA32:DA34"/>
    <mergeCell ref="CY20:CY27"/>
    <mergeCell ref="CX20:CX27"/>
    <mergeCell ref="CW20:CW27"/>
    <mergeCell ref="DF46:DF47"/>
    <mergeCell ref="CF20:CF27"/>
    <mergeCell ref="CF32:CF34"/>
    <mergeCell ref="CF35:CF36"/>
    <mergeCell ref="CF42:CF45"/>
    <mergeCell ref="DF20:DF27"/>
    <mergeCell ref="DF32:DF34"/>
    <mergeCell ref="DF35:DF36"/>
    <mergeCell ref="DF42:DF45"/>
    <mergeCell ref="CZ32:CZ34"/>
    <mergeCell ref="CY32:CY34"/>
    <mergeCell ref="CX32:CX34"/>
    <mergeCell ref="CW32:CW34"/>
    <mergeCell ref="CM32:CM34"/>
    <mergeCell ref="CM20:CM27"/>
    <mergeCell ref="CM35:CM36"/>
    <mergeCell ref="CM42:CM45"/>
    <mergeCell ref="CZ42:CZ45"/>
    <mergeCell ref="CY42:CY45"/>
    <mergeCell ref="CX42:CX45"/>
    <mergeCell ref="CW42:CW45"/>
    <mergeCell ref="DD42:DD45"/>
    <mergeCell ref="DE35:DE36"/>
    <mergeCell ref="DD35:DD36"/>
    <mergeCell ref="CH35:CH36"/>
    <mergeCell ref="CV20:CV27"/>
    <mergeCell ref="CU20:CU27"/>
    <mergeCell ref="CV35:CV36"/>
    <mergeCell ref="CU35:CU36"/>
    <mergeCell ref="CT20:CT27"/>
    <mergeCell ref="CT32:CT34"/>
    <mergeCell ref="CC20:CC27"/>
    <mergeCell ref="CI35:CI36"/>
    <mergeCell ref="DE20:DE27"/>
    <mergeCell ref="CR35:CR36"/>
    <mergeCell ref="CN20:CN27"/>
    <mergeCell ref="CL20:CL27"/>
    <mergeCell ref="DD20:DD27"/>
    <mergeCell ref="Q48:Q50"/>
    <mergeCell ref="CB32:CB34"/>
    <mergeCell ref="CC32:CC34"/>
    <mergeCell ref="CD32:CD34"/>
    <mergeCell ref="CE32:CE34"/>
    <mergeCell ref="CG32:CG34"/>
    <mergeCell ref="CH32:CH34"/>
    <mergeCell ref="CB35:CB36"/>
    <mergeCell ref="CH20:CH27"/>
    <mergeCell ref="CG20:CG27"/>
    <mergeCell ref="CE20:CE27"/>
    <mergeCell ref="CD20:CD27"/>
    <mergeCell ref="CP35:CP36"/>
    <mergeCell ref="CT42:CT45"/>
    <mergeCell ref="DC20:DC27"/>
    <mergeCell ref="DB20:DB27"/>
    <mergeCell ref="DA20:DA27"/>
    <mergeCell ref="CZ20:CZ27"/>
    <mergeCell ref="Q46:Q47"/>
    <mergeCell ref="Q32:Q36"/>
    <mergeCell ref="Q20:Q27"/>
    <mergeCell ref="Q41:Q45"/>
    <mergeCell ref="CG42:CG45"/>
    <mergeCell ref="J20:J27"/>
    <mergeCell ref="B20:B27"/>
    <mergeCell ref="I32:I34"/>
    <mergeCell ref="M32:M34"/>
    <mergeCell ref="M35:M36"/>
    <mergeCell ref="I35:I36"/>
    <mergeCell ref="I42:I45"/>
    <mergeCell ref="CG35:CG36"/>
    <mergeCell ref="CV42:CV45"/>
    <mergeCell ref="CU42:CU45"/>
    <mergeCell ref="CB42:CB45"/>
    <mergeCell ref="CC42:CC45"/>
    <mergeCell ref="CD42:CD45"/>
    <mergeCell ref="CE42:CE45"/>
    <mergeCell ref="CP20:CP27"/>
    <mergeCell ref="CV32:CV34"/>
    <mergeCell ref="CU32:CU34"/>
    <mergeCell ref="CS32:CS34"/>
    <mergeCell ref="CR32:CR34"/>
    <mergeCell ref="CP32:CP34"/>
    <mergeCell ref="CH42:CH45"/>
    <mergeCell ref="CS42:CS45"/>
    <mergeCell ref="CR42:CR45"/>
    <mergeCell ref="CP42:CP45"/>
    <mergeCell ref="CQ42:CQ45"/>
    <mergeCell ref="CQ20:CQ27"/>
    <mergeCell ref="CQ32:CQ34"/>
    <mergeCell ref="CQ35:CQ36"/>
    <mergeCell ref="CS20:CS27"/>
    <mergeCell ref="CR20:CR27"/>
    <mergeCell ref="CS35:CS36"/>
    <mergeCell ref="CB20:CB27"/>
    <mergeCell ref="CN42:CN45"/>
    <mergeCell ref="CL42:CL45"/>
    <mergeCell ref="CK42:CK45"/>
    <mergeCell ref="CI42:CI45"/>
    <mergeCell ref="CI20:CI27"/>
    <mergeCell ref="CN32:CN34"/>
    <mergeCell ref="CL32:CL34"/>
    <mergeCell ref="CK32:CK34"/>
    <mergeCell ref="CI32:CI34"/>
    <mergeCell ref="CJ20:CJ27"/>
    <mergeCell ref="CJ32:CJ34"/>
    <mergeCell ref="CJ35:CJ36"/>
    <mergeCell ref="CJ42:CJ45"/>
    <mergeCell ref="CN35:CN36"/>
    <mergeCell ref="CL35:CL36"/>
    <mergeCell ref="CK35:CK36"/>
    <mergeCell ref="AG61:AH61"/>
    <mergeCell ref="N15:N17"/>
    <mergeCell ref="K15:K17"/>
    <mergeCell ref="J15:J17"/>
    <mergeCell ref="I15:I17"/>
    <mergeCell ref="H15:H17"/>
    <mergeCell ref="G15:G17"/>
    <mergeCell ref="M15:M17"/>
    <mergeCell ref="L15:L17"/>
    <mergeCell ref="J55:J57"/>
    <mergeCell ref="K55:K57"/>
    <mergeCell ref="M56:M57"/>
    <mergeCell ref="M53:M54"/>
    <mergeCell ref="J46:J47"/>
    <mergeCell ref="K46:K47"/>
    <mergeCell ref="J48:J54"/>
    <mergeCell ref="K48:K54"/>
    <mergeCell ref="M48:M50"/>
    <mergeCell ref="M46:M47"/>
    <mergeCell ref="Q53:Q54"/>
    <mergeCell ref="M51:M52"/>
    <mergeCell ref="Q51:Q52"/>
    <mergeCell ref="R15:R17"/>
    <mergeCell ref="Q15:Q17"/>
    <mergeCell ref="P15:P17"/>
    <mergeCell ref="O15:O17"/>
    <mergeCell ref="AD15:AD17"/>
    <mergeCell ref="AC15:AC16"/>
    <mergeCell ref="AB15:AB16"/>
    <mergeCell ref="AA15:AA16"/>
    <mergeCell ref="Z15:Z16"/>
    <mergeCell ref="Y15:Y17"/>
    <mergeCell ref="X15:X17"/>
    <mergeCell ref="W15:W17"/>
    <mergeCell ref="V15:V17"/>
    <mergeCell ref="U15:U17"/>
    <mergeCell ref="AI60:AT60"/>
    <mergeCell ref="AU60:BF60"/>
    <mergeCell ref="BG60:BP60"/>
    <mergeCell ref="AU16:AU17"/>
    <mergeCell ref="BE16:BE17"/>
    <mergeCell ref="BF16:BF17"/>
    <mergeCell ref="BG16:BG17"/>
    <mergeCell ref="T15:T17"/>
    <mergeCell ref="S15:S17"/>
    <mergeCell ref="BG15:BR15"/>
    <mergeCell ref="AU15:BF15"/>
    <mergeCell ref="AI15:AT15"/>
    <mergeCell ref="BQ16:BQ17"/>
    <mergeCell ref="BR16:BR17"/>
    <mergeCell ref="CW16:CW17"/>
    <mergeCell ref="AE15:AF16"/>
    <mergeCell ref="AH15:AH16"/>
    <mergeCell ref="AG15:AG16"/>
    <mergeCell ref="AI16:AI17"/>
    <mergeCell ref="AT16:AT17"/>
    <mergeCell ref="AS16:AS17"/>
    <mergeCell ref="CP15:CV15"/>
    <mergeCell ref="CI15:CO15"/>
    <mergeCell ref="BS15:BW15"/>
    <mergeCell ref="BX15:BX16"/>
    <mergeCell ref="CB15:CH15"/>
    <mergeCell ref="CW15:DD15"/>
  </mergeCells>
  <hyperlinks>
    <hyperlink ref="F8" location="'Table of Contents'!A1" display="x"/>
  </hyperlinks>
  <pageMargins left="0.45" right="0.2" top="0.75" bottom="0.75" header="0.3" footer="0.3"/>
  <pageSetup scale="60" orientation="portrait" r:id="rId1"/>
  <ignoredErrors>
    <ignoredError sqref="BP40 AA55 AR40 BD40" formula="1"/>
  </ignoredErrors>
</worksheet>
</file>

<file path=xl/worksheets/sheet7.xml><?xml version="1.0" encoding="utf-8"?>
<worksheet xmlns="http://schemas.openxmlformats.org/spreadsheetml/2006/main" xmlns:r="http://schemas.openxmlformats.org/officeDocument/2006/relationships">
  <sheetPr>
    <tabColor rgb="FFFFFFCC"/>
  </sheetPr>
  <dimension ref="A1:AI276"/>
  <sheetViews>
    <sheetView zoomScale="70" zoomScaleNormal="70" workbookViewId="0">
      <selection activeCell="B8" sqref="B8"/>
    </sheetView>
  </sheetViews>
  <sheetFormatPr defaultColWidth="0" defaultRowHeight="12.75" zeroHeight="1"/>
  <cols>
    <col min="1" max="1" width="32.7109375" customWidth="1"/>
    <col min="2" max="2" width="3.7109375" style="271" customWidth="1"/>
    <col min="3" max="3" width="9.28515625" customWidth="1"/>
    <col min="4" max="6" width="9.7109375" customWidth="1"/>
    <col min="7" max="8" width="9.7109375" style="271" customWidth="1"/>
    <col min="9" max="9" width="9.7109375" customWidth="1"/>
    <col min="10" max="10" width="9.7109375" style="271" customWidth="1"/>
    <col min="11" max="11" width="9.7109375" customWidth="1"/>
    <col min="12" max="13" width="9.85546875" customWidth="1"/>
    <col min="14" max="14" width="9.140625" customWidth="1"/>
    <col min="15" max="15" width="11.28515625" customWidth="1"/>
    <col min="16" max="24" width="9.140625" customWidth="1"/>
    <col min="25" max="25" width="10.5703125" customWidth="1"/>
    <col min="26" max="26" width="4.7109375" customWidth="1"/>
    <col min="27" max="29" width="10.7109375" customWidth="1"/>
    <col min="30" max="30" width="5.140625" customWidth="1"/>
    <col min="31" max="31" width="4.5703125" style="271" customWidth="1"/>
    <col min="32" max="32" width="9.140625" customWidth="1"/>
    <col min="33" max="35" width="40.7109375" customWidth="1"/>
    <col min="36" max="16384" width="9.140625" hidden="1"/>
  </cols>
  <sheetData>
    <row r="1" spans="1:35" ht="9" customHeight="1">
      <c r="A1" s="5132"/>
      <c r="B1" s="5133"/>
      <c r="C1" s="5133"/>
      <c r="D1" s="5133"/>
      <c r="E1" s="5133"/>
      <c r="F1" s="5133"/>
      <c r="G1" s="5133"/>
      <c r="H1" s="5133"/>
      <c r="I1" s="5133"/>
      <c r="J1" s="5133"/>
      <c r="K1" s="5133"/>
      <c r="L1" s="5133"/>
      <c r="M1" s="5133"/>
      <c r="N1" s="5133"/>
      <c r="O1" s="5133"/>
      <c r="P1" s="5133"/>
      <c r="Q1" s="5133"/>
      <c r="R1" s="5133"/>
      <c r="S1" s="5133"/>
      <c r="T1" s="5133"/>
      <c r="U1" s="5133"/>
      <c r="V1" s="5133"/>
      <c r="W1" s="5133"/>
      <c r="X1" s="5133"/>
      <c r="Y1" s="5133"/>
      <c r="Z1" s="5133"/>
      <c r="AA1" s="5133"/>
      <c r="AB1" s="5133"/>
      <c r="AC1" s="5133"/>
      <c r="AD1" s="5133"/>
      <c r="AE1" s="5133"/>
      <c r="AF1" s="5132"/>
      <c r="AG1" s="5132"/>
      <c r="AH1" s="5132"/>
      <c r="AI1" s="5132"/>
    </row>
    <row r="2" spans="1:35" ht="20.100000000000001" customHeight="1">
      <c r="A2" s="5132"/>
      <c r="B2" s="5133"/>
      <c r="C2" s="5981" t="s">
        <v>2117</v>
      </c>
      <c r="D2" s="5960"/>
      <c r="E2" s="5960"/>
      <c r="F2" s="5960"/>
      <c r="G2" s="5960"/>
      <c r="H2" s="5960"/>
      <c r="I2" s="5960"/>
      <c r="J2" s="5960"/>
      <c r="K2" s="5960"/>
      <c r="L2" s="5960"/>
      <c r="M2" s="5960"/>
      <c r="N2" s="5960"/>
      <c r="O2" s="5960"/>
      <c r="P2" s="5960"/>
      <c r="Q2" s="5960"/>
      <c r="R2" s="5960"/>
      <c r="S2" s="5960"/>
      <c r="T2" s="5961"/>
      <c r="U2" s="5961"/>
      <c r="V2" s="5961"/>
      <c r="W2" s="5961"/>
      <c r="X2" s="5961"/>
      <c r="Y2" s="5961"/>
      <c r="Z2" s="5961"/>
      <c r="AA2" s="5961"/>
      <c r="AB2" s="5961"/>
      <c r="AC2" s="5961"/>
      <c r="AD2" s="5975"/>
      <c r="AE2" s="5118"/>
      <c r="AF2" s="5132"/>
      <c r="AG2" s="5132"/>
      <c r="AH2" s="5132"/>
      <c r="AI2" s="5132"/>
    </row>
    <row r="3" spans="1:35" ht="18" customHeight="1">
      <c r="A3" s="5132"/>
      <c r="B3" s="5133"/>
      <c r="C3" s="5982">
        <v>1</v>
      </c>
      <c r="D3" s="5121" t="s">
        <v>2116</v>
      </c>
      <c r="E3" s="5121"/>
      <c r="F3" s="5121"/>
      <c r="G3" s="5121"/>
      <c r="H3" s="5121"/>
      <c r="I3" s="5121"/>
      <c r="J3" s="5121"/>
      <c r="K3" s="5121"/>
      <c r="L3" s="5121"/>
      <c r="M3" s="5121"/>
      <c r="N3" s="5121"/>
      <c r="O3" s="5121"/>
      <c r="P3" s="5121"/>
      <c r="Q3" s="5967">
        <f>1+C6</f>
        <v>5</v>
      </c>
      <c r="R3" s="5121" t="s">
        <v>2800</v>
      </c>
      <c r="S3" s="5121"/>
      <c r="T3" s="5118"/>
      <c r="U3" s="5118"/>
      <c r="V3" s="5118"/>
      <c r="W3" s="5118"/>
      <c r="X3" s="5118"/>
      <c r="Y3" s="5118"/>
      <c r="Z3" s="5118"/>
      <c r="AA3" s="5118"/>
      <c r="AB3" s="5118"/>
      <c r="AC3" s="5118"/>
      <c r="AD3" s="5976"/>
      <c r="AE3" s="5118"/>
      <c r="AF3" s="5132"/>
      <c r="AG3" s="5132"/>
      <c r="AH3" s="5132"/>
      <c r="AI3" s="5132"/>
    </row>
    <row r="4" spans="1:35" ht="18" customHeight="1">
      <c r="A4" s="5132"/>
      <c r="B4" s="5133"/>
      <c r="C4" s="5982">
        <f>1+C3</f>
        <v>2</v>
      </c>
      <c r="D4" s="5121" t="s">
        <v>2115</v>
      </c>
      <c r="E4" s="5121"/>
      <c r="F4" s="5121"/>
      <c r="G4" s="5121"/>
      <c r="H4" s="5121"/>
      <c r="I4" s="5121"/>
      <c r="J4" s="5121"/>
      <c r="K4" s="5121"/>
      <c r="L4" s="5121"/>
      <c r="M4" s="5121"/>
      <c r="N4" s="5121"/>
      <c r="O4" s="5121"/>
      <c r="P4" s="5121"/>
      <c r="Q4" s="5967">
        <f>1+Q3</f>
        <v>6</v>
      </c>
      <c r="R4" s="5121" t="s">
        <v>2544</v>
      </c>
      <c r="S4" s="5121"/>
      <c r="T4" s="5118"/>
      <c r="U4" s="5118"/>
      <c r="V4" s="5118"/>
      <c r="W4" s="5118"/>
      <c r="X4" s="5118"/>
      <c r="Y4" s="5118"/>
      <c r="Z4" s="5118"/>
      <c r="AA4" s="5118"/>
      <c r="AB4" s="5118"/>
      <c r="AC4" s="5118"/>
      <c r="AD4" s="5976"/>
      <c r="AE4" s="5118"/>
      <c r="AF4" s="5132"/>
      <c r="AG4" s="5132"/>
      <c r="AH4" s="5132"/>
      <c r="AI4" s="5132"/>
    </row>
    <row r="5" spans="1:35" ht="18" customHeight="1">
      <c r="A5" s="5132"/>
      <c r="B5" s="5133"/>
      <c r="C5" s="5982">
        <f>1+C4</f>
        <v>3</v>
      </c>
      <c r="D5" s="5121" t="s">
        <v>2111</v>
      </c>
      <c r="E5" s="5121"/>
      <c r="F5" s="5121"/>
      <c r="G5" s="5121"/>
      <c r="H5" s="5121"/>
      <c r="I5" s="5121"/>
      <c r="J5" s="5121"/>
      <c r="K5" s="5121"/>
      <c r="L5" s="5121"/>
      <c r="M5" s="5121"/>
      <c r="N5" s="5121"/>
      <c r="O5" s="5121"/>
      <c r="P5" s="5121"/>
      <c r="Q5" s="5967">
        <f>1+Q4</f>
        <v>7</v>
      </c>
      <c r="R5" s="5121" t="s">
        <v>2112</v>
      </c>
      <c r="S5" s="5121"/>
      <c r="T5" s="5118"/>
      <c r="U5" s="5118"/>
      <c r="V5" s="5118"/>
      <c r="W5" s="5118"/>
      <c r="X5" s="5118"/>
      <c r="Y5" s="5118"/>
      <c r="Z5" s="5118"/>
      <c r="AA5" s="5118"/>
      <c r="AB5" s="5118"/>
      <c r="AC5" s="5118"/>
      <c r="AD5" s="5976"/>
      <c r="AE5" s="5118"/>
      <c r="AF5" s="5132"/>
      <c r="AG5" s="5132"/>
      <c r="AH5" s="5132"/>
      <c r="AI5" s="5132"/>
    </row>
    <row r="6" spans="1:35" ht="18" customHeight="1">
      <c r="A6" s="5132"/>
      <c r="B6" s="5133"/>
      <c r="C6" s="5983">
        <f>1+C5</f>
        <v>4</v>
      </c>
      <c r="D6" s="5977" t="s">
        <v>2113</v>
      </c>
      <c r="E6" s="5977"/>
      <c r="F6" s="5977"/>
      <c r="G6" s="5977"/>
      <c r="H6" s="5977"/>
      <c r="I6" s="5977"/>
      <c r="J6" s="5977"/>
      <c r="K6" s="5977"/>
      <c r="L6" s="5977"/>
      <c r="M6" s="5977"/>
      <c r="N6" s="5977"/>
      <c r="O6" s="5977"/>
      <c r="P6" s="5977"/>
      <c r="Q6" s="5978">
        <f>1+Q5</f>
        <v>8</v>
      </c>
      <c r="R6" s="5977" t="s">
        <v>2114</v>
      </c>
      <c r="S6" s="5977"/>
      <c r="T6" s="5966"/>
      <c r="U6" s="5966"/>
      <c r="V6" s="5966"/>
      <c r="W6" s="5966"/>
      <c r="X6" s="5966"/>
      <c r="Y6" s="5966"/>
      <c r="Z6" s="5966"/>
      <c r="AA6" s="5966"/>
      <c r="AB6" s="5966"/>
      <c r="AC6" s="5966"/>
      <c r="AD6" s="5979"/>
      <c r="AE6" s="5118"/>
      <c r="AF6" s="5132"/>
      <c r="AG6" s="5132"/>
      <c r="AH6" s="5132"/>
      <c r="AI6" s="5132"/>
    </row>
    <row r="7" spans="1:35" s="271" customFormat="1" ht="18" customHeight="1">
      <c r="A7" s="5132"/>
      <c r="B7" s="5133"/>
      <c r="C7" s="7913" t="s">
        <v>912</v>
      </c>
      <c r="D7" s="7914" t="s">
        <v>2543</v>
      </c>
      <c r="E7" s="5121"/>
      <c r="F7" s="5121"/>
      <c r="G7" s="5121"/>
      <c r="H7" s="5121"/>
      <c r="I7" s="5121"/>
      <c r="J7" s="5121"/>
      <c r="K7" s="5121"/>
      <c r="L7" s="5121"/>
      <c r="M7" s="5121"/>
      <c r="N7" s="5121"/>
      <c r="O7" s="5121"/>
      <c r="P7" s="5121"/>
      <c r="Q7" s="5967"/>
      <c r="R7" s="5121"/>
      <c r="S7" s="5121"/>
      <c r="T7" s="7405"/>
      <c r="U7" s="7405"/>
      <c r="V7" s="7405"/>
      <c r="W7" s="7405"/>
      <c r="X7" s="7405"/>
      <c r="Y7" s="7405"/>
      <c r="Z7" s="7405"/>
      <c r="AA7" s="7405"/>
      <c r="AB7" s="7405"/>
      <c r="AC7" s="7405"/>
      <c r="AD7" s="7405"/>
      <c r="AE7" s="7405"/>
      <c r="AF7" s="5132"/>
      <c r="AG7" s="5132"/>
      <c r="AH7" s="5132"/>
      <c r="AI7" s="5132"/>
    </row>
    <row r="8" spans="1:35" ht="15" customHeight="1">
      <c r="A8" s="5132"/>
      <c r="B8" s="7086" t="s">
        <v>2430</v>
      </c>
      <c r="C8" s="5133"/>
      <c r="D8" s="5133"/>
      <c r="E8" s="5133"/>
      <c r="F8" s="5133"/>
      <c r="G8" s="5133"/>
      <c r="H8" s="5133"/>
      <c r="I8" s="5133"/>
      <c r="J8" s="5133"/>
      <c r="K8" s="5133"/>
      <c r="L8" s="5133"/>
      <c r="M8" s="5133"/>
      <c r="N8" s="5133"/>
      <c r="O8" s="5133"/>
      <c r="P8" s="5133"/>
      <c r="Q8" s="5133"/>
      <c r="R8" s="5133"/>
      <c r="S8" s="5133"/>
      <c r="T8" s="5133"/>
      <c r="U8" s="5133"/>
      <c r="V8" s="5133"/>
      <c r="W8" s="5133"/>
      <c r="X8" s="5133"/>
      <c r="Y8" s="5133"/>
      <c r="Z8" s="5133"/>
      <c r="AA8" s="5133"/>
      <c r="AB8" s="5133"/>
      <c r="AC8" s="5133"/>
      <c r="AD8" s="5133"/>
      <c r="AE8" s="5133"/>
      <c r="AF8" s="5132"/>
      <c r="AG8" s="5132"/>
      <c r="AH8" s="5132"/>
      <c r="AI8" s="5132"/>
    </row>
    <row r="9" spans="1:35" s="216" customFormat="1" ht="18" customHeight="1">
      <c r="A9" s="5135"/>
      <c r="B9" s="5135"/>
      <c r="C9" s="5135"/>
      <c r="D9" s="5135"/>
      <c r="E9" s="5135"/>
      <c r="F9" s="5135"/>
      <c r="G9" s="5135"/>
      <c r="H9" s="5135"/>
      <c r="I9" s="5135"/>
      <c r="J9" s="5135"/>
      <c r="K9" s="5135"/>
      <c r="L9" s="5135"/>
      <c r="M9" s="5135"/>
      <c r="N9" s="5135"/>
      <c r="O9" s="5135"/>
      <c r="P9" s="5135"/>
      <c r="Q9" s="5135"/>
      <c r="R9" s="5135"/>
      <c r="S9" s="5135"/>
      <c r="T9" s="5135"/>
      <c r="U9" s="5135"/>
      <c r="V9" s="5135"/>
      <c r="W9" s="5135"/>
      <c r="X9" s="5135"/>
      <c r="Y9" s="5135"/>
      <c r="Z9" s="5135"/>
      <c r="AA9" s="5135"/>
      <c r="AB9" s="5135"/>
      <c r="AC9" s="5135"/>
      <c r="AD9" s="5135"/>
      <c r="AE9" s="5135"/>
      <c r="AF9" s="5135"/>
      <c r="AG9" s="5135"/>
      <c r="AH9" s="5135"/>
      <c r="AI9" s="5135"/>
    </row>
    <row r="10" spans="1:35" s="5135" customFormat="1" ht="18" customHeight="1"/>
    <row r="11" spans="1:35" s="5135" customFormat="1" ht="18" customHeight="1"/>
    <row r="12" spans="1:35" s="5135" customFormat="1" ht="18" customHeight="1"/>
    <row r="13" spans="1:35" s="5135" customFormat="1" ht="18" customHeight="1"/>
    <row r="14" spans="1:35" s="5135" customFormat="1" ht="18" customHeight="1"/>
    <row r="15" spans="1:35" s="5135" customFormat="1" ht="18" customHeight="1"/>
    <row r="16" spans="1:35" s="5135" customFormat="1" ht="18" customHeight="1"/>
    <row r="17" s="5135" customFormat="1" ht="18" customHeight="1"/>
    <row r="18" s="5135" customFormat="1" ht="18" customHeight="1"/>
    <row r="19" s="5135" customFormat="1" ht="18" customHeight="1"/>
    <row r="20" s="5135" customFormat="1" ht="18" customHeight="1"/>
    <row r="21" s="5135" customFormat="1" ht="18" customHeight="1"/>
    <row r="22" s="5135" customFormat="1" ht="18" customHeight="1"/>
    <row r="23" s="5135" customFormat="1" ht="18" customHeight="1"/>
    <row r="24" s="5135" customFormat="1" ht="18" customHeight="1"/>
    <row r="25" s="5135" customFormat="1" ht="18" customHeight="1"/>
    <row r="26" s="5135" customFormat="1" ht="18" customHeight="1"/>
    <row r="27" s="5135" customFormat="1" ht="18" customHeight="1"/>
    <row r="28" s="5135" customFormat="1" ht="18" customHeight="1"/>
    <row r="29" s="5135" customFormat="1" ht="18" customHeight="1"/>
    <row r="30" s="5135" customFormat="1" ht="18" customHeight="1"/>
    <row r="31" s="5135" customFormat="1" ht="18" customHeight="1"/>
    <row r="32" s="5135" customFormat="1" ht="18" customHeight="1"/>
    <row r="33" s="5135" customFormat="1" ht="18" customHeight="1"/>
    <row r="34" s="5135" customFormat="1" ht="18" customHeight="1"/>
    <row r="35" s="5135" customFormat="1" ht="18" customHeight="1"/>
    <row r="36" s="5135" customFormat="1" ht="18" customHeight="1"/>
    <row r="37" s="5135" customFormat="1" ht="18" customHeight="1"/>
    <row r="38" s="5980" customFormat="1" ht="18" customHeight="1"/>
    <row r="39" s="5135" customFormat="1" ht="18" customHeight="1"/>
    <row r="40" s="5135" customFormat="1" ht="18" customHeight="1"/>
    <row r="41" s="5135" customFormat="1" ht="18" customHeight="1"/>
    <row r="42" s="5135" customFormat="1" ht="18" customHeight="1"/>
    <row r="43" s="5135" customFormat="1" ht="18" customHeight="1"/>
    <row r="44" s="5135" customFormat="1" ht="18" customHeight="1"/>
    <row r="45" s="5135" customFormat="1" ht="18" customHeight="1"/>
    <row r="46" s="5135" customFormat="1" ht="18" customHeight="1"/>
    <row r="47" s="5135" customFormat="1" ht="18" customHeight="1"/>
    <row r="48" s="5135" customFormat="1" ht="18" customHeight="1"/>
    <row r="49" s="5135" customFormat="1" ht="18" customHeight="1"/>
    <row r="50" s="5135" customFormat="1" ht="18" customHeight="1"/>
    <row r="51" s="5135" customFormat="1" ht="18" customHeight="1"/>
    <row r="52" s="5135" customFormat="1" ht="18" customHeight="1"/>
    <row r="53" s="5135" customFormat="1" ht="18" customHeight="1"/>
    <row r="54" s="5135" customFormat="1" ht="18" customHeight="1"/>
    <row r="55" s="5135" customFormat="1" ht="18" customHeight="1"/>
    <row r="56" s="5135" customFormat="1" ht="18" customHeight="1"/>
    <row r="57" s="5135" customFormat="1" ht="18" customHeight="1"/>
    <row r="58" s="5135" customFormat="1" ht="18" customHeight="1"/>
    <row r="59" s="5135" customFormat="1" ht="18" customHeight="1"/>
    <row r="60" s="5135" customFormat="1" ht="18" customHeight="1"/>
    <row r="61" s="5135" customFormat="1" ht="18" customHeight="1"/>
    <row r="62" s="5135" customFormat="1" ht="18" customHeight="1"/>
    <row r="63" s="5135" customFormat="1" ht="18" customHeight="1"/>
    <row r="64" s="5135" customFormat="1" ht="18" customHeight="1"/>
    <row r="65" s="5135" customFormat="1" ht="18" customHeight="1"/>
    <row r="66" s="5135" customFormat="1" ht="18" customHeight="1"/>
    <row r="67" s="5135" customFormat="1" ht="18" customHeight="1"/>
    <row r="68" s="5135" customFormat="1" ht="18" customHeight="1"/>
    <row r="69" s="5135" customFormat="1" ht="18" customHeight="1"/>
    <row r="70" s="5135" customFormat="1" ht="18" customHeight="1"/>
    <row r="71" s="5135" customFormat="1" ht="18" customHeight="1"/>
    <row r="72" s="5135" customFormat="1" ht="18" customHeight="1"/>
    <row r="73" s="5135" customFormat="1" ht="18" customHeight="1"/>
    <row r="74" s="5135" customFormat="1" ht="18" customHeight="1"/>
    <row r="75" s="5135" customFormat="1" ht="18" customHeight="1"/>
    <row r="76" s="5135" customFormat="1" ht="18" customHeight="1"/>
    <row r="77" s="5135" customFormat="1" ht="18" customHeight="1"/>
    <row r="78" s="5135" customFormat="1" ht="18" customHeight="1"/>
    <row r="79" s="5135" customFormat="1" ht="18" customHeight="1"/>
    <row r="80" s="5135" customFormat="1" ht="18" customHeight="1"/>
    <row r="81" s="5135" customFormat="1" ht="18" customHeight="1"/>
    <row r="82" s="5135" customFormat="1" ht="18" customHeight="1"/>
    <row r="83" s="5135" customFormat="1" ht="18" customHeight="1"/>
    <row r="84" s="5135" customFormat="1" ht="18" customHeight="1"/>
    <row r="85" s="5135" customFormat="1" ht="18" customHeight="1"/>
    <row r="86" s="5135" customFormat="1" ht="18" customHeight="1"/>
    <row r="87" s="5135" customFormat="1" ht="18" customHeight="1"/>
    <row r="88" s="5135" customFormat="1" ht="18" customHeight="1"/>
    <row r="89" s="5135" customFormat="1" ht="18" customHeight="1"/>
    <row r="90" s="5135" customFormat="1" ht="18" customHeight="1"/>
    <row r="91" s="5135" customFormat="1" ht="18" customHeight="1"/>
    <row r="92" s="5135" customFormat="1" ht="18" customHeight="1"/>
    <row r="93" s="5135" customFormat="1" ht="18" customHeight="1"/>
    <row r="94" s="5135" customFormat="1" ht="18" customHeight="1"/>
    <row r="95" s="5135" customFormat="1" ht="18" customHeight="1"/>
    <row r="96" s="5135" customFormat="1" ht="18" customHeight="1"/>
    <row r="97" s="5135" customFormat="1" ht="18" customHeight="1"/>
    <row r="98" s="5135" customFormat="1" ht="18" customHeight="1"/>
    <row r="99" s="5135" customFormat="1" ht="18" customHeight="1"/>
    <row r="100" s="5135" customFormat="1" ht="18" customHeight="1"/>
    <row r="101" s="5135" customFormat="1" ht="18" customHeight="1"/>
    <row r="102" s="5135" customFormat="1" ht="18" customHeight="1"/>
    <row r="103" s="5135" customFormat="1" ht="18" customHeight="1"/>
    <row r="104" s="5135" customFormat="1" ht="18" customHeight="1"/>
    <row r="105" s="5135" customFormat="1" ht="18" customHeight="1"/>
    <row r="106" s="5135" customFormat="1" ht="18" customHeight="1"/>
    <row r="107" s="5135" customFormat="1" ht="18" customHeight="1"/>
    <row r="108" s="5135" customFormat="1" ht="18" customHeight="1"/>
    <row r="109" s="5135" customFormat="1" ht="18" customHeight="1"/>
    <row r="110" s="5135" customFormat="1" ht="18" customHeight="1"/>
    <row r="111" s="5135" customFormat="1" ht="18" customHeight="1"/>
    <row r="112" s="5135" customFormat="1" ht="18" customHeight="1"/>
    <row r="113" s="5135" customFormat="1" ht="18" customHeight="1"/>
    <row r="114" s="5135" customFormat="1" ht="18" customHeight="1"/>
    <row r="115" s="5135" customFormat="1" ht="18" customHeight="1"/>
    <row r="116" s="5135" customFormat="1" ht="18" customHeight="1"/>
    <row r="117" s="5135" customFormat="1" ht="18" customHeight="1"/>
    <row r="118" s="5135" customFormat="1" ht="18" customHeight="1"/>
    <row r="119" s="5135" customFormat="1" ht="18" customHeight="1"/>
    <row r="120" s="5135" customFormat="1" ht="18" customHeight="1"/>
    <row r="121" s="5135" customFormat="1" ht="18" customHeight="1"/>
    <row r="122" s="5135" customFormat="1" ht="18" customHeight="1"/>
    <row r="123" s="5135" customFormat="1" ht="18" customHeight="1"/>
    <row r="124" s="5135" customFormat="1" ht="18" customHeight="1"/>
    <row r="125" s="5135" customFormat="1" ht="18" customHeight="1"/>
    <row r="126" s="5135" customFormat="1" ht="18" customHeight="1"/>
    <row r="127" s="5135" customFormat="1" ht="18" customHeight="1"/>
    <row r="128" s="5135" customFormat="1" ht="18" customHeight="1"/>
    <row r="129" s="5135" customFormat="1" ht="18" customHeight="1"/>
    <row r="130" s="5135" customFormat="1" ht="18" customHeight="1"/>
    <row r="131" s="5135" customFormat="1" ht="18" customHeight="1"/>
    <row r="132" s="5135" customFormat="1" ht="18" customHeight="1"/>
    <row r="133" s="5135" customFormat="1" ht="18" customHeight="1"/>
    <row r="134" s="5135" customFormat="1" ht="18" customHeight="1"/>
    <row r="135" s="5135" customFormat="1" ht="18" customHeight="1"/>
    <row r="136" s="5135" customFormat="1" ht="18" customHeight="1"/>
    <row r="137" s="5135" customFormat="1" ht="18" customHeight="1"/>
    <row r="138" s="5135" customFormat="1" ht="18" customHeight="1"/>
    <row r="139" s="5135" customFormat="1" ht="18" customHeight="1"/>
    <row r="140" s="5135" customFormat="1" ht="18" customHeight="1"/>
    <row r="141" s="5135" customFormat="1" ht="18" customHeight="1"/>
    <row r="142" s="5135" customFormat="1" ht="18" customHeight="1"/>
    <row r="143" s="5135" customFormat="1" ht="18" customHeight="1"/>
    <row r="144" s="5135" customFormat="1" ht="18" customHeight="1"/>
    <row r="145" s="5135" customFormat="1" ht="18" customHeight="1"/>
    <row r="146" s="5135" customFormat="1" ht="18" customHeight="1"/>
    <row r="147" s="5135" customFormat="1" ht="18" customHeight="1"/>
    <row r="148" s="5135" customFormat="1" ht="18" customHeight="1"/>
    <row r="149" s="5135" customFormat="1" ht="18" customHeight="1"/>
    <row r="150" s="5135" customFormat="1" ht="18" customHeight="1"/>
    <row r="151" s="5135" customFormat="1" ht="18" customHeight="1"/>
    <row r="152" s="5135" customFormat="1" ht="18" customHeight="1"/>
    <row r="153" s="5135" customFormat="1" ht="18" customHeight="1"/>
    <row r="154" s="5135" customFormat="1" ht="18" customHeight="1"/>
    <row r="155" s="5135" customFormat="1" ht="18" customHeight="1"/>
    <row r="156" s="5135" customFormat="1" ht="18" customHeight="1"/>
    <row r="157" s="5135" customFormat="1" ht="18" customHeight="1"/>
    <row r="158" s="5135" customFormat="1" ht="18" customHeight="1"/>
    <row r="159" s="5135" customFormat="1" ht="18" customHeight="1"/>
    <row r="160" s="5135" customFormat="1" ht="18" customHeight="1"/>
    <row r="161" s="5135" customFormat="1" ht="18" customHeight="1"/>
    <row r="162" s="5135" customFormat="1" ht="18" customHeight="1"/>
    <row r="163" s="5135" customFormat="1" ht="219.95" customHeight="1"/>
    <row r="164" s="5132" customFormat="1" ht="219.95" customHeight="1"/>
    <row r="165" s="5132" customFormat="1" ht="219.95" customHeight="1"/>
    <row r="166" ht="14.1" hidden="1" customHeight="1"/>
    <row r="167" ht="14.1" hidden="1" customHeight="1"/>
    <row r="168" ht="14.1" hidden="1" customHeight="1"/>
    <row r="169" ht="14.1" hidden="1" customHeight="1"/>
    <row r="170" ht="14.1" hidden="1" customHeight="1"/>
    <row r="171" ht="14.1" hidden="1" customHeight="1"/>
    <row r="172" ht="14.1" hidden="1" customHeight="1"/>
    <row r="173" ht="14.1" hidden="1" customHeight="1"/>
    <row r="174" ht="14.1" hidden="1" customHeight="1"/>
    <row r="175" ht="14.1" hidden="1" customHeight="1"/>
    <row r="176" ht="14.1" hidden="1" customHeight="1"/>
    <row r="177" ht="14.1" hidden="1" customHeight="1"/>
    <row r="178" ht="14.1" hidden="1" customHeight="1"/>
    <row r="179" ht="14.1" hidden="1" customHeight="1"/>
    <row r="180" ht="14.1" hidden="1" customHeight="1"/>
    <row r="181" ht="14.1" hidden="1" customHeight="1"/>
    <row r="182" ht="14.1" hidden="1" customHeight="1"/>
    <row r="183" ht="14.1" hidden="1" customHeight="1"/>
    <row r="184" ht="14.1" hidden="1" customHeight="1"/>
    <row r="185" ht="14.1" hidden="1" customHeight="1"/>
    <row r="186" ht="14.1" hidden="1" customHeight="1"/>
    <row r="187" ht="14.1" hidden="1" customHeight="1"/>
    <row r="188" ht="14.1" hidden="1" customHeight="1"/>
    <row r="189" ht="14.1" hidden="1" customHeight="1"/>
    <row r="190" ht="14.1" hidden="1" customHeight="1"/>
    <row r="191" ht="14.1" hidden="1" customHeight="1"/>
    <row r="192" ht="14.1" hidden="1" customHeight="1"/>
    <row r="193" ht="14.1" hidden="1" customHeight="1"/>
    <row r="194" ht="14.1" hidden="1" customHeight="1"/>
    <row r="195" ht="14.1" hidden="1" customHeight="1"/>
    <row r="196" ht="14.1" hidden="1" customHeight="1"/>
    <row r="197" ht="14.1" hidden="1" customHeight="1"/>
    <row r="198" ht="14.1" hidden="1" customHeight="1"/>
    <row r="199" ht="14.1" hidden="1" customHeight="1"/>
    <row r="200" ht="14.1" hidden="1" customHeight="1"/>
    <row r="201" ht="14.1" hidden="1" customHeight="1"/>
    <row r="202" ht="14.1" hidden="1" customHeight="1"/>
    <row r="203" ht="14.1" hidden="1" customHeight="1"/>
    <row r="204" ht="14.1" hidden="1" customHeight="1"/>
    <row r="205" ht="14.1" hidden="1" customHeight="1"/>
    <row r="206" ht="14.1" hidden="1" customHeight="1"/>
    <row r="207" ht="14.1" hidden="1" customHeight="1"/>
    <row r="208" ht="14.1" hidden="1" customHeight="1"/>
    <row r="209" ht="14.1" hidden="1" customHeight="1"/>
    <row r="210" ht="14.1" hidden="1" customHeight="1"/>
    <row r="211" ht="14.1" hidden="1" customHeight="1"/>
    <row r="212" ht="14.1" hidden="1" customHeight="1"/>
    <row r="213" ht="14.1" hidden="1" customHeight="1"/>
    <row r="214" ht="14.1" hidden="1" customHeight="1"/>
    <row r="215" ht="14.1" hidden="1" customHeight="1"/>
    <row r="216" ht="14.1" hidden="1" customHeight="1"/>
    <row r="217" ht="14.1" hidden="1" customHeight="1"/>
    <row r="218" ht="14.1" hidden="1" customHeight="1"/>
    <row r="219" ht="14.1" hidden="1" customHeight="1"/>
    <row r="220" ht="14.1" hidden="1" customHeight="1"/>
    <row r="221" ht="14.1" hidden="1" customHeight="1"/>
    <row r="222" ht="14.1" hidden="1" customHeight="1"/>
    <row r="223" ht="14.1" hidden="1" customHeight="1"/>
    <row r="224" ht="14.1" hidden="1" customHeight="1"/>
    <row r="225" ht="14.1" hidden="1" customHeight="1"/>
    <row r="226" ht="14.1" hidden="1" customHeight="1"/>
    <row r="227" ht="14.1" hidden="1" customHeight="1"/>
    <row r="228" ht="14.1" hidden="1" customHeight="1"/>
    <row r="229" ht="14.1" hidden="1" customHeight="1"/>
    <row r="230" ht="14.1" hidden="1" customHeight="1"/>
    <row r="231" ht="14.1" hidden="1" customHeight="1"/>
    <row r="232" ht="14.1" hidden="1" customHeight="1"/>
    <row r="233" ht="14.1" hidden="1" customHeight="1"/>
    <row r="234" ht="14.1" hidden="1" customHeight="1"/>
    <row r="235" ht="14.1" hidden="1" customHeight="1"/>
    <row r="236" ht="14.1" hidden="1" customHeight="1"/>
    <row r="237" ht="14.1" hidden="1" customHeight="1"/>
    <row r="238" ht="14.1" hidden="1" customHeight="1"/>
    <row r="239" ht="14.1" hidden="1" customHeight="1"/>
    <row r="240" ht="14.1" hidden="1" customHeight="1"/>
    <row r="241" ht="14.1" hidden="1" customHeight="1"/>
    <row r="242" ht="14.1" hidden="1" customHeight="1"/>
    <row r="243" ht="14.1" hidden="1" customHeight="1"/>
    <row r="244" ht="14.1" hidden="1" customHeight="1"/>
    <row r="245" ht="14.1" hidden="1" customHeight="1"/>
    <row r="246" ht="14.1" hidden="1" customHeight="1"/>
    <row r="247" ht="14.1" hidden="1" customHeight="1"/>
    <row r="248" ht="14.1" hidden="1" customHeight="1"/>
    <row r="249" ht="14.1" hidden="1" customHeight="1"/>
    <row r="250" ht="14.1" hidden="1" customHeight="1"/>
    <row r="251" ht="14.1" hidden="1" customHeight="1"/>
    <row r="252" ht="14.1" hidden="1" customHeight="1"/>
    <row r="253" ht="14.1" hidden="1" customHeight="1"/>
    <row r="254" ht="14.1" hidden="1" customHeight="1"/>
    <row r="255" ht="14.1" hidden="1" customHeight="1"/>
    <row r="256" ht="14.1" hidden="1" customHeight="1"/>
    <row r="257" ht="14.1" hidden="1" customHeight="1"/>
    <row r="258" ht="14.1" hidden="1" customHeight="1"/>
    <row r="259" ht="14.1" hidden="1" customHeight="1"/>
    <row r="260" ht="14.1" hidden="1" customHeight="1"/>
    <row r="261" ht="14.1" hidden="1" customHeight="1"/>
    <row r="262" ht="14.1" hidden="1" customHeight="1"/>
    <row r="263" ht="14.1" hidden="1" customHeight="1"/>
    <row r="264" ht="14.1" hidden="1" customHeight="1"/>
    <row r="265" ht="14.1" hidden="1" customHeight="1"/>
    <row r="266" ht="14.1" hidden="1" customHeight="1"/>
    <row r="267" ht="14.1" hidden="1" customHeight="1"/>
    <row r="268" ht="14.1" hidden="1" customHeight="1"/>
    <row r="269" ht="14.1" hidden="1" customHeight="1"/>
    <row r="270" ht="14.1" hidden="1" customHeight="1"/>
    <row r="271" ht="14.1" hidden="1" customHeight="1"/>
    <row r="272" ht="14.1" hidden="1" customHeight="1"/>
    <row r="273" ht="14.1" hidden="1" customHeight="1"/>
    <row r="274" ht="14.1" hidden="1" customHeight="1"/>
    <row r="275" ht="14.1" hidden="1" customHeight="1"/>
    <row r="276"/>
  </sheetData>
  <sheetProtection password="C665" sheet="1" scenarios="1"/>
  <hyperlinks>
    <hyperlink ref="B8" location="'Table of Contents'!A1" display="x"/>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sheetPr>
    <tabColor rgb="FFFFFFCC"/>
  </sheetPr>
  <dimension ref="A1:AQ138"/>
  <sheetViews>
    <sheetView zoomScale="70" zoomScaleNormal="70" workbookViewId="0">
      <pane xSplit="8" ySplit="18" topLeftCell="I19" activePane="bottomRight" state="frozen"/>
      <selection activeCell="A32" sqref="A32"/>
      <selection pane="topRight" activeCell="A32" sqref="A32"/>
      <selection pane="bottomLeft" activeCell="A32" sqref="A32"/>
      <selection pane="bottomRight" activeCell="G6" sqref="G6"/>
    </sheetView>
  </sheetViews>
  <sheetFormatPr defaultColWidth="0" defaultRowHeight="12.75" zeroHeight="1"/>
  <cols>
    <col min="1" max="1" width="9.140625" style="271" customWidth="1"/>
    <col min="2" max="2" width="10.140625" style="271" customWidth="1"/>
    <col min="3" max="3" width="7.42578125" style="271" customWidth="1"/>
    <col min="4" max="4" width="12.5703125" style="271" customWidth="1"/>
    <col min="5" max="7" width="2.7109375" style="271" customWidth="1"/>
    <col min="8" max="9" width="4.7109375" style="271" customWidth="1"/>
    <col min="10" max="10" width="26.28515625" style="271" customWidth="1"/>
    <col min="11" max="11" width="8.28515625" style="271" customWidth="1"/>
    <col min="12" max="12" width="10.140625" style="271" customWidth="1"/>
    <col min="13" max="13" width="15.85546875" style="271" customWidth="1"/>
    <col min="14" max="14" width="9" style="271" customWidth="1"/>
    <col min="15" max="15" width="8.7109375" style="271" customWidth="1"/>
    <col min="16" max="16" width="25" style="271" customWidth="1"/>
    <col min="17" max="17" width="25.28515625" style="271" customWidth="1"/>
    <col min="18" max="18" width="14.7109375" style="271" customWidth="1"/>
    <col min="19" max="19" width="6.7109375" style="271" customWidth="1"/>
    <col min="20" max="20" width="24.7109375" style="271" customWidth="1"/>
    <col min="21" max="21" width="32.5703125" style="271" customWidth="1"/>
    <col min="22" max="22" width="14.5703125" style="271" customWidth="1"/>
    <col min="23" max="23" width="22.28515625" style="271" customWidth="1"/>
    <col min="24" max="24" width="29.42578125" style="271" customWidth="1"/>
    <col min="25" max="25" width="26.5703125" style="271" customWidth="1"/>
    <col min="26" max="26" width="27.28515625" style="271" customWidth="1"/>
    <col min="27" max="27" width="2.7109375" style="271" customWidth="1"/>
    <col min="28" max="32" width="40.7109375" style="5132" customWidth="1"/>
    <col min="33" max="43" width="10.42578125" style="271" hidden="1" customWidth="1"/>
    <col min="44" max="16384" width="9.140625" style="271" hidden="1"/>
  </cols>
  <sheetData>
    <row r="1" spans="1:27">
      <c r="A1" s="5132"/>
      <c r="B1" s="5132"/>
      <c r="C1" s="5132"/>
      <c r="D1" s="5132"/>
      <c r="E1" s="5132"/>
      <c r="F1" s="5132"/>
      <c r="G1" s="5133"/>
      <c r="H1" s="5133"/>
      <c r="I1" s="5133"/>
      <c r="J1" s="5133"/>
      <c r="K1" s="5133"/>
      <c r="L1" s="5133"/>
      <c r="M1" s="5133"/>
      <c r="N1" s="5353"/>
      <c r="O1" s="5353"/>
      <c r="P1" s="5133"/>
      <c r="Q1" s="5133"/>
      <c r="R1" s="5133"/>
      <c r="S1" s="5133"/>
      <c r="T1" s="5133"/>
      <c r="U1" s="5133"/>
      <c r="V1" s="5133"/>
      <c r="W1" s="5133"/>
      <c r="X1" s="5133"/>
      <c r="Y1" s="5133"/>
      <c r="Z1" s="5133"/>
      <c r="AA1" s="5133"/>
    </row>
    <row r="2" spans="1:27">
      <c r="A2" s="5132"/>
      <c r="B2" s="5132"/>
      <c r="C2" s="5132"/>
      <c r="D2" s="5132"/>
      <c r="E2" s="5132"/>
      <c r="F2" s="5132"/>
      <c r="G2" s="5133"/>
      <c r="H2" s="5133"/>
      <c r="I2" s="7940" t="s">
        <v>2023</v>
      </c>
      <c r="J2" s="7941"/>
      <c r="K2" s="7942"/>
      <c r="L2" s="7942"/>
      <c r="M2" s="7942"/>
      <c r="N2" s="7943"/>
      <c r="O2" s="7943"/>
      <c r="P2" s="7942"/>
      <c r="Q2" s="7942"/>
      <c r="R2" s="7944"/>
      <c r="S2" s="5951"/>
      <c r="T2" s="5951"/>
      <c r="U2" s="5951"/>
      <c r="V2" s="5951"/>
      <c r="W2" s="5951"/>
      <c r="X2" s="5951"/>
      <c r="Y2" s="5951"/>
      <c r="Z2" s="5951"/>
      <c r="AA2" s="5133"/>
    </row>
    <row r="3" spans="1:27">
      <c r="A3" s="5132"/>
      <c r="B3" s="5132"/>
      <c r="C3" s="5132"/>
      <c r="D3" s="5132"/>
      <c r="E3" s="5132"/>
      <c r="F3" s="5132"/>
      <c r="G3" s="5133"/>
      <c r="H3" s="5133"/>
      <c r="I3" s="7945" t="s">
        <v>2021</v>
      </c>
      <c r="J3" s="5121" t="s">
        <v>2554</v>
      </c>
      <c r="K3" s="7405"/>
      <c r="L3" s="7405"/>
      <c r="M3" s="7405"/>
      <c r="N3" s="6065"/>
      <c r="O3" s="6065"/>
      <c r="P3" s="7405"/>
      <c r="Q3" s="7405"/>
      <c r="R3" s="7946"/>
      <c r="S3" s="5951"/>
      <c r="T3" s="5951"/>
      <c r="U3" s="5951"/>
      <c r="V3" s="5951"/>
      <c r="W3" s="5951"/>
      <c r="X3" s="5951"/>
      <c r="Y3" s="5951"/>
      <c r="Z3" s="5951"/>
      <c r="AA3" s="5133"/>
    </row>
    <row r="4" spans="1:27">
      <c r="A4" s="5132"/>
      <c r="B4" s="5132"/>
      <c r="C4" s="5132"/>
      <c r="D4" s="5132"/>
      <c r="E4" s="5132"/>
      <c r="F4" s="5132"/>
      <c r="G4" s="5133"/>
      <c r="H4" s="5133"/>
      <c r="I4" s="7945" t="s">
        <v>2021</v>
      </c>
      <c r="J4" s="7405" t="s">
        <v>2555</v>
      </c>
      <c r="K4" s="7405"/>
      <c r="L4" s="7405"/>
      <c r="M4" s="7405"/>
      <c r="N4" s="6065"/>
      <c r="O4" s="6065"/>
      <c r="P4" s="7405"/>
      <c r="Q4" s="7405"/>
      <c r="R4" s="7946"/>
      <c r="S4" s="5951"/>
      <c r="T4" s="5951"/>
      <c r="U4" s="5951"/>
      <c r="V4" s="5951"/>
      <c r="W4" s="5951"/>
      <c r="X4" s="5951"/>
      <c r="Y4" s="5951"/>
      <c r="Z4" s="5951"/>
      <c r="AA4" s="5133"/>
    </row>
    <row r="5" spans="1:27">
      <c r="A5" s="5132"/>
      <c r="B5" s="5132"/>
      <c r="C5" s="5132"/>
      <c r="D5" s="5132"/>
      <c r="E5" s="5132"/>
      <c r="F5" s="5132"/>
      <c r="G5" s="5133"/>
      <c r="H5" s="5133"/>
      <c r="I5" s="7947" t="s">
        <v>2021</v>
      </c>
      <c r="J5" s="7948" t="s">
        <v>2421</v>
      </c>
      <c r="K5" s="7948"/>
      <c r="L5" s="7948"/>
      <c r="M5" s="7948"/>
      <c r="N5" s="7949"/>
      <c r="O5" s="7949"/>
      <c r="P5" s="7948"/>
      <c r="Q5" s="7948"/>
      <c r="R5" s="7950"/>
      <c r="S5" s="5951"/>
      <c r="T5" s="5951"/>
      <c r="U5" s="5951"/>
      <c r="V5" s="5951"/>
      <c r="W5" s="5951"/>
      <c r="X5" s="5951"/>
      <c r="Y5" s="5951"/>
      <c r="Z5" s="5951"/>
      <c r="AA5" s="5133"/>
    </row>
    <row r="6" spans="1:27">
      <c r="A6" s="5132"/>
      <c r="B6" s="5132"/>
      <c r="C6" s="5132"/>
      <c r="D6" s="5132"/>
      <c r="E6" s="5132"/>
      <c r="F6" s="5132"/>
      <c r="G6" s="7086" t="s">
        <v>2430</v>
      </c>
      <c r="H6" s="5133"/>
      <c r="I6" s="7405"/>
      <c r="J6" s="7405"/>
      <c r="K6" s="7405"/>
      <c r="L6" s="7405"/>
      <c r="M6" s="7405"/>
      <c r="N6" s="5353"/>
      <c r="O6" s="5353"/>
      <c r="P6" s="7405"/>
      <c r="Q6" s="7405"/>
      <c r="R6" s="5133"/>
      <c r="S6" s="7422"/>
      <c r="T6" s="7422"/>
      <c r="U6" s="7422"/>
      <c r="V6" s="7422"/>
      <c r="W6" s="7422"/>
      <c r="X6" s="7422"/>
      <c r="Y6" s="7422"/>
      <c r="Z6" s="7422"/>
      <c r="AA6" s="5133"/>
    </row>
    <row r="7" spans="1:27" hidden="1">
      <c r="A7" s="5986" t="str">
        <f>+IF(L7="","",L7)</f>
        <v/>
      </c>
      <c r="B7" s="5986" t="str">
        <f>+IF(A7="","",VLOOKUP(MATCH(A7,tid,0),tao,'12(id)'!$J$20,FALSE))</f>
        <v/>
      </c>
      <c r="C7" s="5986" t="str">
        <f>+IF(N7="","",N7)</f>
        <v/>
      </c>
      <c r="D7" s="5986" t="str">
        <f>+IF(R7="","",R7)</f>
        <v/>
      </c>
      <c r="E7" s="6060"/>
      <c r="F7" s="5135"/>
      <c r="G7" s="7405"/>
      <c r="H7" s="7405"/>
      <c r="I7" s="7405"/>
      <c r="J7" s="5986" t="str">
        <f>+IF(L7="","",VLOOKUP(MATCH(L7,tid,0),tao,'12(id)'!$I$20,FALSE))</f>
        <v/>
      </c>
      <c r="K7" s="7405"/>
      <c r="L7" s="7405"/>
      <c r="M7" s="5986" t="str">
        <f>+IF(L7="","",VLOOKUP(MATCH(L7,tid,0),tao,'12(id)'!$L$20,FALSE))</f>
        <v/>
      </c>
      <c r="N7" s="6061" t="str">
        <f>+IF(ISERROR(MATCH(L7,tid,0)),"",VLOOKUP(MATCH(L7,tid,0),tao,'12(id)'!$Q$20,FALSE))</f>
        <v/>
      </c>
      <c r="O7" s="5986" t="str">
        <f>+IF(L7="","",VLOOKUP(MATCH(L7,tid,0),tao,'12(id)'!$U$20,FALSE))</f>
        <v/>
      </c>
      <c r="P7" s="7405"/>
      <c r="Q7" s="7405"/>
      <c r="R7" s="5986" t="str">
        <f>+IF(S7="","",IF(O7=1,(IF(L7="",LEFT(R6,7),L7)&amp;"-0"&amp;S7),IF(AND(LEFT(L7,4)=LEFT(L6,4),O7&gt;1),IF(LEFT(C7,1)=LEFT(C6,1),LEFT(R6,9),L7&amp;"-0")&amp;S7,IF(L7="",LEFT(R6,9)&amp;S7,L7&amp;"-0"&amp;S7))))</f>
        <v/>
      </c>
      <c r="S7" s="7405"/>
      <c r="T7" s="7405"/>
      <c r="U7" s="7405"/>
      <c r="V7" s="7405"/>
      <c r="W7" s="7405"/>
      <c r="X7" s="7405"/>
      <c r="Y7" s="7405"/>
      <c r="Z7" s="7405"/>
      <c r="AA7" s="5133"/>
    </row>
    <row r="8" spans="1:27">
      <c r="A8" s="5132"/>
      <c r="B8" s="5132"/>
      <c r="C8" s="5132"/>
      <c r="D8" s="5132"/>
      <c r="E8" s="5132"/>
      <c r="F8" s="5132"/>
      <c r="G8" s="5132"/>
      <c r="H8" s="5132"/>
      <c r="I8" s="5132"/>
      <c r="J8" s="5132"/>
      <c r="K8" s="5132"/>
      <c r="L8" s="5132"/>
      <c r="M8" s="5132"/>
      <c r="N8" s="5132"/>
      <c r="O8" s="5132"/>
      <c r="P8" s="5132"/>
      <c r="Q8" s="5132"/>
      <c r="R8" s="5132"/>
      <c r="S8" s="5132"/>
      <c r="T8" s="5132"/>
      <c r="U8" s="5132"/>
      <c r="V8" s="5132"/>
      <c r="W8" s="5132"/>
      <c r="X8" s="5132"/>
      <c r="Y8" s="5132"/>
      <c r="Z8" s="5132"/>
      <c r="AA8" s="5132"/>
    </row>
    <row r="9" spans="1:27">
      <c r="A9" s="5133"/>
      <c r="B9" s="5133"/>
      <c r="C9" s="5133"/>
      <c r="D9" s="5133"/>
      <c r="E9" s="5133"/>
      <c r="F9" s="5132"/>
      <c r="G9" s="5133"/>
      <c r="H9" s="5133"/>
      <c r="I9" s="5133"/>
      <c r="J9" s="5133"/>
      <c r="K9" s="5133"/>
      <c r="L9" s="5133"/>
      <c r="M9" s="5133"/>
      <c r="N9" s="5133"/>
      <c r="O9" s="5133"/>
      <c r="P9" s="5133"/>
      <c r="Q9" s="5133"/>
      <c r="R9" s="5133"/>
      <c r="S9" s="5133"/>
      <c r="T9" s="5133"/>
      <c r="U9" s="5133"/>
      <c r="V9" s="5133"/>
      <c r="W9" s="5133"/>
      <c r="X9" s="5133"/>
      <c r="Y9" s="5133"/>
      <c r="Z9" s="5133"/>
      <c r="AA9" s="5133"/>
    </row>
    <row r="10" spans="1:27" ht="18" customHeight="1">
      <c r="A10" s="5133"/>
      <c r="B10" s="7938"/>
      <c r="C10" s="7938"/>
      <c r="D10" s="7938"/>
      <c r="E10" s="5133"/>
      <c r="F10" s="5132"/>
      <c r="G10" s="5133"/>
      <c r="H10" s="5133"/>
      <c r="I10" s="9753" t="s">
        <v>2556</v>
      </c>
      <c r="J10" s="9753"/>
      <c r="K10" s="9753"/>
      <c r="L10" s="9753"/>
      <c r="M10" s="9753"/>
      <c r="N10" s="9753"/>
      <c r="O10" s="9753"/>
      <c r="P10" s="6064"/>
      <c r="Q10" s="6064"/>
      <c r="R10" s="5133"/>
      <c r="S10" s="5133"/>
      <c r="T10" s="5133"/>
      <c r="U10" s="5133"/>
      <c r="V10" s="5133"/>
      <c r="W10" s="5133"/>
      <c r="X10" s="5133"/>
      <c r="Y10" s="5133"/>
      <c r="Z10" s="7781"/>
      <c r="AA10" s="5133"/>
    </row>
    <row r="11" spans="1:27" ht="18">
      <c r="A11" s="5133"/>
      <c r="B11" s="7938"/>
      <c r="C11" s="7938"/>
      <c r="D11" s="7938"/>
      <c r="E11" s="5133"/>
      <c r="F11" s="5132"/>
      <c r="G11" s="5133"/>
      <c r="H11" s="5133"/>
      <c r="I11" s="9753"/>
      <c r="J11" s="9753"/>
      <c r="K11" s="9753"/>
      <c r="L11" s="9753"/>
      <c r="M11" s="9753"/>
      <c r="N11" s="9753"/>
      <c r="O11" s="9753"/>
      <c r="P11" s="6064"/>
      <c r="Q11" s="6064"/>
      <c r="R11" s="5133"/>
      <c r="S11" s="5133"/>
      <c r="T11" s="5133"/>
      <c r="U11" s="5133"/>
      <c r="V11" s="5133"/>
      <c r="W11" s="5133"/>
      <c r="X11" s="5133"/>
      <c r="Y11" s="5133"/>
      <c r="Z11" s="7781"/>
      <c r="AA11" s="5133"/>
    </row>
    <row r="12" spans="1:27" ht="12.75" customHeight="1" thickBot="1">
      <c r="A12" s="5133"/>
      <c r="B12" s="7938"/>
      <c r="C12" s="7938"/>
      <c r="D12" s="7938"/>
      <c r="E12" s="5133"/>
      <c r="F12" s="5132"/>
      <c r="G12" s="5133"/>
      <c r="H12" s="5133"/>
      <c r="I12" s="5133"/>
      <c r="J12" s="5133"/>
      <c r="K12" s="5133"/>
      <c r="L12" s="5133"/>
      <c r="M12" s="5133"/>
      <c r="N12" s="5133"/>
      <c r="O12" s="5133"/>
      <c r="P12" s="5133"/>
      <c r="Q12" s="5133"/>
      <c r="R12" s="5133"/>
      <c r="S12" s="5133"/>
      <c r="T12" s="5133"/>
      <c r="U12" s="5133"/>
      <c r="V12" s="5133"/>
      <c r="W12" s="5133"/>
      <c r="X12" s="5133"/>
      <c r="Y12" s="5133"/>
      <c r="Z12" s="7781" t="s">
        <v>2545</v>
      </c>
      <c r="AA12" s="5133"/>
    </row>
    <row r="13" spans="1:27" ht="18" customHeight="1">
      <c r="A13" s="5133"/>
      <c r="B13" s="7938"/>
      <c r="C13" s="7938"/>
      <c r="D13" s="7938"/>
      <c r="E13" s="5133"/>
      <c r="F13" s="5132"/>
      <c r="G13" s="5133"/>
      <c r="H13" s="9754" t="s">
        <v>382</v>
      </c>
      <c r="I13" s="9747" t="s">
        <v>1974</v>
      </c>
      <c r="J13" s="9747" t="s">
        <v>255</v>
      </c>
      <c r="K13" s="9747" t="s">
        <v>609</v>
      </c>
      <c r="L13" s="9747" t="s">
        <v>381</v>
      </c>
      <c r="M13" s="9747" t="s">
        <v>940</v>
      </c>
      <c r="N13" s="9747" t="s">
        <v>1608</v>
      </c>
      <c r="O13" s="9763" t="s">
        <v>1609</v>
      </c>
      <c r="P13" s="9757" t="s">
        <v>1959</v>
      </c>
      <c r="Q13" s="9760" t="s">
        <v>980</v>
      </c>
      <c r="R13" s="9486" t="s">
        <v>1759</v>
      </c>
      <c r="S13" s="9486" t="s">
        <v>1185</v>
      </c>
      <c r="T13" s="9486" t="s">
        <v>1967</v>
      </c>
      <c r="U13" s="9747" t="s">
        <v>1966</v>
      </c>
      <c r="V13" s="9747" t="s">
        <v>416</v>
      </c>
      <c r="W13" s="9747" t="s">
        <v>2557</v>
      </c>
      <c r="X13" s="9747" t="s">
        <v>996</v>
      </c>
      <c r="Y13" s="9747" t="s">
        <v>1961</v>
      </c>
      <c r="Z13" s="9750" t="s">
        <v>1962</v>
      </c>
      <c r="AA13" s="5133"/>
    </row>
    <row r="14" spans="1:27">
      <c r="A14" s="5133"/>
      <c r="B14" s="7938"/>
      <c r="C14" s="7938"/>
      <c r="D14" s="7938"/>
      <c r="E14" s="5133"/>
      <c r="F14" s="5132"/>
      <c r="G14" s="5133"/>
      <c r="H14" s="9755"/>
      <c r="I14" s="9748"/>
      <c r="J14" s="9748"/>
      <c r="K14" s="9748"/>
      <c r="L14" s="9748"/>
      <c r="M14" s="9748"/>
      <c r="N14" s="9748"/>
      <c r="O14" s="9764"/>
      <c r="P14" s="9758"/>
      <c r="Q14" s="9761"/>
      <c r="R14" s="9504"/>
      <c r="S14" s="9504"/>
      <c r="T14" s="9504"/>
      <c r="U14" s="9748"/>
      <c r="V14" s="9748"/>
      <c r="W14" s="9748"/>
      <c r="X14" s="9748"/>
      <c r="Y14" s="9748"/>
      <c r="Z14" s="9751"/>
      <c r="AA14" s="5133"/>
    </row>
    <row r="15" spans="1:27" ht="13.5" customHeight="1">
      <c r="A15" s="5356"/>
      <c r="B15" s="7938"/>
      <c r="C15" s="7938"/>
      <c r="D15" s="7938"/>
      <c r="E15" s="5133"/>
      <c r="F15" s="5132"/>
      <c r="G15" s="5133"/>
      <c r="H15" s="9755"/>
      <c r="I15" s="9748"/>
      <c r="J15" s="9748"/>
      <c r="K15" s="9748"/>
      <c r="L15" s="9748"/>
      <c r="M15" s="9748"/>
      <c r="N15" s="9748"/>
      <c r="O15" s="9764"/>
      <c r="P15" s="9758"/>
      <c r="Q15" s="9761"/>
      <c r="R15" s="9504"/>
      <c r="S15" s="9504"/>
      <c r="T15" s="9504"/>
      <c r="U15" s="9748"/>
      <c r="V15" s="9748"/>
      <c r="W15" s="9748"/>
      <c r="X15" s="9748"/>
      <c r="Y15" s="9748"/>
      <c r="Z15" s="9751"/>
      <c r="AA15" s="5133"/>
    </row>
    <row r="16" spans="1:27" ht="24" customHeight="1">
      <c r="A16" s="5356"/>
      <c r="B16" s="5357"/>
      <c r="C16" s="5357"/>
      <c r="D16" s="5357"/>
      <c r="E16" s="5133"/>
      <c r="F16" s="5132"/>
      <c r="G16" s="5133"/>
      <c r="H16" s="9755"/>
      <c r="I16" s="9748"/>
      <c r="J16" s="9748"/>
      <c r="K16" s="9748"/>
      <c r="L16" s="9748"/>
      <c r="M16" s="9748"/>
      <c r="N16" s="9748"/>
      <c r="O16" s="9764"/>
      <c r="P16" s="9758"/>
      <c r="Q16" s="9761"/>
      <c r="R16" s="9504"/>
      <c r="S16" s="9504"/>
      <c r="T16" s="9504"/>
      <c r="U16" s="9748"/>
      <c r="V16" s="9748"/>
      <c r="W16" s="9748"/>
      <c r="X16" s="9748"/>
      <c r="Y16" s="9748"/>
      <c r="Z16" s="9751"/>
      <c r="AA16" s="5133"/>
    </row>
    <row r="17" spans="1:27" ht="13.5" thickBot="1">
      <c r="A17" s="5415"/>
      <c r="B17" s="6062"/>
      <c r="C17" s="6062"/>
      <c r="D17" s="6062"/>
      <c r="E17" s="5133"/>
      <c r="F17" s="5132"/>
      <c r="G17" s="5133"/>
      <c r="H17" s="9756"/>
      <c r="I17" s="9749"/>
      <c r="J17" s="9749"/>
      <c r="K17" s="9749"/>
      <c r="L17" s="9749"/>
      <c r="M17" s="9749"/>
      <c r="N17" s="9749"/>
      <c r="O17" s="9765"/>
      <c r="P17" s="9759"/>
      <c r="Q17" s="9762"/>
      <c r="R17" s="9513"/>
      <c r="S17" s="9513"/>
      <c r="T17" s="9513"/>
      <c r="U17" s="9749"/>
      <c r="V17" s="9749"/>
      <c r="W17" s="9749"/>
      <c r="X17" s="9749"/>
      <c r="Y17" s="9749"/>
      <c r="Z17" s="9752"/>
      <c r="AA17" s="5133"/>
    </row>
    <row r="18" spans="1:27" ht="13.5" thickBot="1">
      <c r="A18" s="7915"/>
      <c r="B18" s="7939" t="s">
        <v>1357</v>
      </c>
      <c r="C18" s="7916"/>
      <c r="D18" s="7917"/>
      <c r="E18" s="5133"/>
      <c r="F18" s="5132"/>
      <c r="G18" s="5133"/>
      <c r="H18" s="102">
        <v>1</v>
      </c>
      <c r="I18" s="102">
        <f>1+H18</f>
        <v>2</v>
      </c>
      <c r="J18" s="102">
        <f t="shared" ref="J18:R18" si="0">1+I18</f>
        <v>3</v>
      </c>
      <c r="K18" s="102">
        <f t="shared" si="0"/>
        <v>4</v>
      </c>
      <c r="L18" s="102">
        <f t="shared" si="0"/>
        <v>5</v>
      </c>
      <c r="M18" s="102">
        <f t="shared" si="0"/>
        <v>6</v>
      </c>
      <c r="N18" s="102">
        <f t="shared" ref="N18" si="1">1+M18</f>
        <v>7</v>
      </c>
      <c r="O18" s="102">
        <f t="shared" ref="O18" si="2">1+N18</f>
        <v>8</v>
      </c>
      <c r="P18" s="102">
        <f t="shared" ref="P18" si="3">1+O18</f>
        <v>9</v>
      </c>
      <c r="Q18" s="102">
        <f t="shared" ref="Q18" si="4">1+P18</f>
        <v>10</v>
      </c>
      <c r="R18" s="102">
        <f t="shared" si="0"/>
        <v>11</v>
      </c>
      <c r="S18" s="7904">
        <f t="shared" ref="S18:Z18" si="5">1+R18</f>
        <v>12</v>
      </c>
      <c r="T18" s="7904">
        <f t="shared" si="5"/>
        <v>13</v>
      </c>
      <c r="U18" s="7904">
        <f>1+T18</f>
        <v>14</v>
      </c>
      <c r="V18" s="7904">
        <f t="shared" si="5"/>
        <v>15</v>
      </c>
      <c r="W18" s="7904">
        <f t="shared" si="5"/>
        <v>16</v>
      </c>
      <c r="X18" s="7904">
        <f t="shared" si="5"/>
        <v>17</v>
      </c>
      <c r="Y18" s="7904">
        <f t="shared" si="5"/>
        <v>18</v>
      </c>
      <c r="Z18" s="7904">
        <f t="shared" si="5"/>
        <v>19</v>
      </c>
      <c r="AA18" s="5133"/>
    </row>
    <row r="19" spans="1:27" ht="26.1" customHeight="1" thickBot="1">
      <c r="A19" s="7850" t="str">
        <f t="shared" ref="A19:A82" si="6">+IF(L19="","",L19)</f>
        <v>8298-01</v>
      </c>
      <c r="B19" s="4451" t="str">
        <f>+IF(A19="","",VLOOKUP(MATCH(A19,tid,0),tao,'12(id)'!$J$20,FALSE))</f>
        <v>CDECCA</v>
      </c>
      <c r="C19" s="7851" t="str">
        <f t="shared" ref="C19:C82" si="7">+IF(N19="","",N19)</f>
        <v>GT </v>
      </c>
      <c r="D19" s="4487" t="str">
        <f>+R19</f>
        <v>8298-01-01</v>
      </c>
      <c r="E19" s="5133"/>
      <c r="F19" s="5132"/>
      <c r="G19" s="5133"/>
      <c r="H19" s="4495">
        <v>1</v>
      </c>
      <c r="I19" s="36">
        <v>1</v>
      </c>
      <c r="J19" s="36" t="str">
        <f>+IF(L19="","",VLOOKUP(MATCH(L19,tid,0),tao,'12(id)'!$I$20,FALSE))</f>
        <v>Capitol District Energy Center Cogeneration Associates</v>
      </c>
      <c r="K19" s="35" t="s">
        <v>256</v>
      </c>
      <c r="L19" s="35" t="s">
        <v>257</v>
      </c>
      <c r="M19" s="36" t="str">
        <f>+IF(L19="","",VLOOKUP(MATCH(L19,tid,0),tao,'12(id)'!$L$20,FALSE))</f>
        <v>Capitol District Energy Center</v>
      </c>
      <c r="N19" s="7892" t="str">
        <f>+IF(ISERROR(MATCH(L19,tid,0)),"",VLOOKUP(MATCH(L19,tid,0),tao,'12(id)'!$Q$20,FALSE))</f>
        <v>GT </v>
      </c>
      <c r="O19" s="4450">
        <f>+IF(L19="","",VLOOKUP(MATCH(L19,tid,0),tao,'12(id)'!$U$20,FALSE))</f>
        <v>1</v>
      </c>
      <c r="P19" s="42"/>
      <c r="Q19" s="103"/>
      <c r="R19" s="898" t="str">
        <f t="shared" ref="R19:R49" si="8">+IF(S19="","",IF(O19=1,(IF(L19="",LEFT(R18,7),L19)&amp;"-0"&amp;S19),IF(AND(LEFT(L19,4)=LEFT(L18,4),O19&gt;1),IF(LEFT(C19,1)=LEFT(C18,1),LEFT(R18,9),L19&amp;"-0")&amp;S19,IF(L19="",LEFT(R18,9)&amp;S19,L19&amp;"-0"&amp;S19))))</f>
        <v>8298-01-01</v>
      </c>
      <c r="S19" s="486">
        <v>1</v>
      </c>
      <c r="T19" s="54"/>
      <c r="U19" s="54"/>
      <c r="V19" s="54"/>
      <c r="W19" s="54"/>
      <c r="X19" s="54"/>
      <c r="Y19" s="54"/>
      <c r="Z19" s="490"/>
      <c r="AA19" s="5133"/>
    </row>
    <row r="20" spans="1:27" ht="26.1" customHeight="1">
      <c r="A20" s="126" t="str">
        <f t="shared" si="6"/>
        <v>8302-01</v>
      </c>
      <c r="B20" s="9526" t="str">
        <f>+IF(A20="","",VLOOKUP(MATCH(A20,tid,0),tao,'12(id)'!$J$20,FALSE))</f>
        <v>CRRA</v>
      </c>
      <c r="C20" s="7852" t="str">
        <f t="shared" si="7"/>
        <v>11A</v>
      </c>
      <c r="D20" s="5881" t="str">
        <f t="shared" ref="D20:D48" si="9">+R20</f>
        <v>8302-01-01</v>
      </c>
      <c r="E20" s="5133"/>
      <c r="F20" s="5132"/>
      <c r="G20" s="5133"/>
      <c r="H20" s="4496">
        <f>1+H19</f>
        <v>2</v>
      </c>
      <c r="I20" s="9646">
        <v>2</v>
      </c>
      <c r="J20" s="9646" t="str">
        <f>+IF(L20="","",VLOOKUP(MATCH(L20,tid,0),tao,'12(id)'!$I$20,FALSE))</f>
        <v>Connecticut Resources Recovery Authority</v>
      </c>
      <c r="K20" s="9644" t="s">
        <v>277</v>
      </c>
      <c r="L20" s="7901" t="s">
        <v>278</v>
      </c>
      <c r="M20" s="9646" t="str">
        <f>+IF(L20="","",VLOOKUP(MATCH(L20,tid,0),tao,'12(id)'!$L$20,FALSE))</f>
        <v>South Meadow Station</v>
      </c>
      <c r="N20" s="7852" t="str">
        <f>+IF(ISERROR(MATCH(L20,tid,0)),"",VLOOKUP(MATCH(L20,tid,0),tao,'12(id)'!$Q$20,FALSE))</f>
        <v>11A</v>
      </c>
      <c r="O20" s="4458">
        <f>+IF(L20="","",VLOOKUP(MATCH(L20,tid,0),tao,'12(id)'!$U$20,FALSE))</f>
        <v>8</v>
      </c>
      <c r="P20" s="9656" t="s">
        <v>838</v>
      </c>
      <c r="Q20" s="9659" t="s">
        <v>1976</v>
      </c>
      <c r="R20" s="5888" t="str">
        <f t="shared" si="8"/>
        <v>8302-01-01</v>
      </c>
      <c r="S20" s="5889">
        <v>1</v>
      </c>
      <c r="T20" s="5890" t="s">
        <v>1126</v>
      </c>
      <c r="U20" s="5890"/>
      <c r="V20" s="5890"/>
      <c r="W20" s="5890"/>
      <c r="X20" s="5890"/>
      <c r="Y20" s="5890"/>
      <c r="Z20" s="5891"/>
      <c r="AA20" s="5133"/>
    </row>
    <row r="21" spans="1:27" ht="26.1" customHeight="1">
      <c r="A21" s="432" t="str">
        <f t="shared" si="6"/>
        <v>8302-02</v>
      </c>
      <c r="B21" s="9520">
        <f>+IF(A21="","",VLOOKUP(MATCH(A21,tid,0),tao,'12(id)'!$J$20,FALSE))</f>
        <v>0</v>
      </c>
      <c r="C21" s="7849" t="str">
        <f t="shared" si="7"/>
        <v>11B</v>
      </c>
      <c r="D21" s="5148" t="str">
        <f t="shared" si="9"/>
        <v>8302-01-02</v>
      </c>
      <c r="E21" s="5133"/>
      <c r="F21" s="5132"/>
      <c r="G21" s="5133"/>
      <c r="H21" s="4496">
        <f t="shared" ref="H21:H36" si="10">1+H20</f>
        <v>3</v>
      </c>
      <c r="I21" s="9650"/>
      <c r="J21" s="9650">
        <f>+IF(L21="","",VLOOKUP(MATCH(L21,tid,0),tao,'12(id)'!$I$20,FALSE))</f>
        <v>0</v>
      </c>
      <c r="K21" s="9648"/>
      <c r="L21" s="7902" t="s">
        <v>279</v>
      </c>
      <c r="M21" s="9650"/>
      <c r="N21" s="7849" t="str">
        <f>+IF(ISERROR(MATCH(L21,tid,0)),"",VLOOKUP(MATCH(L21,tid,0),tao,'12(id)'!$Q$20,FALSE))</f>
        <v>11B</v>
      </c>
      <c r="O21" s="4459">
        <f>+IF(L21="","",VLOOKUP(MATCH(L21,tid,0),tao,'12(id)'!$U$20,FALSE))</f>
        <v>8</v>
      </c>
      <c r="P21" s="9657"/>
      <c r="Q21" s="9660"/>
      <c r="R21" s="5915" t="str">
        <f t="shared" si="8"/>
        <v>8302-01-02</v>
      </c>
      <c r="S21" s="5925">
        <f>1+S20</f>
        <v>2</v>
      </c>
      <c r="T21" s="5926" t="s">
        <v>1128</v>
      </c>
      <c r="U21" s="5926"/>
      <c r="V21" s="5926"/>
      <c r="W21" s="5926"/>
      <c r="X21" s="5926"/>
      <c r="Y21" s="5926"/>
      <c r="Z21" s="5927"/>
      <c r="AA21" s="5133"/>
    </row>
    <row r="22" spans="1:27" ht="26.1" customHeight="1">
      <c r="A22" s="432" t="str">
        <f t="shared" si="6"/>
        <v>8302-03</v>
      </c>
      <c r="B22" s="9520">
        <f>+IF(A22="","",VLOOKUP(MATCH(A22,tid,0),tao,'12(id)'!$J$20,FALSE))</f>
        <v>0</v>
      </c>
      <c r="C22" s="7849" t="str">
        <f t="shared" si="7"/>
        <v>12A</v>
      </c>
      <c r="D22" s="5148" t="str">
        <f t="shared" si="9"/>
        <v>8302-01-03</v>
      </c>
      <c r="E22" s="5133"/>
      <c r="F22" s="5132"/>
      <c r="G22" s="5133"/>
      <c r="H22" s="4496">
        <f t="shared" si="10"/>
        <v>4</v>
      </c>
      <c r="I22" s="9650"/>
      <c r="J22" s="9650">
        <f>+IF(L22="","",VLOOKUP(MATCH(L22,tid,0),tao,'12(id)'!$I$20,FALSE))</f>
        <v>0</v>
      </c>
      <c r="K22" s="9648"/>
      <c r="L22" s="7902" t="s">
        <v>280</v>
      </c>
      <c r="M22" s="9650"/>
      <c r="N22" s="7849" t="str">
        <f>+IF(ISERROR(MATCH(L22,tid,0)),"",VLOOKUP(MATCH(L22,tid,0),tao,'12(id)'!$Q$20,FALSE))</f>
        <v>12A</v>
      </c>
      <c r="O22" s="4459">
        <f>+IF(L22="","",VLOOKUP(MATCH(L22,tid,0),tao,'12(id)'!$U$20,FALSE))</f>
        <v>8</v>
      </c>
      <c r="P22" s="9657"/>
      <c r="Q22" s="9660"/>
      <c r="R22" s="5915" t="str">
        <f t="shared" si="8"/>
        <v>8302-01-03</v>
      </c>
      <c r="S22" s="5925">
        <f>1+S21</f>
        <v>3</v>
      </c>
      <c r="T22" s="5926" t="s">
        <v>1127</v>
      </c>
      <c r="U22" s="5926" t="s">
        <v>840</v>
      </c>
      <c r="V22" s="5926" t="s">
        <v>841</v>
      </c>
      <c r="W22" s="5926" t="s">
        <v>844</v>
      </c>
      <c r="X22" s="5926" t="s">
        <v>1960</v>
      </c>
      <c r="Y22" s="5926" t="s">
        <v>845</v>
      </c>
      <c r="Z22" s="5927" t="s">
        <v>846</v>
      </c>
      <c r="AA22" s="5133"/>
    </row>
    <row r="23" spans="1:27" ht="26.1" customHeight="1">
      <c r="A23" s="432" t="str">
        <f t="shared" si="6"/>
        <v>8302-04</v>
      </c>
      <c r="B23" s="9520">
        <f>+IF(A23="","",VLOOKUP(MATCH(A23,tid,0),tao,'12(id)'!$J$20,FALSE))</f>
        <v>0</v>
      </c>
      <c r="C23" s="7849" t="str">
        <f t="shared" si="7"/>
        <v>12B</v>
      </c>
      <c r="D23" s="5828" t="str">
        <f t="shared" si="9"/>
        <v>8302-01-04</v>
      </c>
      <c r="E23" s="5133"/>
      <c r="F23" s="5132"/>
      <c r="G23" s="5133"/>
      <c r="H23" s="4496">
        <f t="shared" si="10"/>
        <v>5</v>
      </c>
      <c r="I23" s="9650"/>
      <c r="J23" s="9650">
        <f>+IF(L23="","",VLOOKUP(MATCH(L23,tid,0),tao,'12(id)'!$I$20,FALSE))</f>
        <v>0</v>
      </c>
      <c r="K23" s="9648"/>
      <c r="L23" s="7902" t="s">
        <v>281</v>
      </c>
      <c r="M23" s="9650"/>
      <c r="N23" s="7849" t="str">
        <f>+IF(ISERROR(MATCH(L23,tid,0)),"",VLOOKUP(MATCH(L23,tid,0),tao,'12(id)'!$Q$20,FALSE))</f>
        <v>12B</v>
      </c>
      <c r="O23" s="4459">
        <f>+IF(L23="","",VLOOKUP(MATCH(L23,tid,0),tao,'12(id)'!$U$20,FALSE))</f>
        <v>8</v>
      </c>
      <c r="P23" s="9657"/>
      <c r="Q23" s="9660"/>
      <c r="R23" s="5862" t="str">
        <f t="shared" si="8"/>
        <v>8302-01-04</v>
      </c>
      <c r="S23" s="5863">
        <v>4</v>
      </c>
      <c r="T23" s="5864" t="s">
        <v>981</v>
      </c>
      <c r="U23" s="5864" t="s">
        <v>1963</v>
      </c>
      <c r="V23" s="5864" t="s">
        <v>843</v>
      </c>
      <c r="W23" s="5864" t="s">
        <v>842</v>
      </c>
      <c r="X23" s="5864" t="s">
        <v>1169</v>
      </c>
      <c r="Y23" s="5864" t="s">
        <v>1964</v>
      </c>
      <c r="Z23" s="5865" t="s">
        <v>1965</v>
      </c>
      <c r="AA23" s="5133"/>
    </row>
    <row r="24" spans="1:27" ht="26.1" customHeight="1">
      <c r="A24" s="432" t="str">
        <f t="shared" si="6"/>
        <v>8302-05</v>
      </c>
      <c r="B24" s="9520">
        <f>+IF(A24="","",VLOOKUP(MATCH(A24,tid,0),tao,'12(id)'!$J$20,FALSE))</f>
        <v>0</v>
      </c>
      <c r="C24" s="7849" t="str">
        <f t="shared" si="7"/>
        <v>13A</v>
      </c>
      <c r="D24" s="5829" t="str">
        <f t="shared" si="9"/>
        <v/>
      </c>
      <c r="E24" s="5133"/>
      <c r="F24" s="5132"/>
      <c r="G24" s="5133"/>
      <c r="H24" s="4496">
        <f t="shared" si="10"/>
        <v>6</v>
      </c>
      <c r="I24" s="9650"/>
      <c r="J24" s="9650">
        <f>+IF(L24="","",VLOOKUP(MATCH(L24,tid,0),tao,'12(id)'!$I$20,FALSE))</f>
        <v>0</v>
      </c>
      <c r="K24" s="9648"/>
      <c r="L24" s="7902" t="s">
        <v>282</v>
      </c>
      <c r="M24" s="9650"/>
      <c r="N24" s="7849" t="str">
        <f>+IF(ISERROR(MATCH(L24,tid,0)),"",VLOOKUP(MATCH(L24,tid,0),tao,'12(id)'!$Q$20,FALSE))</f>
        <v>13A</v>
      </c>
      <c r="O24" s="4459">
        <f>+IF(L24="","",VLOOKUP(MATCH(L24,tid,0),tao,'12(id)'!$U$20,FALSE))</f>
        <v>8</v>
      </c>
      <c r="P24" s="9657"/>
      <c r="Q24" s="9660"/>
      <c r="R24" s="5858" t="str">
        <f t="shared" si="8"/>
        <v/>
      </c>
      <c r="S24" s="5859"/>
      <c r="T24" s="5860"/>
      <c r="U24" s="5860"/>
      <c r="V24" s="5860"/>
      <c r="W24" s="5860"/>
      <c r="X24" s="5860"/>
      <c r="Y24" s="5860"/>
      <c r="Z24" s="5861"/>
      <c r="AA24" s="5133"/>
    </row>
    <row r="25" spans="1:27" ht="26.1" customHeight="1">
      <c r="A25" s="432" t="str">
        <f t="shared" si="6"/>
        <v>8302-06</v>
      </c>
      <c r="B25" s="9520">
        <f>+IF(A25="","",VLOOKUP(MATCH(A25,tid,0),tao,'12(id)'!$J$20,FALSE))</f>
        <v>0</v>
      </c>
      <c r="C25" s="7849" t="str">
        <f t="shared" si="7"/>
        <v>13B</v>
      </c>
      <c r="D25" s="5829" t="str">
        <f t="shared" si="9"/>
        <v/>
      </c>
      <c r="E25" s="5133"/>
      <c r="F25" s="5132"/>
      <c r="G25" s="5133"/>
      <c r="H25" s="4496">
        <f t="shared" si="10"/>
        <v>7</v>
      </c>
      <c r="I25" s="9650"/>
      <c r="J25" s="9650">
        <f>+IF(L25="","",VLOOKUP(MATCH(L25,tid,0),tao,'12(id)'!$I$20,FALSE))</f>
        <v>0</v>
      </c>
      <c r="K25" s="9648"/>
      <c r="L25" s="7902" t="s">
        <v>283</v>
      </c>
      <c r="M25" s="9650"/>
      <c r="N25" s="7849" t="str">
        <f>+IF(ISERROR(MATCH(L25,tid,0)),"",VLOOKUP(MATCH(L25,tid,0),tao,'12(id)'!$Q$20,FALSE))</f>
        <v>13B</v>
      </c>
      <c r="O25" s="4459">
        <f>+IF(L25="","",VLOOKUP(MATCH(L25,tid,0),tao,'12(id)'!$U$20,FALSE))</f>
        <v>8</v>
      </c>
      <c r="P25" s="9657"/>
      <c r="Q25" s="9660"/>
      <c r="R25" s="5852" t="str">
        <f t="shared" si="8"/>
        <v/>
      </c>
      <c r="S25" s="5853"/>
      <c r="T25" s="5854"/>
      <c r="U25" s="5854"/>
      <c r="V25" s="5854"/>
      <c r="W25" s="5854"/>
      <c r="X25" s="5854"/>
      <c r="Y25" s="5854"/>
      <c r="Z25" s="5855"/>
      <c r="AA25" s="5133"/>
    </row>
    <row r="26" spans="1:27" ht="26.1" customHeight="1">
      <c r="A26" s="432" t="str">
        <f t="shared" si="6"/>
        <v>8302-07</v>
      </c>
      <c r="B26" s="9520">
        <f>+IF(A26="","",VLOOKUP(MATCH(A26,tid,0),tao,'12(id)'!$J$20,FALSE))</f>
        <v>0</v>
      </c>
      <c r="C26" s="7849" t="str">
        <f t="shared" si="7"/>
        <v>14A</v>
      </c>
      <c r="D26" s="5829" t="str">
        <f t="shared" si="9"/>
        <v/>
      </c>
      <c r="E26" s="5133"/>
      <c r="F26" s="5132"/>
      <c r="G26" s="5133"/>
      <c r="H26" s="4496">
        <f t="shared" si="10"/>
        <v>8</v>
      </c>
      <c r="I26" s="9650"/>
      <c r="J26" s="9650">
        <f>+IF(L26="","",VLOOKUP(MATCH(L26,tid,0),tao,'12(id)'!$I$20,FALSE))</f>
        <v>0</v>
      </c>
      <c r="K26" s="9648"/>
      <c r="L26" s="7902" t="s">
        <v>284</v>
      </c>
      <c r="M26" s="9650"/>
      <c r="N26" s="7849" t="str">
        <f>+IF(ISERROR(MATCH(L26,tid,0)),"",VLOOKUP(MATCH(L26,tid,0),tao,'12(id)'!$Q$20,FALSE))</f>
        <v>14A</v>
      </c>
      <c r="O26" s="4459">
        <f>+IF(L26="","",VLOOKUP(MATCH(L26,tid,0),tao,'12(id)'!$U$20,FALSE))</f>
        <v>8</v>
      </c>
      <c r="P26" s="9657"/>
      <c r="Q26" s="9660"/>
      <c r="R26" s="5852" t="str">
        <f t="shared" si="8"/>
        <v/>
      </c>
      <c r="S26" s="5853"/>
      <c r="T26" s="5854"/>
      <c r="U26" s="5854"/>
      <c r="V26" s="5854"/>
      <c r="W26" s="5854"/>
      <c r="X26" s="5854"/>
      <c r="Y26" s="5854"/>
      <c r="Z26" s="5855"/>
      <c r="AA26" s="5133"/>
    </row>
    <row r="27" spans="1:27" ht="26.1" customHeight="1" thickBot="1">
      <c r="A27" s="129" t="str">
        <f t="shared" si="6"/>
        <v>8302-08</v>
      </c>
      <c r="B27" s="9521">
        <f>+IF(A27="","",VLOOKUP(MATCH(A27,tid,0),tao,'12(id)'!$J$20,FALSE))</f>
        <v>0</v>
      </c>
      <c r="C27" s="7853" t="str">
        <f t="shared" si="7"/>
        <v>14B</v>
      </c>
      <c r="D27" s="1117" t="str">
        <f t="shared" si="9"/>
        <v/>
      </c>
      <c r="E27" s="5133"/>
      <c r="F27" s="5132"/>
      <c r="G27" s="5133"/>
      <c r="H27" s="4496">
        <f t="shared" si="10"/>
        <v>9</v>
      </c>
      <c r="I27" s="9647"/>
      <c r="J27" s="9647">
        <f>+IF(L27="","",VLOOKUP(MATCH(L27,tid,0),tao,'12(id)'!$I$20,FALSE))</f>
        <v>0</v>
      </c>
      <c r="K27" s="9645"/>
      <c r="L27" s="7903" t="s">
        <v>285</v>
      </c>
      <c r="M27" s="9647"/>
      <c r="N27" s="7853" t="str">
        <f>+IF(ISERROR(MATCH(L27,tid,0)),"",VLOOKUP(MATCH(L27,tid,0),tao,'12(id)'!$Q$20,FALSE))</f>
        <v>14B</v>
      </c>
      <c r="O27" s="4460">
        <f>+IF(L27="","",VLOOKUP(MATCH(L27,tid,0),tao,'12(id)'!$U$20,FALSE))</f>
        <v>8</v>
      </c>
      <c r="P27" s="9658"/>
      <c r="Q27" s="9661"/>
      <c r="R27" s="873" t="str">
        <f t="shared" si="8"/>
        <v/>
      </c>
      <c r="S27" s="820"/>
      <c r="T27" s="5856"/>
      <c r="U27" s="5856"/>
      <c r="V27" s="5856"/>
      <c r="W27" s="5856"/>
      <c r="X27" s="5856"/>
      <c r="Y27" s="5856"/>
      <c r="Z27" s="5857"/>
      <c r="AA27" s="5133"/>
    </row>
    <row r="28" spans="1:27" ht="26.1" customHeight="1">
      <c r="A28" s="9722" t="str">
        <f t="shared" si="6"/>
        <v>8303-01</v>
      </c>
      <c r="B28" s="9517" t="str">
        <f>+IF(A28="","",VLOOKUP(MATCH(A28,tid,0),tao,'12(id)'!$J$20,FALSE))</f>
        <v>FirstLight</v>
      </c>
      <c r="C28" s="9679">
        <f t="shared" si="7"/>
        <v>10</v>
      </c>
      <c r="D28" s="5883" t="str">
        <f t="shared" si="9"/>
        <v>8303-01-01</v>
      </c>
      <c r="E28" s="5133"/>
      <c r="F28" s="5132"/>
      <c r="G28" s="5133"/>
      <c r="H28" s="4496">
        <f t="shared" si="10"/>
        <v>10</v>
      </c>
      <c r="I28" s="9644">
        <v>3</v>
      </c>
      <c r="J28" s="9646" t="str">
        <f>+IF(L28="","",VLOOKUP(MATCH(L28,tid,0),tao,'12(id)'!$I$20,FALSE))</f>
        <v>FirstLight Hydro Generating Company</v>
      </c>
      <c r="K28" s="9644" t="s">
        <v>286</v>
      </c>
      <c r="L28" s="9644" t="s">
        <v>287</v>
      </c>
      <c r="M28" s="9644" t="str">
        <f>+IF(L28="","",VLOOKUP(MATCH(L28,tid,0),tao,'12(id)'!$L$20,FALSE))</f>
        <v>Tunnel</v>
      </c>
      <c r="N28" s="9679">
        <f>+IF(ISERROR(MATCH(L28,tid,0)),"",VLOOKUP(MATCH(L28,tid,0),tao,'12(id)'!$Q$20,FALSE))</f>
        <v>10</v>
      </c>
      <c r="O28" s="9674">
        <f>+IF(L28="","",VLOOKUP(MATCH(L28,tid,0),tao,'12(id)'!$U$20,FALSE))</f>
        <v>1</v>
      </c>
      <c r="P28" s="9662"/>
      <c r="Q28" s="9682"/>
      <c r="R28" s="5896" t="str">
        <f t="shared" si="8"/>
        <v>8303-01-01</v>
      </c>
      <c r="S28" s="5889">
        <v>1</v>
      </c>
      <c r="T28" s="5890" t="s">
        <v>1130</v>
      </c>
      <c r="U28" s="5897"/>
      <c r="V28" s="5897"/>
      <c r="W28" s="5897"/>
      <c r="X28" s="5897"/>
      <c r="Y28" s="5897"/>
      <c r="Z28" s="5898"/>
      <c r="AA28" s="5133"/>
    </row>
    <row r="29" spans="1:27" ht="26.1" customHeight="1">
      <c r="A29" s="9723" t="str">
        <f t="shared" si="6"/>
        <v/>
      </c>
      <c r="B29" s="9518" t="str">
        <f>+IF(A29="","",VLOOKUP(MATCH(A29,tid,0),tao,'12(id)'!$J$20,FALSE))</f>
        <v/>
      </c>
      <c r="C29" s="9680" t="str">
        <f t="shared" si="7"/>
        <v/>
      </c>
      <c r="D29" s="5882" t="str">
        <f t="shared" si="9"/>
        <v>8303-01-02</v>
      </c>
      <c r="E29" s="5133"/>
      <c r="F29" s="5132"/>
      <c r="G29" s="5133"/>
      <c r="H29" s="4496">
        <f t="shared" si="10"/>
        <v>11</v>
      </c>
      <c r="I29" s="9648"/>
      <c r="J29" s="9650"/>
      <c r="K29" s="9648"/>
      <c r="L29" s="9648"/>
      <c r="M29" s="9648"/>
      <c r="N29" s="9680" t="str">
        <f>+IF(ISERROR(MATCH(L29,tid,0)),"",VLOOKUP(MATCH(L29,tid,0),tao,'12(id)'!$Q$20,FALSE))</f>
        <v/>
      </c>
      <c r="O29" s="9675"/>
      <c r="P29" s="9663"/>
      <c r="Q29" s="9683"/>
      <c r="R29" s="5892" t="str">
        <f t="shared" si="8"/>
        <v>8303-01-02</v>
      </c>
      <c r="S29" s="5893">
        <f>1+S28</f>
        <v>2</v>
      </c>
      <c r="T29" s="7918" t="s">
        <v>1133</v>
      </c>
      <c r="U29" s="5894"/>
      <c r="V29" s="5894"/>
      <c r="W29" s="5894"/>
      <c r="X29" s="5894"/>
      <c r="Y29" s="5894"/>
      <c r="Z29" s="5895"/>
      <c r="AA29" s="5133"/>
    </row>
    <row r="30" spans="1:27" ht="26.1" customHeight="1">
      <c r="A30" s="9723" t="str">
        <f t="shared" si="6"/>
        <v/>
      </c>
      <c r="B30" s="9518" t="str">
        <f>+IF(A30="","",VLOOKUP(MATCH(A30,tid,0),tao,'12(id)'!$J$20,FALSE))</f>
        <v/>
      </c>
      <c r="C30" s="9680" t="str">
        <f t="shared" si="7"/>
        <v/>
      </c>
      <c r="D30" s="5882" t="str">
        <f t="shared" si="9"/>
        <v>8303-01-03</v>
      </c>
      <c r="E30" s="5133"/>
      <c r="F30" s="5132"/>
      <c r="G30" s="5133"/>
      <c r="H30" s="4496">
        <f t="shared" si="10"/>
        <v>12</v>
      </c>
      <c r="I30" s="9648"/>
      <c r="J30" s="9650"/>
      <c r="K30" s="9648"/>
      <c r="L30" s="9648"/>
      <c r="M30" s="9648"/>
      <c r="N30" s="9680" t="str">
        <f>+IF(ISERROR(MATCH(L30,tid,0)),"",VLOOKUP(MATCH(L30,tid,0),tao,'12(id)'!$Q$20,FALSE))</f>
        <v/>
      </c>
      <c r="O30" s="9675"/>
      <c r="P30" s="9663"/>
      <c r="Q30" s="9683"/>
      <c r="R30" s="5892" t="str">
        <f t="shared" si="8"/>
        <v>8303-01-03</v>
      </c>
      <c r="S30" s="5893">
        <f t="shared" ref="S30:S35" si="11">1+S29</f>
        <v>3</v>
      </c>
      <c r="T30" s="7918" t="s">
        <v>1126</v>
      </c>
      <c r="U30" s="5894"/>
      <c r="V30" s="5894"/>
      <c r="W30" s="5894"/>
      <c r="X30" s="5894"/>
      <c r="Y30" s="5894"/>
      <c r="Z30" s="5895"/>
      <c r="AA30" s="5133"/>
    </row>
    <row r="31" spans="1:27" ht="26.1" customHeight="1">
      <c r="A31" s="9723" t="str">
        <f t="shared" si="6"/>
        <v/>
      </c>
      <c r="B31" s="9518" t="str">
        <f>+IF(A31="","",VLOOKUP(MATCH(A31,tid,0),tao,'12(id)'!$J$20,FALSE))</f>
        <v/>
      </c>
      <c r="C31" s="9680" t="str">
        <f t="shared" si="7"/>
        <v/>
      </c>
      <c r="D31" s="1107" t="str">
        <f t="shared" si="9"/>
        <v>8303-01-04</v>
      </c>
      <c r="E31" s="5133"/>
      <c r="F31" s="5132"/>
      <c r="G31" s="5133"/>
      <c r="H31" s="4496">
        <f t="shared" si="10"/>
        <v>13</v>
      </c>
      <c r="I31" s="9648"/>
      <c r="J31" s="9650"/>
      <c r="K31" s="9648"/>
      <c r="L31" s="9648"/>
      <c r="M31" s="9648"/>
      <c r="N31" s="9680" t="str">
        <f>+IF(ISERROR(MATCH(L31,tid,0)),"",VLOOKUP(MATCH(L31,tid,0),tao,'12(id)'!$Q$20,FALSE))</f>
        <v/>
      </c>
      <c r="O31" s="9675"/>
      <c r="P31" s="9663"/>
      <c r="Q31" s="9683"/>
      <c r="R31" s="5862" t="str">
        <f t="shared" si="8"/>
        <v>8303-01-04</v>
      </c>
      <c r="S31" s="5863">
        <f t="shared" si="11"/>
        <v>4</v>
      </c>
      <c r="T31" s="5864" t="s">
        <v>1141</v>
      </c>
      <c r="U31" s="5874"/>
      <c r="V31" s="5874"/>
      <c r="W31" s="5874"/>
      <c r="X31" s="5874"/>
      <c r="Y31" s="5874"/>
      <c r="Z31" s="5875"/>
      <c r="AA31" s="5133"/>
    </row>
    <row r="32" spans="1:27" ht="26.1" customHeight="1">
      <c r="A32" s="9723" t="str">
        <f t="shared" si="6"/>
        <v/>
      </c>
      <c r="B32" s="9518" t="str">
        <f>+IF(A32="","",VLOOKUP(MATCH(A32,tid,0),tao,'12(id)'!$J$20,FALSE))</f>
        <v/>
      </c>
      <c r="C32" s="9680" t="str">
        <f t="shared" si="7"/>
        <v/>
      </c>
      <c r="D32" s="5148" t="str">
        <f t="shared" si="9"/>
        <v>8303-01-05</v>
      </c>
      <c r="E32" s="5133"/>
      <c r="F32" s="5132"/>
      <c r="G32" s="5133"/>
      <c r="H32" s="4496">
        <f t="shared" si="10"/>
        <v>14</v>
      </c>
      <c r="I32" s="9648"/>
      <c r="J32" s="9650"/>
      <c r="K32" s="9648"/>
      <c r="L32" s="9648"/>
      <c r="M32" s="9648"/>
      <c r="N32" s="9680" t="str">
        <f>+IF(ISERROR(MATCH(L32,tid,0)),"",VLOOKUP(MATCH(L32,tid,0),tao,'12(id)'!$Q$20,FALSE))</f>
        <v/>
      </c>
      <c r="O32" s="9675"/>
      <c r="P32" s="9663"/>
      <c r="Q32" s="9683"/>
      <c r="R32" s="5915" t="str">
        <f t="shared" si="8"/>
        <v>8303-01-05</v>
      </c>
      <c r="S32" s="5925">
        <f t="shared" si="11"/>
        <v>5</v>
      </c>
      <c r="T32" s="5926" t="s">
        <v>1610</v>
      </c>
      <c r="U32" s="5928"/>
      <c r="V32" s="5928"/>
      <c r="W32" s="5928"/>
      <c r="X32" s="5928"/>
      <c r="Y32" s="5928"/>
      <c r="Z32" s="5929"/>
      <c r="AA32" s="5133"/>
    </row>
    <row r="33" spans="1:27" ht="26.1" customHeight="1">
      <c r="A33" s="9723" t="str">
        <f t="shared" si="6"/>
        <v/>
      </c>
      <c r="B33" s="9518" t="str">
        <f>+IF(A33="","",VLOOKUP(MATCH(A33,tid,0),tao,'12(id)'!$J$20,FALSE))</f>
        <v/>
      </c>
      <c r="C33" s="9680" t="str">
        <f t="shared" si="7"/>
        <v/>
      </c>
      <c r="D33" s="1107" t="str">
        <f t="shared" si="9"/>
        <v>8303-01-06</v>
      </c>
      <c r="E33" s="5133"/>
      <c r="F33" s="5132"/>
      <c r="G33" s="5133"/>
      <c r="H33" s="4496">
        <f t="shared" si="10"/>
        <v>15</v>
      </c>
      <c r="I33" s="9648"/>
      <c r="J33" s="9650"/>
      <c r="K33" s="9648"/>
      <c r="L33" s="9648"/>
      <c r="M33" s="9648"/>
      <c r="N33" s="9680"/>
      <c r="O33" s="9675"/>
      <c r="P33" s="9663"/>
      <c r="Q33" s="9683"/>
      <c r="R33" s="5862" t="str">
        <f t="shared" si="8"/>
        <v>8303-01-06</v>
      </c>
      <c r="S33" s="5863">
        <f>1+S32</f>
        <v>6</v>
      </c>
      <c r="T33" s="5864" t="s">
        <v>1821</v>
      </c>
      <c r="U33" s="5874"/>
      <c r="V33" s="5874"/>
      <c r="W33" s="5874"/>
      <c r="X33" s="5874"/>
      <c r="Y33" s="5874"/>
      <c r="Z33" s="5875"/>
      <c r="AA33" s="5133"/>
    </row>
    <row r="34" spans="1:27" ht="26.1" customHeight="1">
      <c r="A34" s="9723" t="str">
        <f t="shared" si="6"/>
        <v/>
      </c>
      <c r="B34" s="9518" t="str">
        <f>+IF(A34="","",VLOOKUP(MATCH(A34,tid,0),tao,'12(id)'!$J$20,FALSE))</f>
        <v/>
      </c>
      <c r="C34" s="9680" t="str">
        <f t="shared" si="7"/>
        <v/>
      </c>
      <c r="D34" s="5931" t="str">
        <f t="shared" si="9"/>
        <v>8303-01-07</v>
      </c>
      <c r="E34" s="5133"/>
      <c r="F34" s="5132"/>
      <c r="G34" s="5133"/>
      <c r="H34" s="4496">
        <f t="shared" si="10"/>
        <v>16</v>
      </c>
      <c r="I34" s="9648"/>
      <c r="J34" s="9650"/>
      <c r="K34" s="9648"/>
      <c r="L34" s="9648"/>
      <c r="M34" s="9648"/>
      <c r="N34" s="9680" t="str">
        <f>+IF(ISERROR(MATCH(L34,tid,0)),"",VLOOKUP(MATCH(L34,tid,0),tao,'12(id)'!$Q$20,FALSE))</f>
        <v/>
      </c>
      <c r="O34" s="9675"/>
      <c r="P34" s="9663"/>
      <c r="Q34" s="9683"/>
      <c r="R34" s="5932" t="str">
        <f t="shared" si="8"/>
        <v>8303-01-07</v>
      </c>
      <c r="S34" s="5933">
        <f>1+S33</f>
        <v>7</v>
      </c>
      <c r="T34" s="7919" t="s">
        <v>1138</v>
      </c>
      <c r="U34" s="5934"/>
      <c r="V34" s="5934"/>
      <c r="W34" s="5934"/>
      <c r="X34" s="5934"/>
      <c r="Y34" s="5934"/>
      <c r="Z34" s="5935"/>
      <c r="AA34" s="5133"/>
    </row>
    <row r="35" spans="1:27" ht="26.1" customHeight="1">
      <c r="A35" s="9723" t="str">
        <f t="shared" si="6"/>
        <v/>
      </c>
      <c r="B35" s="9518" t="str">
        <f>+IF(A35="","",VLOOKUP(MATCH(A35,tid,0),tao,'12(id)'!$J$20,FALSE))</f>
        <v/>
      </c>
      <c r="C35" s="9680" t="str">
        <f t="shared" si="7"/>
        <v/>
      </c>
      <c r="D35" s="5931" t="str">
        <f t="shared" si="9"/>
        <v>8303-01-08</v>
      </c>
      <c r="E35" s="5133"/>
      <c r="F35" s="5132"/>
      <c r="G35" s="5133"/>
      <c r="H35" s="4496">
        <f t="shared" si="10"/>
        <v>17</v>
      </c>
      <c r="I35" s="9648"/>
      <c r="J35" s="9650"/>
      <c r="K35" s="9648"/>
      <c r="L35" s="9648"/>
      <c r="M35" s="9648"/>
      <c r="N35" s="9680" t="str">
        <f>+IF(ISERROR(MATCH(L35,tid,0)),"",VLOOKUP(MATCH(L35,tid,0),tao,'12(id)'!$Q$20,FALSE))</f>
        <v/>
      </c>
      <c r="O35" s="9675"/>
      <c r="P35" s="9663"/>
      <c r="Q35" s="9683"/>
      <c r="R35" s="5932" t="str">
        <f t="shared" si="8"/>
        <v>8303-01-08</v>
      </c>
      <c r="S35" s="5933">
        <f t="shared" si="11"/>
        <v>8</v>
      </c>
      <c r="T35" s="7919" t="s">
        <v>1137</v>
      </c>
      <c r="U35" s="5934"/>
      <c r="V35" s="5934"/>
      <c r="W35" s="5934"/>
      <c r="X35" s="5934"/>
      <c r="Y35" s="5934"/>
      <c r="Z35" s="5935"/>
      <c r="AA35" s="5133"/>
    </row>
    <row r="36" spans="1:27" ht="26.1" customHeight="1" thickBot="1">
      <c r="A36" s="9734" t="str">
        <f t="shared" si="6"/>
        <v/>
      </c>
      <c r="B36" s="9519" t="str">
        <f>+IF(A36="","",VLOOKUP(MATCH(A36,tid,0),tao,'12(id)'!$J$20,FALSE))</f>
        <v/>
      </c>
      <c r="C36" s="9681" t="str">
        <f t="shared" si="7"/>
        <v/>
      </c>
      <c r="D36" s="1117" t="str">
        <f t="shared" si="9"/>
        <v/>
      </c>
      <c r="E36" s="5133"/>
      <c r="F36" s="5132"/>
      <c r="G36" s="5133"/>
      <c r="H36" s="4496">
        <f t="shared" si="10"/>
        <v>18</v>
      </c>
      <c r="I36" s="9645"/>
      <c r="J36" s="9647"/>
      <c r="K36" s="9645"/>
      <c r="L36" s="9645"/>
      <c r="M36" s="9645"/>
      <c r="N36" s="9681" t="str">
        <f>+IF(ISERROR(MATCH(L36,tid,0)),"",VLOOKUP(MATCH(L36,tid,0),tao,'12(id)'!$Q$20,FALSE))</f>
        <v/>
      </c>
      <c r="O36" s="9676"/>
      <c r="P36" s="9664"/>
      <c r="Q36" s="9684"/>
      <c r="R36" s="5866" t="str">
        <f t="shared" si="8"/>
        <v/>
      </c>
      <c r="S36" s="5867"/>
      <c r="T36" s="7920"/>
      <c r="U36" s="5868"/>
      <c r="V36" s="5868"/>
      <c r="W36" s="5868"/>
      <c r="X36" s="5868"/>
      <c r="Y36" s="5868"/>
      <c r="Z36" s="5869"/>
      <c r="AA36" s="5133"/>
    </row>
    <row r="37" spans="1:27" ht="26.1" customHeight="1">
      <c r="A37" s="9722" t="str">
        <f t="shared" si="6"/>
        <v>8304-01</v>
      </c>
      <c r="B37" s="9517" t="str">
        <f>+IF(A37="","",VLOOKUP(MATCH(A37,tid,0),tao,'12(id)'!$J$20,FALSE))</f>
        <v>NPU</v>
      </c>
      <c r="C37" s="9679" t="str">
        <f t="shared" si="7"/>
        <v>TRBINE</v>
      </c>
      <c r="D37" s="1113" t="str">
        <f t="shared" si="9"/>
        <v>8304-01-01</v>
      </c>
      <c r="E37" s="5133"/>
      <c r="F37" s="5132"/>
      <c r="G37" s="5133"/>
      <c r="H37" s="4496">
        <f t="shared" ref="H37:H52" si="12">1+H36</f>
        <v>19</v>
      </c>
      <c r="I37" s="9644">
        <v>4</v>
      </c>
      <c r="J37" s="9646" t="str">
        <f>+IF(L37="","",VLOOKUP(MATCH(L37,tid,0),tao,'12(id)'!$I$20,FALSE))</f>
        <v>Norwich Public Utilities</v>
      </c>
      <c r="K37" s="9644" t="s">
        <v>288</v>
      </c>
      <c r="L37" s="9644" t="s">
        <v>289</v>
      </c>
      <c r="M37" s="9644" t="str">
        <f>+IF(L37="","",VLOOKUP(MATCH(L37,tid,0),tao,'12(id)'!$L$20,FALSE))</f>
        <v>Norwich</v>
      </c>
      <c r="N37" s="9679" t="str">
        <f>+IF(ISERROR(MATCH(L37,tid,0)),"",VLOOKUP(MATCH(L37,tid,0),tao,'12(id)'!$Q$20,FALSE))</f>
        <v>TRBINE</v>
      </c>
      <c r="O37" s="9674">
        <f>+IF(L37="","",VLOOKUP(MATCH(L37,tid,0),tao,'12(id)'!$U$20,FALSE))</f>
        <v>1</v>
      </c>
      <c r="P37" s="9662"/>
      <c r="Q37" s="9682"/>
      <c r="R37" s="5870" t="str">
        <f t="shared" si="8"/>
        <v>8304-01-01</v>
      </c>
      <c r="S37" s="5871">
        <v>1</v>
      </c>
      <c r="T37" s="7921" t="s">
        <v>1611</v>
      </c>
      <c r="U37" s="5872"/>
      <c r="V37" s="5872"/>
      <c r="W37" s="5872"/>
      <c r="X37" s="5872"/>
      <c r="Y37" s="5872"/>
      <c r="Z37" s="5873"/>
      <c r="AA37" s="5133"/>
    </row>
    <row r="38" spans="1:27" ht="26.1" customHeight="1">
      <c r="A38" s="9723" t="str">
        <f t="shared" si="6"/>
        <v/>
      </c>
      <c r="B38" s="9518" t="str">
        <f>+IF(A38="","",VLOOKUP(MATCH(A38,tid,0),tao,'12(id)'!$J$20,FALSE))</f>
        <v/>
      </c>
      <c r="C38" s="9680" t="str">
        <f t="shared" si="7"/>
        <v/>
      </c>
      <c r="D38" s="1107" t="str">
        <f t="shared" si="9"/>
        <v>8304-01-02</v>
      </c>
      <c r="E38" s="5133"/>
      <c r="F38" s="5132"/>
      <c r="G38" s="5133"/>
      <c r="H38" s="4496">
        <f t="shared" si="12"/>
        <v>20</v>
      </c>
      <c r="I38" s="9648"/>
      <c r="J38" s="9650"/>
      <c r="K38" s="9648"/>
      <c r="L38" s="9648"/>
      <c r="M38" s="9648"/>
      <c r="N38" s="9680" t="str">
        <f>+IF(ISERROR(MATCH(L38,tid,0)),"",VLOOKUP(MATCH(L38,tid,0),tao,'12(id)'!$Q$20,FALSE))</f>
        <v/>
      </c>
      <c r="O38" s="9675"/>
      <c r="P38" s="9663"/>
      <c r="Q38" s="9683"/>
      <c r="R38" s="5862" t="str">
        <f t="shared" si="8"/>
        <v>8304-01-02</v>
      </c>
      <c r="S38" s="5863">
        <f t="shared" ref="S38:S43" si="13">1+S37</f>
        <v>2</v>
      </c>
      <c r="T38" s="5864" t="s">
        <v>1612</v>
      </c>
      <c r="U38" s="5874"/>
      <c r="V38" s="5874"/>
      <c r="W38" s="5874"/>
      <c r="X38" s="5874"/>
      <c r="Y38" s="5874"/>
      <c r="Z38" s="5875"/>
      <c r="AA38" s="5133"/>
    </row>
    <row r="39" spans="1:27" ht="26.1" customHeight="1">
      <c r="A39" s="9723" t="str">
        <f t="shared" si="6"/>
        <v/>
      </c>
      <c r="B39" s="9518" t="str">
        <f>+IF(A39="","",VLOOKUP(MATCH(A39,tid,0),tao,'12(id)'!$J$20,FALSE))</f>
        <v/>
      </c>
      <c r="C39" s="9680" t="str">
        <f t="shared" si="7"/>
        <v/>
      </c>
      <c r="D39" s="5882" t="str">
        <f t="shared" si="9"/>
        <v>8304-01-03</v>
      </c>
      <c r="E39" s="5133"/>
      <c r="F39" s="5132"/>
      <c r="G39" s="5133"/>
      <c r="H39" s="4496">
        <f t="shared" si="12"/>
        <v>21</v>
      </c>
      <c r="I39" s="9648"/>
      <c r="J39" s="9650"/>
      <c r="K39" s="9648"/>
      <c r="L39" s="9648"/>
      <c r="M39" s="9648"/>
      <c r="N39" s="9680" t="str">
        <f>+IF(ISERROR(MATCH(L39,tid,0)),"",VLOOKUP(MATCH(L39,tid,0),tao,'12(id)'!$Q$20,FALSE))</f>
        <v/>
      </c>
      <c r="O39" s="9675"/>
      <c r="P39" s="9663"/>
      <c r="Q39" s="9683"/>
      <c r="R39" s="5892" t="str">
        <f t="shared" si="8"/>
        <v>8304-01-03</v>
      </c>
      <c r="S39" s="5893">
        <f t="shared" si="13"/>
        <v>3</v>
      </c>
      <c r="T39" s="7918" t="s">
        <v>1126</v>
      </c>
      <c r="U39" s="5894"/>
      <c r="V39" s="5894"/>
      <c r="W39" s="5894"/>
      <c r="X39" s="5894"/>
      <c r="Y39" s="5894"/>
      <c r="Z39" s="5895"/>
      <c r="AA39" s="5133"/>
    </row>
    <row r="40" spans="1:27" ht="26.1" customHeight="1">
      <c r="A40" s="9723" t="str">
        <f t="shared" si="6"/>
        <v/>
      </c>
      <c r="B40" s="9518" t="str">
        <f>+IF(A40="","",VLOOKUP(MATCH(A40,tid,0),tao,'12(id)'!$J$20,FALSE))</f>
        <v/>
      </c>
      <c r="C40" s="9680" t="str">
        <f t="shared" si="7"/>
        <v/>
      </c>
      <c r="D40" s="5148" t="str">
        <f t="shared" si="9"/>
        <v>8304-01-04</v>
      </c>
      <c r="E40" s="5133"/>
      <c r="F40" s="5132"/>
      <c r="G40" s="5133"/>
      <c r="H40" s="4496">
        <f t="shared" si="12"/>
        <v>22</v>
      </c>
      <c r="I40" s="9648"/>
      <c r="J40" s="9650"/>
      <c r="K40" s="9648"/>
      <c r="L40" s="9648"/>
      <c r="M40" s="9648"/>
      <c r="N40" s="9680" t="str">
        <f>+IF(ISERROR(MATCH(L40,tid,0)),"",VLOOKUP(MATCH(L40,tid,0),tao,'12(id)'!$Q$20,FALSE))</f>
        <v/>
      </c>
      <c r="O40" s="9675"/>
      <c r="P40" s="9663"/>
      <c r="Q40" s="9683"/>
      <c r="R40" s="5915" t="str">
        <f t="shared" si="8"/>
        <v>8304-01-04</v>
      </c>
      <c r="S40" s="5925">
        <f t="shared" si="13"/>
        <v>4</v>
      </c>
      <c r="T40" s="5926" t="s">
        <v>1127</v>
      </c>
      <c r="U40" s="5928"/>
      <c r="V40" s="5928"/>
      <c r="W40" s="5928"/>
      <c r="X40" s="5928"/>
      <c r="Y40" s="5928"/>
      <c r="Z40" s="5929"/>
      <c r="AA40" s="5133"/>
    </row>
    <row r="41" spans="1:27" ht="26.1" customHeight="1">
      <c r="A41" s="9723" t="str">
        <f t="shared" si="6"/>
        <v/>
      </c>
      <c r="B41" s="9518" t="str">
        <f>+IF(A41="","",VLOOKUP(MATCH(A41,tid,0),tao,'12(id)'!$J$20,FALSE))</f>
        <v/>
      </c>
      <c r="C41" s="9680" t="str">
        <f t="shared" si="7"/>
        <v/>
      </c>
      <c r="D41" s="5148" t="str">
        <f t="shared" si="9"/>
        <v>8304-01-05</v>
      </c>
      <c r="E41" s="5133"/>
      <c r="F41" s="5132"/>
      <c r="G41" s="5133"/>
      <c r="H41" s="4496">
        <f t="shared" si="12"/>
        <v>23</v>
      </c>
      <c r="I41" s="9648"/>
      <c r="J41" s="9650"/>
      <c r="K41" s="9648"/>
      <c r="L41" s="9648"/>
      <c r="M41" s="9648"/>
      <c r="N41" s="9680"/>
      <c r="O41" s="9675"/>
      <c r="P41" s="9663"/>
      <c r="Q41" s="9683"/>
      <c r="R41" s="5862" t="str">
        <f t="shared" si="8"/>
        <v>8304-01-05</v>
      </c>
      <c r="S41" s="5863">
        <f t="shared" si="13"/>
        <v>5</v>
      </c>
      <c r="T41" s="5864" t="s">
        <v>1821</v>
      </c>
      <c r="U41" s="5874"/>
      <c r="V41" s="5874"/>
      <c r="W41" s="5874"/>
      <c r="X41" s="5874"/>
      <c r="Y41" s="5874"/>
      <c r="Z41" s="5875"/>
      <c r="AA41" s="5133"/>
    </row>
    <row r="42" spans="1:27" ht="26.1" customHeight="1">
      <c r="A42" s="9723" t="str">
        <f t="shared" si="6"/>
        <v/>
      </c>
      <c r="B42" s="9518" t="str">
        <f>+IF(A42="","",VLOOKUP(MATCH(A42,tid,0),tao,'12(id)'!$J$20,FALSE))</f>
        <v/>
      </c>
      <c r="C42" s="9680" t="str">
        <f t="shared" si="7"/>
        <v/>
      </c>
      <c r="D42" s="5931" t="str">
        <f t="shared" si="9"/>
        <v>8304-01-06</v>
      </c>
      <c r="E42" s="5133"/>
      <c r="F42" s="5132"/>
      <c r="G42" s="5133"/>
      <c r="H42" s="4496">
        <f t="shared" si="12"/>
        <v>24</v>
      </c>
      <c r="I42" s="9648"/>
      <c r="J42" s="9650"/>
      <c r="K42" s="9648"/>
      <c r="L42" s="9648"/>
      <c r="M42" s="9648"/>
      <c r="N42" s="9680" t="str">
        <f>+IF(ISERROR(MATCH(L42,tid,0)),"",VLOOKUP(MATCH(L42,tid,0),tao,'12(id)'!$Q$20,FALSE))</f>
        <v/>
      </c>
      <c r="O42" s="9675"/>
      <c r="P42" s="9663"/>
      <c r="Q42" s="9683"/>
      <c r="R42" s="5932" t="str">
        <f t="shared" si="8"/>
        <v>8304-01-06</v>
      </c>
      <c r="S42" s="5933">
        <f t="shared" si="13"/>
        <v>6</v>
      </c>
      <c r="T42" s="7919" t="s">
        <v>1605</v>
      </c>
      <c r="U42" s="5934"/>
      <c r="V42" s="5934"/>
      <c r="W42" s="5934"/>
      <c r="X42" s="5934"/>
      <c r="Y42" s="5934"/>
      <c r="Z42" s="5935"/>
      <c r="AA42" s="5133"/>
    </row>
    <row r="43" spans="1:27" ht="26.1" customHeight="1">
      <c r="A43" s="9723" t="str">
        <f t="shared" si="6"/>
        <v/>
      </c>
      <c r="B43" s="9518" t="str">
        <f>+IF(A43="","",VLOOKUP(MATCH(A43,tid,0),tao,'12(id)'!$J$20,FALSE))</f>
        <v/>
      </c>
      <c r="C43" s="9680" t="str">
        <f t="shared" si="7"/>
        <v/>
      </c>
      <c r="D43" s="5931" t="str">
        <f t="shared" si="9"/>
        <v>8304-01-07</v>
      </c>
      <c r="E43" s="5133"/>
      <c r="F43" s="5132"/>
      <c r="G43" s="5133"/>
      <c r="H43" s="4496">
        <f t="shared" si="12"/>
        <v>25</v>
      </c>
      <c r="I43" s="9648"/>
      <c r="J43" s="9650"/>
      <c r="K43" s="9648"/>
      <c r="L43" s="9648"/>
      <c r="M43" s="9648"/>
      <c r="N43" s="9680"/>
      <c r="O43" s="9675"/>
      <c r="P43" s="9663"/>
      <c r="Q43" s="9683"/>
      <c r="R43" s="5932" t="str">
        <f t="shared" si="8"/>
        <v>8304-01-07</v>
      </c>
      <c r="S43" s="5933">
        <f t="shared" si="13"/>
        <v>7</v>
      </c>
      <c r="T43" s="7919" t="s">
        <v>1812</v>
      </c>
      <c r="U43" s="5934"/>
      <c r="V43" s="5934"/>
      <c r="W43" s="5934"/>
      <c r="X43" s="5934"/>
      <c r="Y43" s="5934"/>
      <c r="Z43" s="5935"/>
      <c r="AA43" s="5133"/>
    </row>
    <row r="44" spans="1:27" ht="26.1" customHeight="1" thickBot="1">
      <c r="A44" s="9734" t="str">
        <f t="shared" si="6"/>
        <v/>
      </c>
      <c r="B44" s="9519" t="str">
        <f>+IF(A44="","",VLOOKUP(MATCH(A44,tid,0),tao,'12(id)'!$J$20,FALSE))</f>
        <v/>
      </c>
      <c r="C44" s="9681" t="str">
        <f t="shared" si="7"/>
        <v/>
      </c>
      <c r="D44" s="1117" t="str">
        <f t="shared" si="9"/>
        <v/>
      </c>
      <c r="E44" s="5133"/>
      <c r="F44" s="5132"/>
      <c r="G44" s="5133"/>
      <c r="H44" s="4496">
        <f t="shared" si="12"/>
        <v>26</v>
      </c>
      <c r="I44" s="9645"/>
      <c r="J44" s="9647"/>
      <c r="K44" s="9645"/>
      <c r="L44" s="9645"/>
      <c r="M44" s="9645"/>
      <c r="N44" s="9681" t="str">
        <f>+IF(ISERROR(MATCH(L44,tid,0)),"",VLOOKUP(MATCH(L44,tid,0),tao,'12(id)'!$Q$20,FALSE))</f>
        <v/>
      </c>
      <c r="O44" s="9676"/>
      <c r="P44" s="9664"/>
      <c r="Q44" s="9684"/>
      <c r="R44" s="5876" t="str">
        <f t="shared" si="8"/>
        <v/>
      </c>
      <c r="S44" s="5877"/>
      <c r="T44" s="7922"/>
      <c r="U44" s="5878"/>
      <c r="V44" s="5878"/>
      <c r="W44" s="5878"/>
      <c r="X44" s="5878"/>
      <c r="Y44" s="5878"/>
      <c r="Z44" s="5879"/>
      <c r="AA44" s="5133"/>
    </row>
    <row r="45" spans="1:27" ht="26.1" customHeight="1">
      <c r="A45" s="9722" t="str">
        <f t="shared" si="6"/>
        <v>8301-01</v>
      </c>
      <c r="B45" s="9517" t="str">
        <f>+IF(A45="","",VLOOKUP(MATCH(A45,tid,0),tao,'12(id)'!$J$20,FALSE))</f>
        <v>PSEG</v>
      </c>
      <c r="C45" s="9679" t="str">
        <f t="shared" si="7"/>
        <v>BHB4 </v>
      </c>
      <c r="D45" s="5883" t="str">
        <f t="shared" si="9"/>
        <v>8301-01-01</v>
      </c>
      <c r="E45" s="5133"/>
      <c r="F45" s="5132"/>
      <c r="G45" s="5133"/>
      <c r="H45" s="4496">
        <f t="shared" si="12"/>
        <v>27</v>
      </c>
      <c r="I45" s="9644">
        <f>1+I37</f>
        <v>5</v>
      </c>
      <c r="J45" s="9646" t="str">
        <f>+IF(L45="","",VLOOKUP(MATCH(L45,tid,0),tao,'12(id)'!$I$20,FALSE))</f>
        <v>PSEG Power LLC, PSEG Fossil LLC, PSEG Power Connecticut</v>
      </c>
      <c r="K45" s="9644">
        <v>8301</v>
      </c>
      <c r="L45" s="9644" t="s">
        <v>276</v>
      </c>
      <c r="M45" s="9644" t="str">
        <f>+IF(L45="","",VLOOKUP(MATCH(L45,tid,0),tao,'12(id)'!$L$20,FALSE))</f>
        <v>Bridgeport Harbor Station</v>
      </c>
      <c r="N45" s="9679" t="str">
        <f>+IF(ISERROR(MATCH(L45,tid,0)),"",VLOOKUP(MATCH(L45,tid,0),tao,'12(id)'!$Q$20,FALSE))</f>
        <v>BHB4 </v>
      </c>
      <c r="O45" s="9674">
        <f>+IF(L45="","",VLOOKUP(MATCH(L45,tid,0),tao,'12(id)'!$U$20,FALSE))</f>
        <v>1</v>
      </c>
      <c r="P45" s="9662"/>
      <c r="Q45" s="9682"/>
      <c r="R45" s="5896" t="str">
        <f t="shared" si="8"/>
        <v>8301-01-01</v>
      </c>
      <c r="S45" s="5889">
        <v>1</v>
      </c>
      <c r="T45" s="5890" t="s">
        <v>1126</v>
      </c>
      <c r="U45" s="5897"/>
      <c r="V45" s="5897"/>
      <c r="W45" s="5897"/>
      <c r="X45" s="5897"/>
      <c r="Y45" s="5897"/>
      <c r="Z45" s="5898"/>
      <c r="AA45" s="5133"/>
    </row>
    <row r="46" spans="1:27" ht="26.1" customHeight="1">
      <c r="A46" s="9723" t="str">
        <f t="shared" si="6"/>
        <v/>
      </c>
      <c r="B46" s="9518" t="str">
        <f>+IF(A46="","",VLOOKUP(MATCH(A46,tid,0),tao,'12(id)'!$J$20,FALSE))</f>
        <v/>
      </c>
      <c r="C46" s="9680" t="str">
        <f t="shared" si="7"/>
        <v/>
      </c>
      <c r="D46" s="5148" t="str">
        <f t="shared" si="9"/>
        <v>8301-01-02</v>
      </c>
      <c r="E46" s="5133"/>
      <c r="F46" s="5132"/>
      <c r="G46" s="5133"/>
      <c r="H46" s="4496">
        <f t="shared" si="12"/>
        <v>28</v>
      </c>
      <c r="I46" s="9648"/>
      <c r="J46" s="9650"/>
      <c r="K46" s="9648"/>
      <c r="L46" s="9648"/>
      <c r="M46" s="9648"/>
      <c r="N46" s="9680" t="str">
        <f>+IF(ISERROR(MATCH(L46,tid,0)),"",VLOOKUP(MATCH(L46,tid,0),tao,'12(id)'!$Q$20,FALSE))</f>
        <v/>
      </c>
      <c r="O46" s="9675"/>
      <c r="P46" s="9663"/>
      <c r="Q46" s="9683"/>
      <c r="R46" s="5915" t="str">
        <f t="shared" si="8"/>
        <v>8301-01-02</v>
      </c>
      <c r="S46" s="5925">
        <f>1+S45</f>
        <v>2</v>
      </c>
      <c r="T46" s="5926" t="s">
        <v>1127</v>
      </c>
      <c r="U46" s="5928"/>
      <c r="V46" s="5928"/>
      <c r="W46" s="5928"/>
      <c r="X46" s="5928"/>
      <c r="Y46" s="5928"/>
      <c r="Z46" s="5929"/>
      <c r="AA46" s="5133"/>
    </row>
    <row r="47" spans="1:27" ht="26.1" customHeight="1" thickBot="1">
      <c r="A47" s="9734" t="str">
        <f t="shared" si="6"/>
        <v/>
      </c>
      <c r="B47" s="9519" t="str">
        <f>+IF(A47="","",VLOOKUP(MATCH(A47,tid,0),tao,'12(id)'!$J$20,FALSE))</f>
        <v/>
      </c>
      <c r="C47" s="9681" t="str">
        <f t="shared" si="7"/>
        <v/>
      </c>
      <c r="D47" s="1117" t="str">
        <f t="shared" si="9"/>
        <v/>
      </c>
      <c r="E47" s="5133"/>
      <c r="F47" s="5132"/>
      <c r="G47" s="5133"/>
      <c r="H47" s="4496">
        <f t="shared" si="12"/>
        <v>29</v>
      </c>
      <c r="I47" s="9645"/>
      <c r="J47" s="9647"/>
      <c r="K47" s="9645"/>
      <c r="L47" s="9645"/>
      <c r="M47" s="9645"/>
      <c r="N47" s="9681" t="str">
        <f>+IF(ISERROR(MATCH(L47,tid,0)),"",VLOOKUP(MATCH(L47,tid,0),tao,'12(id)'!$Q$20,FALSE))</f>
        <v/>
      </c>
      <c r="O47" s="9676"/>
      <c r="P47" s="9664"/>
      <c r="Q47" s="9684"/>
      <c r="R47" s="5876" t="str">
        <f t="shared" si="8"/>
        <v/>
      </c>
      <c r="S47" s="5877"/>
      <c r="T47" s="7922"/>
      <c r="U47" s="5878"/>
      <c r="V47" s="5878"/>
      <c r="W47" s="5878"/>
      <c r="X47" s="5878"/>
      <c r="Y47" s="5878"/>
      <c r="Z47" s="5879"/>
      <c r="AA47" s="5133"/>
    </row>
    <row r="48" spans="1:27" ht="26.1" customHeight="1">
      <c r="A48" s="7848" t="str">
        <f t="shared" si="6"/>
        <v>8300-01</v>
      </c>
      <c r="B48" s="9517" t="str">
        <f>+IF(A48="","",VLOOKUP(MATCH(A48,tid,0),tao,'12(id)'!$J$20,FALSE))</f>
        <v>NRG</v>
      </c>
      <c r="C48" s="7852" t="str">
        <f t="shared" si="7"/>
        <v>BR10</v>
      </c>
      <c r="D48" s="5914" t="str">
        <f t="shared" si="9"/>
        <v>8300-01-01</v>
      </c>
      <c r="E48" s="5133"/>
      <c r="F48" s="5132"/>
      <c r="G48" s="5133"/>
      <c r="H48" s="4496">
        <f t="shared" si="12"/>
        <v>30</v>
      </c>
      <c r="I48" s="7901">
        <f>1+I45</f>
        <v>6</v>
      </c>
      <c r="J48" s="9646" t="str">
        <f>+IF(L48="","",VLOOKUP(MATCH(L48,tid,0),tao,'12(id)'!$I$20,FALSE))</f>
        <v>NRG Energy, Inc</v>
      </c>
      <c r="K48" s="9644" t="s">
        <v>258</v>
      </c>
      <c r="L48" s="7894" t="s">
        <v>259</v>
      </c>
      <c r="M48" s="7895" t="str">
        <f>+IF(L48="","",VLOOKUP(MATCH(L48,tid,0),tao,'12(id)'!$L$20,FALSE))</f>
        <v>Branford</v>
      </c>
      <c r="N48" s="207" t="str">
        <f>+IF(ISERROR(MATCH(L48,tid,0)),"",VLOOKUP(MATCH(L48,tid,0),tao,'12(id)'!$Q$20,FALSE))</f>
        <v>BR10</v>
      </c>
      <c r="O48" s="4461">
        <f>+IF(L48="","",VLOOKUP(MATCH(L48,tid,0),tao,'12(id)'!$U$20,FALSE))</f>
        <v>1</v>
      </c>
      <c r="P48" s="4462"/>
      <c r="Q48" s="4463"/>
      <c r="R48" s="5918" t="str">
        <f t="shared" si="8"/>
        <v>8300-01-01</v>
      </c>
      <c r="S48" s="5919">
        <v>1</v>
      </c>
      <c r="T48" s="7923" t="s">
        <v>1127</v>
      </c>
      <c r="U48" s="5920"/>
      <c r="V48" s="5920"/>
      <c r="W48" s="5920"/>
      <c r="X48" s="5920"/>
      <c r="Y48" s="5920"/>
      <c r="Z48" s="5930"/>
      <c r="AA48" s="5133"/>
    </row>
    <row r="49" spans="1:27" ht="26.1" customHeight="1">
      <c r="A49" s="432" t="str">
        <f t="shared" si="6"/>
        <v>8300-02</v>
      </c>
      <c r="B49" s="9518" t="str">
        <f>+IF(A49="","",VLOOKUP(MATCH(A49,tid,0),tao,'12(id)'!$J$20,FALSE))</f>
        <v>NRG</v>
      </c>
      <c r="C49" s="5831" t="str">
        <f t="shared" si="7"/>
        <v>CC10</v>
      </c>
      <c r="D49" s="9631" t="s">
        <v>2144</v>
      </c>
      <c r="E49" s="5133"/>
      <c r="F49" s="5132"/>
      <c r="G49" s="5133"/>
      <c r="H49" s="4496">
        <f t="shared" si="12"/>
        <v>31</v>
      </c>
      <c r="I49" s="9655">
        <f>1+I48</f>
        <v>7</v>
      </c>
      <c r="J49" s="9650"/>
      <c r="K49" s="9648"/>
      <c r="L49" s="7902" t="s">
        <v>260</v>
      </c>
      <c r="M49" s="9649" t="str">
        <f>+IF(L49="","",VLOOKUP(MATCH(L49,tid,0),tao,'12(id)'!$L$20,FALSE))</f>
        <v>Cos Cob</v>
      </c>
      <c r="N49" s="7849" t="str">
        <f>+IF(ISERROR(MATCH(L49,tid,0)),"",VLOOKUP(MATCH(L49,tid,0),tao,'12(id)'!$Q$20,FALSE))</f>
        <v>CC10</v>
      </c>
      <c r="O49" s="4459">
        <f>+IF(L49="","",VLOOKUP(MATCH(L49,tid,0),tao,'12(id)'!$U$20,FALSE))</f>
        <v>3</v>
      </c>
      <c r="P49" s="4464"/>
      <c r="Q49" s="4465"/>
      <c r="R49" s="9637" t="str">
        <f t="shared" si="8"/>
        <v/>
      </c>
      <c r="S49" s="9634"/>
      <c r="T49" s="9628" t="s">
        <v>2145</v>
      </c>
      <c r="U49" s="9631" t="s">
        <v>2142</v>
      </c>
      <c r="V49" s="5840"/>
      <c r="W49" s="9625" t="s">
        <v>2143</v>
      </c>
      <c r="X49" s="5840"/>
      <c r="Y49" s="5840"/>
      <c r="Z49" s="5841"/>
      <c r="AA49" s="5133"/>
    </row>
    <row r="50" spans="1:27" ht="26.1" customHeight="1">
      <c r="A50" s="432" t="str">
        <f t="shared" si="6"/>
        <v>8300-03</v>
      </c>
      <c r="B50" s="9518" t="str">
        <f>+IF(A50="","",VLOOKUP(MATCH(A50,tid,0),tao,'12(id)'!$J$20,FALSE))</f>
        <v>NRG</v>
      </c>
      <c r="C50" s="5832" t="str">
        <f t="shared" si="7"/>
        <v>CC11</v>
      </c>
      <c r="D50" s="9632" t="s">
        <v>2146</v>
      </c>
      <c r="E50" s="5133"/>
      <c r="F50" s="5132"/>
      <c r="G50" s="5133"/>
      <c r="H50" s="4496">
        <f t="shared" si="12"/>
        <v>32</v>
      </c>
      <c r="I50" s="9648"/>
      <c r="J50" s="9650"/>
      <c r="K50" s="9648"/>
      <c r="L50" s="7902" t="s">
        <v>261</v>
      </c>
      <c r="M50" s="9650"/>
      <c r="N50" s="7849" t="str">
        <f>+IF(ISERROR(MATCH(L50,tid,0)),"",VLOOKUP(MATCH(L50,tid,0),tao,'12(id)'!$Q$20,FALSE))</f>
        <v>CC11</v>
      </c>
      <c r="O50" s="4459">
        <f>+IF(L50="","",VLOOKUP(MATCH(L50,tid,0),tao,'12(id)'!$U$20,FALSE))</f>
        <v>3</v>
      </c>
      <c r="P50" s="4464"/>
      <c r="Q50" s="4465"/>
      <c r="R50" s="9638"/>
      <c r="S50" s="9635"/>
      <c r="T50" s="9629"/>
      <c r="U50" s="9632"/>
      <c r="V50" s="5844"/>
      <c r="W50" s="9626"/>
      <c r="X50" s="5844"/>
      <c r="Y50" s="5844"/>
      <c r="Z50" s="5845"/>
      <c r="AA50" s="5133"/>
    </row>
    <row r="51" spans="1:27" ht="26.1" customHeight="1">
      <c r="A51" s="432" t="str">
        <f t="shared" si="6"/>
        <v>8300-04</v>
      </c>
      <c r="B51" s="9518" t="str">
        <f>+IF(A51="","",VLOOKUP(MATCH(A51,tid,0),tao,'12(id)'!$J$20,FALSE))</f>
        <v>NRG</v>
      </c>
      <c r="C51" s="5833" t="str">
        <f t="shared" si="7"/>
        <v>CC12</v>
      </c>
      <c r="D51" s="9633" t="s">
        <v>2147</v>
      </c>
      <c r="E51" s="5133"/>
      <c r="F51" s="5132"/>
      <c r="G51" s="5133"/>
      <c r="H51" s="4496">
        <f t="shared" si="12"/>
        <v>33</v>
      </c>
      <c r="I51" s="9653"/>
      <c r="J51" s="9650"/>
      <c r="K51" s="9648"/>
      <c r="L51" s="7902" t="s">
        <v>262</v>
      </c>
      <c r="M51" s="9650"/>
      <c r="N51" s="7849" t="str">
        <f>+IF(ISERROR(MATCH(L51,tid,0)),"",VLOOKUP(MATCH(L51,tid,0),tao,'12(id)'!$Q$20,FALSE))</f>
        <v>CC12</v>
      </c>
      <c r="O51" s="4459">
        <f>+IF(L51="","",VLOOKUP(MATCH(L51,tid,0),tao,'12(id)'!$U$20,FALSE))</f>
        <v>3</v>
      </c>
      <c r="P51" s="4464"/>
      <c r="Q51" s="4465"/>
      <c r="R51" s="9638"/>
      <c r="S51" s="9635"/>
      <c r="T51" s="9629"/>
      <c r="U51" s="9632"/>
      <c r="V51" s="5846"/>
      <c r="W51" s="9626"/>
      <c r="X51" s="5846"/>
      <c r="Y51" s="5846"/>
      <c r="Z51" s="5847"/>
      <c r="AA51" s="5133"/>
    </row>
    <row r="52" spans="1:27" ht="26.1" customHeight="1">
      <c r="A52" s="432" t="str">
        <f t="shared" si="6"/>
        <v>8300-05</v>
      </c>
      <c r="B52" s="9518" t="str">
        <f>+IF(A52="","",VLOOKUP(MATCH(A52,tid,0),tao,'12(id)'!$J$20,FALSE))</f>
        <v>NRG</v>
      </c>
      <c r="C52" s="5831" t="str">
        <f t="shared" si="7"/>
        <v>CC13</v>
      </c>
      <c r="D52" s="9631" t="s">
        <v>2148</v>
      </c>
      <c r="E52" s="5133"/>
      <c r="F52" s="5132"/>
      <c r="G52" s="5133"/>
      <c r="H52" s="4496">
        <f t="shared" si="12"/>
        <v>34</v>
      </c>
      <c r="I52" s="9655">
        <f>1+I49</f>
        <v>8</v>
      </c>
      <c r="J52" s="9650"/>
      <c r="K52" s="9648"/>
      <c r="L52" s="7902" t="s">
        <v>263</v>
      </c>
      <c r="M52" s="9650"/>
      <c r="N52" s="7849" t="str">
        <f>+IF(ISERROR(MATCH(L52,tid,0)),"",VLOOKUP(MATCH(L52,tid,0),tao,'12(id)'!$Q$20,FALSE))</f>
        <v>CC13</v>
      </c>
      <c r="O52" s="4459">
        <f>+IF(L52="","",VLOOKUP(MATCH(L52,tid,0),tao,'12(id)'!$U$20,FALSE))</f>
        <v>2</v>
      </c>
      <c r="P52" s="4464"/>
      <c r="Q52" s="4465"/>
      <c r="R52" s="9638"/>
      <c r="S52" s="9635"/>
      <c r="T52" s="9629"/>
      <c r="U52" s="9632"/>
      <c r="V52" s="5840"/>
      <c r="W52" s="9626"/>
      <c r="X52" s="5840"/>
      <c r="Y52" s="5840"/>
      <c r="Z52" s="5841"/>
      <c r="AA52" s="5133"/>
    </row>
    <row r="53" spans="1:27" ht="26.1" customHeight="1">
      <c r="A53" s="432" t="str">
        <f t="shared" si="6"/>
        <v>8300-06</v>
      </c>
      <c r="B53" s="9518" t="str">
        <f>+IF(A53="","",VLOOKUP(MATCH(A53,tid,0),tao,'12(id)'!$J$20,FALSE))</f>
        <v>NRG</v>
      </c>
      <c r="C53" s="5833" t="str">
        <f t="shared" si="7"/>
        <v>CC14</v>
      </c>
      <c r="D53" s="9633"/>
      <c r="E53" s="5133"/>
      <c r="F53" s="5132"/>
      <c r="G53" s="5133"/>
      <c r="H53" s="4496">
        <f t="shared" ref="H53:I68" si="14">1+H52</f>
        <v>35</v>
      </c>
      <c r="I53" s="9653"/>
      <c r="J53" s="9650"/>
      <c r="K53" s="9648"/>
      <c r="L53" s="7902" t="s">
        <v>264</v>
      </c>
      <c r="M53" s="9651"/>
      <c r="N53" s="7849" t="str">
        <f>+IF(ISERROR(MATCH(L53,tid,0)),"",VLOOKUP(MATCH(L53,tid,0),tao,'12(id)'!$Q$20,FALSE))</f>
        <v>CC14</v>
      </c>
      <c r="O53" s="4459">
        <f>+IF(L53="","",VLOOKUP(MATCH(L53,tid,0),tao,'12(id)'!$U$20,FALSE))</f>
        <v>2</v>
      </c>
      <c r="P53" s="4464"/>
      <c r="Q53" s="4465"/>
      <c r="R53" s="9639"/>
      <c r="S53" s="9636"/>
      <c r="T53" s="9630"/>
      <c r="U53" s="9633"/>
      <c r="V53" s="5846"/>
      <c r="W53" s="9627"/>
      <c r="X53" s="5846"/>
      <c r="Y53" s="5846"/>
      <c r="Z53" s="5847"/>
      <c r="AA53" s="5133"/>
    </row>
    <row r="54" spans="1:27" ht="26.1" customHeight="1">
      <c r="A54" s="432" t="str">
        <f t="shared" si="6"/>
        <v>8300-07</v>
      </c>
      <c r="B54" s="9518" t="str">
        <f>+IF(A54="","",VLOOKUP(MATCH(A54,tid,0),tao,'12(id)'!$J$20,FALSE))</f>
        <v>NRG</v>
      </c>
      <c r="C54" s="7849" t="str">
        <f t="shared" si="7"/>
        <v>FD10</v>
      </c>
      <c r="D54" s="5913" t="str">
        <f t="shared" ref="D54:D98" si="15">+R54</f>
        <v>8300-07-01</v>
      </c>
      <c r="E54" s="5133"/>
      <c r="F54" s="5132"/>
      <c r="G54" s="5133"/>
      <c r="H54" s="4496">
        <f t="shared" si="14"/>
        <v>36</v>
      </c>
      <c r="I54" s="4726">
        <f>1+I52</f>
        <v>9</v>
      </c>
      <c r="J54" s="9650"/>
      <c r="K54" s="9648"/>
      <c r="L54" s="7902" t="s">
        <v>265</v>
      </c>
      <c r="M54" s="282" t="str">
        <f>+IF(L54="","",VLOOKUP(MATCH(L54,tid,0),tao,'12(id)'!$L$20,FALSE))</f>
        <v>Franklin Drive</v>
      </c>
      <c r="N54" s="7849" t="str">
        <f>+IF(ISERROR(MATCH(L54,tid,0)),"",VLOOKUP(MATCH(L54,tid,0),tao,'12(id)'!$Q$20,FALSE))</f>
        <v>FD10</v>
      </c>
      <c r="O54" s="4459">
        <f>+IF(L54="","",VLOOKUP(MATCH(L54,tid,0),tao,'12(id)'!$U$20,FALSE))</f>
        <v>1</v>
      </c>
      <c r="P54" s="4464"/>
      <c r="Q54" s="4465"/>
      <c r="R54" s="5915" t="str">
        <f t="shared" ref="R54:R98" si="16">+IF(S54="","",IF(O54=1,(IF(L54="",LEFT(R53,7),L54)&amp;"-0"&amp;S54),IF(AND(LEFT(L54,4)=LEFT(L53,4),O54&gt;1),IF(LEFT(C54,1)=LEFT(C53,1),LEFT(R53,9),L54&amp;"-0")&amp;S54,IF(L54="",LEFT(R53,9)&amp;S54,L54&amp;"-0"&amp;S54))))</f>
        <v>8300-07-01</v>
      </c>
      <c r="S54" s="5916">
        <v>1</v>
      </c>
      <c r="T54" s="7924" t="s">
        <v>1127</v>
      </c>
      <c r="U54" s="5917"/>
      <c r="V54" s="5917"/>
      <c r="W54" s="5917"/>
      <c r="X54" s="5917"/>
      <c r="Y54" s="5917"/>
      <c r="Z54" s="5929"/>
      <c r="AA54" s="5133"/>
    </row>
    <row r="55" spans="1:27" ht="26.1" customHeight="1">
      <c r="A55" s="432" t="str">
        <f t="shared" si="6"/>
        <v>8300-08</v>
      </c>
      <c r="B55" s="9518" t="str">
        <f>+IF(A55="","",VLOOKUP(MATCH(A55,tid,0),tao,'12(id)'!$J$20,FALSE))</f>
        <v>NRG</v>
      </c>
      <c r="C55" s="7849" t="str">
        <f t="shared" si="7"/>
        <v>TT10</v>
      </c>
      <c r="D55" s="5913" t="str">
        <f t="shared" si="15"/>
        <v>8300-08-01</v>
      </c>
      <c r="E55" s="5133"/>
      <c r="F55" s="5132"/>
      <c r="G55" s="5133"/>
      <c r="H55" s="4496">
        <f t="shared" si="14"/>
        <v>37</v>
      </c>
      <c r="I55" s="4726">
        <f>1+I54</f>
        <v>10</v>
      </c>
      <c r="J55" s="9650"/>
      <c r="K55" s="9648"/>
      <c r="L55" s="7902" t="s">
        <v>266</v>
      </c>
      <c r="M55" s="282" t="str">
        <f>+IF(L55="","",VLOOKUP(MATCH(L55,tid,0),tao,'12(id)'!$L$20,FALSE))</f>
        <v>Torrington Terminal</v>
      </c>
      <c r="N55" s="7849" t="str">
        <f>+IF(ISERROR(MATCH(L55,tid,0)),"",VLOOKUP(MATCH(L55,tid,0),tao,'12(id)'!$Q$20,FALSE))</f>
        <v>TT10</v>
      </c>
      <c r="O55" s="4459">
        <f>+IF(L55="","",VLOOKUP(MATCH(L55,tid,0),tao,'12(id)'!$U$20,FALSE))</f>
        <v>1</v>
      </c>
      <c r="P55" s="4464"/>
      <c r="Q55" s="4465"/>
      <c r="R55" s="5915" t="str">
        <f t="shared" si="16"/>
        <v>8300-08-01</v>
      </c>
      <c r="S55" s="5916">
        <v>1</v>
      </c>
      <c r="T55" s="7924" t="s">
        <v>1127</v>
      </c>
      <c r="U55" s="5917"/>
      <c r="V55" s="5917"/>
      <c r="W55" s="5917"/>
      <c r="X55" s="5917"/>
      <c r="Y55" s="5917"/>
      <c r="Z55" s="5929"/>
      <c r="AA55" s="5133"/>
    </row>
    <row r="56" spans="1:27" ht="26.1" customHeight="1">
      <c r="A56" s="432" t="str">
        <f t="shared" si="6"/>
        <v>8300-09</v>
      </c>
      <c r="B56" s="9518" t="str">
        <f>+IF(A56="","",VLOOKUP(MATCH(A56,tid,0),tao,'12(id)'!$J$20,FALSE))</f>
        <v>NRG</v>
      </c>
      <c r="C56" s="4494" t="str">
        <f t="shared" si="7"/>
        <v>MD10</v>
      </c>
      <c r="D56" s="5913" t="str">
        <f t="shared" si="15"/>
        <v>8300-09-01</v>
      </c>
      <c r="E56" s="5133"/>
      <c r="F56" s="5132"/>
      <c r="G56" s="5133"/>
      <c r="H56" s="4496">
        <f t="shared" si="14"/>
        <v>38</v>
      </c>
      <c r="I56" s="4726">
        <f t="shared" si="14"/>
        <v>11</v>
      </c>
      <c r="J56" s="9650"/>
      <c r="K56" s="9648"/>
      <c r="L56" s="7902" t="s">
        <v>267</v>
      </c>
      <c r="M56" s="7862" t="s">
        <v>500</v>
      </c>
      <c r="N56" s="4494" t="str">
        <f>+IF(ISERROR(MATCH(L56,tid,0)),"",VLOOKUP(MATCH(L56,tid,0),tao,'12(id)'!$Q$20,FALSE))</f>
        <v>MD10</v>
      </c>
      <c r="O56" s="4459">
        <f>+IF(L56="","",VLOOKUP(MATCH(L56,tid,0),tao,'12(id)'!$U$20,FALSE))</f>
        <v>1</v>
      </c>
      <c r="P56" s="4464"/>
      <c r="Q56" s="4465"/>
      <c r="R56" s="5915" t="str">
        <f t="shared" si="16"/>
        <v>8300-09-01</v>
      </c>
      <c r="S56" s="5916">
        <v>1</v>
      </c>
      <c r="T56" s="7924" t="s">
        <v>1127</v>
      </c>
      <c r="U56" s="5917"/>
      <c r="V56" s="5917"/>
      <c r="W56" s="5917"/>
      <c r="X56" s="5917"/>
      <c r="Y56" s="5917"/>
      <c r="Z56" s="5929"/>
      <c r="AA56" s="5133"/>
    </row>
    <row r="57" spans="1:27" ht="26.1" customHeight="1">
      <c r="A57" s="432" t="str">
        <f t="shared" si="6"/>
        <v>8300-10</v>
      </c>
      <c r="B57" s="9518" t="str">
        <f>+IF(A57="","",VLOOKUP(MATCH(A57,tid,0),tao,'12(id)'!$J$20,FALSE))</f>
        <v>NRG</v>
      </c>
      <c r="C57" s="7849" t="str">
        <f t="shared" si="7"/>
        <v>NH10</v>
      </c>
      <c r="D57" s="5913" t="str">
        <f t="shared" si="15"/>
        <v>8300-10-01</v>
      </c>
      <c r="E57" s="5133"/>
      <c r="F57" s="5132"/>
      <c r="G57" s="5133"/>
      <c r="H57" s="4496">
        <f t="shared" si="14"/>
        <v>39</v>
      </c>
      <c r="I57" s="4726">
        <f t="shared" si="14"/>
        <v>12</v>
      </c>
      <c r="J57" s="9650"/>
      <c r="K57" s="9648"/>
      <c r="L57" s="7902" t="s">
        <v>268</v>
      </c>
      <c r="M57" s="282" t="s">
        <v>351</v>
      </c>
      <c r="N57" s="7849" t="str">
        <f>+IF(ISERROR(MATCH(L57,tid,0)),"",VLOOKUP(MATCH(L57,tid,0),tao,'12(id)'!$Q$20,FALSE))</f>
        <v>NH10</v>
      </c>
      <c r="O57" s="4459">
        <f>+IF(L57="","",VLOOKUP(MATCH(L57,tid,0),tao,'12(id)'!$U$20,FALSE))</f>
        <v>1</v>
      </c>
      <c r="P57" s="4464"/>
      <c r="Q57" s="4465"/>
      <c r="R57" s="5915" t="str">
        <f t="shared" si="16"/>
        <v>8300-10-01</v>
      </c>
      <c r="S57" s="5916">
        <v>1</v>
      </c>
      <c r="T57" s="7924" t="s">
        <v>1127</v>
      </c>
      <c r="U57" s="5917"/>
      <c r="V57" s="5917"/>
      <c r="W57" s="5917"/>
      <c r="X57" s="5917"/>
      <c r="Y57" s="5917"/>
      <c r="Z57" s="5929"/>
      <c r="AA57" s="5133"/>
    </row>
    <row r="58" spans="1:27" ht="26.1" customHeight="1">
      <c r="A58" s="9735" t="str">
        <f t="shared" si="6"/>
        <v>8300-11</v>
      </c>
      <c r="B58" s="9518" t="str">
        <f>+IF(A58="","",VLOOKUP(MATCH(A58,tid,0),tao,'12(id)'!$J$20,FALSE))</f>
        <v>NRG</v>
      </c>
      <c r="C58" s="9736" t="str">
        <f t="shared" si="7"/>
        <v>DV10</v>
      </c>
      <c r="D58" s="5884" t="str">
        <f t="shared" si="15"/>
        <v>8300-11-01</v>
      </c>
      <c r="E58" s="5133"/>
      <c r="F58" s="5132"/>
      <c r="G58" s="5133"/>
      <c r="H58" s="4496">
        <f t="shared" si="14"/>
        <v>40</v>
      </c>
      <c r="I58" s="9655">
        <f>1+I57</f>
        <v>13</v>
      </c>
      <c r="J58" s="9650"/>
      <c r="K58" s="9648"/>
      <c r="L58" s="9652" t="s">
        <v>269</v>
      </c>
      <c r="M58" s="9654" t="str">
        <f>+IF(L58="","",VLOOKUP(MATCH(L58,tid,0),tao,'12(id)'!$L$20,FALSE))</f>
        <v>Devon</v>
      </c>
      <c r="N58" s="9642" t="str">
        <f>+IF(ISERROR(MATCH(L58,tid,0)),"",VLOOKUP(MATCH(L58,tid,0),tao,'12(id)'!$Q$20,FALSE))</f>
        <v>DV10</v>
      </c>
      <c r="O58" s="9677">
        <f>+IF(L58="","",VLOOKUP(MATCH(L58,tid,0),tao,'12(id)'!$U$20,FALSE))</f>
        <v>1</v>
      </c>
      <c r="P58" s="9685"/>
      <c r="Q58" s="9687"/>
      <c r="R58" s="5892" t="str">
        <f t="shared" si="16"/>
        <v>8300-11-01</v>
      </c>
      <c r="S58" s="5899">
        <v>1</v>
      </c>
      <c r="T58" s="7925" t="s">
        <v>1126</v>
      </c>
      <c r="U58" s="5900"/>
      <c r="V58" s="5900"/>
      <c r="W58" s="5900"/>
      <c r="X58" s="5900"/>
      <c r="Y58" s="5900"/>
      <c r="Z58" s="5895"/>
      <c r="AA58" s="5133"/>
    </row>
    <row r="59" spans="1:27" ht="26.1" customHeight="1">
      <c r="A59" s="9724" t="str">
        <f t="shared" si="6"/>
        <v/>
      </c>
      <c r="B59" s="9518" t="str">
        <f>+IF(A59="","",VLOOKUP(MATCH(A59,tid,0),tao,'12(id)'!$J$20,FALSE))</f>
        <v/>
      </c>
      <c r="C59" s="9643" t="str">
        <f t="shared" si="7"/>
        <v/>
      </c>
      <c r="D59" s="5914" t="str">
        <f t="shared" si="15"/>
        <v>8300-11-02</v>
      </c>
      <c r="E59" s="5133"/>
      <c r="F59" s="5132"/>
      <c r="G59" s="5133"/>
      <c r="H59" s="4496">
        <f t="shared" si="14"/>
        <v>41</v>
      </c>
      <c r="I59" s="9653"/>
      <c r="J59" s="9650"/>
      <c r="K59" s="9648"/>
      <c r="L59" s="9653"/>
      <c r="M59" s="9650"/>
      <c r="N59" s="9643" t="str">
        <f>+IF(ISERROR(MATCH(L59,tid,0)),"",VLOOKUP(MATCH(L59,tid,0),tao,'12(id)'!$Q$20,FALSE))</f>
        <v/>
      </c>
      <c r="O59" s="9678"/>
      <c r="P59" s="9686"/>
      <c r="Q59" s="9688"/>
      <c r="R59" s="5918" t="str">
        <f t="shared" si="16"/>
        <v>8300-11-02</v>
      </c>
      <c r="S59" s="5919">
        <f>1+S58</f>
        <v>2</v>
      </c>
      <c r="T59" s="7923" t="s">
        <v>1127</v>
      </c>
      <c r="U59" s="5920"/>
      <c r="V59" s="5920"/>
      <c r="W59" s="5920"/>
      <c r="X59" s="5920"/>
      <c r="Y59" s="5920"/>
      <c r="Z59" s="5930"/>
      <c r="AA59" s="5133"/>
    </row>
    <row r="60" spans="1:27" ht="26.1" customHeight="1">
      <c r="A60" s="432" t="str">
        <f t="shared" si="6"/>
        <v>8300-12</v>
      </c>
      <c r="B60" s="9518" t="str">
        <f>+IF(A60="","",VLOOKUP(MATCH(A60,tid,0),tao,'12(id)'!$J$20,FALSE))</f>
        <v>NRG</v>
      </c>
      <c r="C60" s="5831" t="str">
        <f t="shared" si="7"/>
        <v>DV11</v>
      </c>
      <c r="D60" s="5885" t="str">
        <f t="shared" si="15"/>
        <v>8300-12-01</v>
      </c>
      <c r="E60" s="5133"/>
      <c r="F60" s="5132"/>
      <c r="G60" s="5133"/>
      <c r="H60" s="4496">
        <f t="shared" si="14"/>
        <v>42</v>
      </c>
      <c r="I60" s="9655">
        <f>1+I58</f>
        <v>14</v>
      </c>
      <c r="J60" s="9650"/>
      <c r="K60" s="9648"/>
      <c r="L60" s="7902" t="s">
        <v>270</v>
      </c>
      <c r="M60" s="9650"/>
      <c r="N60" s="7849" t="str">
        <f>+IF(ISERROR(MATCH(L60,tid,0)),"",VLOOKUP(MATCH(L60,tid,0),tao,'12(id)'!$Q$20,FALSE))</f>
        <v>DV11</v>
      </c>
      <c r="O60" s="4459">
        <f>+IF(L60="","",VLOOKUP(MATCH(L60,tid,0),tao,'12(id)'!$U$20,FALSE))</f>
        <v>4</v>
      </c>
      <c r="P60" s="4464"/>
      <c r="Q60" s="4465"/>
      <c r="R60" s="5901" t="str">
        <f t="shared" si="16"/>
        <v>8300-12-01</v>
      </c>
      <c r="S60" s="5902">
        <v>1</v>
      </c>
      <c r="T60" s="7926" t="s">
        <v>1126</v>
      </c>
      <c r="U60" s="5903"/>
      <c r="V60" s="5903"/>
      <c r="W60" s="5903"/>
      <c r="X60" s="5903"/>
      <c r="Y60" s="5903"/>
      <c r="Z60" s="5904"/>
      <c r="AA60" s="5133"/>
    </row>
    <row r="61" spans="1:27" ht="26.1" customHeight="1">
      <c r="A61" s="432" t="str">
        <f t="shared" si="6"/>
        <v>8300-13</v>
      </c>
      <c r="B61" s="9518" t="str">
        <f>+IF(A61="","",VLOOKUP(MATCH(A61,tid,0),tao,'12(id)'!$J$20,FALSE))</f>
        <v>NRG</v>
      </c>
      <c r="C61" s="5832" t="str">
        <f t="shared" si="7"/>
        <v>DV12</v>
      </c>
      <c r="D61" s="5830" t="str">
        <f t="shared" si="15"/>
        <v/>
      </c>
      <c r="E61" s="5133"/>
      <c r="F61" s="5132"/>
      <c r="G61" s="5133"/>
      <c r="H61" s="4496">
        <f t="shared" si="14"/>
        <v>43</v>
      </c>
      <c r="I61" s="9648"/>
      <c r="J61" s="9650"/>
      <c r="K61" s="9648"/>
      <c r="L61" s="7902" t="s">
        <v>271</v>
      </c>
      <c r="M61" s="9650"/>
      <c r="N61" s="7849" t="str">
        <f>+IF(ISERROR(MATCH(L61,tid,0)),"",VLOOKUP(MATCH(L61,tid,0),tao,'12(id)'!$Q$20,FALSE))</f>
        <v>DV12</v>
      </c>
      <c r="O61" s="4459">
        <f>+IF(L61="","",VLOOKUP(MATCH(L61,tid,0),tao,'12(id)'!$U$20,FALSE))</f>
        <v>4</v>
      </c>
      <c r="P61" s="4464"/>
      <c r="Q61" s="4465"/>
      <c r="R61" s="5838" t="str">
        <f t="shared" si="16"/>
        <v/>
      </c>
      <c r="S61" s="5839"/>
      <c r="T61" s="7927"/>
      <c r="U61" s="5840"/>
      <c r="V61" s="5840"/>
      <c r="W61" s="5840"/>
      <c r="X61" s="5840"/>
      <c r="Y61" s="5840"/>
      <c r="Z61" s="5841"/>
      <c r="AA61" s="5133"/>
    </row>
    <row r="62" spans="1:27" ht="26.1" customHeight="1">
      <c r="A62" s="432" t="str">
        <f t="shared" si="6"/>
        <v>8300-14</v>
      </c>
      <c r="B62" s="9518" t="str">
        <f>+IF(A62="","",VLOOKUP(MATCH(A62,tid,0),tao,'12(id)'!$J$20,FALSE))</f>
        <v>NRG</v>
      </c>
      <c r="C62" s="5832" t="str">
        <f t="shared" si="7"/>
        <v>DV13</v>
      </c>
      <c r="D62" s="5830" t="str">
        <f t="shared" si="15"/>
        <v/>
      </c>
      <c r="E62" s="5133"/>
      <c r="F62" s="5132"/>
      <c r="G62" s="5133"/>
      <c r="H62" s="4496">
        <f t="shared" si="14"/>
        <v>44</v>
      </c>
      <c r="I62" s="9648"/>
      <c r="J62" s="9650"/>
      <c r="K62" s="9648"/>
      <c r="L62" s="7902" t="s">
        <v>272</v>
      </c>
      <c r="M62" s="9650"/>
      <c r="N62" s="7849" t="str">
        <f>+IF(ISERROR(MATCH(L62,tid,0)),"",VLOOKUP(MATCH(L62,tid,0),tao,'12(id)'!$Q$20,FALSE))</f>
        <v>DV13</v>
      </c>
      <c r="O62" s="4459">
        <f>+IF(L62="","",VLOOKUP(MATCH(L62,tid,0),tao,'12(id)'!$U$20,FALSE))</f>
        <v>4</v>
      </c>
      <c r="P62" s="4464"/>
      <c r="Q62" s="4465"/>
      <c r="R62" s="5842" t="str">
        <f t="shared" si="16"/>
        <v/>
      </c>
      <c r="S62" s="5843"/>
      <c r="T62" s="7928"/>
      <c r="U62" s="5844"/>
      <c r="V62" s="5844"/>
      <c r="W62" s="5844"/>
      <c r="X62" s="5844"/>
      <c r="Y62" s="5844"/>
      <c r="Z62" s="5845"/>
      <c r="AA62" s="5133"/>
    </row>
    <row r="63" spans="1:27" ht="26.1" customHeight="1" thickBot="1">
      <c r="A63" s="288" t="str">
        <f t="shared" si="6"/>
        <v>8300-15</v>
      </c>
      <c r="B63" s="9518" t="str">
        <f>+IF(A63="","",VLOOKUP(MATCH(A63,tid,0),tao,'12(id)'!$J$20,FALSE))</f>
        <v>NRG</v>
      </c>
      <c r="C63" s="5834" t="str">
        <f t="shared" si="7"/>
        <v>DV14</v>
      </c>
      <c r="D63" s="5835" t="str">
        <f t="shared" si="15"/>
        <v/>
      </c>
      <c r="E63" s="5133"/>
      <c r="F63" s="5132"/>
      <c r="G63" s="5133"/>
      <c r="H63" s="4496">
        <f t="shared" si="14"/>
        <v>45</v>
      </c>
      <c r="I63" s="9645"/>
      <c r="J63" s="9647"/>
      <c r="K63" s="9648"/>
      <c r="L63" s="5157" t="s">
        <v>273</v>
      </c>
      <c r="M63" s="9647"/>
      <c r="N63" s="7853" t="str">
        <f>+IF(ISERROR(MATCH(L63,tid,0)),"",VLOOKUP(MATCH(L63,tid,0),tao,'12(id)'!$Q$20,FALSE))</f>
        <v>DV14</v>
      </c>
      <c r="O63" s="7861">
        <f>+IF(L63="","",VLOOKUP(MATCH(L63,tid,0),tao,'12(id)'!$U$20,FALSE))</f>
        <v>4</v>
      </c>
      <c r="P63" s="7856"/>
      <c r="Q63" s="7857"/>
      <c r="R63" s="5848" t="str">
        <f t="shared" si="16"/>
        <v/>
      </c>
      <c r="S63" s="5849"/>
      <c r="T63" s="7929"/>
      <c r="U63" s="5850"/>
      <c r="V63" s="5850"/>
      <c r="W63" s="5850"/>
      <c r="X63" s="5850"/>
      <c r="Y63" s="5850"/>
      <c r="Z63" s="5851"/>
      <c r="AA63" s="5133"/>
    </row>
    <row r="64" spans="1:27" ht="26.1" customHeight="1">
      <c r="A64" s="126" t="str">
        <f t="shared" si="6"/>
        <v>8300-16</v>
      </c>
      <c r="B64" s="9517" t="str">
        <f>+IF(A64="","",VLOOKUP(MATCH(A64,tid,0),tao,'12(id)'!$J$20,FALSE))</f>
        <v>NRG</v>
      </c>
      <c r="C64" s="5837" t="str">
        <f t="shared" si="7"/>
        <v>MV10</v>
      </c>
      <c r="D64" s="5883" t="str">
        <f t="shared" si="15"/>
        <v>8300-16-01</v>
      </c>
      <c r="E64" s="5133"/>
      <c r="F64" s="5132"/>
      <c r="G64" s="5133"/>
      <c r="H64" s="4496">
        <f t="shared" si="14"/>
        <v>46</v>
      </c>
      <c r="I64" s="9644">
        <f>1+I60</f>
        <v>15</v>
      </c>
      <c r="J64" s="9646" t="str">
        <f>+IF(L64="","",VLOOKUP(MATCH(L64,tid,0),tao,'12(id)'!$I$20,FALSE))</f>
        <v>NRG Energy, Inc</v>
      </c>
      <c r="K64" s="9648"/>
      <c r="L64" s="7901" t="s">
        <v>274</v>
      </c>
      <c r="M64" s="9646" t="s">
        <v>478</v>
      </c>
      <c r="N64" s="7852" t="str">
        <f>+IF(ISERROR(MATCH(L64,tid,0)),"",VLOOKUP(MATCH(L64,tid,0),tao,'12(id)'!$Q$20,FALSE))</f>
        <v>MV10</v>
      </c>
      <c r="O64" s="4458">
        <f>+IF(L64="","",VLOOKUP(MATCH(L64,tid,0),tao,'12(id)'!$U$20,FALSE))</f>
        <v>2</v>
      </c>
      <c r="P64" s="5921"/>
      <c r="Q64" s="5922"/>
      <c r="R64" s="5905" t="str">
        <f t="shared" si="16"/>
        <v>8300-16-01</v>
      </c>
      <c r="S64" s="5906">
        <v>1</v>
      </c>
      <c r="T64" s="7926" t="s">
        <v>1126</v>
      </c>
      <c r="U64" s="5903"/>
      <c r="V64" s="5903"/>
      <c r="W64" s="5903"/>
      <c r="X64" s="5903"/>
      <c r="Y64" s="5903"/>
      <c r="Z64" s="5904"/>
      <c r="AA64" s="5133"/>
    </row>
    <row r="65" spans="1:27" ht="26.1" customHeight="1" thickBot="1">
      <c r="A65" s="129" t="str">
        <f t="shared" si="6"/>
        <v>8300-17</v>
      </c>
      <c r="B65" s="9519" t="str">
        <f>+IF(A65="","",VLOOKUP(MATCH(A65,tid,0),tao,'12(id)'!$J$20,FALSE))</f>
        <v>NRG</v>
      </c>
      <c r="C65" s="5834" t="str">
        <f t="shared" si="7"/>
        <v>MV11</v>
      </c>
      <c r="D65" s="5836" t="str">
        <f t="shared" si="15"/>
        <v/>
      </c>
      <c r="E65" s="5133"/>
      <c r="F65" s="5132"/>
      <c r="G65" s="5133"/>
      <c r="H65" s="4496">
        <f t="shared" si="14"/>
        <v>47</v>
      </c>
      <c r="I65" s="9645"/>
      <c r="J65" s="9647"/>
      <c r="K65" s="9645"/>
      <c r="L65" s="7903" t="s">
        <v>275</v>
      </c>
      <c r="M65" s="9647"/>
      <c r="N65" s="7853" t="str">
        <f>+IF(ISERROR(MATCH(L65,tid,0)),"",VLOOKUP(MATCH(L65,tid,0),tao,'12(id)'!$Q$20,FALSE))</f>
        <v>MV11</v>
      </c>
      <c r="O65" s="4460">
        <f>+IF(L65="","",VLOOKUP(MATCH(L65,tid,0),tao,'12(id)'!$U$20,FALSE))</f>
        <v>2</v>
      </c>
      <c r="P65" s="5923"/>
      <c r="Q65" s="5924"/>
      <c r="R65" s="4474" t="str">
        <f t="shared" si="16"/>
        <v/>
      </c>
      <c r="S65" s="4475"/>
      <c r="T65" s="7930"/>
      <c r="U65" s="4476"/>
      <c r="V65" s="4476"/>
      <c r="W65" s="4476"/>
      <c r="X65" s="4476"/>
      <c r="Y65" s="4476"/>
      <c r="Z65" s="4477"/>
      <c r="AA65" s="5133"/>
    </row>
    <row r="66" spans="1:27" ht="25.5" customHeight="1">
      <c r="A66" s="9722" t="str">
        <f t="shared" si="6"/>
        <v>8306-01</v>
      </c>
      <c r="B66" s="9725" t="str">
        <f>+IF(A66="","",VLOOKUP(MATCH(A66,tid,0),tao,'12(id)'!$J$20,FALSE))</f>
        <v>NRG</v>
      </c>
      <c r="C66" s="9679" t="str">
        <f t="shared" si="7"/>
        <v>MD2</v>
      </c>
      <c r="D66" s="33" t="str">
        <f t="shared" si="15"/>
        <v>8306-01-01</v>
      </c>
      <c r="E66" s="5133"/>
      <c r="F66" s="5132"/>
      <c r="G66" s="5133"/>
      <c r="H66" s="4496">
        <f t="shared" si="14"/>
        <v>48</v>
      </c>
      <c r="I66" s="9641">
        <f>1+I64</f>
        <v>16</v>
      </c>
      <c r="J66" s="9717" t="str">
        <f>+J64</f>
        <v>NRG Energy, Inc</v>
      </c>
      <c r="K66" s="9698">
        <v>8306</v>
      </c>
      <c r="L66" s="9517" t="s">
        <v>293</v>
      </c>
      <c r="M66" s="9517" t="str">
        <f>+IF(L66="","",VLOOKUP(MATCH(L66,tid,0),tao,'12(id)'!$L$20,FALSE))</f>
        <v>Middletown</v>
      </c>
      <c r="N66" s="9720" t="str">
        <f>+IF(ISERROR(MATCH(L66,tid,0)),"",VLOOKUP(MATCH(L66,tid,0),tao,'12(id)'!$Q$20,FALSE))</f>
        <v>MD2</v>
      </c>
      <c r="O66" s="9670">
        <v>1</v>
      </c>
      <c r="P66" s="9689"/>
      <c r="Q66" s="9692"/>
      <c r="R66" s="4478" t="str">
        <f t="shared" si="16"/>
        <v>8306-01-01</v>
      </c>
      <c r="S66" s="5155">
        <v>1</v>
      </c>
      <c r="T66" s="7931" t="s">
        <v>1155</v>
      </c>
      <c r="U66" s="1033"/>
      <c r="V66" s="1033"/>
      <c r="W66" s="1033"/>
      <c r="X66" s="1033"/>
      <c r="Y66" s="1033"/>
      <c r="Z66" s="1034"/>
      <c r="AA66" s="5133"/>
    </row>
    <row r="67" spans="1:27" ht="25.5" customHeight="1">
      <c r="A67" s="9723" t="str">
        <f t="shared" si="6"/>
        <v/>
      </c>
      <c r="B67" s="9726" t="str">
        <f>+IF(A67="","",VLOOKUP(MATCH(A67,tid,0),tao,'12(id)'!$J$20,FALSE))</f>
        <v/>
      </c>
      <c r="C67" s="9680" t="str">
        <f t="shared" si="7"/>
        <v/>
      </c>
      <c r="D67" s="5886" t="str">
        <f t="shared" si="15"/>
        <v>8306-01-02</v>
      </c>
      <c r="E67" s="5133"/>
      <c r="F67" s="5132"/>
      <c r="G67" s="5133"/>
      <c r="H67" s="4496">
        <f t="shared" si="14"/>
        <v>49</v>
      </c>
      <c r="I67" s="9640"/>
      <c r="J67" s="9718"/>
      <c r="K67" s="9699"/>
      <c r="L67" s="9518"/>
      <c r="M67" s="9518"/>
      <c r="N67" s="9714" t="str">
        <f>+IF(ISERROR(MATCH(L67,tid,0)),"",VLOOKUP(MATCH(L67,tid,0),tao,'12(id)'!$Q$20,FALSE))</f>
        <v/>
      </c>
      <c r="O67" s="9668"/>
      <c r="P67" s="9690"/>
      <c r="Q67" s="9693"/>
      <c r="R67" s="5901" t="str">
        <f t="shared" si="16"/>
        <v>8306-01-02</v>
      </c>
      <c r="S67" s="5902">
        <v>2</v>
      </c>
      <c r="T67" s="7926" t="s">
        <v>1706</v>
      </c>
      <c r="U67" s="5903"/>
      <c r="V67" s="5903"/>
      <c r="W67" s="5903"/>
      <c r="X67" s="5903"/>
      <c r="Y67" s="5903"/>
      <c r="Z67" s="5904"/>
      <c r="AA67" s="5133"/>
    </row>
    <row r="68" spans="1:27" ht="25.5" customHeight="1">
      <c r="A68" s="9724" t="str">
        <f t="shared" si="6"/>
        <v/>
      </c>
      <c r="B68" s="9726" t="str">
        <f>+IF(A68="","",VLOOKUP(MATCH(A68,tid,0),tao,'12(id)'!$J$20,FALSE))</f>
        <v/>
      </c>
      <c r="C68" s="9705" t="str">
        <f t="shared" si="7"/>
        <v/>
      </c>
      <c r="D68" s="1031" t="str">
        <f t="shared" si="15"/>
        <v/>
      </c>
      <c r="E68" s="5133"/>
      <c r="F68" s="5132"/>
      <c r="G68" s="5133"/>
      <c r="H68" s="4496">
        <f t="shared" si="14"/>
        <v>50</v>
      </c>
      <c r="I68" s="9640"/>
      <c r="J68" s="9718"/>
      <c r="K68" s="9699"/>
      <c r="L68" s="9666"/>
      <c r="M68" s="9518"/>
      <c r="N68" s="9715" t="str">
        <f>+IF(ISERROR(MATCH(L68,tid,0)),"",VLOOKUP(MATCH(L68,tid,0),tao,'12(id)'!$Q$20,FALSE))</f>
        <v/>
      </c>
      <c r="O68" s="9671"/>
      <c r="P68" s="9691"/>
      <c r="Q68" s="9694"/>
      <c r="R68" s="4466" t="str">
        <f t="shared" si="16"/>
        <v/>
      </c>
      <c r="S68" s="4467"/>
      <c r="T68" s="7932"/>
      <c r="U68" s="4468"/>
      <c r="V68" s="4468"/>
      <c r="W68" s="4468"/>
      <c r="X68" s="4468"/>
      <c r="Y68" s="4468"/>
      <c r="Z68" s="4469"/>
      <c r="AA68" s="5133"/>
    </row>
    <row r="69" spans="1:27" ht="25.5" customHeight="1">
      <c r="A69" s="9730" t="str">
        <f t="shared" si="6"/>
        <v>8306-02</v>
      </c>
      <c r="B69" s="9726" t="str">
        <f>+IF(A69="","",VLOOKUP(MATCH(A69,tid,0),tao,'12(id)'!$J$20,FALSE))</f>
        <v>NRG</v>
      </c>
      <c r="C69" s="9729" t="str">
        <f t="shared" si="7"/>
        <v>MD3 </v>
      </c>
      <c r="D69" s="32" t="str">
        <f t="shared" si="15"/>
        <v>8306-02-01</v>
      </c>
      <c r="E69" s="5133"/>
      <c r="F69" s="5132"/>
      <c r="G69" s="5133"/>
      <c r="H69" s="4496">
        <f t="shared" ref="H69:H98" si="17">1+H68</f>
        <v>51</v>
      </c>
      <c r="I69" s="9640">
        <f>1+I66</f>
        <v>17</v>
      </c>
      <c r="J69" s="9718"/>
      <c r="K69" s="9699"/>
      <c r="L69" s="9706" t="s">
        <v>294</v>
      </c>
      <c r="M69" s="9518"/>
      <c r="N69" s="9714" t="str">
        <f>+IF(ISERROR(MATCH(L69,tid,0)),"",VLOOKUP(MATCH(L69,tid,0),tao,'12(id)'!$Q$20,FALSE))</f>
        <v>MD3 </v>
      </c>
      <c r="O69" s="9668">
        <v>1</v>
      </c>
      <c r="P69" s="9737"/>
      <c r="Q69" s="9739"/>
      <c r="R69" s="4479" t="str">
        <f t="shared" si="16"/>
        <v>8306-02-01</v>
      </c>
      <c r="S69" s="5880">
        <v>1</v>
      </c>
      <c r="T69" s="3" t="s">
        <v>1156</v>
      </c>
      <c r="U69" s="1036"/>
      <c r="V69" s="1036"/>
      <c r="W69" s="1036"/>
      <c r="X69" s="1036"/>
      <c r="Y69" s="1036"/>
      <c r="Z69" s="1037"/>
      <c r="AA69" s="5133"/>
    </row>
    <row r="70" spans="1:27" ht="25.5" customHeight="1">
      <c r="A70" s="9723" t="str">
        <f t="shared" si="6"/>
        <v/>
      </c>
      <c r="B70" s="9726" t="str">
        <f>+IF(A70="","",VLOOKUP(MATCH(A70,tid,0),tao,'12(id)'!$J$20,FALSE))</f>
        <v/>
      </c>
      <c r="C70" s="9729" t="str">
        <f t="shared" si="7"/>
        <v/>
      </c>
      <c r="D70" s="5886" t="str">
        <f t="shared" si="15"/>
        <v>8306-02-02</v>
      </c>
      <c r="E70" s="5133"/>
      <c r="F70" s="5132"/>
      <c r="G70" s="5133"/>
      <c r="H70" s="4496">
        <f t="shared" si="17"/>
        <v>52</v>
      </c>
      <c r="I70" s="9640"/>
      <c r="J70" s="9718"/>
      <c r="K70" s="9699"/>
      <c r="L70" s="9518"/>
      <c r="M70" s="9518"/>
      <c r="N70" s="9714" t="str">
        <f>+IF(ISERROR(MATCH(L70,tid,0)),"",VLOOKUP(MATCH(L70,tid,0),tao,'12(id)'!$Q$20,FALSE))</f>
        <v/>
      </c>
      <c r="O70" s="9668"/>
      <c r="P70" s="9690"/>
      <c r="Q70" s="9693"/>
      <c r="R70" s="5901" t="str">
        <f t="shared" si="16"/>
        <v>8306-02-02</v>
      </c>
      <c r="S70" s="5902">
        <v>2</v>
      </c>
      <c r="T70" s="7926" t="s">
        <v>1706</v>
      </c>
      <c r="U70" s="5903"/>
      <c r="V70" s="5903"/>
      <c r="W70" s="5903"/>
      <c r="X70" s="5903"/>
      <c r="Y70" s="5903"/>
      <c r="Z70" s="5904"/>
      <c r="AA70" s="5133"/>
    </row>
    <row r="71" spans="1:27" ht="25.5" customHeight="1">
      <c r="A71" s="9724" t="str">
        <f t="shared" si="6"/>
        <v/>
      </c>
      <c r="B71" s="9726" t="str">
        <f>+IF(A71="","",VLOOKUP(MATCH(A71,tid,0),tao,'12(id)'!$J$20,FALSE))</f>
        <v/>
      </c>
      <c r="C71" s="9729" t="str">
        <f t="shared" si="7"/>
        <v/>
      </c>
      <c r="D71" s="1031" t="str">
        <f t="shared" si="15"/>
        <v/>
      </c>
      <c r="E71" s="5133"/>
      <c r="F71" s="5132"/>
      <c r="G71" s="5133"/>
      <c r="H71" s="4496">
        <f t="shared" si="17"/>
        <v>53</v>
      </c>
      <c r="I71" s="9640"/>
      <c r="J71" s="9718"/>
      <c r="K71" s="9699"/>
      <c r="L71" s="9666"/>
      <c r="M71" s="9518"/>
      <c r="N71" s="9715" t="str">
        <f>+IF(ISERROR(MATCH(L71,tid,0)),"",VLOOKUP(MATCH(L71,tid,0),tao,'12(id)'!$Q$20,FALSE))</f>
        <v/>
      </c>
      <c r="O71" s="9671"/>
      <c r="P71" s="9691"/>
      <c r="Q71" s="9694"/>
      <c r="R71" s="4466" t="str">
        <f t="shared" si="16"/>
        <v/>
      </c>
      <c r="S71" s="4467"/>
      <c r="T71" s="7932"/>
      <c r="U71" s="4468"/>
      <c r="V71" s="4468"/>
      <c r="W71" s="4468"/>
      <c r="X71" s="4468"/>
      <c r="Y71" s="4468"/>
      <c r="Z71" s="4469"/>
      <c r="AA71" s="5133"/>
    </row>
    <row r="72" spans="1:27" ht="25.5" customHeight="1">
      <c r="A72" s="9730" t="str">
        <f t="shared" si="6"/>
        <v>8306-03</v>
      </c>
      <c r="B72" s="9726" t="str">
        <f>+IF(A72="","",VLOOKUP(MATCH(A72,tid,0),tao,'12(id)'!$J$20,FALSE))</f>
        <v>NRG</v>
      </c>
      <c r="C72" s="9729" t="str">
        <f t="shared" si="7"/>
        <v>MD4 </v>
      </c>
      <c r="D72" s="32" t="str">
        <f t="shared" si="15"/>
        <v>8306-03-01</v>
      </c>
      <c r="E72" s="5133"/>
      <c r="F72" s="5132"/>
      <c r="G72" s="5133"/>
      <c r="H72" s="4496">
        <f t="shared" si="17"/>
        <v>54</v>
      </c>
      <c r="I72" s="9640">
        <f>1+I69</f>
        <v>18</v>
      </c>
      <c r="J72" s="9718"/>
      <c r="K72" s="9699"/>
      <c r="L72" s="9706" t="s">
        <v>295</v>
      </c>
      <c r="M72" s="9518"/>
      <c r="N72" s="9713" t="str">
        <f>+IF(ISERROR(MATCH(L72,tid,0)),"",VLOOKUP(MATCH(L72,tid,0),tao,'12(id)'!$Q$20,FALSE))</f>
        <v>MD4 </v>
      </c>
      <c r="O72" s="9667">
        <v>1</v>
      </c>
      <c r="P72" s="9737"/>
      <c r="Q72" s="9739"/>
      <c r="R72" s="4479" t="str">
        <f t="shared" si="16"/>
        <v>8306-03-01</v>
      </c>
      <c r="S72" s="32">
        <v>1</v>
      </c>
      <c r="T72" s="3" t="s">
        <v>1156</v>
      </c>
      <c r="U72" s="1036"/>
      <c r="V72" s="1036"/>
      <c r="W72" s="1036"/>
      <c r="X72" s="1036"/>
      <c r="Y72" s="1036"/>
      <c r="Z72" s="1037"/>
      <c r="AA72" s="5133"/>
    </row>
    <row r="73" spans="1:27" ht="25.5" customHeight="1">
      <c r="A73" s="9723" t="str">
        <f t="shared" si="6"/>
        <v/>
      </c>
      <c r="B73" s="9726" t="str">
        <f>+IF(A73="","",VLOOKUP(MATCH(A73,tid,0),tao,'12(id)'!$J$20,FALSE))</f>
        <v/>
      </c>
      <c r="C73" s="9729" t="str">
        <f t="shared" si="7"/>
        <v/>
      </c>
      <c r="D73" s="5886" t="str">
        <f t="shared" si="15"/>
        <v>8306-03-02</v>
      </c>
      <c r="E73" s="5133"/>
      <c r="F73" s="5132"/>
      <c r="G73" s="5133"/>
      <c r="H73" s="4496">
        <f t="shared" si="17"/>
        <v>55</v>
      </c>
      <c r="I73" s="9640"/>
      <c r="J73" s="9718"/>
      <c r="K73" s="9699"/>
      <c r="L73" s="9518"/>
      <c r="M73" s="9518"/>
      <c r="N73" s="9714" t="str">
        <f>+IF(ISERROR(MATCH(L73,tid,0)),"",VLOOKUP(MATCH(L73,tid,0),tao,'12(id)'!$Q$20,FALSE))</f>
        <v/>
      </c>
      <c r="O73" s="9668"/>
      <c r="P73" s="9690"/>
      <c r="Q73" s="9693"/>
      <c r="R73" s="5901" t="str">
        <f t="shared" si="16"/>
        <v>8306-03-02</v>
      </c>
      <c r="S73" s="5902">
        <v>2</v>
      </c>
      <c r="T73" s="7926" t="s">
        <v>1706</v>
      </c>
      <c r="U73" s="5903"/>
      <c r="V73" s="5903"/>
      <c r="W73" s="5903"/>
      <c r="X73" s="5903"/>
      <c r="Y73" s="5903"/>
      <c r="Z73" s="5904"/>
      <c r="AA73" s="5133"/>
    </row>
    <row r="74" spans="1:27" ht="25.5" customHeight="1">
      <c r="A74" s="9723" t="str">
        <f t="shared" si="6"/>
        <v/>
      </c>
      <c r="B74" s="9726" t="str">
        <f>+IF(A74="","",VLOOKUP(MATCH(A74,tid,0),tao,'12(id)'!$J$20,FALSE))</f>
        <v/>
      </c>
      <c r="C74" s="9729" t="str">
        <f t="shared" si="7"/>
        <v/>
      </c>
      <c r="D74" s="5886" t="str">
        <f t="shared" si="15"/>
        <v>8306-03-03</v>
      </c>
      <c r="E74" s="5133"/>
      <c r="F74" s="5132"/>
      <c r="G74" s="5133"/>
      <c r="H74" s="4496">
        <f t="shared" si="17"/>
        <v>56</v>
      </c>
      <c r="I74" s="9640"/>
      <c r="J74" s="9718"/>
      <c r="K74" s="9699"/>
      <c r="L74" s="9518"/>
      <c r="M74" s="9518"/>
      <c r="N74" s="9714"/>
      <c r="O74" s="9668"/>
      <c r="P74" s="9690"/>
      <c r="Q74" s="9693"/>
      <c r="R74" s="5901" t="str">
        <f t="shared" si="16"/>
        <v>8306-03-03</v>
      </c>
      <c r="S74" s="5902">
        <v>3</v>
      </c>
      <c r="T74" s="7926" t="s">
        <v>1126</v>
      </c>
      <c r="U74" s="5903"/>
      <c r="V74" s="5903"/>
      <c r="W74" s="5903"/>
      <c r="X74" s="5903"/>
      <c r="Y74" s="5903"/>
      <c r="Z74" s="5904"/>
      <c r="AA74" s="5133"/>
    </row>
    <row r="75" spans="1:27" ht="25.5" customHeight="1">
      <c r="A75" s="9724" t="str">
        <f t="shared" si="6"/>
        <v/>
      </c>
      <c r="B75" s="9726" t="str">
        <f>+IF(A75="","",VLOOKUP(MATCH(A75,tid,0),tao,'12(id)'!$J$20,FALSE))</f>
        <v/>
      </c>
      <c r="C75" s="9729" t="str">
        <f t="shared" si="7"/>
        <v/>
      </c>
      <c r="D75" s="1031" t="str">
        <f t="shared" si="15"/>
        <v/>
      </c>
      <c r="E75" s="5133"/>
      <c r="F75" s="5132"/>
      <c r="G75" s="5133"/>
      <c r="H75" s="4496">
        <f t="shared" si="17"/>
        <v>57</v>
      </c>
      <c r="I75" s="9640"/>
      <c r="J75" s="9718"/>
      <c r="K75" s="9699"/>
      <c r="L75" s="9666"/>
      <c r="M75" s="9666"/>
      <c r="N75" s="9715" t="str">
        <f>+IF(ISERROR(MATCH(L75,tid,0)),"",VLOOKUP(MATCH(L75,tid,0),tao,'12(id)'!$Q$20,FALSE))</f>
        <v/>
      </c>
      <c r="O75" s="9671"/>
      <c r="P75" s="9691"/>
      <c r="Q75" s="9694"/>
      <c r="R75" s="4466" t="str">
        <f t="shared" si="16"/>
        <v/>
      </c>
      <c r="S75" s="4467"/>
      <c r="T75" s="7932"/>
      <c r="U75" s="4468"/>
      <c r="V75" s="4468"/>
      <c r="W75" s="4468"/>
      <c r="X75" s="4468"/>
      <c r="Y75" s="4468"/>
      <c r="Z75" s="4469"/>
      <c r="AA75" s="5133"/>
    </row>
    <row r="76" spans="1:27" ht="25.5" customHeight="1">
      <c r="A76" s="9730" t="str">
        <f t="shared" si="6"/>
        <v>8306-04</v>
      </c>
      <c r="B76" s="9726" t="str">
        <f>+IF(A76="","",VLOOKUP(MATCH(A76,tid,0),tao,'12(id)'!$J$20,FALSE))</f>
        <v>NRG</v>
      </c>
      <c r="C76" s="9729" t="str">
        <f t="shared" si="7"/>
        <v>MV5 </v>
      </c>
      <c r="D76" s="7905" t="str">
        <f t="shared" si="15"/>
        <v>8306-04-01</v>
      </c>
      <c r="E76" s="5133"/>
      <c r="F76" s="5132"/>
      <c r="G76" s="5133"/>
      <c r="H76" s="4496">
        <f t="shared" si="17"/>
        <v>58</v>
      </c>
      <c r="I76" s="9640">
        <f>1+I72</f>
        <v>19</v>
      </c>
      <c r="J76" s="9718"/>
      <c r="K76" s="9699"/>
      <c r="L76" s="9706" t="s">
        <v>296</v>
      </c>
      <c r="M76" s="9716" t="str">
        <f>+IF(L76="","",VLOOKUP(MATCH(L76,tid,0),tao,'12(id)'!$L$20,FALSE))</f>
        <v>Montville</v>
      </c>
      <c r="N76" s="9704" t="str">
        <f>+IF(ISERROR(MATCH(L76,tid,0)),"",VLOOKUP(MATCH(L76,tid,0),tao,'12(id)'!$Q$20,FALSE))</f>
        <v>MV5 </v>
      </c>
      <c r="O76" s="9667">
        <v>1</v>
      </c>
      <c r="P76" s="9737"/>
      <c r="Q76" s="9739"/>
      <c r="R76" s="4480" t="str">
        <f t="shared" si="16"/>
        <v>8306-04-01</v>
      </c>
      <c r="S76" s="4453">
        <v>1</v>
      </c>
      <c r="T76" s="7933" t="s">
        <v>1160</v>
      </c>
      <c r="U76" s="4481"/>
      <c r="V76" s="4481"/>
      <c r="W76" s="4481"/>
      <c r="X76" s="4481"/>
      <c r="Y76" s="4481"/>
      <c r="Z76" s="4482"/>
      <c r="AA76" s="5133"/>
    </row>
    <row r="77" spans="1:27" ht="25.5" customHeight="1">
      <c r="A77" s="9723" t="str">
        <f t="shared" si="6"/>
        <v/>
      </c>
      <c r="B77" s="9726" t="str">
        <f>+IF(A77="","",VLOOKUP(MATCH(A77,tid,0),tao,'12(id)'!$J$20,FALSE))</f>
        <v/>
      </c>
      <c r="C77" s="9729" t="str">
        <f t="shared" si="7"/>
        <v/>
      </c>
      <c r="D77" s="7905" t="str">
        <f t="shared" si="15"/>
        <v>8306-04-02</v>
      </c>
      <c r="E77" s="5133"/>
      <c r="F77" s="5132"/>
      <c r="G77" s="5133"/>
      <c r="H77" s="4496">
        <f t="shared" si="17"/>
        <v>59</v>
      </c>
      <c r="I77" s="9640"/>
      <c r="J77" s="9718"/>
      <c r="K77" s="9699"/>
      <c r="L77" s="9518"/>
      <c r="M77" s="9520"/>
      <c r="N77" s="9680" t="str">
        <f>+IF(ISERROR(MATCH(L77,tid,0)),"",VLOOKUP(MATCH(L77,tid,0),tao,'12(id)'!$Q$20,FALSE))</f>
        <v/>
      </c>
      <c r="O77" s="9668"/>
      <c r="P77" s="9690"/>
      <c r="Q77" s="9693"/>
      <c r="R77" s="4480" t="str">
        <f t="shared" si="16"/>
        <v>8306-04-02</v>
      </c>
      <c r="S77" s="4453">
        <v>2</v>
      </c>
      <c r="T77" s="7933" t="s">
        <v>1187</v>
      </c>
      <c r="U77" s="4481"/>
      <c r="V77" s="4481"/>
      <c r="W77" s="4481"/>
      <c r="X77" s="4481"/>
      <c r="Y77" s="4481"/>
      <c r="Z77" s="4482"/>
      <c r="AA77" s="5133"/>
    </row>
    <row r="78" spans="1:27" ht="25.5" customHeight="1">
      <c r="A78" s="9723" t="str">
        <f t="shared" si="6"/>
        <v/>
      </c>
      <c r="B78" s="9726" t="str">
        <f>+IF(A78="","",VLOOKUP(MATCH(A78,tid,0),tao,'12(id)'!$J$20,FALSE))</f>
        <v/>
      </c>
      <c r="C78" s="9729" t="str">
        <f t="shared" si="7"/>
        <v/>
      </c>
      <c r="D78" s="5886" t="str">
        <f t="shared" si="15"/>
        <v>8306-04-03</v>
      </c>
      <c r="E78" s="5133"/>
      <c r="F78" s="5132"/>
      <c r="G78" s="5133"/>
      <c r="H78" s="4496">
        <f t="shared" si="17"/>
        <v>60</v>
      </c>
      <c r="I78" s="9640"/>
      <c r="J78" s="9718"/>
      <c r="K78" s="9699"/>
      <c r="L78" s="9518"/>
      <c r="M78" s="9520"/>
      <c r="N78" s="9680" t="str">
        <f>+IF(ISERROR(MATCH(L78,tid,0)),"",VLOOKUP(MATCH(L78,tid,0),tao,'12(id)'!$Q$20,FALSE))</f>
        <v/>
      </c>
      <c r="O78" s="9668"/>
      <c r="P78" s="9690"/>
      <c r="Q78" s="9693"/>
      <c r="R78" s="5901" t="str">
        <f t="shared" si="16"/>
        <v>8306-04-03</v>
      </c>
      <c r="S78" s="5902">
        <v>3</v>
      </c>
      <c r="T78" s="7926" t="s">
        <v>1126</v>
      </c>
      <c r="U78" s="5903"/>
      <c r="V78" s="5903"/>
      <c r="W78" s="5903"/>
      <c r="X78" s="5903"/>
      <c r="Y78" s="5903"/>
      <c r="Z78" s="5904"/>
      <c r="AA78" s="5133"/>
    </row>
    <row r="79" spans="1:27" ht="25.5" customHeight="1">
      <c r="A79" s="9724" t="str">
        <f t="shared" si="6"/>
        <v/>
      </c>
      <c r="B79" s="9726" t="str">
        <f>+IF(A79="","",VLOOKUP(MATCH(A79,tid,0),tao,'12(id)'!$J$20,FALSE))</f>
        <v/>
      </c>
      <c r="C79" s="9729" t="str">
        <f t="shared" si="7"/>
        <v/>
      </c>
      <c r="D79" s="1031" t="str">
        <f t="shared" si="15"/>
        <v/>
      </c>
      <c r="E79" s="5133"/>
      <c r="F79" s="5132"/>
      <c r="G79" s="5133"/>
      <c r="H79" s="4496">
        <f t="shared" si="17"/>
        <v>61</v>
      </c>
      <c r="I79" s="9640"/>
      <c r="J79" s="9718"/>
      <c r="K79" s="9699"/>
      <c r="L79" s="9666"/>
      <c r="M79" s="9520"/>
      <c r="N79" s="9705" t="str">
        <f>+IF(ISERROR(MATCH(L79,tid,0)),"",VLOOKUP(MATCH(L79,tid,0),tao,'12(id)'!$Q$20,FALSE))</f>
        <v/>
      </c>
      <c r="O79" s="9671"/>
      <c r="P79" s="9691"/>
      <c r="Q79" s="9694"/>
      <c r="R79" s="4466" t="str">
        <f t="shared" si="16"/>
        <v/>
      </c>
      <c r="S79" s="4467"/>
      <c r="T79" s="7932"/>
      <c r="U79" s="4468"/>
      <c r="V79" s="4468"/>
      <c r="W79" s="4468"/>
      <c r="X79" s="4468"/>
      <c r="Y79" s="4468"/>
      <c r="Z79" s="4469"/>
      <c r="AA79" s="5133"/>
    </row>
    <row r="80" spans="1:27" ht="25.5" customHeight="1">
      <c r="A80" s="9730" t="str">
        <f t="shared" si="6"/>
        <v>8306-05</v>
      </c>
      <c r="B80" s="9726" t="str">
        <f>+IF(A80="","",VLOOKUP(MATCH(A80,tid,0),tao,'12(id)'!$J$20,FALSE))</f>
        <v>NRG</v>
      </c>
      <c r="C80" s="9729" t="str">
        <f t="shared" si="7"/>
        <v>MV6 </v>
      </c>
      <c r="D80" s="7905" t="str">
        <f t="shared" si="15"/>
        <v>8306-05-01</v>
      </c>
      <c r="E80" s="5133"/>
      <c r="F80" s="5132"/>
      <c r="G80" s="5133"/>
      <c r="H80" s="4496">
        <f t="shared" si="17"/>
        <v>62</v>
      </c>
      <c r="I80" s="9640">
        <f>1+I76</f>
        <v>20</v>
      </c>
      <c r="J80" s="9718"/>
      <c r="K80" s="9699"/>
      <c r="L80" s="9706" t="s">
        <v>297</v>
      </c>
      <c r="M80" s="9520"/>
      <c r="N80" s="9704" t="str">
        <f>+IF(ISERROR(MATCH(L80,tid,0)),"",VLOOKUP(MATCH(L80,tid,0),tao,'12(id)'!$Q$20,FALSE))</f>
        <v>MV6 </v>
      </c>
      <c r="O80" s="9667">
        <v>1</v>
      </c>
      <c r="P80" s="9737"/>
      <c r="Q80" s="9739"/>
      <c r="R80" s="4480" t="str">
        <f t="shared" si="16"/>
        <v>8306-05-01</v>
      </c>
      <c r="S80" s="4453">
        <v>1</v>
      </c>
      <c r="T80" s="7933" t="s">
        <v>1156</v>
      </c>
      <c r="U80" s="4481"/>
      <c r="V80" s="4481"/>
      <c r="W80" s="4481"/>
      <c r="X80" s="4481"/>
      <c r="Y80" s="4481"/>
      <c r="Z80" s="4482"/>
      <c r="AA80" s="5133"/>
    </row>
    <row r="81" spans="1:27" ht="25.5" customHeight="1">
      <c r="A81" s="9723" t="str">
        <f t="shared" si="6"/>
        <v/>
      </c>
      <c r="B81" s="9726" t="str">
        <f>+IF(A81="","",VLOOKUP(MATCH(A81,tid,0),tao,'12(id)'!$J$20,FALSE))</f>
        <v/>
      </c>
      <c r="C81" s="9729" t="str">
        <f t="shared" si="7"/>
        <v/>
      </c>
      <c r="D81" s="5886" t="str">
        <f t="shared" si="15"/>
        <v>8306-05-02</v>
      </c>
      <c r="E81" s="5133"/>
      <c r="F81" s="5132"/>
      <c r="G81" s="5133"/>
      <c r="H81" s="4496">
        <f t="shared" si="17"/>
        <v>63</v>
      </c>
      <c r="I81" s="9640"/>
      <c r="J81" s="9718"/>
      <c r="K81" s="9699"/>
      <c r="L81" s="9518"/>
      <c r="M81" s="9520"/>
      <c r="N81" s="9680" t="str">
        <f>+IF(ISERROR(MATCH(L81,tid,0)),"",VLOOKUP(MATCH(L81,tid,0),tao,'12(id)'!$Q$20,FALSE))</f>
        <v/>
      </c>
      <c r="O81" s="9668"/>
      <c r="P81" s="9690"/>
      <c r="Q81" s="9693"/>
      <c r="R81" s="5901" t="str">
        <f t="shared" si="16"/>
        <v>8306-05-02</v>
      </c>
      <c r="S81" s="5902">
        <v>2</v>
      </c>
      <c r="T81" s="7926" t="s">
        <v>1706</v>
      </c>
      <c r="U81" s="5903"/>
      <c r="V81" s="5903"/>
      <c r="W81" s="5903"/>
      <c r="X81" s="5903"/>
      <c r="Y81" s="5903"/>
      <c r="Z81" s="5904"/>
      <c r="AA81" s="5133"/>
    </row>
    <row r="82" spans="1:27" ht="25.5" customHeight="1">
      <c r="A82" s="9723" t="str">
        <f t="shared" si="6"/>
        <v/>
      </c>
      <c r="B82" s="9726" t="str">
        <f>+IF(A82="","",VLOOKUP(MATCH(A82,tid,0),tao,'12(id)'!$J$20,FALSE))</f>
        <v/>
      </c>
      <c r="C82" s="9729" t="str">
        <f t="shared" si="7"/>
        <v/>
      </c>
      <c r="D82" s="5886" t="str">
        <f t="shared" si="15"/>
        <v>8306-05-03</v>
      </c>
      <c r="E82" s="5133"/>
      <c r="F82" s="5132"/>
      <c r="G82" s="5133"/>
      <c r="H82" s="4496">
        <f t="shared" si="17"/>
        <v>64</v>
      </c>
      <c r="I82" s="9640"/>
      <c r="J82" s="9718"/>
      <c r="K82" s="9699"/>
      <c r="L82" s="9518"/>
      <c r="M82" s="9520"/>
      <c r="N82" s="9680"/>
      <c r="O82" s="9668"/>
      <c r="P82" s="9690"/>
      <c r="Q82" s="9693"/>
      <c r="R82" s="5901" t="str">
        <f t="shared" si="16"/>
        <v>8306-05-03</v>
      </c>
      <c r="S82" s="5902">
        <v>3</v>
      </c>
      <c r="T82" s="7934" t="s">
        <v>1126</v>
      </c>
      <c r="U82" s="5907"/>
      <c r="V82" s="5907"/>
      <c r="W82" s="5907"/>
      <c r="X82" s="5907"/>
      <c r="Y82" s="5907"/>
      <c r="Z82" s="5908"/>
      <c r="AA82" s="5133"/>
    </row>
    <row r="83" spans="1:27" ht="25.5" customHeight="1">
      <c r="A83" s="9724" t="str">
        <f t="shared" ref="A83:A98" si="18">+IF(L83="","",L83)</f>
        <v/>
      </c>
      <c r="B83" s="9726" t="str">
        <f>+IF(A83="","",VLOOKUP(MATCH(A83,tid,0),tao,'12(id)'!$J$20,FALSE))</f>
        <v/>
      </c>
      <c r="C83" s="9729" t="str">
        <f t="shared" ref="C83:C98" si="19">+IF(N83="","",N83)</f>
        <v/>
      </c>
      <c r="D83" s="1031" t="str">
        <f t="shared" si="15"/>
        <v/>
      </c>
      <c r="E83" s="5133"/>
      <c r="F83" s="5132"/>
      <c r="G83" s="5133"/>
      <c r="H83" s="4496">
        <f t="shared" si="17"/>
        <v>65</v>
      </c>
      <c r="I83" s="9640"/>
      <c r="J83" s="9718"/>
      <c r="K83" s="9699"/>
      <c r="L83" s="9666"/>
      <c r="M83" s="9527"/>
      <c r="N83" s="9705" t="str">
        <f>+IF(ISERROR(MATCH(L83,tid,0)),"",VLOOKUP(MATCH(L83,tid,0),tao,'12(id)'!$Q$20,FALSE))</f>
        <v/>
      </c>
      <c r="O83" s="9671"/>
      <c r="P83" s="9691"/>
      <c r="Q83" s="9694"/>
      <c r="R83" s="4466" t="str">
        <f t="shared" si="16"/>
        <v/>
      </c>
      <c r="S83" s="4467"/>
      <c r="T83" s="7932"/>
      <c r="U83" s="4468"/>
      <c r="V83" s="4468"/>
      <c r="W83" s="4468"/>
      <c r="X83" s="4468"/>
      <c r="Y83" s="4468"/>
      <c r="Z83" s="4469"/>
      <c r="AA83" s="5133"/>
    </row>
    <row r="84" spans="1:27" ht="25.5" customHeight="1">
      <c r="A84" s="9730" t="str">
        <f t="shared" si="18"/>
        <v>8306-06</v>
      </c>
      <c r="B84" s="9726" t="str">
        <f>+IF(A84="","",VLOOKUP(MATCH(A84,tid,0),tao,'12(id)'!$J$20,FALSE))</f>
        <v>NRG</v>
      </c>
      <c r="C84" s="9729" t="str">
        <f t="shared" si="19"/>
        <v>NH1 </v>
      </c>
      <c r="D84" s="7905" t="str">
        <f t="shared" si="15"/>
        <v>8306-06-01</v>
      </c>
      <c r="E84" s="5133"/>
      <c r="F84" s="5132"/>
      <c r="G84" s="5133"/>
      <c r="H84" s="4496">
        <f t="shared" si="17"/>
        <v>66</v>
      </c>
      <c r="I84" s="9640">
        <f>1+I80</f>
        <v>21</v>
      </c>
      <c r="J84" s="9718"/>
      <c r="K84" s="9699"/>
      <c r="L84" s="9706" t="s">
        <v>298</v>
      </c>
      <c r="M84" s="9716" t="str">
        <f>+IF(L84="","",VLOOKUP(MATCH(L84,tid,0),tao,'12(id)'!$L$20,FALSE))</f>
        <v>Norwalk Harbor Station</v>
      </c>
      <c r="N84" s="9704" t="str">
        <f>+IF(ISERROR(MATCH(L84,tid,0)),"",VLOOKUP(MATCH(L84,tid,0),tao,'12(id)'!$Q$20,FALSE))</f>
        <v>NH1 </v>
      </c>
      <c r="O84" s="9667">
        <v>1</v>
      </c>
      <c r="P84" s="9737"/>
      <c r="Q84" s="9739"/>
      <c r="R84" s="4480" t="str">
        <f t="shared" si="16"/>
        <v>8306-06-01</v>
      </c>
      <c r="S84" s="4453">
        <v>1</v>
      </c>
      <c r="T84" s="7933" t="s">
        <v>1156</v>
      </c>
      <c r="U84" s="4481"/>
      <c r="V84" s="4481"/>
      <c r="W84" s="4481"/>
      <c r="X84" s="4481"/>
      <c r="Y84" s="4481"/>
      <c r="Z84" s="4482"/>
      <c r="AA84" s="5133"/>
    </row>
    <row r="85" spans="1:27" ht="25.5" customHeight="1">
      <c r="A85" s="9723" t="str">
        <f t="shared" si="18"/>
        <v/>
      </c>
      <c r="B85" s="9726" t="str">
        <f>+IF(A85="","",VLOOKUP(MATCH(A85,tid,0),tao,'12(id)'!$J$20,FALSE))</f>
        <v/>
      </c>
      <c r="C85" s="9729" t="str">
        <f t="shared" si="19"/>
        <v/>
      </c>
      <c r="D85" s="5886" t="str">
        <f t="shared" si="15"/>
        <v>8306-06-02</v>
      </c>
      <c r="E85" s="5133"/>
      <c r="F85" s="5132"/>
      <c r="G85" s="5133"/>
      <c r="H85" s="4496">
        <f t="shared" si="17"/>
        <v>67</v>
      </c>
      <c r="I85" s="9640"/>
      <c r="J85" s="9718"/>
      <c r="K85" s="9699"/>
      <c r="L85" s="9518"/>
      <c r="M85" s="9520"/>
      <c r="N85" s="9680" t="str">
        <f>+IF(ISERROR(MATCH(L85,tid,0)),"",VLOOKUP(MATCH(L85,tid,0),tao,'12(id)'!$Q$20,FALSE))</f>
        <v/>
      </c>
      <c r="O85" s="9668"/>
      <c r="P85" s="9690"/>
      <c r="Q85" s="9693"/>
      <c r="R85" s="5901" t="str">
        <f t="shared" si="16"/>
        <v>8306-06-02</v>
      </c>
      <c r="S85" s="5902">
        <v>2</v>
      </c>
      <c r="T85" s="7926" t="s">
        <v>1706</v>
      </c>
      <c r="U85" s="5903"/>
      <c r="V85" s="5903"/>
      <c r="W85" s="5903"/>
      <c r="X85" s="5903"/>
      <c r="Y85" s="5903"/>
      <c r="Z85" s="5904"/>
      <c r="AA85" s="5133"/>
    </row>
    <row r="86" spans="1:27" ht="25.5" customHeight="1">
      <c r="A86" s="9724" t="str">
        <f t="shared" si="18"/>
        <v/>
      </c>
      <c r="B86" s="9726" t="str">
        <f>+IF(A86="","",VLOOKUP(MATCH(A86,tid,0),tao,'12(id)'!$J$20,FALSE))</f>
        <v/>
      </c>
      <c r="C86" s="9729" t="str">
        <f t="shared" si="19"/>
        <v/>
      </c>
      <c r="D86" s="1031" t="str">
        <f t="shared" si="15"/>
        <v/>
      </c>
      <c r="E86" s="5133"/>
      <c r="F86" s="5132"/>
      <c r="G86" s="5133"/>
      <c r="H86" s="4496">
        <f t="shared" si="17"/>
        <v>68</v>
      </c>
      <c r="I86" s="9640"/>
      <c r="J86" s="9718"/>
      <c r="K86" s="9699"/>
      <c r="L86" s="9666"/>
      <c r="M86" s="9520"/>
      <c r="N86" s="9705" t="str">
        <f>+IF(ISERROR(MATCH(L86,tid,0)),"",VLOOKUP(MATCH(L86,tid,0),tao,'12(id)'!$Q$20,FALSE))</f>
        <v/>
      </c>
      <c r="O86" s="9671"/>
      <c r="P86" s="9691"/>
      <c r="Q86" s="9694"/>
      <c r="R86" s="4466" t="str">
        <f t="shared" si="16"/>
        <v/>
      </c>
      <c r="S86" s="4467"/>
      <c r="T86" s="7932"/>
      <c r="U86" s="4468"/>
      <c r="V86" s="4468"/>
      <c r="W86" s="4468"/>
      <c r="X86" s="4468"/>
      <c r="Y86" s="4468"/>
      <c r="Z86" s="4469"/>
      <c r="AA86" s="5133"/>
    </row>
    <row r="87" spans="1:27" ht="25.5" customHeight="1">
      <c r="A87" s="9730" t="str">
        <f t="shared" si="18"/>
        <v>8306-07</v>
      </c>
      <c r="B87" s="9726" t="str">
        <f>+IF(A87="","",VLOOKUP(MATCH(A87,tid,0),tao,'12(id)'!$J$20,FALSE))</f>
        <v>NRG</v>
      </c>
      <c r="C87" s="9729" t="str">
        <f t="shared" si="19"/>
        <v>NH2 </v>
      </c>
      <c r="D87" s="7905" t="str">
        <f t="shared" si="15"/>
        <v>8306-07-01</v>
      </c>
      <c r="E87" s="5133"/>
      <c r="F87" s="5132"/>
      <c r="G87" s="5133"/>
      <c r="H87" s="4496">
        <f t="shared" si="17"/>
        <v>69</v>
      </c>
      <c r="I87" s="9721">
        <f>1+I84</f>
        <v>22</v>
      </c>
      <c r="J87" s="9718"/>
      <c r="K87" s="9699"/>
      <c r="L87" s="9706" t="s">
        <v>299</v>
      </c>
      <c r="M87" s="9520"/>
      <c r="N87" s="9704" t="str">
        <f>+IF(ISERROR(MATCH(L87,tid,0)),"",VLOOKUP(MATCH(L87,tid,0),tao,'12(id)'!$Q$20,FALSE))</f>
        <v>NH2 </v>
      </c>
      <c r="O87" s="9667">
        <v>1</v>
      </c>
      <c r="P87" s="9737"/>
      <c r="Q87" s="9739"/>
      <c r="R87" s="4480" t="str">
        <f t="shared" si="16"/>
        <v>8306-07-01</v>
      </c>
      <c r="S87" s="4453">
        <v>1</v>
      </c>
      <c r="T87" s="7933" t="s">
        <v>1156</v>
      </c>
      <c r="U87" s="4481"/>
      <c r="V87" s="4481"/>
      <c r="W87" s="4481"/>
      <c r="X87" s="4481"/>
      <c r="Y87" s="4481"/>
      <c r="Z87" s="4482"/>
      <c r="AA87" s="5133"/>
    </row>
    <row r="88" spans="1:27" ht="25.5" customHeight="1">
      <c r="A88" s="9723" t="str">
        <f t="shared" si="18"/>
        <v/>
      </c>
      <c r="B88" s="9726" t="str">
        <f>+IF(A88="","",VLOOKUP(MATCH(A88,tid,0),tao,'12(id)'!$J$20,FALSE))</f>
        <v/>
      </c>
      <c r="C88" s="9729" t="str">
        <f t="shared" si="19"/>
        <v/>
      </c>
      <c r="D88" s="5886" t="str">
        <f t="shared" si="15"/>
        <v>8306-07-02</v>
      </c>
      <c r="E88" s="5133"/>
      <c r="F88" s="5132"/>
      <c r="G88" s="5133"/>
      <c r="H88" s="4496">
        <f t="shared" si="17"/>
        <v>70</v>
      </c>
      <c r="I88" s="9721"/>
      <c r="J88" s="9718"/>
      <c r="K88" s="9699"/>
      <c r="L88" s="9518"/>
      <c r="M88" s="9520"/>
      <c r="N88" s="9680" t="str">
        <f>+IF(ISERROR(MATCH(L88,tid,0)),"",VLOOKUP(MATCH(L88,tid,0),tao,'12(id)'!$Q$20,FALSE))</f>
        <v/>
      </c>
      <c r="O88" s="9668"/>
      <c r="P88" s="9690"/>
      <c r="Q88" s="9693"/>
      <c r="R88" s="5901" t="str">
        <f t="shared" si="16"/>
        <v>8306-07-02</v>
      </c>
      <c r="S88" s="5902">
        <v>2</v>
      </c>
      <c r="T88" s="7926" t="s">
        <v>1706</v>
      </c>
      <c r="U88" s="5903"/>
      <c r="V88" s="5903"/>
      <c r="W88" s="5903"/>
      <c r="X88" s="5903"/>
      <c r="Y88" s="5903"/>
      <c r="Z88" s="5904"/>
      <c r="AA88" s="5133"/>
    </row>
    <row r="89" spans="1:27" ht="25.5" customHeight="1" thickBot="1">
      <c r="A89" s="9734" t="str">
        <f t="shared" si="18"/>
        <v/>
      </c>
      <c r="B89" s="9727" t="str">
        <f>+IF(A89="","",VLOOKUP(MATCH(A89,tid,0),tao,'12(id)'!$J$20,FALSE))</f>
        <v/>
      </c>
      <c r="C89" s="9733" t="str">
        <f t="shared" si="19"/>
        <v/>
      </c>
      <c r="D89" s="1031" t="str">
        <f t="shared" si="15"/>
        <v/>
      </c>
      <c r="E89" s="5133"/>
      <c r="F89" s="5132"/>
      <c r="G89" s="5133"/>
      <c r="H89" s="4496">
        <f t="shared" si="17"/>
        <v>71</v>
      </c>
      <c r="I89" s="9721"/>
      <c r="J89" s="9719"/>
      <c r="K89" s="9700"/>
      <c r="L89" s="9519"/>
      <c r="M89" s="9521"/>
      <c r="N89" s="9681" t="str">
        <f>+IF(ISERROR(MATCH(L89,tid,0)),"",VLOOKUP(MATCH(L89,tid,0),tao,'12(id)'!$Q$20,FALSE))</f>
        <v/>
      </c>
      <c r="O89" s="9669"/>
      <c r="P89" s="9738"/>
      <c r="Q89" s="9740"/>
      <c r="R89" s="4466" t="str">
        <f t="shared" si="16"/>
        <v/>
      </c>
      <c r="S89" s="4467"/>
      <c r="T89" s="7932"/>
      <c r="U89" s="4468"/>
      <c r="V89" s="4468"/>
      <c r="W89" s="4468"/>
      <c r="X89" s="4468"/>
      <c r="Y89" s="4468"/>
      <c r="Z89" s="4469"/>
      <c r="AA89" s="5133"/>
    </row>
    <row r="90" spans="1:27" ht="25.5" customHeight="1">
      <c r="A90" s="9722" t="str">
        <f t="shared" si="18"/>
        <v>8305-01</v>
      </c>
      <c r="B90" s="9725" t="str">
        <f>+IF(A90="","",VLOOKUP(MATCH(A90,tid,0),tao,'12(id)'!$J$20,FALSE))</f>
        <v>PSEG</v>
      </c>
      <c r="C90" s="9728" t="str">
        <f t="shared" si="19"/>
        <v>NHB1</v>
      </c>
      <c r="D90" s="33" t="str">
        <f t="shared" si="15"/>
        <v>8305-01-01</v>
      </c>
      <c r="E90" s="5133"/>
      <c r="F90" s="5132"/>
      <c r="G90" s="5133"/>
      <c r="H90" s="4496">
        <f t="shared" si="17"/>
        <v>72</v>
      </c>
      <c r="I90" s="9517">
        <f>1+I87</f>
        <v>23</v>
      </c>
      <c r="J90" s="9695" t="str">
        <f>+IF(L90="","",VLOOKUP(MATCH(L90,tid,0),tao,'12(id)'!$I$20,FALSE))</f>
        <v>PSEG Power LLC, PSEG Fossil LLC, PSEG Power Connecticut</v>
      </c>
      <c r="K90" s="9698">
        <v>8305</v>
      </c>
      <c r="L90" s="9701" t="s">
        <v>290</v>
      </c>
      <c r="M90" s="9517" t="str">
        <f>+IF(L90="","",VLOOKUP(MATCH(L90,tid,0),tao,'12(id)'!$L$20,FALSE))</f>
        <v>New Haven Harbor</v>
      </c>
      <c r="N90" s="9679" t="str">
        <f>+IF(ISERROR(MATCH(L90,tid,0)),"",VLOOKUP(MATCH(L90,tid,0),tao,'12(id)'!$Q$20,FALSE))</f>
        <v>NHB1</v>
      </c>
      <c r="O90" s="9670">
        <v>1</v>
      </c>
      <c r="P90" s="9689"/>
      <c r="Q90" s="9692"/>
      <c r="R90" s="4478" t="str">
        <f t="shared" si="16"/>
        <v>8305-01-01</v>
      </c>
      <c r="S90" s="33">
        <v>1</v>
      </c>
      <c r="T90" s="7931" t="s">
        <v>1162</v>
      </c>
      <c r="U90" s="1033"/>
      <c r="V90" s="1033"/>
      <c r="W90" s="1033"/>
      <c r="X90" s="1033"/>
      <c r="Y90" s="1033"/>
      <c r="Z90" s="1034"/>
      <c r="AA90" s="5133"/>
    </row>
    <row r="91" spans="1:27" ht="25.5" customHeight="1">
      <c r="A91" s="9723" t="str">
        <f t="shared" si="18"/>
        <v/>
      </c>
      <c r="B91" s="9726" t="str">
        <f>+IF(A91="","",VLOOKUP(MATCH(A91,tid,0),tao,'12(id)'!$J$20,FALSE))</f>
        <v/>
      </c>
      <c r="C91" s="9729" t="str">
        <f t="shared" si="19"/>
        <v/>
      </c>
      <c r="D91" s="7905" t="str">
        <f t="shared" si="15"/>
        <v>8305-01-02</v>
      </c>
      <c r="E91" s="5133"/>
      <c r="F91" s="5132"/>
      <c r="G91" s="5133"/>
      <c r="H91" s="4496">
        <f t="shared" si="17"/>
        <v>73</v>
      </c>
      <c r="I91" s="9518"/>
      <c r="J91" s="9696"/>
      <c r="K91" s="9699"/>
      <c r="L91" s="9702"/>
      <c r="M91" s="9518"/>
      <c r="N91" s="9680" t="str">
        <f>+IF(ISERROR(MATCH(L91,tid,0)),"",VLOOKUP(MATCH(L91,tid,0),tao,'12(id)'!$Q$20,FALSE))</f>
        <v/>
      </c>
      <c r="O91" s="9668"/>
      <c r="P91" s="9690"/>
      <c r="Q91" s="9693"/>
      <c r="R91" s="4480" t="str">
        <f t="shared" si="16"/>
        <v>8305-01-02</v>
      </c>
      <c r="S91" s="4453">
        <v>2</v>
      </c>
      <c r="T91" s="7933" t="s">
        <v>1161</v>
      </c>
      <c r="U91" s="4481"/>
      <c r="V91" s="4481"/>
      <c r="W91" s="4481"/>
      <c r="X91" s="4481"/>
      <c r="Y91" s="4481"/>
      <c r="Z91" s="4482"/>
      <c r="AA91" s="5133"/>
    </row>
    <row r="92" spans="1:27" ht="25.5" customHeight="1">
      <c r="A92" s="9724" t="str">
        <f t="shared" si="18"/>
        <v/>
      </c>
      <c r="B92" s="9726" t="str">
        <f>+IF(A92="","",VLOOKUP(MATCH(A92,tid,0),tao,'12(id)'!$J$20,FALSE))</f>
        <v/>
      </c>
      <c r="C92" s="9729" t="str">
        <f t="shared" si="19"/>
        <v/>
      </c>
      <c r="D92" s="1031" t="str">
        <f t="shared" si="15"/>
        <v/>
      </c>
      <c r="E92" s="5133"/>
      <c r="F92" s="5132"/>
      <c r="G92" s="5133"/>
      <c r="H92" s="4496">
        <f t="shared" si="17"/>
        <v>74</v>
      </c>
      <c r="I92" s="9666"/>
      <c r="J92" s="9696"/>
      <c r="K92" s="9699"/>
      <c r="L92" s="9703"/>
      <c r="M92" s="9666"/>
      <c r="N92" s="9705" t="str">
        <f>+IF(ISERROR(MATCH(L92,tid,0)),"",VLOOKUP(MATCH(L92,tid,0),tao,'12(id)'!$Q$20,FALSE))</f>
        <v/>
      </c>
      <c r="O92" s="9671"/>
      <c r="P92" s="9691"/>
      <c r="Q92" s="9694"/>
      <c r="R92" s="4466" t="str">
        <f t="shared" si="16"/>
        <v/>
      </c>
      <c r="S92" s="4467"/>
      <c r="T92" s="7932"/>
      <c r="U92" s="4468"/>
      <c r="V92" s="4468"/>
      <c r="W92" s="4468"/>
      <c r="X92" s="4468"/>
      <c r="Y92" s="4468"/>
      <c r="Z92" s="4469"/>
      <c r="AA92" s="5133"/>
    </row>
    <row r="93" spans="1:27" ht="25.5" customHeight="1">
      <c r="A93" s="9730" t="str">
        <f t="shared" si="18"/>
        <v>8305-02</v>
      </c>
      <c r="B93" s="9726" t="str">
        <f>+IF(A93="","",VLOOKUP(MATCH(A93,tid,0),tao,'12(id)'!$J$20,FALSE))</f>
        <v>PSEG</v>
      </c>
      <c r="C93" s="9729" t="str">
        <f t="shared" si="19"/>
        <v>BHB2</v>
      </c>
      <c r="D93" s="5887" t="str">
        <f t="shared" si="15"/>
        <v>8305-02-01</v>
      </c>
      <c r="E93" s="5133"/>
      <c r="F93" s="5132"/>
      <c r="G93" s="5133"/>
      <c r="H93" s="4496">
        <f t="shared" si="17"/>
        <v>75</v>
      </c>
      <c r="I93" s="9665">
        <f>1+I90</f>
        <v>24</v>
      </c>
      <c r="J93" s="9696"/>
      <c r="K93" s="9699"/>
      <c r="L93" s="9707" t="s">
        <v>291</v>
      </c>
      <c r="M93" s="9709" t="str">
        <f>+IF(L93="","",VLOOKUP(MATCH(L93,tid,0),tao,'12(id)'!$L$20,FALSE))</f>
        <v>Bridgeport Harbor Station</v>
      </c>
      <c r="N93" s="9710" t="str">
        <f>+IF(ISERROR(MATCH(L93,tid,0)),"",VLOOKUP(MATCH(L93,tid,0),tao,'12(id)'!$Q$20,FALSE))</f>
        <v>BHB2</v>
      </c>
      <c r="O93" s="9667">
        <v>1</v>
      </c>
      <c r="P93" s="9737"/>
      <c r="Q93" s="9739"/>
      <c r="R93" s="5909" t="str">
        <f t="shared" si="16"/>
        <v>8305-02-01</v>
      </c>
      <c r="S93" s="5910">
        <v>1</v>
      </c>
      <c r="T93" s="7935" t="s">
        <v>1126</v>
      </c>
      <c r="U93" s="5911"/>
      <c r="V93" s="5911"/>
      <c r="W93" s="5911"/>
      <c r="X93" s="5911"/>
      <c r="Y93" s="5911"/>
      <c r="Z93" s="5912"/>
      <c r="AA93" s="5133"/>
    </row>
    <row r="94" spans="1:27" ht="25.5" customHeight="1">
      <c r="A94" s="9723" t="str">
        <f t="shared" si="18"/>
        <v/>
      </c>
      <c r="B94" s="9726" t="str">
        <f>+IF(A94="","",VLOOKUP(MATCH(A94,tid,0),tao,'12(id)'!$J$20,FALSE))</f>
        <v/>
      </c>
      <c r="C94" s="9731" t="str">
        <f t="shared" si="19"/>
        <v/>
      </c>
      <c r="D94" s="3260" t="str">
        <f t="shared" si="15"/>
        <v>8305-02-02</v>
      </c>
      <c r="E94" s="5133"/>
      <c r="F94" s="5132"/>
      <c r="G94" s="5133"/>
      <c r="H94" s="4496">
        <f t="shared" si="17"/>
        <v>76</v>
      </c>
      <c r="I94" s="9518"/>
      <c r="J94" s="9696"/>
      <c r="K94" s="9699"/>
      <c r="L94" s="9287"/>
      <c r="M94" s="9287"/>
      <c r="N94" s="9287"/>
      <c r="O94" s="9672"/>
      <c r="P94" s="9741"/>
      <c r="Q94" s="9743"/>
      <c r="R94" s="4483" t="str">
        <f t="shared" si="16"/>
        <v>8305-02-02</v>
      </c>
      <c r="S94" s="4484">
        <v>2</v>
      </c>
      <c r="T94" s="7936" t="s">
        <v>1890</v>
      </c>
      <c r="U94" s="4485"/>
      <c r="V94" s="4485"/>
      <c r="W94" s="4485"/>
      <c r="X94" s="4485"/>
      <c r="Y94" s="4485"/>
      <c r="Z94" s="4486"/>
      <c r="AA94" s="5133"/>
    </row>
    <row r="95" spans="1:27" ht="25.5" customHeight="1">
      <c r="A95" s="9723" t="str">
        <f t="shared" si="18"/>
        <v/>
      </c>
      <c r="B95" s="9726" t="str">
        <f>+IF(A95="","",VLOOKUP(MATCH(A95,tid,0),tao,'12(id)'!$J$20,FALSE))</f>
        <v/>
      </c>
      <c r="C95" s="9731" t="str">
        <f t="shared" si="19"/>
        <v/>
      </c>
      <c r="D95" s="3260" t="str">
        <f t="shared" si="15"/>
        <v>8305-02-03</v>
      </c>
      <c r="E95" s="5133"/>
      <c r="F95" s="5132"/>
      <c r="G95" s="5133"/>
      <c r="H95" s="4496">
        <f t="shared" si="17"/>
        <v>77</v>
      </c>
      <c r="I95" s="9518"/>
      <c r="J95" s="9696"/>
      <c r="K95" s="9699"/>
      <c r="L95" s="9287"/>
      <c r="M95" s="9287"/>
      <c r="N95" s="9287"/>
      <c r="O95" s="9672"/>
      <c r="P95" s="9741"/>
      <c r="Q95" s="9743"/>
      <c r="R95" s="4483" t="str">
        <f t="shared" si="16"/>
        <v>8305-02-03</v>
      </c>
      <c r="S95" s="4484">
        <v>3</v>
      </c>
      <c r="T95" s="7936" t="s">
        <v>1891</v>
      </c>
      <c r="U95" s="4485"/>
      <c r="V95" s="4485"/>
      <c r="W95" s="4485"/>
      <c r="X95" s="4485"/>
      <c r="Y95" s="4485"/>
      <c r="Z95" s="4486"/>
      <c r="AA95" s="5133"/>
    </row>
    <row r="96" spans="1:27" ht="25.5" customHeight="1">
      <c r="A96" s="9724" t="str">
        <f t="shared" si="18"/>
        <v/>
      </c>
      <c r="B96" s="9726" t="str">
        <f>+IF(A96="","",VLOOKUP(MATCH(A96,tid,0),tao,'12(id)'!$J$20,FALSE))</f>
        <v/>
      </c>
      <c r="C96" s="9729" t="str">
        <f t="shared" si="19"/>
        <v/>
      </c>
      <c r="D96" s="1031" t="str">
        <f t="shared" si="15"/>
        <v/>
      </c>
      <c r="E96" s="5133"/>
      <c r="F96" s="5132"/>
      <c r="G96" s="5133"/>
      <c r="H96" s="4496">
        <f t="shared" si="17"/>
        <v>78</v>
      </c>
      <c r="I96" s="9666"/>
      <c r="J96" s="9696"/>
      <c r="K96" s="9699"/>
      <c r="L96" s="9708"/>
      <c r="M96" s="9287"/>
      <c r="N96" s="9708"/>
      <c r="O96" s="9673"/>
      <c r="P96" s="9742"/>
      <c r="Q96" s="9744"/>
      <c r="R96" s="4466" t="str">
        <f t="shared" si="16"/>
        <v/>
      </c>
      <c r="S96" s="4467"/>
      <c r="T96" s="7932"/>
      <c r="U96" s="4468"/>
      <c r="V96" s="4468"/>
      <c r="W96" s="4468"/>
      <c r="X96" s="4468"/>
      <c r="Y96" s="4468"/>
      <c r="Z96" s="4469"/>
      <c r="AA96" s="5133"/>
    </row>
    <row r="97" spans="1:27" ht="25.5" customHeight="1">
      <c r="A97" s="9732" t="str">
        <f t="shared" si="18"/>
        <v>8305-03</v>
      </c>
      <c r="B97" s="9726" t="str">
        <f>+IF(A97="","",VLOOKUP(MATCH(A97,tid,0),tao,'12(id)'!$J$20,FALSE))</f>
        <v>PSEG</v>
      </c>
      <c r="C97" s="9729" t="str">
        <f t="shared" si="19"/>
        <v>BHB3</v>
      </c>
      <c r="D97" s="7905" t="str">
        <f t="shared" si="15"/>
        <v>8305-03-01</v>
      </c>
      <c r="E97" s="5133"/>
      <c r="F97" s="5132"/>
      <c r="G97" s="5133"/>
      <c r="H97" s="4496">
        <f t="shared" si="17"/>
        <v>79</v>
      </c>
      <c r="I97" s="9665">
        <f>1+I93</f>
        <v>25</v>
      </c>
      <c r="J97" s="9696"/>
      <c r="K97" s="9699"/>
      <c r="L97" s="9711" t="s">
        <v>292</v>
      </c>
      <c r="M97" s="9287"/>
      <c r="N97" s="9704" t="str">
        <f>+IF(ISERROR(MATCH(L97,tid,0)),"",VLOOKUP(MATCH(L97,tid,0),tao,'12(id)'!$Q$20,FALSE))</f>
        <v>BHB3</v>
      </c>
      <c r="O97" s="9667">
        <v>1</v>
      </c>
      <c r="P97" s="9737"/>
      <c r="Q97" s="9745"/>
      <c r="R97" s="4480" t="str">
        <f t="shared" si="16"/>
        <v>8305-03-01</v>
      </c>
      <c r="S97" s="4453">
        <v>1</v>
      </c>
      <c r="T97" s="7933" t="s">
        <v>2131</v>
      </c>
      <c r="U97" s="4481"/>
      <c r="V97" s="4481"/>
      <c r="W97" s="4481"/>
      <c r="X97" s="4481"/>
      <c r="Y97" s="4481"/>
      <c r="Z97" s="4482"/>
      <c r="AA97" s="5133"/>
    </row>
    <row r="98" spans="1:27" ht="25.5" customHeight="1" thickBot="1">
      <c r="A98" s="9645" t="str">
        <f t="shared" si="18"/>
        <v/>
      </c>
      <c r="B98" s="9727" t="str">
        <f>+IF(A98="","",VLOOKUP(MATCH(A98,tid,0),tao,'12(id)'!$J$20,FALSE))</f>
        <v/>
      </c>
      <c r="C98" s="9733" t="str">
        <f t="shared" si="19"/>
        <v/>
      </c>
      <c r="D98" s="1032" t="str">
        <f t="shared" si="15"/>
        <v/>
      </c>
      <c r="E98" s="5133"/>
      <c r="F98" s="5132"/>
      <c r="G98" s="5133"/>
      <c r="H98" s="4497">
        <f t="shared" si="17"/>
        <v>80</v>
      </c>
      <c r="I98" s="9519"/>
      <c r="J98" s="9697"/>
      <c r="K98" s="9700"/>
      <c r="L98" s="9712"/>
      <c r="M98" s="9288"/>
      <c r="N98" s="9681" t="str">
        <f>+IF(ISERROR(MATCH(L98,tid,0)),"",VLOOKUP(MATCH(L98,tid,0),tao,'12(id)'!$Q$20,FALSE))</f>
        <v/>
      </c>
      <c r="O98" s="9669"/>
      <c r="P98" s="9738"/>
      <c r="Q98" s="9746"/>
      <c r="R98" s="4470" t="str">
        <f t="shared" si="16"/>
        <v/>
      </c>
      <c r="S98" s="4471"/>
      <c r="T98" s="7937"/>
      <c r="U98" s="4472"/>
      <c r="V98" s="4472"/>
      <c r="W98" s="4472"/>
      <c r="X98" s="4472"/>
      <c r="Y98" s="4472"/>
      <c r="Z98" s="4473"/>
      <c r="AA98" s="5133"/>
    </row>
    <row r="99" spans="1:27">
      <c r="A99" s="5133"/>
      <c r="B99" s="5133"/>
      <c r="C99" s="5133"/>
      <c r="D99" s="5133"/>
      <c r="E99" s="5133"/>
      <c r="F99" s="5132"/>
      <c r="G99" s="5133"/>
      <c r="H99" s="5133"/>
      <c r="I99" s="5133"/>
      <c r="J99" s="5133"/>
      <c r="K99" s="5133"/>
      <c r="L99" s="5133"/>
      <c r="M99" s="5133"/>
      <c r="N99" s="5353"/>
      <c r="O99" s="5353"/>
      <c r="P99" s="5133"/>
      <c r="Q99" s="5133"/>
      <c r="R99" s="5133"/>
      <c r="S99" s="5133"/>
      <c r="T99" s="5133"/>
      <c r="U99" s="5133"/>
      <c r="V99" s="5133"/>
      <c r="W99" s="5133"/>
      <c r="X99" s="5133"/>
      <c r="Y99" s="5133"/>
      <c r="Z99" s="5133"/>
      <c r="AA99" s="5133"/>
    </row>
    <row r="100" spans="1:27" s="5132" customFormat="1" ht="219.95" customHeight="1">
      <c r="N100" s="5152"/>
      <c r="O100" s="5152"/>
    </row>
    <row r="101" spans="1:27" s="5132" customFormat="1" ht="219.95" customHeight="1">
      <c r="N101" s="5152"/>
      <c r="O101" s="5152"/>
    </row>
    <row r="102" spans="1:27" s="5132" customFormat="1" ht="219.95" customHeight="1">
      <c r="N102" s="5152"/>
    </row>
    <row r="103" spans="1:27" hidden="1">
      <c r="N103" s="7904"/>
      <c r="R103" s="47"/>
      <c r="S103" s="47"/>
    </row>
    <row r="104" spans="1:27" hidden="1">
      <c r="N104" s="7904"/>
      <c r="R104" s="47"/>
      <c r="S104" s="47"/>
    </row>
    <row r="105" spans="1:27" hidden="1">
      <c r="N105" s="7904"/>
    </row>
    <row r="106" spans="1:27" hidden="1">
      <c r="N106" s="7904"/>
    </row>
    <row r="107" spans="1:27" hidden="1">
      <c r="N107" s="7904"/>
    </row>
    <row r="108" spans="1:27" hidden="1">
      <c r="N108" s="7904"/>
    </row>
    <row r="109" spans="1:27" hidden="1">
      <c r="N109" s="7904"/>
    </row>
    <row r="110" spans="1:27" hidden="1">
      <c r="N110" s="7904"/>
    </row>
    <row r="111" spans="1:27" hidden="1">
      <c r="N111" s="7904"/>
    </row>
    <row r="112" spans="1:27" hidden="1">
      <c r="N112" s="7904"/>
    </row>
    <row r="113" spans="14:14" hidden="1">
      <c r="N113" s="7904"/>
    </row>
    <row r="114" spans="14:14" hidden="1">
      <c r="N114" s="7904"/>
    </row>
    <row r="115" spans="14:14" hidden="1">
      <c r="N115" s="7904"/>
    </row>
    <row r="116" spans="14:14" hidden="1">
      <c r="N116" s="7904"/>
    </row>
    <row r="117" spans="14:14" hidden="1">
      <c r="N117" s="7904"/>
    </row>
    <row r="118" spans="14:14" hidden="1">
      <c r="N118" s="7904"/>
    </row>
    <row r="119" spans="14:14" hidden="1">
      <c r="N119" s="7904"/>
    </row>
    <row r="120" spans="14:14" hidden="1">
      <c r="N120" s="7904"/>
    </row>
    <row r="121" spans="14:14" hidden="1">
      <c r="N121" s="7904"/>
    </row>
    <row r="122" spans="14:14" hidden="1">
      <c r="N122" s="7904"/>
    </row>
    <row r="123" spans="14:14" hidden="1">
      <c r="N123" s="7904"/>
    </row>
    <row r="124" spans="14:14" hidden="1">
      <c r="N124" s="7904"/>
    </row>
    <row r="125" spans="14:14" hidden="1">
      <c r="N125" s="7904"/>
    </row>
    <row r="126" spans="14:14" hidden="1">
      <c r="N126" s="7904"/>
    </row>
    <row r="127" spans="14:14" hidden="1">
      <c r="N127" s="7904"/>
    </row>
    <row r="128" spans="14:14" hidden="1">
      <c r="N128" s="7904"/>
    </row>
    <row r="129" spans="14:14" hidden="1">
      <c r="N129" s="7904"/>
    </row>
    <row r="130" spans="14:14" hidden="1">
      <c r="N130" s="7904"/>
    </row>
    <row r="131" spans="14:14" hidden="1">
      <c r="N131" s="7904"/>
    </row>
    <row r="132" spans="14:14" hidden="1">
      <c r="N132" s="7904"/>
    </row>
    <row r="133" spans="14:14" hidden="1">
      <c r="N133" s="7904"/>
    </row>
    <row r="134" spans="14:14" hidden="1">
      <c r="N134" s="7904"/>
    </row>
    <row r="135" spans="14:14" hidden="1">
      <c r="N135" s="7904"/>
    </row>
    <row r="136" spans="14:14" hidden="1">
      <c r="N136" s="7904"/>
    </row>
    <row r="137" spans="14:14"/>
    <row r="138" spans="14:14"/>
  </sheetData>
  <sheetProtection password="C665" sheet="1" objects="1" scenarios="1"/>
  <mergeCells count="181">
    <mergeCell ref="I10:O11"/>
    <mergeCell ref="H13:H17"/>
    <mergeCell ref="I13:I17"/>
    <mergeCell ref="J13:J17"/>
    <mergeCell ref="K13:K17"/>
    <mergeCell ref="L13:L17"/>
    <mergeCell ref="M13:M17"/>
    <mergeCell ref="P13:P17"/>
    <mergeCell ref="Q13:Q17"/>
    <mergeCell ref="N13:N17"/>
    <mergeCell ref="O13:O17"/>
    <mergeCell ref="X13:X17"/>
    <mergeCell ref="W13:W17"/>
    <mergeCell ref="V13:V17"/>
    <mergeCell ref="U13:U17"/>
    <mergeCell ref="Y13:Y17"/>
    <mergeCell ref="Z13:Z17"/>
    <mergeCell ref="T13:T17"/>
    <mergeCell ref="S13:S17"/>
    <mergeCell ref="R13:R17"/>
    <mergeCell ref="P87:P89"/>
    <mergeCell ref="Q87:Q89"/>
    <mergeCell ref="P90:P92"/>
    <mergeCell ref="Q90:Q92"/>
    <mergeCell ref="P93:P96"/>
    <mergeCell ref="Q93:Q96"/>
    <mergeCell ref="P97:P98"/>
    <mergeCell ref="Q97:Q98"/>
    <mergeCell ref="P69:P71"/>
    <mergeCell ref="Q69:Q71"/>
    <mergeCell ref="P72:P75"/>
    <mergeCell ref="Q72:Q75"/>
    <mergeCell ref="P76:P79"/>
    <mergeCell ref="Q76:Q79"/>
    <mergeCell ref="P80:P83"/>
    <mergeCell ref="Q80:Q83"/>
    <mergeCell ref="P84:P86"/>
    <mergeCell ref="Q84:Q86"/>
    <mergeCell ref="B20:B27"/>
    <mergeCell ref="I20:I27"/>
    <mergeCell ref="J20:J27"/>
    <mergeCell ref="K20:K27"/>
    <mergeCell ref="M20:M27"/>
    <mergeCell ref="I28:I36"/>
    <mergeCell ref="J28:J36"/>
    <mergeCell ref="K28:K36"/>
    <mergeCell ref="L28:L36"/>
    <mergeCell ref="M28:M36"/>
    <mergeCell ref="C76:C79"/>
    <mergeCell ref="A28:A36"/>
    <mergeCell ref="B28:B36"/>
    <mergeCell ref="C28:C36"/>
    <mergeCell ref="A37:A44"/>
    <mergeCell ref="B37:B44"/>
    <mergeCell ref="C37:C44"/>
    <mergeCell ref="A45:A47"/>
    <mergeCell ref="B45:B47"/>
    <mergeCell ref="C45:C47"/>
    <mergeCell ref="A58:A59"/>
    <mergeCell ref="C58:C59"/>
    <mergeCell ref="A66:A68"/>
    <mergeCell ref="B66:B89"/>
    <mergeCell ref="C66:C68"/>
    <mergeCell ref="B64:B65"/>
    <mergeCell ref="B48:B63"/>
    <mergeCell ref="I37:I44"/>
    <mergeCell ref="J37:J44"/>
    <mergeCell ref="K37:K44"/>
    <mergeCell ref="L37:L44"/>
    <mergeCell ref="A90:A92"/>
    <mergeCell ref="B90:B98"/>
    <mergeCell ref="C90:C92"/>
    <mergeCell ref="A93:A96"/>
    <mergeCell ref="C93:C96"/>
    <mergeCell ref="A97:A98"/>
    <mergeCell ref="C97:C98"/>
    <mergeCell ref="A80:A83"/>
    <mergeCell ref="C80:C83"/>
    <mergeCell ref="A84:A86"/>
    <mergeCell ref="C84:C86"/>
    <mergeCell ref="A87:A89"/>
    <mergeCell ref="C87:C89"/>
    <mergeCell ref="A69:A71"/>
    <mergeCell ref="C69:C71"/>
    <mergeCell ref="A72:A75"/>
    <mergeCell ref="C72:C75"/>
    <mergeCell ref="I45:I47"/>
    <mergeCell ref="J45:J47"/>
    <mergeCell ref="A76:A79"/>
    <mergeCell ref="L45:L47"/>
    <mergeCell ref="M45:M47"/>
    <mergeCell ref="L84:L86"/>
    <mergeCell ref="M84:M89"/>
    <mergeCell ref="I97:I98"/>
    <mergeCell ref="L76:L79"/>
    <mergeCell ref="M76:M83"/>
    <mergeCell ref="N76:N79"/>
    <mergeCell ref="L80:L83"/>
    <mergeCell ref="N80:N83"/>
    <mergeCell ref="I80:I83"/>
    <mergeCell ref="I76:I79"/>
    <mergeCell ref="J66:J89"/>
    <mergeCell ref="K66:K89"/>
    <mergeCell ref="L66:L68"/>
    <mergeCell ref="M66:M75"/>
    <mergeCell ref="N66:N68"/>
    <mergeCell ref="L69:L71"/>
    <mergeCell ref="N69:N71"/>
    <mergeCell ref="L72:L75"/>
    <mergeCell ref="I87:I89"/>
    <mergeCell ref="I84:I86"/>
    <mergeCell ref="N45:N47"/>
    <mergeCell ref="Q45:Q47"/>
    <mergeCell ref="P58:P59"/>
    <mergeCell ref="Q58:Q59"/>
    <mergeCell ref="P66:P68"/>
    <mergeCell ref="Q66:Q68"/>
    <mergeCell ref="J90:J98"/>
    <mergeCell ref="K90:K98"/>
    <mergeCell ref="L90:L92"/>
    <mergeCell ref="N84:N86"/>
    <mergeCell ref="L87:L89"/>
    <mergeCell ref="N87:N89"/>
    <mergeCell ref="L93:L96"/>
    <mergeCell ref="M93:M98"/>
    <mergeCell ref="N93:N96"/>
    <mergeCell ref="L97:L98"/>
    <mergeCell ref="O97:O98"/>
    <mergeCell ref="O76:O79"/>
    <mergeCell ref="O80:O83"/>
    <mergeCell ref="O84:O86"/>
    <mergeCell ref="M90:M92"/>
    <mergeCell ref="N90:N92"/>
    <mergeCell ref="N72:N75"/>
    <mergeCell ref="N97:N98"/>
    <mergeCell ref="K45:K47"/>
    <mergeCell ref="P20:P27"/>
    <mergeCell ref="Q20:Q27"/>
    <mergeCell ref="P28:P36"/>
    <mergeCell ref="I93:I96"/>
    <mergeCell ref="I90:I92"/>
    <mergeCell ref="O87:O89"/>
    <mergeCell ref="O90:O92"/>
    <mergeCell ref="O93:O96"/>
    <mergeCell ref="I58:I59"/>
    <mergeCell ref="I72:I75"/>
    <mergeCell ref="O28:O36"/>
    <mergeCell ref="O37:O44"/>
    <mergeCell ref="O45:O47"/>
    <mergeCell ref="O58:O59"/>
    <mergeCell ref="O66:O68"/>
    <mergeCell ref="N28:N36"/>
    <mergeCell ref="M37:M44"/>
    <mergeCell ref="N37:N44"/>
    <mergeCell ref="Q28:Q36"/>
    <mergeCell ref="P37:P44"/>
    <mergeCell ref="Q37:Q44"/>
    <mergeCell ref="P45:P47"/>
    <mergeCell ref="O69:O71"/>
    <mergeCell ref="O72:O75"/>
    <mergeCell ref="W49:W53"/>
    <mergeCell ref="T49:T53"/>
    <mergeCell ref="U49:U53"/>
    <mergeCell ref="D49:D51"/>
    <mergeCell ref="D52:D53"/>
    <mergeCell ref="S49:S53"/>
    <mergeCell ref="R49:R53"/>
    <mergeCell ref="I69:I71"/>
    <mergeCell ref="I66:I68"/>
    <mergeCell ref="N58:N59"/>
    <mergeCell ref="I64:I65"/>
    <mergeCell ref="J64:J65"/>
    <mergeCell ref="M64:M65"/>
    <mergeCell ref="K48:K65"/>
    <mergeCell ref="M49:M53"/>
    <mergeCell ref="L58:L59"/>
    <mergeCell ref="J48:J63"/>
    <mergeCell ref="M58:M63"/>
    <mergeCell ref="I49:I51"/>
    <mergeCell ref="I52:I53"/>
    <mergeCell ref="I60:I63"/>
  </mergeCells>
  <phoneticPr fontId="8" type="noConversion"/>
  <hyperlinks>
    <hyperlink ref="G6" location="'Table of Contents'!A1" display="x"/>
  </hyperlinks>
  <pageMargins left="0.45" right="0.2" top="0.5" bottom="0.5" header="0.3" footer="0.3"/>
  <pageSetup paperSize="5" scale="70" orientation="portrait" r:id="rId1"/>
  <headerFooter>
    <oddFooter>Page &amp;P of &amp;N</oddFooter>
  </headerFooter>
  <ignoredErrors>
    <ignoredError sqref="K19:K28 K37 K48" numberStoredAsText="1"/>
    <ignoredError sqref="B19:D100" formula="1"/>
  </ignoredErrors>
</worksheet>
</file>

<file path=xl/worksheets/sheet9.xml><?xml version="1.0" encoding="utf-8"?>
<worksheet xmlns="http://schemas.openxmlformats.org/spreadsheetml/2006/main" xmlns:r="http://schemas.openxmlformats.org/officeDocument/2006/relationships">
  <sheetPr>
    <tabColor rgb="FFFFFFCC"/>
    <pageSetUpPr fitToPage="1"/>
  </sheetPr>
  <dimension ref="A1:Z50"/>
  <sheetViews>
    <sheetView zoomScale="80" zoomScaleNormal="80" workbookViewId="0">
      <pane xSplit="3" ySplit="14" topLeftCell="D15" activePane="bottomRight" state="frozen"/>
      <selection activeCell="G6" sqref="G6"/>
      <selection pane="topRight" activeCell="G6" sqref="G6"/>
      <selection pane="bottomLeft" activeCell="G6" sqref="G6"/>
      <selection pane="bottomRight" activeCell="H23" sqref="H23"/>
    </sheetView>
  </sheetViews>
  <sheetFormatPr defaultColWidth="0" defaultRowHeight="12.75" zeroHeight="1"/>
  <cols>
    <col min="1" max="1" width="6.5703125" style="5132" customWidth="1"/>
    <col min="2" max="2" width="2.7109375" style="271" customWidth="1"/>
    <col min="3" max="4" width="4.7109375" style="271" customWidth="1"/>
    <col min="5" max="5" width="24.5703125" style="271" customWidth="1"/>
    <col min="6" max="6" width="24.28515625" style="271" customWidth="1"/>
    <col min="7" max="7" width="13.42578125" style="271" customWidth="1"/>
    <col min="8" max="8" width="8.28515625" style="271" customWidth="1"/>
    <col min="9" max="9" width="9.42578125" style="271" customWidth="1"/>
    <col min="10" max="10" width="6.140625" style="271" customWidth="1"/>
    <col min="11" max="11" width="12.28515625" style="271" customWidth="1"/>
    <col min="12" max="12" width="10" style="271" customWidth="1"/>
    <col min="13" max="13" width="16" style="271" customWidth="1"/>
    <col min="14" max="15" width="10.7109375" style="271" customWidth="1"/>
    <col min="16" max="16" width="13.5703125" style="271" customWidth="1"/>
    <col min="17" max="17" width="10.7109375" style="271" customWidth="1"/>
    <col min="18" max="18" width="12.7109375" style="271" customWidth="1"/>
    <col min="19" max="19" width="18.140625" style="271" customWidth="1"/>
    <col min="20" max="20" width="2.7109375" style="271" customWidth="1"/>
    <col min="21" max="26" width="40.7109375" style="5132" customWidth="1"/>
    <col min="27" max="16384" width="9.140625" style="5132" hidden="1"/>
  </cols>
  <sheetData>
    <row r="1" spans="1:20">
      <c r="B1" s="5133"/>
      <c r="C1" s="7405"/>
      <c r="D1" s="7405"/>
      <c r="E1" s="5133"/>
      <c r="F1" s="5133"/>
      <c r="G1" s="5133"/>
      <c r="H1" s="5133"/>
      <c r="I1" s="5133"/>
      <c r="J1" s="5133"/>
      <c r="K1" s="5133"/>
      <c r="L1" s="5133"/>
      <c r="M1" s="5133"/>
      <c r="N1" s="5133"/>
      <c r="O1" s="5133"/>
      <c r="P1" s="5133"/>
      <c r="Q1" s="5133"/>
      <c r="R1" s="5133"/>
      <c r="S1" s="5133"/>
      <c r="T1" s="5133"/>
    </row>
    <row r="2" spans="1:20">
      <c r="B2" s="5133"/>
      <c r="C2" s="5133"/>
      <c r="D2" s="8052" t="s">
        <v>2023</v>
      </c>
      <c r="E2" s="8053"/>
      <c r="F2" s="8054"/>
      <c r="G2" s="8054"/>
      <c r="H2" s="8054"/>
      <c r="I2" s="8054"/>
      <c r="J2" s="8054"/>
      <c r="K2" s="8054"/>
      <c r="L2" s="8054"/>
      <c r="M2" s="8054"/>
      <c r="N2" s="8054"/>
      <c r="O2" s="8054"/>
      <c r="P2" s="8055"/>
      <c r="Q2" s="5951"/>
      <c r="R2" s="5951"/>
      <c r="S2" s="5951"/>
      <c r="T2" s="5133"/>
    </row>
    <row r="3" spans="1:20">
      <c r="B3" s="5133"/>
      <c r="C3" s="5133"/>
      <c r="D3" s="8056" t="s">
        <v>2021</v>
      </c>
      <c r="E3" s="5121" t="s">
        <v>2831</v>
      </c>
      <c r="F3" s="7405"/>
      <c r="G3" s="7405"/>
      <c r="H3" s="7405"/>
      <c r="I3" s="7405"/>
      <c r="J3" s="7405"/>
      <c r="K3" s="7405"/>
      <c r="L3" s="7405"/>
      <c r="M3" s="7405"/>
      <c r="N3" s="7405"/>
      <c r="O3" s="7405"/>
      <c r="P3" s="8057"/>
      <c r="Q3" s="5951"/>
      <c r="R3" s="5951"/>
      <c r="S3" s="5951"/>
      <c r="T3" s="5133"/>
    </row>
    <row r="4" spans="1:20">
      <c r="B4" s="5133"/>
      <c r="C4" s="5133"/>
      <c r="D4" s="8056" t="s">
        <v>2021</v>
      </c>
      <c r="E4" s="7405" t="s">
        <v>2574</v>
      </c>
      <c r="F4" s="7405"/>
      <c r="G4" s="7405"/>
      <c r="H4" s="7405"/>
      <c r="I4" s="7405"/>
      <c r="J4" s="7405"/>
      <c r="K4" s="7405"/>
      <c r="L4" s="7405"/>
      <c r="M4" s="7405"/>
      <c r="N4" s="7405"/>
      <c r="O4" s="7405"/>
      <c r="P4" s="8057"/>
      <c r="Q4" s="5951"/>
      <c r="R4" s="5951"/>
      <c r="S4" s="5951"/>
      <c r="T4" s="5133"/>
    </row>
    <row r="5" spans="1:20">
      <c r="B5" s="5133"/>
      <c r="C5" s="5356"/>
      <c r="D5" s="8058" t="s">
        <v>2021</v>
      </c>
      <c r="E5" s="8059" t="s">
        <v>2832</v>
      </c>
      <c r="F5" s="8060"/>
      <c r="G5" s="8060"/>
      <c r="H5" s="8060"/>
      <c r="I5" s="8060"/>
      <c r="J5" s="8060"/>
      <c r="K5" s="8060"/>
      <c r="L5" s="8060"/>
      <c r="M5" s="8060"/>
      <c r="N5" s="8060"/>
      <c r="O5" s="8060"/>
      <c r="P5" s="8061"/>
      <c r="Q5" s="8062"/>
      <c r="R5" s="8062"/>
      <c r="S5" s="8062"/>
      <c r="T5" s="5356"/>
    </row>
    <row r="6" spans="1:20">
      <c r="B6" s="7086" t="s">
        <v>2430</v>
      </c>
      <c r="C6" s="5415"/>
      <c r="D6" s="5415"/>
      <c r="E6" s="5356"/>
      <c r="F6" s="5356"/>
      <c r="G6" s="5356"/>
      <c r="H6" s="5356"/>
      <c r="I6" s="5356"/>
      <c r="J6" s="5356"/>
      <c r="K6" s="5356"/>
      <c r="L6" s="5356"/>
      <c r="M6" s="5356"/>
      <c r="N6" s="5356"/>
      <c r="O6" s="5356"/>
      <c r="P6" s="5356"/>
      <c r="Q6" s="5356"/>
      <c r="R6" s="5356"/>
      <c r="S6" s="5356"/>
      <c r="T6" s="5356"/>
    </row>
    <row r="7" spans="1:20">
      <c r="B7" s="5132"/>
      <c r="C7" s="6396"/>
      <c r="D7" s="6396"/>
      <c r="E7" s="5348"/>
      <c r="F7" s="5348"/>
      <c r="G7" s="5348"/>
      <c r="H7" s="5348"/>
      <c r="I7" s="5348"/>
      <c r="J7" s="5348"/>
      <c r="K7" s="5348"/>
      <c r="L7" s="5348"/>
      <c r="M7" s="5348"/>
      <c r="N7" s="5348"/>
      <c r="O7" s="5348"/>
      <c r="P7" s="5348"/>
      <c r="Q7" s="5348"/>
      <c r="R7" s="5348"/>
      <c r="S7" s="5348"/>
      <c r="T7" s="5348"/>
    </row>
    <row r="8" spans="1:20">
      <c r="B8" s="5133"/>
      <c r="C8" s="5133"/>
      <c r="D8" s="5133"/>
      <c r="E8" s="5356"/>
      <c r="F8" s="5356"/>
      <c r="G8" s="5356"/>
      <c r="H8" s="5356"/>
      <c r="I8" s="5356"/>
      <c r="J8" s="5356"/>
      <c r="K8" s="5356"/>
      <c r="L8" s="5356"/>
      <c r="M8" s="5356"/>
      <c r="N8" s="5356"/>
      <c r="O8" s="5356"/>
      <c r="P8" s="5356"/>
      <c r="Q8" s="5356"/>
      <c r="R8" s="5356"/>
      <c r="S8" s="5356"/>
      <c r="T8" s="5356"/>
    </row>
    <row r="9" spans="1:20" ht="18">
      <c r="B9" s="5133"/>
      <c r="C9" s="5415"/>
      <c r="D9" s="7951" t="s">
        <v>2830</v>
      </c>
      <c r="E9" s="5133"/>
      <c r="F9" s="5356"/>
      <c r="G9" s="5356"/>
      <c r="H9" s="5356"/>
      <c r="I9" s="5356"/>
      <c r="J9" s="5356"/>
      <c r="K9" s="5356"/>
      <c r="L9" s="5356"/>
      <c r="M9" s="5356"/>
      <c r="N9" s="5356"/>
      <c r="O9" s="5356"/>
      <c r="P9" s="5356"/>
      <c r="Q9" s="5356"/>
      <c r="R9" s="5356"/>
      <c r="S9" s="7952"/>
      <c r="T9" s="5356"/>
    </row>
    <row r="10" spans="1:20" ht="13.5" thickBot="1">
      <c r="B10" s="5133"/>
      <c r="C10" s="5415"/>
      <c r="D10" s="5415"/>
      <c r="E10" s="5356"/>
      <c r="F10" s="5356"/>
      <c r="G10" s="5356"/>
      <c r="H10" s="5356"/>
      <c r="I10" s="5356"/>
      <c r="J10" s="5356"/>
      <c r="K10" s="5356"/>
      <c r="L10" s="5356"/>
      <c r="M10" s="5356"/>
      <c r="N10" s="5356"/>
      <c r="O10" s="5356"/>
      <c r="P10" s="5356"/>
      <c r="Q10" s="5356"/>
      <c r="R10" s="5356"/>
      <c r="S10" s="7781" t="s">
        <v>2132</v>
      </c>
      <c r="T10" s="5356"/>
    </row>
    <row r="11" spans="1:20">
      <c r="A11" s="7085"/>
      <c r="B11" s="5949"/>
      <c r="C11" s="9821" t="s">
        <v>382</v>
      </c>
      <c r="D11" s="9818" t="s">
        <v>320</v>
      </c>
      <c r="E11" s="9818" t="s">
        <v>2569</v>
      </c>
      <c r="F11" s="9842" t="s">
        <v>1095</v>
      </c>
      <c r="G11" s="9842" t="s">
        <v>850</v>
      </c>
      <c r="H11" s="9766" t="s">
        <v>851</v>
      </c>
      <c r="I11" s="9821" t="s">
        <v>849</v>
      </c>
      <c r="J11" s="9766" t="s">
        <v>852</v>
      </c>
      <c r="K11" s="9794" t="s">
        <v>853</v>
      </c>
      <c r="L11" s="9795"/>
      <c r="M11" s="9795"/>
      <c r="N11" s="9795"/>
      <c r="O11" s="9795"/>
      <c r="P11" s="9795"/>
      <c r="Q11" s="9795"/>
      <c r="R11" s="9796"/>
      <c r="S11" s="7953"/>
      <c r="T11" s="6126"/>
    </row>
    <row r="12" spans="1:20">
      <c r="A12" s="7085"/>
      <c r="B12" s="5949"/>
      <c r="C12" s="9822"/>
      <c r="D12" s="9819"/>
      <c r="E12" s="9819"/>
      <c r="F12" s="9819"/>
      <c r="G12" s="9819"/>
      <c r="H12" s="9767"/>
      <c r="I12" s="9822"/>
      <c r="J12" s="9767"/>
      <c r="K12" s="9797" t="s">
        <v>854</v>
      </c>
      <c r="L12" s="9798"/>
      <c r="M12" s="9799"/>
      <c r="N12" s="9798" t="s">
        <v>855</v>
      </c>
      <c r="O12" s="9798"/>
      <c r="P12" s="9798"/>
      <c r="Q12" s="9798"/>
      <c r="R12" s="7954"/>
      <c r="S12" s="7955"/>
      <c r="T12" s="6126"/>
    </row>
    <row r="13" spans="1:20" ht="33.75" customHeight="1">
      <c r="A13" s="7085"/>
      <c r="B13" s="5949"/>
      <c r="C13" s="9822"/>
      <c r="D13" s="9819"/>
      <c r="E13" s="9819"/>
      <c r="F13" s="9819"/>
      <c r="G13" s="9819"/>
      <c r="H13" s="9767"/>
      <c r="I13" s="9822"/>
      <c r="J13" s="9767"/>
      <c r="K13" s="7956" t="s">
        <v>2560</v>
      </c>
      <c r="L13" s="7957" t="s">
        <v>2561</v>
      </c>
      <c r="M13" s="7958" t="s">
        <v>1168</v>
      </c>
      <c r="N13" s="7957" t="s">
        <v>847</v>
      </c>
      <c r="O13" s="7957" t="s">
        <v>856</v>
      </c>
      <c r="P13" s="7959" t="s">
        <v>899</v>
      </c>
      <c r="Q13" s="7960" t="s">
        <v>1094</v>
      </c>
      <c r="R13" s="7954" t="s">
        <v>988</v>
      </c>
      <c r="S13" s="7958" t="s">
        <v>858</v>
      </c>
      <c r="T13" s="6126"/>
    </row>
    <row r="14" spans="1:20">
      <c r="A14" s="7085"/>
      <c r="B14" s="5949"/>
      <c r="C14" s="9823"/>
      <c r="D14" s="9820"/>
      <c r="E14" s="9820"/>
      <c r="F14" s="9820"/>
      <c r="G14" s="9820"/>
      <c r="H14" s="9768"/>
      <c r="I14" s="9823"/>
      <c r="J14" s="9768"/>
      <c r="K14" s="8046" t="s">
        <v>417</v>
      </c>
      <c r="L14" s="8047" t="s">
        <v>417</v>
      </c>
      <c r="M14" s="8048" t="s">
        <v>417</v>
      </c>
      <c r="N14" s="8047" t="s">
        <v>987</v>
      </c>
      <c r="O14" s="8047" t="s">
        <v>417</v>
      </c>
      <c r="P14" s="8049"/>
      <c r="Q14" s="8050"/>
      <c r="R14" s="8051"/>
      <c r="S14" s="8048" t="s">
        <v>117</v>
      </c>
      <c r="T14" s="6126"/>
    </row>
    <row r="15" spans="1:20" s="8034" customFormat="1" thickBot="1">
      <c r="B15" s="7961"/>
      <c r="C15" s="7962">
        <v>1</v>
      </c>
      <c r="D15" s="7962" t="s">
        <v>382</v>
      </c>
      <c r="E15" s="7962">
        <f>1+C15</f>
        <v>2</v>
      </c>
      <c r="F15" s="7962">
        <f>1+E15</f>
        <v>3</v>
      </c>
      <c r="G15" s="7962">
        <f t="shared" ref="G15:S15" si="0">1+F15</f>
        <v>4</v>
      </c>
      <c r="H15" s="7962">
        <f t="shared" si="0"/>
        <v>5</v>
      </c>
      <c r="I15" s="7962">
        <f t="shared" si="0"/>
        <v>6</v>
      </c>
      <c r="J15" s="7962">
        <f t="shared" si="0"/>
        <v>7</v>
      </c>
      <c r="K15" s="7962">
        <f t="shared" si="0"/>
        <v>8</v>
      </c>
      <c r="L15" s="7962">
        <f t="shared" si="0"/>
        <v>9</v>
      </c>
      <c r="M15" s="7962">
        <f t="shared" si="0"/>
        <v>10</v>
      </c>
      <c r="N15" s="7962">
        <f t="shared" si="0"/>
        <v>11</v>
      </c>
      <c r="O15" s="7962">
        <f t="shared" si="0"/>
        <v>12</v>
      </c>
      <c r="P15" s="7962">
        <f t="shared" si="0"/>
        <v>13</v>
      </c>
      <c r="Q15" s="7962">
        <f t="shared" si="0"/>
        <v>14</v>
      </c>
      <c r="R15" s="7962">
        <f t="shared" si="0"/>
        <v>15</v>
      </c>
      <c r="S15" s="7962">
        <f t="shared" si="0"/>
        <v>16</v>
      </c>
      <c r="T15" s="7961"/>
    </row>
    <row r="16" spans="1:20" ht="26.25" thickBot="1">
      <c r="B16" s="5133"/>
      <c r="C16" s="7963">
        <v>1</v>
      </c>
      <c r="D16" s="8037">
        <v>1</v>
      </c>
      <c r="E16" s="7964" t="s">
        <v>332</v>
      </c>
      <c r="F16" s="7795" t="s">
        <v>342</v>
      </c>
      <c r="G16" s="9815" t="s">
        <v>794</v>
      </c>
      <c r="H16" s="7965">
        <v>1</v>
      </c>
      <c r="I16" s="7964" t="s">
        <v>494</v>
      </c>
      <c r="J16" s="7966"/>
      <c r="K16" s="9772" t="s">
        <v>1166</v>
      </c>
      <c r="L16" s="9773"/>
      <c r="M16" s="9774"/>
      <c r="N16" s="9775" t="s">
        <v>1166</v>
      </c>
      <c r="O16" s="9776"/>
      <c r="P16" s="9776"/>
      <c r="Q16" s="9776"/>
      <c r="R16" s="7967" t="s">
        <v>494</v>
      </c>
      <c r="S16" s="7968"/>
      <c r="T16" s="5356"/>
    </row>
    <row r="17" spans="2:20" ht="27.75" thickBot="1">
      <c r="B17" s="5133"/>
      <c r="C17" s="7969">
        <f>1+C16</f>
        <v>2</v>
      </c>
      <c r="D17" s="8038">
        <v>2</v>
      </c>
      <c r="E17" s="7970" t="s">
        <v>507</v>
      </c>
      <c r="F17" s="7971" t="s">
        <v>325</v>
      </c>
      <c r="G17" s="9816"/>
      <c r="H17" s="7972">
        <v>8</v>
      </c>
      <c r="I17" s="7970" t="s">
        <v>898</v>
      </c>
      <c r="J17" s="7973"/>
      <c r="K17" s="9777" t="s">
        <v>897</v>
      </c>
      <c r="L17" s="9778"/>
      <c r="M17" s="7974" t="s">
        <v>2562</v>
      </c>
      <c r="N17" s="7975">
        <v>5</v>
      </c>
      <c r="O17" s="7976">
        <v>0.06</v>
      </c>
      <c r="P17" s="7977" t="s">
        <v>2563</v>
      </c>
      <c r="Q17" s="7978"/>
      <c r="R17" s="7979" t="s">
        <v>494</v>
      </c>
      <c r="S17" s="7980" t="s">
        <v>2564</v>
      </c>
      <c r="T17" s="5356"/>
    </row>
    <row r="18" spans="2:20" ht="15.95" customHeight="1" thickBot="1">
      <c r="B18" s="5133"/>
      <c r="C18" s="7969">
        <f>1+C17</f>
        <v>3</v>
      </c>
      <c r="D18" s="8038">
        <v>3</v>
      </c>
      <c r="E18" s="7981" t="s">
        <v>331</v>
      </c>
      <c r="F18" s="7971" t="s">
        <v>355</v>
      </c>
      <c r="G18" s="9816"/>
      <c r="H18" s="7972">
        <v>1</v>
      </c>
      <c r="I18" s="7981" t="s">
        <v>408</v>
      </c>
      <c r="J18" s="7973">
        <v>1</v>
      </c>
      <c r="K18" s="9779" t="s">
        <v>1125</v>
      </c>
      <c r="L18" s="9780"/>
      <c r="M18" s="9781"/>
      <c r="N18" s="7975">
        <v>20</v>
      </c>
      <c r="O18" s="7976">
        <v>7.0000000000000007E-2</v>
      </c>
      <c r="P18" s="7977" t="s">
        <v>494</v>
      </c>
      <c r="Q18" s="7978"/>
      <c r="R18" s="7979" t="s">
        <v>1167</v>
      </c>
      <c r="S18" s="7980" t="s">
        <v>1164</v>
      </c>
      <c r="T18" s="5356"/>
    </row>
    <row r="19" spans="2:20" ht="15.95" customHeight="1" thickBot="1">
      <c r="B19" s="5133"/>
      <c r="C19" s="7969">
        <f t="shared" ref="C19:C27" si="1">1+C18</f>
        <v>4</v>
      </c>
      <c r="D19" s="8038">
        <v>4</v>
      </c>
      <c r="E19" s="7981" t="s">
        <v>539</v>
      </c>
      <c r="F19" s="7971" t="s">
        <v>496</v>
      </c>
      <c r="G19" s="9816"/>
      <c r="H19" s="7972">
        <v>1</v>
      </c>
      <c r="I19" s="7981" t="s">
        <v>408</v>
      </c>
      <c r="J19" s="7973">
        <v>1</v>
      </c>
      <c r="K19" s="7982">
        <v>0.54</v>
      </c>
      <c r="L19" s="7983">
        <v>0.17</v>
      </c>
      <c r="M19" s="7984">
        <v>0.15</v>
      </c>
      <c r="N19" s="7975">
        <v>20</v>
      </c>
      <c r="O19" s="7976">
        <v>7.0000000000000007E-2</v>
      </c>
      <c r="P19" s="7977"/>
      <c r="Q19" s="7978">
        <v>9.4390000000000002E-2</v>
      </c>
      <c r="R19" s="7979" t="s">
        <v>1167</v>
      </c>
      <c r="S19" s="7980">
        <v>50</v>
      </c>
      <c r="T19" s="5356"/>
    </row>
    <row r="20" spans="2:20" ht="15.95" customHeight="1" thickBot="1">
      <c r="B20" s="5133"/>
      <c r="C20" s="7985">
        <f t="shared" si="1"/>
        <v>5</v>
      </c>
      <c r="D20" s="8039">
        <v>5</v>
      </c>
      <c r="E20" s="7986" t="s">
        <v>610</v>
      </c>
      <c r="F20" s="6056" t="s">
        <v>330</v>
      </c>
      <c r="G20" s="9816"/>
      <c r="H20" s="7987">
        <v>1</v>
      </c>
      <c r="I20" s="7986" t="s">
        <v>494</v>
      </c>
      <c r="J20" s="7988"/>
      <c r="K20" s="9779" t="s">
        <v>1125</v>
      </c>
      <c r="L20" s="9780"/>
      <c r="M20" s="9781"/>
      <c r="N20" s="9775" t="s">
        <v>1125</v>
      </c>
      <c r="O20" s="9776"/>
      <c r="P20" s="9776"/>
      <c r="Q20" s="9776"/>
      <c r="R20" s="7989" t="s">
        <v>494</v>
      </c>
      <c r="S20" s="7990" t="s">
        <v>1125</v>
      </c>
      <c r="T20" s="5356"/>
    </row>
    <row r="21" spans="2:20" ht="15.95" customHeight="1">
      <c r="B21" s="5133"/>
      <c r="C21" s="7991">
        <f t="shared" si="1"/>
        <v>6</v>
      </c>
      <c r="D21" s="8041">
        <v>6</v>
      </c>
      <c r="E21" s="9812" t="s">
        <v>611</v>
      </c>
      <c r="F21" s="7992" t="s">
        <v>475</v>
      </c>
      <c r="G21" s="9816"/>
      <c r="H21" s="7993">
        <v>1</v>
      </c>
      <c r="I21" s="9809" t="s">
        <v>611</v>
      </c>
      <c r="J21" s="9788">
        <v>2</v>
      </c>
      <c r="K21" s="9791">
        <v>0.45</v>
      </c>
      <c r="L21" s="9785">
        <v>0.33</v>
      </c>
      <c r="M21" s="9806" t="s">
        <v>2565</v>
      </c>
      <c r="N21" s="9782">
        <v>15</v>
      </c>
      <c r="O21" s="9785">
        <v>0.09</v>
      </c>
      <c r="P21" s="9785" t="s">
        <v>1165</v>
      </c>
      <c r="Q21" s="9769">
        <v>0.1241</v>
      </c>
      <c r="R21" s="9803" t="s">
        <v>494</v>
      </c>
      <c r="S21" s="9800" t="s">
        <v>860</v>
      </c>
      <c r="T21" s="5356"/>
    </row>
    <row r="22" spans="2:20" ht="15.95" customHeight="1">
      <c r="B22" s="5133"/>
      <c r="C22" s="7994">
        <f t="shared" si="1"/>
        <v>7</v>
      </c>
      <c r="D22" s="8042">
        <v>7</v>
      </c>
      <c r="E22" s="9813"/>
      <c r="F22" s="7995" t="s">
        <v>344</v>
      </c>
      <c r="G22" s="9816"/>
      <c r="H22" s="7996">
        <v>5</v>
      </c>
      <c r="I22" s="9810"/>
      <c r="J22" s="9789"/>
      <c r="K22" s="9792"/>
      <c r="L22" s="9786"/>
      <c r="M22" s="9807"/>
      <c r="N22" s="9783"/>
      <c r="O22" s="9786"/>
      <c r="P22" s="9786"/>
      <c r="Q22" s="9770"/>
      <c r="R22" s="9804"/>
      <c r="S22" s="9801"/>
      <c r="T22" s="5356"/>
    </row>
    <row r="23" spans="2:20" ht="15.95" customHeight="1">
      <c r="B23" s="5133"/>
      <c r="C23" s="7994">
        <f t="shared" si="1"/>
        <v>8</v>
      </c>
      <c r="D23" s="8042">
        <v>8</v>
      </c>
      <c r="E23" s="9813"/>
      <c r="F23" s="7997" t="s">
        <v>347</v>
      </c>
      <c r="G23" s="9816"/>
      <c r="H23" s="7996">
        <v>1</v>
      </c>
      <c r="I23" s="9810"/>
      <c r="J23" s="9789"/>
      <c r="K23" s="9792"/>
      <c r="L23" s="9786"/>
      <c r="M23" s="9807"/>
      <c r="N23" s="9783"/>
      <c r="O23" s="9786"/>
      <c r="P23" s="9786"/>
      <c r="Q23" s="9770"/>
      <c r="R23" s="9804"/>
      <c r="S23" s="9801"/>
      <c r="T23" s="5356"/>
    </row>
    <row r="24" spans="2:20" ht="15.95" customHeight="1">
      <c r="B24" s="5133"/>
      <c r="C24" s="7994">
        <f t="shared" si="1"/>
        <v>9</v>
      </c>
      <c r="D24" s="8042">
        <v>9</v>
      </c>
      <c r="E24" s="9813"/>
      <c r="F24" s="7997" t="s">
        <v>354</v>
      </c>
      <c r="G24" s="9816"/>
      <c r="H24" s="7996">
        <v>1</v>
      </c>
      <c r="I24" s="9810"/>
      <c r="J24" s="9789"/>
      <c r="K24" s="9792"/>
      <c r="L24" s="9786"/>
      <c r="M24" s="9807"/>
      <c r="N24" s="9783"/>
      <c r="O24" s="9786"/>
      <c r="P24" s="9786"/>
      <c r="Q24" s="9770"/>
      <c r="R24" s="9804"/>
      <c r="S24" s="9801"/>
      <c r="T24" s="5356"/>
    </row>
    <row r="25" spans="2:20" ht="15.95" customHeight="1">
      <c r="B25" s="5133"/>
      <c r="C25" s="7994">
        <f t="shared" si="1"/>
        <v>10</v>
      </c>
      <c r="D25" s="8042">
        <v>10</v>
      </c>
      <c r="E25" s="9813"/>
      <c r="F25" s="7997" t="s">
        <v>500</v>
      </c>
      <c r="G25" s="9816"/>
      <c r="H25" s="7996">
        <v>1</v>
      </c>
      <c r="I25" s="9810"/>
      <c r="J25" s="9789"/>
      <c r="K25" s="9792"/>
      <c r="L25" s="9786"/>
      <c r="M25" s="9807"/>
      <c r="N25" s="9783"/>
      <c r="O25" s="9786"/>
      <c r="P25" s="9786"/>
      <c r="Q25" s="9770"/>
      <c r="R25" s="9804"/>
      <c r="S25" s="9801"/>
      <c r="T25" s="5356"/>
    </row>
    <row r="26" spans="2:20" ht="15.95" customHeight="1">
      <c r="B26" s="5133"/>
      <c r="C26" s="7994">
        <f t="shared" si="1"/>
        <v>11</v>
      </c>
      <c r="D26" s="8042">
        <v>11</v>
      </c>
      <c r="E26" s="9813"/>
      <c r="F26" s="7997" t="s">
        <v>351</v>
      </c>
      <c r="G26" s="9816"/>
      <c r="H26" s="7996">
        <v>1</v>
      </c>
      <c r="I26" s="9810"/>
      <c r="J26" s="9789"/>
      <c r="K26" s="9792"/>
      <c r="L26" s="9786"/>
      <c r="M26" s="9807"/>
      <c r="N26" s="9783"/>
      <c r="O26" s="9786"/>
      <c r="P26" s="9786"/>
      <c r="Q26" s="9770"/>
      <c r="R26" s="9804"/>
      <c r="S26" s="9801"/>
      <c r="T26" s="5356"/>
    </row>
    <row r="27" spans="2:20" ht="15.95" customHeight="1" thickBot="1">
      <c r="B27" s="5133"/>
      <c r="C27" s="7998">
        <f t="shared" si="1"/>
        <v>12</v>
      </c>
      <c r="D27" s="8043">
        <v>12</v>
      </c>
      <c r="E27" s="9814"/>
      <c r="F27" s="7999" t="s">
        <v>345</v>
      </c>
      <c r="G27" s="9817"/>
      <c r="H27" s="7987">
        <v>5</v>
      </c>
      <c r="I27" s="9811"/>
      <c r="J27" s="9790"/>
      <c r="K27" s="9793"/>
      <c r="L27" s="9787"/>
      <c r="M27" s="9808"/>
      <c r="N27" s="9784"/>
      <c r="O27" s="9787"/>
      <c r="P27" s="9787"/>
      <c r="Q27" s="9771"/>
      <c r="R27" s="9805"/>
      <c r="S27" s="9802"/>
      <c r="T27" s="5356"/>
    </row>
    <row r="28" spans="2:20" s="5135" customFormat="1" ht="13.5" thickBot="1">
      <c r="B28" s="7405"/>
      <c r="C28" s="8000"/>
      <c r="D28" s="8000"/>
      <c r="E28" s="8001"/>
      <c r="F28" s="8002"/>
      <c r="G28" s="8002"/>
      <c r="H28" s="8003"/>
      <c r="I28" s="8001"/>
      <c r="J28" s="8004"/>
      <c r="K28" s="8005"/>
      <c r="L28" s="8005"/>
      <c r="M28" s="8006"/>
      <c r="N28" s="8007"/>
      <c r="O28" s="8006"/>
      <c r="P28" s="8006"/>
      <c r="Q28" s="8008"/>
      <c r="R28" s="8008"/>
      <c r="S28" s="8009"/>
      <c r="T28" s="5415"/>
    </row>
    <row r="29" spans="2:20" ht="26.25" thickBot="1">
      <c r="B29" s="5133"/>
      <c r="C29" s="8010">
        <f>1+C27</f>
        <v>13</v>
      </c>
      <c r="D29" s="8040">
        <v>1</v>
      </c>
      <c r="E29" s="8011" t="s">
        <v>611</v>
      </c>
      <c r="F29" s="7971" t="s">
        <v>478</v>
      </c>
      <c r="G29" s="7971" t="s">
        <v>99</v>
      </c>
      <c r="H29" s="7972">
        <v>2</v>
      </c>
      <c r="I29" s="8011" t="s">
        <v>611</v>
      </c>
      <c r="J29" s="8012">
        <v>2</v>
      </c>
      <c r="K29" s="8013">
        <v>0.45</v>
      </c>
      <c r="L29" s="8014">
        <v>0.33</v>
      </c>
      <c r="M29" s="8015" t="s">
        <v>2566</v>
      </c>
      <c r="N29" s="8016">
        <v>15</v>
      </c>
      <c r="O29" s="8017">
        <v>0.09</v>
      </c>
      <c r="P29" s="8018"/>
      <c r="Q29" s="8019">
        <v>0.1241</v>
      </c>
      <c r="R29" s="8020" t="s">
        <v>494</v>
      </c>
      <c r="S29" s="7980" t="s">
        <v>859</v>
      </c>
      <c r="T29" s="5356"/>
    </row>
    <row r="30" spans="2:20" s="5135" customFormat="1" ht="13.5" thickBot="1">
      <c r="B30" s="7405"/>
      <c r="C30" s="8003"/>
      <c r="D30" s="8003"/>
      <c r="E30" s="8021"/>
      <c r="F30" s="8022"/>
      <c r="G30" s="8022"/>
      <c r="H30" s="8003"/>
      <c r="I30" s="8023" t="s">
        <v>939</v>
      </c>
      <c r="J30" s="8024"/>
      <c r="K30" s="8025"/>
      <c r="L30" s="8025"/>
      <c r="M30" s="8026"/>
      <c r="N30" s="8027"/>
      <c r="O30" s="8026"/>
      <c r="P30" s="8026"/>
      <c r="Q30" s="8028"/>
      <c r="R30" s="8028"/>
      <c r="S30" s="8009"/>
      <c r="T30" s="5415"/>
    </row>
    <row r="31" spans="2:20" ht="15.95" customHeight="1">
      <c r="B31" s="5133"/>
      <c r="C31" s="7991">
        <f>1+C29</f>
        <v>14</v>
      </c>
      <c r="D31" s="8041">
        <v>1</v>
      </c>
      <c r="E31" s="9812" t="s">
        <v>611</v>
      </c>
      <c r="F31" s="7992" t="s">
        <v>500</v>
      </c>
      <c r="G31" s="9815" t="s">
        <v>544</v>
      </c>
      <c r="H31" s="7993">
        <v>3</v>
      </c>
      <c r="I31" s="9809" t="s">
        <v>611</v>
      </c>
      <c r="J31" s="9788" t="s">
        <v>2567</v>
      </c>
      <c r="K31" s="9791">
        <v>0.45</v>
      </c>
      <c r="L31" s="9785" t="s">
        <v>2568</v>
      </c>
      <c r="M31" s="9806">
        <v>0.15</v>
      </c>
      <c r="N31" s="9782">
        <v>5</v>
      </c>
      <c r="O31" s="9785">
        <v>0.09</v>
      </c>
      <c r="P31" s="9785" t="s">
        <v>1165</v>
      </c>
      <c r="Q31" s="9769">
        <v>0.2571</v>
      </c>
      <c r="R31" s="9803" t="s">
        <v>494</v>
      </c>
      <c r="S31" s="9800" t="s">
        <v>860</v>
      </c>
      <c r="T31" s="5356"/>
    </row>
    <row r="32" spans="2:20" ht="15.95" customHeight="1">
      <c r="B32" s="5133"/>
      <c r="C32" s="7994">
        <f>1+C31</f>
        <v>15</v>
      </c>
      <c r="D32" s="8042">
        <v>2</v>
      </c>
      <c r="E32" s="9813"/>
      <c r="F32" s="7997" t="s">
        <v>478</v>
      </c>
      <c r="G32" s="9816"/>
      <c r="H32" s="7996">
        <v>2</v>
      </c>
      <c r="I32" s="9810"/>
      <c r="J32" s="9789"/>
      <c r="K32" s="9792"/>
      <c r="L32" s="9786"/>
      <c r="M32" s="9807"/>
      <c r="N32" s="9783"/>
      <c r="O32" s="9786"/>
      <c r="P32" s="9786"/>
      <c r="Q32" s="9770"/>
      <c r="R32" s="9804"/>
      <c r="S32" s="9801"/>
      <c r="T32" s="5356"/>
    </row>
    <row r="33" spans="2:20" ht="15.95" customHeight="1" thickBot="1">
      <c r="B33" s="5133"/>
      <c r="C33" s="7998">
        <f>1+C32</f>
        <v>16</v>
      </c>
      <c r="D33" s="8043">
        <v>3</v>
      </c>
      <c r="E33" s="9814"/>
      <c r="F33" s="7999" t="s">
        <v>351</v>
      </c>
      <c r="G33" s="9816"/>
      <c r="H33" s="7987">
        <v>2</v>
      </c>
      <c r="I33" s="9811"/>
      <c r="J33" s="9790"/>
      <c r="K33" s="9793"/>
      <c r="L33" s="9787"/>
      <c r="M33" s="9808"/>
      <c r="N33" s="9784"/>
      <c r="O33" s="9787"/>
      <c r="P33" s="9787"/>
      <c r="Q33" s="9771"/>
      <c r="R33" s="9805"/>
      <c r="S33" s="9802"/>
      <c r="T33" s="5356"/>
    </row>
    <row r="34" spans="2:20" ht="15.95" customHeight="1">
      <c r="B34" s="5133"/>
      <c r="C34" s="8029">
        <f>1+C33</f>
        <v>17</v>
      </c>
      <c r="D34" s="8044">
        <v>4</v>
      </c>
      <c r="E34" s="9824" t="s">
        <v>610</v>
      </c>
      <c r="F34" s="8030" t="s">
        <v>330</v>
      </c>
      <c r="G34" s="9816"/>
      <c r="H34" s="8031">
        <v>2</v>
      </c>
      <c r="I34" s="9826" t="s">
        <v>494</v>
      </c>
      <c r="J34" s="9828"/>
      <c r="K34" s="9830" t="s">
        <v>1125</v>
      </c>
      <c r="L34" s="9831"/>
      <c r="M34" s="9832"/>
      <c r="N34" s="9836" t="s">
        <v>1125</v>
      </c>
      <c r="O34" s="9837"/>
      <c r="P34" s="9837"/>
      <c r="Q34" s="9837"/>
      <c r="R34" s="9840" t="s">
        <v>494</v>
      </c>
      <c r="S34" s="9800" t="s">
        <v>1125</v>
      </c>
      <c r="T34" s="5356"/>
    </row>
    <row r="35" spans="2:20" ht="15.95" customHeight="1" thickBot="1">
      <c r="B35" s="5133"/>
      <c r="C35" s="7985">
        <f>1+C34</f>
        <v>18</v>
      </c>
      <c r="D35" s="8045">
        <v>5</v>
      </c>
      <c r="E35" s="9825"/>
      <c r="F35" s="6056" t="s">
        <v>350</v>
      </c>
      <c r="G35" s="9817"/>
      <c r="H35" s="7987">
        <v>1</v>
      </c>
      <c r="I35" s="9827"/>
      <c r="J35" s="9829"/>
      <c r="K35" s="9833"/>
      <c r="L35" s="9834"/>
      <c r="M35" s="9835"/>
      <c r="N35" s="9838"/>
      <c r="O35" s="9839"/>
      <c r="P35" s="9839"/>
      <c r="Q35" s="9839"/>
      <c r="R35" s="9841"/>
      <c r="S35" s="9802"/>
      <c r="T35" s="5356"/>
    </row>
    <row r="36" spans="2:20">
      <c r="B36" s="5133"/>
      <c r="C36" s="5415"/>
      <c r="D36" s="5415"/>
      <c r="E36" s="5356"/>
      <c r="F36" s="5356"/>
      <c r="G36" s="5356"/>
      <c r="H36" s="5356"/>
      <c r="I36" s="5356"/>
      <c r="J36" s="5356"/>
      <c r="K36" s="5356"/>
      <c r="L36" s="5356"/>
      <c r="M36" s="5356"/>
      <c r="N36" s="5356"/>
      <c r="O36" s="5356"/>
      <c r="P36" s="5356"/>
      <c r="Q36" s="5356"/>
      <c r="R36" s="8036" t="s">
        <v>2126</v>
      </c>
      <c r="S36" s="8035">
        <v>40722</v>
      </c>
      <c r="T36" s="5356"/>
    </row>
    <row r="37" spans="2:20">
      <c r="B37" s="5133"/>
      <c r="C37" s="6371" t="s">
        <v>848</v>
      </c>
      <c r="D37" s="6371"/>
      <c r="E37" s="5356"/>
      <c r="F37" s="5356"/>
      <c r="G37" s="5356"/>
      <c r="H37" s="5356"/>
      <c r="I37" s="5356"/>
      <c r="J37" s="5356"/>
      <c r="K37" s="5356"/>
      <c r="L37" s="6911" t="s">
        <v>991</v>
      </c>
      <c r="M37" s="5356"/>
      <c r="N37" s="5356"/>
      <c r="O37" s="5356"/>
      <c r="P37" s="5356"/>
      <c r="Q37" s="5356"/>
      <c r="R37" s="5356"/>
      <c r="S37" s="5356"/>
      <c r="T37" s="5356"/>
    </row>
    <row r="38" spans="2:20">
      <c r="B38" s="5133"/>
      <c r="C38" s="8032">
        <v>1</v>
      </c>
      <c r="D38" s="5133" t="s">
        <v>2570</v>
      </c>
      <c r="E38" s="5133"/>
      <c r="F38" s="5356"/>
      <c r="G38" s="5356"/>
      <c r="H38" s="5356"/>
      <c r="I38" s="5356"/>
      <c r="J38" s="5356"/>
      <c r="K38" s="5356"/>
      <c r="L38" s="6911" t="s">
        <v>894</v>
      </c>
      <c r="M38" s="5133" t="s">
        <v>2571</v>
      </c>
      <c r="N38" s="5356"/>
      <c r="O38" s="5356"/>
      <c r="P38" s="5356"/>
      <c r="Q38" s="5356"/>
      <c r="R38" s="5356"/>
      <c r="S38" s="5356"/>
      <c r="T38" s="5356"/>
    </row>
    <row r="39" spans="2:20">
      <c r="B39" s="5133"/>
      <c r="C39" s="8032">
        <v>2</v>
      </c>
      <c r="D39" s="5133" t="s">
        <v>862</v>
      </c>
      <c r="E39" s="5133"/>
      <c r="F39" s="5356"/>
      <c r="G39" s="5356"/>
      <c r="H39" s="5356"/>
      <c r="I39" s="5356"/>
      <c r="J39" s="5356"/>
      <c r="K39" s="5356"/>
      <c r="L39" s="6911" t="s">
        <v>895</v>
      </c>
      <c r="M39" s="5133" t="s">
        <v>2572</v>
      </c>
      <c r="N39" s="5356"/>
      <c r="O39" s="5356"/>
      <c r="P39" s="5356"/>
      <c r="Q39" s="5356"/>
      <c r="R39" s="5356"/>
      <c r="S39" s="5356"/>
      <c r="T39" s="5356"/>
    </row>
    <row r="40" spans="2:20">
      <c r="B40" s="5133"/>
      <c r="C40" s="8033"/>
      <c r="D40" s="8033"/>
      <c r="E40" s="5356"/>
      <c r="F40" s="5356"/>
      <c r="G40" s="5356"/>
      <c r="H40" s="5356"/>
      <c r="I40" s="5356"/>
      <c r="J40" s="5356"/>
      <c r="K40" s="5356"/>
      <c r="L40" s="6911" t="s">
        <v>896</v>
      </c>
      <c r="M40" s="8815" t="s">
        <v>2573</v>
      </c>
      <c r="N40" s="8815"/>
      <c r="O40" s="8815"/>
      <c r="P40" s="8815"/>
      <c r="Q40" s="8815"/>
      <c r="R40" s="8815"/>
      <c r="S40" s="8815"/>
      <c r="T40" s="5356"/>
    </row>
    <row r="41" spans="2:20">
      <c r="B41" s="5133"/>
      <c r="C41" s="8033"/>
      <c r="D41" s="8033"/>
      <c r="E41" s="5356"/>
      <c r="F41" s="5356"/>
      <c r="G41" s="5356"/>
      <c r="H41" s="5356"/>
      <c r="I41" s="5356"/>
      <c r="J41" s="5356"/>
      <c r="K41" s="5356"/>
      <c r="L41" s="6911"/>
      <c r="M41" s="8815"/>
      <c r="N41" s="8815"/>
      <c r="O41" s="8815"/>
      <c r="P41" s="8815"/>
      <c r="Q41" s="8815"/>
      <c r="R41" s="8815"/>
      <c r="S41" s="8815"/>
      <c r="T41" s="5356"/>
    </row>
    <row r="42" spans="2:20">
      <c r="B42" s="5133"/>
      <c r="C42" s="5415"/>
      <c r="D42" s="5415"/>
      <c r="E42" s="5356"/>
      <c r="F42" s="5356"/>
      <c r="G42" s="5356"/>
      <c r="H42" s="5356"/>
      <c r="I42" s="5356"/>
      <c r="J42" s="5356"/>
      <c r="K42" s="5356"/>
      <c r="L42" s="6911" t="s">
        <v>1163</v>
      </c>
      <c r="M42" s="5356" t="s">
        <v>857</v>
      </c>
      <c r="N42" s="5356"/>
      <c r="O42" s="5356"/>
      <c r="P42" s="5356"/>
      <c r="Q42" s="5356"/>
      <c r="R42" s="5356"/>
      <c r="S42" s="5356"/>
      <c r="T42" s="5356"/>
    </row>
    <row r="43" spans="2:20">
      <c r="B43" s="5133"/>
      <c r="C43" s="5415"/>
      <c r="D43" s="5415"/>
      <c r="E43" s="5356"/>
      <c r="F43" s="5356"/>
      <c r="G43" s="5356"/>
      <c r="H43" s="5356"/>
      <c r="I43" s="5356"/>
      <c r="J43" s="5356"/>
      <c r="K43" s="5356"/>
      <c r="L43" s="5356"/>
      <c r="M43" s="5356"/>
      <c r="N43" s="5356"/>
      <c r="O43" s="5356"/>
      <c r="P43" s="5356"/>
      <c r="Q43" s="5356"/>
      <c r="R43" s="5356"/>
      <c r="S43" s="5356"/>
      <c r="T43" s="5356"/>
    </row>
    <row r="44" spans="2:20" ht="219.95" customHeight="1">
      <c r="B44" s="5132"/>
      <c r="C44" s="6396"/>
      <c r="D44" s="6396"/>
      <c r="E44" s="5348"/>
      <c r="F44" s="5348"/>
      <c r="G44" s="5348"/>
      <c r="H44" s="5348"/>
      <c r="I44" s="5348"/>
      <c r="J44" s="5348"/>
      <c r="K44" s="5348"/>
      <c r="L44" s="5348"/>
      <c r="M44" s="5348"/>
      <c r="N44" s="5348"/>
      <c r="O44" s="5348"/>
      <c r="P44" s="5348"/>
      <c r="Q44" s="5348"/>
      <c r="R44" s="5348"/>
      <c r="S44" s="5348"/>
      <c r="T44" s="5348"/>
    </row>
    <row r="45" spans="2:20" ht="219.95" customHeight="1">
      <c r="B45" s="5132"/>
      <c r="C45" s="6396"/>
      <c r="D45" s="6396"/>
      <c r="E45" s="5348"/>
      <c r="F45" s="5348"/>
      <c r="G45" s="5348"/>
      <c r="H45" s="5348"/>
      <c r="I45" s="5348"/>
      <c r="J45" s="5348"/>
      <c r="K45" s="5348"/>
      <c r="L45" s="5348"/>
      <c r="M45" s="5348"/>
      <c r="N45" s="5348"/>
      <c r="O45" s="5348"/>
      <c r="P45" s="5348"/>
      <c r="Q45" s="5348"/>
      <c r="R45" s="5348"/>
      <c r="S45" s="5348"/>
      <c r="T45" s="5348"/>
    </row>
    <row r="46" spans="2:20" ht="219.95" customHeight="1">
      <c r="B46" s="5132"/>
      <c r="C46" s="6396"/>
      <c r="D46" s="6396"/>
      <c r="E46" s="5348"/>
      <c r="F46" s="5348"/>
      <c r="G46" s="5348"/>
      <c r="H46" s="5348"/>
      <c r="I46" s="5348"/>
      <c r="J46" s="5348"/>
      <c r="K46" s="5348"/>
      <c r="L46" s="5348"/>
      <c r="M46" s="5348"/>
      <c r="N46" s="5348"/>
      <c r="O46" s="5348"/>
      <c r="P46" s="5348"/>
      <c r="Q46" s="5348"/>
      <c r="R46" s="5348"/>
      <c r="S46" s="5348"/>
      <c r="T46" s="5348"/>
    </row>
    <row r="47" spans="2:20" ht="219.95" customHeight="1">
      <c r="B47" s="5132"/>
      <c r="C47" s="6396"/>
      <c r="D47" s="6396"/>
      <c r="E47" s="5348"/>
      <c r="F47" s="5348"/>
      <c r="G47" s="5348"/>
      <c r="H47" s="5348"/>
      <c r="I47" s="5348"/>
      <c r="J47" s="5348"/>
      <c r="K47" s="5348"/>
      <c r="L47" s="5348"/>
      <c r="M47" s="5348"/>
      <c r="N47" s="5348"/>
      <c r="O47" s="5348"/>
      <c r="P47" s="5348"/>
      <c r="Q47" s="5348"/>
      <c r="R47" s="5348"/>
      <c r="S47" s="5348"/>
      <c r="T47" s="5348"/>
    </row>
    <row r="48" spans="2:20" ht="219.95" customHeight="1">
      <c r="B48" s="5132"/>
      <c r="C48" s="5135"/>
      <c r="D48" s="5135"/>
      <c r="E48" s="5132"/>
      <c r="F48" s="5132"/>
      <c r="G48" s="5132"/>
      <c r="H48" s="5132"/>
      <c r="I48" s="5132"/>
      <c r="J48" s="5132"/>
      <c r="K48" s="5132"/>
      <c r="L48" s="5132"/>
      <c r="M48" s="5132"/>
      <c r="N48" s="5132"/>
      <c r="O48" s="5132"/>
      <c r="P48" s="5132"/>
      <c r="Q48" s="5132"/>
      <c r="R48" s="5132"/>
      <c r="S48" s="5132"/>
      <c r="T48" s="5132"/>
    </row>
    <row r="49" hidden="1"/>
    <row r="50"/>
  </sheetData>
  <sheetProtection password="C665" sheet="1" objects="1" scenarios="1"/>
  <mergeCells count="51">
    <mergeCell ref="C11:C14"/>
    <mergeCell ref="E11:E14"/>
    <mergeCell ref="F11:F14"/>
    <mergeCell ref="G11:G14"/>
    <mergeCell ref="H11:H14"/>
    <mergeCell ref="E21:E27"/>
    <mergeCell ref="I21:I27"/>
    <mergeCell ref="G16:G27"/>
    <mergeCell ref="M40:S41"/>
    <mergeCell ref="D11:D14"/>
    <mergeCell ref="I11:I14"/>
    <mergeCell ref="S31:S33"/>
    <mergeCell ref="E34:E35"/>
    <mergeCell ref="I34:I35"/>
    <mergeCell ref="J34:J35"/>
    <mergeCell ref="K34:M35"/>
    <mergeCell ref="N34:Q35"/>
    <mergeCell ref="R34:R35"/>
    <mergeCell ref="S34:S35"/>
    <mergeCell ref="E31:E33"/>
    <mergeCell ref="G31:G35"/>
    <mergeCell ref="I31:I33"/>
    <mergeCell ref="J31:J33"/>
    <mergeCell ref="K31:K33"/>
    <mergeCell ref="L21:L27"/>
    <mergeCell ref="M21:M27"/>
    <mergeCell ref="S21:S27"/>
    <mergeCell ref="R31:R33"/>
    <mergeCell ref="L31:L33"/>
    <mergeCell ref="M31:M33"/>
    <mergeCell ref="N31:N33"/>
    <mergeCell ref="O31:O33"/>
    <mergeCell ref="P31:P33"/>
    <mergeCell ref="Q31:Q33"/>
    <mergeCell ref="R21:R27"/>
    <mergeCell ref="J11:J14"/>
    <mergeCell ref="Q21:Q27"/>
    <mergeCell ref="K16:M16"/>
    <mergeCell ref="N16:Q16"/>
    <mergeCell ref="K17:L17"/>
    <mergeCell ref="K18:M18"/>
    <mergeCell ref="K20:M20"/>
    <mergeCell ref="N20:Q20"/>
    <mergeCell ref="N21:N27"/>
    <mergeCell ref="O21:O27"/>
    <mergeCell ref="P21:P27"/>
    <mergeCell ref="J21:J27"/>
    <mergeCell ref="K21:K27"/>
    <mergeCell ref="K11:R11"/>
    <mergeCell ref="K12:M12"/>
    <mergeCell ref="N12:Q12"/>
  </mergeCells>
  <dataValidations count="2">
    <dataValidation type="list" allowBlank="1" showInputMessage="1" showErrorMessage="1" sqref="G28 G16 G30:G31">
      <formula1>"Utility Boiler,Combustion Turbine,Other Turbine,Desel Engine"</formula1>
    </dataValidation>
    <dataValidation type="list" allowBlank="1" showInputMessage="1" showErrorMessage="1" sqref="G29">
      <formula1>"Utility Boiler,Combustion Turbine,Other Turbine,Diesel Engine"</formula1>
    </dataValidation>
  </dataValidations>
  <hyperlinks>
    <hyperlink ref="B6" location="'Table of Contents'!A1" display="x"/>
  </hyperlinks>
  <pageMargins left="0.45" right="0.2" top="1" bottom="0.25" header="0" footer="0.05"/>
  <pageSetup scale="6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52</vt:i4>
      </vt:variant>
    </vt:vector>
  </HeadingPairs>
  <TitlesOfParts>
    <vt:vector size="73" baseType="lpstr">
      <vt:lpstr>Table of Contents</vt:lpstr>
      <vt:lpstr>1(abs)</vt:lpstr>
      <vt:lpstr>2(gnl)</vt:lpstr>
      <vt:lpstr>3(lst)</vt:lpstr>
      <vt:lpstr>4(rd)</vt:lpstr>
      <vt:lpstr>5(em)</vt:lpstr>
      <vt:lpstr>6(gph)</vt:lpstr>
      <vt:lpstr>7(op)</vt:lpstr>
      <vt:lpstr>8(csp)</vt:lpstr>
      <vt:lpstr>9(tcc)</vt:lpstr>
      <vt:lpstr>10(tac)</vt:lpstr>
      <vt:lpstr>11(eff)</vt:lpstr>
      <vt:lpstr>12(id)</vt:lpstr>
      <vt:lpstr>13(an)</vt:lpstr>
      <vt:lpstr>A1(epa)</vt:lpstr>
      <vt:lpstr>A2(SCR)</vt:lpstr>
      <vt:lpstr>A4(twn)</vt:lpstr>
      <vt:lpstr>A2(sm)</vt:lpstr>
      <vt:lpstr>A3(trc)</vt:lpstr>
      <vt:lpstr>ac</vt:lpstr>
      <vt:lpstr>cc</vt:lpstr>
      <vt:lpstr>ac_id</vt:lpstr>
      <vt:lpstr>ad</vt:lpstr>
      <vt:lpstr>c_id</vt:lpstr>
      <vt:lpstr>ca</vt:lpstr>
      <vt:lpstr>ca_id</vt:lpstr>
      <vt:lpstr>ca_idd</vt:lpstr>
      <vt:lpstr>ef</vt:lpstr>
      <vt:lpstr>ef_id</vt:lpstr>
      <vt:lpstr>em</vt:lpstr>
      <vt:lpstr>em_id</vt:lpstr>
      <vt:lpstr>emd</vt:lpstr>
      <vt:lpstr>emd_id</vt:lpstr>
      <vt:lpstr>epa</vt:lpstr>
      <vt:lpstr>epa_id</vt:lpstr>
      <vt:lpstr>eun</vt:lpstr>
      <vt:lpstr>eun_yr</vt:lpstr>
      <vt:lpstr>eyr</vt:lpstr>
      <vt:lpstr>eyr_id</vt:lpstr>
      <vt:lpstr>fn</vt:lpstr>
      <vt:lpstr>lst_id</vt:lpstr>
      <vt:lpstr>op</vt:lpstr>
      <vt:lpstr>op_id</vt:lpstr>
      <vt:lpstr>op_lst</vt:lpstr>
      <vt:lpstr>'1(abs)'!Print_Area</vt:lpstr>
      <vt:lpstr>'10(tac)'!Print_Area</vt:lpstr>
      <vt:lpstr>'11(eff)'!Print_Area</vt:lpstr>
      <vt:lpstr>'12(id)'!Print_Area</vt:lpstr>
      <vt:lpstr>'2(gnl)'!Print_Area</vt:lpstr>
      <vt:lpstr>'3(lst)'!Print_Area</vt:lpstr>
      <vt:lpstr>'4(rd)'!Print_Area</vt:lpstr>
      <vt:lpstr>'5(em)'!Print_Area</vt:lpstr>
      <vt:lpstr>'6(gph)'!Print_Area</vt:lpstr>
      <vt:lpstr>'7(op)'!Print_Area</vt:lpstr>
      <vt:lpstr>'8(csp)'!Print_Area</vt:lpstr>
      <vt:lpstr>'9(tcc)'!Print_Area</vt:lpstr>
      <vt:lpstr>'A2(SCR)'!Print_Area</vt:lpstr>
      <vt:lpstr>ac!Print_Area</vt:lpstr>
      <vt:lpstr>'Table of Contents'!Print_Area</vt:lpstr>
      <vt:lpstr>'1(abs)'!Print_Titles</vt:lpstr>
      <vt:lpstr>'11(eff)'!Print_Titles</vt:lpstr>
      <vt:lpstr>'12(id)'!Print_Titles</vt:lpstr>
      <vt:lpstr>'2(gnl)'!Print_Titles</vt:lpstr>
      <vt:lpstr>'3(lst)'!Print_Titles</vt:lpstr>
      <vt:lpstr>'4(rd)'!Print_Titles</vt:lpstr>
      <vt:lpstr>'5(em)'!Print_Titles</vt:lpstr>
      <vt:lpstr>'7(op)'!Print_Titles</vt:lpstr>
      <vt:lpstr>tao</vt:lpstr>
      <vt:lpstr>tfn</vt:lpstr>
      <vt:lpstr>tid</vt:lpstr>
      <vt:lpstr>tln</vt:lpstr>
      <vt:lpstr>tw</vt:lpstr>
      <vt:lpstr>twn</vt:lpstr>
    </vt:vector>
  </TitlesOfParts>
  <Company>DEP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Vesa</dc:creator>
  <cp:lastModifiedBy>LC</cp:lastModifiedBy>
  <cp:lastPrinted>2014-03-11T19:03:18Z</cp:lastPrinted>
  <dcterms:created xsi:type="dcterms:W3CDTF">2011-02-28T15:46:21Z</dcterms:created>
  <dcterms:modified xsi:type="dcterms:W3CDTF">2014-07-10T17:28:49Z</dcterms:modified>
</cp:coreProperties>
</file>